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defaultThemeVersion="124226"/>
  <xr:revisionPtr revIDLastSave="0" documentId="8_{3E403B94-2B69-4256-9C91-273B1726789F}" xr6:coauthVersionLast="47" xr6:coauthVersionMax="47" xr10:uidLastSave="{00000000-0000-0000-0000-000000000000}"/>
  <bookViews>
    <workbookView xWindow="-108" yWindow="-108" windowWidth="23256" windowHeight="12576" tabRatio="953" xr2:uid="{00000000-000D-0000-FFFF-FFFF00000000}"/>
  </bookViews>
  <sheets>
    <sheet name="Presupuesto" sheetId="19" r:id="rId1"/>
    <sheet name="AU" sheetId="24" r:id="rId2"/>
    <sheet name="Interventoría" sheetId="25" r:id="rId3"/>
    <sheet name="FM " sheetId="28" r:id="rId4"/>
    <sheet name="Cap1" sheetId="1" r:id="rId5"/>
    <sheet name="Cap3" sheetId="3" r:id="rId6"/>
    <sheet name="Cap5" sheetId="5" r:id="rId7"/>
    <sheet name="Cap6" sheetId="6" r:id="rId8"/>
    <sheet name="Cap7" sheetId="7" r:id="rId9"/>
    <sheet name="Cap 8" sheetId="20" r:id="rId10"/>
    <sheet name="Cap10" sheetId="9" r:id="rId11"/>
    <sheet name="Cap11" sheetId="10" r:id="rId12"/>
    <sheet name="Cap12" sheetId="11" r:id="rId13"/>
    <sheet name="Cap14" sheetId="21" r:id="rId14"/>
    <sheet name="Cap15" sheetId="22" r:id="rId15"/>
    <sheet name="Cap16" sheetId="23" r:id="rId16"/>
    <sheet name="Cap17 " sheetId="26" r:id="rId17"/>
    <sheet name="Cap18" sheetId="13" r:id="rId18"/>
    <sheet name="SALARIOS" sheetId="15" r:id="rId19"/>
    <sheet name="INSUMOS " sheetId="4" r:id="rId20"/>
    <sheet name="INSUMOS ELÉCTRICOS" sheetId="18" r:id="rId21"/>
    <sheet name="MAQUINARIA Y EQUIPOS" sheetId="16" r:id="rId22"/>
    <sheet name="SUBANÁLISIS" sheetId="17"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s>
  <definedNames>
    <definedName name="\0" localSheetId="1">#REF!</definedName>
    <definedName name="\0" localSheetId="9">#REF!</definedName>
    <definedName name="\0" localSheetId="19">#REF!</definedName>
    <definedName name="\0">#REF!</definedName>
    <definedName name="\X" localSheetId="1">[1]!ERR</definedName>
    <definedName name="\X" localSheetId="16">[1]!ERR</definedName>
    <definedName name="\X" localSheetId="19">[1]!ERR</definedName>
    <definedName name="\X">[1]!ERR</definedName>
    <definedName name="\Z" localSheetId="1">[1]!ERR</definedName>
    <definedName name="\Z" localSheetId="16">[1]!ERR</definedName>
    <definedName name="\Z" localSheetId="19">[1]!ERR</definedName>
    <definedName name="\Z">[1]!ERR</definedName>
    <definedName name="_____________________dfgu6fgytj" localSheetId="1">#REF!</definedName>
    <definedName name="_____________________dfgu6fgytj" localSheetId="16">#REF!</definedName>
    <definedName name="_____________________dfgu6fgytj" localSheetId="3">#REF!</definedName>
    <definedName name="_____________________dfgu6fgytj">#REF!</definedName>
    <definedName name="_______________rc" localSheetId="1">#REF!</definedName>
    <definedName name="_______________rc">#REF!</definedName>
    <definedName name="_____________rc">#REF!</definedName>
    <definedName name="____________INF1">#REF!</definedName>
    <definedName name="___________A17000">#REF!</definedName>
    <definedName name="___________A20000">#REF!</definedName>
    <definedName name="___________A30000">#REF!</definedName>
    <definedName name="___________AFC1">[2]INV!$A$25:$D$28</definedName>
    <definedName name="___________AFC3">[2]INV!$F$25:$I$28</definedName>
    <definedName name="___________AFC5">[2]INV!$K$25:$N$28</definedName>
    <definedName name="___________BGC1">[2]INV!$A$5:$D$8</definedName>
    <definedName name="___________BGC3">[2]INV!$F$5:$I$8</definedName>
    <definedName name="___________BGC5">[2]INV!$K$5:$N$8</definedName>
    <definedName name="___________CAC1">[2]INV!$A$19:$D$22</definedName>
    <definedName name="___________CAC3">[2]INV!$F$19:$I$22</definedName>
    <definedName name="___________CAC5">[2]INV!$K$19:$N$22</definedName>
    <definedName name="___________INF1" localSheetId="16">#REF!</definedName>
    <definedName name="___________INF1" localSheetId="3">#REF!</definedName>
    <definedName name="___________INF1">#REF!</definedName>
    <definedName name="___________rc" localSheetId="16">#REF!</definedName>
    <definedName name="___________rc">#REF!</definedName>
    <definedName name="___________SBC1">[2]INV!$A$12:$D$15</definedName>
    <definedName name="___________SBC3">[2]INV!$F$12:$I$15</definedName>
    <definedName name="___________SBC5">[2]INV!$K$12:$N$15</definedName>
    <definedName name="__________A17000" localSheetId="16">#REF!</definedName>
    <definedName name="__________A17000" localSheetId="3">#REF!</definedName>
    <definedName name="__________A17000">#REF!</definedName>
    <definedName name="__________A20000" localSheetId="16">#REF!</definedName>
    <definedName name="__________A20000">#REF!</definedName>
    <definedName name="__________A30000" localSheetId="16">#REF!</definedName>
    <definedName name="__________A30000">#REF!</definedName>
    <definedName name="__________AFC1">[2]INV!$A$25:$D$28</definedName>
    <definedName name="__________AFC3">[2]INV!$F$25:$I$28</definedName>
    <definedName name="__________AFC5">[2]INV!$K$25:$N$28</definedName>
    <definedName name="__________BGC1">[2]INV!$A$5:$D$8</definedName>
    <definedName name="__________BGC3">[2]INV!$F$5:$I$8</definedName>
    <definedName name="__________BGC5">[2]INV!$K$5:$N$8</definedName>
    <definedName name="__________CAC1">[2]INV!$A$19:$D$22</definedName>
    <definedName name="__________CAC3">[2]INV!$F$19:$I$22</definedName>
    <definedName name="__________CAC5">[2]INV!$K$19:$N$22</definedName>
    <definedName name="__________INF1" localSheetId="16">#REF!</definedName>
    <definedName name="__________INF1" localSheetId="3">#REF!</definedName>
    <definedName name="__________INF1">#REF!</definedName>
    <definedName name="__________SBC1">[2]INV!$A$12:$D$15</definedName>
    <definedName name="__________SBC3">[2]INV!$F$12:$I$15</definedName>
    <definedName name="__________SBC5">[2]INV!$K$12:$N$15</definedName>
    <definedName name="_________A17000" localSheetId="16">#REF!</definedName>
    <definedName name="_________A17000" localSheetId="3">#REF!</definedName>
    <definedName name="_________A17000">#REF!</definedName>
    <definedName name="_________A20000" localSheetId="16">#REF!</definedName>
    <definedName name="_________A20000">#REF!</definedName>
    <definedName name="_________A30000" localSheetId="16">#REF!</definedName>
    <definedName name="_________A30000">#REF!</definedName>
    <definedName name="_________AFC1">[2]INV!$A$25:$D$28</definedName>
    <definedName name="_________AFC3">[2]INV!$F$25:$I$28</definedName>
    <definedName name="_________AFC5">[2]INV!$K$25:$N$28</definedName>
    <definedName name="_________BGC1">[2]INV!$A$5:$D$8</definedName>
    <definedName name="_________BGC3">[2]INV!$F$5:$I$8</definedName>
    <definedName name="_________BGC5">[2]INV!$K$5:$N$8</definedName>
    <definedName name="_________CAC1">[2]INV!$A$19:$D$22</definedName>
    <definedName name="_________CAC3">[2]INV!$F$19:$I$22</definedName>
    <definedName name="_________CAC5">[2]INV!$K$19:$N$22</definedName>
    <definedName name="_________INF1" localSheetId="16">#REF!</definedName>
    <definedName name="_________INF1" localSheetId="3">#REF!</definedName>
    <definedName name="_________INF1">#REF!</definedName>
    <definedName name="_________rc" localSheetId="16">#REF!</definedName>
    <definedName name="_________rc">#REF!</definedName>
    <definedName name="_________SBC1">[2]INV!$A$12:$D$15</definedName>
    <definedName name="_________SBC3">[2]INV!$F$12:$I$15</definedName>
    <definedName name="_________SBC5">[2]INV!$K$12:$N$15</definedName>
    <definedName name="________A17000" localSheetId="16">#REF!</definedName>
    <definedName name="________A17000" localSheetId="3">#REF!</definedName>
    <definedName name="________A17000">#REF!</definedName>
    <definedName name="________A20000" localSheetId="16">#REF!</definedName>
    <definedName name="________A20000">#REF!</definedName>
    <definedName name="________A30000" localSheetId="16">#REF!</definedName>
    <definedName name="________A30000">#REF!</definedName>
    <definedName name="________AFC1">[2]INV!$A$25:$D$28</definedName>
    <definedName name="________AFC3">[2]INV!$F$25:$I$28</definedName>
    <definedName name="________AFC5">[2]INV!$K$25:$N$28</definedName>
    <definedName name="________BGC1">[2]INV!$A$5:$D$8</definedName>
    <definedName name="________BGC3">[2]INV!$F$5:$I$8</definedName>
    <definedName name="________BGC5">[2]INV!$K$5:$N$8</definedName>
    <definedName name="________CAC1">[2]INV!$A$19:$D$22</definedName>
    <definedName name="________CAC3">[2]INV!$F$19:$I$22</definedName>
    <definedName name="________CAC5">[2]INV!$K$19:$N$22</definedName>
    <definedName name="________INF1" localSheetId="16">#REF!</definedName>
    <definedName name="________INF1" localSheetId="3">#REF!</definedName>
    <definedName name="________INF1">#REF!</definedName>
    <definedName name="________MA2" localSheetId="16">#REF!</definedName>
    <definedName name="________MA2">#REF!</definedName>
    <definedName name="________SBC1">[2]INV!$A$12:$D$15</definedName>
    <definedName name="________SBC3">[2]INV!$F$12:$I$15</definedName>
    <definedName name="________SBC5">[2]INV!$K$12:$N$15</definedName>
    <definedName name="_______A17000" localSheetId="16">#REF!</definedName>
    <definedName name="_______A17000" localSheetId="3">#REF!</definedName>
    <definedName name="_______A17000">#REF!</definedName>
    <definedName name="_______A20000" localSheetId="16">#REF!</definedName>
    <definedName name="_______A20000">#REF!</definedName>
    <definedName name="_______A30000" localSheetId="16">#REF!</definedName>
    <definedName name="_______A30000">#REF!</definedName>
    <definedName name="_______AFC1">[2]INV!$A$25:$D$28</definedName>
    <definedName name="_______AFC3">[2]INV!$F$25:$I$28</definedName>
    <definedName name="_______AFC5">[2]INV!$K$25:$N$28</definedName>
    <definedName name="_______BGC1">[2]INV!$A$5:$D$8</definedName>
    <definedName name="_______BGC3">[2]INV!$F$5:$I$8</definedName>
    <definedName name="_______BGC5">[2]INV!$K$5:$N$8</definedName>
    <definedName name="_______CAC1">[2]INV!$A$19:$D$22</definedName>
    <definedName name="_______CAC3">[2]INV!$F$19:$I$22</definedName>
    <definedName name="_______CAC5">[2]INV!$K$19:$N$22</definedName>
    <definedName name="_______INF1" localSheetId="16">#REF!</definedName>
    <definedName name="_______INF1" localSheetId="3">#REF!</definedName>
    <definedName name="_______INF1">#REF!</definedName>
    <definedName name="_______MA2" localSheetId="16">#REF!</definedName>
    <definedName name="_______MA2">#REF!</definedName>
    <definedName name="_______rc" localSheetId="16">#REF!</definedName>
    <definedName name="_______rc">#REF!</definedName>
    <definedName name="_______SBC1">[2]INV!$A$12:$D$15</definedName>
    <definedName name="_______SBC3">[2]INV!$F$12:$I$15</definedName>
    <definedName name="_______SBC5">[2]INV!$K$12:$N$15</definedName>
    <definedName name="______A17000" localSheetId="16">#REF!</definedName>
    <definedName name="______A17000" localSheetId="3">#REF!</definedName>
    <definedName name="______A17000">#REF!</definedName>
    <definedName name="______A20000" localSheetId="16">#REF!</definedName>
    <definedName name="______A20000">#REF!</definedName>
    <definedName name="______A30000" localSheetId="16">#REF!</definedName>
    <definedName name="______A30000">#REF!</definedName>
    <definedName name="______AFC1">[2]INV!$A$25:$D$28</definedName>
    <definedName name="______AFC3">[2]INV!$F$25:$I$28</definedName>
    <definedName name="______AFC5">[2]INV!$K$25:$N$28</definedName>
    <definedName name="______BGC1">[2]INV!$A$5:$D$8</definedName>
    <definedName name="______BGC3">[2]INV!$F$5:$I$8</definedName>
    <definedName name="______BGC5">[2]INV!$K$5:$N$8</definedName>
    <definedName name="______CAC1">[2]INV!$A$19:$D$22</definedName>
    <definedName name="______CAC3">[2]INV!$F$19:$I$22</definedName>
    <definedName name="______CAC5">[2]INV!$K$19:$N$22</definedName>
    <definedName name="______INF1" localSheetId="16">#REF!</definedName>
    <definedName name="______INF1" localSheetId="3">#REF!</definedName>
    <definedName name="______INF1">#REF!</definedName>
    <definedName name="______MA2" localSheetId="16">#REF!</definedName>
    <definedName name="______MA2">#REF!</definedName>
    <definedName name="______rc" localSheetId="16">#REF!</definedName>
    <definedName name="______rc">#REF!</definedName>
    <definedName name="______SBC1">[2]INV!$A$12:$D$15</definedName>
    <definedName name="______SBC3">[2]INV!$F$12:$I$15</definedName>
    <definedName name="______SBC5">[2]INV!$K$12:$N$15</definedName>
    <definedName name="_____A17000" localSheetId="16">#REF!</definedName>
    <definedName name="_____A17000" localSheetId="3">#REF!</definedName>
    <definedName name="_____A17000">#REF!</definedName>
    <definedName name="_____A20000" localSheetId="16">#REF!</definedName>
    <definedName name="_____A20000">#REF!</definedName>
    <definedName name="_____A30000" localSheetId="16">#REF!</definedName>
    <definedName name="_____A30000">#REF!</definedName>
    <definedName name="_____AFC1">[2]INV!$A$25:$D$28</definedName>
    <definedName name="_____AFC3">[2]INV!$F$25:$I$28</definedName>
    <definedName name="_____AFC5">[2]INV!$K$25:$N$28</definedName>
    <definedName name="_____BGC1">[2]INV!$A$5:$D$8</definedName>
    <definedName name="_____BGC3">[2]INV!$F$5:$I$8</definedName>
    <definedName name="_____BGC5">[2]INV!$K$5:$N$8</definedName>
    <definedName name="_____CAC1">[2]INV!$A$19:$D$22</definedName>
    <definedName name="_____CAC3">[2]INV!$F$19:$I$22</definedName>
    <definedName name="_____CAC5">[2]INV!$K$19:$N$22</definedName>
    <definedName name="_____INF1" localSheetId="16">#REF!</definedName>
    <definedName name="_____INF1" localSheetId="3">#REF!</definedName>
    <definedName name="_____INF1">#REF!</definedName>
    <definedName name="_____MA2" localSheetId="16">#REF!</definedName>
    <definedName name="_____MA2">#REF!</definedName>
    <definedName name="_____PJ50" localSheetId="16">#REF!</definedName>
    <definedName name="_____PJ50">#REF!</definedName>
    <definedName name="_____pj51">#REF!</definedName>
    <definedName name="_____rc">#REF!</definedName>
    <definedName name="_____SBC1">[2]INV!$A$12:$D$15</definedName>
    <definedName name="_____SBC3">[2]INV!$F$12:$I$15</definedName>
    <definedName name="_____SBC5">[2]INV!$K$12:$N$15</definedName>
    <definedName name="____A17000" localSheetId="16">#REF!</definedName>
    <definedName name="____A17000" localSheetId="3">#REF!</definedName>
    <definedName name="____A17000">#REF!</definedName>
    <definedName name="____A20000" localSheetId="16">#REF!</definedName>
    <definedName name="____A20000">#REF!</definedName>
    <definedName name="____A30000" localSheetId="16">#REF!</definedName>
    <definedName name="____A30000">#REF!</definedName>
    <definedName name="____AFC1">[2]INV!$A$25:$D$28</definedName>
    <definedName name="____AFC3">[2]INV!$F$25:$I$28</definedName>
    <definedName name="____AFC5">[2]INV!$K$25:$N$28</definedName>
    <definedName name="____BGC1">[2]INV!$A$5:$D$8</definedName>
    <definedName name="____BGC3">[2]INV!$F$5:$I$8</definedName>
    <definedName name="____BGC5">[2]INV!$K$5:$N$8</definedName>
    <definedName name="____CAC1">[2]INV!$A$19:$D$22</definedName>
    <definedName name="____CAC3">[2]INV!$F$19:$I$22</definedName>
    <definedName name="____CAC5">[2]INV!$K$19:$N$22</definedName>
    <definedName name="____MA2" localSheetId="16">#REF!</definedName>
    <definedName name="____MA2">#REF!</definedName>
    <definedName name="____PJ50" localSheetId="16">#REF!</definedName>
    <definedName name="____PJ50">#REF!</definedName>
    <definedName name="____pj51" localSheetId="16">#REF!</definedName>
    <definedName name="____pj51">#REF!</definedName>
    <definedName name="____R" hidden="1">{#N/A,#N/A,FALSE,"GRAFICO";#N/A,#N/A,FALSE,"CAJA (2)";#N/A,#N/A,FALSE,"TERCEROS-PROMEDIO";#N/A,#N/A,FALSE,"CAJA";#N/A,#N/A,FALSE,"INGRESOS1995-2003";#N/A,#N/A,FALSE,"GASTOS1995-2003"}</definedName>
    <definedName name="____rc">#REF!</definedName>
    <definedName name="____SBC1">[2]INV!$A$12:$D$15</definedName>
    <definedName name="____SBC3">[2]INV!$F$12:$I$15</definedName>
    <definedName name="____SBC5">[2]INV!$K$12:$N$15</definedName>
    <definedName name="___A17000" localSheetId="16">#REF!</definedName>
    <definedName name="___A17000" localSheetId="3">#REF!</definedName>
    <definedName name="___A17000">#REF!</definedName>
    <definedName name="___A20000" localSheetId="16">#REF!</definedName>
    <definedName name="___A20000">#REF!</definedName>
    <definedName name="___A30000" localSheetId="16">#REF!</definedName>
    <definedName name="___A30000">#REF!</definedName>
    <definedName name="___AFC1">[2]INV!$A$25:$D$28</definedName>
    <definedName name="___AFC3">[2]INV!$F$25:$I$28</definedName>
    <definedName name="___AFC5">[2]INV!$K$25:$N$28</definedName>
    <definedName name="___BGC1">[2]INV!$A$5:$D$8</definedName>
    <definedName name="___BGC3">[2]INV!$F$5:$I$8</definedName>
    <definedName name="___BGC5">[2]INV!$K$5:$N$8</definedName>
    <definedName name="___CAC1">[2]INV!$A$19:$D$22</definedName>
    <definedName name="___CAC3">[2]INV!$F$19:$I$22</definedName>
    <definedName name="___CAC5">[2]INV!$K$19:$N$22</definedName>
    <definedName name="___EST10" localSheetId="16">#REF!</definedName>
    <definedName name="___EST10">#REF!</definedName>
    <definedName name="___EST11" localSheetId="16">#REF!</definedName>
    <definedName name="___EST11">#REF!</definedName>
    <definedName name="___EST12" localSheetId="16">#REF!</definedName>
    <definedName name="___EST12" localSheetId="19">'INSUMOS '!#REF!</definedName>
    <definedName name="___EST12">#REF!</definedName>
    <definedName name="___EST13" localSheetId="16">#REF!</definedName>
    <definedName name="___EST13">#REF!</definedName>
    <definedName name="___EST14" localSheetId="16">#REF!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INF1">#REF!</definedName>
    <definedName name="___MA2">#REF!</definedName>
    <definedName name="___PJ50">#REF!</definedName>
    <definedName name="___pj51">#REF!</definedName>
    <definedName name="___R" hidden="1">{#N/A,#N/A,FALSE,"GRAFICO";#N/A,#N/A,FALSE,"CAJA (2)";#N/A,#N/A,FALSE,"TERCEROS-PROMEDIO";#N/A,#N/A,FALSE,"CAJA";#N/A,#N/A,FALSE,"INGRESOS1995-2003";#N/A,#N/A,FALSE,"GASTOS1995-2003"}</definedName>
    <definedName name="___rc">#REF!</definedName>
    <definedName name="___SBC1">[2]INV!$A$12:$D$15</definedName>
    <definedName name="___SBC3">[2]INV!$F$12:$I$15</definedName>
    <definedName name="___SBC5">[2]INV!$K$12:$N$15</definedName>
    <definedName name="__123" hidden="1">[3]G.G!#REF!</definedName>
    <definedName name="__1234" hidden="1">[3]G.G!#REF!</definedName>
    <definedName name="__123Graph_A" hidden="1">[3]G.G!#REF!</definedName>
    <definedName name="__123Graph_AGraph2" hidden="1">[3]G.G!#REF!</definedName>
    <definedName name="__123Graph_X" hidden="1">[3]G.G!#REF!</definedName>
    <definedName name="__A17000" localSheetId="16">#REF!</definedName>
    <definedName name="__A17000" localSheetId="3">#REF!</definedName>
    <definedName name="__A17000">#REF!</definedName>
    <definedName name="__A20000" localSheetId="16">#REF!</definedName>
    <definedName name="__A20000">#REF!</definedName>
    <definedName name="__A30000" localSheetId="16">#REF!</definedName>
    <definedName name="__A30000">#REF!</definedName>
    <definedName name="__AFC1">[2]INV!$A$25:$D$28</definedName>
    <definedName name="__AFC3">[2]INV!$F$25:$I$28</definedName>
    <definedName name="__AFC5">[2]INV!$K$25:$N$28</definedName>
    <definedName name="__aiu2">[4]AIU!$J$105</definedName>
    <definedName name="__BGC1">[2]INV!$A$5:$D$8</definedName>
    <definedName name="__BGC3">[2]INV!$F$5:$I$8</definedName>
    <definedName name="__BGC5">[2]INV!$K$5:$N$8</definedName>
    <definedName name="__CAC1">[2]INV!$A$19:$D$22</definedName>
    <definedName name="__CAC3">[2]INV!$F$19:$I$22</definedName>
    <definedName name="__CAC5">[2]INV!$K$19:$N$22</definedName>
    <definedName name="__EST1" localSheetId="16">#REF!</definedName>
    <definedName name="__EST1" localSheetId="19">'INSUMOS '!#REF!</definedName>
    <definedName name="__EST1">#REF!</definedName>
    <definedName name="__EST10" localSheetId="16">#REF!</definedName>
    <definedName name="__EST10" localSheetId="19">'INSUMOS '!#REF!</definedName>
    <definedName name="__EST10">#REF!</definedName>
    <definedName name="__EST11" localSheetId="16">#REF!</definedName>
    <definedName name="__EST11" localSheetId="19">'INSUMOS '!#REF!</definedName>
    <definedName name="__EST11">#REF!</definedName>
    <definedName name="__EST12" localSheetId="16">#REF!</definedName>
    <definedName name="__EST12" localSheetId="19">'INSUMOS '!#REF!</definedName>
    <definedName name="__EST12">#REF!</definedName>
    <definedName name="__EST13" localSheetId="16">#REF!</definedName>
    <definedName name="__EST13" localSheetId="19">'INSUMOS '!#REF!</definedName>
    <definedName name="__EST13">#REF!</definedName>
    <definedName name="__EST14" localSheetId="16">#REF!</definedName>
    <definedName name="__EST14" localSheetId="19">'INSUMOS '!#REF!</definedName>
    <definedName name="__EST14">#REF!</definedName>
    <definedName name="__EST15" localSheetId="16">#REF!</definedName>
    <definedName name="__EST15" localSheetId="19">'INSUMOS '!#REF!</definedName>
    <definedName name="__EST15">#REF!</definedName>
    <definedName name="__EST16" localSheetId="16">#REF!</definedName>
    <definedName name="__EST16" localSheetId="19">'INSUMOS '!#REF!</definedName>
    <definedName name="__EST16">#REF!</definedName>
    <definedName name="__EST17" localSheetId="16">#REF!</definedName>
    <definedName name="__EST17" localSheetId="19">'INSUMOS '!#REF!</definedName>
    <definedName name="__EST17">#REF!</definedName>
    <definedName name="__EST18" localSheetId="16">#REF!</definedName>
    <definedName name="__EST18" localSheetId="19">'INSUMOS '!#REF!</definedName>
    <definedName name="__EST18">#REF!</definedName>
    <definedName name="__EST19" localSheetId="16">#REF!</definedName>
    <definedName name="__EST19" localSheetId="19">'INSUMOS '!#REF!</definedName>
    <definedName name="__EST19">#REF!</definedName>
    <definedName name="__EST2" localSheetId="16">#REF!</definedName>
    <definedName name="__EST2" localSheetId="19">'INSUMOS '!#REF!</definedName>
    <definedName name="__EST2">#REF!</definedName>
    <definedName name="__EST23" localSheetId="16">#REF!</definedName>
    <definedName name="__EST23" localSheetId="19">'INSUMOS '!#REF!</definedName>
    <definedName name="__EST23">#REF!</definedName>
    <definedName name="__EST3" localSheetId="16">#REF!</definedName>
    <definedName name="__EST3" localSheetId="19">'INSUMOS '!#REF!</definedName>
    <definedName name="__EST3">#REF!</definedName>
    <definedName name="__EST4" localSheetId="16">#REF!</definedName>
    <definedName name="__EST4" localSheetId="19">'INSUMOS '!#REF!</definedName>
    <definedName name="__EST4">#REF!</definedName>
    <definedName name="__EST5" localSheetId="16">#REF!</definedName>
    <definedName name="__EST5" localSheetId="19">'INSUMOS '!#REF!</definedName>
    <definedName name="__EST5">#REF!</definedName>
    <definedName name="__EST6" localSheetId="16">#REF!</definedName>
    <definedName name="__EST6" localSheetId="19">'INSUMOS '!#REF!</definedName>
    <definedName name="__EST6">#REF!</definedName>
    <definedName name="__EST7" localSheetId="16">#REF!</definedName>
    <definedName name="__EST7" localSheetId="19">'INSUMOS '!#REF!</definedName>
    <definedName name="__EST7">#REF!</definedName>
    <definedName name="__EST8" localSheetId="16">#REF!</definedName>
    <definedName name="__EST8" localSheetId="19">'INSUMOS '!#REF!</definedName>
    <definedName name="__EST8">#REF!</definedName>
    <definedName name="__EST9" localSheetId="16">#REF!</definedName>
    <definedName name="__EST9" localSheetId="19">'INSUMOS '!#REF!</definedName>
    <definedName name="__EST9">#REF!</definedName>
    <definedName name="__EXC1" localSheetId="16">#REF!</definedName>
    <definedName name="__EXC1" localSheetId="19">'INSUMOS '!#REF!</definedName>
    <definedName name="__EXC1">#REF!</definedName>
    <definedName name="__EXC10" localSheetId="16">#REF!</definedName>
    <definedName name="__EXC10" localSheetId="19">'INSUMOS '!#REF!</definedName>
    <definedName name="__EXC10">#REF!</definedName>
    <definedName name="__EXC11" localSheetId="16">#REF!</definedName>
    <definedName name="__EXC11" localSheetId="19">'INSUMOS '!#REF!</definedName>
    <definedName name="__EXC11">#REF!</definedName>
    <definedName name="__EXC12" localSheetId="16">#REF!</definedName>
    <definedName name="__EXC12" localSheetId="19">'INSUMOS '!#REF!</definedName>
    <definedName name="__EXC12">#REF!</definedName>
    <definedName name="__EXC2" localSheetId="16">#REF!</definedName>
    <definedName name="__EXC2" localSheetId="19">'INSUMOS '!#REF!</definedName>
    <definedName name="__EXC2">#REF!</definedName>
    <definedName name="__EXC3" localSheetId="16">#REF!</definedName>
    <definedName name="__EXC3" localSheetId="19">'INSUMOS '!#REF!</definedName>
    <definedName name="__EXC3">#REF!</definedName>
    <definedName name="__EXC4" localSheetId="16">#REF!</definedName>
    <definedName name="__EXC4" localSheetId="19">'INSUMOS '!#REF!</definedName>
    <definedName name="__EXC4">#REF!</definedName>
    <definedName name="__EXC5" localSheetId="16">#REF!</definedName>
    <definedName name="__EXC5" localSheetId="19">'INSUMOS '!#REF!</definedName>
    <definedName name="__EXC5">#REF!</definedName>
    <definedName name="__EXC6" localSheetId="16">#REF!</definedName>
    <definedName name="__EXC6" localSheetId="19">'INSUMOS '!#REF!</definedName>
    <definedName name="__EXC6">#REF!</definedName>
    <definedName name="__EXC7" localSheetId="16">#REF!</definedName>
    <definedName name="__EXC7" localSheetId="19">'INSUMOS '!#REF!</definedName>
    <definedName name="__EXC7">#REF!</definedName>
    <definedName name="__EXC8" localSheetId="16">#REF!</definedName>
    <definedName name="__EXC8" localSheetId="19">'INSUMOS '!#REF!</definedName>
    <definedName name="__EXC8">#REF!</definedName>
    <definedName name="__EXC9" localSheetId="16">#REF!</definedName>
    <definedName name="__EXC9" localSheetId="19">'INSUMOS '!#REF!</definedName>
    <definedName name="__EXC9">#REF!</definedName>
    <definedName name="__INF1" localSheetId="16">#REF!</definedName>
    <definedName name="__INF1" localSheetId="3">#REF!</definedName>
    <definedName name="__INF1">#REF!</definedName>
    <definedName name="__MA2" localSheetId="16">#REF!</definedName>
    <definedName name="__MA2">#REF!</definedName>
    <definedName name="__Pa1">'[5]Paral. 1'!$E:$E</definedName>
    <definedName name="__Pa2">'[5]Paral. 2'!$E:$E</definedName>
    <definedName name="__Pa3">'[5]Paral. 3'!$E:$E</definedName>
    <definedName name="__Pa4">[5]Paral.4!$E:$E</definedName>
    <definedName name="__PJ50" localSheetId="16">#REF!</definedName>
    <definedName name="__PJ50">#REF!</definedName>
    <definedName name="__pj51" localSheetId="16">#REF!</definedName>
    <definedName name="__pj51">#REF!</definedName>
    <definedName name="__Po2" localSheetId="16">[6]REAJUSTESACTA1PROVI!#REF!</definedName>
    <definedName name="__Po2">[6]REAJUSTESACTA1PROVI!#REF!</definedName>
    <definedName name="__rc" localSheetId="16">#REF!</definedName>
    <definedName name="__rc" localSheetId="3">#REF!</definedName>
    <definedName name="__rc">#REF!</definedName>
    <definedName name="__SBC1">[2]INV!$A$12:$D$15</definedName>
    <definedName name="__SBC3">[2]INV!$F$12:$I$15</definedName>
    <definedName name="__SBC5">[2]INV!$K$12:$N$15</definedName>
    <definedName name="__TPE1132" localSheetId="1">[7]BASE!#REF!</definedName>
    <definedName name="__TPE1132" localSheetId="16">[7]BASE!#REF!</definedName>
    <definedName name="__TPE1132">[7]BASE!#REF!</definedName>
    <definedName name="__TPE1331" localSheetId="1">[7]BASE!#REF!</definedName>
    <definedName name="__TPE1331" localSheetId="16">[7]BASE!#REF!</definedName>
    <definedName name="__TPE1331">[7]BASE!#REF!</definedName>
    <definedName name="__TPE1702" localSheetId="1">[7]BASE!#REF!</definedName>
    <definedName name="__TPE1702" localSheetId="16">[7]BASE!#REF!</definedName>
    <definedName name="__TPE1702">[7]BASE!#REF!</definedName>
    <definedName name="__TPE1703" localSheetId="1">[7]BASE!#REF!</definedName>
    <definedName name="__TPE1703" localSheetId="16">[7]BASE!#REF!</definedName>
    <definedName name="__TPE1703">[7]BASE!#REF!</definedName>
    <definedName name="__TPE1704" localSheetId="1">[7]BASE!#REF!</definedName>
    <definedName name="__TPE1704" localSheetId="16">[7]BASE!#REF!</definedName>
    <definedName name="__TPE1704">[7]BASE!#REF!</definedName>
    <definedName name="__TPE1706" localSheetId="1">[7]BASE!#REF!</definedName>
    <definedName name="__TPE1706" localSheetId="16">[7]BASE!#REF!</definedName>
    <definedName name="__TPE1706">[7]BASE!#REF!</definedName>
    <definedName name="__TPE1708" localSheetId="1">[7]BASE!#REF!</definedName>
    <definedName name="__TPE1708" localSheetId="16">[7]BASE!#REF!</definedName>
    <definedName name="__TPE1708">[7]BASE!#REF!</definedName>
    <definedName name="__TPE1710" localSheetId="1">[7]BASE!#REF!</definedName>
    <definedName name="__TPE1710" localSheetId="16">[7]BASE!#REF!</definedName>
    <definedName name="__TPE1710">[7]BASE!#REF!</definedName>
    <definedName name="__TPE1735" localSheetId="1">[7]BASE!#REF!</definedName>
    <definedName name="__TPE1735" localSheetId="16">[7]BASE!#REF!</definedName>
    <definedName name="__TPE1735">[7]BASE!#REF!</definedName>
    <definedName name="__TPE1763" localSheetId="1">[7]BASE!#REF!</definedName>
    <definedName name="__TPE1763" localSheetId="16">[7]BASE!#REF!</definedName>
    <definedName name="__TPE1763">[7]BASE!#REF!</definedName>
    <definedName name="__TPE1790" localSheetId="1">[7]BASE!#REF!</definedName>
    <definedName name="__TPE1790" localSheetId="16">[7]BASE!#REF!</definedName>
    <definedName name="__TPE1790">[7]BASE!#REF!</definedName>
    <definedName name="__TUZ22" localSheetId="1">[7]BASE!#REF!</definedName>
    <definedName name="__TUZ22" localSheetId="16">[7]BASE!#REF!</definedName>
    <definedName name="__TUZ22">[7]BASE!#REF!</definedName>
    <definedName name="__TUZ36" localSheetId="1">[7]BASE!#REF!</definedName>
    <definedName name="__TUZ36" localSheetId="16">[7]BASE!#REF!</definedName>
    <definedName name="__TUZ36">[7]BASE!#REF!</definedName>
    <definedName name="__TZ323" localSheetId="1">[7]BASE!#REF!</definedName>
    <definedName name="__TZ323" localSheetId="16">[7]BASE!#REF!</definedName>
    <definedName name="__TZ323">[7]BASE!#REF!</definedName>
    <definedName name="__TZ324" localSheetId="1">[7]BASE!#REF!</definedName>
    <definedName name="__TZ324" localSheetId="16">[7]BASE!#REF!</definedName>
    <definedName name="__TZ324">[7]BASE!#REF!</definedName>
    <definedName name="_1">#N/A</definedName>
    <definedName name="_123" hidden="1">[3]G.G!#REF!</definedName>
    <definedName name="_2">#N/A</definedName>
    <definedName name="_3">#REF!</definedName>
    <definedName name="_42C">#REF!</definedName>
    <definedName name="_42D">#REF!</definedName>
    <definedName name="_42E">#REF!</definedName>
    <definedName name="_44">#REF!</definedName>
    <definedName name="_6">#REF!</definedName>
    <definedName name="_a1" localSheetId="1" hidden="1">{"TAB1",#N/A,TRUE,"GENERAL";"TAB2",#N/A,TRUE,"GENERAL";"TAB3",#N/A,TRUE,"GENERAL";"TAB4",#N/A,TRUE,"GENERAL";"TAB5",#N/A,TRUE,"GENERAL"}</definedName>
    <definedName name="_a1" localSheetId="9" hidden="1">{"TAB1",#N/A,TRUE,"GENERAL";"TAB2",#N/A,TRUE,"GENERAL";"TAB3",#N/A,TRUE,"GENERAL";"TAB4",#N/A,TRUE,"GENERAL";"TAB5",#N/A,TRUE,"GENERAL"}</definedName>
    <definedName name="_a1" localSheetId="16" hidden="1">{"TAB1",#N/A,TRUE,"GENERAL";"TAB2",#N/A,TRUE,"GENERAL";"TAB3",#N/A,TRUE,"GENERAL";"TAB4",#N/A,TRUE,"GENERAL";"TAB5",#N/A,TRUE,"GENERAL"}</definedName>
    <definedName name="_a1" localSheetId="19" hidden="1">{"TAB1",#N/A,TRUE,"GENERAL";"TAB2",#N/A,TRUE,"GENERAL";"TAB3",#N/A,TRUE,"GENERAL";"TAB4",#N/A,TRUE,"GENERAL";"TAB5",#N/A,TRUE,"GENERAL"}</definedName>
    <definedName name="_a1" hidden="1">{"TAB1",#N/A,TRUE,"GENERAL";"TAB2",#N/A,TRUE,"GENERAL";"TAB3",#N/A,TRUE,"GENERAL";"TAB4",#N/A,TRUE,"GENERAL";"TAB5",#N/A,TRUE,"GENERAL"}</definedName>
    <definedName name="_A17000" localSheetId="3">#REF!</definedName>
    <definedName name="_A17000">#REF!</definedName>
    <definedName name="_A20000" localSheetId="3">#REF!</definedName>
    <definedName name="_A20000">#REF!</definedName>
    <definedName name="_a3" localSheetId="1" hidden="1">{"TAB1",#N/A,TRUE,"GENERAL";"TAB2",#N/A,TRUE,"GENERAL";"TAB3",#N/A,TRUE,"GENERAL";"TAB4",#N/A,TRUE,"GENERAL";"TAB5",#N/A,TRUE,"GENERAL"}</definedName>
    <definedName name="_a3" localSheetId="9" hidden="1">{"TAB1",#N/A,TRUE,"GENERAL";"TAB2",#N/A,TRUE,"GENERAL";"TAB3",#N/A,TRUE,"GENERAL";"TAB4",#N/A,TRUE,"GENERAL";"TAB5",#N/A,TRUE,"GENERAL"}</definedName>
    <definedName name="_a3" localSheetId="16" hidden="1">{"TAB1",#N/A,TRUE,"GENERAL";"TAB2",#N/A,TRUE,"GENERAL";"TAB3",#N/A,TRUE,"GENERAL";"TAB4",#N/A,TRUE,"GENERAL";"TAB5",#N/A,TRUE,"GENERAL"}</definedName>
    <definedName name="_a3" localSheetId="19" hidden="1">{"TAB1",#N/A,TRUE,"GENERAL";"TAB2",#N/A,TRUE,"GENERAL";"TAB3",#N/A,TRUE,"GENERAL";"TAB4",#N/A,TRUE,"GENERAL";"TAB5",#N/A,TRUE,"GENERAL"}</definedName>
    <definedName name="_a3" hidden="1">{"TAB1",#N/A,TRUE,"GENERAL";"TAB2",#N/A,TRUE,"GENERAL";"TAB3",#N/A,TRUE,"GENERAL";"TAB4",#N/A,TRUE,"GENERAL";"TAB5",#N/A,TRUE,"GENERAL"}</definedName>
    <definedName name="_A30000" localSheetId="3">#REF!</definedName>
    <definedName name="_A30000">#REF!</definedName>
    <definedName name="_a4" localSheetId="1" hidden="1">{"via1",#N/A,TRUE,"general";"via2",#N/A,TRUE,"general";"via3",#N/A,TRUE,"general"}</definedName>
    <definedName name="_a4" localSheetId="9" hidden="1">{"via1",#N/A,TRUE,"general";"via2",#N/A,TRUE,"general";"via3",#N/A,TRUE,"general"}</definedName>
    <definedName name="_a4" localSheetId="16" hidden="1">{"via1",#N/A,TRUE,"general";"via2",#N/A,TRUE,"general";"via3",#N/A,TRUE,"general"}</definedName>
    <definedName name="_a4" localSheetId="19" hidden="1">{"via1",#N/A,TRUE,"general";"via2",#N/A,TRUE,"general";"via3",#N/A,TRUE,"general"}</definedName>
    <definedName name="_a4" hidden="1">{"via1",#N/A,TRUE,"general";"via2",#N/A,TRUE,"general";"via3",#N/A,TRUE,"general"}</definedName>
    <definedName name="_a5" localSheetId="1" hidden="1">{"TAB1",#N/A,TRUE,"GENERAL";"TAB2",#N/A,TRUE,"GENERAL";"TAB3",#N/A,TRUE,"GENERAL";"TAB4",#N/A,TRUE,"GENERAL";"TAB5",#N/A,TRUE,"GENERAL"}</definedName>
    <definedName name="_a5" localSheetId="9" hidden="1">{"TAB1",#N/A,TRUE,"GENERAL";"TAB2",#N/A,TRUE,"GENERAL";"TAB3",#N/A,TRUE,"GENERAL";"TAB4",#N/A,TRUE,"GENERAL";"TAB5",#N/A,TRUE,"GENERAL"}</definedName>
    <definedName name="_a5" localSheetId="16" hidden="1">{"TAB1",#N/A,TRUE,"GENERAL";"TAB2",#N/A,TRUE,"GENERAL";"TAB3",#N/A,TRUE,"GENERAL";"TAB4",#N/A,TRUE,"GENERAL";"TAB5",#N/A,TRUE,"GENERAL"}</definedName>
    <definedName name="_a5" localSheetId="19" hidden="1">{"TAB1",#N/A,TRUE,"GENERAL";"TAB2",#N/A,TRUE,"GENERAL";"TAB3",#N/A,TRUE,"GENERAL";"TAB4",#N/A,TRUE,"GENERAL";"TAB5",#N/A,TRUE,"GENERAL"}</definedName>
    <definedName name="_a5" hidden="1">{"TAB1",#N/A,TRUE,"GENERAL";"TAB2",#N/A,TRUE,"GENERAL";"TAB3",#N/A,TRUE,"GENERAL";"TAB4",#N/A,TRUE,"GENERAL";"TAB5",#N/A,TRUE,"GENERAL"}</definedName>
    <definedName name="_a6" localSheetId="1" hidden="1">{"TAB1",#N/A,TRUE,"GENERAL";"TAB2",#N/A,TRUE,"GENERAL";"TAB3",#N/A,TRUE,"GENERAL";"TAB4",#N/A,TRUE,"GENERAL";"TAB5",#N/A,TRUE,"GENERAL"}</definedName>
    <definedName name="_a6" localSheetId="9" hidden="1">{"TAB1",#N/A,TRUE,"GENERAL";"TAB2",#N/A,TRUE,"GENERAL";"TAB3",#N/A,TRUE,"GENERAL";"TAB4",#N/A,TRUE,"GENERAL";"TAB5",#N/A,TRUE,"GENERAL"}</definedName>
    <definedName name="_a6" localSheetId="16" hidden="1">{"TAB1",#N/A,TRUE,"GENERAL";"TAB2",#N/A,TRUE,"GENERAL";"TAB3",#N/A,TRUE,"GENERAL";"TAB4",#N/A,TRUE,"GENERAL";"TAB5",#N/A,TRUE,"GENERAL"}</definedName>
    <definedName name="_a6" localSheetId="19" hidden="1">{"TAB1",#N/A,TRUE,"GENERAL";"TAB2",#N/A,TRUE,"GENERAL";"TAB3",#N/A,TRUE,"GENERAL";"TAB4",#N/A,TRUE,"GENERAL";"TAB5",#N/A,TRUE,"GENERAL"}</definedName>
    <definedName name="_a6" hidden="1">{"TAB1",#N/A,TRUE,"GENERAL";"TAB2",#N/A,TRUE,"GENERAL";"TAB3",#N/A,TRUE,"GENERAL";"TAB4",#N/A,TRUE,"GENERAL";"TAB5",#N/A,TRUE,"GENERAL"}</definedName>
    <definedName name="_AFC1">[2]INV!$A$25:$D$28</definedName>
    <definedName name="_AFC3">[2]INV!$F$25:$I$28</definedName>
    <definedName name="_AFC5">[2]INV!$K$25:$N$28</definedName>
    <definedName name="_AIU1" localSheetId="16">#REF!</definedName>
    <definedName name="_AIU1">#REF!</definedName>
    <definedName name="_aiu2">[4]AIU!$J$105</definedName>
    <definedName name="_APU221" localSheetId="16">#REF!</definedName>
    <definedName name="_APU221">#REF!</definedName>
    <definedName name="_APU465">[8]!absc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localSheetId="1" hidden="1">{"TAB1",#N/A,TRUE,"GENERAL";"TAB2",#N/A,TRUE,"GENERAL";"TAB3",#N/A,TRUE,"GENERAL";"TAB4",#N/A,TRUE,"GENERAL";"TAB5",#N/A,TRUE,"GENERAL"}</definedName>
    <definedName name="_b2" localSheetId="9" hidden="1">{"TAB1",#N/A,TRUE,"GENERAL";"TAB2",#N/A,TRUE,"GENERAL";"TAB3",#N/A,TRUE,"GENERAL";"TAB4",#N/A,TRUE,"GENERAL";"TAB5",#N/A,TRUE,"GENERAL"}</definedName>
    <definedName name="_b2" localSheetId="16" hidden="1">{"TAB1",#N/A,TRUE,"GENERAL";"TAB2",#N/A,TRUE,"GENERAL";"TAB3",#N/A,TRUE,"GENERAL";"TAB4",#N/A,TRUE,"GENERAL";"TAB5",#N/A,TRUE,"GENERAL"}</definedName>
    <definedName name="_b2" localSheetId="19" hidden="1">{"TAB1",#N/A,TRUE,"GENERAL";"TAB2",#N/A,TRUE,"GENERAL";"TAB3",#N/A,TRUE,"GENERAL";"TAB4",#N/A,TRUE,"GENERAL";"TAB5",#N/A,TRUE,"GENERAL"}</definedName>
    <definedName name="_b2" hidden="1">{"TAB1",#N/A,TRUE,"GENERAL";"TAB2",#N/A,TRUE,"GENERAL";"TAB3",#N/A,TRUE,"GENERAL";"TAB4",#N/A,TRUE,"GENERAL";"TAB5",#N/A,TRUE,"GENERAL"}</definedName>
    <definedName name="_b3" localSheetId="1" hidden="1">{"TAB1",#N/A,TRUE,"GENERAL";"TAB2",#N/A,TRUE,"GENERAL";"TAB3",#N/A,TRUE,"GENERAL";"TAB4",#N/A,TRUE,"GENERAL";"TAB5",#N/A,TRUE,"GENERAL"}</definedName>
    <definedName name="_b3" localSheetId="9" hidden="1">{"TAB1",#N/A,TRUE,"GENERAL";"TAB2",#N/A,TRUE,"GENERAL";"TAB3",#N/A,TRUE,"GENERAL";"TAB4",#N/A,TRUE,"GENERAL";"TAB5",#N/A,TRUE,"GENERAL"}</definedName>
    <definedName name="_b3" localSheetId="16" hidden="1">{"TAB1",#N/A,TRUE,"GENERAL";"TAB2",#N/A,TRUE,"GENERAL";"TAB3",#N/A,TRUE,"GENERAL";"TAB4",#N/A,TRUE,"GENERAL";"TAB5",#N/A,TRUE,"GENERAL"}</definedName>
    <definedName name="_b3" localSheetId="19" hidden="1">{"TAB1",#N/A,TRUE,"GENERAL";"TAB2",#N/A,TRUE,"GENERAL";"TAB3",#N/A,TRUE,"GENERAL";"TAB4",#N/A,TRUE,"GENERAL";"TAB5",#N/A,TRUE,"GENERAL"}</definedName>
    <definedName name="_b3" hidden="1">{"TAB1",#N/A,TRUE,"GENERAL";"TAB2",#N/A,TRUE,"GENERAL";"TAB3",#N/A,TRUE,"GENERAL";"TAB4",#N/A,TRUE,"GENERAL";"TAB5",#N/A,TRUE,"GENERAL"}</definedName>
    <definedName name="_b4" localSheetId="1" hidden="1">{"TAB1",#N/A,TRUE,"GENERAL";"TAB2",#N/A,TRUE,"GENERAL";"TAB3",#N/A,TRUE,"GENERAL";"TAB4",#N/A,TRUE,"GENERAL";"TAB5",#N/A,TRUE,"GENERAL"}</definedName>
    <definedName name="_b4" localSheetId="9" hidden="1">{"TAB1",#N/A,TRUE,"GENERAL";"TAB2",#N/A,TRUE,"GENERAL";"TAB3",#N/A,TRUE,"GENERAL";"TAB4",#N/A,TRUE,"GENERAL";"TAB5",#N/A,TRUE,"GENERAL"}</definedName>
    <definedName name="_b4" localSheetId="16" hidden="1">{"TAB1",#N/A,TRUE,"GENERAL";"TAB2",#N/A,TRUE,"GENERAL";"TAB3",#N/A,TRUE,"GENERAL";"TAB4",#N/A,TRUE,"GENERAL";"TAB5",#N/A,TRUE,"GENERAL"}</definedName>
    <definedName name="_b4" localSheetId="19" hidden="1">{"TAB1",#N/A,TRUE,"GENERAL";"TAB2",#N/A,TRUE,"GENERAL";"TAB3",#N/A,TRUE,"GENERAL";"TAB4",#N/A,TRUE,"GENERAL";"TAB5",#N/A,TRUE,"GENERAL"}</definedName>
    <definedName name="_b4" hidden="1">{"TAB1",#N/A,TRUE,"GENERAL";"TAB2",#N/A,TRUE,"GENERAL";"TAB3",#N/A,TRUE,"GENERAL";"TAB4",#N/A,TRUE,"GENERAL";"TAB5",#N/A,TRUE,"GENERAL"}</definedName>
    <definedName name="_b5" localSheetId="1" hidden="1">{"TAB1",#N/A,TRUE,"GENERAL";"TAB2",#N/A,TRUE,"GENERAL";"TAB3",#N/A,TRUE,"GENERAL";"TAB4",#N/A,TRUE,"GENERAL";"TAB5",#N/A,TRUE,"GENERAL"}</definedName>
    <definedName name="_b5" localSheetId="9" hidden="1">{"TAB1",#N/A,TRUE,"GENERAL";"TAB2",#N/A,TRUE,"GENERAL";"TAB3",#N/A,TRUE,"GENERAL";"TAB4",#N/A,TRUE,"GENERAL";"TAB5",#N/A,TRUE,"GENERAL"}</definedName>
    <definedName name="_b5" localSheetId="16" hidden="1">{"TAB1",#N/A,TRUE,"GENERAL";"TAB2",#N/A,TRUE,"GENERAL";"TAB3",#N/A,TRUE,"GENERAL";"TAB4",#N/A,TRUE,"GENERAL";"TAB5",#N/A,TRUE,"GENERAL"}</definedName>
    <definedName name="_b5" localSheetId="19" hidden="1">{"TAB1",#N/A,TRUE,"GENERAL";"TAB2",#N/A,TRUE,"GENERAL";"TAB3",#N/A,TRUE,"GENERAL";"TAB4",#N/A,TRUE,"GENERAL";"TAB5",#N/A,TRUE,"GENERAL"}</definedName>
    <definedName name="_b5" hidden="1">{"TAB1",#N/A,TRUE,"GENERAL";"TAB2",#N/A,TRUE,"GENERAL";"TAB3",#N/A,TRUE,"GENERAL";"TAB4",#N/A,TRUE,"GENERAL";"TAB5",#N/A,TRUE,"GENERAL"}</definedName>
    <definedName name="_b6" localSheetId="1" hidden="1">{"TAB1",#N/A,TRUE,"GENERAL";"TAB2",#N/A,TRUE,"GENERAL";"TAB3",#N/A,TRUE,"GENERAL";"TAB4",#N/A,TRUE,"GENERAL";"TAB5",#N/A,TRUE,"GENERAL"}</definedName>
    <definedName name="_b6" localSheetId="9" hidden="1">{"TAB1",#N/A,TRUE,"GENERAL";"TAB2",#N/A,TRUE,"GENERAL";"TAB3",#N/A,TRUE,"GENERAL";"TAB4",#N/A,TRUE,"GENERAL";"TAB5",#N/A,TRUE,"GENERAL"}</definedName>
    <definedName name="_b6" localSheetId="16" hidden="1">{"TAB1",#N/A,TRUE,"GENERAL";"TAB2",#N/A,TRUE,"GENERAL";"TAB3",#N/A,TRUE,"GENERAL";"TAB4",#N/A,TRUE,"GENERAL";"TAB5",#N/A,TRUE,"GENERAL"}</definedName>
    <definedName name="_b6" localSheetId="19" hidden="1">{"TAB1",#N/A,TRUE,"GENERAL";"TAB2",#N/A,TRUE,"GENERAL";"TAB3",#N/A,TRUE,"GENERAL";"TAB4",#N/A,TRUE,"GENERAL";"TAB5",#N/A,TRUE,"GENERAL"}</definedName>
    <definedName name="_b6" hidden="1">{"TAB1",#N/A,TRUE,"GENERAL";"TAB2",#N/A,TRUE,"GENERAL";"TAB3",#N/A,TRUE,"GENERAL";"TAB4",#N/A,TRUE,"GENERAL";"TAB5",#N/A,TRUE,"GENERAL"}</definedName>
    <definedName name="_b7" localSheetId="1" hidden="1">{"via1",#N/A,TRUE,"general";"via2",#N/A,TRUE,"general";"via3",#N/A,TRUE,"general"}</definedName>
    <definedName name="_b7" localSheetId="9" hidden="1">{"via1",#N/A,TRUE,"general";"via2",#N/A,TRUE,"general";"via3",#N/A,TRUE,"general"}</definedName>
    <definedName name="_b7" localSheetId="16" hidden="1">{"via1",#N/A,TRUE,"general";"via2",#N/A,TRUE,"general";"via3",#N/A,TRUE,"general"}</definedName>
    <definedName name="_b7" localSheetId="19" hidden="1">{"via1",#N/A,TRUE,"general";"via2",#N/A,TRUE,"general";"via3",#N/A,TRUE,"general"}</definedName>
    <definedName name="_b7" hidden="1">{"via1",#N/A,TRUE,"general";"via2",#N/A,TRUE,"general";"via3",#N/A,TRUE,"general"}</definedName>
    <definedName name="_b8" localSheetId="1" hidden="1">{"via1",#N/A,TRUE,"general";"via2",#N/A,TRUE,"general";"via3",#N/A,TRUE,"general"}</definedName>
    <definedName name="_b8" localSheetId="9" hidden="1">{"via1",#N/A,TRUE,"general";"via2",#N/A,TRUE,"general";"via3",#N/A,TRUE,"general"}</definedName>
    <definedName name="_b8" localSheetId="16" hidden="1">{"via1",#N/A,TRUE,"general";"via2",#N/A,TRUE,"general";"via3",#N/A,TRUE,"general"}</definedName>
    <definedName name="_b8" localSheetId="19" hidden="1">{"via1",#N/A,TRUE,"general";"via2",#N/A,TRUE,"general";"via3",#N/A,TRUE,"general"}</definedName>
    <definedName name="_b8" hidden="1">{"via1",#N/A,TRUE,"general";"via2",#N/A,TRUE,"general";"via3",#N/A,TRUE,"general"}</definedName>
    <definedName name="_bb9" localSheetId="1" hidden="1">{"TAB1",#N/A,TRUE,"GENERAL";"TAB2",#N/A,TRUE,"GENERAL";"TAB3",#N/A,TRUE,"GENERAL";"TAB4",#N/A,TRUE,"GENERAL";"TAB5",#N/A,TRUE,"GENERAL"}</definedName>
    <definedName name="_bb9" localSheetId="9" hidden="1">{"TAB1",#N/A,TRUE,"GENERAL";"TAB2",#N/A,TRUE,"GENERAL";"TAB3",#N/A,TRUE,"GENERAL";"TAB4",#N/A,TRUE,"GENERAL";"TAB5",#N/A,TRUE,"GENERAL"}</definedName>
    <definedName name="_bb9" localSheetId="16" hidden="1">{"TAB1",#N/A,TRUE,"GENERAL";"TAB2",#N/A,TRUE,"GENERAL";"TAB3",#N/A,TRUE,"GENERAL";"TAB4",#N/A,TRUE,"GENERAL";"TAB5",#N/A,TRUE,"GENERAL"}</definedName>
    <definedName name="_bb9" localSheetId="19" hidden="1">{"TAB1",#N/A,TRUE,"GENERAL";"TAB2",#N/A,TRUE,"GENERAL";"TAB3",#N/A,TRUE,"GENERAL";"TAB4",#N/A,TRUE,"GENERAL";"TAB5",#N/A,TRUE,"GENERAL"}</definedName>
    <definedName name="_bb9" hidden="1">{"TAB1",#N/A,TRUE,"GENERAL";"TAB2",#N/A,TRUE,"GENERAL";"TAB3",#N/A,TRUE,"GENERAL";"TAB4",#N/A,TRUE,"GENERAL";"TAB5",#N/A,TRUE,"GENERAL"}</definedName>
    <definedName name="_bgb5" localSheetId="1" hidden="1">{"TAB1",#N/A,TRUE,"GENERAL";"TAB2",#N/A,TRUE,"GENERAL";"TAB3",#N/A,TRUE,"GENERAL";"TAB4",#N/A,TRUE,"GENERAL";"TAB5",#N/A,TRUE,"GENERAL"}</definedName>
    <definedName name="_bgb5" localSheetId="9" hidden="1">{"TAB1",#N/A,TRUE,"GENERAL";"TAB2",#N/A,TRUE,"GENERAL";"TAB3",#N/A,TRUE,"GENERAL";"TAB4",#N/A,TRUE,"GENERAL";"TAB5",#N/A,TRUE,"GENERAL"}</definedName>
    <definedName name="_bgb5" localSheetId="16" hidden="1">{"TAB1",#N/A,TRUE,"GENERAL";"TAB2",#N/A,TRUE,"GENERAL";"TAB3",#N/A,TRUE,"GENERAL";"TAB4",#N/A,TRUE,"GENERAL";"TAB5",#N/A,TRUE,"GENERAL"}</definedName>
    <definedName name="_bgb5" localSheetId="19" hidden="1">{"TAB1",#N/A,TRUE,"GENERAL";"TAB2",#N/A,TRUE,"GENERAL";"TAB3",#N/A,TRUE,"GENERAL";"TAB4",#N/A,TRUE,"GENERAL";"TAB5",#N/A,TRUE,"GENERAL"}</definedName>
    <definedName name="_bgb5" hidden="1">{"TAB1",#N/A,TRUE,"GENERAL";"TAB2",#N/A,TRUE,"GENERAL";"TAB3",#N/A,TRUE,"GENERAL";"TAB4",#N/A,TRUE,"GENERAL";"TAB5",#N/A,TRUE,"GENERAL"}</definedName>
    <definedName name="_BGC1">[2]INV!$A$5:$D$8</definedName>
    <definedName name="_BGC3">[2]INV!$F$5:$I$8</definedName>
    <definedName name="_BGC5">[2]INV!$K$5:$N$8</definedName>
    <definedName name="_BLO20">[9]BASE!$D$62</definedName>
    <definedName name="_CAC1">[2]INV!$A$19:$D$22</definedName>
    <definedName name="_CAC3">[2]INV!$F$19:$I$22</definedName>
    <definedName name="_CAC5">[2]INV!$K$19:$N$22</definedName>
    <definedName name="_Cod1" localSheetId="16">#REF!</definedName>
    <definedName name="_Cod1" localSheetId="3">#REF!</definedName>
    <definedName name="_Cod1">#REF!</definedName>
    <definedName name="_dasd" hidden="1">'[10]46W9'!#REF!</definedName>
    <definedName name="_Dist_Bin" localSheetId="1" hidden="1">[11]MPC3I4!$A$2040:$DD$3161</definedName>
    <definedName name="_Dist_Bin" localSheetId="16" hidden="1">[11]MPC3I4!$A$2040:$DD$3161</definedName>
    <definedName name="_Dist_Bin" localSheetId="3" hidden="1">[12]MPC3I4!$A$2040:$DD$3161</definedName>
    <definedName name="_Dist_Bin" hidden="1">[11]MPC3I4!$A$2040:$DD$3161</definedName>
    <definedName name="_Dist_Values" localSheetId="1" hidden="1">[11]MPC3I4!$2552:$3906</definedName>
    <definedName name="_Dist_Values" localSheetId="16" hidden="1">[11]MPC3I4!$2552:$3906</definedName>
    <definedName name="_Dist_Values" localSheetId="3" hidden="1">[12]MPC3I4!$2552:$3906</definedName>
    <definedName name="_Dist_Values" hidden="1">[11]MPC3I4!$2552:$3906</definedName>
    <definedName name="_EST1" localSheetId="16">#REF!</definedName>
    <definedName name="_EST1" localSheetId="19">'INSUMOS '!#REF!</definedName>
    <definedName name="_EST1">#REF!</definedName>
    <definedName name="_EST10" localSheetId="16">#REF!</definedName>
    <definedName name="_EST10" localSheetId="19">'INSUMOS '!#REF!</definedName>
    <definedName name="_EST10">#REF!</definedName>
    <definedName name="_EST11" localSheetId="16">#REF!</definedName>
    <definedName name="_EST11" localSheetId="19">'INSUMOS '!#REF!</definedName>
    <definedName name="_EST11">#REF!</definedName>
    <definedName name="_EST12" localSheetId="16">#REF!</definedName>
    <definedName name="_EST12" localSheetId="19">'INSUMOS '!#REF!</definedName>
    <definedName name="_EST12">#REF!</definedName>
    <definedName name="_EST13" localSheetId="16">#REF!</definedName>
    <definedName name="_EST13" localSheetId="19">'INSUMOS '!#REF!</definedName>
    <definedName name="_EST13">#REF!</definedName>
    <definedName name="_EST14" localSheetId="16">#REF!</definedName>
    <definedName name="_EST14" localSheetId="19">'INSUMOS '!#REF!</definedName>
    <definedName name="_EST14">#REF!</definedName>
    <definedName name="_EST15" localSheetId="16">#REF!</definedName>
    <definedName name="_EST15" localSheetId="19">'INSUMOS '!#REF!</definedName>
    <definedName name="_EST15">#REF!</definedName>
    <definedName name="_EST16" localSheetId="16">#REF!</definedName>
    <definedName name="_EST16" localSheetId="19">'INSUMOS '!#REF!</definedName>
    <definedName name="_EST16">#REF!</definedName>
    <definedName name="_EST17" localSheetId="16">#REF!</definedName>
    <definedName name="_EST17" localSheetId="19">'INSUMOS '!#REF!</definedName>
    <definedName name="_EST17">#REF!</definedName>
    <definedName name="_EST18" localSheetId="16">#REF!</definedName>
    <definedName name="_EST18" localSheetId="19">'INSUMOS '!#REF!</definedName>
    <definedName name="_EST18">#REF!</definedName>
    <definedName name="_EST19" localSheetId="16">#REF!</definedName>
    <definedName name="_EST19" localSheetId="19">'INSUMOS '!#REF!</definedName>
    <definedName name="_EST19">#REF!</definedName>
    <definedName name="_EST2" localSheetId="16">#REF!</definedName>
    <definedName name="_EST2" localSheetId="19">'INSUMOS '!#REF!</definedName>
    <definedName name="_EST2">#REF!</definedName>
    <definedName name="_EST23" localSheetId="16">#REF!</definedName>
    <definedName name="_EST23" localSheetId="19">'INSUMOS '!#REF!</definedName>
    <definedName name="_EST23">#REF!</definedName>
    <definedName name="_EST3" localSheetId="16">#REF!</definedName>
    <definedName name="_EST3" localSheetId="19">'INSUMOS '!#REF!</definedName>
    <definedName name="_EST3">#REF!</definedName>
    <definedName name="_EST4" localSheetId="16">#REF!</definedName>
    <definedName name="_EST4" localSheetId="19">'INSUMOS '!#REF!</definedName>
    <definedName name="_EST4">#REF!</definedName>
    <definedName name="_EST5" localSheetId="16">#REF!</definedName>
    <definedName name="_EST5" localSheetId="19">'INSUMOS '!#REF!</definedName>
    <definedName name="_EST5">#REF!</definedName>
    <definedName name="_EST6" localSheetId="16">#REF!</definedName>
    <definedName name="_EST6" localSheetId="19">'INSUMOS '!#REF!</definedName>
    <definedName name="_EST6">#REF!</definedName>
    <definedName name="_EST7" localSheetId="16">#REF!</definedName>
    <definedName name="_EST7" localSheetId="19">'INSUMOS '!#REF!</definedName>
    <definedName name="_EST7">#REF!</definedName>
    <definedName name="_EST8" localSheetId="16">#REF!</definedName>
    <definedName name="_EST8" localSheetId="19">'INSUMOS '!#REF!</definedName>
    <definedName name="_EST8">#REF!</definedName>
    <definedName name="_EST9" localSheetId="16">#REF!</definedName>
    <definedName name="_EST9" localSheetId="19">'INSUMOS '!#REF!</definedName>
    <definedName name="_EST9">#REF!</definedName>
    <definedName name="_EXC1" localSheetId="16">#REF!</definedName>
    <definedName name="_EXC1" localSheetId="19">'INSUMOS '!#REF!</definedName>
    <definedName name="_EXC1">#REF!</definedName>
    <definedName name="_EXC10" localSheetId="16">#REF!</definedName>
    <definedName name="_EXC10" localSheetId="19">'INSUMOS '!#REF!</definedName>
    <definedName name="_EXC10">#REF!</definedName>
    <definedName name="_EXC11" localSheetId="16">#REF!</definedName>
    <definedName name="_EXC11" localSheetId="19">'INSUMOS '!#REF!</definedName>
    <definedName name="_EXC11">#REF!</definedName>
    <definedName name="_EXC12" localSheetId="16">#REF!</definedName>
    <definedName name="_EXC12" localSheetId="19">'INSUMOS '!#REF!</definedName>
    <definedName name="_EXC12">#REF!</definedName>
    <definedName name="_EXC2" localSheetId="16">#REF!</definedName>
    <definedName name="_EXC2" localSheetId="19">'INSUMOS '!#REF!</definedName>
    <definedName name="_EXC2">#REF!</definedName>
    <definedName name="_EXC3" localSheetId="16">#REF!</definedName>
    <definedName name="_EXC3" localSheetId="19">'INSUMOS '!#REF!</definedName>
    <definedName name="_EXC3">#REF!</definedName>
    <definedName name="_EXC4" localSheetId="16">#REF!</definedName>
    <definedName name="_EXC4" localSheetId="19">'INSUMOS '!#REF!</definedName>
    <definedName name="_EXC4">#REF!</definedName>
    <definedName name="_EXC5" localSheetId="16">#REF!</definedName>
    <definedName name="_EXC5" localSheetId="19">'INSUMOS '!#REF!</definedName>
    <definedName name="_EXC5">#REF!</definedName>
    <definedName name="_EXC6" localSheetId="16">#REF!</definedName>
    <definedName name="_EXC6" localSheetId="19">'INSUMOS '!#REF!</definedName>
    <definedName name="_EXC6">#REF!</definedName>
    <definedName name="_EXC7" localSheetId="16">#REF!</definedName>
    <definedName name="_EXC7" localSheetId="19">'INSUMOS '!#REF!</definedName>
    <definedName name="_EXC7">#REF!</definedName>
    <definedName name="_EXC8" localSheetId="16">#REF!</definedName>
    <definedName name="_EXC8" localSheetId="19">'INSUMOS '!#REF!</definedName>
    <definedName name="_EXC8">#REF!</definedName>
    <definedName name="_EXC9" localSheetId="16">#REF!</definedName>
    <definedName name="_EXC9" localSheetId="19">'INSUMOS '!#REF!</definedName>
    <definedName name="_EXC9">#REF!</definedName>
    <definedName name="_f">[13]D_AWG!$E$22</definedName>
    <definedName name="_Fill" localSheetId="16" hidden="1">#REF!</definedName>
    <definedName name="_Fill" localSheetId="3" hidden="1">#REF!</definedName>
    <definedName name="_Fill" hidden="1">#REF!</definedName>
    <definedName name="_xlnm._FilterDatabase" localSheetId="9" hidden="1">'[10]46W9'!#REF!</definedName>
    <definedName name="_xlnm._FilterDatabase" localSheetId="3" hidden="1">[14]Presupuesto_Via_distribuidora!$A$9:$H$344</definedName>
    <definedName name="_xlnm._FilterDatabase" localSheetId="19" hidden="1">'INSUMOS '!$B$2:$G$347</definedName>
    <definedName name="_xlnm._FilterDatabase" localSheetId="21" hidden="1">'MAQUINARIA Y EQUIPOS'!$B$3:$H$40</definedName>
    <definedName name="_xlnm._FilterDatabase" localSheetId="0" hidden="1">Presupuesto!$A$8:$F$658</definedName>
    <definedName name="_xlnm._FilterDatabase" hidden="1">'[10]46W9'!#REF!</definedName>
    <definedName name="_FOR1" localSheetId="9">#REF!</definedName>
    <definedName name="_FOR1" localSheetId="16">#REF!</definedName>
    <definedName name="_FOR1">#REF!</definedName>
    <definedName name="_FS01" localSheetId="1">[1]!ERR</definedName>
    <definedName name="_FS01" localSheetId="16">[1]!ERR</definedName>
    <definedName name="_FS01" localSheetId="19">[1]!ERR</definedName>
    <definedName name="_FS01">[1]!ERR</definedName>
    <definedName name="_g2" localSheetId="1" hidden="1">{"TAB1",#N/A,TRUE,"GENERAL";"TAB2",#N/A,TRUE,"GENERAL";"TAB3",#N/A,TRUE,"GENERAL";"TAB4",#N/A,TRUE,"GENERAL";"TAB5",#N/A,TRUE,"GENERAL"}</definedName>
    <definedName name="_g2" localSheetId="9" hidden="1">{"TAB1",#N/A,TRUE,"GENERAL";"TAB2",#N/A,TRUE,"GENERAL";"TAB3",#N/A,TRUE,"GENERAL";"TAB4",#N/A,TRUE,"GENERAL";"TAB5",#N/A,TRUE,"GENERAL"}</definedName>
    <definedName name="_g2" localSheetId="16" hidden="1">{"TAB1",#N/A,TRUE,"GENERAL";"TAB2",#N/A,TRUE,"GENERAL";"TAB3",#N/A,TRUE,"GENERAL";"TAB4",#N/A,TRUE,"GENERAL";"TAB5",#N/A,TRUE,"GENERAL"}</definedName>
    <definedName name="_g2" localSheetId="19" hidden="1">{"TAB1",#N/A,TRUE,"GENERAL";"TAB2",#N/A,TRUE,"GENERAL";"TAB3",#N/A,TRUE,"GENERAL";"TAB4",#N/A,TRUE,"GENERAL";"TAB5",#N/A,TRUE,"GENERAL"}</definedName>
    <definedName name="_g2" hidden="1">{"TAB1",#N/A,TRUE,"GENERAL";"TAB2",#N/A,TRUE,"GENERAL";"TAB3",#N/A,TRUE,"GENERAL";"TAB4",#N/A,TRUE,"GENERAL";"TAB5",#N/A,TRUE,"GENERAL"}</definedName>
    <definedName name="_g3" localSheetId="1" hidden="1">{"via1",#N/A,TRUE,"general";"via2",#N/A,TRUE,"general";"via3",#N/A,TRUE,"general"}</definedName>
    <definedName name="_g3" localSheetId="9" hidden="1">{"via1",#N/A,TRUE,"general";"via2",#N/A,TRUE,"general";"via3",#N/A,TRUE,"general"}</definedName>
    <definedName name="_g3" localSheetId="16" hidden="1">{"via1",#N/A,TRUE,"general";"via2",#N/A,TRUE,"general";"via3",#N/A,TRUE,"general"}</definedName>
    <definedName name="_g3" localSheetId="19" hidden="1">{"via1",#N/A,TRUE,"general";"via2",#N/A,TRUE,"general";"via3",#N/A,TRUE,"general"}</definedName>
    <definedName name="_g3" hidden="1">{"via1",#N/A,TRUE,"general";"via2",#N/A,TRUE,"general";"via3",#N/A,TRUE,"general"}</definedName>
    <definedName name="_g4" localSheetId="1" hidden="1">{"via1",#N/A,TRUE,"general";"via2",#N/A,TRUE,"general";"via3",#N/A,TRUE,"general"}</definedName>
    <definedName name="_g4" localSheetId="9" hidden="1">{"via1",#N/A,TRUE,"general";"via2",#N/A,TRUE,"general";"via3",#N/A,TRUE,"general"}</definedName>
    <definedName name="_g4" localSheetId="16" hidden="1">{"via1",#N/A,TRUE,"general";"via2",#N/A,TRUE,"general";"via3",#N/A,TRUE,"general"}</definedName>
    <definedName name="_g4" localSheetId="19" hidden="1">{"via1",#N/A,TRUE,"general";"via2",#N/A,TRUE,"general";"via3",#N/A,TRUE,"general"}</definedName>
    <definedName name="_g4" hidden="1">{"via1",#N/A,TRUE,"general";"via2",#N/A,TRUE,"general";"via3",#N/A,TRUE,"general"}</definedName>
    <definedName name="_g5" localSheetId="1" hidden="1">{"via1",#N/A,TRUE,"general";"via2",#N/A,TRUE,"general";"via3",#N/A,TRUE,"general"}</definedName>
    <definedName name="_g5" localSheetId="9" hidden="1">{"via1",#N/A,TRUE,"general";"via2",#N/A,TRUE,"general";"via3",#N/A,TRUE,"general"}</definedName>
    <definedName name="_g5" localSheetId="16" hidden="1">{"via1",#N/A,TRUE,"general";"via2",#N/A,TRUE,"general";"via3",#N/A,TRUE,"general"}</definedName>
    <definedName name="_g5" localSheetId="19" hidden="1">{"via1",#N/A,TRUE,"general";"via2",#N/A,TRUE,"general";"via3",#N/A,TRUE,"general"}</definedName>
    <definedName name="_g5" hidden="1">{"via1",#N/A,TRUE,"general";"via2",#N/A,TRUE,"general";"via3",#N/A,TRUE,"general"}</definedName>
    <definedName name="_g6" localSheetId="1" hidden="1">{"via1",#N/A,TRUE,"general";"via2",#N/A,TRUE,"general";"via3",#N/A,TRUE,"general"}</definedName>
    <definedName name="_g6" localSheetId="9" hidden="1">{"via1",#N/A,TRUE,"general";"via2",#N/A,TRUE,"general";"via3",#N/A,TRUE,"general"}</definedName>
    <definedName name="_g6" localSheetId="16" hidden="1">{"via1",#N/A,TRUE,"general";"via2",#N/A,TRUE,"general";"via3",#N/A,TRUE,"general"}</definedName>
    <definedName name="_g6" localSheetId="19" hidden="1">{"via1",#N/A,TRUE,"general";"via2",#N/A,TRUE,"general";"via3",#N/A,TRUE,"general"}</definedName>
    <definedName name="_g6" hidden="1">{"via1",#N/A,TRUE,"general";"via2",#N/A,TRUE,"general";"via3",#N/A,TRUE,"general"}</definedName>
    <definedName name="_g7" localSheetId="1" hidden="1">{"TAB1",#N/A,TRUE,"GENERAL";"TAB2",#N/A,TRUE,"GENERAL";"TAB3",#N/A,TRUE,"GENERAL";"TAB4",#N/A,TRUE,"GENERAL";"TAB5",#N/A,TRUE,"GENERAL"}</definedName>
    <definedName name="_g7" localSheetId="9" hidden="1">{"TAB1",#N/A,TRUE,"GENERAL";"TAB2",#N/A,TRUE,"GENERAL";"TAB3",#N/A,TRUE,"GENERAL";"TAB4",#N/A,TRUE,"GENERAL";"TAB5",#N/A,TRUE,"GENERAL"}</definedName>
    <definedName name="_g7" localSheetId="16" hidden="1">{"TAB1",#N/A,TRUE,"GENERAL";"TAB2",#N/A,TRUE,"GENERAL";"TAB3",#N/A,TRUE,"GENERAL";"TAB4",#N/A,TRUE,"GENERAL";"TAB5",#N/A,TRUE,"GENERAL"}</definedName>
    <definedName name="_g7" localSheetId="19" hidden="1">{"TAB1",#N/A,TRUE,"GENERAL";"TAB2",#N/A,TRUE,"GENERAL";"TAB3",#N/A,TRUE,"GENERAL";"TAB4",#N/A,TRUE,"GENERAL";"TAB5",#N/A,TRUE,"GENERAL"}</definedName>
    <definedName name="_g7" hidden="1">{"TAB1",#N/A,TRUE,"GENERAL";"TAB2",#N/A,TRUE,"GENERAL";"TAB3",#N/A,TRUE,"GENERAL";"TAB4",#N/A,TRUE,"GENERAL";"TAB5",#N/A,TRUE,"GENERAL"}</definedName>
    <definedName name="_GR1" localSheetId="1" hidden="1">{"TAB1",#N/A,TRUE,"GENERAL";"TAB2",#N/A,TRUE,"GENERAL";"TAB3",#N/A,TRUE,"GENERAL";"TAB4",#N/A,TRUE,"GENERAL";"TAB5",#N/A,TRUE,"GENERAL"}</definedName>
    <definedName name="_GR1" localSheetId="9" hidden="1">{"TAB1",#N/A,TRUE,"GENERAL";"TAB2",#N/A,TRUE,"GENERAL";"TAB3",#N/A,TRUE,"GENERAL";"TAB4",#N/A,TRUE,"GENERAL";"TAB5",#N/A,TRUE,"GENERAL"}</definedName>
    <definedName name="_GR1" localSheetId="16" hidden="1">{"TAB1",#N/A,TRUE,"GENERAL";"TAB2",#N/A,TRUE,"GENERAL";"TAB3",#N/A,TRUE,"GENERAL";"TAB4",#N/A,TRUE,"GENERAL";"TAB5",#N/A,TRUE,"GENERAL"}</definedName>
    <definedName name="_GR1" localSheetId="19" hidden="1">{"TAB1",#N/A,TRUE,"GENERAL";"TAB2",#N/A,TRUE,"GENERAL";"TAB3",#N/A,TRUE,"GENERAL";"TAB4",#N/A,TRUE,"GENERAL";"TAB5",#N/A,TRUE,"GENERAL"}</definedName>
    <definedName name="_GR1" hidden="1">{"TAB1",#N/A,TRUE,"GENERAL";"TAB2",#N/A,TRUE,"GENERAL";"TAB3",#N/A,TRUE,"GENERAL";"TAB4",#N/A,TRUE,"GENERAL";"TAB5",#N/A,TRUE,"GENERAL"}</definedName>
    <definedName name="_gtr4" localSheetId="1" hidden="1">{"via1",#N/A,TRUE,"general";"via2",#N/A,TRUE,"general";"via3",#N/A,TRUE,"general"}</definedName>
    <definedName name="_gtr4" localSheetId="9" hidden="1">{"via1",#N/A,TRUE,"general";"via2",#N/A,TRUE,"general";"via3",#N/A,TRUE,"general"}</definedName>
    <definedName name="_gtr4" localSheetId="16" hidden="1">{"via1",#N/A,TRUE,"general";"via2",#N/A,TRUE,"general";"via3",#N/A,TRUE,"general"}</definedName>
    <definedName name="_gtr4" localSheetId="19" hidden="1">{"via1",#N/A,TRUE,"general";"via2",#N/A,TRUE,"general";"via3",#N/A,TRUE,"general"}</definedName>
    <definedName name="_gtr4" hidden="1">{"via1",#N/A,TRUE,"general";"via2",#N/A,TRUE,"general";"via3",#N/A,TRUE,"general"}</definedName>
    <definedName name="_h2" localSheetId="1" hidden="1">{"via1",#N/A,TRUE,"general";"via2",#N/A,TRUE,"general";"via3",#N/A,TRUE,"general"}</definedName>
    <definedName name="_h2" localSheetId="9" hidden="1">{"via1",#N/A,TRUE,"general";"via2",#N/A,TRUE,"general";"via3",#N/A,TRUE,"general"}</definedName>
    <definedName name="_h2" localSheetId="16" hidden="1">{"via1",#N/A,TRUE,"general";"via2",#N/A,TRUE,"general";"via3",#N/A,TRUE,"general"}</definedName>
    <definedName name="_h2" localSheetId="19" hidden="1">{"via1",#N/A,TRUE,"general";"via2",#N/A,TRUE,"general";"via3",#N/A,TRUE,"general"}</definedName>
    <definedName name="_h2" hidden="1">{"via1",#N/A,TRUE,"general";"via2",#N/A,TRUE,"general";"via3",#N/A,TRUE,"general"}</definedName>
    <definedName name="_h3" localSheetId="1" hidden="1">{"via1",#N/A,TRUE,"general";"via2",#N/A,TRUE,"general";"via3",#N/A,TRUE,"general"}</definedName>
    <definedName name="_h3" localSheetId="9" hidden="1">{"via1",#N/A,TRUE,"general";"via2",#N/A,TRUE,"general";"via3",#N/A,TRUE,"general"}</definedName>
    <definedName name="_h3" localSheetId="16" hidden="1">{"via1",#N/A,TRUE,"general";"via2",#N/A,TRUE,"general";"via3",#N/A,TRUE,"general"}</definedName>
    <definedName name="_h3" localSheetId="19" hidden="1">{"via1",#N/A,TRUE,"general";"via2",#N/A,TRUE,"general";"via3",#N/A,TRUE,"general"}</definedName>
    <definedName name="_h3" hidden="1">{"via1",#N/A,TRUE,"general";"via2",#N/A,TRUE,"general";"via3",#N/A,TRUE,"general"}</definedName>
    <definedName name="_h4" localSheetId="1" hidden="1">{"TAB1",#N/A,TRUE,"GENERAL";"TAB2",#N/A,TRUE,"GENERAL";"TAB3",#N/A,TRUE,"GENERAL";"TAB4",#N/A,TRUE,"GENERAL";"TAB5",#N/A,TRUE,"GENERAL"}</definedName>
    <definedName name="_h4" localSheetId="9" hidden="1">{"TAB1",#N/A,TRUE,"GENERAL";"TAB2",#N/A,TRUE,"GENERAL";"TAB3",#N/A,TRUE,"GENERAL";"TAB4",#N/A,TRUE,"GENERAL";"TAB5",#N/A,TRUE,"GENERAL"}</definedName>
    <definedName name="_h4" localSheetId="16" hidden="1">{"TAB1",#N/A,TRUE,"GENERAL";"TAB2",#N/A,TRUE,"GENERAL";"TAB3",#N/A,TRUE,"GENERAL";"TAB4",#N/A,TRUE,"GENERAL";"TAB5",#N/A,TRUE,"GENERAL"}</definedName>
    <definedName name="_h4" localSheetId="19" hidden="1">{"TAB1",#N/A,TRUE,"GENERAL";"TAB2",#N/A,TRUE,"GENERAL";"TAB3",#N/A,TRUE,"GENERAL";"TAB4",#N/A,TRUE,"GENERAL";"TAB5",#N/A,TRUE,"GENERAL"}</definedName>
    <definedName name="_h4" hidden="1">{"TAB1",#N/A,TRUE,"GENERAL";"TAB2",#N/A,TRUE,"GENERAL";"TAB3",#N/A,TRUE,"GENERAL";"TAB4",#N/A,TRUE,"GENERAL";"TAB5",#N/A,TRUE,"GENERAL"}</definedName>
    <definedName name="_h5" localSheetId="1" hidden="1">{"TAB1",#N/A,TRUE,"GENERAL";"TAB2",#N/A,TRUE,"GENERAL";"TAB3",#N/A,TRUE,"GENERAL";"TAB4",#N/A,TRUE,"GENERAL";"TAB5",#N/A,TRUE,"GENERAL"}</definedName>
    <definedName name="_h5" localSheetId="9" hidden="1">{"TAB1",#N/A,TRUE,"GENERAL";"TAB2",#N/A,TRUE,"GENERAL";"TAB3",#N/A,TRUE,"GENERAL";"TAB4",#N/A,TRUE,"GENERAL";"TAB5",#N/A,TRUE,"GENERAL"}</definedName>
    <definedName name="_h5" localSheetId="16" hidden="1">{"TAB1",#N/A,TRUE,"GENERAL";"TAB2",#N/A,TRUE,"GENERAL";"TAB3",#N/A,TRUE,"GENERAL";"TAB4",#N/A,TRUE,"GENERAL";"TAB5",#N/A,TRUE,"GENERAL"}</definedName>
    <definedName name="_h5" localSheetId="19" hidden="1">{"TAB1",#N/A,TRUE,"GENERAL";"TAB2",#N/A,TRUE,"GENERAL";"TAB3",#N/A,TRUE,"GENERAL";"TAB4",#N/A,TRUE,"GENERAL";"TAB5",#N/A,TRUE,"GENERAL"}</definedName>
    <definedName name="_h5" hidden="1">{"TAB1",#N/A,TRUE,"GENERAL";"TAB2",#N/A,TRUE,"GENERAL";"TAB3",#N/A,TRUE,"GENERAL";"TAB4",#N/A,TRUE,"GENERAL";"TAB5",#N/A,TRUE,"GENERAL"}</definedName>
    <definedName name="_h6" localSheetId="1" hidden="1">{"via1",#N/A,TRUE,"general";"via2",#N/A,TRUE,"general";"via3",#N/A,TRUE,"general"}</definedName>
    <definedName name="_h6" localSheetId="9" hidden="1">{"via1",#N/A,TRUE,"general";"via2",#N/A,TRUE,"general";"via3",#N/A,TRUE,"general"}</definedName>
    <definedName name="_h6" localSheetId="16" hidden="1">{"via1",#N/A,TRUE,"general";"via2",#N/A,TRUE,"general";"via3",#N/A,TRUE,"general"}</definedName>
    <definedName name="_h6" localSheetId="19" hidden="1">{"via1",#N/A,TRUE,"general";"via2",#N/A,TRUE,"general";"via3",#N/A,TRUE,"general"}</definedName>
    <definedName name="_h6" hidden="1">{"via1",#N/A,TRUE,"general";"via2",#N/A,TRUE,"general";"via3",#N/A,TRUE,"general"}</definedName>
    <definedName name="_h7" localSheetId="1" hidden="1">{"TAB1",#N/A,TRUE,"GENERAL";"TAB2",#N/A,TRUE,"GENERAL";"TAB3",#N/A,TRUE,"GENERAL";"TAB4",#N/A,TRUE,"GENERAL";"TAB5",#N/A,TRUE,"GENERAL"}</definedName>
    <definedName name="_h7" localSheetId="9" hidden="1">{"TAB1",#N/A,TRUE,"GENERAL";"TAB2",#N/A,TRUE,"GENERAL";"TAB3",#N/A,TRUE,"GENERAL";"TAB4",#N/A,TRUE,"GENERAL";"TAB5",#N/A,TRUE,"GENERAL"}</definedName>
    <definedName name="_h7" localSheetId="16" hidden="1">{"TAB1",#N/A,TRUE,"GENERAL";"TAB2",#N/A,TRUE,"GENERAL";"TAB3",#N/A,TRUE,"GENERAL";"TAB4",#N/A,TRUE,"GENERAL";"TAB5",#N/A,TRUE,"GENERAL"}</definedName>
    <definedName name="_h7" localSheetId="19" hidden="1">{"TAB1",#N/A,TRUE,"GENERAL";"TAB2",#N/A,TRUE,"GENERAL";"TAB3",#N/A,TRUE,"GENERAL";"TAB4",#N/A,TRUE,"GENERAL";"TAB5",#N/A,TRUE,"GENERAL"}</definedName>
    <definedName name="_h7" hidden="1">{"TAB1",#N/A,TRUE,"GENERAL";"TAB2",#N/A,TRUE,"GENERAL";"TAB3",#N/A,TRUE,"GENERAL";"TAB4",#N/A,TRUE,"GENERAL";"TAB5",#N/A,TRUE,"GENERAL"}</definedName>
    <definedName name="_h8" localSheetId="1" hidden="1">{"via1",#N/A,TRUE,"general";"via2",#N/A,TRUE,"general";"via3",#N/A,TRUE,"general"}</definedName>
    <definedName name="_h8" localSheetId="9" hidden="1">{"via1",#N/A,TRUE,"general";"via2",#N/A,TRUE,"general";"via3",#N/A,TRUE,"general"}</definedName>
    <definedName name="_h8" localSheetId="16" hidden="1">{"via1",#N/A,TRUE,"general";"via2",#N/A,TRUE,"general";"via3",#N/A,TRUE,"general"}</definedName>
    <definedName name="_h8" localSheetId="19" hidden="1">{"via1",#N/A,TRUE,"general";"via2",#N/A,TRUE,"general";"via3",#N/A,TRUE,"general"}</definedName>
    <definedName name="_h8" hidden="1">{"via1",#N/A,TRUE,"general";"via2",#N/A,TRUE,"general";"via3",#N/A,TRUE,"general"}</definedName>
    <definedName name="_hfh7" localSheetId="1" hidden="1">{"via1",#N/A,TRUE,"general";"via2",#N/A,TRUE,"general";"via3",#N/A,TRUE,"general"}</definedName>
    <definedName name="_hfh7" localSheetId="9" hidden="1">{"via1",#N/A,TRUE,"general";"via2",#N/A,TRUE,"general";"via3",#N/A,TRUE,"general"}</definedName>
    <definedName name="_hfh7" localSheetId="16" hidden="1">{"via1",#N/A,TRUE,"general";"via2",#N/A,TRUE,"general";"via3",#N/A,TRUE,"general"}</definedName>
    <definedName name="_hfh7" localSheetId="19" hidden="1">{"via1",#N/A,TRUE,"general";"via2",#N/A,TRUE,"general";"via3",#N/A,TRUE,"general"}</definedName>
    <definedName name="_hfh7" hidden="1">{"via1",#N/A,TRUE,"general";"via2",#N/A,TRUE,"general";"via3",#N/A,TRUE,"general"}</definedName>
    <definedName name="_i4" localSheetId="1" hidden="1">{"via1",#N/A,TRUE,"general";"via2",#N/A,TRUE,"general";"via3",#N/A,TRUE,"general"}</definedName>
    <definedName name="_i4" localSheetId="9" hidden="1">{"via1",#N/A,TRUE,"general";"via2",#N/A,TRUE,"general";"via3",#N/A,TRUE,"general"}</definedName>
    <definedName name="_i4" localSheetId="16" hidden="1">{"via1",#N/A,TRUE,"general";"via2",#N/A,TRUE,"general";"via3",#N/A,TRUE,"general"}</definedName>
    <definedName name="_i4" localSheetId="19" hidden="1">{"via1",#N/A,TRUE,"general";"via2",#N/A,TRUE,"general";"via3",#N/A,TRUE,"general"}</definedName>
    <definedName name="_i4" hidden="1">{"via1",#N/A,TRUE,"general";"via2",#N/A,TRUE,"general";"via3",#N/A,TRUE,"general"}</definedName>
    <definedName name="_i5" localSheetId="1" hidden="1">{"TAB1",#N/A,TRUE,"GENERAL";"TAB2",#N/A,TRUE,"GENERAL";"TAB3",#N/A,TRUE,"GENERAL";"TAB4",#N/A,TRUE,"GENERAL";"TAB5",#N/A,TRUE,"GENERAL"}</definedName>
    <definedName name="_i5" localSheetId="9" hidden="1">{"TAB1",#N/A,TRUE,"GENERAL";"TAB2",#N/A,TRUE,"GENERAL";"TAB3",#N/A,TRUE,"GENERAL";"TAB4",#N/A,TRUE,"GENERAL";"TAB5",#N/A,TRUE,"GENERAL"}</definedName>
    <definedName name="_i5" localSheetId="16" hidden="1">{"TAB1",#N/A,TRUE,"GENERAL";"TAB2",#N/A,TRUE,"GENERAL";"TAB3",#N/A,TRUE,"GENERAL";"TAB4",#N/A,TRUE,"GENERAL";"TAB5",#N/A,TRUE,"GENERAL"}</definedName>
    <definedName name="_i5" localSheetId="19" hidden="1">{"TAB1",#N/A,TRUE,"GENERAL";"TAB2",#N/A,TRUE,"GENERAL";"TAB3",#N/A,TRUE,"GENERAL";"TAB4",#N/A,TRUE,"GENERAL";"TAB5",#N/A,TRUE,"GENERAL"}</definedName>
    <definedName name="_i5" hidden="1">{"TAB1",#N/A,TRUE,"GENERAL";"TAB2",#N/A,TRUE,"GENERAL";"TAB3",#N/A,TRUE,"GENERAL";"TAB4",#N/A,TRUE,"GENERAL";"TAB5",#N/A,TRUE,"GENERAL"}</definedName>
    <definedName name="_i6" localSheetId="1" hidden="1">{"TAB1",#N/A,TRUE,"GENERAL";"TAB2",#N/A,TRUE,"GENERAL";"TAB3",#N/A,TRUE,"GENERAL";"TAB4",#N/A,TRUE,"GENERAL";"TAB5",#N/A,TRUE,"GENERAL"}</definedName>
    <definedName name="_i6" localSheetId="9" hidden="1">{"TAB1",#N/A,TRUE,"GENERAL";"TAB2",#N/A,TRUE,"GENERAL";"TAB3",#N/A,TRUE,"GENERAL";"TAB4",#N/A,TRUE,"GENERAL";"TAB5",#N/A,TRUE,"GENERAL"}</definedName>
    <definedName name="_i6" localSheetId="16" hidden="1">{"TAB1",#N/A,TRUE,"GENERAL";"TAB2",#N/A,TRUE,"GENERAL";"TAB3",#N/A,TRUE,"GENERAL";"TAB4",#N/A,TRUE,"GENERAL";"TAB5",#N/A,TRUE,"GENERAL"}</definedName>
    <definedName name="_i6" localSheetId="19" hidden="1">{"TAB1",#N/A,TRUE,"GENERAL";"TAB2",#N/A,TRUE,"GENERAL";"TAB3",#N/A,TRUE,"GENERAL";"TAB4",#N/A,TRUE,"GENERAL";"TAB5",#N/A,TRUE,"GENERAL"}</definedName>
    <definedName name="_i6" hidden="1">{"TAB1",#N/A,TRUE,"GENERAL";"TAB2",#N/A,TRUE,"GENERAL";"TAB3",#N/A,TRUE,"GENERAL";"TAB4",#N/A,TRUE,"GENERAL";"TAB5",#N/A,TRUE,"GENERAL"}</definedName>
    <definedName name="_i7" localSheetId="1" hidden="1">{"via1",#N/A,TRUE,"general";"via2",#N/A,TRUE,"general";"via3",#N/A,TRUE,"general"}</definedName>
    <definedName name="_i7" localSheetId="9" hidden="1">{"via1",#N/A,TRUE,"general";"via2",#N/A,TRUE,"general";"via3",#N/A,TRUE,"general"}</definedName>
    <definedName name="_i7" localSheetId="16" hidden="1">{"via1",#N/A,TRUE,"general";"via2",#N/A,TRUE,"general";"via3",#N/A,TRUE,"general"}</definedName>
    <definedName name="_i7" localSheetId="19" hidden="1">{"via1",#N/A,TRUE,"general";"via2",#N/A,TRUE,"general";"via3",#N/A,TRUE,"general"}</definedName>
    <definedName name="_i7" hidden="1">{"via1",#N/A,TRUE,"general";"via2",#N/A,TRUE,"general";"via3",#N/A,TRUE,"general"}</definedName>
    <definedName name="_i77" localSheetId="1" hidden="1">{"TAB1",#N/A,TRUE,"GENERAL";"TAB2",#N/A,TRUE,"GENERAL";"TAB3",#N/A,TRUE,"GENERAL";"TAB4",#N/A,TRUE,"GENERAL";"TAB5",#N/A,TRUE,"GENERAL"}</definedName>
    <definedName name="_i77" localSheetId="9" hidden="1">{"TAB1",#N/A,TRUE,"GENERAL";"TAB2",#N/A,TRUE,"GENERAL";"TAB3",#N/A,TRUE,"GENERAL";"TAB4",#N/A,TRUE,"GENERAL";"TAB5",#N/A,TRUE,"GENERAL"}</definedName>
    <definedName name="_i77" localSheetId="16" hidden="1">{"TAB1",#N/A,TRUE,"GENERAL";"TAB2",#N/A,TRUE,"GENERAL";"TAB3",#N/A,TRUE,"GENERAL";"TAB4",#N/A,TRUE,"GENERAL";"TAB5",#N/A,TRUE,"GENERAL"}</definedName>
    <definedName name="_i77" localSheetId="19" hidden="1">{"TAB1",#N/A,TRUE,"GENERAL";"TAB2",#N/A,TRUE,"GENERAL";"TAB3",#N/A,TRUE,"GENERAL";"TAB4",#N/A,TRUE,"GENERAL";"TAB5",#N/A,TRUE,"GENERAL"}</definedName>
    <definedName name="_i77" hidden="1">{"TAB1",#N/A,TRUE,"GENERAL";"TAB2",#N/A,TRUE,"GENERAL";"TAB3",#N/A,TRUE,"GENERAL";"TAB4",#N/A,TRUE,"GENERAL";"TAB5",#N/A,TRUE,"GENERAL"}</definedName>
    <definedName name="_i8" localSheetId="1" hidden="1">{"via1",#N/A,TRUE,"general";"via2",#N/A,TRUE,"general";"via3",#N/A,TRUE,"general"}</definedName>
    <definedName name="_i8" localSheetId="9" hidden="1">{"via1",#N/A,TRUE,"general";"via2",#N/A,TRUE,"general";"via3",#N/A,TRUE,"general"}</definedName>
    <definedName name="_i8" localSheetId="16" hidden="1">{"via1",#N/A,TRUE,"general";"via2",#N/A,TRUE,"general";"via3",#N/A,TRUE,"general"}</definedName>
    <definedName name="_i8" localSheetId="19" hidden="1">{"via1",#N/A,TRUE,"general";"via2",#N/A,TRUE,"general";"via3",#N/A,TRUE,"general"}</definedName>
    <definedName name="_i8" hidden="1">{"via1",#N/A,TRUE,"general";"via2",#N/A,TRUE,"general";"via3",#N/A,TRUE,"general"}</definedName>
    <definedName name="_i9" localSheetId="1" hidden="1">{"TAB1",#N/A,TRUE,"GENERAL";"TAB2",#N/A,TRUE,"GENERAL";"TAB3",#N/A,TRUE,"GENERAL";"TAB4",#N/A,TRUE,"GENERAL";"TAB5",#N/A,TRUE,"GENERAL"}</definedName>
    <definedName name="_i9" localSheetId="9" hidden="1">{"TAB1",#N/A,TRUE,"GENERAL";"TAB2",#N/A,TRUE,"GENERAL";"TAB3",#N/A,TRUE,"GENERAL";"TAB4",#N/A,TRUE,"GENERAL";"TAB5",#N/A,TRUE,"GENERAL"}</definedName>
    <definedName name="_i9" localSheetId="16" hidden="1">{"TAB1",#N/A,TRUE,"GENERAL";"TAB2",#N/A,TRUE,"GENERAL";"TAB3",#N/A,TRUE,"GENERAL";"TAB4",#N/A,TRUE,"GENERAL";"TAB5",#N/A,TRUE,"GENERAL"}</definedName>
    <definedName name="_i9" localSheetId="19" hidden="1">{"TAB1",#N/A,TRUE,"GENERAL";"TAB2",#N/A,TRUE,"GENERAL";"TAB3",#N/A,TRUE,"GENERAL";"TAB4",#N/A,TRUE,"GENERAL";"TAB5",#N/A,TRUE,"GENERAL"}</definedName>
    <definedName name="_i9" hidden="1">{"TAB1",#N/A,TRUE,"GENERAL";"TAB2",#N/A,TRUE,"GENERAL";"TAB3",#N/A,TRUE,"GENERAL";"TAB4",#N/A,TRUE,"GENERAL";"TAB5",#N/A,TRUE,"GENERAL"}</definedName>
    <definedName name="_INF1" localSheetId="3">#REF!</definedName>
    <definedName name="_INF1">#REF!</definedName>
    <definedName name="_k3" localSheetId="1" hidden="1">{"TAB1",#N/A,TRUE,"GENERAL";"TAB2",#N/A,TRUE,"GENERAL";"TAB3",#N/A,TRUE,"GENERAL";"TAB4",#N/A,TRUE,"GENERAL";"TAB5",#N/A,TRUE,"GENERAL"}</definedName>
    <definedName name="_k3" localSheetId="9" hidden="1">{"TAB1",#N/A,TRUE,"GENERAL";"TAB2",#N/A,TRUE,"GENERAL";"TAB3",#N/A,TRUE,"GENERAL";"TAB4",#N/A,TRUE,"GENERAL";"TAB5",#N/A,TRUE,"GENERAL"}</definedName>
    <definedName name="_k3" localSheetId="16" hidden="1">{"TAB1",#N/A,TRUE,"GENERAL";"TAB2",#N/A,TRUE,"GENERAL";"TAB3",#N/A,TRUE,"GENERAL";"TAB4",#N/A,TRUE,"GENERAL";"TAB5",#N/A,TRUE,"GENERAL"}</definedName>
    <definedName name="_k3" localSheetId="19" hidden="1">{"TAB1",#N/A,TRUE,"GENERAL";"TAB2",#N/A,TRUE,"GENERAL";"TAB3",#N/A,TRUE,"GENERAL";"TAB4",#N/A,TRUE,"GENERAL";"TAB5",#N/A,TRUE,"GENERAL"}</definedName>
    <definedName name="_k3" hidden="1">{"TAB1",#N/A,TRUE,"GENERAL";"TAB2",#N/A,TRUE,"GENERAL";"TAB3",#N/A,TRUE,"GENERAL";"TAB4",#N/A,TRUE,"GENERAL";"TAB5",#N/A,TRUE,"GENERAL"}</definedName>
    <definedName name="_k4" localSheetId="1" hidden="1">{"via1",#N/A,TRUE,"general";"via2",#N/A,TRUE,"general";"via3",#N/A,TRUE,"general"}</definedName>
    <definedName name="_k4" localSheetId="9" hidden="1">{"via1",#N/A,TRUE,"general";"via2",#N/A,TRUE,"general";"via3",#N/A,TRUE,"general"}</definedName>
    <definedName name="_k4" localSheetId="16" hidden="1">{"via1",#N/A,TRUE,"general";"via2",#N/A,TRUE,"general";"via3",#N/A,TRUE,"general"}</definedName>
    <definedName name="_k4" localSheetId="19" hidden="1">{"via1",#N/A,TRUE,"general";"via2",#N/A,TRUE,"general";"via3",#N/A,TRUE,"general"}</definedName>
    <definedName name="_k4" hidden="1">{"via1",#N/A,TRUE,"general";"via2",#N/A,TRUE,"general";"via3",#N/A,TRUE,"general"}</definedName>
    <definedName name="_k5" localSheetId="1" hidden="1">{"via1",#N/A,TRUE,"general";"via2",#N/A,TRUE,"general";"via3",#N/A,TRUE,"general"}</definedName>
    <definedName name="_k5" localSheetId="9" hidden="1">{"via1",#N/A,TRUE,"general";"via2",#N/A,TRUE,"general";"via3",#N/A,TRUE,"general"}</definedName>
    <definedName name="_k5" localSheetId="16" hidden="1">{"via1",#N/A,TRUE,"general";"via2",#N/A,TRUE,"general";"via3",#N/A,TRUE,"general"}</definedName>
    <definedName name="_k5" localSheetId="19" hidden="1">{"via1",#N/A,TRUE,"general";"via2",#N/A,TRUE,"general";"via3",#N/A,TRUE,"general"}</definedName>
    <definedName name="_k5" hidden="1">{"via1",#N/A,TRUE,"general";"via2",#N/A,TRUE,"general";"via3",#N/A,TRUE,"general"}</definedName>
    <definedName name="_k6" localSheetId="1" hidden="1">{"TAB1",#N/A,TRUE,"GENERAL";"TAB2",#N/A,TRUE,"GENERAL";"TAB3",#N/A,TRUE,"GENERAL";"TAB4",#N/A,TRUE,"GENERAL";"TAB5",#N/A,TRUE,"GENERAL"}</definedName>
    <definedName name="_k6" localSheetId="9" hidden="1">{"TAB1",#N/A,TRUE,"GENERAL";"TAB2",#N/A,TRUE,"GENERAL";"TAB3",#N/A,TRUE,"GENERAL";"TAB4",#N/A,TRUE,"GENERAL";"TAB5",#N/A,TRUE,"GENERAL"}</definedName>
    <definedName name="_k6" localSheetId="16" hidden="1">{"TAB1",#N/A,TRUE,"GENERAL";"TAB2",#N/A,TRUE,"GENERAL";"TAB3",#N/A,TRUE,"GENERAL";"TAB4",#N/A,TRUE,"GENERAL";"TAB5",#N/A,TRUE,"GENERAL"}</definedName>
    <definedName name="_k6" localSheetId="19" hidden="1">{"TAB1",#N/A,TRUE,"GENERAL";"TAB2",#N/A,TRUE,"GENERAL";"TAB3",#N/A,TRUE,"GENERAL";"TAB4",#N/A,TRUE,"GENERAL";"TAB5",#N/A,TRUE,"GENERAL"}</definedName>
    <definedName name="_k6" hidden="1">{"TAB1",#N/A,TRUE,"GENERAL";"TAB2",#N/A,TRUE,"GENERAL";"TAB3",#N/A,TRUE,"GENERAL";"TAB4",#N/A,TRUE,"GENERAL";"TAB5",#N/A,TRUE,"GENERAL"}</definedName>
    <definedName name="_k7" localSheetId="1" hidden="1">{"via1",#N/A,TRUE,"general";"via2",#N/A,TRUE,"general";"via3",#N/A,TRUE,"general"}</definedName>
    <definedName name="_k7" localSheetId="9" hidden="1">{"via1",#N/A,TRUE,"general";"via2",#N/A,TRUE,"general";"via3",#N/A,TRUE,"general"}</definedName>
    <definedName name="_k7" localSheetId="16" hidden="1">{"via1",#N/A,TRUE,"general";"via2",#N/A,TRUE,"general";"via3",#N/A,TRUE,"general"}</definedName>
    <definedName name="_k7" localSheetId="19" hidden="1">{"via1",#N/A,TRUE,"general";"via2",#N/A,TRUE,"general";"via3",#N/A,TRUE,"general"}</definedName>
    <definedName name="_k7" hidden="1">{"via1",#N/A,TRUE,"general";"via2",#N/A,TRUE,"general";"via3",#N/A,TRUE,"general"}</definedName>
    <definedName name="_k8" localSheetId="1" hidden="1">{"via1",#N/A,TRUE,"general";"via2",#N/A,TRUE,"general";"via3",#N/A,TRUE,"general"}</definedName>
    <definedName name="_k8" localSheetId="9" hidden="1">{"via1",#N/A,TRUE,"general";"via2",#N/A,TRUE,"general";"via3",#N/A,TRUE,"general"}</definedName>
    <definedName name="_k8" localSheetId="16" hidden="1">{"via1",#N/A,TRUE,"general";"via2",#N/A,TRUE,"general";"via3",#N/A,TRUE,"general"}</definedName>
    <definedName name="_k8" localSheetId="19" hidden="1">{"via1",#N/A,TRUE,"general";"via2",#N/A,TRUE,"general";"via3",#N/A,TRUE,"general"}</definedName>
    <definedName name="_k8" hidden="1">{"via1",#N/A,TRUE,"general";"via2",#N/A,TRUE,"general";"via3",#N/A,TRUE,"general"}</definedName>
    <definedName name="_k9" localSheetId="1" hidden="1">{"TAB1",#N/A,TRUE,"GENERAL";"TAB2",#N/A,TRUE,"GENERAL";"TAB3",#N/A,TRUE,"GENERAL";"TAB4",#N/A,TRUE,"GENERAL";"TAB5",#N/A,TRUE,"GENERAL"}</definedName>
    <definedName name="_k9" localSheetId="9" hidden="1">{"TAB1",#N/A,TRUE,"GENERAL";"TAB2",#N/A,TRUE,"GENERAL";"TAB3",#N/A,TRUE,"GENERAL";"TAB4",#N/A,TRUE,"GENERAL";"TAB5",#N/A,TRUE,"GENERAL"}</definedName>
    <definedName name="_k9" localSheetId="16" hidden="1">{"TAB1",#N/A,TRUE,"GENERAL";"TAB2",#N/A,TRUE,"GENERAL";"TAB3",#N/A,TRUE,"GENERAL";"TAB4",#N/A,TRUE,"GENERAL";"TAB5",#N/A,TRUE,"GENERAL"}</definedName>
    <definedName name="_k9" localSheetId="19" hidden="1">{"TAB1",#N/A,TRUE,"GENERAL";"TAB2",#N/A,TRUE,"GENERAL";"TAB3",#N/A,TRUE,"GENERAL";"TAB4",#N/A,TRUE,"GENERAL";"TAB5",#N/A,TRUE,"GENERAL"}</definedName>
    <definedName name="_k9" hidden="1">{"TAB1",#N/A,TRUE,"GENERAL";"TAB2",#N/A,TRUE,"GENERAL";"TAB3",#N/A,TRUE,"GENERAL";"TAB4",#N/A,TRUE,"GENERAL";"TAB5",#N/A,TRUE,"GENERAL"}</definedName>
    <definedName name="_Key1" localSheetId="3" hidden="1">#REF!</definedName>
    <definedName name="_Key1" hidden="1">#REF!</definedName>
    <definedName name="_Key2" hidden="1">#REF!</definedName>
    <definedName name="_kjk6" localSheetId="1" hidden="1">{"TAB1",#N/A,TRUE,"GENERAL";"TAB2",#N/A,TRUE,"GENERAL";"TAB3",#N/A,TRUE,"GENERAL";"TAB4",#N/A,TRUE,"GENERAL";"TAB5",#N/A,TRUE,"GENERAL"}</definedName>
    <definedName name="_kjk6" localSheetId="9" hidden="1">{"TAB1",#N/A,TRUE,"GENERAL";"TAB2",#N/A,TRUE,"GENERAL";"TAB3",#N/A,TRUE,"GENERAL";"TAB4",#N/A,TRUE,"GENERAL";"TAB5",#N/A,TRUE,"GENERAL"}</definedName>
    <definedName name="_kjk6" localSheetId="16" hidden="1">{"TAB1",#N/A,TRUE,"GENERAL";"TAB2",#N/A,TRUE,"GENERAL";"TAB3",#N/A,TRUE,"GENERAL";"TAB4",#N/A,TRUE,"GENERAL";"TAB5",#N/A,TRUE,"GENERAL"}</definedName>
    <definedName name="_kjk6" localSheetId="19" hidden="1">{"TAB1",#N/A,TRUE,"GENERAL";"TAB2",#N/A,TRUE,"GENERAL";"TAB3",#N/A,TRUE,"GENERAL";"TAB4",#N/A,TRUE,"GENERAL";"TAB5",#N/A,TRUE,"GENERAL"}</definedName>
    <definedName name="_kjk6" hidden="1">{"TAB1",#N/A,TRUE,"GENERAL";"TAB2",#N/A,TRUE,"GENERAL";"TAB3",#N/A,TRUE,"GENERAL";"TAB4",#N/A,TRUE,"GENERAL";"TAB5",#N/A,TRUE,"GENERAL"}</definedName>
    <definedName name="_m3" localSheetId="1" hidden="1">{"via1",#N/A,TRUE,"general";"via2",#N/A,TRUE,"general";"via3",#N/A,TRUE,"general"}</definedName>
    <definedName name="_m3" localSheetId="9" hidden="1">{"via1",#N/A,TRUE,"general";"via2",#N/A,TRUE,"general";"via3",#N/A,TRUE,"general"}</definedName>
    <definedName name="_m3" localSheetId="16" hidden="1">{"via1",#N/A,TRUE,"general";"via2",#N/A,TRUE,"general";"via3",#N/A,TRUE,"general"}</definedName>
    <definedName name="_m3" localSheetId="19" hidden="1">{"via1",#N/A,TRUE,"general";"via2",#N/A,TRUE,"general";"via3",#N/A,TRUE,"general"}</definedName>
    <definedName name="_m3" hidden="1">{"via1",#N/A,TRUE,"general";"via2",#N/A,TRUE,"general";"via3",#N/A,TRUE,"general"}</definedName>
    <definedName name="_m4" localSheetId="1" hidden="1">{"TAB1",#N/A,TRUE,"GENERAL";"TAB2",#N/A,TRUE,"GENERAL";"TAB3",#N/A,TRUE,"GENERAL";"TAB4",#N/A,TRUE,"GENERAL";"TAB5",#N/A,TRUE,"GENERAL"}</definedName>
    <definedName name="_m4" localSheetId="9" hidden="1">{"TAB1",#N/A,TRUE,"GENERAL";"TAB2",#N/A,TRUE,"GENERAL";"TAB3",#N/A,TRUE,"GENERAL";"TAB4",#N/A,TRUE,"GENERAL";"TAB5",#N/A,TRUE,"GENERAL"}</definedName>
    <definedName name="_m4" localSheetId="16" hidden="1">{"TAB1",#N/A,TRUE,"GENERAL";"TAB2",#N/A,TRUE,"GENERAL";"TAB3",#N/A,TRUE,"GENERAL";"TAB4",#N/A,TRUE,"GENERAL";"TAB5",#N/A,TRUE,"GENERAL"}</definedName>
    <definedName name="_m4" localSheetId="19" hidden="1">{"TAB1",#N/A,TRUE,"GENERAL";"TAB2",#N/A,TRUE,"GENERAL";"TAB3",#N/A,TRUE,"GENERAL";"TAB4",#N/A,TRUE,"GENERAL";"TAB5",#N/A,TRUE,"GENERAL"}</definedName>
    <definedName name="_m4" hidden="1">{"TAB1",#N/A,TRUE,"GENERAL";"TAB2",#N/A,TRUE,"GENERAL";"TAB3",#N/A,TRUE,"GENERAL";"TAB4",#N/A,TRUE,"GENERAL";"TAB5",#N/A,TRUE,"GENERAL"}</definedName>
    <definedName name="_m5" localSheetId="1" hidden="1">{"via1",#N/A,TRUE,"general";"via2",#N/A,TRUE,"general";"via3",#N/A,TRUE,"general"}</definedName>
    <definedName name="_m5" localSheetId="9" hidden="1">{"via1",#N/A,TRUE,"general";"via2",#N/A,TRUE,"general";"via3",#N/A,TRUE,"general"}</definedName>
    <definedName name="_m5" localSheetId="16" hidden="1">{"via1",#N/A,TRUE,"general";"via2",#N/A,TRUE,"general";"via3",#N/A,TRUE,"general"}</definedName>
    <definedName name="_m5" localSheetId="19" hidden="1">{"via1",#N/A,TRUE,"general";"via2",#N/A,TRUE,"general";"via3",#N/A,TRUE,"general"}</definedName>
    <definedName name="_m5" hidden="1">{"via1",#N/A,TRUE,"general";"via2",#N/A,TRUE,"general";"via3",#N/A,TRUE,"general"}</definedName>
    <definedName name="_m6" localSheetId="1" hidden="1">{"TAB1",#N/A,TRUE,"GENERAL";"TAB2",#N/A,TRUE,"GENERAL";"TAB3",#N/A,TRUE,"GENERAL";"TAB4",#N/A,TRUE,"GENERAL";"TAB5",#N/A,TRUE,"GENERAL"}</definedName>
    <definedName name="_m6" localSheetId="9" hidden="1">{"TAB1",#N/A,TRUE,"GENERAL";"TAB2",#N/A,TRUE,"GENERAL";"TAB3",#N/A,TRUE,"GENERAL";"TAB4",#N/A,TRUE,"GENERAL";"TAB5",#N/A,TRUE,"GENERAL"}</definedName>
    <definedName name="_m6" localSheetId="16" hidden="1">{"TAB1",#N/A,TRUE,"GENERAL";"TAB2",#N/A,TRUE,"GENERAL";"TAB3",#N/A,TRUE,"GENERAL";"TAB4",#N/A,TRUE,"GENERAL";"TAB5",#N/A,TRUE,"GENERAL"}</definedName>
    <definedName name="_m6" localSheetId="19" hidden="1">{"TAB1",#N/A,TRUE,"GENERAL";"TAB2",#N/A,TRUE,"GENERAL";"TAB3",#N/A,TRUE,"GENERAL";"TAB4",#N/A,TRUE,"GENERAL";"TAB5",#N/A,TRUE,"GENERAL"}</definedName>
    <definedName name="_m6" hidden="1">{"TAB1",#N/A,TRUE,"GENERAL";"TAB2",#N/A,TRUE,"GENERAL";"TAB3",#N/A,TRUE,"GENERAL";"TAB4",#N/A,TRUE,"GENERAL";"TAB5",#N/A,TRUE,"GENERAL"}</definedName>
    <definedName name="_m7" localSheetId="1" hidden="1">{"TAB1",#N/A,TRUE,"GENERAL";"TAB2",#N/A,TRUE,"GENERAL";"TAB3",#N/A,TRUE,"GENERAL";"TAB4",#N/A,TRUE,"GENERAL";"TAB5",#N/A,TRUE,"GENERAL"}</definedName>
    <definedName name="_m7" localSheetId="9" hidden="1">{"TAB1",#N/A,TRUE,"GENERAL";"TAB2",#N/A,TRUE,"GENERAL";"TAB3",#N/A,TRUE,"GENERAL";"TAB4",#N/A,TRUE,"GENERAL";"TAB5",#N/A,TRUE,"GENERAL"}</definedName>
    <definedName name="_m7" localSheetId="16" hidden="1">{"TAB1",#N/A,TRUE,"GENERAL";"TAB2",#N/A,TRUE,"GENERAL";"TAB3",#N/A,TRUE,"GENERAL";"TAB4",#N/A,TRUE,"GENERAL";"TAB5",#N/A,TRUE,"GENERAL"}</definedName>
    <definedName name="_m7" localSheetId="19" hidden="1">{"TAB1",#N/A,TRUE,"GENERAL";"TAB2",#N/A,TRUE,"GENERAL";"TAB3",#N/A,TRUE,"GENERAL";"TAB4",#N/A,TRUE,"GENERAL";"TAB5",#N/A,TRUE,"GENERAL"}</definedName>
    <definedName name="_m7" hidden="1">{"TAB1",#N/A,TRUE,"GENERAL";"TAB2",#N/A,TRUE,"GENERAL";"TAB3",#N/A,TRUE,"GENERAL";"TAB4",#N/A,TRUE,"GENERAL";"TAB5",#N/A,TRUE,"GENERAL"}</definedName>
    <definedName name="_m8" localSheetId="1" hidden="1">{"via1",#N/A,TRUE,"general";"via2",#N/A,TRUE,"general";"via3",#N/A,TRUE,"general"}</definedName>
    <definedName name="_m8" localSheetId="9" hidden="1">{"via1",#N/A,TRUE,"general";"via2",#N/A,TRUE,"general";"via3",#N/A,TRUE,"general"}</definedName>
    <definedName name="_m8" localSheetId="16" hidden="1">{"via1",#N/A,TRUE,"general";"via2",#N/A,TRUE,"general";"via3",#N/A,TRUE,"general"}</definedName>
    <definedName name="_m8" localSheetId="19" hidden="1">{"via1",#N/A,TRUE,"general";"via2",#N/A,TRUE,"general";"via3",#N/A,TRUE,"general"}</definedName>
    <definedName name="_m8" hidden="1">{"via1",#N/A,TRUE,"general";"via2",#N/A,TRUE,"general";"via3",#N/A,TRUE,"general"}</definedName>
    <definedName name="_m9" localSheetId="1" hidden="1">{"via1",#N/A,TRUE,"general";"via2",#N/A,TRUE,"general";"via3",#N/A,TRUE,"general"}</definedName>
    <definedName name="_m9" localSheetId="9" hidden="1">{"via1",#N/A,TRUE,"general";"via2",#N/A,TRUE,"general";"via3",#N/A,TRUE,"general"}</definedName>
    <definedName name="_m9" localSheetId="16" hidden="1">{"via1",#N/A,TRUE,"general";"via2",#N/A,TRUE,"general";"via3",#N/A,TRUE,"general"}</definedName>
    <definedName name="_m9" localSheetId="19" hidden="1">{"via1",#N/A,TRUE,"general";"via2",#N/A,TRUE,"general";"via3",#N/A,TRUE,"general"}</definedName>
    <definedName name="_m9" hidden="1">{"via1",#N/A,TRUE,"general";"via2",#N/A,TRUE,"general";"via3",#N/A,TRUE,"general"}</definedName>
    <definedName name="_MA2" localSheetId="3">#REF!</definedName>
    <definedName name="_MA2">#REF!</definedName>
    <definedName name="_n3" localSheetId="1" hidden="1">{"TAB1",#N/A,TRUE,"GENERAL";"TAB2",#N/A,TRUE,"GENERAL";"TAB3",#N/A,TRUE,"GENERAL";"TAB4",#N/A,TRUE,"GENERAL";"TAB5",#N/A,TRUE,"GENERAL"}</definedName>
    <definedName name="_n3" localSheetId="9" hidden="1">{"TAB1",#N/A,TRUE,"GENERAL";"TAB2",#N/A,TRUE,"GENERAL";"TAB3",#N/A,TRUE,"GENERAL";"TAB4",#N/A,TRUE,"GENERAL";"TAB5",#N/A,TRUE,"GENERAL"}</definedName>
    <definedName name="_n3" localSheetId="16" hidden="1">{"TAB1",#N/A,TRUE,"GENERAL";"TAB2",#N/A,TRUE,"GENERAL";"TAB3",#N/A,TRUE,"GENERAL";"TAB4",#N/A,TRUE,"GENERAL";"TAB5",#N/A,TRUE,"GENERAL"}</definedName>
    <definedName name="_n3" localSheetId="19" hidden="1">{"TAB1",#N/A,TRUE,"GENERAL";"TAB2",#N/A,TRUE,"GENERAL";"TAB3",#N/A,TRUE,"GENERAL";"TAB4",#N/A,TRUE,"GENERAL";"TAB5",#N/A,TRUE,"GENERAL"}</definedName>
    <definedName name="_n3" hidden="1">{"TAB1",#N/A,TRUE,"GENERAL";"TAB2",#N/A,TRUE,"GENERAL";"TAB3",#N/A,TRUE,"GENERAL";"TAB4",#N/A,TRUE,"GENERAL";"TAB5",#N/A,TRUE,"GENERAL"}</definedName>
    <definedName name="_n4" localSheetId="1" hidden="1">{"via1",#N/A,TRUE,"general";"via2",#N/A,TRUE,"general";"via3",#N/A,TRUE,"general"}</definedName>
    <definedName name="_n4" localSheetId="9" hidden="1">{"via1",#N/A,TRUE,"general";"via2",#N/A,TRUE,"general";"via3",#N/A,TRUE,"general"}</definedName>
    <definedName name="_n4" localSheetId="16" hidden="1">{"via1",#N/A,TRUE,"general";"via2",#N/A,TRUE,"general";"via3",#N/A,TRUE,"general"}</definedName>
    <definedName name="_n4" localSheetId="19" hidden="1">{"via1",#N/A,TRUE,"general";"via2",#N/A,TRUE,"general";"via3",#N/A,TRUE,"general"}</definedName>
    <definedName name="_n4" hidden="1">{"via1",#N/A,TRUE,"general";"via2",#N/A,TRUE,"general";"via3",#N/A,TRUE,"general"}</definedName>
    <definedName name="_n5" localSheetId="1" hidden="1">{"TAB1",#N/A,TRUE,"GENERAL";"TAB2",#N/A,TRUE,"GENERAL";"TAB3",#N/A,TRUE,"GENERAL";"TAB4",#N/A,TRUE,"GENERAL";"TAB5",#N/A,TRUE,"GENERAL"}</definedName>
    <definedName name="_n5" localSheetId="9" hidden="1">{"TAB1",#N/A,TRUE,"GENERAL";"TAB2",#N/A,TRUE,"GENERAL";"TAB3",#N/A,TRUE,"GENERAL";"TAB4",#N/A,TRUE,"GENERAL";"TAB5",#N/A,TRUE,"GENERAL"}</definedName>
    <definedName name="_n5" localSheetId="16" hidden="1">{"TAB1",#N/A,TRUE,"GENERAL";"TAB2",#N/A,TRUE,"GENERAL";"TAB3",#N/A,TRUE,"GENERAL";"TAB4",#N/A,TRUE,"GENERAL";"TAB5",#N/A,TRUE,"GENERAL"}</definedName>
    <definedName name="_n5" localSheetId="19" hidden="1">{"TAB1",#N/A,TRUE,"GENERAL";"TAB2",#N/A,TRUE,"GENERAL";"TAB3",#N/A,TRUE,"GENERAL";"TAB4",#N/A,TRUE,"GENERAL";"TAB5",#N/A,TRUE,"GENERAL"}</definedName>
    <definedName name="_n5" hidden="1">{"TAB1",#N/A,TRUE,"GENERAL";"TAB2",#N/A,TRUE,"GENERAL";"TAB3",#N/A,TRUE,"GENERAL";"TAB4",#N/A,TRUE,"GENERAL";"TAB5",#N/A,TRUE,"GENERAL"}</definedName>
    <definedName name="_nyn7" localSheetId="1" hidden="1">{"via1",#N/A,TRUE,"general";"via2",#N/A,TRUE,"general";"via3",#N/A,TRUE,"general"}</definedName>
    <definedName name="_nyn7" localSheetId="9" hidden="1">{"via1",#N/A,TRUE,"general";"via2",#N/A,TRUE,"general";"via3",#N/A,TRUE,"general"}</definedName>
    <definedName name="_nyn7" localSheetId="16" hidden="1">{"via1",#N/A,TRUE,"general";"via2",#N/A,TRUE,"general";"via3",#N/A,TRUE,"general"}</definedName>
    <definedName name="_nyn7" localSheetId="19" hidden="1">{"via1",#N/A,TRUE,"general";"via2",#N/A,TRUE,"general";"via3",#N/A,TRUE,"general"}</definedName>
    <definedName name="_nyn7" hidden="1">{"via1",#N/A,TRUE,"general";"via2",#N/A,TRUE,"general";"via3",#N/A,TRUE,"general"}</definedName>
    <definedName name="_o4" localSheetId="1" hidden="1">{"via1",#N/A,TRUE,"general";"via2",#N/A,TRUE,"general";"via3",#N/A,TRUE,"general"}</definedName>
    <definedName name="_o4" localSheetId="9" hidden="1">{"via1",#N/A,TRUE,"general";"via2",#N/A,TRUE,"general";"via3",#N/A,TRUE,"general"}</definedName>
    <definedName name="_o4" localSheetId="16" hidden="1">{"via1",#N/A,TRUE,"general";"via2",#N/A,TRUE,"general";"via3",#N/A,TRUE,"general"}</definedName>
    <definedName name="_o4" localSheetId="19" hidden="1">{"via1",#N/A,TRUE,"general";"via2",#N/A,TRUE,"general";"via3",#N/A,TRUE,"general"}</definedName>
    <definedName name="_o4" hidden="1">{"via1",#N/A,TRUE,"general";"via2",#N/A,TRUE,"general";"via3",#N/A,TRUE,"general"}</definedName>
    <definedName name="_o5" localSheetId="1" hidden="1">{"TAB1",#N/A,TRUE,"GENERAL";"TAB2",#N/A,TRUE,"GENERAL";"TAB3",#N/A,TRUE,"GENERAL";"TAB4",#N/A,TRUE,"GENERAL";"TAB5",#N/A,TRUE,"GENERAL"}</definedName>
    <definedName name="_o5" localSheetId="9" hidden="1">{"TAB1",#N/A,TRUE,"GENERAL";"TAB2",#N/A,TRUE,"GENERAL";"TAB3",#N/A,TRUE,"GENERAL";"TAB4",#N/A,TRUE,"GENERAL";"TAB5",#N/A,TRUE,"GENERAL"}</definedName>
    <definedName name="_o5" localSheetId="16" hidden="1">{"TAB1",#N/A,TRUE,"GENERAL";"TAB2",#N/A,TRUE,"GENERAL";"TAB3",#N/A,TRUE,"GENERAL";"TAB4",#N/A,TRUE,"GENERAL";"TAB5",#N/A,TRUE,"GENERAL"}</definedName>
    <definedName name="_o5" localSheetId="19" hidden="1">{"TAB1",#N/A,TRUE,"GENERAL";"TAB2",#N/A,TRUE,"GENERAL";"TAB3",#N/A,TRUE,"GENERAL";"TAB4",#N/A,TRUE,"GENERAL";"TAB5",#N/A,TRUE,"GENERAL"}</definedName>
    <definedName name="_o5" hidden="1">{"TAB1",#N/A,TRUE,"GENERAL";"TAB2",#N/A,TRUE,"GENERAL";"TAB3",#N/A,TRUE,"GENERAL";"TAB4",#N/A,TRUE,"GENERAL";"TAB5",#N/A,TRUE,"GENERAL"}</definedName>
    <definedName name="_o6" localSheetId="1" hidden="1">{"TAB1",#N/A,TRUE,"GENERAL";"TAB2",#N/A,TRUE,"GENERAL";"TAB3",#N/A,TRUE,"GENERAL";"TAB4",#N/A,TRUE,"GENERAL";"TAB5",#N/A,TRUE,"GENERAL"}</definedName>
    <definedName name="_o6" localSheetId="9" hidden="1">{"TAB1",#N/A,TRUE,"GENERAL";"TAB2",#N/A,TRUE,"GENERAL";"TAB3",#N/A,TRUE,"GENERAL";"TAB4",#N/A,TRUE,"GENERAL";"TAB5",#N/A,TRUE,"GENERAL"}</definedName>
    <definedName name="_o6" localSheetId="16" hidden="1">{"TAB1",#N/A,TRUE,"GENERAL";"TAB2",#N/A,TRUE,"GENERAL";"TAB3",#N/A,TRUE,"GENERAL";"TAB4",#N/A,TRUE,"GENERAL";"TAB5",#N/A,TRUE,"GENERAL"}</definedName>
    <definedName name="_o6" localSheetId="19" hidden="1">{"TAB1",#N/A,TRUE,"GENERAL";"TAB2",#N/A,TRUE,"GENERAL";"TAB3",#N/A,TRUE,"GENERAL";"TAB4",#N/A,TRUE,"GENERAL";"TAB5",#N/A,TRUE,"GENERAL"}</definedName>
    <definedName name="_o6" hidden="1">{"TAB1",#N/A,TRUE,"GENERAL";"TAB2",#N/A,TRUE,"GENERAL";"TAB3",#N/A,TRUE,"GENERAL";"TAB4",#N/A,TRUE,"GENERAL";"TAB5",#N/A,TRUE,"GENERAL"}</definedName>
    <definedName name="_o7" localSheetId="1" hidden="1">{"TAB1",#N/A,TRUE,"GENERAL";"TAB2",#N/A,TRUE,"GENERAL";"TAB3",#N/A,TRUE,"GENERAL";"TAB4",#N/A,TRUE,"GENERAL";"TAB5",#N/A,TRUE,"GENERAL"}</definedName>
    <definedName name="_o7" localSheetId="9" hidden="1">{"TAB1",#N/A,TRUE,"GENERAL";"TAB2",#N/A,TRUE,"GENERAL";"TAB3",#N/A,TRUE,"GENERAL";"TAB4",#N/A,TRUE,"GENERAL";"TAB5",#N/A,TRUE,"GENERAL"}</definedName>
    <definedName name="_o7" localSheetId="16" hidden="1">{"TAB1",#N/A,TRUE,"GENERAL";"TAB2",#N/A,TRUE,"GENERAL";"TAB3",#N/A,TRUE,"GENERAL";"TAB4",#N/A,TRUE,"GENERAL";"TAB5",#N/A,TRUE,"GENERAL"}</definedName>
    <definedName name="_o7" localSheetId="19" hidden="1">{"TAB1",#N/A,TRUE,"GENERAL";"TAB2",#N/A,TRUE,"GENERAL";"TAB3",#N/A,TRUE,"GENERAL";"TAB4",#N/A,TRUE,"GENERAL";"TAB5",#N/A,TRUE,"GENERAL"}</definedName>
    <definedName name="_o7" hidden="1">{"TAB1",#N/A,TRUE,"GENERAL";"TAB2",#N/A,TRUE,"GENERAL";"TAB3",#N/A,TRUE,"GENERAL";"TAB4",#N/A,TRUE,"GENERAL";"TAB5",#N/A,TRUE,"GENERAL"}</definedName>
    <definedName name="_o8" localSheetId="1" hidden="1">{"via1",#N/A,TRUE,"general";"via2",#N/A,TRUE,"general";"via3",#N/A,TRUE,"general"}</definedName>
    <definedName name="_o8" localSheetId="9" hidden="1">{"via1",#N/A,TRUE,"general";"via2",#N/A,TRUE,"general";"via3",#N/A,TRUE,"general"}</definedName>
    <definedName name="_o8" localSheetId="16" hidden="1">{"via1",#N/A,TRUE,"general";"via2",#N/A,TRUE,"general";"via3",#N/A,TRUE,"general"}</definedName>
    <definedName name="_o8" localSheetId="19" hidden="1">{"via1",#N/A,TRUE,"general";"via2",#N/A,TRUE,"general";"via3",#N/A,TRUE,"general"}</definedName>
    <definedName name="_o8" hidden="1">{"via1",#N/A,TRUE,"general";"via2",#N/A,TRUE,"general";"via3",#N/A,TRUE,"general"}</definedName>
    <definedName name="_o9" localSheetId="1" hidden="1">{"TAB1",#N/A,TRUE,"GENERAL";"TAB2",#N/A,TRUE,"GENERAL";"TAB3",#N/A,TRUE,"GENERAL";"TAB4",#N/A,TRUE,"GENERAL";"TAB5",#N/A,TRUE,"GENERAL"}</definedName>
    <definedName name="_o9" localSheetId="9" hidden="1">{"TAB1",#N/A,TRUE,"GENERAL";"TAB2",#N/A,TRUE,"GENERAL";"TAB3",#N/A,TRUE,"GENERAL";"TAB4",#N/A,TRUE,"GENERAL";"TAB5",#N/A,TRUE,"GENERAL"}</definedName>
    <definedName name="_o9" localSheetId="16" hidden="1">{"TAB1",#N/A,TRUE,"GENERAL";"TAB2",#N/A,TRUE,"GENERAL";"TAB3",#N/A,TRUE,"GENERAL";"TAB4",#N/A,TRUE,"GENERAL";"TAB5",#N/A,TRUE,"GENERAL"}</definedName>
    <definedName name="_o9" localSheetId="19" hidden="1">{"TAB1",#N/A,TRUE,"GENERAL";"TAB2",#N/A,TRUE,"GENERAL";"TAB3",#N/A,TRUE,"GENERAL";"TAB4",#N/A,TRUE,"GENERAL";"TAB5",#N/A,TRUE,"GENERAL"}</definedName>
    <definedName name="_o9" hidden="1">{"TAB1",#N/A,TRUE,"GENERAL";"TAB2",#N/A,TRUE,"GENERAL";"TAB3",#N/A,TRUE,"GENERAL";"TAB4",#N/A,TRUE,"GENERAL";"TAB5",#N/A,TRUE,"GENERAL"}</definedName>
    <definedName name="_Order1" hidden="1">255</definedName>
    <definedName name="_Order2" hidden="1">255</definedName>
    <definedName name="_p6" localSheetId="1" hidden="1">{"via1",#N/A,TRUE,"general";"via2",#N/A,TRUE,"general";"via3",#N/A,TRUE,"general"}</definedName>
    <definedName name="_p6" localSheetId="9" hidden="1">{"via1",#N/A,TRUE,"general";"via2",#N/A,TRUE,"general";"via3",#N/A,TRUE,"general"}</definedName>
    <definedName name="_p6" localSheetId="16" hidden="1">{"via1",#N/A,TRUE,"general";"via2",#N/A,TRUE,"general";"via3",#N/A,TRUE,"general"}</definedName>
    <definedName name="_p6" localSheetId="19" hidden="1">{"via1",#N/A,TRUE,"general";"via2",#N/A,TRUE,"general";"via3",#N/A,TRUE,"general"}</definedName>
    <definedName name="_p6" hidden="1">{"via1",#N/A,TRUE,"general";"via2",#N/A,TRUE,"general";"via3",#N/A,TRUE,"general"}</definedName>
    <definedName name="_p7" localSheetId="1" hidden="1">{"via1",#N/A,TRUE,"general";"via2",#N/A,TRUE,"general";"via3",#N/A,TRUE,"general"}</definedName>
    <definedName name="_p7" localSheetId="9" hidden="1">{"via1",#N/A,TRUE,"general";"via2",#N/A,TRUE,"general";"via3",#N/A,TRUE,"general"}</definedName>
    <definedName name="_p7" localSheetId="16" hidden="1">{"via1",#N/A,TRUE,"general";"via2",#N/A,TRUE,"general";"via3",#N/A,TRUE,"general"}</definedName>
    <definedName name="_p7" localSheetId="19" hidden="1">{"via1",#N/A,TRUE,"general";"via2",#N/A,TRUE,"general";"via3",#N/A,TRUE,"general"}</definedName>
    <definedName name="_p7" hidden="1">{"via1",#N/A,TRUE,"general";"via2",#N/A,TRUE,"general";"via3",#N/A,TRUE,"general"}</definedName>
    <definedName name="_p8" localSheetId="1" hidden="1">{"TAB1",#N/A,TRUE,"GENERAL";"TAB2",#N/A,TRUE,"GENERAL";"TAB3",#N/A,TRUE,"GENERAL";"TAB4",#N/A,TRUE,"GENERAL";"TAB5",#N/A,TRUE,"GENERAL"}</definedName>
    <definedName name="_p8" localSheetId="9" hidden="1">{"TAB1",#N/A,TRUE,"GENERAL";"TAB2",#N/A,TRUE,"GENERAL";"TAB3",#N/A,TRUE,"GENERAL";"TAB4",#N/A,TRUE,"GENERAL";"TAB5",#N/A,TRUE,"GENERAL"}</definedName>
    <definedName name="_p8" localSheetId="16" hidden="1">{"TAB1",#N/A,TRUE,"GENERAL";"TAB2",#N/A,TRUE,"GENERAL";"TAB3",#N/A,TRUE,"GENERAL";"TAB4",#N/A,TRUE,"GENERAL";"TAB5",#N/A,TRUE,"GENERAL"}</definedName>
    <definedName name="_p8" localSheetId="19" hidden="1">{"TAB1",#N/A,TRUE,"GENERAL";"TAB2",#N/A,TRUE,"GENERAL";"TAB3",#N/A,TRUE,"GENERAL";"TAB4",#N/A,TRUE,"GENERAL";"TAB5",#N/A,TRUE,"GENERAL"}</definedName>
    <definedName name="_p8" hidden="1">{"TAB1",#N/A,TRUE,"GENERAL";"TAB2",#N/A,TRUE,"GENERAL";"TAB3",#N/A,TRUE,"GENERAL";"TAB4",#N/A,TRUE,"GENERAL";"TAB5",#N/A,TRUE,"GENERAL"}</definedName>
    <definedName name="_Pa1">'[5]Paral. 1'!$E$1:$E$65536</definedName>
    <definedName name="_Pa2">'[5]Paral. 2'!$E$1:$E$65536</definedName>
    <definedName name="_Pa3">'[5]Paral. 3'!$E$1:$E$65536</definedName>
    <definedName name="_Pa4">[5]Paral.4!$E$1:$E$65536</definedName>
    <definedName name="_PJ50" localSheetId="16">#REF!</definedName>
    <definedName name="_PJ50">#REF!</definedName>
    <definedName name="_pj51" localSheetId="16">#REF!</definedName>
    <definedName name="_pj51">#REF!</definedName>
    <definedName name="_pl1" localSheetId="16">'[15]Gabinetes ctrol, prot. y med. '!#REF!</definedName>
    <definedName name="_pl1">'[15]Gabinetes ctrol, prot. y med. '!#REF!</definedName>
    <definedName name="_pl2" localSheetId="16">'[15]Gabinetes ctrol, prot. y med. '!#REF!</definedName>
    <definedName name="_pl2">'[15]Gabinetes ctrol, prot. y med. '!#REF!</definedName>
    <definedName name="_PRE1" localSheetId="16">#REF!</definedName>
    <definedName name="_PRE1" localSheetId="19">#REF!</definedName>
    <definedName name="_PRE1">#REF!</definedName>
    <definedName name="_r" localSheetId="1" hidden="1">{"TAB1",#N/A,TRUE,"GENERAL";"TAB2",#N/A,TRUE,"GENERAL";"TAB3",#N/A,TRUE,"GENERAL";"TAB4",#N/A,TRUE,"GENERAL";"TAB5",#N/A,TRUE,"GENERAL"}</definedName>
    <definedName name="_r" localSheetId="9" hidden="1">{"TAB1",#N/A,TRUE,"GENERAL";"TAB2",#N/A,TRUE,"GENERAL";"TAB3",#N/A,TRUE,"GENERAL";"TAB4",#N/A,TRUE,"GENERAL";"TAB5",#N/A,TRUE,"GENERAL"}</definedName>
    <definedName name="_r" localSheetId="16" hidden="1">{"TAB1",#N/A,TRUE,"GENERAL";"TAB2",#N/A,TRUE,"GENERAL";"TAB3",#N/A,TRUE,"GENERAL";"TAB4",#N/A,TRUE,"GENERAL";"TAB5",#N/A,TRUE,"GENERAL"}</definedName>
    <definedName name="_r" localSheetId="3" hidden="1">#REF!</definedName>
    <definedName name="_r" localSheetId="19" hidden="1">{"TAB1",#N/A,TRUE,"GENERAL";"TAB2",#N/A,TRUE,"GENERAL";"TAB3",#N/A,TRUE,"GENERAL";"TAB4",#N/A,TRUE,"GENERAL";"TAB5",#N/A,TRUE,"GENERAL"}</definedName>
    <definedName name="_r" hidden="1">{"TAB1",#N/A,TRUE,"GENERAL";"TAB2",#N/A,TRUE,"GENERAL";"TAB3",#N/A,TRUE,"GENERAL";"TAB4",#N/A,TRUE,"GENERAL";"TAB5",#N/A,TRUE,"GENERAL"}</definedName>
    <definedName name="_r4r" localSheetId="1" hidden="1">{"via1",#N/A,TRUE,"general";"via2",#N/A,TRUE,"general";"via3",#N/A,TRUE,"general"}</definedName>
    <definedName name="_r4r" localSheetId="9" hidden="1">{"via1",#N/A,TRUE,"general";"via2",#N/A,TRUE,"general";"via3",#N/A,TRUE,"general"}</definedName>
    <definedName name="_r4r" localSheetId="16" hidden="1">{"via1",#N/A,TRUE,"general";"via2",#N/A,TRUE,"general";"via3",#N/A,TRUE,"general"}</definedName>
    <definedName name="_r4r" localSheetId="19" hidden="1">{"via1",#N/A,TRUE,"general";"via2",#N/A,TRUE,"general";"via3",#N/A,TRUE,"general"}</definedName>
    <definedName name="_r4r" hidden="1">{"via1",#N/A,TRUE,"general";"via2",#N/A,TRUE,"general";"via3",#N/A,TRUE,"general"}</definedName>
    <definedName name="_rc" localSheetId="3">#REF!</definedName>
    <definedName name="_rc">#REF!</definedName>
    <definedName name="_REP43">[16]BASE!$D$136</definedName>
    <definedName name="_rtu6" localSheetId="1" hidden="1">{"via1",#N/A,TRUE,"general";"via2",#N/A,TRUE,"general";"via3",#N/A,TRUE,"general"}</definedName>
    <definedName name="_rtu6" localSheetId="9" hidden="1">{"via1",#N/A,TRUE,"general";"via2",#N/A,TRUE,"general";"via3",#N/A,TRUE,"general"}</definedName>
    <definedName name="_rtu6" localSheetId="16" hidden="1">{"via1",#N/A,TRUE,"general";"via2",#N/A,TRUE,"general";"via3",#N/A,TRUE,"general"}</definedName>
    <definedName name="_rtu6" localSheetId="19" hidden="1">{"via1",#N/A,TRUE,"general";"via2",#N/A,TRUE,"general";"via3",#N/A,TRUE,"general"}</definedName>
    <definedName name="_rtu6" hidden="1">{"via1",#N/A,TRUE,"general";"via2",#N/A,TRUE,"general";"via3",#N/A,TRUE,"general"}</definedName>
    <definedName name="_s1" localSheetId="1" hidden="1">{"via1",#N/A,TRUE,"general";"via2",#N/A,TRUE,"general";"via3",#N/A,TRUE,"general"}</definedName>
    <definedName name="_s1" localSheetId="9" hidden="1">{"via1",#N/A,TRUE,"general";"via2",#N/A,TRUE,"general";"via3",#N/A,TRUE,"general"}</definedName>
    <definedName name="_s1" localSheetId="16" hidden="1">{"via1",#N/A,TRUE,"general";"via2",#N/A,TRUE,"general";"via3",#N/A,TRUE,"general"}</definedName>
    <definedName name="_s1" localSheetId="19" hidden="1">{"via1",#N/A,TRUE,"general";"via2",#N/A,TRUE,"general";"via3",#N/A,TRUE,"general"}</definedName>
    <definedName name="_s1" hidden="1">{"via1",#N/A,TRUE,"general";"via2",#N/A,TRUE,"general";"via3",#N/A,TRUE,"general"}</definedName>
    <definedName name="_s2" localSheetId="1" hidden="1">{"TAB1",#N/A,TRUE,"GENERAL";"TAB2",#N/A,TRUE,"GENERAL";"TAB3",#N/A,TRUE,"GENERAL";"TAB4",#N/A,TRUE,"GENERAL";"TAB5",#N/A,TRUE,"GENERAL"}</definedName>
    <definedName name="_s2" localSheetId="9" hidden="1">{"TAB1",#N/A,TRUE,"GENERAL";"TAB2",#N/A,TRUE,"GENERAL";"TAB3",#N/A,TRUE,"GENERAL";"TAB4",#N/A,TRUE,"GENERAL";"TAB5",#N/A,TRUE,"GENERAL"}</definedName>
    <definedName name="_s2" localSheetId="16" hidden="1">{"TAB1",#N/A,TRUE,"GENERAL";"TAB2",#N/A,TRUE,"GENERAL";"TAB3",#N/A,TRUE,"GENERAL";"TAB4",#N/A,TRUE,"GENERAL";"TAB5",#N/A,TRUE,"GENERAL"}</definedName>
    <definedName name="_s2" localSheetId="19" hidden="1">{"TAB1",#N/A,TRUE,"GENERAL";"TAB2",#N/A,TRUE,"GENERAL";"TAB3",#N/A,TRUE,"GENERAL";"TAB4",#N/A,TRUE,"GENERAL";"TAB5",#N/A,TRUE,"GENERAL"}</definedName>
    <definedName name="_s2" hidden="1">{"TAB1",#N/A,TRUE,"GENERAL";"TAB2",#N/A,TRUE,"GENERAL";"TAB3",#N/A,TRUE,"GENERAL";"TAB4",#N/A,TRUE,"GENERAL";"TAB5",#N/A,TRUE,"GENERAL"}</definedName>
    <definedName name="_s3" localSheetId="1" hidden="1">{"TAB1",#N/A,TRUE,"GENERAL";"TAB2",#N/A,TRUE,"GENERAL";"TAB3",#N/A,TRUE,"GENERAL";"TAB4",#N/A,TRUE,"GENERAL";"TAB5",#N/A,TRUE,"GENERAL"}</definedName>
    <definedName name="_s3" localSheetId="9" hidden="1">{"TAB1",#N/A,TRUE,"GENERAL";"TAB2",#N/A,TRUE,"GENERAL";"TAB3",#N/A,TRUE,"GENERAL";"TAB4",#N/A,TRUE,"GENERAL";"TAB5",#N/A,TRUE,"GENERAL"}</definedName>
    <definedName name="_s3" localSheetId="16" hidden="1">{"TAB1",#N/A,TRUE,"GENERAL";"TAB2",#N/A,TRUE,"GENERAL";"TAB3",#N/A,TRUE,"GENERAL";"TAB4",#N/A,TRUE,"GENERAL";"TAB5",#N/A,TRUE,"GENERAL"}</definedName>
    <definedName name="_s3" localSheetId="19" hidden="1">{"TAB1",#N/A,TRUE,"GENERAL";"TAB2",#N/A,TRUE,"GENERAL";"TAB3",#N/A,TRUE,"GENERAL";"TAB4",#N/A,TRUE,"GENERAL";"TAB5",#N/A,TRUE,"GENERAL"}</definedName>
    <definedName name="_s3" hidden="1">{"TAB1",#N/A,TRUE,"GENERAL";"TAB2",#N/A,TRUE,"GENERAL";"TAB3",#N/A,TRUE,"GENERAL";"TAB4",#N/A,TRUE,"GENERAL";"TAB5",#N/A,TRUE,"GENERAL"}</definedName>
    <definedName name="_s4" localSheetId="1" hidden="1">{"via1",#N/A,TRUE,"general";"via2",#N/A,TRUE,"general";"via3",#N/A,TRUE,"general"}</definedName>
    <definedName name="_s4" localSheetId="9" hidden="1">{"via1",#N/A,TRUE,"general";"via2",#N/A,TRUE,"general";"via3",#N/A,TRUE,"general"}</definedName>
    <definedName name="_s4" localSheetId="16" hidden="1">{"via1",#N/A,TRUE,"general";"via2",#N/A,TRUE,"general";"via3",#N/A,TRUE,"general"}</definedName>
    <definedName name="_s4" localSheetId="19" hidden="1">{"via1",#N/A,TRUE,"general";"via2",#N/A,TRUE,"general";"via3",#N/A,TRUE,"general"}</definedName>
    <definedName name="_s4" hidden="1">{"via1",#N/A,TRUE,"general";"via2",#N/A,TRUE,"general";"via3",#N/A,TRUE,"general"}</definedName>
    <definedName name="_s5" localSheetId="1" hidden="1">{"via1",#N/A,TRUE,"general";"via2",#N/A,TRUE,"general";"via3",#N/A,TRUE,"general"}</definedName>
    <definedName name="_s5" localSheetId="9" hidden="1">{"via1",#N/A,TRUE,"general";"via2",#N/A,TRUE,"general";"via3",#N/A,TRUE,"general"}</definedName>
    <definedName name="_s5" localSheetId="16" hidden="1">{"via1",#N/A,TRUE,"general";"via2",#N/A,TRUE,"general";"via3",#N/A,TRUE,"general"}</definedName>
    <definedName name="_s5" localSheetId="19" hidden="1">{"via1",#N/A,TRUE,"general";"via2",#N/A,TRUE,"general";"via3",#N/A,TRUE,"general"}</definedName>
    <definedName name="_s5" hidden="1">{"via1",#N/A,TRUE,"general";"via2",#N/A,TRUE,"general";"via3",#N/A,TRUE,"general"}</definedName>
    <definedName name="_s6" localSheetId="1" hidden="1">{"TAB1",#N/A,TRUE,"GENERAL";"TAB2",#N/A,TRUE,"GENERAL";"TAB3",#N/A,TRUE,"GENERAL";"TAB4",#N/A,TRUE,"GENERAL";"TAB5",#N/A,TRUE,"GENERAL"}</definedName>
    <definedName name="_s6" localSheetId="9" hidden="1">{"TAB1",#N/A,TRUE,"GENERAL";"TAB2",#N/A,TRUE,"GENERAL";"TAB3",#N/A,TRUE,"GENERAL";"TAB4",#N/A,TRUE,"GENERAL";"TAB5",#N/A,TRUE,"GENERAL"}</definedName>
    <definedName name="_s6" localSheetId="16" hidden="1">{"TAB1",#N/A,TRUE,"GENERAL";"TAB2",#N/A,TRUE,"GENERAL";"TAB3",#N/A,TRUE,"GENERAL";"TAB4",#N/A,TRUE,"GENERAL";"TAB5",#N/A,TRUE,"GENERAL"}</definedName>
    <definedName name="_s6" localSheetId="19" hidden="1">{"TAB1",#N/A,TRUE,"GENERAL";"TAB2",#N/A,TRUE,"GENERAL";"TAB3",#N/A,TRUE,"GENERAL";"TAB4",#N/A,TRUE,"GENERAL";"TAB5",#N/A,TRUE,"GENERAL"}</definedName>
    <definedName name="_s6" hidden="1">{"TAB1",#N/A,TRUE,"GENERAL";"TAB2",#N/A,TRUE,"GENERAL";"TAB3",#N/A,TRUE,"GENERAL";"TAB4",#N/A,TRUE,"GENERAL";"TAB5",#N/A,TRUE,"GENERAL"}</definedName>
    <definedName name="_s7" localSheetId="1" hidden="1">{"via1",#N/A,TRUE,"general";"via2",#N/A,TRUE,"general";"via3",#N/A,TRUE,"general"}</definedName>
    <definedName name="_s7" localSheetId="9" hidden="1">{"via1",#N/A,TRUE,"general";"via2",#N/A,TRUE,"general";"via3",#N/A,TRUE,"general"}</definedName>
    <definedName name="_s7" localSheetId="16" hidden="1">{"via1",#N/A,TRUE,"general";"via2",#N/A,TRUE,"general";"via3",#N/A,TRUE,"general"}</definedName>
    <definedName name="_s7" localSheetId="19" hidden="1">{"via1",#N/A,TRUE,"general";"via2",#N/A,TRUE,"general";"via3",#N/A,TRUE,"general"}</definedName>
    <definedName name="_s7" hidden="1">{"via1",#N/A,TRUE,"general";"via2",#N/A,TRUE,"general";"via3",#N/A,TRUE,"general"}</definedName>
    <definedName name="_s90" localSheetId="3">#REF!</definedName>
    <definedName name="_s90">#REF!</definedName>
    <definedName name="_SBC1">[2]INV!$A$12:$D$15</definedName>
    <definedName name="_SBC3">[2]INV!$F$12:$I$15</definedName>
    <definedName name="_SBC5">[2]INV!$K$12:$N$15</definedName>
    <definedName name="_Sort" localSheetId="16" hidden="1">#REF!</definedName>
    <definedName name="_Sort" localSheetId="3" hidden="1">#REF!</definedName>
    <definedName name="_Sort" hidden="1">#REF!</definedName>
    <definedName name="_t3" localSheetId="1" hidden="1">{"TAB1",#N/A,TRUE,"GENERAL";"TAB2",#N/A,TRUE,"GENERAL";"TAB3",#N/A,TRUE,"GENERAL";"TAB4",#N/A,TRUE,"GENERAL";"TAB5",#N/A,TRUE,"GENERAL"}</definedName>
    <definedName name="_t3" localSheetId="9" hidden="1">{"TAB1",#N/A,TRUE,"GENERAL";"TAB2",#N/A,TRUE,"GENERAL";"TAB3",#N/A,TRUE,"GENERAL";"TAB4",#N/A,TRUE,"GENERAL";"TAB5",#N/A,TRUE,"GENERAL"}</definedName>
    <definedName name="_t3" localSheetId="16" hidden="1">{"TAB1",#N/A,TRUE,"GENERAL";"TAB2",#N/A,TRUE,"GENERAL";"TAB3",#N/A,TRUE,"GENERAL";"TAB4",#N/A,TRUE,"GENERAL";"TAB5",#N/A,TRUE,"GENERAL"}</definedName>
    <definedName name="_t3" localSheetId="19" hidden="1">{"TAB1",#N/A,TRUE,"GENERAL";"TAB2",#N/A,TRUE,"GENERAL";"TAB3",#N/A,TRUE,"GENERAL";"TAB4",#N/A,TRUE,"GENERAL";"TAB5",#N/A,TRUE,"GENERAL"}</definedName>
    <definedName name="_t3" hidden="1">{"TAB1",#N/A,TRUE,"GENERAL";"TAB2",#N/A,TRUE,"GENERAL";"TAB3",#N/A,TRUE,"GENERAL";"TAB4",#N/A,TRUE,"GENERAL";"TAB5",#N/A,TRUE,"GENERAL"}</definedName>
    <definedName name="_t4" localSheetId="1" hidden="1">{"via1",#N/A,TRUE,"general";"via2",#N/A,TRUE,"general";"via3",#N/A,TRUE,"general"}</definedName>
    <definedName name="_t4" localSheetId="9" hidden="1">{"via1",#N/A,TRUE,"general";"via2",#N/A,TRUE,"general";"via3",#N/A,TRUE,"general"}</definedName>
    <definedName name="_t4" localSheetId="16" hidden="1">{"via1",#N/A,TRUE,"general";"via2",#N/A,TRUE,"general";"via3",#N/A,TRUE,"general"}</definedName>
    <definedName name="_t4" localSheetId="19" hidden="1">{"via1",#N/A,TRUE,"general";"via2",#N/A,TRUE,"general";"via3",#N/A,TRUE,"general"}</definedName>
    <definedName name="_t4" hidden="1">{"via1",#N/A,TRUE,"general";"via2",#N/A,TRUE,"general";"via3",#N/A,TRUE,"general"}</definedName>
    <definedName name="_t5" localSheetId="1" hidden="1">{"TAB1",#N/A,TRUE,"GENERAL";"TAB2",#N/A,TRUE,"GENERAL";"TAB3",#N/A,TRUE,"GENERAL";"TAB4",#N/A,TRUE,"GENERAL";"TAB5",#N/A,TRUE,"GENERAL"}</definedName>
    <definedName name="_t5" localSheetId="9" hidden="1">{"TAB1",#N/A,TRUE,"GENERAL";"TAB2",#N/A,TRUE,"GENERAL";"TAB3",#N/A,TRUE,"GENERAL";"TAB4",#N/A,TRUE,"GENERAL";"TAB5",#N/A,TRUE,"GENERAL"}</definedName>
    <definedName name="_t5" localSheetId="16" hidden="1">{"TAB1",#N/A,TRUE,"GENERAL";"TAB2",#N/A,TRUE,"GENERAL";"TAB3",#N/A,TRUE,"GENERAL";"TAB4",#N/A,TRUE,"GENERAL";"TAB5",#N/A,TRUE,"GENERAL"}</definedName>
    <definedName name="_t5" localSheetId="19" hidden="1">{"TAB1",#N/A,TRUE,"GENERAL";"TAB2",#N/A,TRUE,"GENERAL";"TAB3",#N/A,TRUE,"GENERAL";"TAB4",#N/A,TRUE,"GENERAL";"TAB5",#N/A,TRUE,"GENERAL"}</definedName>
    <definedName name="_t5" hidden="1">{"TAB1",#N/A,TRUE,"GENERAL";"TAB2",#N/A,TRUE,"GENERAL";"TAB3",#N/A,TRUE,"GENERAL";"TAB4",#N/A,TRUE,"GENERAL";"TAB5",#N/A,TRUE,"GENERAL"}</definedName>
    <definedName name="_t6" localSheetId="1" hidden="1">{"via1",#N/A,TRUE,"general";"via2",#N/A,TRUE,"general";"via3",#N/A,TRUE,"general"}</definedName>
    <definedName name="_t6" localSheetId="9" hidden="1">{"via1",#N/A,TRUE,"general";"via2",#N/A,TRUE,"general";"via3",#N/A,TRUE,"general"}</definedName>
    <definedName name="_t6" localSheetId="16" hidden="1">{"via1",#N/A,TRUE,"general";"via2",#N/A,TRUE,"general";"via3",#N/A,TRUE,"general"}</definedName>
    <definedName name="_t6" localSheetId="19" hidden="1">{"via1",#N/A,TRUE,"general";"via2",#N/A,TRUE,"general";"via3",#N/A,TRUE,"general"}</definedName>
    <definedName name="_t6" hidden="1">{"via1",#N/A,TRUE,"general";"via2",#N/A,TRUE,"general";"via3",#N/A,TRUE,"general"}</definedName>
    <definedName name="_t66" localSheetId="1" hidden="1">{"TAB1",#N/A,TRUE,"GENERAL";"TAB2",#N/A,TRUE,"GENERAL";"TAB3",#N/A,TRUE,"GENERAL";"TAB4",#N/A,TRUE,"GENERAL";"TAB5",#N/A,TRUE,"GENERAL"}</definedName>
    <definedName name="_t66" localSheetId="9" hidden="1">{"TAB1",#N/A,TRUE,"GENERAL";"TAB2",#N/A,TRUE,"GENERAL";"TAB3",#N/A,TRUE,"GENERAL";"TAB4",#N/A,TRUE,"GENERAL";"TAB5",#N/A,TRUE,"GENERAL"}</definedName>
    <definedName name="_t66" localSheetId="16" hidden="1">{"TAB1",#N/A,TRUE,"GENERAL";"TAB2",#N/A,TRUE,"GENERAL";"TAB3",#N/A,TRUE,"GENERAL";"TAB4",#N/A,TRUE,"GENERAL";"TAB5",#N/A,TRUE,"GENERAL"}</definedName>
    <definedName name="_t66" localSheetId="19" hidden="1">{"TAB1",#N/A,TRUE,"GENERAL";"TAB2",#N/A,TRUE,"GENERAL";"TAB3",#N/A,TRUE,"GENERAL";"TAB4",#N/A,TRUE,"GENERAL";"TAB5",#N/A,TRUE,"GENERAL"}</definedName>
    <definedName name="_t66" hidden="1">{"TAB1",#N/A,TRUE,"GENERAL";"TAB2",#N/A,TRUE,"GENERAL";"TAB3",#N/A,TRUE,"GENERAL";"TAB4",#N/A,TRUE,"GENERAL";"TAB5",#N/A,TRUE,"GENERAL"}</definedName>
    <definedName name="_t7" localSheetId="1" hidden="1">{"via1",#N/A,TRUE,"general";"via2",#N/A,TRUE,"general";"via3",#N/A,TRUE,"general"}</definedName>
    <definedName name="_t7" localSheetId="9" hidden="1">{"via1",#N/A,TRUE,"general";"via2",#N/A,TRUE,"general";"via3",#N/A,TRUE,"general"}</definedName>
    <definedName name="_t7" localSheetId="16" hidden="1">{"via1",#N/A,TRUE,"general";"via2",#N/A,TRUE,"general";"via3",#N/A,TRUE,"general"}</definedName>
    <definedName name="_t7" localSheetId="19" hidden="1">{"via1",#N/A,TRUE,"general";"via2",#N/A,TRUE,"general";"via3",#N/A,TRUE,"general"}</definedName>
    <definedName name="_t7" hidden="1">{"via1",#N/A,TRUE,"general";"via2",#N/A,TRUE,"general";"via3",#N/A,TRUE,"general"}</definedName>
    <definedName name="_t77" localSheetId="1" hidden="1">{"TAB1",#N/A,TRUE,"GENERAL";"TAB2",#N/A,TRUE,"GENERAL";"TAB3",#N/A,TRUE,"GENERAL";"TAB4",#N/A,TRUE,"GENERAL";"TAB5",#N/A,TRUE,"GENERAL"}</definedName>
    <definedName name="_t77" localSheetId="9" hidden="1">{"TAB1",#N/A,TRUE,"GENERAL";"TAB2",#N/A,TRUE,"GENERAL";"TAB3",#N/A,TRUE,"GENERAL";"TAB4",#N/A,TRUE,"GENERAL";"TAB5",#N/A,TRUE,"GENERAL"}</definedName>
    <definedName name="_t77" localSheetId="16" hidden="1">{"TAB1",#N/A,TRUE,"GENERAL";"TAB2",#N/A,TRUE,"GENERAL";"TAB3",#N/A,TRUE,"GENERAL";"TAB4",#N/A,TRUE,"GENERAL";"TAB5",#N/A,TRUE,"GENERAL"}</definedName>
    <definedName name="_t77" localSheetId="19" hidden="1">{"TAB1",#N/A,TRUE,"GENERAL";"TAB2",#N/A,TRUE,"GENERAL";"TAB3",#N/A,TRUE,"GENERAL";"TAB4",#N/A,TRUE,"GENERAL";"TAB5",#N/A,TRUE,"GENERAL"}</definedName>
    <definedName name="_t77" hidden="1">{"TAB1",#N/A,TRUE,"GENERAL";"TAB2",#N/A,TRUE,"GENERAL";"TAB3",#N/A,TRUE,"GENERAL";"TAB4",#N/A,TRUE,"GENERAL";"TAB5",#N/A,TRUE,"GENERAL"}</definedName>
    <definedName name="_t8" localSheetId="1" hidden="1">{"TAB1",#N/A,TRUE,"GENERAL";"TAB2",#N/A,TRUE,"GENERAL";"TAB3",#N/A,TRUE,"GENERAL";"TAB4",#N/A,TRUE,"GENERAL";"TAB5",#N/A,TRUE,"GENERAL"}</definedName>
    <definedName name="_t8" localSheetId="9" hidden="1">{"TAB1",#N/A,TRUE,"GENERAL";"TAB2",#N/A,TRUE,"GENERAL";"TAB3",#N/A,TRUE,"GENERAL";"TAB4",#N/A,TRUE,"GENERAL";"TAB5",#N/A,TRUE,"GENERAL"}</definedName>
    <definedName name="_t8" localSheetId="16" hidden="1">{"TAB1",#N/A,TRUE,"GENERAL";"TAB2",#N/A,TRUE,"GENERAL";"TAB3",#N/A,TRUE,"GENERAL";"TAB4",#N/A,TRUE,"GENERAL";"TAB5",#N/A,TRUE,"GENERAL"}</definedName>
    <definedName name="_t8" localSheetId="19" hidden="1">{"TAB1",#N/A,TRUE,"GENERAL";"TAB2",#N/A,TRUE,"GENERAL";"TAB3",#N/A,TRUE,"GENERAL";"TAB4",#N/A,TRUE,"GENERAL";"TAB5",#N/A,TRUE,"GENERAL"}</definedName>
    <definedName name="_t8" hidden="1">{"TAB1",#N/A,TRUE,"GENERAL";"TAB2",#N/A,TRUE,"GENERAL";"TAB3",#N/A,TRUE,"GENERAL";"TAB4",#N/A,TRUE,"GENERAL";"TAB5",#N/A,TRUE,"GENERAL"}</definedName>
    <definedName name="_t88" localSheetId="1" hidden="1">{"via1",#N/A,TRUE,"general";"via2",#N/A,TRUE,"general";"via3",#N/A,TRUE,"general"}</definedName>
    <definedName name="_t88" localSheetId="9" hidden="1">{"via1",#N/A,TRUE,"general";"via2",#N/A,TRUE,"general";"via3",#N/A,TRUE,"general"}</definedName>
    <definedName name="_t88" localSheetId="16" hidden="1">{"via1",#N/A,TRUE,"general";"via2",#N/A,TRUE,"general";"via3",#N/A,TRUE,"general"}</definedName>
    <definedName name="_t88" localSheetId="19" hidden="1">{"via1",#N/A,TRUE,"general";"via2",#N/A,TRUE,"general";"via3",#N/A,TRUE,"general"}</definedName>
    <definedName name="_t88" hidden="1">{"via1",#N/A,TRUE,"general";"via2",#N/A,TRUE,"general";"via3",#N/A,TRUE,"general"}</definedName>
    <definedName name="_t9" localSheetId="1" hidden="1">{"TAB1",#N/A,TRUE,"GENERAL";"TAB2",#N/A,TRUE,"GENERAL";"TAB3",#N/A,TRUE,"GENERAL";"TAB4",#N/A,TRUE,"GENERAL";"TAB5",#N/A,TRUE,"GENERAL"}</definedName>
    <definedName name="_t9" localSheetId="9" hidden="1">{"TAB1",#N/A,TRUE,"GENERAL";"TAB2",#N/A,TRUE,"GENERAL";"TAB3",#N/A,TRUE,"GENERAL";"TAB4",#N/A,TRUE,"GENERAL";"TAB5",#N/A,TRUE,"GENERAL"}</definedName>
    <definedName name="_t9" localSheetId="16" hidden="1">{"TAB1",#N/A,TRUE,"GENERAL";"TAB2",#N/A,TRUE,"GENERAL";"TAB3",#N/A,TRUE,"GENERAL";"TAB4",#N/A,TRUE,"GENERAL";"TAB5",#N/A,TRUE,"GENERAL"}</definedName>
    <definedName name="_t9" localSheetId="19" hidden="1">{"TAB1",#N/A,TRUE,"GENERAL";"TAB2",#N/A,TRUE,"GENERAL";"TAB3",#N/A,TRUE,"GENERAL";"TAB4",#N/A,TRUE,"GENERAL";"TAB5",#N/A,TRUE,"GENERAL"}</definedName>
    <definedName name="_t9" hidden="1">{"TAB1",#N/A,TRUE,"GENERAL";"TAB2",#N/A,TRUE,"GENERAL";"TAB3",#N/A,TRUE,"GENERAL";"TAB4",#N/A,TRUE,"GENERAL";"TAB5",#N/A,TRUE,"GENERAL"}</definedName>
    <definedName name="_t99" localSheetId="1" hidden="1">{"via1",#N/A,TRUE,"general";"via2",#N/A,TRUE,"general";"via3",#N/A,TRUE,"general"}</definedName>
    <definedName name="_t99" localSheetId="9" hidden="1">{"via1",#N/A,TRUE,"general";"via2",#N/A,TRUE,"general";"via3",#N/A,TRUE,"general"}</definedName>
    <definedName name="_t99" localSheetId="16" hidden="1">{"via1",#N/A,TRUE,"general";"via2",#N/A,TRUE,"general";"via3",#N/A,TRUE,"general"}</definedName>
    <definedName name="_t99" localSheetId="19" hidden="1">{"via1",#N/A,TRUE,"general";"via2",#N/A,TRUE,"general";"via3",#N/A,TRUE,"general"}</definedName>
    <definedName name="_t99" hidden="1">{"via1",#N/A,TRUE,"general";"via2",#N/A,TRUE,"general";"via3",#N/A,TRUE,"general"}</definedName>
    <definedName name="_TPE12">#REF!</definedName>
    <definedName name="_TZ212" localSheetId="1">[7]BASE!$D$73</definedName>
    <definedName name="_TZ212" localSheetId="16">[7]BASE!$D$73</definedName>
    <definedName name="_TZ212">[7]BASE!$D$73</definedName>
    <definedName name="_u4" localSheetId="1" hidden="1">{"TAB1",#N/A,TRUE,"GENERAL";"TAB2",#N/A,TRUE,"GENERAL";"TAB3",#N/A,TRUE,"GENERAL";"TAB4",#N/A,TRUE,"GENERAL";"TAB5",#N/A,TRUE,"GENERAL"}</definedName>
    <definedName name="_u4" localSheetId="9" hidden="1">{"TAB1",#N/A,TRUE,"GENERAL";"TAB2",#N/A,TRUE,"GENERAL";"TAB3",#N/A,TRUE,"GENERAL";"TAB4",#N/A,TRUE,"GENERAL";"TAB5",#N/A,TRUE,"GENERAL"}</definedName>
    <definedName name="_u4" localSheetId="16" hidden="1">{"TAB1",#N/A,TRUE,"GENERAL";"TAB2",#N/A,TRUE,"GENERAL";"TAB3",#N/A,TRUE,"GENERAL";"TAB4",#N/A,TRUE,"GENERAL";"TAB5",#N/A,TRUE,"GENERAL"}</definedName>
    <definedName name="_u4" localSheetId="19" hidden="1">{"TAB1",#N/A,TRUE,"GENERAL";"TAB2",#N/A,TRUE,"GENERAL";"TAB3",#N/A,TRUE,"GENERAL";"TAB4",#N/A,TRUE,"GENERAL";"TAB5",#N/A,TRUE,"GENERAL"}</definedName>
    <definedName name="_u4" hidden="1">{"TAB1",#N/A,TRUE,"GENERAL";"TAB2",#N/A,TRUE,"GENERAL";"TAB3",#N/A,TRUE,"GENERAL";"TAB4",#N/A,TRUE,"GENERAL";"TAB5",#N/A,TRUE,"GENERAL"}</definedName>
    <definedName name="_u5" localSheetId="1" hidden="1">{"TAB1",#N/A,TRUE,"GENERAL";"TAB2",#N/A,TRUE,"GENERAL";"TAB3",#N/A,TRUE,"GENERAL";"TAB4",#N/A,TRUE,"GENERAL";"TAB5",#N/A,TRUE,"GENERAL"}</definedName>
    <definedName name="_u5" localSheetId="9" hidden="1">{"TAB1",#N/A,TRUE,"GENERAL";"TAB2",#N/A,TRUE,"GENERAL";"TAB3",#N/A,TRUE,"GENERAL";"TAB4",#N/A,TRUE,"GENERAL";"TAB5",#N/A,TRUE,"GENERAL"}</definedName>
    <definedName name="_u5" localSheetId="16" hidden="1">{"TAB1",#N/A,TRUE,"GENERAL";"TAB2",#N/A,TRUE,"GENERAL";"TAB3",#N/A,TRUE,"GENERAL";"TAB4",#N/A,TRUE,"GENERAL";"TAB5",#N/A,TRUE,"GENERAL"}</definedName>
    <definedName name="_u5" localSheetId="19" hidden="1">{"TAB1",#N/A,TRUE,"GENERAL";"TAB2",#N/A,TRUE,"GENERAL";"TAB3",#N/A,TRUE,"GENERAL";"TAB4",#N/A,TRUE,"GENERAL";"TAB5",#N/A,TRUE,"GENERAL"}</definedName>
    <definedName name="_u5" hidden="1">{"TAB1",#N/A,TRUE,"GENERAL";"TAB2",#N/A,TRUE,"GENERAL";"TAB3",#N/A,TRUE,"GENERAL";"TAB4",#N/A,TRUE,"GENERAL";"TAB5",#N/A,TRUE,"GENERAL"}</definedName>
    <definedName name="_u6" localSheetId="1" hidden="1">{"TAB1",#N/A,TRUE,"GENERAL";"TAB2",#N/A,TRUE,"GENERAL";"TAB3",#N/A,TRUE,"GENERAL";"TAB4",#N/A,TRUE,"GENERAL";"TAB5",#N/A,TRUE,"GENERAL"}</definedName>
    <definedName name="_u6" localSheetId="9" hidden="1">{"TAB1",#N/A,TRUE,"GENERAL";"TAB2",#N/A,TRUE,"GENERAL";"TAB3",#N/A,TRUE,"GENERAL";"TAB4",#N/A,TRUE,"GENERAL";"TAB5",#N/A,TRUE,"GENERAL"}</definedName>
    <definedName name="_u6" localSheetId="16" hidden="1">{"TAB1",#N/A,TRUE,"GENERAL";"TAB2",#N/A,TRUE,"GENERAL";"TAB3",#N/A,TRUE,"GENERAL";"TAB4",#N/A,TRUE,"GENERAL";"TAB5",#N/A,TRUE,"GENERAL"}</definedName>
    <definedName name="_u6" localSheetId="19" hidden="1">{"TAB1",#N/A,TRUE,"GENERAL";"TAB2",#N/A,TRUE,"GENERAL";"TAB3",#N/A,TRUE,"GENERAL";"TAB4",#N/A,TRUE,"GENERAL";"TAB5",#N/A,TRUE,"GENERAL"}</definedName>
    <definedName name="_u6" hidden="1">{"TAB1",#N/A,TRUE,"GENERAL";"TAB2",#N/A,TRUE,"GENERAL";"TAB3",#N/A,TRUE,"GENERAL";"TAB4",#N/A,TRUE,"GENERAL";"TAB5",#N/A,TRUE,"GENERAL"}</definedName>
    <definedName name="_u7" localSheetId="1" hidden="1">{"via1",#N/A,TRUE,"general";"via2",#N/A,TRUE,"general";"via3",#N/A,TRUE,"general"}</definedName>
    <definedName name="_u7" localSheetId="9" hidden="1">{"via1",#N/A,TRUE,"general";"via2",#N/A,TRUE,"general";"via3",#N/A,TRUE,"general"}</definedName>
    <definedName name="_u7" localSheetId="16" hidden="1">{"via1",#N/A,TRUE,"general";"via2",#N/A,TRUE,"general";"via3",#N/A,TRUE,"general"}</definedName>
    <definedName name="_u7" localSheetId="19" hidden="1">{"via1",#N/A,TRUE,"general";"via2",#N/A,TRUE,"general";"via3",#N/A,TRUE,"general"}</definedName>
    <definedName name="_u7" hidden="1">{"via1",#N/A,TRUE,"general";"via2",#N/A,TRUE,"general";"via3",#N/A,TRUE,"general"}</definedName>
    <definedName name="_u8" localSheetId="1" hidden="1">{"TAB1",#N/A,TRUE,"GENERAL";"TAB2",#N/A,TRUE,"GENERAL";"TAB3",#N/A,TRUE,"GENERAL";"TAB4",#N/A,TRUE,"GENERAL";"TAB5",#N/A,TRUE,"GENERAL"}</definedName>
    <definedName name="_u8" localSheetId="9" hidden="1">{"TAB1",#N/A,TRUE,"GENERAL";"TAB2",#N/A,TRUE,"GENERAL";"TAB3",#N/A,TRUE,"GENERAL";"TAB4",#N/A,TRUE,"GENERAL";"TAB5",#N/A,TRUE,"GENERAL"}</definedName>
    <definedName name="_u8" localSheetId="16" hidden="1">{"TAB1",#N/A,TRUE,"GENERAL";"TAB2",#N/A,TRUE,"GENERAL";"TAB3",#N/A,TRUE,"GENERAL";"TAB4",#N/A,TRUE,"GENERAL";"TAB5",#N/A,TRUE,"GENERAL"}</definedName>
    <definedName name="_u8" localSheetId="19" hidden="1">{"TAB1",#N/A,TRUE,"GENERAL";"TAB2",#N/A,TRUE,"GENERAL";"TAB3",#N/A,TRUE,"GENERAL";"TAB4",#N/A,TRUE,"GENERAL";"TAB5",#N/A,TRUE,"GENERAL"}</definedName>
    <definedName name="_u8" hidden="1">{"TAB1",#N/A,TRUE,"GENERAL";"TAB2",#N/A,TRUE,"GENERAL";"TAB3",#N/A,TRUE,"GENERAL";"TAB4",#N/A,TRUE,"GENERAL";"TAB5",#N/A,TRUE,"GENERAL"}</definedName>
    <definedName name="_u9" localSheetId="1" hidden="1">{"TAB1",#N/A,TRUE,"GENERAL";"TAB2",#N/A,TRUE,"GENERAL";"TAB3",#N/A,TRUE,"GENERAL";"TAB4",#N/A,TRUE,"GENERAL";"TAB5",#N/A,TRUE,"GENERAL"}</definedName>
    <definedName name="_u9" localSheetId="9" hidden="1">{"TAB1",#N/A,TRUE,"GENERAL";"TAB2",#N/A,TRUE,"GENERAL";"TAB3",#N/A,TRUE,"GENERAL";"TAB4",#N/A,TRUE,"GENERAL";"TAB5",#N/A,TRUE,"GENERAL"}</definedName>
    <definedName name="_u9" localSheetId="16" hidden="1">{"TAB1",#N/A,TRUE,"GENERAL";"TAB2",#N/A,TRUE,"GENERAL";"TAB3",#N/A,TRUE,"GENERAL";"TAB4",#N/A,TRUE,"GENERAL";"TAB5",#N/A,TRUE,"GENERAL"}</definedName>
    <definedName name="_u9" localSheetId="19" hidden="1">{"TAB1",#N/A,TRUE,"GENERAL";"TAB2",#N/A,TRUE,"GENERAL";"TAB3",#N/A,TRUE,"GENERAL";"TAB4",#N/A,TRUE,"GENERAL";"TAB5",#N/A,TRUE,"GENERAL"}</definedName>
    <definedName name="_u9" hidden="1">{"TAB1",#N/A,TRUE,"GENERAL";"TAB2",#N/A,TRUE,"GENERAL";"TAB3",#N/A,TRUE,"GENERAL";"TAB4",#N/A,TRUE,"GENERAL";"TAB5",#N/A,TRUE,"GENERAL"}</definedName>
    <definedName name="_ur7" localSheetId="1" hidden="1">{"TAB1",#N/A,TRUE,"GENERAL";"TAB2",#N/A,TRUE,"GENERAL";"TAB3",#N/A,TRUE,"GENERAL";"TAB4",#N/A,TRUE,"GENERAL";"TAB5",#N/A,TRUE,"GENERAL"}</definedName>
    <definedName name="_ur7" localSheetId="9" hidden="1">{"TAB1",#N/A,TRUE,"GENERAL";"TAB2",#N/A,TRUE,"GENERAL";"TAB3",#N/A,TRUE,"GENERAL";"TAB4",#N/A,TRUE,"GENERAL";"TAB5",#N/A,TRUE,"GENERAL"}</definedName>
    <definedName name="_ur7" localSheetId="16" hidden="1">{"TAB1",#N/A,TRUE,"GENERAL";"TAB2",#N/A,TRUE,"GENERAL";"TAB3",#N/A,TRUE,"GENERAL";"TAB4",#N/A,TRUE,"GENERAL";"TAB5",#N/A,TRUE,"GENERAL"}</definedName>
    <definedName name="_ur7" localSheetId="19" hidden="1">{"TAB1",#N/A,TRUE,"GENERAL";"TAB2",#N/A,TRUE,"GENERAL";"TAB3",#N/A,TRUE,"GENERAL";"TAB4",#N/A,TRUE,"GENERAL";"TAB5",#N/A,TRUE,"GENERAL"}</definedName>
    <definedName name="_ur7" hidden="1">{"TAB1",#N/A,TRUE,"GENERAL";"TAB2",#N/A,TRUE,"GENERAL";"TAB3",#N/A,TRUE,"GENERAL";"TAB4",#N/A,TRUE,"GENERAL";"TAB5",#N/A,TRUE,"GENERAL"}</definedName>
    <definedName name="_v2" localSheetId="1" hidden="1">{"via1",#N/A,TRUE,"general";"via2",#N/A,TRUE,"general";"via3",#N/A,TRUE,"general"}</definedName>
    <definedName name="_v2" localSheetId="9" hidden="1">{"via1",#N/A,TRUE,"general";"via2",#N/A,TRUE,"general";"via3",#N/A,TRUE,"general"}</definedName>
    <definedName name="_v2" localSheetId="16" hidden="1">{"via1",#N/A,TRUE,"general";"via2",#N/A,TRUE,"general";"via3",#N/A,TRUE,"general"}</definedName>
    <definedName name="_v2" localSheetId="19" hidden="1">{"via1",#N/A,TRUE,"general";"via2",#N/A,TRUE,"general";"via3",#N/A,TRUE,"general"}</definedName>
    <definedName name="_v2" hidden="1">{"via1",#N/A,TRUE,"general";"via2",#N/A,TRUE,"general";"via3",#N/A,TRUE,"general"}</definedName>
    <definedName name="_v3" localSheetId="1" hidden="1">{"TAB1",#N/A,TRUE,"GENERAL";"TAB2",#N/A,TRUE,"GENERAL";"TAB3",#N/A,TRUE,"GENERAL";"TAB4",#N/A,TRUE,"GENERAL";"TAB5",#N/A,TRUE,"GENERAL"}</definedName>
    <definedName name="_v3" localSheetId="9" hidden="1">{"TAB1",#N/A,TRUE,"GENERAL";"TAB2",#N/A,TRUE,"GENERAL";"TAB3",#N/A,TRUE,"GENERAL";"TAB4",#N/A,TRUE,"GENERAL";"TAB5",#N/A,TRUE,"GENERAL"}</definedName>
    <definedName name="_v3" localSheetId="16" hidden="1">{"TAB1",#N/A,TRUE,"GENERAL";"TAB2",#N/A,TRUE,"GENERAL";"TAB3",#N/A,TRUE,"GENERAL";"TAB4",#N/A,TRUE,"GENERAL";"TAB5",#N/A,TRUE,"GENERAL"}</definedName>
    <definedName name="_v3" localSheetId="19" hidden="1">{"TAB1",#N/A,TRUE,"GENERAL";"TAB2",#N/A,TRUE,"GENERAL";"TAB3",#N/A,TRUE,"GENERAL";"TAB4",#N/A,TRUE,"GENERAL";"TAB5",#N/A,TRUE,"GENERAL"}</definedName>
    <definedName name="_v3" hidden="1">{"TAB1",#N/A,TRUE,"GENERAL";"TAB2",#N/A,TRUE,"GENERAL";"TAB3",#N/A,TRUE,"GENERAL";"TAB4",#N/A,TRUE,"GENERAL";"TAB5",#N/A,TRUE,"GENERAL"}</definedName>
    <definedName name="_v4" localSheetId="1" hidden="1">{"TAB1",#N/A,TRUE,"GENERAL";"TAB2",#N/A,TRUE,"GENERAL";"TAB3",#N/A,TRUE,"GENERAL";"TAB4",#N/A,TRUE,"GENERAL";"TAB5",#N/A,TRUE,"GENERAL"}</definedName>
    <definedName name="_v4" localSheetId="9" hidden="1">{"TAB1",#N/A,TRUE,"GENERAL";"TAB2",#N/A,TRUE,"GENERAL";"TAB3",#N/A,TRUE,"GENERAL";"TAB4",#N/A,TRUE,"GENERAL";"TAB5",#N/A,TRUE,"GENERAL"}</definedName>
    <definedName name="_v4" localSheetId="16" hidden="1">{"TAB1",#N/A,TRUE,"GENERAL";"TAB2",#N/A,TRUE,"GENERAL";"TAB3",#N/A,TRUE,"GENERAL";"TAB4",#N/A,TRUE,"GENERAL";"TAB5",#N/A,TRUE,"GENERAL"}</definedName>
    <definedName name="_v4" localSheetId="19" hidden="1">{"TAB1",#N/A,TRUE,"GENERAL";"TAB2",#N/A,TRUE,"GENERAL";"TAB3",#N/A,TRUE,"GENERAL";"TAB4",#N/A,TRUE,"GENERAL";"TAB5",#N/A,TRUE,"GENERAL"}</definedName>
    <definedName name="_v4" hidden="1">{"TAB1",#N/A,TRUE,"GENERAL";"TAB2",#N/A,TRUE,"GENERAL";"TAB3",#N/A,TRUE,"GENERAL";"TAB4",#N/A,TRUE,"GENERAL";"TAB5",#N/A,TRUE,"GENERAL"}</definedName>
    <definedName name="_v5" localSheetId="1" hidden="1">{"TAB1",#N/A,TRUE,"GENERAL";"TAB2",#N/A,TRUE,"GENERAL";"TAB3",#N/A,TRUE,"GENERAL";"TAB4",#N/A,TRUE,"GENERAL";"TAB5",#N/A,TRUE,"GENERAL"}</definedName>
    <definedName name="_v5" localSheetId="9" hidden="1">{"TAB1",#N/A,TRUE,"GENERAL";"TAB2",#N/A,TRUE,"GENERAL";"TAB3",#N/A,TRUE,"GENERAL";"TAB4",#N/A,TRUE,"GENERAL";"TAB5",#N/A,TRUE,"GENERAL"}</definedName>
    <definedName name="_v5" localSheetId="16" hidden="1">{"TAB1",#N/A,TRUE,"GENERAL";"TAB2",#N/A,TRUE,"GENERAL";"TAB3",#N/A,TRUE,"GENERAL";"TAB4",#N/A,TRUE,"GENERAL";"TAB5",#N/A,TRUE,"GENERAL"}</definedName>
    <definedName name="_v5" localSheetId="19" hidden="1">{"TAB1",#N/A,TRUE,"GENERAL";"TAB2",#N/A,TRUE,"GENERAL";"TAB3",#N/A,TRUE,"GENERAL";"TAB4",#N/A,TRUE,"GENERAL";"TAB5",#N/A,TRUE,"GENERAL"}</definedName>
    <definedName name="_v5" hidden="1">{"TAB1",#N/A,TRUE,"GENERAL";"TAB2",#N/A,TRUE,"GENERAL";"TAB3",#N/A,TRUE,"GENERAL";"TAB4",#N/A,TRUE,"GENERAL";"TAB5",#N/A,TRUE,"GENERAL"}</definedName>
    <definedName name="_v6" localSheetId="1" hidden="1">{"TAB1",#N/A,TRUE,"GENERAL";"TAB2",#N/A,TRUE,"GENERAL";"TAB3",#N/A,TRUE,"GENERAL";"TAB4",#N/A,TRUE,"GENERAL";"TAB5",#N/A,TRUE,"GENERAL"}</definedName>
    <definedName name="_v6" localSheetId="9" hidden="1">{"TAB1",#N/A,TRUE,"GENERAL";"TAB2",#N/A,TRUE,"GENERAL";"TAB3",#N/A,TRUE,"GENERAL";"TAB4",#N/A,TRUE,"GENERAL";"TAB5",#N/A,TRUE,"GENERAL"}</definedName>
    <definedName name="_v6" localSheetId="16" hidden="1">{"TAB1",#N/A,TRUE,"GENERAL";"TAB2",#N/A,TRUE,"GENERAL";"TAB3",#N/A,TRUE,"GENERAL";"TAB4",#N/A,TRUE,"GENERAL";"TAB5",#N/A,TRUE,"GENERAL"}</definedName>
    <definedName name="_v6" localSheetId="19" hidden="1">{"TAB1",#N/A,TRUE,"GENERAL";"TAB2",#N/A,TRUE,"GENERAL";"TAB3",#N/A,TRUE,"GENERAL";"TAB4",#N/A,TRUE,"GENERAL";"TAB5",#N/A,TRUE,"GENERAL"}</definedName>
    <definedName name="_v6" hidden="1">{"TAB1",#N/A,TRUE,"GENERAL";"TAB2",#N/A,TRUE,"GENERAL";"TAB3",#N/A,TRUE,"GENERAL";"TAB4",#N/A,TRUE,"GENERAL";"TAB5",#N/A,TRUE,"GENERAL"}</definedName>
    <definedName name="_v7" localSheetId="1" hidden="1">{"via1",#N/A,TRUE,"general";"via2",#N/A,TRUE,"general";"via3",#N/A,TRUE,"general"}</definedName>
    <definedName name="_v7" localSheetId="9" hidden="1">{"via1",#N/A,TRUE,"general";"via2",#N/A,TRUE,"general";"via3",#N/A,TRUE,"general"}</definedName>
    <definedName name="_v7" localSheetId="16" hidden="1">{"via1",#N/A,TRUE,"general";"via2",#N/A,TRUE,"general";"via3",#N/A,TRUE,"general"}</definedName>
    <definedName name="_v7" localSheetId="19" hidden="1">{"via1",#N/A,TRUE,"general";"via2",#N/A,TRUE,"general";"via3",#N/A,TRUE,"general"}</definedName>
    <definedName name="_v7" hidden="1">{"via1",#N/A,TRUE,"general";"via2",#N/A,TRUE,"general";"via3",#N/A,TRUE,"general"}</definedName>
    <definedName name="_v8" localSheetId="1" hidden="1">{"TAB1",#N/A,TRUE,"GENERAL";"TAB2",#N/A,TRUE,"GENERAL";"TAB3",#N/A,TRUE,"GENERAL";"TAB4",#N/A,TRUE,"GENERAL";"TAB5",#N/A,TRUE,"GENERAL"}</definedName>
    <definedName name="_v8" localSheetId="9" hidden="1">{"TAB1",#N/A,TRUE,"GENERAL";"TAB2",#N/A,TRUE,"GENERAL";"TAB3",#N/A,TRUE,"GENERAL";"TAB4",#N/A,TRUE,"GENERAL";"TAB5",#N/A,TRUE,"GENERAL"}</definedName>
    <definedName name="_v8" localSheetId="16" hidden="1">{"TAB1",#N/A,TRUE,"GENERAL";"TAB2",#N/A,TRUE,"GENERAL";"TAB3",#N/A,TRUE,"GENERAL";"TAB4",#N/A,TRUE,"GENERAL";"TAB5",#N/A,TRUE,"GENERAL"}</definedName>
    <definedName name="_v8" localSheetId="19" hidden="1">{"TAB1",#N/A,TRUE,"GENERAL";"TAB2",#N/A,TRUE,"GENERAL";"TAB3",#N/A,TRUE,"GENERAL";"TAB4",#N/A,TRUE,"GENERAL";"TAB5",#N/A,TRUE,"GENERAL"}</definedName>
    <definedName name="_v8" hidden="1">{"TAB1",#N/A,TRUE,"GENERAL";"TAB2",#N/A,TRUE,"GENERAL";"TAB3",#N/A,TRUE,"GENERAL";"TAB4",#N/A,TRUE,"GENERAL";"TAB5",#N/A,TRUE,"GENERAL"}</definedName>
    <definedName name="_v9" localSheetId="1" hidden="1">{"TAB1",#N/A,TRUE,"GENERAL";"TAB2",#N/A,TRUE,"GENERAL";"TAB3",#N/A,TRUE,"GENERAL";"TAB4",#N/A,TRUE,"GENERAL";"TAB5",#N/A,TRUE,"GENERAL"}</definedName>
    <definedName name="_v9" localSheetId="9" hidden="1">{"TAB1",#N/A,TRUE,"GENERAL";"TAB2",#N/A,TRUE,"GENERAL";"TAB3",#N/A,TRUE,"GENERAL";"TAB4",#N/A,TRUE,"GENERAL";"TAB5",#N/A,TRUE,"GENERAL"}</definedName>
    <definedName name="_v9" localSheetId="16" hidden="1">{"TAB1",#N/A,TRUE,"GENERAL";"TAB2",#N/A,TRUE,"GENERAL";"TAB3",#N/A,TRUE,"GENERAL";"TAB4",#N/A,TRUE,"GENERAL";"TAB5",#N/A,TRUE,"GENERAL"}</definedName>
    <definedName name="_v9" localSheetId="19" hidden="1">{"TAB1",#N/A,TRUE,"GENERAL";"TAB2",#N/A,TRUE,"GENERAL";"TAB3",#N/A,TRUE,"GENERAL";"TAB4",#N/A,TRUE,"GENERAL";"TAB5",#N/A,TRUE,"GENERAL"}</definedName>
    <definedName name="_v9" hidden="1">{"TAB1",#N/A,TRUE,"GENERAL";"TAB2",#N/A,TRUE,"GENERAL";"TAB3",#N/A,TRUE,"GENERAL";"TAB4",#N/A,TRUE,"GENERAL";"TAB5",#N/A,TRUE,"GENERAL"}</definedName>
    <definedName name="_vfv4" localSheetId="1" hidden="1">{"via1",#N/A,TRUE,"general";"via2",#N/A,TRUE,"general";"via3",#N/A,TRUE,"general"}</definedName>
    <definedName name="_vfv4" localSheetId="9" hidden="1">{"via1",#N/A,TRUE,"general";"via2",#N/A,TRUE,"general";"via3",#N/A,TRUE,"general"}</definedName>
    <definedName name="_vfv4" localSheetId="16" hidden="1">{"via1",#N/A,TRUE,"general";"via2",#N/A,TRUE,"general";"via3",#N/A,TRUE,"general"}</definedName>
    <definedName name="_vfv4" localSheetId="19" hidden="1">{"via1",#N/A,TRUE,"general";"via2",#N/A,TRUE,"general";"via3",#N/A,TRUE,"general"}</definedName>
    <definedName name="_vfv4" hidden="1">{"via1",#N/A,TRUE,"general";"via2",#N/A,TRUE,"general";"via3",#N/A,TRUE,"general"}</definedName>
    <definedName name="_x1" localSheetId="1" hidden="1">{"TAB1",#N/A,TRUE,"GENERAL";"TAB2",#N/A,TRUE,"GENERAL";"TAB3",#N/A,TRUE,"GENERAL";"TAB4",#N/A,TRUE,"GENERAL";"TAB5",#N/A,TRUE,"GENERAL"}</definedName>
    <definedName name="_x1" localSheetId="9" hidden="1">{"TAB1",#N/A,TRUE,"GENERAL";"TAB2",#N/A,TRUE,"GENERAL";"TAB3",#N/A,TRUE,"GENERAL";"TAB4",#N/A,TRUE,"GENERAL";"TAB5",#N/A,TRUE,"GENERAL"}</definedName>
    <definedName name="_x1" localSheetId="16" hidden="1">{"TAB1",#N/A,TRUE,"GENERAL";"TAB2",#N/A,TRUE,"GENERAL";"TAB3",#N/A,TRUE,"GENERAL";"TAB4",#N/A,TRUE,"GENERAL";"TAB5",#N/A,TRUE,"GENERAL"}</definedName>
    <definedName name="_x1" localSheetId="19" hidden="1">{"TAB1",#N/A,TRUE,"GENERAL";"TAB2",#N/A,TRUE,"GENERAL";"TAB3",#N/A,TRUE,"GENERAL";"TAB4",#N/A,TRUE,"GENERAL";"TAB5",#N/A,TRUE,"GENERAL"}</definedName>
    <definedName name="_x1" hidden="1">{"TAB1",#N/A,TRUE,"GENERAL";"TAB2",#N/A,TRUE,"GENERAL";"TAB3",#N/A,TRUE,"GENERAL";"TAB4",#N/A,TRUE,"GENERAL";"TAB5",#N/A,TRUE,"GENERAL"}</definedName>
    <definedName name="_x2" localSheetId="1" hidden="1">{"via1",#N/A,TRUE,"general";"via2",#N/A,TRUE,"general";"via3",#N/A,TRUE,"general"}</definedName>
    <definedName name="_x2" localSheetId="9" hidden="1">{"via1",#N/A,TRUE,"general";"via2",#N/A,TRUE,"general";"via3",#N/A,TRUE,"general"}</definedName>
    <definedName name="_x2" localSheetId="16" hidden="1">{"via1",#N/A,TRUE,"general";"via2",#N/A,TRUE,"general";"via3",#N/A,TRUE,"general"}</definedName>
    <definedName name="_x2" localSheetId="19" hidden="1">{"via1",#N/A,TRUE,"general";"via2",#N/A,TRUE,"general";"via3",#N/A,TRUE,"general"}</definedName>
    <definedName name="_x2" hidden="1">{"via1",#N/A,TRUE,"general";"via2",#N/A,TRUE,"general";"via3",#N/A,TRUE,"general"}</definedName>
    <definedName name="_x3" localSheetId="1" hidden="1">{"via1",#N/A,TRUE,"general";"via2",#N/A,TRUE,"general";"via3",#N/A,TRUE,"general"}</definedName>
    <definedName name="_x3" localSheetId="9" hidden="1">{"via1",#N/A,TRUE,"general";"via2",#N/A,TRUE,"general";"via3",#N/A,TRUE,"general"}</definedName>
    <definedName name="_x3" localSheetId="16" hidden="1">{"via1",#N/A,TRUE,"general";"via2",#N/A,TRUE,"general";"via3",#N/A,TRUE,"general"}</definedName>
    <definedName name="_x3" localSheetId="19" hidden="1">{"via1",#N/A,TRUE,"general";"via2",#N/A,TRUE,"general";"via3",#N/A,TRUE,"general"}</definedName>
    <definedName name="_x3" hidden="1">{"via1",#N/A,TRUE,"general";"via2",#N/A,TRUE,"general";"via3",#N/A,TRUE,"general"}</definedName>
    <definedName name="_x4" localSheetId="1" hidden="1">{"via1",#N/A,TRUE,"general";"via2",#N/A,TRUE,"general";"via3",#N/A,TRUE,"general"}</definedName>
    <definedName name="_x4" localSheetId="9" hidden="1">{"via1",#N/A,TRUE,"general";"via2",#N/A,TRUE,"general";"via3",#N/A,TRUE,"general"}</definedName>
    <definedName name="_x4" localSheetId="16" hidden="1">{"via1",#N/A,TRUE,"general";"via2",#N/A,TRUE,"general";"via3",#N/A,TRUE,"general"}</definedName>
    <definedName name="_x4" localSheetId="19" hidden="1">{"via1",#N/A,TRUE,"general";"via2",#N/A,TRUE,"general";"via3",#N/A,TRUE,"general"}</definedName>
    <definedName name="_x4" hidden="1">{"via1",#N/A,TRUE,"general";"via2",#N/A,TRUE,"general";"via3",#N/A,TRUE,"general"}</definedName>
    <definedName name="_x5" localSheetId="1" hidden="1">{"TAB1",#N/A,TRUE,"GENERAL";"TAB2",#N/A,TRUE,"GENERAL";"TAB3",#N/A,TRUE,"GENERAL";"TAB4",#N/A,TRUE,"GENERAL";"TAB5",#N/A,TRUE,"GENERAL"}</definedName>
    <definedName name="_x5" localSheetId="9" hidden="1">{"TAB1",#N/A,TRUE,"GENERAL";"TAB2",#N/A,TRUE,"GENERAL";"TAB3",#N/A,TRUE,"GENERAL";"TAB4",#N/A,TRUE,"GENERAL";"TAB5",#N/A,TRUE,"GENERAL"}</definedName>
    <definedName name="_x5" localSheetId="16" hidden="1">{"TAB1",#N/A,TRUE,"GENERAL";"TAB2",#N/A,TRUE,"GENERAL";"TAB3",#N/A,TRUE,"GENERAL";"TAB4",#N/A,TRUE,"GENERAL";"TAB5",#N/A,TRUE,"GENERAL"}</definedName>
    <definedName name="_x5" localSheetId="19" hidden="1">{"TAB1",#N/A,TRUE,"GENERAL";"TAB2",#N/A,TRUE,"GENERAL";"TAB3",#N/A,TRUE,"GENERAL";"TAB4",#N/A,TRUE,"GENERAL";"TAB5",#N/A,TRUE,"GENERAL"}</definedName>
    <definedName name="_x5" hidden="1">{"TAB1",#N/A,TRUE,"GENERAL";"TAB2",#N/A,TRUE,"GENERAL";"TAB3",#N/A,TRUE,"GENERAL";"TAB4",#N/A,TRUE,"GENERAL";"TAB5",#N/A,TRUE,"GENERAL"}</definedName>
    <definedName name="_x6" localSheetId="1" hidden="1">{"TAB1",#N/A,TRUE,"GENERAL";"TAB2",#N/A,TRUE,"GENERAL";"TAB3",#N/A,TRUE,"GENERAL";"TAB4",#N/A,TRUE,"GENERAL";"TAB5",#N/A,TRUE,"GENERAL"}</definedName>
    <definedName name="_x6" localSheetId="9" hidden="1">{"TAB1",#N/A,TRUE,"GENERAL";"TAB2",#N/A,TRUE,"GENERAL";"TAB3",#N/A,TRUE,"GENERAL";"TAB4",#N/A,TRUE,"GENERAL";"TAB5",#N/A,TRUE,"GENERAL"}</definedName>
    <definedName name="_x6" localSheetId="16" hidden="1">{"TAB1",#N/A,TRUE,"GENERAL";"TAB2",#N/A,TRUE,"GENERAL";"TAB3",#N/A,TRUE,"GENERAL";"TAB4",#N/A,TRUE,"GENERAL";"TAB5",#N/A,TRUE,"GENERAL"}</definedName>
    <definedName name="_x6" localSheetId="19" hidden="1">{"TAB1",#N/A,TRUE,"GENERAL";"TAB2",#N/A,TRUE,"GENERAL";"TAB3",#N/A,TRUE,"GENERAL";"TAB4",#N/A,TRUE,"GENERAL";"TAB5",#N/A,TRUE,"GENERAL"}</definedName>
    <definedName name="_x6" hidden="1">{"TAB1",#N/A,TRUE,"GENERAL";"TAB2",#N/A,TRUE,"GENERAL";"TAB3",#N/A,TRUE,"GENERAL";"TAB4",#N/A,TRUE,"GENERAL";"TAB5",#N/A,TRUE,"GENERAL"}</definedName>
    <definedName name="_x7" localSheetId="1" hidden="1">{"TAB1",#N/A,TRUE,"GENERAL";"TAB2",#N/A,TRUE,"GENERAL";"TAB3",#N/A,TRUE,"GENERAL";"TAB4",#N/A,TRUE,"GENERAL";"TAB5",#N/A,TRUE,"GENERAL"}</definedName>
    <definedName name="_x7" localSheetId="9" hidden="1">{"TAB1",#N/A,TRUE,"GENERAL";"TAB2",#N/A,TRUE,"GENERAL";"TAB3",#N/A,TRUE,"GENERAL";"TAB4",#N/A,TRUE,"GENERAL";"TAB5",#N/A,TRUE,"GENERAL"}</definedName>
    <definedName name="_x7" localSheetId="16" hidden="1">{"TAB1",#N/A,TRUE,"GENERAL";"TAB2",#N/A,TRUE,"GENERAL";"TAB3",#N/A,TRUE,"GENERAL";"TAB4",#N/A,TRUE,"GENERAL";"TAB5",#N/A,TRUE,"GENERAL"}</definedName>
    <definedName name="_x7" localSheetId="19" hidden="1">{"TAB1",#N/A,TRUE,"GENERAL";"TAB2",#N/A,TRUE,"GENERAL";"TAB3",#N/A,TRUE,"GENERAL";"TAB4",#N/A,TRUE,"GENERAL";"TAB5",#N/A,TRUE,"GENERAL"}</definedName>
    <definedName name="_x7" hidden="1">{"TAB1",#N/A,TRUE,"GENERAL";"TAB2",#N/A,TRUE,"GENERAL";"TAB3",#N/A,TRUE,"GENERAL";"TAB4",#N/A,TRUE,"GENERAL";"TAB5",#N/A,TRUE,"GENERAL"}</definedName>
    <definedName name="_x8" localSheetId="1" hidden="1">{"via1",#N/A,TRUE,"general";"via2",#N/A,TRUE,"general";"via3",#N/A,TRUE,"general"}</definedName>
    <definedName name="_x8" localSheetId="9" hidden="1">{"via1",#N/A,TRUE,"general";"via2",#N/A,TRUE,"general";"via3",#N/A,TRUE,"general"}</definedName>
    <definedName name="_x8" localSheetId="16" hidden="1">{"via1",#N/A,TRUE,"general";"via2",#N/A,TRUE,"general";"via3",#N/A,TRUE,"general"}</definedName>
    <definedName name="_x8" localSheetId="19" hidden="1">{"via1",#N/A,TRUE,"general";"via2",#N/A,TRUE,"general";"via3",#N/A,TRUE,"general"}</definedName>
    <definedName name="_x8" hidden="1">{"via1",#N/A,TRUE,"general";"via2",#N/A,TRUE,"general";"via3",#N/A,TRUE,"general"}</definedName>
    <definedName name="_x9" localSheetId="1" hidden="1">{"TAB1",#N/A,TRUE,"GENERAL";"TAB2",#N/A,TRUE,"GENERAL";"TAB3",#N/A,TRUE,"GENERAL";"TAB4",#N/A,TRUE,"GENERAL";"TAB5",#N/A,TRUE,"GENERAL"}</definedName>
    <definedName name="_x9" localSheetId="9" hidden="1">{"TAB1",#N/A,TRUE,"GENERAL";"TAB2",#N/A,TRUE,"GENERAL";"TAB3",#N/A,TRUE,"GENERAL";"TAB4",#N/A,TRUE,"GENERAL";"TAB5",#N/A,TRUE,"GENERAL"}</definedName>
    <definedName name="_x9" localSheetId="16" hidden="1">{"TAB1",#N/A,TRUE,"GENERAL";"TAB2",#N/A,TRUE,"GENERAL";"TAB3",#N/A,TRUE,"GENERAL";"TAB4",#N/A,TRUE,"GENERAL";"TAB5",#N/A,TRUE,"GENERAL"}</definedName>
    <definedName name="_x9" localSheetId="19" hidden="1">{"TAB1",#N/A,TRUE,"GENERAL";"TAB2",#N/A,TRUE,"GENERAL";"TAB3",#N/A,TRUE,"GENERAL";"TAB4",#N/A,TRUE,"GENERAL";"TAB5",#N/A,TRUE,"GENERAL"}</definedName>
    <definedName name="_x9" hidden="1">{"TAB1",#N/A,TRUE,"GENERAL";"TAB2",#N/A,TRUE,"GENERAL";"TAB3",#N/A,TRUE,"GENERAL";"TAB4",#N/A,TRUE,"GENERAL";"TAB5",#N/A,TRUE,"GENERAL"}</definedName>
    <definedName name="_y2" localSheetId="1" hidden="1">{"TAB1",#N/A,TRUE,"GENERAL";"TAB2",#N/A,TRUE,"GENERAL";"TAB3",#N/A,TRUE,"GENERAL";"TAB4",#N/A,TRUE,"GENERAL";"TAB5",#N/A,TRUE,"GENERAL"}</definedName>
    <definedName name="_y2" localSheetId="9" hidden="1">{"TAB1",#N/A,TRUE,"GENERAL";"TAB2",#N/A,TRUE,"GENERAL";"TAB3",#N/A,TRUE,"GENERAL";"TAB4",#N/A,TRUE,"GENERAL";"TAB5",#N/A,TRUE,"GENERAL"}</definedName>
    <definedName name="_y2" localSheetId="16" hidden="1">{"TAB1",#N/A,TRUE,"GENERAL";"TAB2",#N/A,TRUE,"GENERAL";"TAB3",#N/A,TRUE,"GENERAL";"TAB4",#N/A,TRUE,"GENERAL";"TAB5",#N/A,TRUE,"GENERAL"}</definedName>
    <definedName name="_y2" localSheetId="19" hidden="1">{"TAB1",#N/A,TRUE,"GENERAL";"TAB2",#N/A,TRUE,"GENERAL";"TAB3",#N/A,TRUE,"GENERAL";"TAB4",#N/A,TRUE,"GENERAL";"TAB5",#N/A,TRUE,"GENERAL"}</definedName>
    <definedName name="_y2" hidden="1">{"TAB1",#N/A,TRUE,"GENERAL";"TAB2",#N/A,TRUE,"GENERAL";"TAB3",#N/A,TRUE,"GENERAL";"TAB4",#N/A,TRUE,"GENERAL";"TAB5",#N/A,TRUE,"GENERAL"}</definedName>
    <definedName name="_y3" localSheetId="1" hidden="1">{"via1",#N/A,TRUE,"general";"via2",#N/A,TRUE,"general";"via3",#N/A,TRUE,"general"}</definedName>
    <definedName name="_y3" localSheetId="9" hidden="1">{"via1",#N/A,TRUE,"general";"via2",#N/A,TRUE,"general";"via3",#N/A,TRUE,"general"}</definedName>
    <definedName name="_y3" localSheetId="16" hidden="1">{"via1",#N/A,TRUE,"general";"via2",#N/A,TRUE,"general";"via3",#N/A,TRUE,"general"}</definedName>
    <definedName name="_y3" localSheetId="19" hidden="1">{"via1",#N/A,TRUE,"general";"via2",#N/A,TRUE,"general";"via3",#N/A,TRUE,"general"}</definedName>
    <definedName name="_y3" hidden="1">{"via1",#N/A,TRUE,"general";"via2",#N/A,TRUE,"general";"via3",#N/A,TRUE,"general"}</definedName>
    <definedName name="_y4" localSheetId="1" hidden="1">{"via1",#N/A,TRUE,"general";"via2",#N/A,TRUE,"general";"via3",#N/A,TRUE,"general"}</definedName>
    <definedName name="_y4" localSheetId="9" hidden="1">{"via1",#N/A,TRUE,"general";"via2",#N/A,TRUE,"general";"via3",#N/A,TRUE,"general"}</definedName>
    <definedName name="_y4" localSheetId="16" hidden="1">{"via1",#N/A,TRUE,"general";"via2",#N/A,TRUE,"general";"via3",#N/A,TRUE,"general"}</definedName>
    <definedName name="_y4" localSheetId="19" hidden="1">{"via1",#N/A,TRUE,"general";"via2",#N/A,TRUE,"general";"via3",#N/A,TRUE,"general"}</definedName>
    <definedName name="_y4" hidden="1">{"via1",#N/A,TRUE,"general";"via2",#N/A,TRUE,"general";"via3",#N/A,TRUE,"general"}</definedName>
    <definedName name="_y5" localSheetId="1" hidden="1">{"TAB1",#N/A,TRUE,"GENERAL";"TAB2",#N/A,TRUE,"GENERAL";"TAB3",#N/A,TRUE,"GENERAL";"TAB4",#N/A,TRUE,"GENERAL";"TAB5",#N/A,TRUE,"GENERAL"}</definedName>
    <definedName name="_y5" localSheetId="9" hidden="1">{"TAB1",#N/A,TRUE,"GENERAL";"TAB2",#N/A,TRUE,"GENERAL";"TAB3",#N/A,TRUE,"GENERAL";"TAB4",#N/A,TRUE,"GENERAL";"TAB5",#N/A,TRUE,"GENERAL"}</definedName>
    <definedName name="_y5" localSheetId="16" hidden="1">{"TAB1",#N/A,TRUE,"GENERAL";"TAB2",#N/A,TRUE,"GENERAL";"TAB3",#N/A,TRUE,"GENERAL";"TAB4",#N/A,TRUE,"GENERAL";"TAB5",#N/A,TRUE,"GENERAL"}</definedName>
    <definedName name="_y5" localSheetId="19" hidden="1">{"TAB1",#N/A,TRUE,"GENERAL";"TAB2",#N/A,TRUE,"GENERAL";"TAB3",#N/A,TRUE,"GENERAL";"TAB4",#N/A,TRUE,"GENERAL";"TAB5",#N/A,TRUE,"GENERAL"}</definedName>
    <definedName name="_y5" hidden="1">{"TAB1",#N/A,TRUE,"GENERAL";"TAB2",#N/A,TRUE,"GENERAL";"TAB3",#N/A,TRUE,"GENERAL";"TAB4",#N/A,TRUE,"GENERAL";"TAB5",#N/A,TRUE,"GENERAL"}</definedName>
    <definedName name="_y6" localSheetId="1" hidden="1">{"via1",#N/A,TRUE,"general";"via2",#N/A,TRUE,"general";"via3",#N/A,TRUE,"general"}</definedName>
    <definedName name="_y6" localSheetId="9" hidden="1">{"via1",#N/A,TRUE,"general";"via2",#N/A,TRUE,"general";"via3",#N/A,TRUE,"general"}</definedName>
    <definedName name="_y6" localSheetId="16" hidden="1">{"via1",#N/A,TRUE,"general";"via2",#N/A,TRUE,"general";"via3",#N/A,TRUE,"general"}</definedName>
    <definedName name="_y6" localSheetId="19" hidden="1">{"via1",#N/A,TRUE,"general";"via2",#N/A,TRUE,"general";"via3",#N/A,TRUE,"general"}</definedName>
    <definedName name="_y6" hidden="1">{"via1",#N/A,TRUE,"general";"via2",#N/A,TRUE,"general";"via3",#N/A,TRUE,"general"}</definedName>
    <definedName name="_y7" localSheetId="1" hidden="1">{"via1",#N/A,TRUE,"general";"via2",#N/A,TRUE,"general";"via3",#N/A,TRUE,"general"}</definedName>
    <definedName name="_y7" localSheetId="9" hidden="1">{"via1",#N/A,TRUE,"general";"via2",#N/A,TRUE,"general";"via3",#N/A,TRUE,"general"}</definedName>
    <definedName name="_y7" localSheetId="16" hidden="1">{"via1",#N/A,TRUE,"general";"via2",#N/A,TRUE,"general";"via3",#N/A,TRUE,"general"}</definedName>
    <definedName name="_y7" localSheetId="19" hidden="1">{"via1",#N/A,TRUE,"general";"via2",#N/A,TRUE,"general";"via3",#N/A,TRUE,"general"}</definedName>
    <definedName name="_y7" hidden="1">{"via1",#N/A,TRUE,"general";"via2",#N/A,TRUE,"general";"via3",#N/A,TRUE,"general"}</definedName>
    <definedName name="_y8" localSheetId="1" hidden="1">{"via1",#N/A,TRUE,"general";"via2",#N/A,TRUE,"general";"via3",#N/A,TRUE,"general"}</definedName>
    <definedName name="_y8" localSheetId="9" hidden="1">{"via1",#N/A,TRUE,"general";"via2",#N/A,TRUE,"general";"via3",#N/A,TRUE,"general"}</definedName>
    <definedName name="_y8" localSheetId="16" hidden="1">{"via1",#N/A,TRUE,"general";"via2",#N/A,TRUE,"general";"via3",#N/A,TRUE,"general"}</definedName>
    <definedName name="_y8" localSheetId="19" hidden="1">{"via1",#N/A,TRUE,"general";"via2",#N/A,TRUE,"general";"via3",#N/A,TRUE,"general"}</definedName>
    <definedName name="_y8" hidden="1">{"via1",#N/A,TRUE,"general";"via2",#N/A,TRUE,"general";"via3",#N/A,TRUE,"general"}</definedName>
    <definedName name="_y9" localSheetId="1" hidden="1">{"TAB1",#N/A,TRUE,"GENERAL";"TAB2",#N/A,TRUE,"GENERAL";"TAB3",#N/A,TRUE,"GENERAL";"TAB4",#N/A,TRUE,"GENERAL";"TAB5",#N/A,TRUE,"GENERAL"}</definedName>
    <definedName name="_y9" localSheetId="9" hidden="1">{"TAB1",#N/A,TRUE,"GENERAL";"TAB2",#N/A,TRUE,"GENERAL";"TAB3",#N/A,TRUE,"GENERAL";"TAB4",#N/A,TRUE,"GENERAL";"TAB5",#N/A,TRUE,"GENERAL"}</definedName>
    <definedName name="_y9" localSheetId="16" hidden="1">{"TAB1",#N/A,TRUE,"GENERAL";"TAB2",#N/A,TRUE,"GENERAL";"TAB3",#N/A,TRUE,"GENERAL";"TAB4",#N/A,TRUE,"GENERAL";"TAB5",#N/A,TRUE,"GENERAL"}</definedName>
    <definedName name="_y9" localSheetId="19" hidden="1">{"TAB1",#N/A,TRUE,"GENERAL";"TAB2",#N/A,TRUE,"GENERAL";"TAB3",#N/A,TRUE,"GENERAL";"TAB4",#N/A,TRUE,"GENERAL";"TAB5",#N/A,TRUE,"GENERAL"}</definedName>
    <definedName name="_y9" hidden="1">{"TAB1",#N/A,TRUE,"GENERAL";"TAB2",#N/A,TRUE,"GENERAL";"TAB3",#N/A,TRUE,"GENERAL";"TAB4",#N/A,TRUE,"GENERAL";"TAB5",#N/A,TRUE,"GENERAL"}</definedName>
    <definedName name="_z1" localSheetId="1" hidden="1">{"TAB1",#N/A,TRUE,"GENERAL";"TAB2",#N/A,TRUE,"GENERAL";"TAB3",#N/A,TRUE,"GENERAL";"TAB4",#N/A,TRUE,"GENERAL";"TAB5",#N/A,TRUE,"GENERAL"}</definedName>
    <definedName name="_z1" localSheetId="9" hidden="1">{"TAB1",#N/A,TRUE,"GENERAL";"TAB2",#N/A,TRUE,"GENERAL";"TAB3",#N/A,TRUE,"GENERAL";"TAB4",#N/A,TRUE,"GENERAL";"TAB5",#N/A,TRUE,"GENERAL"}</definedName>
    <definedName name="_z1" localSheetId="16" hidden="1">{"TAB1",#N/A,TRUE,"GENERAL";"TAB2",#N/A,TRUE,"GENERAL";"TAB3",#N/A,TRUE,"GENERAL";"TAB4",#N/A,TRUE,"GENERAL";"TAB5",#N/A,TRUE,"GENERAL"}</definedName>
    <definedName name="_z1" localSheetId="19" hidden="1">{"TAB1",#N/A,TRUE,"GENERAL";"TAB2",#N/A,TRUE,"GENERAL";"TAB3",#N/A,TRUE,"GENERAL";"TAB4",#N/A,TRUE,"GENERAL";"TAB5",#N/A,TRUE,"GENERAL"}</definedName>
    <definedName name="_z1" hidden="1">{"TAB1",#N/A,TRUE,"GENERAL";"TAB2",#N/A,TRUE,"GENERAL";"TAB3",#N/A,TRUE,"GENERAL";"TAB4",#N/A,TRUE,"GENERAL";"TAB5",#N/A,TRUE,"GENERAL"}</definedName>
    <definedName name="_z2" localSheetId="1" hidden="1">{"via1",#N/A,TRUE,"general";"via2",#N/A,TRUE,"general";"via3",#N/A,TRUE,"general"}</definedName>
    <definedName name="_z2" localSheetId="9" hidden="1">{"via1",#N/A,TRUE,"general";"via2",#N/A,TRUE,"general";"via3",#N/A,TRUE,"general"}</definedName>
    <definedName name="_z2" localSheetId="16" hidden="1">{"via1",#N/A,TRUE,"general";"via2",#N/A,TRUE,"general";"via3",#N/A,TRUE,"general"}</definedName>
    <definedName name="_z2" localSheetId="19" hidden="1">{"via1",#N/A,TRUE,"general";"via2",#N/A,TRUE,"general";"via3",#N/A,TRUE,"general"}</definedName>
    <definedName name="_z2" hidden="1">{"via1",#N/A,TRUE,"general";"via2",#N/A,TRUE,"general";"via3",#N/A,TRUE,"general"}</definedName>
    <definedName name="_z3" localSheetId="1" hidden="1">{"via1",#N/A,TRUE,"general";"via2",#N/A,TRUE,"general";"via3",#N/A,TRUE,"general"}</definedName>
    <definedName name="_z3" localSheetId="9" hidden="1">{"via1",#N/A,TRUE,"general";"via2",#N/A,TRUE,"general";"via3",#N/A,TRUE,"general"}</definedName>
    <definedName name="_z3" localSheetId="16" hidden="1">{"via1",#N/A,TRUE,"general";"via2",#N/A,TRUE,"general";"via3",#N/A,TRUE,"general"}</definedName>
    <definedName name="_z3" localSheetId="19" hidden="1">{"via1",#N/A,TRUE,"general";"via2",#N/A,TRUE,"general";"via3",#N/A,TRUE,"general"}</definedName>
    <definedName name="_z3" hidden="1">{"via1",#N/A,TRUE,"general";"via2",#N/A,TRUE,"general";"via3",#N/A,TRUE,"general"}</definedName>
    <definedName name="_z4" localSheetId="1" hidden="1">{"TAB1",#N/A,TRUE,"GENERAL";"TAB2",#N/A,TRUE,"GENERAL";"TAB3",#N/A,TRUE,"GENERAL";"TAB4",#N/A,TRUE,"GENERAL";"TAB5",#N/A,TRUE,"GENERAL"}</definedName>
    <definedName name="_z4" localSheetId="9" hidden="1">{"TAB1",#N/A,TRUE,"GENERAL";"TAB2",#N/A,TRUE,"GENERAL";"TAB3",#N/A,TRUE,"GENERAL";"TAB4",#N/A,TRUE,"GENERAL";"TAB5",#N/A,TRUE,"GENERAL"}</definedName>
    <definedName name="_z4" localSheetId="16" hidden="1">{"TAB1",#N/A,TRUE,"GENERAL";"TAB2",#N/A,TRUE,"GENERAL";"TAB3",#N/A,TRUE,"GENERAL";"TAB4",#N/A,TRUE,"GENERAL";"TAB5",#N/A,TRUE,"GENERAL"}</definedName>
    <definedName name="_z4" localSheetId="19" hidden="1">{"TAB1",#N/A,TRUE,"GENERAL";"TAB2",#N/A,TRUE,"GENERAL";"TAB3",#N/A,TRUE,"GENERAL";"TAB4",#N/A,TRUE,"GENERAL";"TAB5",#N/A,TRUE,"GENERAL"}</definedName>
    <definedName name="_z4" hidden="1">{"TAB1",#N/A,TRUE,"GENERAL";"TAB2",#N/A,TRUE,"GENERAL";"TAB3",#N/A,TRUE,"GENERAL";"TAB4",#N/A,TRUE,"GENERAL";"TAB5",#N/A,TRUE,"GENERAL"}</definedName>
    <definedName name="_z5" localSheetId="1" hidden="1">{"via1",#N/A,TRUE,"general";"via2",#N/A,TRUE,"general";"via3",#N/A,TRUE,"general"}</definedName>
    <definedName name="_z5" localSheetId="9" hidden="1">{"via1",#N/A,TRUE,"general";"via2",#N/A,TRUE,"general";"via3",#N/A,TRUE,"general"}</definedName>
    <definedName name="_z5" localSheetId="16" hidden="1">{"via1",#N/A,TRUE,"general";"via2",#N/A,TRUE,"general";"via3",#N/A,TRUE,"general"}</definedName>
    <definedName name="_z5" localSheetId="19" hidden="1">{"via1",#N/A,TRUE,"general";"via2",#N/A,TRUE,"general";"via3",#N/A,TRUE,"general"}</definedName>
    <definedName name="_z5" hidden="1">{"via1",#N/A,TRUE,"general";"via2",#N/A,TRUE,"general";"via3",#N/A,TRUE,"general"}</definedName>
    <definedName name="_z6" localSheetId="1" hidden="1">{"TAB1",#N/A,TRUE,"GENERAL";"TAB2",#N/A,TRUE,"GENERAL";"TAB3",#N/A,TRUE,"GENERAL";"TAB4",#N/A,TRUE,"GENERAL";"TAB5",#N/A,TRUE,"GENERAL"}</definedName>
    <definedName name="_z6" localSheetId="9" hidden="1">{"TAB1",#N/A,TRUE,"GENERAL";"TAB2",#N/A,TRUE,"GENERAL";"TAB3",#N/A,TRUE,"GENERAL";"TAB4",#N/A,TRUE,"GENERAL";"TAB5",#N/A,TRUE,"GENERAL"}</definedName>
    <definedName name="_z6" localSheetId="16" hidden="1">{"TAB1",#N/A,TRUE,"GENERAL";"TAB2",#N/A,TRUE,"GENERAL";"TAB3",#N/A,TRUE,"GENERAL";"TAB4",#N/A,TRUE,"GENERAL";"TAB5",#N/A,TRUE,"GENERAL"}</definedName>
    <definedName name="_z6" localSheetId="19" hidden="1">{"TAB1",#N/A,TRUE,"GENERAL";"TAB2",#N/A,TRUE,"GENERAL";"TAB3",#N/A,TRUE,"GENERAL";"TAB4",#N/A,TRUE,"GENERAL";"TAB5",#N/A,TRUE,"GENERAL"}</definedName>
    <definedName name="_z6" hidden="1">{"TAB1",#N/A,TRUE,"GENERAL";"TAB2",#N/A,TRUE,"GENERAL";"TAB3",#N/A,TRUE,"GENERAL";"TAB4",#N/A,TRUE,"GENERAL";"TAB5",#N/A,TRUE,"GENERAL"}</definedName>
    <definedName name="a" localSheetId="16">#REF!</definedName>
    <definedName name="A" localSheetId="3" hidden="1">{#N/A,#N/A,FALSE,"GRAFICO";#N/A,#N/A,FALSE,"CAJA (2)";#N/A,#N/A,FALSE,"TERCEROS-PROMEDIO";#N/A,#N/A,FALSE,"CAJA";#N/A,#N/A,FALSE,"INGRESOS1995-2003";#N/A,#N/A,FALSE,"GASTOS1995-2003"}</definedName>
    <definedName name="a" localSheetId="19">'INSUMOS '!#REF!</definedName>
    <definedName name="a">#REF!</definedName>
    <definedName name="A.PVC">'[17]factores A.N.'!$M$7:$M$33</definedName>
    <definedName name="A_impresión_IM" localSheetId="16">#REF!</definedName>
    <definedName name="A_impresión_IM" localSheetId="3">#REF!</definedName>
    <definedName name="A_impresión_IM" localSheetId="19">#REF!</definedName>
    <definedName name="A_impresión_IM">#REF!</definedName>
    <definedName name="A0" localSheetId="16">#REF!</definedName>
    <definedName name="A0">#REF!</definedName>
    <definedName name="a1..056">#REF!</definedName>
    <definedName name="A1S">#REF!</definedName>
    <definedName name="A1XO56">#REF!</definedName>
    <definedName name="a2a" localSheetId="1" hidden="1">{"TAB1",#N/A,TRUE,"GENERAL";"TAB2",#N/A,TRUE,"GENERAL";"TAB3",#N/A,TRUE,"GENERAL";"TAB4",#N/A,TRUE,"GENERAL";"TAB5",#N/A,TRUE,"GENERAL"}</definedName>
    <definedName name="a2a" localSheetId="9" hidden="1">{"TAB1",#N/A,TRUE,"GENERAL";"TAB2",#N/A,TRUE,"GENERAL";"TAB3",#N/A,TRUE,"GENERAL";"TAB4",#N/A,TRUE,"GENERAL";"TAB5",#N/A,TRUE,"GENERAL"}</definedName>
    <definedName name="a2a" localSheetId="16" hidden="1">{"TAB1",#N/A,TRUE,"GENERAL";"TAB2",#N/A,TRUE,"GENERAL";"TAB3",#N/A,TRUE,"GENERAL";"TAB4",#N/A,TRUE,"GENERAL";"TAB5",#N/A,TRUE,"GENERAL"}</definedName>
    <definedName name="a2a" localSheetId="19" hidden="1">{"TAB1",#N/A,TRUE,"GENERAL";"TAB2",#N/A,TRUE,"GENERAL";"TAB3",#N/A,TRUE,"GENERAL";"TAB4",#N/A,TRUE,"GENERAL";"TAB5",#N/A,TRUE,"GENERAL"}</definedName>
    <definedName name="a2a" hidden="1">{"TAB1",#N/A,TRUE,"GENERAL";"TAB2",#N/A,TRUE,"GENERAL";"TAB3",#N/A,TRUE,"GENERAL";"TAB4",#N/A,TRUE,"GENERAL";"TAB5",#N/A,TRUE,"GENERAL"}</definedName>
    <definedName name="A2S">#REF!</definedName>
    <definedName name="aa" localSheetId="1">[1]!ERR</definedName>
    <definedName name="aa" localSheetId="16">[1]!ERR</definedName>
    <definedName name="aa" localSheetId="3">#REF!</definedName>
    <definedName name="aa" localSheetId="19">[1]!ERR</definedName>
    <definedName name="aa">[1]!ERR</definedName>
    <definedName name="AAA" localSheetId="1">'[18]AC2-AG96'!#REF!</definedName>
    <definedName name="aaa" localSheetId="3" hidden="1">{#N/A,#N/A,FALSE,"Aging Summary";#N/A,#N/A,FALSE,"Ratio Analysis";#N/A,#N/A,FALSE,"Test 120 Day Accts";#N/A,#N/A,FALSE,"Tickmarks"}</definedName>
    <definedName name="AAA">'[18]AC2-AG96'!#REF!</definedName>
    <definedName name="aaaa" localSheetId="1">'[18]AC2-AG96'!#REF!</definedName>
    <definedName name="aaaa" localSheetId="3" hidden="1">{#N/A,#N/A,FALSE,"GRAFICO";#N/A,#N/A,FALSE,"CAJA (2)";#N/A,#N/A,FALSE,"TERCEROS-PROMEDIO";#N/A,#N/A,FALSE,"CAJA";#N/A,#N/A,FALSE,"INGRESOS1995-2003";#N/A,#N/A,FALSE,"GASTOS1995-2003"}</definedName>
    <definedName name="aaaa">'[18]AC2-AG96'!#REF!</definedName>
    <definedName name="aaaaa" localSheetId="1">'[18]AC2-AG96'!#REF!</definedName>
    <definedName name="aaaaa">'[18]AC2-AG96'!#REF!</definedName>
    <definedName name="aaaaas" localSheetId="1" hidden="1">{"TAB1",#N/A,TRUE,"GENERAL";"TAB2",#N/A,TRUE,"GENERAL";"TAB3",#N/A,TRUE,"GENERAL";"TAB4",#N/A,TRUE,"GENERAL";"TAB5",#N/A,TRUE,"GENERAL"}</definedName>
    <definedName name="aaaaas" localSheetId="9" hidden="1">{"TAB1",#N/A,TRUE,"GENERAL";"TAB2",#N/A,TRUE,"GENERAL";"TAB3",#N/A,TRUE,"GENERAL";"TAB4",#N/A,TRUE,"GENERAL";"TAB5",#N/A,TRUE,"GENERAL"}</definedName>
    <definedName name="aaaaas" localSheetId="16" hidden="1">{"TAB1",#N/A,TRUE,"GENERAL";"TAB2",#N/A,TRUE,"GENERAL";"TAB3",#N/A,TRUE,"GENERAL";"TAB4",#N/A,TRUE,"GENERAL";"TAB5",#N/A,TRUE,"GENERAL"}</definedName>
    <definedName name="aaaaas" localSheetId="19" hidden="1">{"TAB1",#N/A,TRUE,"GENERAL";"TAB2",#N/A,TRUE,"GENERAL";"TAB3",#N/A,TRUE,"GENERAL";"TAB4",#N/A,TRUE,"GENERAL";"TAB5",#N/A,TRUE,"GENERAL"}</definedName>
    <definedName name="aaaaas" hidden="1">{"TAB1",#N/A,TRUE,"GENERAL";"TAB2",#N/A,TRUE,"GENERAL";"TAB3",#N/A,TRUE,"GENERAL";"TAB4",#N/A,TRUE,"GENERAL";"TAB5",#N/A,TRUE,"GENERAL"}</definedName>
    <definedName name="AAC">[2]AASHTO!$A$14:$F$17</definedName>
    <definedName name="aas" localSheetId="1" hidden="1">{"TAB1",#N/A,TRUE,"GENERAL";"TAB2",#N/A,TRUE,"GENERAL";"TAB3",#N/A,TRUE,"GENERAL";"TAB4",#N/A,TRUE,"GENERAL";"TAB5",#N/A,TRUE,"GENERAL"}</definedName>
    <definedName name="aas" localSheetId="9" hidden="1">{"TAB1",#N/A,TRUE,"GENERAL";"TAB2",#N/A,TRUE,"GENERAL";"TAB3",#N/A,TRUE,"GENERAL";"TAB4",#N/A,TRUE,"GENERAL";"TAB5",#N/A,TRUE,"GENERAL"}</definedName>
    <definedName name="aas" localSheetId="16" hidden="1">{"TAB1",#N/A,TRUE,"GENERAL";"TAB2",#N/A,TRUE,"GENERAL";"TAB3",#N/A,TRUE,"GENERAL";"TAB4",#N/A,TRUE,"GENERAL";"TAB5",#N/A,TRUE,"GENERAL"}</definedName>
    <definedName name="aas" localSheetId="19" hidden="1">{"TAB1",#N/A,TRUE,"GENERAL";"TAB2",#N/A,TRUE,"GENERAL";"TAB3",#N/A,TRUE,"GENERAL";"TAB4",#N/A,TRUE,"GENERAL";"TAB5",#N/A,TRUE,"GENERAL"}</definedName>
    <definedName name="aas" hidden="1">{"TAB1",#N/A,TRUE,"GENERAL";"TAB2",#N/A,TRUE,"GENERAL";"TAB3",#N/A,TRUE,"GENERAL";"TAB4",#N/A,TRUE,"GENERAL";"TAB5",#N/A,TRUE,"GENERAL"}</definedName>
    <definedName name="ab" localSheetId="16">#REF!</definedName>
    <definedName name="ab" localSheetId="19">'INSUMOS '!#REF!</definedName>
    <definedName name="ab">#REF!</definedName>
    <definedName name="ABG">[2]AASHTO!$A$2:$F$5</definedName>
    <definedName name="absc">#N/A</definedName>
    <definedName name="absc1" localSheetId="19">[19]!absc</definedName>
    <definedName name="absc1">[19]!absc</definedName>
    <definedName name="AC" localSheetId="16">#REF!</definedName>
    <definedName name="AC" localSheetId="19">#REF!</definedName>
    <definedName name="AC">#REF!</definedName>
    <definedName name="AccessDatabase" localSheetId="3" hidden="1">"A:\SAIN.mdb"</definedName>
    <definedName name="AccessDatabase" hidden="1">"C:\C-314\VOLUMENES\volfin4.mdb"</definedName>
    <definedName name="Acefy4200" localSheetId="1">'[20]APUS BASIC'!$G$340</definedName>
    <definedName name="Acefy4200" localSheetId="16">'[20]APUS BASIC'!$G$340</definedName>
    <definedName name="Acefy4200">'[20]APUS BASIC'!$G$340</definedName>
    <definedName name="ACER" localSheetId="16">#REF!</definedName>
    <definedName name="ACER">#REF!</definedName>
    <definedName name="Acero_corrugado" localSheetId="1">'[20]LISTADO DE MATERIALES Y EQUIPOS'!$B$14</definedName>
    <definedName name="Acero_corrugado" localSheetId="16">'[20]LISTADO DE MATERIALES Y EQUIPOS'!$B$14</definedName>
    <definedName name="Acero_corrugado">'[20]LISTADO DE MATERIALES Y EQUIPOS'!$B$14</definedName>
    <definedName name="ACOM" localSheetId="16">#REF!</definedName>
    <definedName name="ACOM">#REF!</definedName>
    <definedName name="Acopla_sanitario_grival" localSheetId="1">'[20]LISTADO DE MATERIALES Y EQUIPOS'!$B$70</definedName>
    <definedName name="Acopla_sanitario_grival" localSheetId="16">'[20]LISTADO DE MATERIALES Y EQUIPOS'!$B$70</definedName>
    <definedName name="Acopla_sanitario_grival">'[20]LISTADO DE MATERIALES Y EQUIPOS'!$B$70</definedName>
    <definedName name="Acta" localSheetId="16">#REF!</definedName>
    <definedName name="Acta">#REF!</definedName>
    <definedName name="Acta1" localSheetId="16">#REF!</definedName>
    <definedName name="Acta1">#REF!</definedName>
    <definedName name="actual" localSheetId="16">'[21]ESTADO RED'!#REF!</definedName>
    <definedName name="actual" localSheetId="3">'[21]ESTADO RED'!#REF!</definedName>
    <definedName name="actual">'[21]ESTADO RED'!#REF!</definedName>
    <definedName name="ACwvu.TAB1." localSheetId="1" hidden="1">[22]Presupuesto_Via_distribuidora!#REF!</definedName>
    <definedName name="ACwvu.TAB1." localSheetId="16" hidden="1">[22]Presupuesto_Via_distribuidora!#REF!</definedName>
    <definedName name="ACwvu.TAB1." localSheetId="3" hidden="1">[14]Presupuesto_Via_distribuidora!#REF!</definedName>
    <definedName name="ACwvu.TAB1." hidden="1">[22]Presupuesto_Via_distribuidora!#REF!</definedName>
    <definedName name="ACwvu.TAB2." localSheetId="1" hidden="1">[22]Presupuesto_Via_distribuidora!#REF!</definedName>
    <definedName name="ACwvu.TAB2." localSheetId="16" hidden="1">[22]Presupuesto_Via_distribuidora!#REF!</definedName>
    <definedName name="ACwvu.TAB2." localSheetId="3" hidden="1">[14]Presupuesto_Via_distribuidora!#REF!</definedName>
    <definedName name="ACwvu.TAB2." hidden="1">[22]Presupuesto_Via_distribuidora!#REF!</definedName>
    <definedName name="ACwvu.TAB3." localSheetId="1" hidden="1">[22]Presupuesto_Via_distribuidora!#REF!</definedName>
    <definedName name="ACwvu.TAB3." localSheetId="16" hidden="1">[22]Presupuesto_Via_distribuidora!#REF!</definedName>
    <definedName name="ACwvu.TAB3." localSheetId="3" hidden="1">[14]Presupuesto_Via_distribuidora!#REF!</definedName>
    <definedName name="ACwvu.TAB3." hidden="1">[22]Presupuesto_Via_distribuidora!#REF!</definedName>
    <definedName name="ACwvu.TAB4." localSheetId="1" hidden="1">[22]Presupuesto_Via_distribuidora!#REF!</definedName>
    <definedName name="ACwvu.TAB4." localSheetId="16" hidden="1">[22]Presupuesto_Via_distribuidora!#REF!</definedName>
    <definedName name="ACwvu.TAB4." localSheetId="3" hidden="1">[14]Presupuesto_Via_distribuidora!#REF!</definedName>
    <definedName name="ACwvu.TAB4." hidden="1">[22]Presupuesto_Via_distribuidora!#REF!</definedName>
    <definedName name="ACwvu.TAB5." localSheetId="1" hidden="1">[22]Presupuesto_Via_distribuidora!#REF!</definedName>
    <definedName name="ACwvu.TAB5." localSheetId="16" hidden="1">[22]Presupuesto_Via_distribuidora!#REF!</definedName>
    <definedName name="ACwvu.TAB5." localSheetId="3" hidden="1">[14]Presupuesto_Via_distribuidora!#REF!</definedName>
    <definedName name="ACwvu.TAB5." hidden="1">[22]Presupuesto_Via_distribuidora!#REF!</definedName>
    <definedName name="ad" localSheetId="16">#REF!</definedName>
    <definedName name="ad" localSheetId="3">#REF!</definedName>
    <definedName name="ad">#REF!</definedName>
    <definedName name="Adaptador_pvc" localSheetId="1">'[20]LISTADO DE MATERIALES Y EQUIPOS'!$B$125</definedName>
    <definedName name="Adaptador_pvc" localSheetId="16">'[20]LISTADO DE MATERIALES Y EQUIPOS'!$B$125</definedName>
    <definedName name="Adaptador_pvc">'[20]LISTADO DE MATERIALES Y EQUIPOS'!$B$125</definedName>
    <definedName name="ADFE" localSheetId="1">[1]!ERR</definedName>
    <definedName name="ADFE" localSheetId="16">[1]!ERR</definedName>
    <definedName name="ADFE" localSheetId="19">[1]!ERR</definedName>
    <definedName name="ADFE">[1]!ERR</definedName>
    <definedName name="ADFGSDB" localSheetId="1" hidden="1">{"via1",#N/A,TRUE,"general";"via2",#N/A,TRUE,"general";"via3",#N/A,TRUE,"general"}</definedName>
    <definedName name="ADFGSDB" localSheetId="9" hidden="1">{"via1",#N/A,TRUE,"general";"via2",#N/A,TRUE,"general";"via3",#N/A,TRUE,"general"}</definedName>
    <definedName name="ADFGSDB" localSheetId="16" hidden="1">{"via1",#N/A,TRUE,"general";"via2",#N/A,TRUE,"general";"via3",#N/A,TRUE,"general"}</definedName>
    <definedName name="ADFGSDB" localSheetId="19" hidden="1">{"via1",#N/A,TRUE,"general";"via2",#N/A,TRUE,"general";"via3",#N/A,TRUE,"general"}</definedName>
    <definedName name="ADFGSDB" hidden="1">{"via1",#N/A,TRUE,"general";"via2",#N/A,TRUE,"general";"via3",#N/A,TRUE,"general"}</definedName>
    <definedName name="ADMINISTRADOR" localSheetId="3">[23]CUMPLIMIENTO!$C$5</definedName>
    <definedName name="administrador">[24]Informacion!$B$15</definedName>
    <definedName name="ADMINISTRADOR_VIAL__ARMANDO_SANCHEZ_SANCHEZ">[25]INDICMICROEMP!$A$20</definedName>
    <definedName name="ADMON" localSheetId="16">'[26]Formulario N° 4'!$F$129</definedName>
    <definedName name="admon" localSheetId="3">[27]DATOS!$B$16</definedName>
    <definedName name="ADMON">'[26]Formulario N° 4'!$F$129</definedName>
    <definedName name="admon1">[28]DATOS!$B$16</definedName>
    <definedName name="adoc1" localSheetId="19">[19]!absc</definedName>
    <definedName name="adoc1">[19]!absc</definedName>
    <definedName name="adoq" localSheetId="19">[29]!absc</definedName>
    <definedName name="adoq">[29]!absc</definedName>
    <definedName name="ADSAD" localSheetId="1" hidden="1">{"TAB1",#N/A,TRUE,"GENERAL";"TAB2",#N/A,TRUE,"GENERAL";"TAB3",#N/A,TRUE,"GENERAL";"TAB4",#N/A,TRUE,"GENERAL";"TAB5",#N/A,TRUE,"GENERAL"}</definedName>
    <definedName name="ADSAD" localSheetId="9" hidden="1">{"TAB1",#N/A,TRUE,"GENERAL";"TAB2",#N/A,TRUE,"GENERAL";"TAB3",#N/A,TRUE,"GENERAL";"TAB4",#N/A,TRUE,"GENERAL";"TAB5",#N/A,TRUE,"GENERAL"}</definedName>
    <definedName name="ADSAD" localSheetId="16" hidden="1">{"TAB1",#N/A,TRUE,"GENERAL";"TAB2",#N/A,TRUE,"GENERAL";"TAB3",#N/A,TRUE,"GENERAL";"TAB4",#N/A,TRUE,"GENERAL";"TAB5",#N/A,TRUE,"GENERAL"}</definedName>
    <definedName name="ADSAD" localSheetId="19" hidden="1">{"TAB1",#N/A,TRUE,"GENERAL";"TAB2",#N/A,TRUE,"GENERAL";"TAB3",#N/A,TRUE,"GENERAL";"TAB4",#N/A,TRUE,"GENERAL";"TAB5",#N/A,TRUE,"GENERAL"}</definedName>
    <definedName name="ADSAD" hidden="1">{"TAB1",#N/A,TRUE,"GENERAL";"TAB2",#N/A,TRUE,"GENERAL";"TAB3",#N/A,TRUE,"GENERAL";"TAB4",#N/A,TRUE,"GENERAL";"TAB5",#N/A,TRUE,"GENERAL"}</definedName>
    <definedName name="AE">#REF!</definedName>
    <definedName name="aefa" localSheetId="1" hidden="1">{"via1",#N/A,TRUE,"general";"via2",#N/A,TRUE,"general";"via3",#N/A,TRUE,"general"}</definedName>
    <definedName name="aefa" localSheetId="9" hidden="1">{"via1",#N/A,TRUE,"general";"via2",#N/A,TRUE,"general";"via3",#N/A,TRUE,"general"}</definedName>
    <definedName name="aefa" localSheetId="16" hidden="1">{"via1",#N/A,TRUE,"general";"via2",#N/A,TRUE,"general";"via3",#N/A,TRUE,"general"}</definedName>
    <definedName name="aefa" localSheetId="19" hidden="1">{"via1",#N/A,TRUE,"general";"via2",#N/A,TRUE,"general";"via3",#N/A,TRUE,"general"}</definedName>
    <definedName name="aefa" hidden="1">{"via1",#N/A,TRUE,"general";"via2",#N/A,TRUE,"general";"via3",#N/A,TRUE,"general"}</definedName>
    <definedName name="AER" localSheetId="1">[1]!ERR</definedName>
    <definedName name="AER" localSheetId="16">[1]!ERR</definedName>
    <definedName name="AER" localSheetId="19">[1]!ERR</definedName>
    <definedName name="AER">[1]!ERR</definedName>
    <definedName name="afdsw" localSheetId="1" hidden="1">{"TAB1",#N/A,TRUE,"GENERAL";"TAB2",#N/A,TRUE,"GENERAL";"TAB3",#N/A,TRUE,"GENERAL";"TAB4",#N/A,TRUE,"GENERAL";"TAB5",#N/A,TRUE,"GENERAL"}</definedName>
    <definedName name="afdsw" localSheetId="9" hidden="1">{"TAB1",#N/A,TRUE,"GENERAL";"TAB2",#N/A,TRUE,"GENERAL";"TAB3",#N/A,TRUE,"GENERAL";"TAB4",#N/A,TRUE,"GENERAL";"TAB5",#N/A,TRUE,"GENERAL"}</definedName>
    <definedName name="afdsw" localSheetId="16" hidden="1">{"TAB1",#N/A,TRUE,"GENERAL";"TAB2",#N/A,TRUE,"GENERAL";"TAB3",#N/A,TRUE,"GENERAL";"TAB4",#N/A,TRUE,"GENERAL";"TAB5",#N/A,TRUE,"GENERAL"}</definedName>
    <definedName name="afdsw" localSheetId="19" hidden="1">{"TAB1",#N/A,TRUE,"GENERAL";"TAB2",#N/A,TRUE,"GENERAL";"TAB3",#N/A,TRUE,"GENERAL";"TAB4",#N/A,TRUE,"GENERAL";"TAB5",#N/A,TRUE,"GENERAL"}</definedName>
    <definedName name="afdsw" hidden="1">{"TAB1",#N/A,TRUE,"GENERAL";"TAB2",#N/A,TRUE,"GENERAL";"TAB3",#N/A,TRUE,"GENERAL";"TAB4",#N/A,TRUE,"GENERAL";"TAB5",#N/A,TRUE,"GENERAL"}</definedName>
    <definedName name="agdsgg" localSheetId="1" hidden="1">{"via1",#N/A,TRUE,"general";"via2",#N/A,TRUE,"general";"via3",#N/A,TRUE,"general"}</definedName>
    <definedName name="agdsgg" localSheetId="9" hidden="1">{"via1",#N/A,TRUE,"general";"via2",#N/A,TRUE,"general";"via3",#N/A,TRUE,"general"}</definedName>
    <definedName name="agdsgg" localSheetId="16" hidden="1">{"via1",#N/A,TRUE,"general";"via2",#N/A,TRUE,"general";"via3",#N/A,TRUE,"general"}</definedName>
    <definedName name="agdsgg" localSheetId="19" hidden="1">{"via1",#N/A,TRUE,"general";"via2",#N/A,TRUE,"general";"via3",#N/A,TRUE,"general"}</definedName>
    <definedName name="agdsgg" hidden="1">{"via1",#N/A,TRUE,"general";"via2",#N/A,TRUE,"general";"via3",#N/A,TRUE,"general"}</definedName>
    <definedName name="Agregado_Grueso" localSheetId="1">'[20]LISTADO DE MATERIALES Y EQUIPOS'!$B$10</definedName>
    <definedName name="Agregado_Grueso" localSheetId="16">'[20]LISTADO DE MATERIALES Y EQUIPOS'!$B$10</definedName>
    <definedName name="Agregado_Grueso">'[20]LISTADO DE MATERIALES Y EQUIPOS'!$B$10</definedName>
    <definedName name="Agua" localSheetId="1">'[20]LISTADO DE MATERIALES Y EQUIPOS'!$B$18</definedName>
    <definedName name="Agua" localSheetId="16">'[20]LISTADO DE MATERIALES Y EQUIPOS'!$B$18</definedName>
    <definedName name="Agua">'[20]LISTADO DE MATERIALES Y EQUIPOS'!$B$18</definedName>
    <definedName name="ah" localSheetId="16">#REF!</definedName>
    <definedName name="ah" localSheetId="3">#REF!</definedName>
    <definedName name="ah">#REF!</definedName>
    <definedName name="ahe" localSheetId="16">#REF!</definedName>
    <definedName name="ahe">#REF!</definedName>
    <definedName name="aire" localSheetId="1">[30]Presupuesto!#REF!,[30]Presupuesto!#REF!</definedName>
    <definedName name="aire" localSheetId="9">[30]Presupuesto!#REF!,[30]Presupuesto!#REF!</definedName>
    <definedName name="aire" localSheetId="16">[30]Presupuesto!#REF!,[30]Presupuesto!#REF!</definedName>
    <definedName name="aire">[30]Presupuesto!#REF!,[30]Presupuesto!#REF!</definedName>
    <definedName name="AIRE_ACOND_ITEM" localSheetId="1">[31]Presupuesto!#REF!,[31]Presupuesto!#REF!</definedName>
    <definedName name="AIRE_ACOND_ITEM" localSheetId="9">[31]Presupuesto!#REF!,[31]Presupuesto!#REF!</definedName>
    <definedName name="AIRE_ACOND_ITEM" localSheetId="16">[31]Presupuesto!#REF!,[31]Presupuesto!#REF!</definedName>
    <definedName name="AIRE_ACOND_ITEM">[31]Presupuesto!#REF!,[31]Presupuesto!#REF!</definedName>
    <definedName name="AIRE_ACOND_VALOR" localSheetId="1">[31]Presupuesto!#REF!,[31]Presupuesto!#REF!</definedName>
    <definedName name="AIRE_ACOND_VALOR" localSheetId="9">[31]Presupuesto!#REF!,[31]Presupuesto!#REF!</definedName>
    <definedName name="AIRE_ACOND_VALOR" localSheetId="16">[31]Presupuesto!#REF!,[31]Presupuesto!#REF!</definedName>
    <definedName name="AIRE_ACOND_VALOR">[31]Presupuesto!#REF!,[31]Presupuesto!#REF!</definedName>
    <definedName name="AIRE_ACONDICIONADO" localSheetId="1">[7]PRESUPUESTO!#REF!</definedName>
    <definedName name="AIRE_ACONDICIONADO" localSheetId="16">[7]PRESUPUESTO!#REF!</definedName>
    <definedName name="AIRE_ACONDICIONADO">[7]PRESUPUESTO!#REF!</definedName>
    <definedName name="Aire_Acondicionado_Inverter_12000_btu" localSheetId="1">'[20]LISTADO DE MATERIALES Y EQUIPOS'!$B$118</definedName>
    <definedName name="Aire_Acondicionado_Inverter_12000_btu" localSheetId="16">'[20]LISTADO DE MATERIALES Y EQUIPOS'!$B$118</definedName>
    <definedName name="Aire_Acondicionado_Inverter_12000_btu">'[20]LISTADO DE MATERIALES Y EQUIPOS'!$B$118</definedName>
    <definedName name="Aire_Acondicionado_Inverter_9000_btu" localSheetId="1">'[20]LISTADO DE MATERIALES Y EQUIPOS'!$B$117</definedName>
    <definedName name="Aire_Acondicionado_Inverter_9000_btu" localSheetId="16">'[20]LISTADO DE MATERIALES Y EQUIPOS'!$B$117</definedName>
    <definedName name="Aire_Acondicionado_Inverter_9000_btu">'[20]LISTADO DE MATERIALES Y EQUIPOS'!$B$117</definedName>
    <definedName name="AIU" localSheetId="1">[7]BASE!$C$1</definedName>
    <definedName name="AIU" localSheetId="16">[7]BASE!$C$1</definedName>
    <definedName name="AIU">[7]BASE!$C$1</definedName>
    <definedName name="AIUK" localSheetId="1">[7]BASE!$C$1</definedName>
    <definedName name="AIUK" localSheetId="16">[7]BASE!$C$1</definedName>
    <definedName name="AIUK">[7]BASE!$C$1</definedName>
    <definedName name="AIUL" localSheetId="1">[7]BASE!$C$1</definedName>
    <definedName name="AIUL" localSheetId="16">[7]BASE!$C$1</definedName>
    <definedName name="AIUL">[7]BASE!$C$1</definedName>
    <definedName name="aj" localSheetId="16">#REF!</definedName>
    <definedName name="aj" localSheetId="3">#REF!</definedName>
    <definedName name="aj">#REF!</definedName>
    <definedName name="Ajizal">'[32]AJIZAL 3335'!$A$7:$J$142</definedName>
    <definedName name="AjustDelAIU" localSheetId="16">#REF!</definedName>
    <definedName name="AjustDelAIU">#REF!</definedName>
    <definedName name="Alambre_de_pua_calibre_14" localSheetId="1">'[20]LISTADO DE MATERIALES Y EQUIPOS'!$B$16</definedName>
    <definedName name="Alambre_de_pua_calibre_14" localSheetId="16">'[20]LISTADO DE MATERIALES Y EQUIPOS'!$B$16</definedName>
    <definedName name="Alambre_de_pua_calibre_14">'[20]LISTADO DE MATERIALES Y EQUIPOS'!$B$16</definedName>
    <definedName name="Alambre_negro" localSheetId="1">'[20]LISTADO DE MATERIALES Y EQUIPOS'!$B$15</definedName>
    <definedName name="Alambre_negro" localSheetId="16">'[20]LISTADO DE MATERIALES Y EQUIPOS'!$B$15</definedName>
    <definedName name="Alambre_negro">'[20]LISTADO DE MATERIALES Y EQUIPOS'!$B$15</definedName>
    <definedName name="alc" localSheetId="19">[33]!absc</definedName>
    <definedName name="alc">[33]!absc</definedName>
    <definedName name="Andamios" localSheetId="1">'[20]LISTADO DE MATERIALES Y EQUIPOS'!$B$44</definedName>
    <definedName name="Andamios" localSheetId="16">'[20]LISTADO DE MATERIALES Y EQUIPOS'!$B$44</definedName>
    <definedName name="Andamios">'[20]LISTADO DE MATERIALES Y EQUIPOS'!$B$44</definedName>
    <definedName name="anexo1" localSheetId="16">#REF!</definedName>
    <definedName name="anexo1" localSheetId="19">#REF!</definedName>
    <definedName name="anexo1">#REF!</definedName>
    <definedName name="anexo2" localSheetId="16">#REF!</definedName>
    <definedName name="anexo2">#REF!</definedName>
    <definedName name="Anexo3">#REF!</definedName>
    <definedName name="angulo_6_metros_3__16_x_2_pulgadas_g___50" localSheetId="1">'[20]LISTADO DE MATERIALES Y EQUIPOS'!$B$53</definedName>
    <definedName name="angulo_6_metros_3__16_x_2_pulgadas_g___50" localSheetId="16">'[20]LISTADO DE MATERIALES Y EQUIPOS'!$B$53</definedName>
    <definedName name="angulo_6_metros_3__16_x_2_pulgadas_g___50">'[20]LISTADO DE MATERIALES Y EQUIPOS'!$B$53</definedName>
    <definedName name="Antic">[34]BASES!$B$33</definedName>
    <definedName name="ANTICIPO">[35]BASES!$B$33</definedName>
    <definedName name="Anticorrosivo" localSheetId="1">'[20]LISTADO DE MATERIALES Y EQUIPOS'!$B$60</definedName>
    <definedName name="Anticorrosivo" localSheetId="16">'[20]LISTADO DE MATERIALES Y EQUIPOS'!$B$60</definedName>
    <definedName name="Anticorrosivo">'[20]LISTADO DE MATERIALES Y EQUIPOS'!$B$60</definedName>
    <definedName name="ANTONIA">#N/A</definedName>
    <definedName name="año" localSheetId="3">'[21]ESTADO RED'!#REF!</definedName>
    <definedName name="año">'[21]ESTADO RED'!#REF!</definedName>
    <definedName name="año1" localSheetId="3">'[36]ESTADO RED'!#REF!</definedName>
    <definedName name="año1">'[36]ESTADO RED'!#REF!</definedName>
    <definedName name="AÑOWUIE">'[37]Res-Accide-10'!$R$2:$R$7</definedName>
    <definedName name="ao" localSheetId="16">#REF!</definedName>
    <definedName name="ao" localSheetId="3">#REF!</definedName>
    <definedName name="ao">#REF!</definedName>
    <definedName name="APARAT_SAN_INCRUST_ITEM" localSheetId="1">[31]Presupuesto!#REF!</definedName>
    <definedName name="APARAT_SAN_INCRUST_ITEM" localSheetId="16">[31]Presupuesto!#REF!</definedName>
    <definedName name="APARAT_SAN_INCRUST_ITEM">[31]Presupuesto!#REF!</definedName>
    <definedName name="APARAT_SANIT_ITEM" localSheetId="1">[31]Presupuesto!#REF!,[31]Presupuesto!#REF!,[31]Presupuesto!#REF!,[31]Presupuesto!#REF!</definedName>
    <definedName name="APARAT_SANIT_ITEM" localSheetId="16">[31]Presupuesto!#REF!,[31]Presupuesto!#REF!,[31]Presupuesto!#REF!,[31]Presupuesto!#REF!</definedName>
    <definedName name="APARAT_SANIT_ITEM">[31]Presupuesto!#REF!,[31]Presupuesto!#REF!,[31]Presupuesto!#REF!,[31]Presupuesto!#REF!</definedName>
    <definedName name="APARAT_SANIT_VALOR" localSheetId="1">[31]Presupuesto!$G$939,[31]Presupuesto!$G$940,[31]Presupuesto!$G$941,[31]Presupuesto!$G$942:$G$945</definedName>
    <definedName name="APARAT_SANIT_VALOR" localSheetId="16">[31]Presupuesto!$G$939,[31]Presupuesto!$G$940,[31]Presupuesto!$G$941,[31]Presupuesto!$G$942:$G$945</definedName>
    <definedName name="APARAT_SANIT_VALOR">[31]Presupuesto!$G$939,[31]Presupuesto!$G$940,[31]Presupuesto!$G$941,[31]Presupuesto!$G$942:$G$945</definedName>
    <definedName name="APARATOS_MUEBLES_MESONES_ESPEJOS" localSheetId="1">[7]PRESUPUESTO!#REF!</definedName>
    <definedName name="APARATOS_MUEBLES_MESONES_ESPEJOS" localSheetId="16">[7]PRESUPUESTO!#REF!</definedName>
    <definedName name="APARATOS_MUEBLES_MESONES_ESPEJOS">[7]PRESUPUESTO!#REF!</definedName>
    <definedName name="APARATOSSAN" localSheetId="1">[31]Presupuesto!#REF!,[31]Presupuesto!#REF!,[31]Presupuesto!#REF!,[31]Presupuesto!#REF!</definedName>
    <definedName name="APARATOSSAN" localSheetId="16">[31]Presupuesto!#REF!,[31]Presupuesto!#REF!,[31]Presupuesto!#REF!,[31]Presupuesto!#REF!</definedName>
    <definedName name="APARATOSSAN">[31]Presupuesto!#REF!,[31]Presupuesto!#REF!,[31]Presupuesto!#REF!,[31]Presupuesto!#REF!</definedName>
    <definedName name="Apu" localSheetId="1">[38]Apu!$D$8:$AC$2207</definedName>
    <definedName name="Apu" localSheetId="16">[38]Apu!$D$8:$AC$2207</definedName>
    <definedName name="Apu">[38]Apu!$D$8:$AC$2207</definedName>
    <definedName name="APU221.1" localSheetId="16">#REF!</definedName>
    <definedName name="APU221.1">#REF!</definedName>
    <definedName name="APU221.2" localSheetId="16">#REF!</definedName>
    <definedName name="APU221.2">#REF!</definedName>
    <definedName name="aq" localSheetId="1">[1]!ERR</definedName>
    <definedName name="aq" localSheetId="16">[1]!ERR</definedName>
    <definedName name="aq" localSheetId="19">[1]!ERR</definedName>
    <definedName name="aq">[1]!ERR</definedName>
    <definedName name="aqaq" localSheetId="1" hidden="1">{"TAB1",#N/A,TRUE,"GENERAL";"TAB2",#N/A,TRUE,"GENERAL";"TAB3",#N/A,TRUE,"GENERAL";"TAB4",#N/A,TRUE,"GENERAL";"TAB5",#N/A,TRUE,"GENERAL"}</definedName>
    <definedName name="aqaq" localSheetId="9" hidden="1">{"TAB1",#N/A,TRUE,"GENERAL";"TAB2",#N/A,TRUE,"GENERAL";"TAB3",#N/A,TRUE,"GENERAL";"TAB4",#N/A,TRUE,"GENERAL";"TAB5",#N/A,TRUE,"GENERAL"}</definedName>
    <definedName name="aqaq" localSheetId="16" hidden="1">{"TAB1",#N/A,TRUE,"GENERAL";"TAB2",#N/A,TRUE,"GENERAL";"TAB3",#N/A,TRUE,"GENERAL";"TAB4",#N/A,TRUE,"GENERAL";"TAB5",#N/A,TRUE,"GENERAL"}</definedName>
    <definedName name="aqaq" localSheetId="19" hidden="1">{"TAB1",#N/A,TRUE,"GENERAL";"TAB2",#N/A,TRUE,"GENERAL";"TAB3",#N/A,TRUE,"GENERAL";"TAB4",#N/A,TRUE,"GENERAL";"TAB5",#N/A,TRUE,"GENERAL"}</definedName>
    <definedName name="aqaq" hidden="1">{"TAB1",#N/A,TRUE,"GENERAL";"TAB2",#N/A,TRUE,"GENERAL";"TAB3",#N/A,TRUE,"GENERAL";"TAB4",#N/A,TRUE,"GENERAL";"TAB5",#N/A,TRUE,"GENERAL"}</definedName>
    <definedName name="AR">#REF!</definedName>
    <definedName name="AREA">#REF!</definedName>
    <definedName name="Área_de_Cantidades">#REF!</definedName>
    <definedName name="_xlnm.Extract">'[18]AC2-AG96'!#REF!</definedName>
    <definedName name="_xlnm.Print_Area" localSheetId="9">'Cap 8'!$A$1:$G$567</definedName>
    <definedName name="_xlnm.Print_Area" localSheetId="4">'Cap1'!$A$1:$G$96</definedName>
    <definedName name="_xlnm.Print_Area" localSheetId="10">'Cap10'!$A$1:$G$740</definedName>
    <definedName name="_xlnm.Print_Area" localSheetId="11">'Cap11'!$A$1:$G$1188</definedName>
    <definedName name="_xlnm.Print_Area" localSheetId="12">'Cap12'!$A$1:$G$188</definedName>
    <definedName name="_xlnm.Print_Area" localSheetId="13">'Cap14'!$A$1:$G$1026</definedName>
    <definedName name="_xlnm.Print_Area" localSheetId="14">'Cap15'!$A$1:$G$634</definedName>
    <definedName name="_xlnm.Print_Area" localSheetId="15">'Cap16'!$A$1:$G$2077</definedName>
    <definedName name="_xlnm.Print_Area" localSheetId="16">'Cap17 '!$A$1:$G$4209</definedName>
    <definedName name="_xlnm.Print_Area" localSheetId="17">'Cap18'!$A$1:$G$201</definedName>
    <definedName name="_xlnm.Print_Area" localSheetId="5">'Cap3'!$A$1:$G$326</definedName>
    <definedName name="_xlnm.Print_Area" localSheetId="6">'Cap5'!$A$1:$G$1569</definedName>
    <definedName name="_xlnm.Print_Area" localSheetId="7">'Cap6'!$A$1:$G$61</definedName>
    <definedName name="_xlnm.Print_Area" localSheetId="8">'Cap7'!$A$1:$G$389</definedName>
    <definedName name="_xlnm.Print_Area" localSheetId="3">'FM '!$A$1:$C$39</definedName>
    <definedName name="_xlnm.Print_Area" localSheetId="19">'INSUMOS '!$B$2:$G$348</definedName>
    <definedName name="_xlnm.Print_Area" localSheetId="0">Presupuesto!$A$1:$J$658</definedName>
    <definedName name="_xlnm.Print_Area">#REF!</definedName>
    <definedName name="ARENA" localSheetId="16">[26]MATERIALES!$D$2</definedName>
    <definedName name="ARENA">[26]MATERIALES!$D$2</definedName>
    <definedName name="ARENC" localSheetId="1">[7]BASE!$D$50</definedName>
    <definedName name="ARENC" localSheetId="16">[7]BASE!$D$50</definedName>
    <definedName name="ARENC">[7]BASE!$D$50</definedName>
    <definedName name="ARENP" localSheetId="1">[7]BASE!$D$48</definedName>
    <definedName name="ARENP" localSheetId="16">[7]BASE!$D$48</definedName>
    <definedName name="ARENP">[7]BASE!$D$48</definedName>
    <definedName name="ARRENDAM1" hidden="1">{#N/A,#N/A,FALSE,"Aging Summary";#N/A,#N/A,FALSE,"Ratio Analysis";#N/A,#N/A,FALSE,"Test 120 Day Accts";#N/A,#N/A,FALSE,"Tickmarks"}</definedName>
    <definedName name="ARRENDAMIENTO" hidden="1">{#N/A,#N/A,FALSE,"Aging Summary";#N/A,#N/A,FALSE,"Ratio Analysis";#N/A,#N/A,FALSE,"Test 120 Day Accts";#N/A,#N/A,FALSE,"Tickmarks"}</definedName>
    <definedName name="as" localSheetId="16">#REF!</definedName>
    <definedName name="as" localSheetId="3">#REF!</definedName>
    <definedName name="as">#REF!</definedName>
    <definedName name="AS2DocOpenMode" hidden="1">"AS2DocumentEdit"</definedName>
    <definedName name="ASB">[2]AASHTO!$A$8:$F$11</definedName>
    <definedName name="ASCENSORES_ITEM" localSheetId="1">[31]Presupuesto!#REF!</definedName>
    <definedName name="ASCENSORES_ITEM" localSheetId="16">[31]Presupuesto!#REF!</definedName>
    <definedName name="ASCENSORES_ITEM">[31]Presupuesto!#REF!</definedName>
    <definedName name="ASD" localSheetId="1" hidden="1">{"via1",#N/A,TRUE,"general";"via2",#N/A,TRUE,"general";"via3",#N/A,TRUE,"general"}</definedName>
    <definedName name="ASD" localSheetId="9" hidden="1">{"via1",#N/A,TRUE,"general";"via2",#N/A,TRUE,"general";"via3",#N/A,TRUE,"general"}</definedName>
    <definedName name="ASD" localSheetId="16" hidden="1">{"via1",#N/A,TRUE,"general";"via2",#N/A,TRUE,"general";"via3",#N/A,TRUE,"general"}</definedName>
    <definedName name="ASD" localSheetId="19" hidden="1">{"via1",#N/A,TRUE,"general";"via2",#N/A,TRUE,"general";"via3",#N/A,TRUE,"general"}</definedName>
    <definedName name="ASD" hidden="1">{"via1",#N/A,TRUE,"general";"via2",#N/A,TRUE,"general";"via3",#N/A,TRUE,"general"}</definedName>
    <definedName name="ASDA" localSheetId="1" hidden="1">{"via1",#N/A,TRUE,"general";"via2",#N/A,TRUE,"general";"via3",#N/A,TRUE,"general"}</definedName>
    <definedName name="ASDA" localSheetId="9" hidden="1">{"via1",#N/A,TRUE,"general";"via2",#N/A,TRUE,"general";"via3",#N/A,TRUE,"general"}</definedName>
    <definedName name="ASDA" localSheetId="16" hidden="1">{"via1",#N/A,TRUE,"general";"via2",#N/A,TRUE,"general";"via3",#N/A,TRUE,"general"}</definedName>
    <definedName name="ASDA" localSheetId="19" hidden="1">{"via1",#N/A,TRUE,"general";"via2",#N/A,TRUE,"general";"via3",#N/A,TRUE,"general"}</definedName>
    <definedName name="ASDA" hidden="1">{"via1",#N/A,TRUE,"general";"via2",#N/A,TRUE,"general";"via3",#N/A,TRUE,"general"}</definedName>
    <definedName name="asdasd" localSheetId="1" hidden="1">{"TAB1",#N/A,TRUE,"GENERAL";"TAB2",#N/A,TRUE,"GENERAL";"TAB3",#N/A,TRUE,"GENERAL";"TAB4",#N/A,TRUE,"GENERAL";"TAB5",#N/A,TRUE,"GENERAL"}</definedName>
    <definedName name="asdasd" localSheetId="9" hidden="1">{"TAB1",#N/A,TRUE,"GENERAL";"TAB2",#N/A,TRUE,"GENERAL";"TAB3",#N/A,TRUE,"GENERAL";"TAB4",#N/A,TRUE,"GENERAL";"TAB5",#N/A,TRUE,"GENERAL"}</definedName>
    <definedName name="asdasd" localSheetId="16" hidden="1">{"TAB1",#N/A,TRUE,"GENERAL";"TAB2",#N/A,TRUE,"GENERAL";"TAB3",#N/A,TRUE,"GENERAL";"TAB4",#N/A,TRUE,"GENERAL";"TAB5",#N/A,TRUE,"GENERAL"}</definedName>
    <definedName name="asdasd" localSheetId="19" hidden="1">{"TAB1",#N/A,TRUE,"GENERAL";"TAB2",#N/A,TRUE,"GENERAL";"TAB3",#N/A,TRUE,"GENERAL";"TAB4",#N/A,TRUE,"GENERAL";"TAB5",#N/A,TRUE,"GENERAL"}</definedName>
    <definedName name="asdasd" hidden="1">{"TAB1",#N/A,TRUE,"GENERAL";"TAB2",#N/A,TRUE,"GENERAL";"TAB3",#N/A,TRUE,"GENERAL";"TAB4",#N/A,TRUE,"GENERAL";"TAB5",#N/A,TRUE,"GENERAL"}</definedName>
    <definedName name="asdf" localSheetId="1" hidden="1">{"via1",#N/A,TRUE,"general";"via2",#N/A,TRUE,"general";"via3",#N/A,TRUE,"general"}</definedName>
    <definedName name="asdf" localSheetId="9" hidden="1">{"via1",#N/A,TRUE,"general";"via2",#N/A,TRUE,"general";"via3",#N/A,TRUE,"general"}</definedName>
    <definedName name="asdf" localSheetId="16" hidden="1">{"via1",#N/A,TRUE,"general";"via2",#N/A,TRUE,"general";"via3",#N/A,TRUE,"general"}</definedName>
    <definedName name="asdf" localSheetId="19" hidden="1">{"via1",#N/A,TRUE,"general";"via2",#N/A,TRUE,"general";"via3",#N/A,TRUE,"general"}</definedName>
    <definedName name="asdf" hidden="1">{"via1",#N/A,TRUE,"general";"via2",#N/A,TRUE,"general";"via3",#N/A,TRUE,"general"}</definedName>
    <definedName name="asdfa" localSheetId="1" hidden="1">{"via1",#N/A,TRUE,"general";"via2",#N/A,TRUE,"general";"via3",#N/A,TRUE,"general"}</definedName>
    <definedName name="asdfa" localSheetId="9" hidden="1">{"via1",#N/A,TRUE,"general";"via2",#N/A,TRUE,"general";"via3",#N/A,TRUE,"general"}</definedName>
    <definedName name="asdfa" localSheetId="16" hidden="1">{"via1",#N/A,TRUE,"general";"via2",#N/A,TRUE,"general";"via3",#N/A,TRUE,"general"}</definedName>
    <definedName name="asdfa" localSheetId="19" hidden="1">{"via1",#N/A,TRUE,"general";"via2",#N/A,TRUE,"general";"via3",#N/A,TRUE,"general"}</definedName>
    <definedName name="asdfa" hidden="1">{"via1",#N/A,TRUE,"general";"via2",#N/A,TRUE,"general";"via3",#N/A,TRUE,"general"}</definedName>
    <definedName name="asdfñk">[39]!absc</definedName>
    <definedName name="asfasd" localSheetId="1" hidden="1">{"via1",#N/A,TRUE,"general";"via2",#N/A,TRUE,"general";"via3",#N/A,TRUE,"general"}</definedName>
    <definedName name="asfasd" localSheetId="9" hidden="1">{"via1",#N/A,TRUE,"general";"via2",#N/A,TRUE,"general";"via3",#N/A,TRUE,"general"}</definedName>
    <definedName name="asfasd" localSheetId="16" hidden="1">{"via1",#N/A,TRUE,"general";"via2",#N/A,TRUE,"general";"via3",#N/A,TRUE,"general"}</definedName>
    <definedName name="asfasd" localSheetId="19" hidden="1">{"via1",#N/A,TRUE,"general";"via2",#N/A,TRUE,"general";"via3",#N/A,TRUE,"general"}</definedName>
    <definedName name="asfasd" hidden="1">{"via1",#N/A,TRUE,"general";"via2",#N/A,TRUE,"general";"via3",#N/A,TRUE,"general"}</definedName>
    <definedName name="asfasdl" localSheetId="1" hidden="1">{"via1",#N/A,TRUE,"general";"via2",#N/A,TRUE,"general";"via3",#N/A,TRUE,"general"}</definedName>
    <definedName name="asfasdl" localSheetId="9" hidden="1">{"via1",#N/A,TRUE,"general";"via2",#N/A,TRUE,"general";"via3",#N/A,TRUE,"general"}</definedName>
    <definedName name="asfasdl" localSheetId="16" hidden="1">{"via1",#N/A,TRUE,"general";"via2",#N/A,TRUE,"general";"via3",#N/A,TRUE,"general"}</definedName>
    <definedName name="asfasdl" localSheetId="19" hidden="1">{"via1",#N/A,TRUE,"general";"via2",#N/A,TRUE,"general";"via3",#N/A,TRUE,"general"}</definedName>
    <definedName name="asfasdl" hidden="1">{"via1",#N/A,TRUE,"general";"via2",#N/A,TRUE,"general";"via3",#N/A,TRUE,"general"}</definedName>
    <definedName name="asff" localSheetId="1" hidden="1">{"TAB1",#N/A,TRUE,"GENERAL";"TAB2",#N/A,TRUE,"GENERAL";"TAB3",#N/A,TRUE,"GENERAL";"TAB4",#N/A,TRUE,"GENERAL";"TAB5",#N/A,TRUE,"GENERAL"}</definedName>
    <definedName name="asff" localSheetId="9" hidden="1">{"TAB1",#N/A,TRUE,"GENERAL";"TAB2",#N/A,TRUE,"GENERAL";"TAB3",#N/A,TRUE,"GENERAL";"TAB4",#N/A,TRUE,"GENERAL";"TAB5",#N/A,TRUE,"GENERAL"}</definedName>
    <definedName name="asff" localSheetId="16" hidden="1">{"TAB1",#N/A,TRUE,"GENERAL";"TAB2",#N/A,TRUE,"GENERAL";"TAB3",#N/A,TRUE,"GENERAL";"TAB4",#N/A,TRUE,"GENERAL";"TAB5",#N/A,TRUE,"GENERAL"}</definedName>
    <definedName name="asff" localSheetId="19" hidden="1">{"TAB1",#N/A,TRUE,"GENERAL";"TAB2",#N/A,TRUE,"GENERAL";"TAB3",#N/A,TRUE,"GENERAL";"TAB4",#N/A,TRUE,"GENERAL";"TAB5",#N/A,TRUE,"GENERAL"}</definedName>
    <definedName name="asff" hidden="1">{"TAB1",#N/A,TRUE,"GENERAL";"TAB2",#N/A,TRUE,"GENERAL";"TAB3",#N/A,TRUE,"GENERAL";"TAB4",#N/A,TRUE,"GENERAL";"TAB5",#N/A,TRUE,"GENERAL"}</definedName>
    <definedName name="asfghjoi" localSheetId="1" hidden="1">{"via1",#N/A,TRUE,"general";"via2",#N/A,TRUE,"general";"via3",#N/A,TRUE,"general"}</definedName>
    <definedName name="asfghjoi" localSheetId="9" hidden="1">{"via1",#N/A,TRUE,"general";"via2",#N/A,TRUE,"general";"via3",#N/A,TRUE,"general"}</definedName>
    <definedName name="asfghjoi" localSheetId="16" hidden="1">{"via1",#N/A,TRUE,"general";"via2",#N/A,TRUE,"general";"via3",#N/A,TRUE,"general"}</definedName>
    <definedName name="asfghjoi" localSheetId="19" hidden="1">{"via1",#N/A,TRUE,"general";"via2",#N/A,TRUE,"general";"via3",#N/A,TRUE,"general"}</definedName>
    <definedName name="asfghjoi" hidden="1">{"via1",#N/A,TRUE,"general";"via2",#N/A,TRUE,"general";"via3",#N/A,TRUE,"general"}</definedName>
    <definedName name="asojkdr" localSheetId="1" hidden="1">{"TAB1",#N/A,TRUE,"GENERAL";"TAB2",#N/A,TRUE,"GENERAL";"TAB3",#N/A,TRUE,"GENERAL";"TAB4",#N/A,TRUE,"GENERAL";"TAB5",#N/A,TRUE,"GENERAL"}</definedName>
    <definedName name="asojkdr" localSheetId="9" hidden="1">{"TAB1",#N/A,TRUE,"GENERAL";"TAB2",#N/A,TRUE,"GENERAL";"TAB3",#N/A,TRUE,"GENERAL";"TAB4",#N/A,TRUE,"GENERAL";"TAB5",#N/A,TRUE,"GENERAL"}</definedName>
    <definedName name="asojkdr" localSheetId="16" hidden="1">{"TAB1",#N/A,TRUE,"GENERAL";"TAB2",#N/A,TRUE,"GENERAL";"TAB3",#N/A,TRUE,"GENERAL";"TAB4",#N/A,TRUE,"GENERAL";"TAB5",#N/A,TRUE,"GENERAL"}</definedName>
    <definedName name="asojkdr" localSheetId="19" hidden="1">{"TAB1",#N/A,TRUE,"GENERAL";"TAB2",#N/A,TRUE,"GENERAL";"TAB3",#N/A,TRUE,"GENERAL";"TAB4",#N/A,TRUE,"GENERAL";"TAB5",#N/A,TRUE,"GENERAL"}</definedName>
    <definedName name="asojkdr" hidden="1">{"TAB1",#N/A,TRUE,"GENERAL";"TAB2",#N/A,TRUE,"GENERAL";"TAB3",#N/A,TRUE,"GENERAL";"TAB4",#N/A,TRUE,"GENERAL";"TAB5",#N/A,TRUE,"GENERAL"}</definedName>
    <definedName name="au" localSheetId="3">#REF!</definedName>
    <definedName name="au">#REF!</definedName>
    <definedName name="AUI_ADMO" localSheetId="1">'[40]A.U.I.'!$H$46</definedName>
    <definedName name="AUI_ADMO" localSheetId="16">'[40]A.U.I.'!$H$46</definedName>
    <definedName name="AUI_ADMO">'[40]A.U.I.'!$H$46</definedName>
    <definedName name="AUI_IMPRE" localSheetId="1">'[40]A.U.I.'!$H$55</definedName>
    <definedName name="AUI_IMPRE" localSheetId="16">'[40]A.U.I.'!$H$55</definedName>
    <definedName name="AUI_IMPRE">'[40]A.U.I.'!$H$55</definedName>
    <definedName name="AUI_UTI" localSheetId="1">'[40]A.U.I.'!$H$52</definedName>
    <definedName name="AUI_UTI" localSheetId="16">'[40]A.U.I.'!$H$52</definedName>
    <definedName name="AUI_UTI">'[40]A.U.I.'!$H$52</definedName>
    <definedName name="aur" localSheetId="16">#REF!</definedName>
    <definedName name="aur" localSheetId="3">#REF!</definedName>
    <definedName name="aur">#REF!</definedName>
    <definedName name="auto1" localSheetId="16">#REF!</definedName>
    <definedName name="auto1">#REF!</definedName>
    <definedName name="auto2" localSheetId="16">#REF!</definedName>
    <definedName name="auto2">#REF!</definedName>
    <definedName name="AUX_TRANSP">#REF!</definedName>
    <definedName name="av">#REF!</definedName>
    <definedName name="aVANCE___0">#N/A</definedName>
    <definedName name="ax" localSheetId="3">#REF!</definedName>
    <definedName name="ax">#REF!</definedName>
    <definedName name="AYUDA" localSheetId="1">[7]BASE!$D$9</definedName>
    <definedName name="AYUDA" localSheetId="16">[7]BASE!$D$9</definedName>
    <definedName name="AYUDA">[7]BASE!$D$9</definedName>
    <definedName name="Ayudante" localSheetId="1">'[20]LISTADO DE MATERIALES Y EQUIPOS'!$B$6</definedName>
    <definedName name="Ayudante" localSheetId="16">'[20]LISTADO DE MATERIALES Y EQUIPOS'!$B$6</definedName>
    <definedName name="Ayudante">'[20]LISTADO DE MATERIALES Y EQUIPOS'!$B$6</definedName>
    <definedName name="AYUDR" localSheetId="1">[7]BASE!$D$10</definedName>
    <definedName name="AYUDR" localSheetId="16">[7]BASE!$D$10</definedName>
    <definedName name="AYUDR">[7]BASE!$D$10</definedName>
    <definedName name="azaz" localSheetId="1" hidden="1">{"TAB1",#N/A,TRUE,"GENERAL";"TAB2",#N/A,TRUE,"GENERAL";"TAB3",#N/A,TRUE,"GENERAL";"TAB4",#N/A,TRUE,"GENERAL";"TAB5",#N/A,TRUE,"GENERAL"}</definedName>
    <definedName name="azaz" localSheetId="9" hidden="1">{"TAB1",#N/A,TRUE,"GENERAL";"TAB2",#N/A,TRUE,"GENERAL";"TAB3",#N/A,TRUE,"GENERAL";"TAB4",#N/A,TRUE,"GENERAL";"TAB5",#N/A,TRUE,"GENERAL"}</definedName>
    <definedName name="azaz" localSheetId="16" hidden="1">{"TAB1",#N/A,TRUE,"GENERAL";"TAB2",#N/A,TRUE,"GENERAL";"TAB3",#N/A,TRUE,"GENERAL";"TAB4",#N/A,TRUE,"GENERAL";"TAB5",#N/A,TRUE,"GENERAL"}</definedName>
    <definedName name="azaz" localSheetId="19" hidden="1">{"TAB1",#N/A,TRUE,"GENERAL";"TAB2",#N/A,TRUE,"GENERAL";"TAB3",#N/A,TRUE,"GENERAL";"TAB4",#N/A,TRUE,"GENERAL";"TAB5",#N/A,TRUE,"GENERAL"}</definedName>
    <definedName name="azaz" hidden="1">{"TAB1",#N/A,TRUE,"GENERAL";"TAB2",#N/A,TRUE,"GENERAL";"TAB3",#N/A,TRUE,"GENERAL";"TAB4",#N/A,TRUE,"GENERAL";"TAB5",#N/A,TRUE,"GENERAL"}</definedName>
    <definedName name="b" localSheetId="16">#REF!</definedName>
    <definedName name="B" localSheetId="3" hidden="1">{"PYGS",#N/A,FALSE,"PYG";"ACTIS",#N/A,FALSE,"BCE_GRAL-ACTIVO";"PASIS",#N/A,FALSE,"BCE_GRAL-PASIVO-PATRIM";"CAJAS",#N/A,FALSE,"CAJA"}</definedName>
    <definedName name="b" localSheetId="19">'INSUMOS '!#REF!</definedName>
    <definedName name="b">#REF!</definedName>
    <definedName name="B.T1" localSheetId="16">#REF!</definedName>
    <definedName name="B.T1">#REF!</definedName>
    <definedName name="B_T1" localSheetId="16">#REF!</definedName>
    <definedName name="B_T1">#REF!</definedName>
    <definedName name="BASE">#REF!</definedName>
    <definedName name="_xlnm.Database">#REF!</definedName>
    <definedName name="bb">#REF!</definedName>
    <definedName name="bbbbbb" localSheetId="1" hidden="1">{"via1",#N/A,TRUE,"general";"via2",#N/A,TRUE,"general";"via3",#N/A,TRUE,"general"}</definedName>
    <definedName name="bbbbbb" localSheetId="9" hidden="1">{"via1",#N/A,TRUE,"general";"via2",#N/A,TRUE,"general";"via3",#N/A,TRUE,"general"}</definedName>
    <definedName name="bbbbbb" localSheetId="16" hidden="1">{"via1",#N/A,TRUE,"general";"via2",#N/A,TRUE,"general";"via3",#N/A,TRUE,"general"}</definedName>
    <definedName name="bbbbbb" localSheetId="19" hidden="1">{"via1",#N/A,TRUE,"general";"via2",#N/A,TRUE,"general";"via3",#N/A,TRUE,"general"}</definedName>
    <definedName name="bbbbbb" hidden="1">{"via1",#N/A,TRUE,"general";"via2",#N/A,TRUE,"general";"via3",#N/A,TRUE,"general"}</definedName>
    <definedName name="bbbbbh" localSheetId="1" hidden="1">{"TAB1",#N/A,TRUE,"GENERAL";"TAB2",#N/A,TRUE,"GENERAL";"TAB3",#N/A,TRUE,"GENERAL";"TAB4",#N/A,TRUE,"GENERAL";"TAB5",#N/A,TRUE,"GENERAL"}</definedName>
    <definedName name="bbbbbh" localSheetId="9" hidden="1">{"TAB1",#N/A,TRUE,"GENERAL";"TAB2",#N/A,TRUE,"GENERAL";"TAB3",#N/A,TRUE,"GENERAL";"TAB4",#N/A,TRUE,"GENERAL";"TAB5",#N/A,TRUE,"GENERAL"}</definedName>
    <definedName name="bbbbbh" localSheetId="16" hidden="1">{"TAB1",#N/A,TRUE,"GENERAL";"TAB2",#N/A,TRUE,"GENERAL";"TAB3",#N/A,TRUE,"GENERAL";"TAB4",#N/A,TRUE,"GENERAL";"TAB5",#N/A,TRUE,"GENERAL"}</definedName>
    <definedName name="bbbbbh" localSheetId="19" hidden="1">{"TAB1",#N/A,TRUE,"GENERAL";"TAB2",#N/A,TRUE,"GENERAL";"TAB3",#N/A,TRUE,"GENERAL";"TAB4",#N/A,TRUE,"GENERAL";"TAB5",#N/A,TRUE,"GENERAL"}</definedName>
    <definedName name="bbbbbh" hidden="1">{"TAB1",#N/A,TRUE,"GENERAL";"TAB2",#N/A,TRUE,"GENERAL";"TAB3",#N/A,TRUE,"GENERAL";"TAB4",#N/A,TRUE,"GENERAL";"TAB5",#N/A,TRUE,"GENERAL"}</definedName>
    <definedName name="bbd" localSheetId="1" hidden="1">{"TAB1",#N/A,TRUE,"GENERAL";"TAB2",#N/A,TRUE,"GENERAL";"TAB3",#N/A,TRUE,"GENERAL";"TAB4",#N/A,TRUE,"GENERAL";"TAB5",#N/A,TRUE,"GENERAL"}</definedName>
    <definedName name="bbd" localSheetId="9" hidden="1">{"TAB1",#N/A,TRUE,"GENERAL";"TAB2",#N/A,TRUE,"GENERAL";"TAB3",#N/A,TRUE,"GENERAL";"TAB4",#N/A,TRUE,"GENERAL";"TAB5",#N/A,TRUE,"GENERAL"}</definedName>
    <definedName name="bbd" localSheetId="16" hidden="1">{"TAB1",#N/A,TRUE,"GENERAL";"TAB2",#N/A,TRUE,"GENERAL";"TAB3",#N/A,TRUE,"GENERAL";"TAB4",#N/A,TRUE,"GENERAL";"TAB5",#N/A,TRUE,"GENERAL"}</definedName>
    <definedName name="bbd" localSheetId="19" hidden="1">{"TAB1",#N/A,TRUE,"GENERAL";"TAB2",#N/A,TRUE,"GENERAL";"TAB3",#N/A,TRUE,"GENERAL";"TAB4",#N/A,TRUE,"GENERAL";"TAB5",#N/A,TRUE,"GENERAL"}</definedName>
    <definedName name="bbd" hidden="1">{"TAB1",#N/A,TRUE,"GENERAL";"TAB2",#N/A,TRUE,"GENERAL";"TAB3",#N/A,TRUE,"GENERAL";"TAB4",#N/A,TRUE,"GENERAL";"TAB5",#N/A,TRUE,"GENERAL"}</definedName>
    <definedName name="BCXBDFG" localSheetId="1" hidden="1">{"TAB1",#N/A,TRUE,"GENERAL";"TAB2",#N/A,TRUE,"GENERAL";"TAB3",#N/A,TRUE,"GENERAL";"TAB4",#N/A,TRUE,"GENERAL";"TAB5",#N/A,TRUE,"GENERAL"}</definedName>
    <definedName name="BCXBDFG" localSheetId="9" hidden="1">{"TAB1",#N/A,TRUE,"GENERAL";"TAB2",#N/A,TRUE,"GENERAL";"TAB3",#N/A,TRUE,"GENERAL";"TAB4",#N/A,TRUE,"GENERAL";"TAB5",#N/A,TRUE,"GENERAL"}</definedName>
    <definedName name="BCXBDFG" localSheetId="16" hidden="1">{"TAB1",#N/A,TRUE,"GENERAL";"TAB2",#N/A,TRUE,"GENERAL";"TAB3",#N/A,TRUE,"GENERAL";"TAB4",#N/A,TRUE,"GENERAL";"TAB5",#N/A,TRUE,"GENERAL"}</definedName>
    <definedName name="BCXBDFG" localSheetId="19" hidden="1">{"TAB1",#N/A,TRUE,"GENERAL";"TAB2",#N/A,TRUE,"GENERAL";"TAB3",#N/A,TRUE,"GENERAL";"TAB4",#N/A,TRUE,"GENERAL";"TAB5",#N/A,TRUE,"GENERAL"}</definedName>
    <definedName name="BCXBDFG" hidden="1">{"TAB1",#N/A,TRUE,"GENERAL";"TAB2",#N/A,TRUE,"GENERAL";"TAB3",#N/A,TRUE,"GENERAL";"TAB4",#N/A,TRUE,"GENERAL";"TAB5",#N/A,TRUE,"GENERAL"}</definedName>
    <definedName name="Bd">#REF!</definedName>
    <definedName name="Bd__2">#REF!</definedName>
    <definedName name="Bd_2">[41]FACTORES!#REF!</definedName>
    <definedName name="BDD" localSheetId="16">#REF!</definedName>
    <definedName name="BDD" localSheetId="19">#REF!</definedName>
    <definedName name="BDD">#REF!</definedName>
    <definedName name="BDFB" localSheetId="1" hidden="1">{"via1",#N/A,TRUE,"general";"via2",#N/A,TRUE,"general";"via3",#N/A,TRUE,"general"}</definedName>
    <definedName name="BDFB" localSheetId="9" hidden="1">{"via1",#N/A,TRUE,"general";"via2",#N/A,TRUE,"general";"via3",#N/A,TRUE,"general"}</definedName>
    <definedName name="BDFB" localSheetId="16" hidden="1">{"via1",#N/A,TRUE,"general";"via2",#N/A,TRUE,"general";"via3",#N/A,TRUE,"general"}</definedName>
    <definedName name="BDFB" localSheetId="19" hidden="1">{"via1",#N/A,TRUE,"general";"via2",#N/A,TRUE,"general";"via3",#N/A,TRUE,"general"}</definedName>
    <definedName name="BDFB" hidden="1">{"via1",#N/A,TRUE,"general";"via2",#N/A,TRUE,"general";"via3",#N/A,TRUE,"general"}</definedName>
    <definedName name="BDFGDG" localSheetId="1" hidden="1">{"TAB1",#N/A,TRUE,"GENERAL";"TAB2",#N/A,TRUE,"GENERAL";"TAB3",#N/A,TRUE,"GENERAL";"TAB4",#N/A,TRUE,"GENERAL";"TAB5",#N/A,TRUE,"GENERAL"}</definedName>
    <definedName name="BDFGDG" localSheetId="9" hidden="1">{"TAB1",#N/A,TRUE,"GENERAL";"TAB2",#N/A,TRUE,"GENERAL";"TAB3",#N/A,TRUE,"GENERAL";"TAB4",#N/A,TRUE,"GENERAL";"TAB5",#N/A,TRUE,"GENERAL"}</definedName>
    <definedName name="BDFGDG" localSheetId="16" hidden="1">{"TAB1",#N/A,TRUE,"GENERAL";"TAB2",#N/A,TRUE,"GENERAL";"TAB3",#N/A,TRUE,"GENERAL";"TAB4",#N/A,TRUE,"GENERAL";"TAB5",#N/A,TRUE,"GENERAL"}</definedName>
    <definedName name="BDFGDG" localSheetId="19" hidden="1">{"TAB1",#N/A,TRUE,"GENERAL";"TAB2",#N/A,TRUE,"GENERAL";"TAB3",#N/A,TRUE,"GENERAL";"TAB4",#N/A,TRUE,"GENERAL";"TAB5",#N/A,TRUE,"GENERAL"}</definedName>
    <definedName name="BDFGDG" hidden="1">{"TAB1",#N/A,TRUE,"GENERAL";"TAB2",#N/A,TRUE,"GENERAL";"TAB3",#N/A,TRUE,"GENERAL";"TAB4",#N/A,TRUE,"GENERAL";"TAB5",#N/A,TRUE,"GENERAL"}</definedName>
    <definedName name="be" localSheetId="1" hidden="1">{"TAB1",#N/A,TRUE,"GENERAL";"TAB2",#N/A,TRUE,"GENERAL";"TAB3",#N/A,TRUE,"GENERAL";"TAB4",#N/A,TRUE,"GENERAL";"TAB5",#N/A,TRUE,"GENERAL"}</definedName>
    <definedName name="be" localSheetId="9" hidden="1">{"TAB1",#N/A,TRUE,"GENERAL";"TAB2",#N/A,TRUE,"GENERAL";"TAB3",#N/A,TRUE,"GENERAL";"TAB4",#N/A,TRUE,"GENERAL";"TAB5",#N/A,TRUE,"GENERAL"}</definedName>
    <definedName name="be" localSheetId="16" hidden="1">{"TAB1",#N/A,TRUE,"GENERAL";"TAB2",#N/A,TRUE,"GENERAL";"TAB3",#N/A,TRUE,"GENERAL";"TAB4",#N/A,TRUE,"GENERAL";"TAB5",#N/A,TRUE,"GENERAL"}</definedName>
    <definedName name="be" localSheetId="19" hidden="1">{"TAB1",#N/A,TRUE,"GENERAL";"TAB2",#N/A,TRUE,"GENERAL";"TAB3",#N/A,TRUE,"GENERAL";"TAB4",#N/A,TRUE,"GENERAL";"TAB5",#N/A,TRUE,"GENERAL"}</definedName>
    <definedName name="be" hidden="1">{"TAB1",#N/A,TRUE,"GENERAL";"TAB2",#N/A,TRUE,"GENERAL";"TAB3",#N/A,TRUE,"GENERAL";"TAB4",#N/A,TRUE,"GENERAL";"TAB5",#N/A,TRUE,"GENERAL"}</definedName>
    <definedName name="Beg_Bal" localSheetId="3">#REF!</definedName>
    <definedName name="Beg_Bal">#REF!</definedName>
    <definedName name="bfnfv" localSheetId="1" hidden="1">{"TAB1",#N/A,TRUE,"GENERAL";"TAB2",#N/A,TRUE,"GENERAL";"TAB3",#N/A,TRUE,"GENERAL";"TAB4",#N/A,TRUE,"GENERAL";"TAB5",#N/A,TRUE,"GENERAL"}</definedName>
    <definedName name="bfnfv" localSheetId="9" hidden="1">{"TAB1",#N/A,TRUE,"GENERAL";"TAB2",#N/A,TRUE,"GENERAL";"TAB3",#N/A,TRUE,"GENERAL";"TAB4",#N/A,TRUE,"GENERAL";"TAB5",#N/A,TRUE,"GENERAL"}</definedName>
    <definedName name="bfnfv" localSheetId="16" hidden="1">{"TAB1",#N/A,TRUE,"GENERAL";"TAB2",#N/A,TRUE,"GENERAL";"TAB3",#N/A,TRUE,"GENERAL";"TAB4",#N/A,TRUE,"GENERAL";"TAB5",#N/A,TRUE,"GENERAL"}</definedName>
    <definedName name="bfnfv" localSheetId="19" hidden="1">{"TAB1",#N/A,TRUE,"GENERAL";"TAB2",#N/A,TRUE,"GENERAL";"TAB3",#N/A,TRUE,"GENERAL";"TAB4",#N/A,TRUE,"GENERAL";"TAB5",#N/A,TRUE,"GENERAL"}</definedName>
    <definedName name="bfnfv" hidden="1">{"TAB1",#N/A,TRUE,"GENERAL";"TAB2",#N/A,TRUE,"GENERAL";"TAB3",#N/A,TRUE,"GENERAL";"TAB4",#N/A,TRUE,"GENERAL";"TAB5",#N/A,TRUE,"GENERAL"}</definedName>
    <definedName name="bgb" localSheetId="1" hidden="1">{"TAB1",#N/A,TRUE,"GENERAL";"TAB2",#N/A,TRUE,"GENERAL";"TAB3",#N/A,TRUE,"GENERAL";"TAB4",#N/A,TRUE,"GENERAL";"TAB5",#N/A,TRUE,"GENERAL"}</definedName>
    <definedName name="bgb" localSheetId="9" hidden="1">{"TAB1",#N/A,TRUE,"GENERAL";"TAB2",#N/A,TRUE,"GENERAL";"TAB3",#N/A,TRUE,"GENERAL";"TAB4",#N/A,TRUE,"GENERAL";"TAB5",#N/A,TRUE,"GENERAL"}</definedName>
    <definedName name="bgb" localSheetId="16" hidden="1">{"TAB1",#N/A,TRUE,"GENERAL";"TAB2",#N/A,TRUE,"GENERAL";"TAB3",#N/A,TRUE,"GENERAL";"TAB4",#N/A,TRUE,"GENERAL";"TAB5",#N/A,TRUE,"GENERAL"}</definedName>
    <definedName name="bgb" localSheetId="19" hidden="1">{"TAB1",#N/A,TRUE,"GENERAL";"TAB2",#N/A,TRUE,"GENERAL";"TAB3",#N/A,TRUE,"GENERAL";"TAB4",#N/A,TRUE,"GENERAL";"TAB5",#N/A,TRUE,"GENERAL"}</definedName>
    <definedName name="bgb" hidden="1">{"TAB1",#N/A,TRUE,"GENERAL";"TAB2",#N/A,TRUE,"GENERAL";"TAB3",#N/A,TRUE,"GENERAL";"TAB4",#N/A,TRUE,"GENERAL";"TAB5",#N/A,TRUE,"GENERAL"}</definedName>
    <definedName name="BGDGFRT" localSheetId="1" hidden="1">{"via1",#N/A,TRUE,"general";"via2",#N/A,TRUE,"general";"via3",#N/A,TRUE,"general"}</definedName>
    <definedName name="BGDGFRT" localSheetId="9" hidden="1">{"via1",#N/A,TRUE,"general";"via2",#N/A,TRUE,"general";"via3",#N/A,TRUE,"general"}</definedName>
    <definedName name="BGDGFRT" localSheetId="16" hidden="1">{"via1",#N/A,TRUE,"general";"via2",#N/A,TRUE,"general";"via3",#N/A,TRUE,"general"}</definedName>
    <definedName name="BGDGFRT" localSheetId="19" hidden="1">{"via1",#N/A,TRUE,"general";"via2",#N/A,TRUE,"general";"via3",#N/A,TRUE,"general"}</definedName>
    <definedName name="BGDGFRT" hidden="1">{"via1",#N/A,TRUE,"general";"via2",#N/A,TRUE,"general";"via3",#N/A,TRUE,"general"}</definedName>
    <definedName name="BGFBFH" localSheetId="1" hidden="1">{"via1",#N/A,TRUE,"general";"via2",#N/A,TRUE,"general";"via3",#N/A,TRUE,"general"}</definedName>
    <definedName name="BGFBFH" localSheetId="9" hidden="1">{"via1",#N/A,TRUE,"general";"via2",#N/A,TRUE,"general";"via3",#N/A,TRUE,"general"}</definedName>
    <definedName name="BGFBFH" localSheetId="16" hidden="1">{"via1",#N/A,TRUE,"general";"via2",#N/A,TRUE,"general";"via3",#N/A,TRUE,"general"}</definedName>
    <definedName name="BGFBFH" localSheetId="19" hidden="1">{"via1",#N/A,TRUE,"general";"via2",#N/A,TRUE,"general";"via3",#N/A,TRUE,"general"}</definedName>
    <definedName name="BGFBFH" hidden="1">{"via1",#N/A,TRUE,"general";"via2",#N/A,TRUE,"general";"via3",#N/A,TRUE,"general"}</definedName>
    <definedName name="bgh" localSheetId="3">#REF!</definedName>
    <definedName name="bgh">#REF!</definedName>
    <definedName name="bgvfcdx" localSheetId="1" hidden="1">{"via1",#N/A,TRUE,"general";"via2",#N/A,TRUE,"general";"via3",#N/A,TRUE,"general"}</definedName>
    <definedName name="bgvfcdx" localSheetId="9" hidden="1">{"via1",#N/A,TRUE,"general";"via2",#N/A,TRUE,"general";"via3",#N/A,TRUE,"general"}</definedName>
    <definedName name="bgvfcdx" localSheetId="16" hidden="1">{"via1",#N/A,TRUE,"general";"via2",#N/A,TRUE,"general";"via3",#N/A,TRUE,"general"}</definedName>
    <definedName name="bgvfcdx" localSheetId="19" hidden="1">{"via1",#N/A,TRUE,"general";"via2",#N/A,TRUE,"general";"via3",#N/A,TRUE,"general"}</definedName>
    <definedName name="bgvfcdx" hidden="1">{"via1",#N/A,TRUE,"general";"via2",#N/A,TRUE,"general";"via3",#N/A,TRUE,"general"}</definedName>
    <definedName name="BHT" localSheetId="3">#REF!</definedName>
    <definedName name="BHT">#REF!</definedName>
    <definedName name="bimestre">'[42]ESTADO RED'!$E$8</definedName>
    <definedName name="BJHVVHGH">#N/A</definedName>
    <definedName name="bl" localSheetId="3">#REF!</definedName>
    <definedName name="bl">#REF!</definedName>
    <definedName name="Bloque" localSheetId="1">'[20]LISTADO DE MATERIALES Y EQUIPOS'!$B$19</definedName>
    <definedName name="Bloque" localSheetId="16">'[20]LISTADO DE MATERIALES Y EQUIPOS'!$B$19</definedName>
    <definedName name="Bloque">'[20]LISTADO DE MATERIALES Y EQUIPOS'!$B$19</definedName>
    <definedName name="bnm" localSheetId="16">#REF!</definedName>
    <definedName name="bnm" localSheetId="3">#REF!</definedName>
    <definedName name="bnm">#REF!</definedName>
    <definedName name="BOTAD" localSheetId="1">[7]BASE!$D$447</definedName>
    <definedName name="BOTAD" localSheetId="16">[7]BASE!$D$447</definedName>
    <definedName name="BOTAD">[7]BASE!$D$447</definedName>
    <definedName name="br" localSheetId="1" hidden="1">{"TAB1",#N/A,TRUE,"GENERAL";"TAB2",#N/A,TRUE,"GENERAL";"TAB3",#N/A,TRUE,"GENERAL";"TAB4",#N/A,TRUE,"GENERAL";"TAB5",#N/A,TRUE,"GENERAL"}</definedName>
    <definedName name="br" localSheetId="9" hidden="1">{"TAB1",#N/A,TRUE,"GENERAL";"TAB2",#N/A,TRUE,"GENERAL";"TAB3",#N/A,TRUE,"GENERAL";"TAB4",#N/A,TRUE,"GENERAL";"TAB5",#N/A,TRUE,"GENERAL"}</definedName>
    <definedName name="br" localSheetId="16" hidden="1">{"TAB1",#N/A,TRUE,"GENERAL";"TAB2",#N/A,TRUE,"GENERAL";"TAB3",#N/A,TRUE,"GENERAL";"TAB4",#N/A,TRUE,"GENERAL";"TAB5",#N/A,TRUE,"GENERAL"}</definedName>
    <definedName name="br" localSheetId="19" hidden="1">{"TAB1",#N/A,TRUE,"GENERAL";"TAB2",#N/A,TRUE,"GENERAL";"TAB3",#N/A,TRUE,"GENERAL";"TAB4",#N/A,TRUE,"GENERAL";"TAB5",#N/A,TRUE,"GENERAL"}</definedName>
    <definedName name="br" hidden="1">{"TAB1",#N/A,TRUE,"GENERAL";"TAB2",#N/A,TRUE,"GENERAL";"TAB3",#N/A,TRUE,"GENERAL";"TAB4",#N/A,TRUE,"GENERAL";"TAB5",#N/A,TRUE,"GENERAL"}</definedName>
    <definedName name="Breaker_15_amp" localSheetId="1">'[20]LISTADO DE MATERIALES Y EQUIPOS'!$B$96</definedName>
    <definedName name="Breaker_15_amp" localSheetId="16">'[20]LISTADO DE MATERIALES Y EQUIPOS'!$B$96</definedName>
    <definedName name="Breaker_15_amp">'[20]LISTADO DE MATERIALES Y EQUIPOS'!$B$96</definedName>
    <definedName name="breaker_20_amp" localSheetId="1">'[20]LISTADO DE MATERIALES Y EQUIPOS'!$B$97</definedName>
    <definedName name="breaker_20_amp" localSheetId="16">'[20]LISTADO DE MATERIALES Y EQUIPOS'!$B$97</definedName>
    <definedName name="breaker_20_amp">'[20]LISTADO DE MATERIALES Y EQUIPOS'!$B$97</definedName>
    <definedName name="bsb" localSheetId="1" hidden="1">{"via1",#N/A,TRUE,"general";"via2",#N/A,TRUE,"general";"via3",#N/A,TRUE,"general"}</definedName>
    <definedName name="bsb" localSheetId="9" hidden="1">{"via1",#N/A,TRUE,"general";"via2",#N/A,TRUE,"general";"via3",#N/A,TRUE,"general"}</definedName>
    <definedName name="bsb" localSheetId="16" hidden="1">{"via1",#N/A,TRUE,"general";"via2",#N/A,TRUE,"general";"via3",#N/A,TRUE,"general"}</definedName>
    <definedName name="bsb" localSheetId="19" hidden="1">{"via1",#N/A,TRUE,"general";"via2",#N/A,TRUE,"general";"via3",#N/A,TRUE,"general"}</definedName>
    <definedName name="bsb" hidden="1">{"via1",#N/A,TRUE,"general";"via2",#N/A,TRUE,"general";"via3",#N/A,TRUE,"general"}</definedName>
    <definedName name="bspoi" localSheetId="1" hidden="1">{"TAB1",#N/A,TRUE,"GENERAL";"TAB2",#N/A,TRUE,"GENERAL";"TAB3",#N/A,TRUE,"GENERAL";"TAB4",#N/A,TRUE,"GENERAL";"TAB5",#N/A,TRUE,"GENERAL"}</definedName>
    <definedName name="bspoi" localSheetId="9" hidden="1">{"TAB1",#N/A,TRUE,"GENERAL";"TAB2",#N/A,TRUE,"GENERAL";"TAB3",#N/A,TRUE,"GENERAL";"TAB4",#N/A,TRUE,"GENERAL";"TAB5",#N/A,TRUE,"GENERAL"}</definedName>
    <definedName name="bspoi" localSheetId="16" hidden="1">{"TAB1",#N/A,TRUE,"GENERAL";"TAB2",#N/A,TRUE,"GENERAL";"TAB3",#N/A,TRUE,"GENERAL";"TAB4",#N/A,TRUE,"GENERAL";"TAB5",#N/A,TRUE,"GENERAL"}</definedName>
    <definedName name="bspoi" localSheetId="19" hidden="1">{"TAB1",#N/A,TRUE,"GENERAL";"TAB2",#N/A,TRUE,"GENERAL";"TAB3",#N/A,TRUE,"GENERAL";"TAB4",#N/A,TRUE,"GENERAL";"TAB5",#N/A,TRUE,"GENERAL"}</definedName>
    <definedName name="bspoi" hidden="1">{"TAB1",#N/A,TRUE,"GENERAL";"TAB2",#N/A,TRUE,"GENERAL";"TAB3",#N/A,TRUE,"GENERAL";"TAB4",#N/A,TRUE,"GENERAL";"TAB5",#N/A,TRUE,"GENERAL"}</definedName>
    <definedName name="bt" localSheetId="1" hidden="1">{"via1",#N/A,TRUE,"general";"via2",#N/A,TRUE,"general";"via3",#N/A,TRUE,"general"}</definedName>
    <definedName name="bt" localSheetId="9" hidden="1">{"via1",#N/A,TRUE,"general";"via2",#N/A,TRUE,"general";"via3",#N/A,TRUE,"general"}</definedName>
    <definedName name="bt" localSheetId="16" hidden="1">{"via1",#N/A,TRUE,"general";"via2",#N/A,TRUE,"general";"via3",#N/A,TRUE,"general"}</definedName>
    <definedName name="bt" localSheetId="19" hidden="1">{"via1",#N/A,TRUE,"general";"via2",#N/A,TRUE,"general";"via3",#N/A,TRUE,"general"}</definedName>
    <definedName name="bt" hidden="1">{"via1",#N/A,TRUE,"general";"via2",#N/A,TRUE,"general";"via3",#N/A,TRUE,"general"}</definedName>
    <definedName name="BTYJHTR" localSheetId="1" hidden="1">{"TAB1",#N/A,TRUE,"GENERAL";"TAB2",#N/A,TRUE,"GENERAL";"TAB3",#N/A,TRUE,"GENERAL";"TAB4",#N/A,TRUE,"GENERAL";"TAB5",#N/A,TRUE,"GENERAL"}</definedName>
    <definedName name="BTYJHTR" localSheetId="9" hidden="1">{"TAB1",#N/A,TRUE,"GENERAL";"TAB2",#N/A,TRUE,"GENERAL";"TAB3",#N/A,TRUE,"GENERAL";"TAB4",#N/A,TRUE,"GENERAL";"TAB5",#N/A,TRUE,"GENERAL"}</definedName>
    <definedName name="BTYJHTR" localSheetId="16" hidden="1">{"TAB1",#N/A,TRUE,"GENERAL";"TAB2",#N/A,TRUE,"GENERAL";"TAB3",#N/A,TRUE,"GENERAL";"TAB4",#N/A,TRUE,"GENERAL";"TAB5",#N/A,TRUE,"GENERAL"}</definedName>
    <definedName name="BTYJHTR" localSheetId="19" hidden="1">{"TAB1",#N/A,TRUE,"GENERAL";"TAB2",#N/A,TRUE,"GENERAL";"TAB3",#N/A,TRUE,"GENERAL";"TAB4",#N/A,TRUE,"GENERAL";"TAB5",#N/A,TRUE,"GENERAL"}</definedName>
    <definedName name="BTYJHTR" hidden="1">{"TAB1",#N/A,TRUE,"GENERAL";"TAB2",#N/A,TRUE,"GENERAL";"TAB3",#N/A,TRUE,"GENERAL";"TAB4",#N/A,TRUE,"GENERAL";"TAB5",#N/A,TRUE,"GENERAL"}</definedName>
    <definedName name="BUENO4006" localSheetId="3">#REF!</definedName>
    <definedName name="BUENO4006">#REF!</definedName>
    <definedName name="BUENO4006A" localSheetId="3">#REF!</definedName>
    <definedName name="BUENO4006A">#REF!</definedName>
    <definedName name="BUENO40CN01" localSheetId="3">#REF!</definedName>
    <definedName name="BUENO40CN01">#REF!</definedName>
    <definedName name="BUENO40CNA">#REF!</definedName>
    <definedName name="BUENO40CNB">#REF!</definedName>
    <definedName name="BUENO55CN01">#REF!</definedName>
    <definedName name="BUENO55CN03">#REF!</definedName>
    <definedName name="BUENO5607">#REF!</definedName>
    <definedName name="BUENOAFIR5607">#REF!</definedName>
    <definedName name="BuiltIn_Print_Area">#REF!</definedName>
    <definedName name="BuiltIn_Print_Area___0">#REF!</definedName>
    <definedName name="BuiltIn_Print_Area___0___0">#REF!</definedName>
    <definedName name="BuiltIn_Print_Area___0___0___0">#REF!</definedName>
    <definedName name="BuiltIn_Print_Titles">#REF!</definedName>
    <definedName name="Buscar">#REF!</definedName>
    <definedName name="bvbc" localSheetId="1" hidden="1">{"TAB1",#N/A,TRUE,"GENERAL";"TAB2",#N/A,TRUE,"GENERAL";"TAB3",#N/A,TRUE,"GENERAL";"TAB4",#N/A,TRUE,"GENERAL";"TAB5",#N/A,TRUE,"GENERAL"}</definedName>
    <definedName name="bvbc" localSheetId="9" hidden="1">{"TAB1",#N/A,TRUE,"GENERAL";"TAB2",#N/A,TRUE,"GENERAL";"TAB3",#N/A,TRUE,"GENERAL";"TAB4",#N/A,TRUE,"GENERAL";"TAB5",#N/A,TRUE,"GENERAL"}</definedName>
    <definedName name="bvbc" localSheetId="16" hidden="1">{"TAB1",#N/A,TRUE,"GENERAL";"TAB2",#N/A,TRUE,"GENERAL";"TAB3",#N/A,TRUE,"GENERAL";"TAB4",#N/A,TRUE,"GENERAL";"TAB5",#N/A,TRUE,"GENERAL"}</definedName>
    <definedName name="bvbc" localSheetId="19" hidden="1">{"TAB1",#N/A,TRUE,"GENERAL";"TAB2",#N/A,TRUE,"GENERAL";"TAB3",#N/A,TRUE,"GENERAL";"TAB4",#N/A,TRUE,"GENERAL";"TAB5",#N/A,TRUE,"GENERAL"}</definedName>
    <definedName name="bvbc" hidden="1">{"TAB1",#N/A,TRUE,"GENERAL";"TAB2",#N/A,TRUE,"GENERAL";"TAB3",#N/A,TRUE,"GENERAL";"TAB4",#N/A,TRUE,"GENERAL";"TAB5",#N/A,TRUE,"GENERAL"}</definedName>
    <definedName name="bvcb" localSheetId="1" hidden="1">{"via1",#N/A,TRUE,"general";"via2",#N/A,TRUE,"general";"via3",#N/A,TRUE,"general"}</definedName>
    <definedName name="bvcb" localSheetId="9" hidden="1">{"via1",#N/A,TRUE,"general";"via2",#N/A,TRUE,"general";"via3",#N/A,TRUE,"general"}</definedName>
    <definedName name="bvcb" localSheetId="16" hidden="1">{"via1",#N/A,TRUE,"general";"via2",#N/A,TRUE,"general";"via3",#N/A,TRUE,"general"}</definedName>
    <definedName name="bvcb" localSheetId="19" hidden="1">{"via1",#N/A,TRUE,"general";"via2",#N/A,TRUE,"general";"via3",#N/A,TRUE,"general"}</definedName>
    <definedName name="bvcb" hidden="1">{"via1",#N/A,TRUE,"general";"via2",#N/A,TRUE,"general";"via3",#N/A,TRUE,"general"}</definedName>
    <definedName name="bvn" localSheetId="1" hidden="1">{"via1",#N/A,TRUE,"general";"via2",#N/A,TRUE,"general";"via3",#N/A,TRUE,"general"}</definedName>
    <definedName name="bvn" localSheetId="9" hidden="1">{"via1",#N/A,TRUE,"general";"via2",#N/A,TRUE,"general";"via3",#N/A,TRUE,"general"}</definedName>
    <definedName name="bvn" localSheetId="16" hidden="1">{"via1",#N/A,TRUE,"general";"via2",#N/A,TRUE,"general";"via3",#N/A,TRUE,"general"}</definedName>
    <definedName name="bvn" localSheetId="19" hidden="1">{"via1",#N/A,TRUE,"general";"via2",#N/A,TRUE,"general";"via3",#N/A,TRUE,"general"}</definedName>
    <definedName name="bvn" hidden="1">{"via1",#N/A,TRUE,"general";"via2",#N/A,TRUE,"general";"via3",#N/A,TRUE,"general"}</definedName>
    <definedName name="bw" localSheetId="3">#REF!</definedName>
    <definedName name="bw">#REF!</definedName>
    <definedName name="by" localSheetId="1" hidden="1">{"via1",#N/A,TRUE,"general";"via2",#N/A,TRUE,"general";"via3",#N/A,TRUE,"general"}</definedName>
    <definedName name="by" localSheetId="9" hidden="1">{"via1",#N/A,TRUE,"general";"via2",#N/A,TRUE,"general";"via3",#N/A,TRUE,"general"}</definedName>
    <definedName name="by" localSheetId="16" hidden="1">{"via1",#N/A,TRUE,"general";"via2",#N/A,TRUE,"general";"via3",#N/A,TRUE,"general"}</definedName>
    <definedName name="by" localSheetId="19" hidden="1">{"via1",#N/A,TRUE,"general";"via2",#N/A,TRUE,"general";"via3",#N/A,TRUE,"general"}</definedName>
    <definedName name="by" hidden="1">{"via1",#N/A,TRUE,"general";"via2",#N/A,TRUE,"general";"via3",#N/A,TRUE,"general"}</definedName>
    <definedName name="C.CLAV">#REF!</definedName>
    <definedName name="C.FON">#REF!</definedName>
    <definedName name="C.LOM">#REF!</definedName>
    <definedName name="C.RAS">#REF!</definedName>
    <definedName name="C.TERR">#REF!</definedName>
    <definedName name="C_">#REF!</definedName>
    <definedName name="C_LOM">#REF!</definedName>
    <definedName name="C_min">[13]D_AWG!$H$40</definedName>
    <definedName name="caa" localSheetId="16">#REF!</definedName>
    <definedName name="caa">#REF!</definedName>
    <definedName name="CAB">[43]Cab!$E$4:$X$28</definedName>
    <definedName name="Cable__10" localSheetId="1">'[20]LISTADO DE MATERIALES Y EQUIPOS'!$B$93</definedName>
    <definedName name="Cable__10" localSheetId="16">'[20]LISTADO DE MATERIALES Y EQUIPOS'!$B$93</definedName>
    <definedName name="Cable__10">'[20]LISTADO DE MATERIALES Y EQUIPOS'!$B$93</definedName>
    <definedName name="Cable__12" localSheetId="1">'[20]LISTADO DE MATERIALES Y EQUIPOS'!$B$94</definedName>
    <definedName name="Cable__12" localSheetId="16">'[20]LISTADO DE MATERIALES Y EQUIPOS'!$B$94</definedName>
    <definedName name="Cable__12">'[20]LISTADO DE MATERIALES Y EQUIPOS'!$B$94</definedName>
    <definedName name="Cable__14" localSheetId="1">'[20]LISTADO DE MATERIALES Y EQUIPOS'!$B$95</definedName>
    <definedName name="Cable__14" localSheetId="16">'[20]LISTADO DE MATERIALES Y EQUIPOS'!$B$95</definedName>
    <definedName name="Cable__14">'[20]LISTADO DE MATERIALES Y EQUIPOS'!$B$95</definedName>
    <definedName name="Cables" localSheetId="1">[44]Tablas!$N$5:$N$32</definedName>
    <definedName name="Cables" localSheetId="16">[44]Tablas!$N$5:$N$32</definedName>
    <definedName name="Cables">[44]Tablas!$N$5:$N$32</definedName>
    <definedName name="CADENA" localSheetId="16">#REF!</definedName>
    <definedName name="CADENA" localSheetId="19">#REF!</definedName>
    <definedName name="CADENA">#REF!</definedName>
    <definedName name="Caja" localSheetId="16">#REF!</definedName>
    <definedName name="Caja">#REF!</definedName>
    <definedName name="Caja_hexagonal_pvc" localSheetId="1">'[20]LISTADO DE MATERIALES Y EQUIPOS'!$B$124</definedName>
    <definedName name="Caja_hexagonal_pvc" localSheetId="16">'[20]LISTADO DE MATERIALES Y EQUIPOS'!$B$124</definedName>
    <definedName name="Caja_hexagonal_pvc">'[20]LISTADO DE MATERIALES Y EQUIPOS'!$B$124</definedName>
    <definedName name="CAM_CAIDA" localSheetId="16">#REF!</definedName>
    <definedName name="CAM_CAIDA">#REF!</definedName>
    <definedName name="cancha" localSheetId="16">#REF!</definedName>
    <definedName name="cancha">#REF!</definedName>
    <definedName name="CANGU" localSheetId="1">[7]BASE!$D$418</definedName>
    <definedName name="CANGU" localSheetId="16">[7]BASE!$D$418</definedName>
    <definedName name="CANGU">[7]BASE!$D$418</definedName>
    <definedName name="CANT" localSheetId="16">#REF!</definedName>
    <definedName name="CANT">#REF!</definedName>
    <definedName name="Cant.20deJulio" localSheetId="16">'[45]20 de Julio'!$E$11:$E$148</definedName>
    <definedName name="Cant.20deJulio">'[45]20 de Julio'!$E$11:$E$148</definedName>
    <definedName name="Cant.Casaloma" localSheetId="16">[45]Casaloma!$G$13:$G$208</definedName>
    <definedName name="Cant.Casaloma">[45]Casaloma!$G$13:$G$208</definedName>
    <definedName name="Cant.Huertas" localSheetId="16">[45]Huertas!$E$5:$E$200</definedName>
    <definedName name="Cant.Huertas">[45]Huertas!$E$5:$E$200</definedName>
    <definedName name="Cant.LosPinos" localSheetId="16">'[45]Pinos 4-8 '!$G$13:$G$208</definedName>
    <definedName name="Cant.LosPinos">'[45]Pinos 4-8 '!$G$13:$G$208</definedName>
    <definedName name="Cant.LosPinos4.7" localSheetId="16">'[45]Pinos 4-7'!$E$5:$E$200</definedName>
    <definedName name="Cant.LosPinos4.7">'[45]Pinos 4-7'!$E$5:$E$200</definedName>
    <definedName name="Cant.MiradorPrim" localSheetId="16">'[45]Mirad. de la Prim.'!$G$13:$G$208</definedName>
    <definedName name="Cant.MiradorPrim">'[45]Mirad. de la Prim.'!$G$13:$G$208</definedName>
    <definedName name="Cant.Paraiso" localSheetId="16">[45]Paraiso!$G$8:$G$203</definedName>
    <definedName name="Cant.Paraiso">[45]Paraiso!$G$8:$G$203</definedName>
    <definedName name="Cant.PorvenirEstancia" localSheetId="16">'[45]Porv. de la Est.'!$E$5:$E$200</definedName>
    <definedName name="Cant.PorvenirEstancia">'[45]Porv. de la Est.'!$E$5:$E$200</definedName>
    <definedName name="Cant.RinconPorvenir" localSheetId="16">'[45]Rincon Porv.'!$E$5:$E$200</definedName>
    <definedName name="Cant.RinconPorvenir">'[45]Rincon Porv.'!$E$5:$E$200</definedName>
    <definedName name="Cant.SanIsidro" localSheetId="16">'[45]San Isidro'!$G$13:$G$208</definedName>
    <definedName name="Cant.SanIsidro">'[45]San Isidro'!$G$13:$G$208</definedName>
    <definedName name="Cant.SantaInes" localSheetId="16">'[45]Sta Ines'!$D$6:$D$201</definedName>
    <definedName name="Cant.SantaInes">'[45]Sta Ines'!$D$6:$D$201</definedName>
    <definedName name="Cant.SanVicente" localSheetId="16">'[45]San Vicente'!$G$13:$G$208</definedName>
    <definedName name="Cant.SanVicente">'[45]San Vicente'!$G$13:$G$208</definedName>
    <definedName name="Cant.Uval" localSheetId="16">[45]Uval!$D$4:$D$199</definedName>
    <definedName name="Cant.Uval">[45]Uval!$D$4:$D$199</definedName>
    <definedName name="Cantidad" localSheetId="16">#REF!</definedName>
    <definedName name="Cantidad">#REF!</definedName>
    <definedName name="CAP" localSheetId="16">#REF!</definedName>
    <definedName name="CAP">#REF!</definedName>
    <definedName name="CARGADOR" localSheetId="16">[26]EQUIPO!$D$10</definedName>
    <definedName name="CARGADOR">[26]EQUIPO!$D$10</definedName>
    <definedName name="CARGUER">[46]BASE!$D$392</definedName>
    <definedName name="CARLOS">#N/A</definedName>
    <definedName name="CAROL">'[27]precios-básicos2002'!$C$12:$C$56</definedName>
    <definedName name="carol1">'[28]precios-básicos2002'!$C$12:$C$56</definedName>
    <definedName name="CARRETERAS">[27]DATOS!$A$9</definedName>
    <definedName name="Casa">[47]Hoja1!$A$4:$F$211</definedName>
    <definedName name="CASQ">[48]FACTORES!#REF!</definedName>
    <definedName name="causa" localSheetId="16">#REF!</definedName>
    <definedName name="causa" localSheetId="3">#REF!</definedName>
    <definedName name="causa">#REF!</definedName>
    <definedName name="cc" localSheetId="16">#REF!</definedName>
    <definedName name="cc">#REF!</definedName>
    <definedName name="ccccc" localSheetId="1" hidden="1">{"TAB1",#N/A,TRUE,"GENERAL";"TAB2",#N/A,TRUE,"GENERAL";"TAB3",#N/A,TRUE,"GENERAL";"TAB4",#N/A,TRUE,"GENERAL";"TAB5",#N/A,TRUE,"GENERAL"}</definedName>
    <definedName name="ccccc" localSheetId="9" hidden="1">{"TAB1",#N/A,TRUE,"GENERAL";"TAB2",#N/A,TRUE,"GENERAL";"TAB3",#N/A,TRUE,"GENERAL";"TAB4",#N/A,TRUE,"GENERAL";"TAB5",#N/A,TRUE,"GENERAL"}</definedName>
    <definedName name="ccccc" localSheetId="16" hidden="1">{"TAB1",#N/A,TRUE,"GENERAL";"TAB2",#N/A,TRUE,"GENERAL";"TAB3",#N/A,TRUE,"GENERAL";"TAB4",#N/A,TRUE,"GENERAL";"TAB5",#N/A,TRUE,"GENERAL"}</definedName>
    <definedName name="ccccc" localSheetId="19" hidden="1">{"TAB1",#N/A,TRUE,"GENERAL";"TAB2",#N/A,TRUE,"GENERAL";"TAB3",#N/A,TRUE,"GENERAL";"TAB4",#N/A,TRUE,"GENERAL";"TAB5",#N/A,TRUE,"GENERAL"}</definedName>
    <definedName name="ccccc" hidden="1">{"TAB1",#N/A,TRUE,"GENERAL";"TAB2",#N/A,TRUE,"GENERAL";"TAB3",#N/A,TRUE,"GENERAL";"TAB4",#N/A,TRUE,"GENERAL";"TAB5",#N/A,TRUE,"GENERAL"}</definedName>
    <definedName name="CCCCCC">'[49]A. P. U.'!#REF!</definedName>
    <definedName name="ccto210" localSheetId="16">#REF!</definedName>
    <definedName name="ccto210">#REF!</definedName>
    <definedName name="cd" localSheetId="3">#REF!</definedName>
    <definedName name="cd">[50]Hoja1!$C$81</definedName>
    <definedName name="cd___0">#N/A</definedName>
    <definedName name="cdcdc" localSheetId="1" hidden="1">{"via1",#N/A,TRUE,"general";"via2",#N/A,TRUE,"general";"via3",#N/A,TRUE,"general"}</definedName>
    <definedName name="cdcdc" localSheetId="9" hidden="1">{"via1",#N/A,TRUE,"general";"via2",#N/A,TRUE,"general";"via3",#N/A,TRUE,"general"}</definedName>
    <definedName name="cdcdc" localSheetId="16" hidden="1">{"via1",#N/A,TRUE,"general";"via2",#N/A,TRUE,"general";"via3",#N/A,TRUE,"general"}</definedName>
    <definedName name="cdcdc" localSheetId="19" hidden="1">{"via1",#N/A,TRUE,"general";"via2",#N/A,TRUE,"general";"via3",#N/A,TRUE,"general"}</definedName>
    <definedName name="cdcdc" hidden="1">{"via1",#N/A,TRUE,"general";"via2",#N/A,TRUE,"general";"via3",#N/A,TRUE,"general"}</definedName>
    <definedName name="CDctrl">[34]CDItem!$G$8</definedName>
    <definedName name="ceerf" localSheetId="1" hidden="1">{"TAB1",#N/A,TRUE,"GENERAL";"TAB2",#N/A,TRUE,"GENERAL";"TAB3",#N/A,TRUE,"GENERAL";"TAB4",#N/A,TRUE,"GENERAL";"TAB5",#N/A,TRUE,"GENERAL"}</definedName>
    <definedName name="ceerf" localSheetId="9" hidden="1">{"TAB1",#N/A,TRUE,"GENERAL";"TAB2",#N/A,TRUE,"GENERAL";"TAB3",#N/A,TRUE,"GENERAL";"TAB4",#N/A,TRUE,"GENERAL";"TAB5",#N/A,TRUE,"GENERAL"}</definedName>
    <definedName name="ceerf" localSheetId="16" hidden="1">{"TAB1",#N/A,TRUE,"GENERAL";"TAB2",#N/A,TRUE,"GENERAL";"TAB3",#N/A,TRUE,"GENERAL";"TAB4",#N/A,TRUE,"GENERAL";"TAB5",#N/A,TRUE,"GENERAL"}</definedName>
    <definedName name="ceerf" localSheetId="19" hidden="1">{"TAB1",#N/A,TRUE,"GENERAL";"TAB2",#N/A,TRUE,"GENERAL";"TAB3",#N/A,TRUE,"GENERAL";"TAB4",#N/A,TRUE,"GENERAL";"TAB5",#N/A,TRUE,"GENERAL"}</definedName>
    <definedName name="ceerf" hidden="1">{"TAB1",#N/A,TRUE,"GENERAL";"TAB2",#N/A,TRUE,"GENERAL";"TAB3",#N/A,TRUE,"GENERAL";"TAB4",#N/A,TRUE,"GENERAL";"TAB5",#N/A,TRUE,"GENERAL"}</definedName>
    <definedName name="CEMEG" localSheetId="1">[7]BASE!$D$52</definedName>
    <definedName name="CEMEG" localSheetId="16">[7]BASE!$D$52</definedName>
    <definedName name="CEMEG">[7]BASE!$D$52</definedName>
    <definedName name="Cemento" localSheetId="1">'[20]LISTADO DE MATERIALES Y EQUIPOS'!$B$12</definedName>
    <definedName name="Cemento" localSheetId="16">'[20]LISTADO DE MATERIALES Y EQUIPOS'!$B$12</definedName>
    <definedName name="Cemento">'[20]LISTADO DE MATERIALES Y EQUIPOS'!$B$12</definedName>
    <definedName name="Cemento_Blanco" localSheetId="1">'[20]LISTADO DE MATERIALES Y EQUIPOS'!$B$11</definedName>
    <definedName name="Cemento_Blanco" localSheetId="16">'[20]LISTADO DE MATERIALES Y EQUIPOS'!$B$11</definedName>
    <definedName name="Cemento_Blanco">'[20]LISTADO DE MATERIALES Y EQUIPOS'!$B$11</definedName>
    <definedName name="centro" hidden="1">{#N/A,#N/A,FALSE,"GRAFICO";#N/A,#N/A,FALSE,"CAJA (2)";#N/A,#N/A,FALSE,"TERCEROS-PROMEDIO";#N/A,#N/A,FALSE,"CAJA";#N/A,#N/A,FALSE,"INGRESOS1995-2003";#N/A,#N/A,FALSE,"GASTOS1995-2003"}</definedName>
    <definedName name="CERRAMIENTO_PROVISIONAL" localSheetId="1">[7]PRESUPUESTO!#REF!</definedName>
    <definedName name="CERRAMIENTO_PROVISIONAL" localSheetId="16">[7]PRESUPUESTO!#REF!</definedName>
    <definedName name="CERRAMIENTO_PROVISIONAL">[7]PRESUPUESTO!#REF!</definedName>
    <definedName name="cerramientoprovisional" localSheetId="1">[31]Presupuesto!#REF!</definedName>
    <definedName name="cerramientoprovisional" localSheetId="16">[31]Presupuesto!#REF!</definedName>
    <definedName name="cerramientoprovisional">[31]Presupuesto!#REF!</definedName>
    <definedName name="CHAZO_PUNTILLA_ANCLAJES" localSheetId="1">'[20]LISTADO DE MATERIALES Y EQUIPOS'!$B$105</definedName>
    <definedName name="CHAZO_PUNTILLA_ANCLAJES" localSheetId="16">'[20]LISTADO DE MATERIALES Y EQUIPOS'!$B$105</definedName>
    <definedName name="CHAZO_PUNTILLA_ANCLAJES">'[20]LISTADO DE MATERIALES Y EQUIPOS'!$B$105</definedName>
    <definedName name="Cierrapuerta_hidraulico_ajustable_hasta_80_kilos" localSheetId="1">'[20]LISTADO DE MATERIALES Y EQUIPOS'!$B$90</definedName>
    <definedName name="Cierrapuerta_hidraulico_ajustable_hasta_80_kilos" localSheetId="16">'[20]LISTADO DE MATERIALES Y EQUIPOS'!$B$90</definedName>
    <definedName name="Cierrapuerta_hidraulico_ajustable_hasta_80_kilos">'[20]LISTADO DE MATERIALES Y EQUIPOS'!$B$90</definedName>
    <definedName name="CILIND">[51]TUBERIA!$AE$10:$AE$14</definedName>
    <definedName name="CINTA_MALLA_ADHESIVA_X_90M" localSheetId="1">'[20]LISTADO DE MATERIALES Y EQUIPOS'!$B$107</definedName>
    <definedName name="CINTA_MALLA_ADHESIVA_X_90M" localSheetId="16">'[20]LISTADO DE MATERIALES Y EQUIPOS'!$B$107</definedName>
    <definedName name="CINTA_MALLA_ADHESIVA_X_90M">'[20]LISTADO DE MATERIALES Y EQUIPOS'!$B$107</definedName>
    <definedName name="CIRCUITOS">[52]Circuitos!$C$2:$C$891</definedName>
    <definedName name="CL" localSheetId="16">#REF!</definedName>
    <definedName name="CL" localSheetId="19">#REF!</definedName>
    <definedName name="CL">#REF!</definedName>
    <definedName name="clase" localSheetId="16">#REF!</definedName>
    <definedName name="clase">#REF!</definedName>
    <definedName name="CMMOA" localSheetId="1">[53]BASE!$D$455</definedName>
    <definedName name="CMMOA" localSheetId="16">[53]BASE!$D$455</definedName>
    <definedName name="CMMOA">[53]BASE!$D$455</definedName>
    <definedName name="co" localSheetId="16">#REF!</definedName>
    <definedName name="co" localSheetId="3">#REF!</definedName>
    <definedName name="co">#REF!</definedName>
    <definedName name="CO45S3" localSheetId="1">[7]BASE!$D$178</definedName>
    <definedName name="CO45S3" localSheetId="16">[7]BASE!$D$178</definedName>
    <definedName name="CO45S3">[7]BASE!$D$178</definedName>
    <definedName name="CO45S4" localSheetId="1">[7]BASE!$D$179</definedName>
    <definedName name="CO45S4" localSheetId="16">[7]BASE!$D$179</definedName>
    <definedName name="CO45S4">[7]BASE!$D$179</definedName>
    <definedName name="CO90S3" localSheetId="1">[7]BASE!$D$173</definedName>
    <definedName name="CO90S3" localSheetId="16">[7]BASE!$D$173</definedName>
    <definedName name="CO90S3">[7]BASE!$D$173</definedName>
    <definedName name="CO90S6" localSheetId="1">[7]BASE!$D$175</definedName>
    <definedName name="CO90S6" localSheetId="16">[7]BASE!$D$175</definedName>
    <definedName name="CO90S6">[7]BASE!$D$175</definedName>
    <definedName name="CobroSuspencion">"Elipse 8"</definedName>
    <definedName name="Cod" localSheetId="3">#REF!</definedName>
    <definedName name="Cod">#REF!</definedName>
    <definedName name="CODOS" localSheetId="3">#REF!</definedName>
    <definedName name="CODOS">#REF!</definedName>
    <definedName name="ColTap">'[5]Coloc. e Interc. Tapones'!$E$1:$E$65536</definedName>
    <definedName name="COM.LIM" localSheetId="16">#REF!</definedName>
    <definedName name="COM.LIM">#REF!</definedName>
    <definedName name="Combo_Sanitario_manantial_corona" localSheetId="1">'[20]LISTADO DE MATERIALES Y EQUIPOS'!$B$69</definedName>
    <definedName name="Combo_Sanitario_manantial_corona" localSheetId="16">'[20]LISTADO DE MATERIALES Y EQUIPOS'!$B$69</definedName>
    <definedName name="Combo_Sanitario_manantial_corona">'[20]LISTADO DE MATERIALES Y EQUIPOS'!$B$69</definedName>
    <definedName name="COMN1">[54]BASE!#REF!</definedName>
    <definedName name="COMP" localSheetId="16">#REF!</definedName>
    <definedName name="COMP">#REF!</definedName>
    <definedName name="COMPRESOR" localSheetId="16">[26]EQUIPO!$D$5</definedName>
    <definedName name="COMPRESOR">[26]EQUIPO!$D$5</definedName>
    <definedName name="con" localSheetId="16">#REF!</definedName>
    <definedName name="con" localSheetId="3">#REF!</definedName>
    <definedName name="con">#REF!</definedName>
    <definedName name="CON.FUN" localSheetId="16">#REF!</definedName>
    <definedName name="CON.FUN" localSheetId="19">#REF!</definedName>
    <definedName name="CON.FUN">#REF!</definedName>
    <definedName name="CON.LIM">#REF!</definedName>
    <definedName name="CON.POZ">#REF!</definedName>
    <definedName name="CON.TUB">[41]TUBERIA!#REF!</definedName>
    <definedName name="CONC" localSheetId="16">#REF!</definedName>
    <definedName name="CONC" localSheetId="19">#REF!</definedName>
    <definedName name="CONC">#REF!</definedName>
    <definedName name="Conc.2000" localSheetId="1">'[20]APUS BASIC'!$G$165</definedName>
    <definedName name="Conc.2000" localSheetId="16">'[20]APUS BASIC'!$G$165</definedName>
    <definedName name="Conc.2000">'[20]APUS BASIC'!$G$165</definedName>
    <definedName name="Conc.2500" localSheetId="1">'[20]APUS BASIC'!$G$122</definedName>
    <definedName name="Conc.2500" localSheetId="16">'[20]APUS BASIC'!$G$122</definedName>
    <definedName name="Conc.2500">'[20]APUS BASIC'!$G$122</definedName>
    <definedName name="Conc.3000" localSheetId="1">'[20]APUS BASIC'!$G$80</definedName>
    <definedName name="Conc.3000" localSheetId="16">'[20]APUS BASIC'!$G$80</definedName>
    <definedName name="Conc.3000">'[20]APUS BASIC'!$G$80</definedName>
    <definedName name="CONCRETO" localSheetId="16">#REF!</definedName>
    <definedName name="CONCRETO">#REF!</definedName>
    <definedName name="CONCRETO_F.C_4" localSheetId="16">#REF!</definedName>
    <definedName name="CONCRETO_F.C_4">#REF!</definedName>
    <definedName name="concreto_FC_2.2" localSheetId="16">#REF!</definedName>
    <definedName name="concreto_FC_2.2">#REF!</definedName>
    <definedName name="CONCRETOS" localSheetId="1">[7]PRESUPUESTO!#REF!</definedName>
    <definedName name="CONCRETOS" localSheetId="16">[7]PRESUPUESTO!#REF!</definedName>
    <definedName name="CONCRETOS">[7]PRESUPUESTO!#REF!</definedName>
    <definedName name="CONCRETOS_OBRAS_VARIAS" localSheetId="1">[7]PRESUPUESTO!#REF!</definedName>
    <definedName name="CONCRETOS_OBRAS_VARIAS" localSheetId="16">[7]PRESUPUESTO!#REF!</definedName>
    <definedName name="CONCRETOS_OBRAS_VARIAS">[7]PRESUPUESTO!#REF!</definedName>
    <definedName name="conf2" localSheetId="16">#REF!</definedName>
    <definedName name="conf2" localSheetId="3">#REF!</definedName>
    <definedName name="conf2">#REF!</definedName>
    <definedName name="CONF3Y" localSheetId="16">#REF!</definedName>
    <definedName name="CONF3Y">#REF!</definedName>
    <definedName name="CONM1" localSheetId="1">[7]BASE!$D$419</definedName>
    <definedName name="CONM1" localSheetId="16">[7]BASE!$D$419</definedName>
    <definedName name="CONM1">[7]BASE!$D$419</definedName>
    <definedName name="CONMI">[54]BASE!#REF!</definedName>
    <definedName name="CONMX" localSheetId="1">[7]BASE!$D$460</definedName>
    <definedName name="CONMX" localSheetId="16">[7]BASE!$D$460</definedName>
    <definedName name="CONMX">[7]BASE!$D$460</definedName>
    <definedName name="Consultor">'[55]Datos básicos'!$B$2</definedName>
    <definedName name="Contratante">'[55]Datos básicos'!$B$1</definedName>
    <definedName name="Contrato">'[55]Datos básicos'!$B$3</definedName>
    <definedName name="copia" localSheetId="16">#REF!</definedName>
    <definedName name="copia">#REF!</definedName>
    <definedName name="copiar">[56]Sheet1!$AC$68</definedName>
    <definedName name="Corriente">[43]AMPACITY!$B$6:$I$28</definedName>
    <definedName name="COSTODIRECTO" localSheetId="16">#REF!</definedName>
    <definedName name="COSTODIRECTO" localSheetId="19">#REF!</definedName>
    <definedName name="COSTODIRECTO">#REF!</definedName>
    <definedName name="COSTOS">[57]TARIFAS!$A$1:$F$52</definedName>
    <definedName name="cota">'[58]Base de Diseño'!$A$1:$D$290</definedName>
    <definedName name="cotas" localSheetId="16">#REF!</definedName>
    <definedName name="cotas" localSheetId="19">#REF!</definedName>
    <definedName name="cotas">#REF!</definedName>
    <definedName name="COYLL" localSheetId="1">[7]BASE!#REF!</definedName>
    <definedName name="COYLL" localSheetId="16">[7]BASE!#REF!</definedName>
    <definedName name="COYLL">[7]BASE!#REF!</definedName>
    <definedName name="cp" localSheetId="16">#REF!</definedName>
    <definedName name="cp" localSheetId="3">#REF!</definedName>
    <definedName name="cp">#REF!</definedName>
    <definedName name="_xlnm.Criteria" localSheetId="16">'[18]AC2-AG96'!#REF!</definedName>
    <definedName name="_xlnm.Criteria" localSheetId="3" hidden="1">{#N/A,#N/A,FALSE,"GRAFICO";#N/A,#N/A,FALSE,"CAJA (2)";#N/A,#N/A,FALSE,"TERCEROS-PROMEDIO";#N/A,#N/A,FALSE,"CAJA";#N/A,#N/A,FALSE,"INGRESOS1995-2003";#N/A,#N/A,FALSE,"GASTOS1995-2003"}</definedName>
    <definedName name="_xlnm.Criteria" localSheetId="19">'[18]AC2-AG96'!#REF!</definedName>
    <definedName name="_xlnm.Criteria">'[18]AC2-AG96'!#REF!</definedName>
    <definedName name="Criticos" localSheetId="16">#REF!</definedName>
    <definedName name="Criticos" localSheetId="3">#REF!</definedName>
    <definedName name="Criticos">#REF!</definedName>
    <definedName name="crt" hidden="1">{#N/A,#N/A,FALSE,"GRAFICO";#N/A,#N/A,FALSE,"CAJA (2)";#N/A,#N/A,FALSE,"TERCEROS-PROMEDIO";#N/A,#N/A,FALSE,"CAJA";#N/A,#N/A,FALSE,"INGRESOS1995-2003";#N/A,#N/A,FALSE,"GASTOS1995-2003"}</definedName>
    <definedName name="ct">[13]D_AWG!$P$25</definedName>
    <definedName name="CT140KG" localSheetId="1">[7]BASE!$D$33</definedName>
    <definedName name="CT140KG" localSheetId="16">[7]BASE!$D$33</definedName>
    <definedName name="CT140KG">[7]BASE!$D$33</definedName>
    <definedName name="CT170KG" localSheetId="1">[7]BASE!$D$32</definedName>
    <definedName name="CT170KG" localSheetId="16">[7]BASE!$D$32</definedName>
    <definedName name="CT170KG">[7]BASE!$D$32</definedName>
    <definedName name="CT180KG" localSheetId="1">[7]BASE!$D$31</definedName>
    <definedName name="CT180KG" localSheetId="16">[7]BASE!$D$31</definedName>
    <definedName name="CT180KG">[7]BASE!$D$31</definedName>
    <definedName name="CT210KG" localSheetId="1">[7]BASE!$D$30</definedName>
    <definedName name="CT210KG" localSheetId="16">[7]BASE!$D$30</definedName>
    <definedName name="CT210KG">[7]BASE!$D$30</definedName>
    <definedName name="CT245KG" localSheetId="1">[7]BASE!$D$29</definedName>
    <definedName name="CT245KG" localSheetId="16">[7]BASE!$D$29</definedName>
    <definedName name="CT245KG">[7]BASE!$D$29</definedName>
    <definedName name="CUADRILLAS" localSheetId="16">#REF!</definedName>
    <definedName name="CUADRILLAS" localSheetId="3">#REF!</definedName>
    <definedName name="CUADRILLAS">#REF!</definedName>
    <definedName name="CUAL" localSheetId="1">[1]!ERR</definedName>
    <definedName name="CUAL" localSheetId="16">[1]!ERR</definedName>
    <definedName name="CUAL" localSheetId="19">[1]!ERR</definedName>
    <definedName name="CUAL">[1]!ERR</definedName>
    <definedName name="cUCA" localSheetId="1">#REF!</definedName>
    <definedName name="cUCA" localSheetId="16">#REF!</definedName>
    <definedName name="cUCA">#REF!</definedName>
    <definedName name="CUE" localSheetId="1">#REF!</definedName>
    <definedName name="CUE">#REF!</definedName>
    <definedName name="CUER">#REF!</definedName>
    <definedName name="CUERDA">#REF!</definedName>
    <definedName name="CUNET" localSheetId="1" hidden="1">{"via1",#N/A,TRUE,"general";"via2",#N/A,TRUE,"general";"via3",#N/A,TRUE,"general"}</definedName>
    <definedName name="CUNET" localSheetId="9" hidden="1">{"via1",#N/A,TRUE,"general";"via2",#N/A,TRUE,"general";"via3",#N/A,TRUE,"general"}</definedName>
    <definedName name="CUNET" localSheetId="16" hidden="1">{"via1",#N/A,TRUE,"general";"via2",#N/A,TRUE,"general";"via3",#N/A,TRUE,"general"}</definedName>
    <definedName name="CUNET" localSheetId="19" hidden="1">{"via1",#N/A,TRUE,"general";"via2",#N/A,TRUE,"general";"via3",#N/A,TRUE,"general"}</definedName>
    <definedName name="CUNET" hidden="1">{"via1",#N/A,TRUE,"general";"via2",#N/A,TRUE,"general";"via3",#N/A,TRUE,"general"}</definedName>
    <definedName name="Curva_conduit_pvc_1_2" localSheetId="1">'[20]LISTADO DE MATERIALES Y EQUIPOS'!$B$123</definedName>
    <definedName name="Curva_conduit_pvc_1_2" localSheetId="16">'[20]LISTADO DE MATERIALES Y EQUIPOS'!$B$123</definedName>
    <definedName name="Curva_conduit_pvc_1_2">'[20]LISTADO DE MATERIALES Y EQUIPOS'!$B$123</definedName>
    <definedName name="cv" localSheetId="1" hidden="1">{"TAB1",#N/A,TRUE,"GENERAL";"TAB2",#N/A,TRUE,"GENERAL";"TAB3",#N/A,TRUE,"GENERAL";"TAB4",#N/A,TRUE,"GENERAL";"TAB5",#N/A,TRUE,"GENERAL"}</definedName>
    <definedName name="cv" localSheetId="9" hidden="1">{"TAB1",#N/A,TRUE,"GENERAL";"TAB2",#N/A,TRUE,"GENERAL";"TAB3",#N/A,TRUE,"GENERAL";"TAB4",#N/A,TRUE,"GENERAL";"TAB5",#N/A,TRUE,"GENERAL"}</definedName>
    <definedName name="cv" localSheetId="16" hidden="1">{"TAB1",#N/A,TRUE,"GENERAL";"TAB2",#N/A,TRUE,"GENERAL";"TAB3",#N/A,TRUE,"GENERAL";"TAB4",#N/A,TRUE,"GENERAL";"TAB5",#N/A,TRUE,"GENERAL"}</definedName>
    <definedName name="cv" localSheetId="3">#REF!</definedName>
    <definedName name="cv" localSheetId="19" hidden="1">{"TAB1",#N/A,TRUE,"GENERAL";"TAB2",#N/A,TRUE,"GENERAL";"TAB3",#N/A,TRUE,"GENERAL";"TAB4",#N/A,TRUE,"GENERAL";"TAB5",#N/A,TRUE,"GENERAL"}</definedName>
    <definedName name="cv" hidden="1">{"TAB1",#N/A,TRUE,"GENERAL";"TAB2",#N/A,TRUE,"GENERAL";"TAB3",#N/A,TRUE,"GENERAL";"TAB4",#N/A,TRUE,"GENERAL";"TAB5",#N/A,TRUE,"GENERAL"}</definedName>
    <definedName name="CVa">'[5]Cambio de Valv.'!$E$1:$E$65536</definedName>
    <definedName name="cvfvd" localSheetId="1" hidden="1">{"via1",#N/A,TRUE,"general";"via2",#N/A,TRUE,"general";"via3",#N/A,TRUE,"general"}</definedName>
    <definedName name="cvfvd" localSheetId="9" hidden="1">{"via1",#N/A,TRUE,"general";"via2",#N/A,TRUE,"general";"via3",#N/A,TRUE,"general"}</definedName>
    <definedName name="cvfvd" localSheetId="16" hidden="1">{"via1",#N/A,TRUE,"general";"via2",#N/A,TRUE,"general";"via3",#N/A,TRUE,"general"}</definedName>
    <definedName name="cvfvd" localSheetId="19" hidden="1">{"via1",#N/A,TRUE,"general";"via2",#N/A,TRUE,"general";"via3",#N/A,TRUE,"general"}</definedName>
    <definedName name="cvfvd" hidden="1">{"via1",#N/A,TRUE,"general";"via2",#N/A,TRUE,"general";"via3",#N/A,TRUE,"general"}</definedName>
    <definedName name="cvn" localSheetId="1" hidden="1">{"TAB1",#N/A,TRUE,"GENERAL";"TAB2",#N/A,TRUE,"GENERAL";"TAB3",#N/A,TRUE,"GENERAL";"TAB4",#N/A,TRUE,"GENERAL";"TAB5",#N/A,TRUE,"GENERAL"}</definedName>
    <definedName name="cvn" localSheetId="9" hidden="1">{"TAB1",#N/A,TRUE,"GENERAL";"TAB2",#N/A,TRUE,"GENERAL";"TAB3",#N/A,TRUE,"GENERAL";"TAB4",#N/A,TRUE,"GENERAL";"TAB5",#N/A,TRUE,"GENERAL"}</definedName>
    <definedName name="cvn" localSheetId="16" hidden="1">{"TAB1",#N/A,TRUE,"GENERAL";"TAB2",#N/A,TRUE,"GENERAL";"TAB3",#N/A,TRUE,"GENERAL";"TAB4",#N/A,TRUE,"GENERAL";"TAB5",#N/A,TRUE,"GENERAL"}</definedName>
    <definedName name="cvn" localSheetId="19" hidden="1">{"TAB1",#N/A,TRUE,"GENERAL";"TAB2",#N/A,TRUE,"GENERAL";"TAB3",#N/A,TRUE,"GENERAL";"TAB4",#N/A,TRUE,"GENERAL";"TAB5",#N/A,TRUE,"GENERAL"}</definedName>
    <definedName name="cvn" hidden="1">{"TAB1",#N/A,TRUE,"GENERAL";"TAB2",#N/A,TRUE,"GENERAL";"TAB3",#N/A,TRUE,"GENERAL";"TAB4",#N/A,TRUE,"GENERAL";"TAB5",#N/A,TRUE,"GENERAL"}</definedName>
    <definedName name="CVXC" localSheetId="1" hidden="1">{"via1",#N/A,TRUE,"general";"via2",#N/A,TRUE,"general";"via3",#N/A,TRUE,"general"}</definedName>
    <definedName name="CVXC" localSheetId="9" hidden="1">{"via1",#N/A,TRUE,"general";"via2",#N/A,TRUE,"general";"via3",#N/A,TRUE,"general"}</definedName>
    <definedName name="CVXC" localSheetId="16" hidden="1">{"via1",#N/A,TRUE,"general";"via2",#N/A,TRUE,"general";"via3",#N/A,TRUE,"general"}</definedName>
    <definedName name="CVXC" localSheetId="19" hidden="1">{"via1",#N/A,TRUE,"general";"via2",#N/A,TRUE,"general";"via3",#N/A,TRUE,"general"}</definedName>
    <definedName name="CVXC" hidden="1">{"via1",#N/A,TRUE,"general";"via2",#N/A,TRUE,"general";"via3",#N/A,TRUE,"general"}</definedName>
    <definedName name="cx" localSheetId="3">#REF!</definedName>
    <definedName name="cx">#REF!</definedName>
    <definedName name="D" localSheetId="16">#REF!</definedName>
    <definedName name="D" localSheetId="3">Scheduled_Payment+Extra_Payment</definedName>
    <definedName name="D" localSheetId="19">'INSUMOS '!#REF!</definedName>
    <definedName name="D">#REF!</definedName>
    <definedName name="D_EXT" localSheetId="16">#REF!</definedName>
    <definedName name="D_EXT">#REF!</definedName>
    <definedName name="D_INT" localSheetId="16">#REF!</definedName>
    <definedName name="D_INT">#REF!</definedName>
    <definedName name="d_PH">[13]D_AWG!$V$37</definedName>
    <definedName name="D1S" localSheetId="16">#REF!</definedName>
    <definedName name="D1S">#REF!</definedName>
    <definedName name="D2S" localSheetId="16">#REF!</definedName>
    <definedName name="D2S">#REF!</definedName>
    <definedName name="D6.PVC">'[17]factores A.N.'!$N$8:$N$33</definedName>
    <definedName name="D61S" localSheetId="16">#REF!</definedName>
    <definedName name="D61S" localSheetId="19">#REF!</definedName>
    <definedName name="D61S">#REF!</definedName>
    <definedName name="D62S" localSheetId="16">#REF!</definedName>
    <definedName name="D62S">#REF!</definedName>
    <definedName name="D6R">#REF!</definedName>
    <definedName name="D81S">#REF!</definedName>
    <definedName name="D82S">#REF!</definedName>
    <definedName name="D8R">#REF!</definedName>
    <definedName name="DANI">[27]ITEMS!$B$6:$B$176</definedName>
    <definedName name="dario">'[59]GPI 526'!#REF!</definedName>
    <definedName name="DASD" localSheetId="1" hidden="1">{"TAB1",#N/A,TRUE,"GENERAL";"TAB2",#N/A,TRUE,"GENERAL";"TAB3",#N/A,TRUE,"GENERAL";"TAB4",#N/A,TRUE,"GENERAL";"TAB5",#N/A,TRUE,"GENERAL"}</definedName>
    <definedName name="DASD" localSheetId="9" hidden="1">{"TAB1",#N/A,TRUE,"GENERAL";"TAB2",#N/A,TRUE,"GENERAL";"TAB3",#N/A,TRUE,"GENERAL";"TAB4",#N/A,TRUE,"GENERAL";"TAB5",#N/A,TRUE,"GENERAL"}</definedName>
    <definedName name="DASD" localSheetId="16" hidden="1">{"TAB1",#N/A,TRUE,"GENERAL";"TAB2",#N/A,TRUE,"GENERAL";"TAB3",#N/A,TRUE,"GENERAL";"TAB4",#N/A,TRUE,"GENERAL";"TAB5",#N/A,TRUE,"GENERAL"}</definedName>
    <definedName name="DASD" localSheetId="19" hidden="1">{"TAB1",#N/A,TRUE,"GENERAL";"TAB2",#N/A,TRUE,"GENERAL";"TAB3",#N/A,TRUE,"GENERAL";"TAB4",#N/A,TRUE,"GENERAL";"TAB5",#N/A,TRUE,"GENERAL"}</definedName>
    <definedName name="DASD" hidden="1">{"TAB1",#N/A,TRUE,"GENERAL";"TAB2",#N/A,TRUE,"GENERAL";"TAB3",#N/A,TRUE,"GENERAL";"TAB4",#N/A,TRUE,"GENERAL";"TAB5",#N/A,TRUE,"GENERAL"}</definedName>
    <definedName name="Data" localSheetId="3">#REF!</definedName>
    <definedName name="Data">#REF!</definedName>
    <definedName name="datos" localSheetId="3">#REF!</definedName>
    <definedName name="datos">#REF!</definedName>
    <definedName name="datos1">'[60]Base de Diseño'!$A$1:$D$204</definedName>
    <definedName name="dbb">'[15]Gabinetes ctrol, prot. y med. '!#REF!</definedName>
    <definedName name="dbfdfbi" localSheetId="1" hidden="1">{"TAB1",#N/A,TRUE,"GENERAL";"TAB2",#N/A,TRUE,"GENERAL";"TAB3",#N/A,TRUE,"GENERAL";"TAB4",#N/A,TRUE,"GENERAL";"TAB5",#N/A,TRUE,"GENERAL"}</definedName>
    <definedName name="dbfdfbi" localSheetId="9" hidden="1">{"TAB1",#N/A,TRUE,"GENERAL";"TAB2",#N/A,TRUE,"GENERAL";"TAB3",#N/A,TRUE,"GENERAL";"TAB4",#N/A,TRUE,"GENERAL";"TAB5",#N/A,TRUE,"GENERAL"}</definedName>
    <definedName name="dbfdfbi" localSheetId="16" hidden="1">{"TAB1",#N/A,TRUE,"GENERAL";"TAB2",#N/A,TRUE,"GENERAL";"TAB3",#N/A,TRUE,"GENERAL";"TAB4",#N/A,TRUE,"GENERAL";"TAB5",#N/A,TRUE,"GENERAL"}</definedName>
    <definedName name="dbfdfbi" localSheetId="19" hidden="1">{"TAB1",#N/A,TRUE,"GENERAL";"TAB2",#N/A,TRUE,"GENERAL";"TAB3",#N/A,TRUE,"GENERAL";"TAB4",#N/A,TRUE,"GENERAL";"TAB5",#N/A,TRUE,"GENERAL"}</definedName>
    <definedName name="dbfdfbi" hidden="1">{"TAB1",#N/A,TRUE,"GENERAL";"TAB2",#N/A,TRUE,"GENERAL";"TAB3",#N/A,TRUE,"GENERAL";"TAB4",#N/A,TRUE,"GENERAL";"TAB5",#N/A,TRUE,"GENERAL"}</definedName>
    <definedName name="dc" localSheetId="3">#REF!</definedName>
    <definedName name="dc">#REF!</definedName>
    <definedName name="DCF" localSheetId="3">#REF!</definedName>
    <definedName name="DCF">#REF!</definedName>
    <definedName name="DCSDCTV" localSheetId="1" hidden="1">{"via1",#N/A,TRUE,"general";"via2",#N/A,TRUE,"general";"via3",#N/A,TRUE,"general"}</definedName>
    <definedName name="DCSDCTV" localSheetId="9" hidden="1">{"via1",#N/A,TRUE,"general";"via2",#N/A,TRUE,"general";"via3",#N/A,TRUE,"general"}</definedName>
    <definedName name="DCSDCTV" localSheetId="16" hidden="1">{"via1",#N/A,TRUE,"general";"via2",#N/A,TRUE,"general";"via3",#N/A,TRUE,"general"}</definedName>
    <definedName name="DCSDCTV" localSheetId="19" hidden="1">{"via1",#N/A,TRUE,"general";"via2",#N/A,TRUE,"general";"via3",#N/A,TRUE,"general"}</definedName>
    <definedName name="DCSDCTV" hidden="1">{"via1",#N/A,TRUE,"general";"via2",#N/A,TRUE,"general";"via3",#N/A,TRUE,"general"}</definedName>
    <definedName name="dd" localSheetId="1">[1]!ERR</definedName>
    <definedName name="dd" localSheetId="16">[1]!ERR</definedName>
    <definedName name="dd" localSheetId="3">#REF!</definedName>
    <definedName name="dd" localSheetId="19">[1]!ERR</definedName>
    <definedName name="dd">[1]!ERR</definedName>
    <definedName name="ddd" localSheetId="1" hidden="1">{"via1",#N/A,TRUE,"general";"via2",#N/A,TRUE,"general";"via3",#N/A,TRUE,"general"}</definedName>
    <definedName name="ddd" localSheetId="9" hidden="1">{"via1",#N/A,TRUE,"general";"via2",#N/A,TRUE,"general";"via3",#N/A,TRUE,"general"}</definedName>
    <definedName name="ddd" localSheetId="16" hidden="1">{"via1",#N/A,TRUE,"general";"via2",#N/A,TRUE,"general";"via3",#N/A,TRUE,"general"}</definedName>
    <definedName name="ddd" localSheetId="19" hidden="1">{"via1",#N/A,TRUE,"general";"via2",#N/A,TRUE,"general";"via3",#N/A,TRUE,"general"}</definedName>
    <definedName name="ddd" hidden="1">{"via1",#N/A,TRUE,"general";"via2",#N/A,TRUE,"general";"via3",#N/A,TRUE,"general"}</definedName>
    <definedName name="DDDD">#N/A</definedName>
    <definedName name="ddddt" localSheetId="1" hidden="1">{"via1",#N/A,TRUE,"general";"via2",#N/A,TRUE,"general";"via3",#N/A,TRUE,"general"}</definedName>
    <definedName name="ddddt" localSheetId="9" hidden="1">{"via1",#N/A,TRUE,"general";"via2",#N/A,TRUE,"general";"via3",#N/A,TRUE,"general"}</definedName>
    <definedName name="ddddt" localSheetId="16" hidden="1">{"via1",#N/A,TRUE,"general";"via2",#N/A,TRUE,"general";"via3",#N/A,TRUE,"general"}</definedName>
    <definedName name="ddddt" localSheetId="19" hidden="1">{"via1",#N/A,TRUE,"general";"via2",#N/A,TRUE,"general";"via3",#N/A,TRUE,"general"}</definedName>
    <definedName name="ddddt" hidden="1">{"via1",#N/A,TRUE,"general";"via2",#N/A,TRUE,"general";"via3",#N/A,TRUE,"general"}</definedName>
    <definedName name="ddewdw" localSheetId="1" hidden="1">{"TAB1",#N/A,TRUE,"GENERAL";"TAB2",#N/A,TRUE,"GENERAL";"TAB3",#N/A,TRUE,"GENERAL";"TAB4",#N/A,TRUE,"GENERAL";"TAB5",#N/A,TRUE,"GENERAL"}</definedName>
    <definedName name="ddewdw" localSheetId="9" hidden="1">{"TAB1",#N/A,TRUE,"GENERAL";"TAB2",#N/A,TRUE,"GENERAL";"TAB3",#N/A,TRUE,"GENERAL";"TAB4",#N/A,TRUE,"GENERAL";"TAB5",#N/A,TRUE,"GENERAL"}</definedName>
    <definedName name="ddewdw" localSheetId="16" hidden="1">{"TAB1",#N/A,TRUE,"GENERAL";"TAB2",#N/A,TRUE,"GENERAL";"TAB3",#N/A,TRUE,"GENERAL";"TAB4",#N/A,TRUE,"GENERAL";"TAB5",#N/A,TRUE,"GENERAL"}</definedName>
    <definedName name="ddewdw" localSheetId="19" hidden="1">{"TAB1",#N/A,TRUE,"GENERAL";"TAB2",#N/A,TRUE,"GENERAL";"TAB3",#N/A,TRUE,"GENERAL";"TAB4",#N/A,TRUE,"GENERAL";"TAB5",#N/A,TRUE,"GENERAL"}</definedName>
    <definedName name="ddewdw" hidden="1">{"TAB1",#N/A,TRUE,"GENERAL";"TAB2",#N/A,TRUE,"GENERAL";"TAB3",#N/A,TRUE,"GENERAL";"TAB4",#N/A,TRUE,"GENERAL";"TAB5",#N/A,TRUE,"GENERAL"}</definedName>
    <definedName name="ddfdh" localSheetId="1" hidden="1">{"TAB1",#N/A,TRUE,"GENERAL";"TAB2",#N/A,TRUE,"GENERAL";"TAB3",#N/A,TRUE,"GENERAL";"TAB4",#N/A,TRUE,"GENERAL";"TAB5",#N/A,TRUE,"GENERAL"}</definedName>
    <definedName name="ddfdh" localSheetId="9" hidden="1">{"TAB1",#N/A,TRUE,"GENERAL";"TAB2",#N/A,TRUE,"GENERAL";"TAB3",#N/A,TRUE,"GENERAL";"TAB4",#N/A,TRUE,"GENERAL";"TAB5",#N/A,TRUE,"GENERAL"}</definedName>
    <definedName name="ddfdh" localSheetId="16" hidden="1">{"TAB1",#N/A,TRUE,"GENERAL";"TAB2",#N/A,TRUE,"GENERAL";"TAB3",#N/A,TRUE,"GENERAL";"TAB4",#N/A,TRUE,"GENERAL";"TAB5",#N/A,TRUE,"GENERAL"}</definedName>
    <definedName name="ddfdh" localSheetId="19" hidden="1">{"TAB1",#N/A,TRUE,"GENERAL";"TAB2",#N/A,TRUE,"GENERAL";"TAB3",#N/A,TRUE,"GENERAL";"TAB4",#N/A,TRUE,"GENERAL";"TAB5",#N/A,TRUE,"GENERAL"}</definedName>
    <definedName name="ddfdh" hidden="1">{"TAB1",#N/A,TRUE,"GENERAL";"TAB2",#N/A,TRUE,"GENERAL";"TAB3",#N/A,TRUE,"GENERAL";"TAB4",#N/A,TRUE,"GENERAL";"TAB5",#N/A,TRUE,"GENERAL"}</definedName>
    <definedName name="DDGSDP" localSheetId="1" hidden="1">{"TAB1",#N/A,TRUE,"GENERAL";"TAB2",#N/A,TRUE,"GENERAL";"TAB3",#N/A,TRUE,"GENERAL";"TAB4",#N/A,TRUE,"GENERAL";"TAB5",#N/A,TRUE,"GENERAL"}</definedName>
    <definedName name="DDGSDP" localSheetId="9" hidden="1">{"TAB1",#N/A,TRUE,"GENERAL";"TAB2",#N/A,TRUE,"GENERAL";"TAB3",#N/A,TRUE,"GENERAL";"TAB4",#N/A,TRUE,"GENERAL";"TAB5",#N/A,TRUE,"GENERAL"}</definedName>
    <definedName name="DDGSDP" localSheetId="16" hidden="1">{"TAB1",#N/A,TRUE,"GENERAL";"TAB2",#N/A,TRUE,"GENERAL";"TAB3",#N/A,TRUE,"GENERAL";"TAB4",#N/A,TRUE,"GENERAL";"TAB5",#N/A,TRUE,"GENERAL"}</definedName>
    <definedName name="DDGSDP" localSheetId="19" hidden="1">{"TAB1",#N/A,TRUE,"GENERAL";"TAB2",#N/A,TRUE,"GENERAL";"TAB3",#N/A,TRUE,"GENERAL";"TAB4",#N/A,TRUE,"GENERAL";"TAB5",#N/A,TRUE,"GENERAL"}</definedName>
    <definedName name="DDGSDP" hidden="1">{"TAB1",#N/A,TRUE,"GENERAL";"TAB2",#N/A,TRUE,"GENERAL";"TAB3",#N/A,TRUE,"GENERAL";"TAB4",#N/A,TRUE,"GENERAL";"TAB5",#N/A,TRUE,"GENERAL"}</definedName>
    <definedName name="De">[48]FACTORES!#REF!</definedName>
    <definedName name="De_6" localSheetId="16">#REF!</definedName>
    <definedName name="De_6" localSheetId="19">#REF!</definedName>
    <definedName name="De_6">#REF!</definedName>
    <definedName name="De_8" localSheetId="16">#REF!</definedName>
    <definedName name="De_8">#REF!</definedName>
    <definedName name="deded" localSheetId="1" hidden="1">{"TAB1",#N/A,TRUE,"GENERAL";"TAB2",#N/A,TRUE,"GENERAL";"TAB3",#N/A,TRUE,"GENERAL";"TAB4",#N/A,TRUE,"GENERAL";"TAB5",#N/A,TRUE,"GENERAL"}</definedName>
    <definedName name="deded" localSheetId="9" hidden="1">{"TAB1",#N/A,TRUE,"GENERAL";"TAB2",#N/A,TRUE,"GENERAL";"TAB3",#N/A,TRUE,"GENERAL";"TAB4",#N/A,TRUE,"GENERAL";"TAB5",#N/A,TRUE,"GENERAL"}</definedName>
    <definedName name="deded" localSheetId="16" hidden="1">{"TAB1",#N/A,TRUE,"GENERAL";"TAB2",#N/A,TRUE,"GENERAL";"TAB3",#N/A,TRUE,"GENERAL";"TAB4",#N/A,TRUE,"GENERAL";"TAB5",#N/A,TRUE,"GENERAL"}</definedName>
    <definedName name="deded" localSheetId="19" hidden="1">{"TAB1",#N/A,TRUE,"GENERAL";"TAB2",#N/A,TRUE,"GENERAL";"TAB3",#N/A,TRUE,"GENERAL";"TAB4",#N/A,TRUE,"GENERAL";"TAB5",#N/A,TRUE,"GENERAL"}</definedName>
    <definedName name="deded" hidden="1">{"TAB1",#N/A,TRUE,"GENERAL";"TAB2",#N/A,TRUE,"GENERAL";"TAB3",#N/A,TRUE,"GENERAL";"TAB4",#N/A,TRUE,"GENERAL";"TAB5",#N/A,TRUE,"GENERAL"}</definedName>
    <definedName name="defd" localSheetId="1" hidden="1">{"via1",#N/A,TRUE,"general";"via2",#N/A,TRUE,"general";"via3",#N/A,TRUE,"general"}</definedName>
    <definedName name="defd" localSheetId="9" hidden="1">{"via1",#N/A,TRUE,"general";"via2",#N/A,TRUE,"general";"via3",#N/A,TRUE,"general"}</definedName>
    <definedName name="defd" localSheetId="16" hidden="1">{"via1",#N/A,TRUE,"general";"via2",#N/A,TRUE,"general";"via3",#N/A,TRUE,"general"}</definedName>
    <definedName name="defd" localSheetId="19" hidden="1">{"via1",#N/A,TRUE,"general";"via2",#N/A,TRUE,"general";"via3",#N/A,TRUE,"general"}</definedName>
    <definedName name="defd" hidden="1">{"via1",#N/A,TRUE,"general";"via2",#N/A,TRUE,"general";"via3",#N/A,TRUE,"general"}</definedName>
    <definedName name="dem.pav">'[17]factores A.N.'!$E$15:$E$306</definedName>
    <definedName name="demanto" localSheetId="16">#REF!</definedName>
    <definedName name="demanto" localSheetId="19">#REF!</definedName>
    <definedName name="demanto">#REF!</definedName>
    <definedName name="den_1a">[13]D_AWG!$N$26</definedName>
    <definedName name="den_2da">[13]D_AWG!$N$27</definedName>
    <definedName name="den_aisl">[13]D_AWG!$O$35</definedName>
    <definedName name="den_ch">[13]D_AWG!$AA$47</definedName>
    <definedName name="den_cond">[13]D_AWG!$D$29</definedName>
    <definedName name="DER">[61]DIST!$C$7:$D$2942</definedName>
    <definedName name="DESCAPOTE" localSheetId="1">[7]PRESUPUESTO!#REF!</definedName>
    <definedName name="DESCAPOTE" localSheetId="16">[7]PRESUPUESTO!#REF!</definedName>
    <definedName name="DESCAPOTE">[7]PRESUPUESTO!#REF!</definedName>
    <definedName name="DESFRE" hidden="1">{#N/A,#N/A,FALSE,"GRAFICO";#N/A,#N/A,FALSE,"CAJA (2)";#N/A,#N/A,FALSE,"TERCEROS-PROMEDIO";#N/A,#N/A,FALSE,"CAJA";#N/A,#N/A,FALSE,"INGRESOS1995-2003";#N/A,#N/A,FALSE,"GASTOS1995-2003"}</definedName>
    <definedName name="design">'[62]Design (3)'!$A$12:$CM$71</definedName>
    <definedName name="design2">[62]Design!$A$24:$CM$66</definedName>
    <definedName name="df" localSheetId="16">#REF!</definedName>
    <definedName name="df" localSheetId="3">#REF!</definedName>
    <definedName name="df">#REF!</definedName>
    <definedName name="dfa" localSheetId="1" hidden="1">{"TAB1",#N/A,TRUE,"GENERAL";"TAB2",#N/A,TRUE,"GENERAL";"TAB3",#N/A,TRUE,"GENERAL";"TAB4",#N/A,TRUE,"GENERAL";"TAB5",#N/A,TRUE,"GENERAL"}</definedName>
    <definedName name="dfa" localSheetId="9" hidden="1">{"TAB1",#N/A,TRUE,"GENERAL";"TAB2",#N/A,TRUE,"GENERAL";"TAB3",#N/A,TRUE,"GENERAL";"TAB4",#N/A,TRUE,"GENERAL";"TAB5",#N/A,TRUE,"GENERAL"}</definedName>
    <definedName name="dfa" localSheetId="16" hidden="1">{"TAB1",#N/A,TRUE,"GENERAL";"TAB2",#N/A,TRUE,"GENERAL";"TAB3",#N/A,TRUE,"GENERAL";"TAB4",#N/A,TRUE,"GENERAL";"TAB5",#N/A,TRUE,"GENERAL"}</definedName>
    <definedName name="dfa" localSheetId="19" hidden="1">{"TAB1",#N/A,TRUE,"GENERAL";"TAB2",#N/A,TRUE,"GENERAL";"TAB3",#N/A,TRUE,"GENERAL";"TAB4",#N/A,TRUE,"GENERAL";"TAB5",#N/A,TRUE,"GENERAL"}</definedName>
    <definedName name="dfa" hidden="1">{"TAB1",#N/A,TRUE,"GENERAL";"TAB2",#N/A,TRUE,"GENERAL";"TAB3",#N/A,TRUE,"GENERAL";"TAB4",#N/A,TRUE,"GENERAL";"TAB5",#N/A,TRUE,"GENERAL"}</definedName>
    <definedName name="dfasd" localSheetId="1" hidden="1">{"TAB1",#N/A,TRUE,"GENERAL";"TAB2",#N/A,TRUE,"GENERAL";"TAB3",#N/A,TRUE,"GENERAL";"TAB4",#N/A,TRUE,"GENERAL";"TAB5",#N/A,TRUE,"GENERAL"}</definedName>
    <definedName name="dfasd" localSheetId="9" hidden="1">{"TAB1",#N/A,TRUE,"GENERAL";"TAB2",#N/A,TRUE,"GENERAL";"TAB3",#N/A,TRUE,"GENERAL";"TAB4",#N/A,TRUE,"GENERAL";"TAB5",#N/A,TRUE,"GENERAL"}</definedName>
    <definedName name="dfasd" localSheetId="16" hidden="1">{"TAB1",#N/A,TRUE,"GENERAL";"TAB2",#N/A,TRUE,"GENERAL";"TAB3",#N/A,TRUE,"GENERAL";"TAB4",#N/A,TRUE,"GENERAL";"TAB5",#N/A,TRUE,"GENERAL"}</definedName>
    <definedName name="dfasd" localSheetId="19" hidden="1">{"TAB1",#N/A,TRUE,"GENERAL";"TAB2",#N/A,TRUE,"GENERAL";"TAB3",#N/A,TRUE,"GENERAL";"TAB4",#N/A,TRUE,"GENERAL";"TAB5",#N/A,TRUE,"GENERAL"}</definedName>
    <definedName name="dfasd" hidden="1">{"TAB1",#N/A,TRUE,"GENERAL";"TAB2",#N/A,TRUE,"GENERAL";"TAB3",#N/A,TRUE,"GENERAL";"TAB4",#N/A,TRUE,"GENERAL";"TAB5",#N/A,TRUE,"GENERAL"}</definedName>
    <definedName name="DFBNJ" localSheetId="1" hidden="1">{"via1",#N/A,TRUE,"general";"via2",#N/A,TRUE,"general";"via3",#N/A,TRUE,"general"}</definedName>
    <definedName name="DFBNJ" localSheetId="9" hidden="1">{"via1",#N/A,TRUE,"general";"via2",#N/A,TRUE,"general";"via3",#N/A,TRUE,"general"}</definedName>
    <definedName name="DFBNJ" localSheetId="16" hidden="1">{"via1",#N/A,TRUE,"general";"via2",#N/A,TRUE,"general";"via3",#N/A,TRUE,"general"}</definedName>
    <definedName name="DFBNJ" localSheetId="19" hidden="1">{"via1",#N/A,TRUE,"general";"via2",#N/A,TRUE,"general";"via3",#N/A,TRUE,"general"}</definedName>
    <definedName name="DFBNJ" hidden="1">{"via1",#N/A,TRUE,"general";"via2",#N/A,TRUE,"general";"via3",#N/A,TRUE,"general"}</definedName>
    <definedName name="dfds" localSheetId="1" hidden="1">{"TAB1",#N/A,TRUE,"GENERAL";"TAB2",#N/A,TRUE,"GENERAL";"TAB3",#N/A,TRUE,"GENERAL";"TAB4",#N/A,TRUE,"GENERAL";"TAB5",#N/A,TRUE,"GENERAL"}</definedName>
    <definedName name="dfds" localSheetId="9" hidden="1">{"TAB1",#N/A,TRUE,"GENERAL";"TAB2",#N/A,TRUE,"GENERAL";"TAB3",#N/A,TRUE,"GENERAL";"TAB4",#N/A,TRUE,"GENERAL";"TAB5",#N/A,TRUE,"GENERAL"}</definedName>
    <definedName name="dfds" localSheetId="16" hidden="1">{"TAB1",#N/A,TRUE,"GENERAL";"TAB2",#N/A,TRUE,"GENERAL";"TAB3",#N/A,TRUE,"GENERAL";"TAB4",#N/A,TRUE,"GENERAL";"TAB5",#N/A,TRUE,"GENERAL"}</definedName>
    <definedName name="dfds" localSheetId="19" hidden="1">{"TAB1",#N/A,TRUE,"GENERAL";"TAB2",#N/A,TRUE,"GENERAL";"TAB3",#N/A,TRUE,"GENERAL";"TAB4",#N/A,TRUE,"GENERAL";"TAB5",#N/A,TRUE,"GENERAL"}</definedName>
    <definedName name="dfds" hidden="1">{"TAB1",#N/A,TRUE,"GENERAL";"TAB2",#N/A,TRUE,"GENERAL";"TAB3",#N/A,TRUE,"GENERAL";"TAB4",#N/A,TRUE,"GENERAL";"TAB5",#N/A,TRUE,"GENERAL"}</definedName>
    <definedName name="dfdsfi" localSheetId="1" hidden="1">{"via1",#N/A,TRUE,"general";"via2",#N/A,TRUE,"general";"via3",#N/A,TRUE,"general"}</definedName>
    <definedName name="dfdsfi" localSheetId="9" hidden="1">{"via1",#N/A,TRUE,"general";"via2",#N/A,TRUE,"general";"via3",#N/A,TRUE,"general"}</definedName>
    <definedName name="dfdsfi" localSheetId="16" hidden="1">{"via1",#N/A,TRUE,"general";"via2",#N/A,TRUE,"general";"via3",#N/A,TRUE,"general"}</definedName>
    <definedName name="dfdsfi" localSheetId="19" hidden="1">{"via1",#N/A,TRUE,"general";"via2",#N/A,TRUE,"general";"via3",#N/A,TRUE,"general"}</definedName>
    <definedName name="dfdsfi" hidden="1">{"via1",#N/A,TRUE,"general";"via2",#N/A,TRUE,"general";"via3",#N/A,TRUE,"general"}</definedName>
    <definedName name="dffffe" localSheetId="1" hidden="1">{"TAB1",#N/A,TRUE,"GENERAL";"TAB2",#N/A,TRUE,"GENERAL";"TAB3",#N/A,TRUE,"GENERAL";"TAB4",#N/A,TRUE,"GENERAL";"TAB5",#N/A,TRUE,"GENERAL"}</definedName>
    <definedName name="dffffe" localSheetId="9" hidden="1">{"TAB1",#N/A,TRUE,"GENERAL";"TAB2",#N/A,TRUE,"GENERAL";"TAB3",#N/A,TRUE,"GENERAL";"TAB4",#N/A,TRUE,"GENERAL";"TAB5",#N/A,TRUE,"GENERAL"}</definedName>
    <definedName name="dffffe" localSheetId="16" hidden="1">{"TAB1",#N/A,TRUE,"GENERAL";"TAB2",#N/A,TRUE,"GENERAL";"TAB3",#N/A,TRUE,"GENERAL";"TAB4",#N/A,TRUE,"GENERAL";"TAB5",#N/A,TRUE,"GENERAL"}</definedName>
    <definedName name="dffffe" localSheetId="19" hidden="1">{"TAB1",#N/A,TRUE,"GENERAL";"TAB2",#N/A,TRUE,"GENERAL";"TAB3",#N/A,TRUE,"GENERAL";"TAB4",#N/A,TRUE,"GENERAL";"TAB5",#N/A,TRUE,"GENERAL"}</definedName>
    <definedName name="dffffe" hidden="1">{"TAB1",#N/A,TRUE,"GENERAL";"TAB2",#N/A,TRUE,"GENERAL";"TAB3",#N/A,TRUE,"GENERAL";"TAB4",#N/A,TRUE,"GENERAL";"TAB5",#N/A,TRUE,"GENERAL"}</definedName>
    <definedName name="DFG" localSheetId="1" hidden="1">{"via1",#N/A,TRUE,"general";"via2",#N/A,TRUE,"general";"via3",#N/A,TRUE,"general"}</definedName>
    <definedName name="DFG" localSheetId="9" hidden="1">{"via1",#N/A,TRUE,"general";"via2",#N/A,TRUE,"general";"via3",#N/A,TRUE,"general"}</definedName>
    <definedName name="DFG" localSheetId="16" hidden="1">{"via1",#N/A,TRUE,"general";"via2",#N/A,TRUE,"general";"via3",#N/A,TRUE,"general"}</definedName>
    <definedName name="DFG" localSheetId="19" hidden="1">{"via1",#N/A,TRUE,"general";"via2",#N/A,TRUE,"general";"via3",#N/A,TRUE,"general"}</definedName>
    <definedName name="DFG" hidden="1">{"via1",#N/A,TRUE,"general";"via2",#N/A,TRUE,"general";"via3",#N/A,TRUE,"general"}</definedName>
    <definedName name="DFGBHJ" localSheetId="1" hidden="1">{"via1",#N/A,TRUE,"general";"via2",#N/A,TRUE,"general";"via3",#N/A,TRUE,"general"}</definedName>
    <definedName name="DFGBHJ" localSheetId="9" hidden="1">{"via1",#N/A,TRUE,"general";"via2",#N/A,TRUE,"general";"via3",#N/A,TRUE,"general"}</definedName>
    <definedName name="DFGBHJ" localSheetId="16" hidden="1">{"via1",#N/A,TRUE,"general";"via2",#N/A,TRUE,"general";"via3",#N/A,TRUE,"general"}</definedName>
    <definedName name="DFGBHJ" localSheetId="19" hidden="1">{"via1",#N/A,TRUE,"general";"via2",#N/A,TRUE,"general";"via3",#N/A,TRUE,"general"}</definedName>
    <definedName name="DFGBHJ" hidden="1">{"via1",#N/A,TRUE,"general";"via2",#N/A,TRUE,"general";"via3",#N/A,TRUE,"general"}</definedName>
    <definedName name="DFGDFG" localSheetId="1" hidden="1">{"via1",#N/A,TRUE,"general";"via2",#N/A,TRUE,"general";"via3",#N/A,TRUE,"general"}</definedName>
    <definedName name="DFGDFG" localSheetId="9" hidden="1">{"via1",#N/A,TRUE,"general";"via2",#N/A,TRUE,"general";"via3",#N/A,TRUE,"general"}</definedName>
    <definedName name="DFGDFG" localSheetId="16" hidden="1">{"via1",#N/A,TRUE,"general";"via2",#N/A,TRUE,"general";"via3",#N/A,TRUE,"general"}</definedName>
    <definedName name="DFGDFG" localSheetId="19" hidden="1">{"via1",#N/A,TRUE,"general";"via2",#N/A,TRUE,"general";"via3",#N/A,TRUE,"general"}</definedName>
    <definedName name="DFGDFG" hidden="1">{"via1",#N/A,TRUE,"general";"via2",#N/A,TRUE,"general";"via3",#N/A,TRUE,"general"}</definedName>
    <definedName name="DFGDYYB" localSheetId="1" hidden="1">{"TAB1",#N/A,TRUE,"GENERAL";"TAB2",#N/A,TRUE,"GENERAL";"TAB3",#N/A,TRUE,"GENERAL";"TAB4",#N/A,TRUE,"GENERAL";"TAB5",#N/A,TRUE,"GENERAL"}</definedName>
    <definedName name="DFGDYYB" localSheetId="9" hidden="1">{"TAB1",#N/A,TRUE,"GENERAL";"TAB2",#N/A,TRUE,"GENERAL";"TAB3",#N/A,TRUE,"GENERAL";"TAB4",#N/A,TRUE,"GENERAL";"TAB5",#N/A,TRUE,"GENERAL"}</definedName>
    <definedName name="DFGDYYB" localSheetId="16" hidden="1">{"TAB1",#N/A,TRUE,"GENERAL";"TAB2",#N/A,TRUE,"GENERAL";"TAB3",#N/A,TRUE,"GENERAL";"TAB4",#N/A,TRUE,"GENERAL";"TAB5",#N/A,TRUE,"GENERAL"}</definedName>
    <definedName name="DFGDYYB" localSheetId="19" hidden="1">{"TAB1",#N/A,TRUE,"GENERAL";"TAB2",#N/A,TRUE,"GENERAL";"TAB3",#N/A,TRUE,"GENERAL";"TAB4",#N/A,TRUE,"GENERAL";"TAB5",#N/A,TRUE,"GENERAL"}</definedName>
    <definedName name="DFGDYYB" hidden="1">{"TAB1",#N/A,TRUE,"GENERAL";"TAB2",#N/A,TRUE,"GENERAL";"TAB3",#N/A,TRUE,"GENERAL";"TAB4",#N/A,TRUE,"GENERAL";"TAB5",#N/A,TRUE,"GENERAL"}</definedName>
    <definedName name="dfgf" localSheetId="1" hidden="1">{"via1",#N/A,TRUE,"general";"via2",#N/A,TRUE,"general";"via3",#N/A,TRUE,"general"}</definedName>
    <definedName name="dfgf" localSheetId="9" hidden="1">{"via1",#N/A,TRUE,"general";"via2",#N/A,TRUE,"general";"via3",#N/A,TRUE,"general"}</definedName>
    <definedName name="dfgf" localSheetId="16" hidden="1">{"via1",#N/A,TRUE,"general";"via2",#N/A,TRUE,"general";"via3",#N/A,TRUE,"general"}</definedName>
    <definedName name="dfgf" localSheetId="19" hidden="1">{"via1",#N/A,TRUE,"general";"via2",#N/A,TRUE,"general";"via3",#N/A,TRUE,"general"}</definedName>
    <definedName name="dfgf" hidden="1">{"via1",#N/A,TRUE,"general";"via2",#N/A,TRUE,"general";"via3",#N/A,TRUE,"general"}</definedName>
    <definedName name="DFGFBOP" localSheetId="1" hidden="1">{"TAB1",#N/A,TRUE,"GENERAL";"TAB2",#N/A,TRUE,"GENERAL";"TAB3",#N/A,TRUE,"GENERAL";"TAB4",#N/A,TRUE,"GENERAL";"TAB5",#N/A,TRUE,"GENERAL"}</definedName>
    <definedName name="DFGFBOP" localSheetId="9" hidden="1">{"TAB1",#N/A,TRUE,"GENERAL";"TAB2",#N/A,TRUE,"GENERAL";"TAB3",#N/A,TRUE,"GENERAL";"TAB4",#N/A,TRUE,"GENERAL";"TAB5",#N/A,TRUE,"GENERAL"}</definedName>
    <definedName name="DFGFBOP" localSheetId="16" hidden="1">{"TAB1",#N/A,TRUE,"GENERAL";"TAB2",#N/A,TRUE,"GENERAL";"TAB3",#N/A,TRUE,"GENERAL";"TAB4",#N/A,TRUE,"GENERAL";"TAB5",#N/A,TRUE,"GENERAL"}</definedName>
    <definedName name="DFGFBOP" localSheetId="19" hidden="1">{"TAB1",#N/A,TRUE,"GENERAL";"TAB2",#N/A,TRUE,"GENERAL";"TAB3",#N/A,TRUE,"GENERAL";"TAB4",#N/A,TRUE,"GENERAL";"TAB5",#N/A,TRUE,"GENERAL"}</definedName>
    <definedName name="DFGFBOP" hidden="1">{"TAB1",#N/A,TRUE,"GENERAL";"TAB2",#N/A,TRUE,"GENERAL";"TAB3",#N/A,TRUE,"GENERAL";"TAB4",#N/A,TRUE,"GENERAL";"TAB5",#N/A,TRUE,"GENERAL"}</definedName>
    <definedName name="DFGFDG" localSheetId="1" hidden="1">{"TAB1",#N/A,TRUE,"GENERAL";"TAB2",#N/A,TRUE,"GENERAL";"TAB3",#N/A,TRUE,"GENERAL";"TAB4",#N/A,TRUE,"GENERAL";"TAB5",#N/A,TRUE,"GENERAL"}</definedName>
    <definedName name="DFGFDG" localSheetId="9" hidden="1">{"TAB1",#N/A,TRUE,"GENERAL";"TAB2",#N/A,TRUE,"GENERAL";"TAB3",#N/A,TRUE,"GENERAL";"TAB4",#N/A,TRUE,"GENERAL";"TAB5",#N/A,TRUE,"GENERAL"}</definedName>
    <definedName name="DFGFDG" localSheetId="16" hidden="1">{"TAB1",#N/A,TRUE,"GENERAL";"TAB2",#N/A,TRUE,"GENERAL";"TAB3",#N/A,TRUE,"GENERAL";"TAB4",#N/A,TRUE,"GENERAL";"TAB5",#N/A,TRUE,"GENERAL"}</definedName>
    <definedName name="DFGFDG" localSheetId="19" hidden="1">{"TAB1",#N/A,TRUE,"GENERAL";"TAB2",#N/A,TRUE,"GENERAL";"TAB3",#N/A,TRUE,"GENERAL";"TAB4",#N/A,TRUE,"GENERAL";"TAB5",#N/A,TRUE,"GENERAL"}</definedName>
    <definedName name="DFGFDG" hidden="1">{"TAB1",#N/A,TRUE,"GENERAL";"TAB2",#N/A,TRUE,"GENERAL";"TAB3",#N/A,TRUE,"GENERAL";"TAB4",#N/A,TRUE,"GENERAL";"TAB5",#N/A,TRUE,"GENERAL"}</definedName>
    <definedName name="dfgnl">#REF!</definedName>
    <definedName name="DFGV" localSheetId="1" hidden="1">{"TAB1",#N/A,TRUE,"GENERAL";"TAB2",#N/A,TRUE,"GENERAL";"TAB3",#N/A,TRUE,"GENERAL";"TAB4",#N/A,TRUE,"GENERAL";"TAB5",#N/A,TRUE,"GENERAL"}</definedName>
    <definedName name="DFGV" localSheetId="9" hidden="1">{"TAB1",#N/A,TRUE,"GENERAL";"TAB2",#N/A,TRUE,"GENERAL";"TAB3",#N/A,TRUE,"GENERAL";"TAB4",#N/A,TRUE,"GENERAL";"TAB5",#N/A,TRUE,"GENERAL"}</definedName>
    <definedName name="DFGV" localSheetId="16" hidden="1">{"TAB1",#N/A,TRUE,"GENERAL";"TAB2",#N/A,TRUE,"GENERAL";"TAB3",#N/A,TRUE,"GENERAL";"TAB4",#N/A,TRUE,"GENERAL";"TAB5",#N/A,TRUE,"GENERAL"}</definedName>
    <definedName name="DFGV" localSheetId="19" hidden="1">{"TAB1",#N/A,TRUE,"GENERAL";"TAB2",#N/A,TRUE,"GENERAL";"TAB3",#N/A,TRUE,"GENERAL";"TAB4",#N/A,TRUE,"GENERAL";"TAB5",#N/A,TRUE,"GENERAL"}</definedName>
    <definedName name="DFGV" hidden="1">{"TAB1",#N/A,TRUE,"GENERAL";"TAB2",#N/A,TRUE,"GENERAL";"TAB3",#N/A,TRUE,"GENERAL";"TAB4",#N/A,TRUE,"GENERAL";"TAB5",#N/A,TRUE,"GENERAL"}</definedName>
    <definedName name="dfgypuj" localSheetId="1" hidden="1">{"TAB1",#N/A,TRUE,"GENERAL";"TAB2",#N/A,TRUE,"GENERAL";"TAB3",#N/A,TRUE,"GENERAL";"TAB4",#N/A,TRUE,"GENERAL";"TAB5",#N/A,TRUE,"GENERAL"}</definedName>
    <definedName name="dfgypuj" localSheetId="9" hidden="1">{"TAB1",#N/A,TRUE,"GENERAL";"TAB2",#N/A,TRUE,"GENERAL";"TAB3",#N/A,TRUE,"GENERAL";"TAB4",#N/A,TRUE,"GENERAL";"TAB5",#N/A,TRUE,"GENERAL"}</definedName>
    <definedName name="dfgypuj" localSheetId="16" hidden="1">{"TAB1",#N/A,TRUE,"GENERAL";"TAB2",#N/A,TRUE,"GENERAL";"TAB3",#N/A,TRUE,"GENERAL";"TAB4",#N/A,TRUE,"GENERAL";"TAB5",#N/A,TRUE,"GENERAL"}</definedName>
    <definedName name="dfgypuj" localSheetId="19" hidden="1">{"TAB1",#N/A,TRUE,"GENERAL";"TAB2",#N/A,TRUE,"GENERAL";"TAB3",#N/A,TRUE,"GENERAL";"TAB4",#N/A,TRUE,"GENERAL";"TAB5",#N/A,TRUE,"GENERAL"}</definedName>
    <definedName name="dfgypuj" hidden="1">{"TAB1",#N/A,TRUE,"GENERAL";"TAB2",#N/A,TRUE,"GENERAL";"TAB3",#N/A,TRUE,"GENERAL";"TAB4",#N/A,TRUE,"GENERAL";"TAB5",#N/A,TRUE,"GENERAL"}</definedName>
    <definedName name="dfh" localSheetId="1" hidden="1">{"TAB1",#N/A,TRUE,"GENERAL";"TAB2",#N/A,TRUE,"GENERAL";"TAB3",#N/A,TRUE,"GENERAL";"TAB4",#N/A,TRUE,"GENERAL";"TAB5",#N/A,TRUE,"GENERAL"}</definedName>
    <definedName name="dfh" localSheetId="9" hidden="1">{"TAB1",#N/A,TRUE,"GENERAL";"TAB2",#N/A,TRUE,"GENERAL";"TAB3",#N/A,TRUE,"GENERAL";"TAB4",#N/A,TRUE,"GENERAL";"TAB5",#N/A,TRUE,"GENERAL"}</definedName>
    <definedName name="dfh" localSheetId="16" hidden="1">{"TAB1",#N/A,TRUE,"GENERAL";"TAB2",#N/A,TRUE,"GENERAL";"TAB3",#N/A,TRUE,"GENERAL";"TAB4",#N/A,TRUE,"GENERAL";"TAB5",#N/A,TRUE,"GENERAL"}</definedName>
    <definedName name="dfh" localSheetId="19" hidden="1">{"TAB1",#N/A,TRUE,"GENERAL";"TAB2",#N/A,TRUE,"GENERAL";"TAB3",#N/A,TRUE,"GENERAL";"TAB4",#N/A,TRUE,"GENERAL";"TAB5",#N/A,TRUE,"GENERAL"}</definedName>
    <definedName name="dfh" hidden="1">{"TAB1",#N/A,TRUE,"GENERAL";"TAB2",#N/A,TRUE,"GENERAL";"TAB3",#N/A,TRUE,"GENERAL";"TAB4",#N/A,TRUE,"GENERAL";"TAB5",#N/A,TRUE,"GENERAL"}</definedName>
    <definedName name="dfhdr" localSheetId="1" hidden="1">{"via1",#N/A,TRUE,"general";"via2",#N/A,TRUE,"general";"via3",#N/A,TRUE,"general"}</definedName>
    <definedName name="dfhdr" localSheetId="9" hidden="1">{"via1",#N/A,TRUE,"general";"via2",#N/A,TRUE,"general";"via3",#N/A,TRUE,"general"}</definedName>
    <definedName name="dfhdr" localSheetId="16" hidden="1">{"via1",#N/A,TRUE,"general";"via2",#N/A,TRUE,"general";"via3",#N/A,TRUE,"general"}</definedName>
    <definedName name="dfhdr" localSheetId="19" hidden="1">{"via1",#N/A,TRUE,"general";"via2",#N/A,TRUE,"general";"via3",#N/A,TRUE,"general"}</definedName>
    <definedName name="dfhdr" hidden="1">{"via1",#N/A,TRUE,"general";"via2",#N/A,TRUE,"general";"via3",#N/A,TRUE,"general"}</definedName>
    <definedName name="dfhgh" localSheetId="1" hidden="1">{"via1",#N/A,TRUE,"general";"via2",#N/A,TRUE,"general";"via3",#N/A,TRUE,"general"}</definedName>
    <definedName name="dfhgh" localSheetId="9" hidden="1">{"via1",#N/A,TRUE,"general";"via2",#N/A,TRUE,"general";"via3",#N/A,TRUE,"general"}</definedName>
    <definedName name="dfhgh" localSheetId="16" hidden="1">{"via1",#N/A,TRUE,"general";"via2",#N/A,TRUE,"general";"via3",#N/A,TRUE,"general"}</definedName>
    <definedName name="dfhgh" localSheetId="19" hidden="1">{"via1",#N/A,TRUE,"general";"via2",#N/A,TRUE,"general";"via3",#N/A,TRUE,"general"}</definedName>
    <definedName name="dfhgh" hidden="1">{"via1",#N/A,TRUE,"general";"via2",#N/A,TRUE,"general";"via3",#N/A,TRUE,"general"}</definedName>
    <definedName name="dfj" localSheetId="1" hidden="1">{"via1",#N/A,TRUE,"general";"via2",#N/A,TRUE,"general";"via3",#N/A,TRUE,"general"}</definedName>
    <definedName name="dfj" localSheetId="9" hidden="1">{"via1",#N/A,TRUE,"general";"via2",#N/A,TRUE,"general";"via3",#N/A,TRUE,"general"}</definedName>
    <definedName name="dfj" localSheetId="16" hidden="1">{"via1",#N/A,TRUE,"general";"via2",#N/A,TRUE,"general";"via3",#N/A,TRUE,"general"}</definedName>
    <definedName name="dfj" localSheetId="19" hidden="1">{"via1",#N/A,TRUE,"general";"via2",#N/A,TRUE,"general";"via3",#N/A,TRUE,"general"}</definedName>
    <definedName name="dfj" hidden="1">{"via1",#N/A,TRUE,"general";"via2",#N/A,TRUE,"general";"via3",#N/A,TRUE,"general"}</definedName>
    <definedName name="DFRFRF" localSheetId="1" hidden="1">{"via1",#N/A,TRUE,"general";"via2",#N/A,TRUE,"general";"via3",#N/A,TRUE,"general"}</definedName>
    <definedName name="DFRFRF" localSheetId="9" hidden="1">{"via1",#N/A,TRUE,"general";"via2",#N/A,TRUE,"general";"via3",#N/A,TRUE,"general"}</definedName>
    <definedName name="DFRFRF" localSheetId="16" hidden="1">{"via1",#N/A,TRUE,"general";"via2",#N/A,TRUE,"general";"via3",#N/A,TRUE,"general"}</definedName>
    <definedName name="DFRFRF" localSheetId="19" hidden="1">{"via1",#N/A,TRUE,"general";"via2",#N/A,TRUE,"general";"via3",#N/A,TRUE,"general"}</definedName>
    <definedName name="DFRFRF" hidden="1">{"via1",#N/A,TRUE,"general";"via2",#N/A,TRUE,"general";"via3",#N/A,TRUE,"general"}</definedName>
    <definedName name="DFVUI" localSheetId="1" hidden="1">{"via1",#N/A,TRUE,"general";"via2",#N/A,TRUE,"general";"via3",#N/A,TRUE,"general"}</definedName>
    <definedName name="DFVUI" localSheetId="9" hidden="1">{"via1",#N/A,TRUE,"general";"via2",#N/A,TRUE,"general";"via3",#N/A,TRUE,"general"}</definedName>
    <definedName name="DFVUI" localSheetId="16" hidden="1">{"via1",#N/A,TRUE,"general";"via2",#N/A,TRUE,"general";"via3",#N/A,TRUE,"general"}</definedName>
    <definedName name="DFVUI" localSheetId="19" hidden="1">{"via1",#N/A,TRUE,"general";"via2",#N/A,TRUE,"general";"via3",#N/A,TRUE,"general"}</definedName>
    <definedName name="DFVUI" hidden="1">{"via1",#N/A,TRUE,"general";"via2",#N/A,TRUE,"general";"via3",#N/A,TRUE,"general"}</definedName>
    <definedName name="dg" localSheetId="1" hidden="1">{"via1",#N/A,TRUE,"general";"via2",#N/A,TRUE,"general";"via3",#N/A,TRUE,"general"}</definedName>
    <definedName name="dg" localSheetId="9" hidden="1">{"via1",#N/A,TRUE,"general";"via2",#N/A,TRUE,"general";"via3",#N/A,TRUE,"general"}</definedName>
    <definedName name="dg" localSheetId="16" hidden="1">{"via1",#N/A,TRUE,"general";"via2",#N/A,TRUE,"general";"via3",#N/A,TRUE,"general"}</definedName>
    <definedName name="dg" localSheetId="19" hidden="1">{"via1",#N/A,TRUE,"general";"via2",#N/A,TRUE,"general";"via3",#N/A,TRUE,"general"}</definedName>
    <definedName name="dg" hidden="1">{"via1",#N/A,TRUE,"general";"via2",#N/A,TRUE,"general";"via3",#N/A,TRUE,"general"}</definedName>
    <definedName name="dgdgr" localSheetId="1" hidden="1">{"via1",#N/A,TRUE,"general";"via2",#N/A,TRUE,"general";"via3",#N/A,TRUE,"general"}</definedName>
    <definedName name="dgdgr" localSheetId="9" hidden="1">{"via1",#N/A,TRUE,"general";"via2",#N/A,TRUE,"general";"via3",#N/A,TRUE,"general"}</definedName>
    <definedName name="dgdgr" localSheetId="16" hidden="1">{"via1",#N/A,TRUE,"general";"via2",#N/A,TRUE,"general";"via3",#N/A,TRUE,"general"}</definedName>
    <definedName name="dgdgr" localSheetId="19" hidden="1">{"via1",#N/A,TRUE,"general";"via2",#N/A,TRUE,"general";"via3",#N/A,TRUE,"general"}</definedName>
    <definedName name="dgdgr" hidden="1">{"via1",#N/A,TRUE,"general";"via2",#N/A,TRUE,"general";"via3",#N/A,TRUE,"general"}</definedName>
    <definedName name="dgfd" localSheetId="1" hidden="1">{"TAB1",#N/A,TRUE,"GENERAL";"TAB2",#N/A,TRUE,"GENERAL";"TAB3",#N/A,TRUE,"GENERAL";"TAB4",#N/A,TRUE,"GENERAL";"TAB5",#N/A,TRUE,"GENERAL"}</definedName>
    <definedName name="dgfd" localSheetId="9" hidden="1">{"TAB1",#N/A,TRUE,"GENERAL";"TAB2",#N/A,TRUE,"GENERAL";"TAB3",#N/A,TRUE,"GENERAL";"TAB4",#N/A,TRUE,"GENERAL";"TAB5",#N/A,TRUE,"GENERAL"}</definedName>
    <definedName name="dgfd" localSheetId="16" hidden="1">{"TAB1",#N/A,TRUE,"GENERAL";"TAB2",#N/A,TRUE,"GENERAL";"TAB3",#N/A,TRUE,"GENERAL";"TAB4",#N/A,TRUE,"GENERAL";"TAB5",#N/A,TRUE,"GENERAL"}</definedName>
    <definedName name="dgfd" localSheetId="19" hidden="1">{"TAB1",#N/A,TRUE,"GENERAL";"TAB2",#N/A,TRUE,"GENERAL";"TAB3",#N/A,TRUE,"GENERAL";"TAB4",#N/A,TRUE,"GENERAL";"TAB5",#N/A,TRUE,"GENERAL"}</definedName>
    <definedName name="dgfd" hidden="1">{"TAB1",#N/A,TRUE,"GENERAL";"TAB2",#N/A,TRUE,"GENERAL";"TAB3",#N/A,TRUE,"GENERAL";"TAB4",#N/A,TRUE,"GENERAL";"TAB5",#N/A,TRUE,"GENERAL"}</definedName>
    <definedName name="DGFDFVSDF" localSheetId="1" hidden="1">{"via1",#N/A,TRUE,"general";"via2",#N/A,TRUE,"general";"via3",#N/A,TRUE,"general"}</definedName>
    <definedName name="DGFDFVSDF" localSheetId="9" hidden="1">{"via1",#N/A,TRUE,"general";"via2",#N/A,TRUE,"general";"via3",#N/A,TRUE,"general"}</definedName>
    <definedName name="DGFDFVSDF" localSheetId="16" hidden="1">{"via1",#N/A,TRUE,"general";"via2",#N/A,TRUE,"general";"via3",#N/A,TRUE,"general"}</definedName>
    <definedName name="DGFDFVSDF" localSheetId="19" hidden="1">{"via1",#N/A,TRUE,"general";"via2",#N/A,TRUE,"general";"via3",#N/A,TRUE,"general"}</definedName>
    <definedName name="DGFDFVSDF" hidden="1">{"via1",#N/A,TRUE,"general";"via2",#N/A,TRUE,"general";"via3",#N/A,TRUE,"general"}</definedName>
    <definedName name="dgfdg" localSheetId="1" hidden="1">{"via1",#N/A,TRUE,"general";"via2",#N/A,TRUE,"general";"via3",#N/A,TRUE,"general"}</definedName>
    <definedName name="dgfdg" localSheetId="9" hidden="1">{"via1",#N/A,TRUE,"general";"via2",#N/A,TRUE,"general";"via3",#N/A,TRUE,"general"}</definedName>
    <definedName name="dgfdg" localSheetId="16" hidden="1">{"via1",#N/A,TRUE,"general";"via2",#N/A,TRUE,"general";"via3",#N/A,TRUE,"general"}</definedName>
    <definedName name="dgfdg" localSheetId="19" hidden="1">{"via1",#N/A,TRUE,"general";"via2",#N/A,TRUE,"general";"via3",#N/A,TRUE,"general"}</definedName>
    <definedName name="dgfdg" hidden="1">{"via1",#N/A,TRUE,"general";"via2",#N/A,TRUE,"general";"via3",#N/A,TRUE,"general"}</definedName>
    <definedName name="DGFG" localSheetId="1" hidden="1">{"via1",#N/A,TRUE,"general";"via2",#N/A,TRUE,"general";"via3",#N/A,TRUE,"general"}</definedName>
    <definedName name="DGFG" localSheetId="9" hidden="1">{"via1",#N/A,TRUE,"general";"via2",#N/A,TRUE,"general";"via3",#N/A,TRUE,"general"}</definedName>
    <definedName name="DGFG" localSheetId="16" hidden="1">{"via1",#N/A,TRUE,"general";"via2",#N/A,TRUE,"general";"via3",#N/A,TRUE,"general"}</definedName>
    <definedName name="DGFG" localSheetId="19" hidden="1">{"via1",#N/A,TRUE,"general";"via2",#N/A,TRUE,"general";"via3",#N/A,TRUE,"general"}</definedName>
    <definedName name="DGFG" hidden="1">{"via1",#N/A,TRUE,"general";"via2",#N/A,TRUE,"general";"via3",#N/A,TRUE,"general"}</definedName>
    <definedName name="dgfsado" localSheetId="1" hidden="1">{"TAB1",#N/A,TRUE,"GENERAL";"TAB2",#N/A,TRUE,"GENERAL";"TAB3",#N/A,TRUE,"GENERAL";"TAB4",#N/A,TRUE,"GENERAL";"TAB5",#N/A,TRUE,"GENERAL"}</definedName>
    <definedName name="dgfsado" localSheetId="9" hidden="1">{"TAB1",#N/A,TRUE,"GENERAL";"TAB2",#N/A,TRUE,"GENERAL";"TAB3",#N/A,TRUE,"GENERAL";"TAB4",#N/A,TRUE,"GENERAL";"TAB5",#N/A,TRUE,"GENERAL"}</definedName>
    <definedName name="dgfsado" localSheetId="16" hidden="1">{"TAB1",#N/A,TRUE,"GENERAL";"TAB2",#N/A,TRUE,"GENERAL";"TAB3",#N/A,TRUE,"GENERAL";"TAB4",#N/A,TRUE,"GENERAL";"TAB5",#N/A,TRUE,"GENERAL"}</definedName>
    <definedName name="dgfsado" localSheetId="19" hidden="1">{"TAB1",#N/A,TRUE,"GENERAL";"TAB2",#N/A,TRUE,"GENERAL";"TAB3",#N/A,TRUE,"GENERAL";"TAB4",#N/A,TRUE,"GENERAL";"TAB5",#N/A,TRUE,"GENERAL"}</definedName>
    <definedName name="dgfsado" hidden="1">{"TAB1",#N/A,TRUE,"GENERAL";"TAB2",#N/A,TRUE,"GENERAL";"TAB3",#N/A,TRUE,"GENERAL";"TAB4",#N/A,TRUE,"GENERAL";"TAB5",#N/A,TRUE,"GENERAL"}</definedName>
    <definedName name="dghfs">#REF!</definedName>
    <definedName name="dgrdeb" localSheetId="1" hidden="1">{"TAB1",#N/A,TRUE,"GENERAL";"TAB2",#N/A,TRUE,"GENERAL";"TAB3",#N/A,TRUE,"GENERAL";"TAB4",#N/A,TRUE,"GENERAL";"TAB5",#N/A,TRUE,"GENERAL"}</definedName>
    <definedName name="dgrdeb" localSheetId="9" hidden="1">{"TAB1",#N/A,TRUE,"GENERAL";"TAB2",#N/A,TRUE,"GENERAL";"TAB3",#N/A,TRUE,"GENERAL";"TAB4",#N/A,TRUE,"GENERAL";"TAB5",#N/A,TRUE,"GENERAL"}</definedName>
    <definedName name="dgrdeb" localSheetId="16" hidden="1">{"TAB1",#N/A,TRUE,"GENERAL";"TAB2",#N/A,TRUE,"GENERAL";"TAB3",#N/A,TRUE,"GENERAL";"TAB4",#N/A,TRUE,"GENERAL";"TAB5",#N/A,TRUE,"GENERAL"}</definedName>
    <definedName name="dgrdeb" localSheetId="19" hidden="1">{"TAB1",#N/A,TRUE,"GENERAL";"TAB2",#N/A,TRUE,"GENERAL";"TAB3",#N/A,TRUE,"GENERAL";"TAB4",#N/A,TRUE,"GENERAL";"TAB5",#N/A,TRUE,"GENERAL"}</definedName>
    <definedName name="dgrdeb" hidden="1">{"TAB1",#N/A,TRUE,"GENERAL";"TAB2",#N/A,TRUE,"GENERAL";"TAB3",#N/A,TRUE,"GENERAL";"TAB4",#N/A,TRUE,"GENERAL";"TAB5",#N/A,TRUE,"GENERAL"}</definedName>
    <definedName name="dgreg" localSheetId="1" hidden="1">{"via1",#N/A,TRUE,"general";"via2",#N/A,TRUE,"general";"via3",#N/A,TRUE,"general"}</definedName>
    <definedName name="dgreg" localSheetId="9" hidden="1">{"via1",#N/A,TRUE,"general";"via2",#N/A,TRUE,"general";"via3",#N/A,TRUE,"general"}</definedName>
    <definedName name="dgreg" localSheetId="16" hidden="1">{"via1",#N/A,TRUE,"general";"via2",#N/A,TRUE,"general";"via3",#N/A,TRUE,"general"}</definedName>
    <definedName name="dgreg" localSheetId="19" hidden="1">{"via1",#N/A,TRUE,"general";"via2",#N/A,TRUE,"general";"via3",#N/A,TRUE,"general"}</definedName>
    <definedName name="dgreg" hidden="1">{"via1",#N/A,TRUE,"general";"via2",#N/A,TRUE,"general";"via3",#N/A,TRUE,"general"}</definedName>
    <definedName name="DH" localSheetId="1" hidden="1">{"via1",#N/A,TRUE,"general";"via2",#N/A,TRUE,"general";"via3",#N/A,TRUE,"general"}</definedName>
    <definedName name="DH" localSheetId="9" hidden="1">{"via1",#N/A,TRUE,"general";"via2",#N/A,TRUE,"general";"via3",#N/A,TRUE,"general"}</definedName>
    <definedName name="DH" localSheetId="16" hidden="1">{"via1",#N/A,TRUE,"general";"via2",#N/A,TRUE,"general";"via3",#N/A,TRUE,"general"}</definedName>
    <definedName name="DH" localSheetId="19" hidden="1">{"via1",#N/A,TRUE,"general";"via2",#N/A,TRUE,"general";"via3",#N/A,TRUE,"general"}</definedName>
    <definedName name="DH" hidden="1">{"via1",#N/A,TRUE,"general";"via2",#N/A,TRUE,"general";"via3",#N/A,TRUE,"general"}</definedName>
    <definedName name="dhdth" localSheetId="1" hidden="1">{"TAB1",#N/A,TRUE,"GENERAL";"TAB2",#N/A,TRUE,"GENERAL";"TAB3",#N/A,TRUE,"GENERAL";"TAB4",#N/A,TRUE,"GENERAL";"TAB5",#N/A,TRUE,"GENERAL"}</definedName>
    <definedName name="dhdth" localSheetId="9" hidden="1">{"TAB1",#N/A,TRUE,"GENERAL";"TAB2",#N/A,TRUE,"GENERAL";"TAB3",#N/A,TRUE,"GENERAL";"TAB4",#N/A,TRUE,"GENERAL";"TAB5",#N/A,TRUE,"GENERAL"}</definedName>
    <definedName name="dhdth" localSheetId="16" hidden="1">{"TAB1",#N/A,TRUE,"GENERAL";"TAB2",#N/A,TRUE,"GENERAL";"TAB3",#N/A,TRUE,"GENERAL";"TAB4",#N/A,TRUE,"GENERAL";"TAB5",#N/A,TRUE,"GENERAL"}</definedName>
    <definedName name="dhdth" localSheetId="19" hidden="1">{"TAB1",#N/A,TRUE,"GENERAL";"TAB2",#N/A,TRUE,"GENERAL";"TAB3",#N/A,TRUE,"GENERAL";"TAB4",#N/A,TRUE,"GENERAL";"TAB5",#N/A,TRUE,"GENERAL"}</definedName>
    <definedName name="dhdth" hidden="1">{"TAB1",#N/A,TRUE,"GENERAL";"TAB2",#N/A,TRUE,"GENERAL";"TAB3",#N/A,TRUE,"GENERAL";"TAB4",#N/A,TRUE,"GENERAL";"TAB5",#N/A,TRUE,"GENERAL"}</definedName>
    <definedName name="dhgh" localSheetId="1" hidden="1">{"via1",#N/A,TRUE,"general";"via2",#N/A,TRUE,"general";"via3",#N/A,TRUE,"general"}</definedName>
    <definedName name="dhgh" localSheetId="9" hidden="1">{"via1",#N/A,TRUE,"general";"via2",#N/A,TRUE,"general";"via3",#N/A,TRUE,"general"}</definedName>
    <definedName name="dhgh" localSheetId="16" hidden="1">{"via1",#N/A,TRUE,"general";"via2",#N/A,TRUE,"general";"via3",#N/A,TRUE,"general"}</definedName>
    <definedName name="dhgh" localSheetId="19" hidden="1">{"via1",#N/A,TRUE,"general";"via2",#N/A,TRUE,"general";"via3",#N/A,TRUE,"general"}</definedName>
    <definedName name="dhgh" hidden="1">{"via1",#N/A,TRUE,"general";"via2",#N/A,TRUE,"general";"via3",#N/A,TRUE,"general"}</definedName>
    <definedName name="dhp">'[15]Gabinetes ctrol, prot. y med. '!#REF!</definedName>
    <definedName name="di" localSheetId="16">#REF!</definedName>
    <definedName name="di" localSheetId="3">#REF!</definedName>
    <definedName name="di">#REF!</definedName>
    <definedName name="DIA_LABOR_XMES" localSheetId="16">#REF!</definedName>
    <definedName name="DIA_LABOR_XMES" localSheetId="19">#REF!</definedName>
    <definedName name="DIA_LABOR_XMES">#REF!</definedName>
    <definedName name="DIAME">#REF!</definedName>
    <definedName name="diametros">#REF!</definedName>
    <definedName name="diego">#REF!</definedName>
    <definedName name="diego1">#REF!</definedName>
    <definedName name="DISTRIBUCION" hidden="1">{#N/A,#N/A,FALSE,"GRAFICO";#N/A,#N/A,FALSE,"CAJA (2)";#N/A,#N/A,FALSE,"TERCEROS-PROMEDIO";#N/A,#N/A,FALSE,"CAJA";#N/A,#N/A,FALSE,"INGRESOS1995-2003";#N/A,#N/A,FALSE,"GASTOS1995-2003"}</definedName>
    <definedName name="dj">#REF!</definedName>
    <definedName name="djdytj" localSheetId="1" hidden="1">{"TAB1",#N/A,TRUE,"GENERAL";"TAB2",#N/A,TRUE,"GENERAL";"TAB3",#N/A,TRUE,"GENERAL";"TAB4",#N/A,TRUE,"GENERAL";"TAB5",#N/A,TRUE,"GENERAL"}</definedName>
    <definedName name="djdytj" localSheetId="9" hidden="1">{"TAB1",#N/A,TRUE,"GENERAL";"TAB2",#N/A,TRUE,"GENERAL";"TAB3",#N/A,TRUE,"GENERAL";"TAB4",#N/A,TRUE,"GENERAL";"TAB5",#N/A,TRUE,"GENERAL"}</definedName>
    <definedName name="djdytj" localSheetId="16" hidden="1">{"TAB1",#N/A,TRUE,"GENERAL";"TAB2",#N/A,TRUE,"GENERAL";"TAB3",#N/A,TRUE,"GENERAL";"TAB4",#N/A,TRUE,"GENERAL";"TAB5",#N/A,TRUE,"GENERAL"}</definedName>
    <definedName name="djdytj" localSheetId="19" hidden="1">{"TAB1",#N/A,TRUE,"GENERAL";"TAB2",#N/A,TRUE,"GENERAL";"TAB3",#N/A,TRUE,"GENERAL";"TAB4",#N/A,TRUE,"GENERAL";"TAB5",#N/A,TRUE,"GENERAL"}</definedName>
    <definedName name="djdytj" hidden="1">{"TAB1",#N/A,TRUE,"GENERAL";"TAB2",#N/A,TRUE,"GENERAL";"TAB3",#N/A,TRUE,"GENERAL";"TAB4",#N/A,TRUE,"GENERAL";"TAB5",#N/A,TRUE,"GENERAL"}</definedName>
    <definedName name="dl" localSheetId="3">#REF!</definedName>
    <definedName name="dl">#REF!</definedName>
    <definedName name="dm" localSheetId="3">#REF!</definedName>
    <definedName name="dm">#REF!</definedName>
    <definedName name="do" localSheetId="3">#REF!</definedName>
    <definedName name="do">#REF!</definedName>
    <definedName name="DOR">#REF!</definedName>
    <definedName name="DOTACION_SOLICITADA_POR_SECRETARIA_DE_SALUD___ASCENSORES" localSheetId="1">[7]PRESUPUESTO!#REF!</definedName>
    <definedName name="DOTACION_SOLICITADA_POR_SECRETARIA_DE_SALUD___ASCENSORES" localSheetId="16">[7]PRESUPUESTO!#REF!</definedName>
    <definedName name="DOTACION_SOLICITADA_POR_SECRETARIA_DE_SALUD___ASCENSORES">[7]PRESUPUESTO!#REF!</definedName>
    <definedName name="dr">'[15]Gabinetes ctrol, prot. y med. '!#REF!</definedName>
    <definedName name="drf" localSheetId="16">#REF!</definedName>
    <definedName name="drf" localSheetId="3">#REF!</definedName>
    <definedName name="drf">#REF!</definedName>
    <definedName name="drr">'[15]Gabinetes ctrol, prot. y med. '!#REF!</definedName>
    <definedName name="dry" localSheetId="1" hidden="1">{"via1",#N/A,TRUE,"general";"via2",#N/A,TRUE,"general";"via3",#N/A,TRUE,"general"}</definedName>
    <definedName name="dry" localSheetId="9" hidden="1">{"via1",#N/A,TRUE,"general";"via2",#N/A,TRUE,"general";"via3",#N/A,TRUE,"general"}</definedName>
    <definedName name="dry" localSheetId="16" hidden="1">{"via1",#N/A,TRUE,"general";"via2",#N/A,TRUE,"general";"via3",#N/A,TRUE,"general"}</definedName>
    <definedName name="dry" localSheetId="19" hidden="1">{"via1",#N/A,TRUE,"general";"via2",#N/A,TRUE,"general";"via3",#N/A,TRUE,"general"}</definedName>
    <definedName name="dry" hidden="1">{"via1",#N/A,TRUE,"general";"via2",#N/A,TRUE,"general";"via3",#N/A,TRUE,"general"}</definedName>
    <definedName name="DSA" localSheetId="3">#REF!</definedName>
    <definedName name="DSA">#REF!</definedName>
    <definedName name="DSAD" localSheetId="1" hidden="1">{"via1",#N/A,TRUE,"general";"via2",#N/A,TRUE,"general";"via3",#N/A,TRUE,"general"}</definedName>
    <definedName name="DSAD" localSheetId="9" hidden="1">{"via1",#N/A,TRUE,"general";"via2",#N/A,TRUE,"general";"via3",#N/A,TRUE,"general"}</definedName>
    <definedName name="DSAD" localSheetId="16" hidden="1">{"via1",#N/A,TRUE,"general";"via2",#N/A,TRUE,"general";"via3",#N/A,TRUE,"general"}</definedName>
    <definedName name="DSAD" localSheetId="19" hidden="1">{"via1",#N/A,TRUE,"general";"via2",#N/A,TRUE,"general";"via3",#N/A,TRUE,"general"}</definedName>
    <definedName name="DSAD" hidden="1">{"via1",#N/A,TRUE,"general";"via2",#N/A,TRUE,"general";"via3",#N/A,TRUE,"general"}</definedName>
    <definedName name="dsadfp" localSheetId="1" hidden="1">{"TAB1",#N/A,TRUE,"GENERAL";"TAB2",#N/A,TRUE,"GENERAL";"TAB3",#N/A,TRUE,"GENERAL";"TAB4",#N/A,TRUE,"GENERAL";"TAB5",#N/A,TRUE,"GENERAL"}</definedName>
    <definedName name="dsadfp" localSheetId="9" hidden="1">{"TAB1",#N/A,TRUE,"GENERAL";"TAB2",#N/A,TRUE,"GENERAL";"TAB3",#N/A,TRUE,"GENERAL";"TAB4",#N/A,TRUE,"GENERAL";"TAB5",#N/A,TRUE,"GENERAL"}</definedName>
    <definedName name="dsadfp" localSheetId="16" hidden="1">{"TAB1",#N/A,TRUE,"GENERAL";"TAB2",#N/A,TRUE,"GENERAL";"TAB3",#N/A,TRUE,"GENERAL";"TAB4",#N/A,TRUE,"GENERAL";"TAB5",#N/A,TRUE,"GENERAL"}</definedName>
    <definedName name="dsadfp" localSheetId="19" hidden="1">{"TAB1",#N/A,TRUE,"GENERAL";"TAB2",#N/A,TRUE,"GENERAL";"TAB3",#N/A,TRUE,"GENERAL";"TAB4",#N/A,TRUE,"GENERAL";"TAB5",#N/A,TRUE,"GENERAL"}</definedName>
    <definedName name="dsadfp" hidden="1">{"TAB1",#N/A,TRUE,"GENERAL";"TAB2",#N/A,TRUE,"GENERAL";"TAB3",#N/A,TRUE,"GENERAL";"TAB4",#N/A,TRUE,"GENERAL";"TAB5",#N/A,TRUE,"GENERAL"}</definedName>
    <definedName name="DSD" localSheetId="1" hidden="1">{"via1",#N/A,TRUE,"general";"via2",#N/A,TRUE,"general";"via3",#N/A,TRUE,"general"}</definedName>
    <definedName name="DSD" localSheetId="9" hidden="1">{"via1",#N/A,TRUE,"general";"via2",#N/A,TRUE,"general";"via3",#N/A,TRUE,"general"}</definedName>
    <definedName name="DSD" localSheetId="16" hidden="1">{"via1",#N/A,TRUE,"general";"via2",#N/A,TRUE,"general";"via3",#N/A,TRUE,"general"}</definedName>
    <definedName name="DSD" localSheetId="19" hidden="1">{"via1",#N/A,TRUE,"general";"via2",#N/A,TRUE,"general";"via3",#N/A,TRUE,"general"}</definedName>
    <definedName name="DSD" hidden="1">{"via1",#N/A,TRUE,"general";"via2",#N/A,TRUE,"general";"via3",#N/A,TRUE,"general"}</definedName>
    <definedName name="dsdads4" localSheetId="1" hidden="1">{"TAB1",#N/A,TRUE,"GENERAL";"TAB2",#N/A,TRUE,"GENERAL";"TAB3",#N/A,TRUE,"GENERAL";"TAB4",#N/A,TRUE,"GENERAL";"TAB5",#N/A,TRUE,"GENERAL"}</definedName>
    <definedName name="dsdads4" localSheetId="9" hidden="1">{"TAB1",#N/A,TRUE,"GENERAL";"TAB2",#N/A,TRUE,"GENERAL";"TAB3",#N/A,TRUE,"GENERAL";"TAB4",#N/A,TRUE,"GENERAL";"TAB5",#N/A,TRUE,"GENERAL"}</definedName>
    <definedName name="dsdads4" localSheetId="16" hidden="1">{"TAB1",#N/A,TRUE,"GENERAL";"TAB2",#N/A,TRUE,"GENERAL";"TAB3",#N/A,TRUE,"GENERAL";"TAB4",#N/A,TRUE,"GENERAL";"TAB5",#N/A,TRUE,"GENERAL"}</definedName>
    <definedName name="dsdads4" localSheetId="19" hidden="1">{"TAB1",#N/A,TRUE,"GENERAL";"TAB2",#N/A,TRUE,"GENERAL";"TAB3",#N/A,TRUE,"GENERAL";"TAB4",#N/A,TRUE,"GENERAL";"TAB5",#N/A,TRUE,"GENERAL"}</definedName>
    <definedName name="dsdads4" hidden="1">{"TAB1",#N/A,TRUE,"GENERAL";"TAB2",#N/A,TRUE,"GENERAL";"TAB3",#N/A,TRUE,"GENERAL";"TAB4",#N/A,TRUE,"GENERAL";"TAB5",#N/A,TRUE,"GENERAL"}</definedName>
    <definedName name="DSF" localSheetId="1" hidden="1">{"via1",#N/A,TRUE,"general";"via2",#N/A,TRUE,"general";"via3",#N/A,TRUE,"general"}</definedName>
    <definedName name="DSF" localSheetId="9" hidden="1">{"via1",#N/A,TRUE,"general";"via2",#N/A,TRUE,"general";"via3",#N/A,TRUE,"general"}</definedName>
    <definedName name="DSF" localSheetId="16" hidden="1">{"via1",#N/A,TRUE,"general";"via2",#N/A,TRUE,"general";"via3",#N/A,TRUE,"general"}</definedName>
    <definedName name="DSF" localSheetId="19" hidden="1">{"via1",#N/A,TRUE,"general";"via2",#N/A,TRUE,"general";"via3",#N/A,TRUE,"general"}</definedName>
    <definedName name="DSF" hidden="1">{"via1",#N/A,TRUE,"general";"via2",#N/A,TRUE,"general";"via3",#N/A,TRUE,"general"}</definedName>
    <definedName name="DSFCVTY" localSheetId="1" hidden="1">{"TAB1",#N/A,TRUE,"GENERAL";"TAB2",#N/A,TRUE,"GENERAL";"TAB3",#N/A,TRUE,"GENERAL";"TAB4",#N/A,TRUE,"GENERAL";"TAB5",#N/A,TRUE,"GENERAL"}</definedName>
    <definedName name="DSFCVTY" localSheetId="9" hidden="1">{"TAB1",#N/A,TRUE,"GENERAL";"TAB2",#N/A,TRUE,"GENERAL";"TAB3",#N/A,TRUE,"GENERAL";"TAB4",#N/A,TRUE,"GENERAL";"TAB5",#N/A,TRUE,"GENERAL"}</definedName>
    <definedName name="DSFCVTY" localSheetId="16" hidden="1">{"TAB1",#N/A,TRUE,"GENERAL";"TAB2",#N/A,TRUE,"GENERAL";"TAB3",#N/A,TRUE,"GENERAL";"TAB4",#N/A,TRUE,"GENERAL";"TAB5",#N/A,TRUE,"GENERAL"}</definedName>
    <definedName name="DSFCVTY" localSheetId="19" hidden="1">{"TAB1",#N/A,TRUE,"GENERAL";"TAB2",#N/A,TRUE,"GENERAL";"TAB3",#N/A,TRUE,"GENERAL";"TAB4",#N/A,TRUE,"GENERAL";"TAB5",#N/A,TRUE,"GENERAL"}</definedName>
    <definedName name="DSFCVTY" hidden="1">{"TAB1",#N/A,TRUE,"GENERAL";"TAB2",#N/A,TRUE,"GENERAL";"TAB3",#N/A,TRUE,"GENERAL";"TAB4",#N/A,TRUE,"GENERAL";"TAB5",#N/A,TRUE,"GENERAL"}</definedName>
    <definedName name="dsfg" localSheetId="1" hidden="1">{"via1",#N/A,TRUE,"general";"via2",#N/A,TRUE,"general";"via3",#N/A,TRUE,"general"}</definedName>
    <definedName name="dsfg" localSheetId="9" hidden="1">{"via1",#N/A,TRUE,"general";"via2",#N/A,TRUE,"general";"via3",#N/A,TRUE,"general"}</definedName>
    <definedName name="dsfg" localSheetId="16" hidden="1">{"via1",#N/A,TRUE,"general";"via2",#N/A,TRUE,"general";"via3",#N/A,TRUE,"general"}</definedName>
    <definedName name="dsfg" localSheetId="19" hidden="1">{"via1",#N/A,TRUE,"general";"via2",#N/A,TRUE,"general";"via3",#N/A,TRUE,"general"}</definedName>
    <definedName name="dsfg" hidden="1">{"via1",#N/A,TRUE,"general";"via2",#N/A,TRUE,"general";"via3",#N/A,TRUE,"general"}</definedName>
    <definedName name="dsfhgfdh" localSheetId="1" hidden="1">{"TAB1",#N/A,TRUE,"GENERAL";"TAB2",#N/A,TRUE,"GENERAL";"TAB3",#N/A,TRUE,"GENERAL";"TAB4",#N/A,TRUE,"GENERAL";"TAB5",#N/A,TRUE,"GENERAL"}</definedName>
    <definedName name="dsfhgfdh" localSheetId="9" hidden="1">{"TAB1",#N/A,TRUE,"GENERAL";"TAB2",#N/A,TRUE,"GENERAL";"TAB3",#N/A,TRUE,"GENERAL";"TAB4",#N/A,TRUE,"GENERAL";"TAB5",#N/A,TRUE,"GENERAL"}</definedName>
    <definedName name="dsfhgfdh" localSheetId="16" hidden="1">{"TAB1",#N/A,TRUE,"GENERAL";"TAB2",#N/A,TRUE,"GENERAL";"TAB3",#N/A,TRUE,"GENERAL";"TAB4",#N/A,TRUE,"GENERAL";"TAB5",#N/A,TRUE,"GENERAL"}</definedName>
    <definedName name="dsfhgfdh" localSheetId="19" hidden="1">{"TAB1",#N/A,TRUE,"GENERAL";"TAB2",#N/A,TRUE,"GENERAL";"TAB3",#N/A,TRUE,"GENERAL";"TAB4",#N/A,TRUE,"GENERAL";"TAB5",#N/A,TRUE,"GENERAL"}</definedName>
    <definedName name="dsfhgfdh" hidden="1">{"TAB1",#N/A,TRUE,"GENERAL";"TAB2",#N/A,TRUE,"GENERAL";"TAB3",#N/A,TRUE,"GENERAL";"TAB4",#N/A,TRUE,"GENERAL";"TAB5",#N/A,TRUE,"GENERAL"}</definedName>
    <definedName name="dsfsdf" localSheetId="1" hidden="1">{"via1",#N/A,TRUE,"general";"via2",#N/A,TRUE,"general";"via3",#N/A,TRUE,"general"}</definedName>
    <definedName name="dsfsdf" localSheetId="9" hidden="1">{"via1",#N/A,TRUE,"general";"via2",#N/A,TRUE,"general";"via3",#N/A,TRUE,"general"}</definedName>
    <definedName name="dsfsdf" localSheetId="16" hidden="1">{"via1",#N/A,TRUE,"general";"via2",#N/A,TRUE,"general";"via3",#N/A,TRUE,"general"}</definedName>
    <definedName name="dsfsdf" localSheetId="19" hidden="1">{"via1",#N/A,TRUE,"general";"via2",#N/A,TRUE,"general";"via3",#N/A,TRUE,"general"}</definedName>
    <definedName name="dsfsdf" hidden="1">{"via1",#N/A,TRUE,"general";"via2",#N/A,TRUE,"general";"via3",#N/A,TRUE,"general"}</definedName>
    <definedName name="DSFSDFCXV" localSheetId="1" hidden="1">{"TAB1",#N/A,TRUE,"GENERAL";"TAB2",#N/A,TRUE,"GENERAL";"TAB3",#N/A,TRUE,"GENERAL";"TAB4",#N/A,TRUE,"GENERAL";"TAB5",#N/A,TRUE,"GENERAL"}</definedName>
    <definedName name="DSFSDFCXV" localSheetId="9" hidden="1">{"TAB1",#N/A,TRUE,"GENERAL";"TAB2",#N/A,TRUE,"GENERAL";"TAB3",#N/A,TRUE,"GENERAL";"TAB4",#N/A,TRUE,"GENERAL";"TAB5",#N/A,TRUE,"GENERAL"}</definedName>
    <definedName name="DSFSDFCXV" localSheetId="16" hidden="1">{"TAB1",#N/A,TRUE,"GENERAL";"TAB2",#N/A,TRUE,"GENERAL";"TAB3",#N/A,TRUE,"GENERAL";"TAB4",#N/A,TRUE,"GENERAL";"TAB5",#N/A,TRUE,"GENERAL"}</definedName>
    <definedName name="DSFSDFCXV" localSheetId="19" hidden="1">{"TAB1",#N/A,TRUE,"GENERAL";"TAB2",#N/A,TRUE,"GENERAL";"TAB3",#N/A,TRUE,"GENERAL";"TAB4",#N/A,TRUE,"GENERAL";"TAB5",#N/A,TRUE,"GENERAL"}</definedName>
    <definedName name="DSFSDFCXV" hidden="1">{"TAB1",#N/A,TRUE,"GENERAL";"TAB2",#N/A,TRUE,"GENERAL";"TAB3",#N/A,TRUE,"GENERAL";"TAB4",#N/A,TRUE,"GENERAL";"TAB5",#N/A,TRUE,"GENERAL"}</definedName>
    <definedName name="dsfsvm" localSheetId="1" hidden="1">{"TAB1",#N/A,TRUE,"GENERAL";"TAB2",#N/A,TRUE,"GENERAL";"TAB3",#N/A,TRUE,"GENERAL";"TAB4",#N/A,TRUE,"GENERAL";"TAB5",#N/A,TRUE,"GENERAL"}</definedName>
    <definedName name="dsfsvm" localSheetId="9" hidden="1">{"TAB1",#N/A,TRUE,"GENERAL";"TAB2",#N/A,TRUE,"GENERAL";"TAB3",#N/A,TRUE,"GENERAL";"TAB4",#N/A,TRUE,"GENERAL";"TAB5",#N/A,TRUE,"GENERAL"}</definedName>
    <definedName name="dsfsvm" localSheetId="16" hidden="1">{"TAB1",#N/A,TRUE,"GENERAL";"TAB2",#N/A,TRUE,"GENERAL";"TAB3",#N/A,TRUE,"GENERAL";"TAB4",#N/A,TRUE,"GENERAL";"TAB5",#N/A,TRUE,"GENERAL"}</definedName>
    <definedName name="dsfsvm" localSheetId="19" hidden="1">{"TAB1",#N/A,TRUE,"GENERAL";"TAB2",#N/A,TRUE,"GENERAL";"TAB3",#N/A,TRUE,"GENERAL";"TAB4",#N/A,TRUE,"GENERAL";"TAB5",#N/A,TRUE,"GENERAL"}</definedName>
    <definedName name="dsfsvm" hidden="1">{"TAB1",#N/A,TRUE,"GENERAL";"TAB2",#N/A,TRUE,"GENERAL";"TAB3",#N/A,TRUE,"GENERAL";"TAB4",#N/A,TRUE,"GENERAL";"TAB5",#N/A,TRUE,"GENERAL"}</definedName>
    <definedName name="dsftbv" localSheetId="1" hidden="1">{"via1",#N/A,TRUE,"general";"via2",#N/A,TRUE,"general";"via3",#N/A,TRUE,"general"}</definedName>
    <definedName name="dsftbv" localSheetId="9" hidden="1">{"via1",#N/A,TRUE,"general";"via2",#N/A,TRUE,"general";"via3",#N/A,TRUE,"general"}</definedName>
    <definedName name="dsftbv" localSheetId="16" hidden="1">{"via1",#N/A,TRUE,"general";"via2",#N/A,TRUE,"general";"via3",#N/A,TRUE,"general"}</definedName>
    <definedName name="dsftbv" localSheetId="19" hidden="1">{"via1",#N/A,TRUE,"general";"via2",#N/A,TRUE,"general";"via3",#N/A,TRUE,"general"}</definedName>
    <definedName name="dsftbv" hidden="1">{"via1",#N/A,TRUE,"general";"via2",#N/A,TRUE,"general";"via3",#N/A,TRUE,"general"}</definedName>
    <definedName name="dt" localSheetId="3">#REF!</definedName>
    <definedName name="dt">#REF!</definedName>
    <definedName name="dtrhj" localSheetId="1" hidden="1">{"via1",#N/A,TRUE,"general";"via2",#N/A,TRUE,"general";"via3",#N/A,TRUE,"general"}</definedName>
    <definedName name="dtrhj" localSheetId="9" hidden="1">{"via1",#N/A,TRUE,"general";"via2",#N/A,TRUE,"general";"via3",#N/A,TRUE,"general"}</definedName>
    <definedName name="dtrhj" localSheetId="16" hidden="1">{"via1",#N/A,TRUE,"general";"via2",#N/A,TRUE,"general";"via3",#N/A,TRUE,"general"}</definedName>
    <definedName name="dtrhj" localSheetId="19" hidden="1">{"via1",#N/A,TRUE,"general";"via2",#N/A,TRUE,"general";"via3",#N/A,TRUE,"general"}</definedName>
    <definedName name="dtrhj" hidden="1">{"via1",#N/A,TRUE,"general";"via2",#N/A,TRUE,"general";"via3",#N/A,TRUE,"general"}</definedName>
    <definedName name="DTS" localSheetId="3">#REF!</definedName>
    <definedName name="DTS">#REF!</definedName>
    <definedName name="DXDSDXFGDTJYFT" localSheetId="3">'[63]Itemes Renovación'!#REF!</definedName>
    <definedName name="DXDSDXFGDTJYFT">'[63]Itemes Renovación'!#REF!</definedName>
    <definedName name="dxfgg" localSheetId="1" hidden="1">{"via1",#N/A,TRUE,"general";"via2",#N/A,TRUE,"general";"via3",#N/A,TRUE,"general"}</definedName>
    <definedName name="dxfgg" localSheetId="9" hidden="1">{"via1",#N/A,TRUE,"general";"via2",#N/A,TRUE,"general";"via3",#N/A,TRUE,"general"}</definedName>
    <definedName name="dxfgg" localSheetId="16" hidden="1">{"via1",#N/A,TRUE,"general";"via2",#N/A,TRUE,"general";"via3",#N/A,TRUE,"general"}</definedName>
    <definedName name="dxfgg" localSheetId="19" hidden="1">{"via1",#N/A,TRUE,"general";"via2",#N/A,TRUE,"general";"via3",#N/A,TRUE,"general"}</definedName>
    <definedName name="dxfgg" hidden="1">{"via1",#N/A,TRUE,"general";"via2",#N/A,TRUE,"general";"via3",#N/A,TRUE,"general"}</definedName>
    <definedName name="e" localSheetId="16">#REF!</definedName>
    <definedName name="e" localSheetId="3" hidden="1">[14]Presupuesto_Via_distribuidora!#REF!</definedName>
    <definedName name="e" localSheetId="19">'INSUMOS '!#REF!</definedName>
    <definedName name="e">#REF!</definedName>
    <definedName name="e3e33" localSheetId="1" hidden="1">{"via1",#N/A,TRUE,"general";"via2",#N/A,TRUE,"general";"via3",#N/A,TRUE,"general"}</definedName>
    <definedName name="e3e33" localSheetId="9" hidden="1">{"via1",#N/A,TRUE,"general";"via2",#N/A,TRUE,"general";"via3",#N/A,TRUE,"general"}</definedName>
    <definedName name="e3e33" localSheetId="16" hidden="1">{"via1",#N/A,TRUE,"general";"via2",#N/A,TRUE,"general";"via3",#N/A,TRUE,"general"}</definedName>
    <definedName name="e3e33" localSheetId="19" hidden="1">{"via1",#N/A,TRUE,"general";"via2",#N/A,TRUE,"general";"via3",#N/A,TRUE,"general"}</definedName>
    <definedName name="e3e33" hidden="1">{"via1",#N/A,TRUE,"general";"via2",#N/A,TRUE,"general";"via3",#N/A,TRUE,"general"}</definedName>
    <definedName name="ea" localSheetId="1">[1]!ERR</definedName>
    <definedName name="ea" localSheetId="16">[1]!ERR</definedName>
    <definedName name="ea" localSheetId="19">[1]!ERR</definedName>
    <definedName name="ea">[1]!ERR</definedName>
    <definedName name="Ebitda" hidden="1">{#N/A,#N/A,FALSE,"GRAFICO";#N/A,#N/A,FALSE,"CAJA (2)";#N/A,#N/A,FALSE,"TERCEROS-PROMEDIO";#N/A,#N/A,FALSE,"CAJA";#N/A,#N/A,FALSE,"INGRESOS1995-2003";#N/A,#N/A,FALSE,"GASTOS1995-2003"}</definedName>
    <definedName name="EDEDWSWQA" localSheetId="1" hidden="1">{"TAB1",#N/A,TRUE,"GENERAL";"TAB2",#N/A,TRUE,"GENERAL";"TAB3",#N/A,TRUE,"GENERAL";"TAB4",#N/A,TRUE,"GENERAL";"TAB5",#N/A,TRUE,"GENERAL"}</definedName>
    <definedName name="EDEDWSWQA" localSheetId="9" hidden="1">{"TAB1",#N/A,TRUE,"GENERAL";"TAB2",#N/A,TRUE,"GENERAL";"TAB3",#N/A,TRUE,"GENERAL";"TAB4",#N/A,TRUE,"GENERAL";"TAB5",#N/A,TRUE,"GENERAL"}</definedName>
    <definedName name="EDEDWSWQA" localSheetId="16" hidden="1">{"TAB1",#N/A,TRUE,"GENERAL";"TAB2",#N/A,TRUE,"GENERAL";"TAB3",#N/A,TRUE,"GENERAL";"TAB4",#N/A,TRUE,"GENERAL";"TAB5",#N/A,TRUE,"GENERAL"}</definedName>
    <definedName name="EDEDWSWQA" localSheetId="19" hidden="1">{"TAB1",#N/A,TRUE,"GENERAL";"TAB2",#N/A,TRUE,"GENERAL";"TAB3",#N/A,TRUE,"GENERAL";"TAB4",#N/A,TRUE,"GENERAL";"TAB5",#N/A,TRUE,"GENERAL"}</definedName>
    <definedName name="EDEDWSWQA" hidden="1">{"TAB1",#N/A,TRUE,"GENERAL";"TAB2",#N/A,TRUE,"GENERAL";"TAB3",#N/A,TRUE,"GENERAL";"TAB4",#N/A,TRUE,"GENERAL";"TAB5",#N/A,TRUE,"GENERAL"}</definedName>
    <definedName name="edgfhmn" localSheetId="1" hidden="1">{"via1",#N/A,TRUE,"general";"via2",#N/A,TRUE,"general";"via3",#N/A,TRUE,"general"}</definedName>
    <definedName name="edgfhmn" localSheetId="9" hidden="1">{"via1",#N/A,TRUE,"general";"via2",#N/A,TRUE,"general";"via3",#N/A,TRUE,"general"}</definedName>
    <definedName name="edgfhmn" localSheetId="16" hidden="1">{"via1",#N/A,TRUE,"general";"via2",#N/A,TRUE,"general";"via3",#N/A,TRUE,"general"}</definedName>
    <definedName name="edgfhmn" localSheetId="19" hidden="1">{"via1",#N/A,TRUE,"general";"via2",#N/A,TRUE,"general";"via3",#N/A,TRUE,"general"}</definedName>
    <definedName name="edgfhmn" hidden="1">{"via1",#N/A,TRUE,"general";"via2",#N/A,TRUE,"general";"via3",#N/A,TRUE,"general"}</definedName>
    <definedName name="EE" localSheetId="3" hidden="1">#REF!</definedName>
    <definedName name="EE">#REF!</definedName>
    <definedName name="eee">#REF!</definedName>
    <definedName name="eeedfr" localSheetId="1" hidden="1">{"TAB1",#N/A,TRUE,"GENERAL";"TAB2",#N/A,TRUE,"GENERAL";"TAB3",#N/A,TRUE,"GENERAL";"TAB4",#N/A,TRUE,"GENERAL";"TAB5",#N/A,TRUE,"GENERAL"}</definedName>
    <definedName name="eeedfr" localSheetId="9" hidden="1">{"TAB1",#N/A,TRUE,"GENERAL";"TAB2",#N/A,TRUE,"GENERAL";"TAB3",#N/A,TRUE,"GENERAL";"TAB4",#N/A,TRUE,"GENERAL";"TAB5",#N/A,TRUE,"GENERAL"}</definedName>
    <definedName name="eeedfr" localSheetId="16" hidden="1">{"TAB1",#N/A,TRUE,"GENERAL";"TAB2",#N/A,TRUE,"GENERAL";"TAB3",#N/A,TRUE,"GENERAL";"TAB4",#N/A,TRUE,"GENERAL";"TAB5",#N/A,TRUE,"GENERAL"}</definedName>
    <definedName name="eeedfr" localSheetId="19" hidden="1">{"TAB1",#N/A,TRUE,"GENERAL";"TAB2",#N/A,TRUE,"GENERAL";"TAB3",#N/A,TRUE,"GENERAL";"TAB4",#N/A,TRUE,"GENERAL";"TAB5",#N/A,TRUE,"GENERAL"}</definedName>
    <definedName name="eeedfr" hidden="1">{"TAB1",#N/A,TRUE,"GENERAL";"TAB2",#N/A,TRUE,"GENERAL";"TAB3",#N/A,TRUE,"GENERAL";"TAB4",#N/A,TRUE,"GENERAL";"TAB5",#N/A,TRUE,"GENERAL"}</definedName>
    <definedName name="eeeeer" localSheetId="1" hidden="1">{"TAB1",#N/A,TRUE,"GENERAL";"TAB2",#N/A,TRUE,"GENERAL";"TAB3",#N/A,TRUE,"GENERAL";"TAB4",#N/A,TRUE,"GENERAL";"TAB5",#N/A,TRUE,"GENERAL"}</definedName>
    <definedName name="eeeeer" localSheetId="9" hidden="1">{"TAB1",#N/A,TRUE,"GENERAL";"TAB2",#N/A,TRUE,"GENERAL";"TAB3",#N/A,TRUE,"GENERAL";"TAB4",#N/A,TRUE,"GENERAL";"TAB5",#N/A,TRUE,"GENERAL"}</definedName>
    <definedName name="eeeeer" localSheetId="16" hidden="1">{"TAB1",#N/A,TRUE,"GENERAL";"TAB2",#N/A,TRUE,"GENERAL";"TAB3",#N/A,TRUE,"GENERAL";"TAB4",#N/A,TRUE,"GENERAL";"TAB5",#N/A,TRUE,"GENERAL"}</definedName>
    <definedName name="eeeeer" localSheetId="19" hidden="1">{"TAB1",#N/A,TRUE,"GENERAL";"TAB2",#N/A,TRUE,"GENERAL";"TAB3",#N/A,TRUE,"GENERAL";"TAB4",#N/A,TRUE,"GENERAL";"TAB5",#N/A,TRUE,"GENERAL"}</definedName>
    <definedName name="eeeeer" hidden="1">{"TAB1",#N/A,TRUE,"GENERAL";"TAB2",#N/A,TRUE,"GENERAL";"TAB3",#N/A,TRUE,"GENERAL";"TAB4",#N/A,TRUE,"GENERAL";"TAB5",#N/A,TRUE,"GENERAL"}</definedName>
    <definedName name="eeerfd" localSheetId="1" hidden="1">{"via1",#N/A,TRUE,"general";"via2",#N/A,TRUE,"general";"via3",#N/A,TRUE,"general"}</definedName>
    <definedName name="eeerfd" localSheetId="9" hidden="1">{"via1",#N/A,TRUE,"general";"via2",#N/A,TRUE,"general";"via3",#N/A,TRUE,"general"}</definedName>
    <definedName name="eeerfd" localSheetId="16" hidden="1">{"via1",#N/A,TRUE,"general";"via2",#N/A,TRUE,"general";"via3",#N/A,TRUE,"general"}</definedName>
    <definedName name="eeerfd" localSheetId="19" hidden="1">{"via1",#N/A,TRUE,"general";"via2",#N/A,TRUE,"general";"via3",#N/A,TRUE,"general"}</definedName>
    <definedName name="eeerfd" hidden="1">{"via1",#N/A,TRUE,"general";"via2",#N/A,TRUE,"general";"via3",#N/A,TRUE,"general"}</definedName>
    <definedName name="ef" localSheetId="3">#REF!</definedName>
    <definedName name="ef">#REF!</definedName>
    <definedName name="efef" localSheetId="1" hidden="1">{"TAB1",#N/A,TRUE,"GENERAL";"TAB2",#N/A,TRUE,"GENERAL";"TAB3",#N/A,TRUE,"GENERAL";"TAB4",#N/A,TRUE,"GENERAL";"TAB5",#N/A,TRUE,"GENERAL"}</definedName>
    <definedName name="efef" localSheetId="9" hidden="1">{"TAB1",#N/A,TRUE,"GENERAL";"TAB2",#N/A,TRUE,"GENERAL";"TAB3",#N/A,TRUE,"GENERAL";"TAB4",#N/A,TRUE,"GENERAL";"TAB5",#N/A,TRUE,"GENERAL"}</definedName>
    <definedName name="efef" localSheetId="16" hidden="1">{"TAB1",#N/A,TRUE,"GENERAL";"TAB2",#N/A,TRUE,"GENERAL";"TAB3",#N/A,TRUE,"GENERAL";"TAB4",#N/A,TRUE,"GENERAL";"TAB5",#N/A,TRUE,"GENERAL"}</definedName>
    <definedName name="efef" localSheetId="19" hidden="1">{"TAB1",#N/A,TRUE,"GENERAL";"TAB2",#N/A,TRUE,"GENERAL";"TAB3",#N/A,TRUE,"GENERAL";"TAB4",#N/A,TRUE,"GENERAL";"TAB5",#N/A,TRUE,"GENERAL"}</definedName>
    <definedName name="efef" hidden="1">{"TAB1",#N/A,TRUE,"GENERAL";"TAB2",#N/A,TRUE,"GENERAL";"TAB3",#N/A,TRUE,"GENERAL";"TAB4",#N/A,TRUE,"GENERAL";"TAB5",#N/A,TRUE,"GENERAL"}</definedName>
    <definedName name="efer" localSheetId="1" hidden="1">{"via1",#N/A,TRUE,"general";"via2",#N/A,TRUE,"general";"via3",#N/A,TRUE,"general"}</definedName>
    <definedName name="efer" localSheetId="9" hidden="1">{"via1",#N/A,TRUE,"general";"via2",#N/A,TRUE,"general";"via3",#N/A,TRUE,"general"}</definedName>
    <definedName name="efer" localSheetId="16" hidden="1">{"via1",#N/A,TRUE,"general";"via2",#N/A,TRUE,"general";"via3",#N/A,TRUE,"general"}</definedName>
    <definedName name="efer" localSheetId="19" hidden="1">{"via1",#N/A,TRUE,"general";"via2",#N/A,TRUE,"general";"via3",#N/A,TRUE,"general"}</definedName>
    <definedName name="efer" hidden="1">{"via1",#N/A,TRUE,"general";"via2",#N/A,TRUE,"general";"via3",#N/A,TRUE,"general"}</definedName>
    <definedName name="egeg" localSheetId="1" hidden="1">{"TAB1",#N/A,TRUE,"GENERAL";"TAB2",#N/A,TRUE,"GENERAL";"TAB3",#N/A,TRUE,"GENERAL";"TAB4",#N/A,TRUE,"GENERAL";"TAB5",#N/A,TRUE,"GENERAL"}</definedName>
    <definedName name="egeg" localSheetId="9" hidden="1">{"TAB1",#N/A,TRUE,"GENERAL";"TAB2",#N/A,TRUE,"GENERAL";"TAB3",#N/A,TRUE,"GENERAL";"TAB4",#N/A,TRUE,"GENERAL";"TAB5",#N/A,TRUE,"GENERAL"}</definedName>
    <definedName name="egeg" localSheetId="16" hidden="1">{"TAB1",#N/A,TRUE,"GENERAL";"TAB2",#N/A,TRUE,"GENERAL";"TAB3",#N/A,TRUE,"GENERAL";"TAB4",#N/A,TRUE,"GENERAL";"TAB5",#N/A,TRUE,"GENERAL"}</definedName>
    <definedName name="egeg" localSheetId="19" hidden="1">{"TAB1",#N/A,TRUE,"GENERAL";"TAB2",#N/A,TRUE,"GENERAL";"TAB3",#N/A,TRUE,"GENERAL";"TAB4",#N/A,TRUE,"GENERAL";"TAB5",#N/A,TRUE,"GENERAL"}</definedName>
    <definedName name="egeg" hidden="1">{"TAB1",#N/A,TRUE,"GENERAL";"TAB2",#N/A,TRUE,"GENERAL";"TAB3",#N/A,TRUE,"GENERAL";"TAB4",#N/A,TRUE,"GENERAL";"TAB5",#N/A,TRUE,"GENERAL"}</definedName>
    <definedName name="egtrgthrt" localSheetId="1" hidden="1">{"TAB1",#N/A,TRUE,"GENERAL";"TAB2",#N/A,TRUE,"GENERAL";"TAB3",#N/A,TRUE,"GENERAL";"TAB4",#N/A,TRUE,"GENERAL";"TAB5",#N/A,TRUE,"GENERAL"}</definedName>
    <definedName name="egtrgthrt" localSheetId="9" hidden="1">{"TAB1",#N/A,TRUE,"GENERAL";"TAB2",#N/A,TRUE,"GENERAL";"TAB3",#N/A,TRUE,"GENERAL";"TAB4",#N/A,TRUE,"GENERAL";"TAB5",#N/A,TRUE,"GENERAL"}</definedName>
    <definedName name="egtrgthrt" localSheetId="16" hidden="1">{"TAB1",#N/A,TRUE,"GENERAL";"TAB2",#N/A,TRUE,"GENERAL";"TAB3",#N/A,TRUE,"GENERAL";"TAB4",#N/A,TRUE,"GENERAL";"TAB5",#N/A,TRUE,"GENERAL"}</definedName>
    <definedName name="egtrgthrt" localSheetId="19" hidden="1">{"TAB1",#N/A,TRUE,"GENERAL";"TAB2",#N/A,TRUE,"GENERAL";"TAB3",#N/A,TRUE,"GENERAL";"TAB4",#N/A,TRUE,"GENERAL";"TAB5",#N/A,TRUE,"GENERAL"}</definedName>
    <definedName name="egtrgthrt" hidden="1">{"TAB1",#N/A,TRUE,"GENERAL";"TAB2",#N/A,TRUE,"GENERAL";"TAB3",#N/A,TRUE,"GENERAL";"TAB4",#N/A,TRUE,"GENERAL";"TAB5",#N/A,TRUE,"GENERAL"}</definedName>
    <definedName name="el" localSheetId="3">#REF!</definedName>
    <definedName name="el">#REF!</definedName>
    <definedName name="ELECTRICO" localSheetId="1">[7]PRESUPUESTO!#REF!</definedName>
    <definedName name="ELECTRICO" localSheetId="16">[7]PRESUPUESTO!#REF!</definedName>
    <definedName name="ELECTRICO">[7]PRESUPUESTO!#REF!</definedName>
    <definedName name="ELECTRICO_ITEM_ESTIMADO" localSheetId="1">[31]Presupuesto!#REF!</definedName>
    <definedName name="ELECTRICO_ITEM_ESTIMADO" localSheetId="16">[31]Presupuesto!#REF!</definedName>
    <definedName name="ELECTRICO_ITEM_ESTIMADO">[31]Presupuesto!#REF!</definedName>
    <definedName name="emanto" localSheetId="16">#REF!</definedName>
    <definedName name="emanto">#REF!</definedName>
    <definedName name="Enchape_euro_o_corona" localSheetId="1">'[20]LISTADO DE MATERIALES Y EQUIPOS'!$B$65</definedName>
    <definedName name="Enchape_euro_o_corona" localSheetId="16">'[20]LISTADO DE MATERIALES Y EQUIPOS'!$B$65</definedName>
    <definedName name="Enchape_euro_o_corona">'[20]LISTADO DE MATERIALES Y EQUIPOS'!$B$65</definedName>
    <definedName name="ENCHAPES" localSheetId="1">[31]Presupuesto!#REF!,[31]Presupuesto!#REF!</definedName>
    <definedName name="ENCHAPES" localSheetId="9">[31]Presupuesto!#REF!,[31]Presupuesto!#REF!</definedName>
    <definedName name="ENCHAPES" localSheetId="16">[31]Presupuesto!#REF!,[31]Presupuesto!#REF!</definedName>
    <definedName name="ENCHAPES">[31]Presupuesto!#REF!,[31]Presupuesto!#REF!</definedName>
    <definedName name="ENCHAPES__REVOQUES_Y_PINTURA" localSheetId="1">[7]PRESUPUESTO!#REF!</definedName>
    <definedName name="ENCHAPES__REVOQUES_Y_PINTURA" localSheetId="16">[7]PRESUPUESTO!#REF!</definedName>
    <definedName name="ENCHAPES__REVOQUES_Y_PINTURA">[7]PRESUPUESTO!#REF!</definedName>
    <definedName name="ENCHAPES_1" localSheetId="1">[31]Presupuesto!#REF!</definedName>
    <definedName name="ENCHAPES_1" localSheetId="16">[31]Presupuesto!#REF!</definedName>
    <definedName name="ENCHAPES_1">[31]Presupuesto!#REF!</definedName>
    <definedName name="ENCHAPES_ITEM" localSheetId="1">[31]Presupuesto!#REF!,[31]Presupuesto!#REF!,[31]Presupuesto!#REF!,[31]Presupuesto!#REF!</definedName>
    <definedName name="ENCHAPES_ITEM" localSheetId="9">[31]Presupuesto!#REF!,[31]Presupuesto!#REF!,[31]Presupuesto!#REF!,[31]Presupuesto!#REF!</definedName>
    <definedName name="ENCHAPES_ITEM" localSheetId="16">[31]Presupuesto!#REF!,[31]Presupuesto!#REF!,[31]Presupuesto!#REF!,[31]Presupuesto!#REF!</definedName>
    <definedName name="ENCHAPES_ITEM">[31]Presupuesto!#REF!,[31]Presupuesto!#REF!,[31]Presupuesto!#REF!,[31]Presupuesto!#REF!</definedName>
    <definedName name="ENCHAPES_VALOR" localSheetId="1">[31]Presupuesto!$G$67:$G$68,[31]Presupuesto!$G$70:$G$71,[31]Presupuesto!$G$72</definedName>
    <definedName name="ENCHAPES_VALOR" localSheetId="16">[31]Presupuesto!$G$67:$G$68,[31]Presupuesto!$G$70:$G$71,[31]Presupuesto!$G$72</definedName>
    <definedName name="ENCHAPES_VALOR">[31]Presupuesto!$G$67:$G$68,[31]Presupuesto!$G$70:$G$71,[31]Presupuesto!$G$72</definedName>
    <definedName name="End_Bal" localSheetId="16">#REF!</definedName>
    <definedName name="End_Bal" localSheetId="3">#REF!</definedName>
    <definedName name="End_Bal">#REF!</definedName>
    <definedName name="Ene">[64]ENE!$A$12:$H$34</definedName>
    <definedName name="Ene_C">[64]ENE!$A$35:$H$52</definedName>
    <definedName name="EneFeb">'[65]Ene-Feb'!$A$12:$H$34</definedName>
    <definedName name="ENT.A1" localSheetId="1">'[66]CANT.5921'!#REF!</definedName>
    <definedName name="ENT.A1" localSheetId="16">'[66]CANT.5921'!#REF!</definedName>
    <definedName name="ENT.A1">'[66]CANT.5921'!#REF!</definedName>
    <definedName name="ENT.ESP" localSheetId="1">'[66]CANT.5921'!#REF!</definedName>
    <definedName name="ENT.ESP" localSheetId="16">'[66]CANT.5921'!#REF!</definedName>
    <definedName name="ENT.ESP">'[66]CANT.5921'!#REF!</definedName>
    <definedName name="ENT1_SEPT25" localSheetId="1">[31]Presupuesto!#REF!,[31]Presupuesto!#REF!,[31]Presupuesto!#REF!</definedName>
    <definedName name="ENT1_SEPT25" localSheetId="16">[31]Presupuesto!#REF!,[31]Presupuesto!#REF!,[31]Presupuesto!#REF!</definedName>
    <definedName name="ENT1_SEPT25">[31]Presupuesto!#REF!,[31]Presupuesto!#REF!,[31]Presupuesto!#REF!</definedName>
    <definedName name="ENTIB" localSheetId="16">#REF!</definedName>
    <definedName name="ENTIB" localSheetId="19">#REF!</definedName>
    <definedName name="ENTIB">#REF!</definedName>
    <definedName name="ENTIBADO" localSheetId="16">[67]TUBERIA!#REF!</definedName>
    <definedName name="ENTIBADO" localSheetId="19">[67]TUBERIA!#REF!</definedName>
    <definedName name="ENTIBADO">[67]TUBERIA!#REF!</definedName>
    <definedName name="ENTIDAD">[68]retropliegos!$B$5</definedName>
    <definedName name="EQUI" localSheetId="16">[69]EQUIPO!$B$2:$B$36</definedName>
    <definedName name="equi" localSheetId="3">'[27]precios-básicos2002'!$C$12:$C$56</definedName>
    <definedName name="EQUI">[69]EQUIPO!$B$2:$B$36</definedName>
    <definedName name="equipo" localSheetId="3">'[27]precios-básicos2002'!$C$12:$E$56</definedName>
    <definedName name="equipo">[70]Equipo!$A$7:$A$65536</definedName>
    <definedName name="EQUIPO_1" localSheetId="16">[69]EQUIPO!$B$2:$D$36</definedName>
    <definedName name="EQUIPO_1">[69]EQUIPO!$B$2:$D$36</definedName>
    <definedName name="Equipo_de_soldadura" localSheetId="1">'[20]LISTADO DE MATERIALES Y EQUIPOS'!$B$31</definedName>
    <definedName name="Equipo_de_soldadura" localSheetId="16">'[20]LISTADO DE MATERIALES Y EQUIPOS'!$B$31</definedName>
    <definedName name="Equipo_de_soldadura">'[20]LISTADO DE MATERIALES Y EQUIPOS'!$B$31</definedName>
    <definedName name="eqw" localSheetId="1" hidden="1">{"via1",#N/A,TRUE,"general";"via2",#N/A,TRUE,"general";"via3",#N/A,TRUE,"general"}</definedName>
    <definedName name="eqw" localSheetId="9" hidden="1">{"via1",#N/A,TRUE,"general";"via2",#N/A,TRUE,"general";"via3",#N/A,TRUE,"general"}</definedName>
    <definedName name="eqw" localSheetId="16" hidden="1">{"via1",#N/A,TRUE,"general";"via2",#N/A,TRUE,"general";"via3",#N/A,TRUE,"general"}</definedName>
    <definedName name="eqw" localSheetId="19" hidden="1">{"via1",#N/A,TRUE,"general";"via2",#N/A,TRUE,"general";"via3",#N/A,TRUE,"general"}</definedName>
    <definedName name="eqw" hidden="1">{"via1",#N/A,TRUE,"general";"via2",#N/A,TRUE,"general";"via3",#N/A,TRUE,"general"}</definedName>
    <definedName name="er" localSheetId="3">#REF!</definedName>
    <definedName name="er">#REF!</definedName>
    <definedName name="erg" localSheetId="1" hidden="1">{"TAB1",#N/A,TRUE,"GENERAL";"TAB2",#N/A,TRUE,"GENERAL";"TAB3",#N/A,TRUE,"GENERAL";"TAB4",#N/A,TRUE,"GENERAL";"TAB5",#N/A,TRUE,"GENERAL"}</definedName>
    <definedName name="erg" localSheetId="9" hidden="1">{"TAB1",#N/A,TRUE,"GENERAL";"TAB2",#N/A,TRUE,"GENERAL";"TAB3",#N/A,TRUE,"GENERAL";"TAB4",#N/A,TRUE,"GENERAL";"TAB5",#N/A,TRUE,"GENERAL"}</definedName>
    <definedName name="erg" localSheetId="16" hidden="1">{"TAB1",#N/A,TRUE,"GENERAL";"TAB2",#N/A,TRUE,"GENERAL";"TAB3",#N/A,TRUE,"GENERAL";"TAB4",#N/A,TRUE,"GENERAL";"TAB5",#N/A,TRUE,"GENERAL"}</definedName>
    <definedName name="erg" localSheetId="19" hidden="1">{"TAB1",#N/A,TRUE,"GENERAL";"TAB2",#N/A,TRUE,"GENERAL";"TAB3",#N/A,TRUE,"GENERAL";"TAB4",#N/A,TRUE,"GENERAL";"TAB5",#N/A,TRUE,"GENERAL"}</definedName>
    <definedName name="erg" hidden="1">{"TAB1",#N/A,TRUE,"GENERAL";"TAB2",#N/A,TRUE,"GENERAL";"TAB3",#N/A,TRUE,"GENERAL";"TAB4",#N/A,TRUE,"GENERAL";"TAB5",#N/A,TRUE,"GENERAL"}</definedName>
    <definedName name="erger" localSheetId="1" hidden="1">{"via1",#N/A,TRUE,"general";"via2",#N/A,TRUE,"general";"via3",#N/A,TRUE,"general"}</definedName>
    <definedName name="erger" localSheetId="9" hidden="1">{"via1",#N/A,TRUE,"general";"via2",#N/A,TRUE,"general";"via3",#N/A,TRUE,"general"}</definedName>
    <definedName name="erger" localSheetId="16" hidden="1">{"via1",#N/A,TRUE,"general";"via2",#N/A,TRUE,"general";"via3",#N/A,TRUE,"general"}</definedName>
    <definedName name="erger" localSheetId="19" hidden="1">{"via1",#N/A,TRUE,"general";"via2",#N/A,TRUE,"general";"via3",#N/A,TRUE,"general"}</definedName>
    <definedName name="erger" hidden="1">{"via1",#N/A,TRUE,"general";"via2",#N/A,TRUE,"general";"via3",#N/A,TRUE,"general"}</definedName>
    <definedName name="ergerg" localSheetId="1" hidden="1">{"via1",#N/A,TRUE,"general";"via2",#N/A,TRUE,"general";"via3",#N/A,TRUE,"general"}</definedName>
    <definedName name="ergerg" localSheetId="9" hidden="1">{"via1",#N/A,TRUE,"general";"via2",#N/A,TRUE,"general";"via3",#N/A,TRUE,"general"}</definedName>
    <definedName name="ergerg" localSheetId="16" hidden="1">{"via1",#N/A,TRUE,"general";"via2",#N/A,TRUE,"general";"via3",#N/A,TRUE,"general"}</definedName>
    <definedName name="ergerg" localSheetId="19" hidden="1">{"via1",#N/A,TRUE,"general";"via2",#N/A,TRUE,"general";"via3",#N/A,TRUE,"general"}</definedName>
    <definedName name="ergerg" hidden="1">{"via1",#N/A,TRUE,"general";"via2",#N/A,TRUE,"general";"via3",#N/A,TRUE,"general"}</definedName>
    <definedName name="ergfegr" localSheetId="1" hidden="1">{"via1",#N/A,TRUE,"general";"via2",#N/A,TRUE,"general";"via3",#N/A,TRUE,"general"}</definedName>
    <definedName name="ergfegr" localSheetId="9" hidden="1">{"via1",#N/A,TRUE,"general";"via2",#N/A,TRUE,"general";"via3",#N/A,TRUE,"general"}</definedName>
    <definedName name="ergfegr" localSheetId="16" hidden="1">{"via1",#N/A,TRUE,"general";"via2",#N/A,TRUE,"general";"via3",#N/A,TRUE,"general"}</definedName>
    <definedName name="ergfegr" localSheetId="19" hidden="1">{"via1",#N/A,TRUE,"general";"via2",#N/A,TRUE,"general";"via3",#N/A,TRUE,"general"}</definedName>
    <definedName name="ergfegr" hidden="1">{"via1",#N/A,TRUE,"general";"via2",#N/A,TRUE,"general";"via3",#N/A,TRUE,"general"}</definedName>
    <definedName name="ergge" localSheetId="1" hidden="1">{"TAB1",#N/A,TRUE,"GENERAL";"TAB2",#N/A,TRUE,"GENERAL";"TAB3",#N/A,TRUE,"GENERAL";"TAB4",#N/A,TRUE,"GENERAL";"TAB5",#N/A,TRUE,"GENERAL"}</definedName>
    <definedName name="ergge" localSheetId="9" hidden="1">{"TAB1",#N/A,TRUE,"GENERAL";"TAB2",#N/A,TRUE,"GENERAL";"TAB3",#N/A,TRUE,"GENERAL";"TAB4",#N/A,TRUE,"GENERAL";"TAB5",#N/A,TRUE,"GENERAL"}</definedName>
    <definedName name="ergge" localSheetId="16" hidden="1">{"TAB1",#N/A,TRUE,"GENERAL";"TAB2",#N/A,TRUE,"GENERAL";"TAB3",#N/A,TRUE,"GENERAL";"TAB4",#N/A,TRUE,"GENERAL";"TAB5",#N/A,TRUE,"GENERAL"}</definedName>
    <definedName name="ergge" localSheetId="19" hidden="1">{"TAB1",#N/A,TRUE,"GENERAL";"TAB2",#N/A,TRUE,"GENERAL";"TAB3",#N/A,TRUE,"GENERAL";"TAB4",#N/A,TRUE,"GENERAL";"TAB5",#N/A,TRUE,"GENERAL"}</definedName>
    <definedName name="ergge" hidden="1">{"TAB1",#N/A,TRUE,"GENERAL";"TAB2",#N/A,TRUE,"GENERAL";"TAB3",#N/A,TRUE,"GENERAL";"TAB4",#N/A,TRUE,"GENERAL";"TAB5",#N/A,TRUE,"GENERAL"}</definedName>
    <definedName name="erggewg" localSheetId="1" hidden="1">{"via1",#N/A,TRUE,"general";"via2",#N/A,TRUE,"general";"via3",#N/A,TRUE,"general"}</definedName>
    <definedName name="erggewg" localSheetId="9" hidden="1">{"via1",#N/A,TRUE,"general";"via2",#N/A,TRUE,"general";"via3",#N/A,TRUE,"general"}</definedName>
    <definedName name="erggewg" localSheetId="16" hidden="1">{"via1",#N/A,TRUE,"general";"via2",#N/A,TRUE,"general";"via3",#N/A,TRUE,"general"}</definedName>
    <definedName name="erggewg" localSheetId="19" hidden="1">{"via1",#N/A,TRUE,"general";"via2",#N/A,TRUE,"general";"via3",#N/A,TRUE,"general"}</definedName>
    <definedName name="erggewg" hidden="1">{"via1",#N/A,TRUE,"general";"via2",#N/A,TRUE,"general";"via3",#N/A,TRUE,"general"}</definedName>
    <definedName name="ergreg" localSheetId="1" hidden="1">{"TAB1",#N/A,TRUE,"GENERAL";"TAB2",#N/A,TRUE,"GENERAL";"TAB3",#N/A,TRUE,"GENERAL";"TAB4",#N/A,TRUE,"GENERAL";"TAB5",#N/A,TRUE,"GENERAL"}</definedName>
    <definedName name="ergreg" localSheetId="9" hidden="1">{"TAB1",#N/A,TRUE,"GENERAL";"TAB2",#N/A,TRUE,"GENERAL";"TAB3",#N/A,TRUE,"GENERAL";"TAB4",#N/A,TRUE,"GENERAL";"TAB5",#N/A,TRUE,"GENERAL"}</definedName>
    <definedName name="ergreg" localSheetId="16" hidden="1">{"TAB1",#N/A,TRUE,"GENERAL";"TAB2",#N/A,TRUE,"GENERAL";"TAB3",#N/A,TRUE,"GENERAL";"TAB4",#N/A,TRUE,"GENERAL";"TAB5",#N/A,TRUE,"GENERAL"}</definedName>
    <definedName name="ergreg" localSheetId="19" hidden="1">{"TAB1",#N/A,TRUE,"GENERAL";"TAB2",#N/A,TRUE,"GENERAL";"TAB3",#N/A,TRUE,"GENERAL";"TAB4",#N/A,TRUE,"GENERAL";"TAB5",#N/A,TRUE,"GENERAL"}</definedName>
    <definedName name="ergreg" hidden="1">{"TAB1",#N/A,TRUE,"GENERAL";"TAB2",#N/A,TRUE,"GENERAL";"TAB3",#N/A,TRUE,"GENERAL";"TAB4",#N/A,TRUE,"GENERAL";"TAB5",#N/A,TRUE,"GENERAL"}</definedName>
    <definedName name="ergregerg" localSheetId="1" hidden="1">{"via1",#N/A,TRUE,"general";"via2",#N/A,TRUE,"general";"via3",#N/A,TRUE,"general"}</definedName>
    <definedName name="ergregerg" localSheetId="9" hidden="1">{"via1",#N/A,TRUE,"general";"via2",#N/A,TRUE,"general";"via3",#N/A,TRUE,"general"}</definedName>
    <definedName name="ergregerg" localSheetId="16" hidden="1">{"via1",#N/A,TRUE,"general";"via2",#N/A,TRUE,"general";"via3",#N/A,TRUE,"general"}</definedName>
    <definedName name="ergregerg" localSheetId="19" hidden="1">{"via1",#N/A,TRUE,"general";"via2",#N/A,TRUE,"general";"via3",#N/A,TRUE,"general"}</definedName>
    <definedName name="ergregerg" hidden="1">{"via1",#N/A,TRUE,"general";"via2",#N/A,TRUE,"general";"via3",#N/A,TRUE,"general"}</definedName>
    <definedName name="ergrg" localSheetId="1" hidden="1">{"TAB1",#N/A,TRUE,"GENERAL";"TAB2",#N/A,TRUE,"GENERAL";"TAB3",#N/A,TRUE,"GENERAL";"TAB4",#N/A,TRUE,"GENERAL";"TAB5",#N/A,TRUE,"GENERAL"}</definedName>
    <definedName name="ergrg" localSheetId="9" hidden="1">{"TAB1",#N/A,TRUE,"GENERAL";"TAB2",#N/A,TRUE,"GENERAL";"TAB3",#N/A,TRUE,"GENERAL";"TAB4",#N/A,TRUE,"GENERAL";"TAB5",#N/A,TRUE,"GENERAL"}</definedName>
    <definedName name="ergrg" localSheetId="16" hidden="1">{"TAB1",#N/A,TRUE,"GENERAL";"TAB2",#N/A,TRUE,"GENERAL";"TAB3",#N/A,TRUE,"GENERAL";"TAB4",#N/A,TRUE,"GENERAL";"TAB5",#N/A,TRUE,"GENERAL"}</definedName>
    <definedName name="ergrg" localSheetId="19" hidden="1">{"TAB1",#N/A,TRUE,"GENERAL";"TAB2",#N/A,TRUE,"GENERAL";"TAB3",#N/A,TRUE,"GENERAL";"TAB4",#N/A,TRUE,"GENERAL";"TAB5",#N/A,TRUE,"GENERAL"}</definedName>
    <definedName name="ergrg" hidden="1">{"TAB1",#N/A,TRUE,"GENERAL";"TAB2",#N/A,TRUE,"GENERAL";"TAB3",#N/A,TRUE,"GENERAL";"TAB4",#N/A,TRUE,"GENERAL";"TAB5",#N/A,TRUE,"GENERAL"}</definedName>
    <definedName name="ergweg" localSheetId="1" hidden="1">{"TAB1",#N/A,TRUE,"GENERAL";"TAB2",#N/A,TRUE,"GENERAL";"TAB3",#N/A,TRUE,"GENERAL";"TAB4",#N/A,TRUE,"GENERAL";"TAB5",#N/A,TRUE,"GENERAL"}</definedName>
    <definedName name="ergweg" localSheetId="9" hidden="1">{"TAB1",#N/A,TRUE,"GENERAL";"TAB2",#N/A,TRUE,"GENERAL";"TAB3",#N/A,TRUE,"GENERAL";"TAB4",#N/A,TRUE,"GENERAL";"TAB5",#N/A,TRUE,"GENERAL"}</definedName>
    <definedName name="ergweg" localSheetId="16" hidden="1">{"TAB1",#N/A,TRUE,"GENERAL";"TAB2",#N/A,TRUE,"GENERAL";"TAB3",#N/A,TRUE,"GENERAL";"TAB4",#N/A,TRUE,"GENERAL";"TAB5",#N/A,TRUE,"GENERAL"}</definedName>
    <definedName name="ergweg" localSheetId="19" hidden="1">{"TAB1",#N/A,TRUE,"GENERAL";"TAB2",#N/A,TRUE,"GENERAL";"TAB3",#N/A,TRUE,"GENERAL";"TAB4",#N/A,TRUE,"GENERAL";"TAB5",#N/A,TRUE,"GENERAL"}</definedName>
    <definedName name="ergweg" hidden="1">{"TAB1",#N/A,TRUE,"GENERAL";"TAB2",#N/A,TRUE,"GENERAL";"TAB3",#N/A,TRUE,"GENERAL";"TAB4",#N/A,TRUE,"GENERAL";"TAB5",#N/A,TRUE,"GENERAL"}</definedName>
    <definedName name="ergwreg" localSheetId="1" hidden="1">{"via1",#N/A,TRUE,"general";"via2",#N/A,TRUE,"general";"via3",#N/A,TRUE,"general"}</definedName>
    <definedName name="ergwreg" localSheetId="9" hidden="1">{"via1",#N/A,TRUE,"general";"via2",#N/A,TRUE,"general";"via3",#N/A,TRUE,"general"}</definedName>
    <definedName name="ergwreg" localSheetId="16" hidden="1">{"via1",#N/A,TRUE,"general";"via2",#N/A,TRUE,"general";"via3",#N/A,TRUE,"general"}</definedName>
    <definedName name="ergwreg" localSheetId="19" hidden="1">{"via1",#N/A,TRUE,"general";"via2",#N/A,TRUE,"general";"via3",#N/A,TRUE,"general"}</definedName>
    <definedName name="ergwreg" hidden="1">{"via1",#N/A,TRUE,"general";"via2",#N/A,TRUE,"general";"via3",#N/A,TRUE,"general"}</definedName>
    <definedName name="erheyh" localSheetId="1" hidden="1">{"TAB1",#N/A,TRUE,"GENERAL";"TAB2",#N/A,TRUE,"GENERAL";"TAB3",#N/A,TRUE,"GENERAL";"TAB4",#N/A,TRUE,"GENERAL";"TAB5",#N/A,TRUE,"GENERAL"}</definedName>
    <definedName name="erheyh" localSheetId="9" hidden="1">{"TAB1",#N/A,TRUE,"GENERAL";"TAB2",#N/A,TRUE,"GENERAL";"TAB3",#N/A,TRUE,"GENERAL";"TAB4",#N/A,TRUE,"GENERAL";"TAB5",#N/A,TRUE,"GENERAL"}</definedName>
    <definedName name="erheyh" localSheetId="16" hidden="1">{"TAB1",#N/A,TRUE,"GENERAL";"TAB2",#N/A,TRUE,"GENERAL";"TAB3",#N/A,TRUE,"GENERAL";"TAB4",#N/A,TRUE,"GENERAL";"TAB5",#N/A,TRUE,"GENERAL"}</definedName>
    <definedName name="erheyh" localSheetId="19" hidden="1">{"TAB1",#N/A,TRUE,"GENERAL";"TAB2",#N/A,TRUE,"GENERAL";"TAB3",#N/A,TRUE,"GENERAL";"TAB4",#N/A,TRUE,"GENERAL";"TAB5",#N/A,TRUE,"GENERAL"}</definedName>
    <definedName name="erheyh" hidden="1">{"TAB1",#N/A,TRUE,"GENERAL";"TAB2",#N/A,TRUE,"GENERAL";"TAB3",#N/A,TRUE,"GENERAL";"TAB4",#N/A,TRUE,"GENERAL";"TAB5",#N/A,TRUE,"GENERAL"}</definedName>
    <definedName name="err" localSheetId="1" hidden="1">{"TAB1",#N/A,TRUE,"GENERAL";"TAB2",#N/A,TRUE,"GENERAL";"TAB3",#N/A,TRUE,"GENERAL";"TAB4",#N/A,TRUE,"GENERAL";"TAB5",#N/A,TRUE,"GENERAL"}</definedName>
    <definedName name="err" localSheetId="9" hidden="1">{"TAB1",#N/A,TRUE,"GENERAL";"TAB2",#N/A,TRUE,"GENERAL";"TAB3",#N/A,TRUE,"GENERAL";"TAB4",#N/A,TRUE,"GENERAL";"TAB5",#N/A,TRUE,"GENERAL"}</definedName>
    <definedName name="err" localSheetId="16" hidden="1">{"TAB1",#N/A,TRUE,"GENERAL";"TAB2",#N/A,TRUE,"GENERAL";"TAB3",#N/A,TRUE,"GENERAL";"TAB4",#N/A,TRUE,"GENERAL";"TAB5",#N/A,TRUE,"GENERAL"}</definedName>
    <definedName name="err" localSheetId="19" hidden="1">{"TAB1",#N/A,TRUE,"GENERAL";"TAB2",#N/A,TRUE,"GENERAL";"TAB3",#N/A,TRUE,"GENERAL";"TAB4",#N/A,TRUE,"GENERAL";"TAB5",#N/A,TRUE,"GENERAL"}</definedName>
    <definedName name="err" hidden="1">{"TAB1",#N/A,TRUE,"GENERAL";"TAB2",#N/A,TRUE,"GENERAL";"TAB3",#N/A,TRUE,"GENERAL";"TAB4",#N/A,TRUE,"GENERAL";"TAB5",#N/A,TRUE,"GENERAL"}</definedName>
    <definedName name="ert" localSheetId="1" hidden="1">{"via1",#N/A,TRUE,"general";"via2",#N/A,TRUE,"general";"via3",#N/A,TRUE,"general"}</definedName>
    <definedName name="ert" localSheetId="9" hidden="1">{"via1",#N/A,TRUE,"general";"via2",#N/A,TRUE,"general";"via3",#N/A,TRUE,"general"}</definedName>
    <definedName name="ert" localSheetId="16" hidden="1">{"via1",#N/A,TRUE,"general";"via2",#N/A,TRUE,"general";"via3",#N/A,TRUE,"general"}</definedName>
    <definedName name="ert" localSheetId="19" hidden="1">{"via1",#N/A,TRUE,"general";"via2",#N/A,TRUE,"general";"via3",#N/A,TRUE,"general"}</definedName>
    <definedName name="ert" hidden="1">{"via1",#N/A,TRUE,"general";"via2",#N/A,TRUE,"general";"via3",#N/A,TRUE,"general"}</definedName>
    <definedName name="erte" localSheetId="1" hidden="1">{"via1",#N/A,TRUE,"general";"via2",#N/A,TRUE,"general";"via3",#N/A,TRUE,"general"}</definedName>
    <definedName name="erte" localSheetId="9" hidden="1">{"via1",#N/A,TRUE,"general";"via2",#N/A,TRUE,"general";"via3",#N/A,TRUE,"general"}</definedName>
    <definedName name="erte" localSheetId="16" hidden="1">{"via1",#N/A,TRUE,"general";"via2",#N/A,TRUE,"general";"via3",#N/A,TRUE,"general"}</definedName>
    <definedName name="erte" localSheetId="19" hidden="1">{"via1",#N/A,TRUE,"general";"via2",#N/A,TRUE,"general";"via3",#N/A,TRUE,"general"}</definedName>
    <definedName name="erte" hidden="1">{"via1",#N/A,TRUE,"general";"via2",#N/A,TRUE,"general";"via3",#N/A,TRUE,"general"}</definedName>
    <definedName name="erter" localSheetId="1" hidden="1">{"TAB1",#N/A,TRUE,"GENERAL";"TAB2",#N/A,TRUE,"GENERAL";"TAB3",#N/A,TRUE,"GENERAL";"TAB4",#N/A,TRUE,"GENERAL";"TAB5",#N/A,TRUE,"GENERAL"}</definedName>
    <definedName name="erter" localSheetId="9" hidden="1">{"TAB1",#N/A,TRUE,"GENERAL";"TAB2",#N/A,TRUE,"GENERAL";"TAB3",#N/A,TRUE,"GENERAL";"TAB4",#N/A,TRUE,"GENERAL";"TAB5",#N/A,TRUE,"GENERAL"}</definedName>
    <definedName name="erter" localSheetId="16" hidden="1">{"TAB1",#N/A,TRUE,"GENERAL";"TAB2",#N/A,TRUE,"GENERAL";"TAB3",#N/A,TRUE,"GENERAL";"TAB4",#N/A,TRUE,"GENERAL";"TAB5",#N/A,TRUE,"GENERAL"}</definedName>
    <definedName name="erter" localSheetId="19" hidden="1">{"TAB1",#N/A,TRUE,"GENERAL";"TAB2",#N/A,TRUE,"GENERAL";"TAB3",#N/A,TRUE,"GENERAL";"TAB4",#N/A,TRUE,"GENERAL";"TAB5",#N/A,TRUE,"GENERAL"}</definedName>
    <definedName name="erter" hidden="1">{"TAB1",#N/A,TRUE,"GENERAL";"TAB2",#N/A,TRUE,"GENERAL";"TAB3",#N/A,TRUE,"GENERAL";"TAB4",#N/A,TRUE,"GENERAL";"TAB5",#N/A,TRUE,"GENERAL"}</definedName>
    <definedName name="ertert" localSheetId="1" hidden="1">{"via1",#N/A,TRUE,"general";"via2",#N/A,TRUE,"general";"via3",#N/A,TRUE,"general"}</definedName>
    <definedName name="ertert" localSheetId="9" hidden="1">{"via1",#N/A,TRUE,"general";"via2",#N/A,TRUE,"general";"via3",#N/A,TRUE,"general"}</definedName>
    <definedName name="ertert" localSheetId="16" hidden="1">{"via1",#N/A,TRUE,"general";"via2",#N/A,TRUE,"general";"via3",#N/A,TRUE,"general"}</definedName>
    <definedName name="ertert" localSheetId="19" hidden="1">{"via1",#N/A,TRUE,"general";"via2",#N/A,TRUE,"general";"via3",#N/A,TRUE,"general"}</definedName>
    <definedName name="ertert" hidden="1">{"via1",#N/A,TRUE,"general";"via2",#N/A,TRUE,"general";"via3",#N/A,TRUE,"general"}</definedName>
    <definedName name="ertgyhik" localSheetId="1" hidden="1">{"TAB1",#N/A,TRUE,"GENERAL";"TAB2",#N/A,TRUE,"GENERAL";"TAB3",#N/A,TRUE,"GENERAL";"TAB4",#N/A,TRUE,"GENERAL";"TAB5",#N/A,TRUE,"GENERAL"}</definedName>
    <definedName name="ertgyhik" localSheetId="9" hidden="1">{"TAB1",#N/A,TRUE,"GENERAL";"TAB2",#N/A,TRUE,"GENERAL";"TAB3",#N/A,TRUE,"GENERAL";"TAB4",#N/A,TRUE,"GENERAL";"TAB5",#N/A,TRUE,"GENERAL"}</definedName>
    <definedName name="ertgyhik" localSheetId="16" hidden="1">{"TAB1",#N/A,TRUE,"GENERAL";"TAB2",#N/A,TRUE,"GENERAL";"TAB3",#N/A,TRUE,"GENERAL";"TAB4",#N/A,TRUE,"GENERAL";"TAB5",#N/A,TRUE,"GENERAL"}</definedName>
    <definedName name="ertgyhik" localSheetId="19" hidden="1">{"TAB1",#N/A,TRUE,"GENERAL";"TAB2",#N/A,TRUE,"GENERAL";"TAB3",#N/A,TRUE,"GENERAL";"TAB4",#N/A,TRUE,"GENERAL";"TAB5",#N/A,TRUE,"GENERAL"}</definedName>
    <definedName name="ertgyhik" hidden="1">{"TAB1",#N/A,TRUE,"GENERAL";"TAB2",#N/A,TRUE,"GENERAL";"TAB3",#N/A,TRUE,"GENERAL";"TAB4",#N/A,TRUE,"GENERAL";"TAB5",#N/A,TRUE,"GENERAL"}</definedName>
    <definedName name="ertreb" localSheetId="1" hidden="1">{"via1",#N/A,TRUE,"general";"via2",#N/A,TRUE,"general";"via3",#N/A,TRUE,"general"}</definedName>
    <definedName name="ertreb" localSheetId="9" hidden="1">{"via1",#N/A,TRUE,"general";"via2",#N/A,TRUE,"general";"via3",#N/A,TRUE,"general"}</definedName>
    <definedName name="ertreb" localSheetId="16" hidden="1">{"via1",#N/A,TRUE,"general";"via2",#N/A,TRUE,"general";"via3",#N/A,TRUE,"general"}</definedName>
    <definedName name="ertreb" localSheetId="19" hidden="1">{"via1",#N/A,TRUE,"general";"via2",#N/A,TRUE,"general";"via3",#N/A,TRUE,"general"}</definedName>
    <definedName name="ertreb" hidden="1">{"via1",#N/A,TRUE,"general";"via2",#N/A,TRUE,"general";"via3",#N/A,TRUE,"general"}</definedName>
    <definedName name="ertret" localSheetId="1" hidden="1">{"TAB1",#N/A,TRUE,"GENERAL";"TAB2",#N/A,TRUE,"GENERAL";"TAB3",#N/A,TRUE,"GENERAL";"TAB4",#N/A,TRUE,"GENERAL";"TAB5",#N/A,TRUE,"GENERAL"}</definedName>
    <definedName name="ertret" localSheetId="9" hidden="1">{"TAB1",#N/A,TRUE,"GENERAL";"TAB2",#N/A,TRUE,"GENERAL";"TAB3",#N/A,TRUE,"GENERAL";"TAB4",#N/A,TRUE,"GENERAL";"TAB5",#N/A,TRUE,"GENERAL"}</definedName>
    <definedName name="ertret" localSheetId="16" hidden="1">{"TAB1",#N/A,TRUE,"GENERAL";"TAB2",#N/A,TRUE,"GENERAL";"TAB3",#N/A,TRUE,"GENERAL";"TAB4",#N/A,TRUE,"GENERAL";"TAB5",#N/A,TRUE,"GENERAL"}</definedName>
    <definedName name="ertret" localSheetId="19" hidden="1">{"TAB1",#N/A,TRUE,"GENERAL";"TAB2",#N/A,TRUE,"GENERAL";"TAB3",#N/A,TRUE,"GENERAL";"TAB4",#N/A,TRUE,"GENERAL";"TAB5",#N/A,TRUE,"GENERAL"}</definedName>
    <definedName name="ertret" hidden="1">{"TAB1",#N/A,TRUE,"GENERAL";"TAB2",#N/A,TRUE,"GENERAL";"TAB3",#N/A,TRUE,"GENERAL";"TAB4",#N/A,TRUE,"GENERAL";"TAB5",#N/A,TRUE,"GENERAL"}</definedName>
    <definedName name="erttret" localSheetId="1" hidden="1">{"via1",#N/A,TRUE,"general";"via2",#N/A,TRUE,"general";"via3",#N/A,TRUE,"general"}</definedName>
    <definedName name="erttret" localSheetId="9" hidden="1">{"via1",#N/A,TRUE,"general";"via2",#N/A,TRUE,"general";"via3",#N/A,TRUE,"general"}</definedName>
    <definedName name="erttret" localSheetId="16" hidden="1">{"via1",#N/A,TRUE,"general";"via2",#N/A,TRUE,"general";"via3",#N/A,TRUE,"general"}</definedName>
    <definedName name="erttret" localSheetId="19" hidden="1">{"via1",#N/A,TRUE,"general";"via2",#N/A,TRUE,"general";"via3",#N/A,TRUE,"general"}</definedName>
    <definedName name="erttret" hidden="1">{"via1",#N/A,TRUE,"general";"via2",#N/A,TRUE,"general";"via3",#N/A,TRUE,"general"}</definedName>
    <definedName name="ertuiy" localSheetId="1" hidden="1">{"via1",#N/A,TRUE,"general";"via2",#N/A,TRUE,"general";"via3",#N/A,TRUE,"general"}</definedName>
    <definedName name="ertuiy" localSheetId="9" hidden="1">{"via1",#N/A,TRUE,"general";"via2",#N/A,TRUE,"general";"via3",#N/A,TRUE,"general"}</definedName>
    <definedName name="ertuiy" localSheetId="16" hidden="1">{"via1",#N/A,TRUE,"general";"via2",#N/A,TRUE,"general";"via3",#N/A,TRUE,"general"}</definedName>
    <definedName name="ertuiy" localSheetId="19" hidden="1">{"via1",#N/A,TRUE,"general";"via2",#N/A,TRUE,"general";"via3",#N/A,TRUE,"general"}</definedName>
    <definedName name="ertuiy" hidden="1">{"via1",#N/A,TRUE,"general";"via2",#N/A,TRUE,"general";"via3",#N/A,TRUE,"general"}</definedName>
    <definedName name="ertwert" localSheetId="1" hidden="1">{"TAB1",#N/A,TRUE,"GENERAL";"TAB2",#N/A,TRUE,"GENERAL";"TAB3",#N/A,TRUE,"GENERAL";"TAB4",#N/A,TRUE,"GENERAL";"TAB5",#N/A,TRUE,"GENERAL"}</definedName>
    <definedName name="ertwert" localSheetId="9" hidden="1">{"TAB1",#N/A,TRUE,"GENERAL";"TAB2",#N/A,TRUE,"GENERAL";"TAB3",#N/A,TRUE,"GENERAL";"TAB4",#N/A,TRUE,"GENERAL";"TAB5",#N/A,TRUE,"GENERAL"}</definedName>
    <definedName name="ertwert" localSheetId="16" hidden="1">{"TAB1",#N/A,TRUE,"GENERAL";"TAB2",#N/A,TRUE,"GENERAL";"TAB3",#N/A,TRUE,"GENERAL";"TAB4",#N/A,TRUE,"GENERAL";"TAB5",#N/A,TRUE,"GENERAL"}</definedName>
    <definedName name="ertwert" localSheetId="19" hidden="1">{"TAB1",#N/A,TRUE,"GENERAL";"TAB2",#N/A,TRUE,"GENERAL";"TAB3",#N/A,TRUE,"GENERAL";"TAB4",#N/A,TRUE,"GENERAL";"TAB5",#N/A,TRUE,"GENERAL"}</definedName>
    <definedName name="ertwert" hidden="1">{"TAB1",#N/A,TRUE,"GENERAL";"TAB2",#N/A,TRUE,"GENERAL";"TAB3",#N/A,TRUE,"GENERAL";"TAB4",#N/A,TRUE,"GENERAL";"TAB5",#N/A,TRUE,"GENERAL"}</definedName>
    <definedName name="eru" localSheetId="1" hidden="1">{"TAB1",#N/A,TRUE,"GENERAL";"TAB2",#N/A,TRUE,"GENERAL";"TAB3",#N/A,TRUE,"GENERAL";"TAB4",#N/A,TRUE,"GENERAL";"TAB5",#N/A,TRUE,"GENERAL"}</definedName>
    <definedName name="eru" localSheetId="9" hidden="1">{"TAB1",#N/A,TRUE,"GENERAL";"TAB2",#N/A,TRUE,"GENERAL";"TAB3",#N/A,TRUE,"GENERAL";"TAB4",#N/A,TRUE,"GENERAL";"TAB5",#N/A,TRUE,"GENERAL"}</definedName>
    <definedName name="eru" localSheetId="16" hidden="1">{"TAB1",#N/A,TRUE,"GENERAL";"TAB2",#N/A,TRUE,"GENERAL";"TAB3",#N/A,TRUE,"GENERAL";"TAB4",#N/A,TRUE,"GENERAL";"TAB5",#N/A,TRUE,"GENERAL"}</definedName>
    <definedName name="eru" localSheetId="19" hidden="1">{"TAB1",#N/A,TRUE,"GENERAL";"TAB2",#N/A,TRUE,"GENERAL";"TAB3",#N/A,TRUE,"GENERAL";"TAB4",#N/A,TRUE,"GENERAL";"TAB5",#N/A,TRUE,"GENERAL"}</definedName>
    <definedName name="eru" hidden="1">{"TAB1",#N/A,TRUE,"GENERAL";"TAB2",#N/A,TRUE,"GENERAL";"TAB3",#N/A,TRUE,"GENERAL";"TAB4",#N/A,TRUE,"GENERAL";"TAB5",#N/A,TRUE,"GENERAL"}</definedName>
    <definedName name="ERV" localSheetId="1" hidden="1">{"via1",#N/A,TRUE,"general";"via2",#N/A,TRUE,"general";"via3",#N/A,TRUE,"general"}</definedName>
    <definedName name="ERV" localSheetId="9" hidden="1">{"via1",#N/A,TRUE,"general";"via2",#N/A,TRUE,"general";"via3",#N/A,TRUE,"general"}</definedName>
    <definedName name="ERV" localSheetId="16" hidden="1">{"via1",#N/A,TRUE,"general";"via2",#N/A,TRUE,"general";"via3",#N/A,TRUE,"general"}</definedName>
    <definedName name="ERV" localSheetId="19" hidden="1">{"via1",#N/A,TRUE,"general";"via2",#N/A,TRUE,"general";"via3",#N/A,TRUE,"general"}</definedName>
    <definedName name="ERV" hidden="1">{"via1",#N/A,TRUE,"general";"via2",#N/A,TRUE,"general";"via3",#N/A,TRUE,"general"}</definedName>
    <definedName name="erware" localSheetId="1" hidden="1">{"via1",#N/A,TRUE,"general";"via2",#N/A,TRUE,"general";"via3",#N/A,TRUE,"general"}</definedName>
    <definedName name="erware" localSheetId="9" hidden="1">{"via1",#N/A,TRUE,"general";"via2",#N/A,TRUE,"general";"via3",#N/A,TRUE,"general"}</definedName>
    <definedName name="erware" localSheetId="16" hidden="1">{"via1",#N/A,TRUE,"general";"via2",#N/A,TRUE,"general";"via3",#N/A,TRUE,"general"}</definedName>
    <definedName name="erware" localSheetId="19" hidden="1">{"via1",#N/A,TRUE,"general";"via2",#N/A,TRUE,"general";"via3",#N/A,TRUE,"general"}</definedName>
    <definedName name="erware" hidden="1">{"via1",#N/A,TRUE,"general";"via2",#N/A,TRUE,"general";"via3",#N/A,TRUE,"general"}</definedName>
    <definedName name="ERWER" localSheetId="1" hidden="1">{"via1",#N/A,TRUE,"general";"via2",#N/A,TRUE,"general";"via3",#N/A,TRUE,"general"}</definedName>
    <definedName name="ERWER" localSheetId="9" hidden="1">{"via1",#N/A,TRUE,"general";"via2",#N/A,TRUE,"general";"via3",#N/A,TRUE,"general"}</definedName>
    <definedName name="ERWER" localSheetId="16" hidden="1">{"via1",#N/A,TRUE,"general";"via2",#N/A,TRUE,"general";"via3",#N/A,TRUE,"general"}</definedName>
    <definedName name="ERWER" localSheetId="19" hidden="1">{"via1",#N/A,TRUE,"general";"via2",#N/A,TRUE,"general";"via3",#N/A,TRUE,"general"}</definedName>
    <definedName name="ERWER" hidden="1">{"via1",#N/A,TRUE,"general";"via2",#N/A,TRUE,"general";"via3",#N/A,TRUE,"general"}</definedName>
    <definedName name="erwertd" localSheetId="1" hidden="1">{"TAB1",#N/A,TRUE,"GENERAL";"TAB2",#N/A,TRUE,"GENERAL";"TAB3",#N/A,TRUE,"GENERAL";"TAB4",#N/A,TRUE,"GENERAL";"TAB5",#N/A,TRUE,"GENERAL"}</definedName>
    <definedName name="erwertd" localSheetId="9" hidden="1">{"TAB1",#N/A,TRUE,"GENERAL";"TAB2",#N/A,TRUE,"GENERAL";"TAB3",#N/A,TRUE,"GENERAL";"TAB4",#N/A,TRUE,"GENERAL";"TAB5",#N/A,TRUE,"GENERAL"}</definedName>
    <definedName name="erwertd" localSheetId="16" hidden="1">{"TAB1",#N/A,TRUE,"GENERAL";"TAB2",#N/A,TRUE,"GENERAL";"TAB3",#N/A,TRUE,"GENERAL";"TAB4",#N/A,TRUE,"GENERAL";"TAB5",#N/A,TRUE,"GENERAL"}</definedName>
    <definedName name="erwertd" localSheetId="19" hidden="1">{"TAB1",#N/A,TRUE,"GENERAL";"TAB2",#N/A,TRUE,"GENERAL";"TAB3",#N/A,TRUE,"GENERAL";"TAB4",#N/A,TRUE,"GENERAL";"TAB5",#N/A,TRUE,"GENERAL"}</definedName>
    <definedName name="erwertd" hidden="1">{"TAB1",#N/A,TRUE,"GENERAL";"TAB2",#N/A,TRUE,"GENERAL";"TAB3",#N/A,TRUE,"GENERAL";"TAB4",#N/A,TRUE,"GENERAL";"TAB5",#N/A,TRUE,"GENERAL"}</definedName>
    <definedName name="erwr" localSheetId="1" hidden="1">{"TAB1",#N/A,TRUE,"GENERAL";"TAB2",#N/A,TRUE,"GENERAL";"TAB3",#N/A,TRUE,"GENERAL";"TAB4",#N/A,TRUE,"GENERAL";"TAB5",#N/A,TRUE,"GENERAL"}</definedName>
    <definedName name="erwr" localSheetId="9" hidden="1">{"TAB1",#N/A,TRUE,"GENERAL";"TAB2",#N/A,TRUE,"GENERAL";"TAB3",#N/A,TRUE,"GENERAL";"TAB4",#N/A,TRUE,"GENERAL";"TAB5",#N/A,TRUE,"GENERAL"}</definedName>
    <definedName name="erwr" localSheetId="16" hidden="1">{"TAB1",#N/A,TRUE,"GENERAL";"TAB2",#N/A,TRUE,"GENERAL";"TAB3",#N/A,TRUE,"GENERAL";"TAB4",#N/A,TRUE,"GENERAL";"TAB5",#N/A,TRUE,"GENERAL"}</definedName>
    <definedName name="erwr" localSheetId="19" hidden="1">{"TAB1",#N/A,TRUE,"GENERAL";"TAB2",#N/A,TRUE,"GENERAL";"TAB3",#N/A,TRUE,"GENERAL";"TAB4",#N/A,TRUE,"GENERAL";"TAB5",#N/A,TRUE,"GENERAL"}</definedName>
    <definedName name="erwr" hidden="1">{"TAB1",#N/A,TRUE,"GENERAL";"TAB2",#N/A,TRUE,"GENERAL";"TAB3",#N/A,TRUE,"GENERAL";"TAB4",#N/A,TRUE,"GENERAL";"TAB5",#N/A,TRUE,"GENERAL"}</definedName>
    <definedName name="ERWRL" localSheetId="1" hidden="1">{"via1",#N/A,TRUE,"general";"via2",#N/A,TRUE,"general";"via3",#N/A,TRUE,"general"}</definedName>
    <definedName name="ERWRL" localSheetId="9" hidden="1">{"via1",#N/A,TRUE,"general";"via2",#N/A,TRUE,"general";"via3",#N/A,TRUE,"general"}</definedName>
    <definedName name="ERWRL" localSheetId="16" hidden="1">{"via1",#N/A,TRUE,"general";"via2",#N/A,TRUE,"general";"via3",#N/A,TRUE,"general"}</definedName>
    <definedName name="ERWRL" localSheetId="19" hidden="1">{"via1",#N/A,TRUE,"general";"via2",#N/A,TRUE,"general";"via3",#N/A,TRUE,"general"}</definedName>
    <definedName name="ERWRL" hidden="1">{"via1",#N/A,TRUE,"general";"via2",#N/A,TRUE,"general";"via3",#N/A,TRUE,"general"}</definedName>
    <definedName name="ery" localSheetId="1" hidden="1">{"via1",#N/A,TRUE,"general";"via2",#N/A,TRUE,"general";"via3",#N/A,TRUE,"general"}</definedName>
    <definedName name="ery" localSheetId="9" hidden="1">{"via1",#N/A,TRUE,"general";"via2",#N/A,TRUE,"general";"via3",#N/A,TRUE,"general"}</definedName>
    <definedName name="ery" localSheetId="16" hidden="1">{"via1",#N/A,TRUE,"general";"via2",#N/A,TRUE,"general";"via3",#N/A,TRUE,"general"}</definedName>
    <definedName name="ery" localSheetId="19" hidden="1">{"via1",#N/A,TRUE,"general";"via2",#N/A,TRUE,"general";"via3",#N/A,TRUE,"general"}</definedName>
    <definedName name="ery" hidden="1">{"via1",#N/A,TRUE,"general";"via2",#N/A,TRUE,"general";"via3",#N/A,TRUE,"general"}</definedName>
    <definedName name="eryhd" localSheetId="1" hidden="1">{"via1",#N/A,TRUE,"general";"via2",#N/A,TRUE,"general";"via3",#N/A,TRUE,"general"}</definedName>
    <definedName name="eryhd" localSheetId="9" hidden="1">{"via1",#N/A,TRUE,"general";"via2",#N/A,TRUE,"general";"via3",#N/A,TRUE,"general"}</definedName>
    <definedName name="eryhd" localSheetId="16" hidden="1">{"via1",#N/A,TRUE,"general";"via2",#N/A,TRUE,"general";"via3",#N/A,TRUE,"general"}</definedName>
    <definedName name="eryhd" localSheetId="19" hidden="1">{"via1",#N/A,TRUE,"general";"via2",#N/A,TRUE,"general";"via3",#N/A,TRUE,"general"}</definedName>
    <definedName name="eryhd" hidden="1">{"via1",#N/A,TRUE,"general";"via2",#N/A,TRUE,"general";"via3",#N/A,TRUE,"general"}</definedName>
    <definedName name="eryhdf" localSheetId="1" hidden="1">{"TAB1",#N/A,TRUE,"GENERAL";"TAB2",#N/A,TRUE,"GENERAL";"TAB3",#N/A,TRUE,"GENERAL";"TAB4",#N/A,TRUE,"GENERAL";"TAB5",#N/A,TRUE,"GENERAL"}</definedName>
    <definedName name="eryhdf" localSheetId="9" hidden="1">{"TAB1",#N/A,TRUE,"GENERAL";"TAB2",#N/A,TRUE,"GENERAL";"TAB3",#N/A,TRUE,"GENERAL";"TAB4",#N/A,TRUE,"GENERAL";"TAB5",#N/A,TRUE,"GENERAL"}</definedName>
    <definedName name="eryhdf" localSheetId="16" hidden="1">{"TAB1",#N/A,TRUE,"GENERAL";"TAB2",#N/A,TRUE,"GENERAL";"TAB3",#N/A,TRUE,"GENERAL";"TAB4",#N/A,TRUE,"GENERAL";"TAB5",#N/A,TRUE,"GENERAL"}</definedName>
    <definedName name="eryhdf" localSheetId="19" hidden="1">{"TAB1",#N/A,TRUE,"GENERAL";"TAB2",#N/A,TRUE,"GENERAL";"TAB3",#N/A,TRUE,"GENERAL";"TAB4",#N/A,TRUE,"GENERAL";"TAB5",#N/A,TRUE,"GENERAL"}</definedName>
    <definedName name="eryhdf" hidden="1">{"TAB1",#N/A,TRUE,"GENERAL";"TAB2",#N/A,TRUE,"GENERAL";"TAB3",#N/A,TRUE,"GENERAL";"TAB4",#N/A,TRUE,"GENERAL";"TAB5",#N/A,TRUE,"GENERAL"}</definedName>
    <definedName name="eryhk" localSheetId="1" hidden="1">{"TAB1",#N/A,TRUE,"GENERAL";"TAB2",#N/A,TRUE,"GENERAL";"TAB3",#N/A,TRUE,"GENERAL";"TAB4",#N/A,TRUE,"GENERAL";"TAB5",#N/A,TRUE,"GENERAL"}</definedName>
    <definedName name="eryhk" localSheetId="9" hidden="1">{"TAB1",#N/A,TRUE,"GENERAL";"TAB2",#N/A,TRUE,"GENERAL";"TAB3",#N/A,TRUE,"GENERAL";"TAB4",#N/A,TRUE,"GENERAL";"TAB5",#N/A,TRUE,"GENERAL"}</definedName>
    <definedName name="eryhk" localSheetId="16" hidden="1">{"TAB1",#N/A,TRUE,"GENERAL";"TAB2",#N/A,TRUE,"GENERAL";"TAB3",#N/A,TRUE,"GENERAL";"TAB4",#N/A,TRUE,"GENERAL";"TAB5",#N/A,TRUE,"GENERAL"}</definedName>
    <definedName name="eryhk" localSheetId="19" hidden="1">{"TAB1",#N/A,TRUE,"GENERAL";"TAB2",#N/A,TRUE,"GENERAL";"TAB3",#N/A,TRUE,"GENERAL";"TAB4",#N/A,TRUE,"GENERAL";"TAB5",#N/A,TRUE,"GENERAL"}</definedName>
    <definedName name="eryhk" hidden="1">{"TAB1",#N/A,TRUE,"GENERAL";"TAB2",#N/A,TRUE,"GENERAL";"TAB3",#N/A,TRUE,"GENERAL";"TAB4",#N/A,TRUE,"GENERAL";"TAB5",#N/A,TRUE,"GENERAL"}</definedName>
    <definedName name="eryhrf" localSheetId="1" hidden="1">{"TAB1",#N/A,TRUE,"GENERAL";"TAB2",#N/A,TRUE,"GENERAL";"TAB3",#N/A,TRUE,"GENERAL";"TAB4",#N/A,TRUE,"GENERAL";"TAB5",#N/A,TRUE,"GENERAL"}</definedName>
    <definedName name="eryhrf" localSheetId="9" hidden="1">{"TAB1",#N/A,TRUE,"GENERAL";"TAB2",#N/A,TRUE,"GENERAL";"TAB3",#N/A,TRUE,"GENERAL";"TAB4",#N/A,TRUE,"GENERAL";"TAB5",#N/A,TRUE,"GENERAL"}</definedName>
    <definedName name="eryhrf" localSheetId="16" hidden="1">{"TAB1",#N/A,TRUE,"GENERAL";"TAB2",#N/A,TRUE,"GENERAL";"TAB3",#N/A,TRUE,"GENERAL";"TAB4",#N/A,TRUE,"GENERAL";"TAB5",#N/A,TRUE,"GENERAL"}</definedName>
    <definedName name="eryhrf" localSheetId="19" hidden="1">{"TAB1",#N/A,TRUE,"GENERAL";"TAB2",#N/A,TRUE,"GENERAL";"TAB3",#N/A,TRUE,"GENERAL";"TAB4",#N/A,TRUE,"GENERAL";"TAB5",#N/A,TRUE,"GENERAL"}</definedName>
    <definedName name="eryhrf" hidden="1">{"TAB1",#N/A,TRUE,"GENERAL";"TAB2",#N/A,TRUE,"GENERAL";"TAB3",#N/A,TRUE,"GENERAL";"TAB4",#N/A,TRUE,"GENERAL";"TAB5",#N/A,TRUE,"GENERAL"}</definedName>
    <definedName name="eryre" localSheetId="1" hidden="1">{"TAB1",#N/A,TRUE,"GENERAL";"TAB2",#N/A,TRUE,"GENERAL";"TAB3",#N/A,TRUE,"GENERAL";"TAB4",#N/A,TRUE,"GENERAL";"TAB5",#N/A,TRUE,"GENERAL"}</definedName>
    <definedName name="eryre" localSheetId="9" hidden="1">{"TAB1",#N/A,TRUE,"GENERAL";"TAB2",#N/A,TRUE,"GENERAL";"TAB3",#N/A,TRUE,"GENERAL";"TAB4",#N/A,TRUE,"GENERAL";"TAB5",#N/A,TRUE,"GENERAL"}</definedName>
    <definedName name="eryre" localSheetId="16" hidden="1">{"TAB1",#N/A,TRUE,"GENERAL";"TAB2",#N/A,TRUE,"GENERAL";"TAB3",#N/A,TRUE,"GENERAL";"TAB4",#N/A,TRUE,"GENERAL";"TAB5",#N/A,TRUE,"GENERAL"}</definedName>
    <definedName name="eryre" localSheetId="19" hidden="1">{"TAB1",#N/A,TRUE,"GENERAL";"TAB2",#N/A,TRUE,"GENERAL";"TAB3",#N/A,TRUE,"GENERAL";"TAB4",#N/A,TRUE,"GENERAL";"TAB5",#N/A,TRUE,"GENERAL"}</definedName>
    <definedName name="eryre" hidden="1">{"TAB1",#N/A,TRUE,"GENERAL";"TAB2",#N/A,TRUE,"GENERAL";"TAB3",#N/A,TRUE,"GENERAL";"TAB4",#N/A,TRUE,"GENERAL";"TAB5",#N/A,TRUE,"GENERAL"}</definedName>
    <definedName name="erytd" localSheetId="1" hidden="1">{"via1",#N/A,TRUE,"general";"via2",#N/A,TRUE,"general";"via3",#N/A,TRUE,"general"}</definedName>
    <definedName name="erytd" localSheetId="9" hidden="1">{"via1",#N/A,TRUE,"general";"via2",#N/A,TRUE,"general";"via3",#N/A,TRUE,"general"}</definedName>
    <definedName name="erytd" localSheetId="16" hidden="1">{"via1",#N/A,TRUE,"general";"via2",#N/A,TRUE,"general";"via3",#N/A,TRUE,"general"}</definedName>
    <definedName name="erytd" localSheetId="19" hidden="1">{"via1",#N/A,TRUE,"general";"via2",#N/A,TRUE,"general";"via3",#N/A,TRUE,"general"}</definedName>
    <definedName name="erytd" hidden="1">{"via1",#N/A,TRUE,"general";"via2",#N/A,TRUE,"general";"via3",#N/A,TRUE,"general"}</definedName>
    <definedName name="eryty" localSheetId="1" hidden="1">{"via1",#N/A,TRUE,"general";"via2",#N/A,TRUE,"general";"via3",#N/A,TRUE,"general"}</definedName>
    <definedName name="eryty" localSheetId="9" hidden="1">{"via1",#N/A,TRUE,"general";"via2",#N/A,TRUE,"general";"via3",#N/A,TRUE,"general"}</definedName>
    <definedName name="eryty" localSheetId="16" hidden="1">{"via1",#N/A,TRUE,"general";"via2",#N/A,TRUE,"general";"via3",#N/A,TRUE,"general"}</definedName>
    <definedName name="eryty" localSheetId="19" hidden="1">{"via1",#N/A,TRUE,"general";"via2",#N/A,TRUE,"general";"via3",#N/A,TRUE,"general"}</definedName>
    <definedName name="eryty" hidden="1">{"via1",#N/A,TRUE,"general";"via2",#N/A,TRUE,"general";"via3",#N/A,TRUE,"general"}</definedName>
    <definedName name="eryy" localSheetId="1" hidden="1">{"via1",#N/A,TRUE,"general";"via2",#N/A,TRUE,"general";"via3",#N/A,TRUE,"general"}</definedName>
    <definedName name="eryy" localSheetId="9" hidden="1">{"via1",#N/A,TRUE,"general";"via2",#N/A,TRUE,"general";"via3",#N/A,TRUE,"general"}</definedName>
    <definedName name="eryy" localSheetId="16" hidden="1">{"via1",#N/A,TRUE,"general";"via2",#N/A,TRUE,"general";"via3",#N/A,TRUE,"general"}</definedName>
    <definedName name="eryy" localSheetId="19" hidden="1">{"via1",#N/A,TRUE,"general";"via2",#N/A,TRUE,"general";"via3",#N/A,TRUE,"general"}</definedName>
    <definedName name="eryy" hidden="1">{"via1",#N/A,TRUE,"general";"via2",#N/A,TRUE,"general";"via3",#N/A,TRUE,"general"}</definedName>
    <definedName name="ES" localSheetId="1">[1]!ERR</definedName>
    <definedName name="ES" localSheetId="16">[1]!ERR</definedName>
    <definedName name="ES" localSheetId="19">[1]!ERR</definedName>
    <definedName name="ES">[1]!ERR</definedName>
    <definedName name="ESCENARIO" hidden="1">{#N/A,#N/A,FALSE,"GRAFICO";#N/A,#N/A,FALSE,"CAJA (2)";#N/A,#N/A,FALSE,"TERCEROS-PROMEDIO";#N/A,#N/A,FALSE,"CAJA";#N/A,#N/A,FALSE,"INGRESOS1995-2003";#N/A,#N/A,FALSE,"GASTOS1995-2003"}</definedName>
    <definedName name="ESP_PAV" localSheetId="1">#REF!</definedName>
    <definedName name="ESP_PAV" localSheetId="16">#REF!</definedName>
    <definedName name="ESP_PAV">#REF!</definedName>
    <definedName name="Esp_PC">[13]D_AWG!$S$36</definedName>
    <definedName name="ESP_PUB_VAR_CARP_MET_ITEM" localSheetId="1">[31]Presupuesto!#REF!,[31]Presupuesto!#REF!</definedName>
    <definedName name="ESP_PUB_VAR_CARP_MET_ITEM" localSheetId="9">[31]Presupuesto!#REF!,[31]Presupuesto!#REF!</definedName>
    <definedName name="ESP_PUB_VAR_CARP_MET_ITEM" localSheetId="16">[31]Presupuesto!#REF!,[31]Presupuesto!#REF!</definedName>
    <definedName name="ESP_PUB_VAR_CARP_MET_ITEM">[31]Presupuesto!#REF!,[31]Presupuesto!#REF!</definedName>
    <definedName name="ESP_PUB_VIAS_YPARQ_ITEM" localSheetId="1">[31]Presupuesto!#REF!</definedName>
    <definedName name="ESP_PUB_VIAS_YPARQ_ITEM" localSheetId="16">[31]Presupuesto!#REF!</definedName>
    <definedName name="ESP_PUB_VIAS_YPARQ_ITEM">[31]Presupuesto!#REF!</definedName>
    <definedName name="ESP_PUBLICO_EXT_ITEM" localSheetId="1">[31]Presupuesto!#REF!,[31]Presupuesto!#REF!,[31]Presupuesto!#REF!,[31]Presupuesto!#REF!,[31]Presupuesto!#REF!,[31]Presupuesto!#REF!,[31]Presupuesto!#REF!,[31]Presupuesto!#REF!,[31]Presupuesto!#REF!,[31]Presupuesto!#REF!,[31]Presupuesto!#REF!,[31]Presupuesto!#REF!,[31]Presupuesto!#REF!</definedName>
    <definedName name="ESP_PUBLICO_EXT_ITEM" localSheetId="9">[31]Presupuesto!#REF!,[31]Presupuesto!#REF!,[31]Presupuesto!#REF!,[31]Presupuesto!#REF!,[31]Presupuesto!#REF!,[31]Presupuesto!#REF!,[31]Presupuesto!#REF!,[31]Presupuesto!#REF!,[31]Presupuesto!#REF!,[31]Presupuesto!#REF!,[31]Presupuesto!#REF!,[31]Presupuesto!#REF!,[31]Presupuesto!#REF!</definedName>
    <definedName name="ESP_PUBLICO_EXT_ITEM" localSheetId="16">[31]Presupuesto!#REF!,[31]Presupuesto!#REF!,[31]Presupuesto!#REF!,[31]Presupuesto!#REF!,[31]Presupuesto!#REF!,[31]Presupuesto!#REF!,[31]Presupuesto!#REF!,[31]Presupuesto!#REF!,[31]Presupuesto!#REF!,[31]Presupuesto!#REF!,[31]Presupuesto!#REF!,[31]Presupuesto!#REF!,[31]Presupuesto!#REF!</definedName>
    <definedName name="ESP_PUBLICO_EXT_ITEM">[31]Presupuesto!#REF!,[31]Presupuesto!#REF!,[31]Presupuesto!#REF!,[31]Presupuesto!#REF!,[31]Presupuesto!#REF!,[31]Presupuesto!#REF!,[31]Presupuesto!#REF!,[31]Presupuesto!#REF!,[31]Presupuesto!#REF!,[31]Presupuesto!#REF!,[31]Presupuesto!#REF!,[31]Presupuesto!#REF!,[31]Presupuesto!#REF!</definedName>
    <definedName name="ESP1S" localSheetId="16">#REF!</definedName>
    <definedName name="ESP1S">#REF!</definedName>
    <definedName name="ESP2S" localSheetId="16">#REF!</definedName>
    <definedName name="ESP2S">#REF!</definedName>
    <definedName name="ESPEJOS_ITEM" localSheetId="1">[31]Presupuesto!#REF!</definedName>
    <definedName name="ESPEJOS_ITEM" localSheetId="16">[31]Presupuesto!#REF!</definedName>
    <definedName name="ESPEJOS_ITEM">[31]Presupuesto!#REF!</definedName>
    <definedName name="ESPESOR" localSheetId="16">#REF!</definedName>
    <definedName name="ESPESOR">#REF!</definedName>
    <definedName name="ESPR" localSheetId="16">#REF!</definedName>
    <definedName name="ESPR">#REF!</definedName>
    <definedName name="ESTADO_ACUEDUCTO" localSheetId="16">#REF!</definedName>
    <definedName name="ESTADO_ACUEDUCTO">#REF!</definedName>
    <definedName name="ESTADO_ALCANTARILLADO">#REF!</definedName>
    <definedName name="este" hidden="1">{"PYGT",#N/A,FALSE,"PYG";"ACTIT",#N/A,FALSE,"BCE_GRAL-ACTIVO";"PASIT",#N/A,FALSE,"BCE_GRAL-PASIVO-PATRIM";"CAJAT",#N/A,FALSE,"CAJA"}</definedName>
    <definedName name="ESTEWW" hidden="1">{#N/A,#N/A,FALSE,"GRAFICO";#N/A,#N/A,FALSE,"CAJA (2)";#N/A,#N/A,FALSE,"TERCEROS-PROMEDIO";#N/A,#N/A,FALSE,"CAJA";#N/A,#N/A,FALSE,"INGRESOS1995-2003";#N/A,#N/A,FALSE,"GASTOS1995-2003"}</definedName>
    <definedName name="estre" hidden="1">{#N/A,#N/A,FALSE,"GRAFICO";#N/A,#N/A,FALSE,"CAJA (2)";#N/A,#N/A,FALSE,"TERCEROS-PROMEDIO";#N/A,#N/A,FALSE,"CAJA";#N/A,#N/A,FALSE,"INGRESOS1995-2003";#N/A,#N/A,FALSE,"GASTOS1995-2003"}</definedName>
    <definedName name="ESTRUCT_ITEM" localSheetId="1">[31]Presupuesto!#REF!</definedName>
    <definedName name="ESTRUCT_ITEM" localSheetId="16">[31]Presupuesto!#REF!</definedName>
    <definedName name="ESTRUCT_ITEM">[31]Presupuesto!#REF!</definedName>
    <definedName name="ESTRUCTURA" localSheetId="1">[31]Presupuesto!#REF!,[31]Presupuesto!#REF!,[31]Presupuesto!#REF!,[31]Presupuesto!#REF!,[31]Presupuesto!#REF!,[31]Presupuesto!#REF!,[31]Presupuesto!#REF!,[31]Presupuesto!#REF!,[31]Presupuesto!#REF!,[31]Presupuesto!#REF!,[31]Presupuesto!#REF!,[31]Presupuesto!#REF!,[31]Presupuesto!#REF!</definedName>
    <definedName name="ESTRUCTURA" localSheetId="9">[31]Presupuesto!#REF!,[31]Presupuesto!#REF!,[31]Presupuesto!#REF!,[31]Presupuesto!#REF!,[31]Presupuesto!#REF!,[31]Presupuesto!#REF!,[31]Presupuesto!#REF!,[31]Presupuesto!#REF!,[31]Presupuesto!#REF!,[31]Presupuesto!#REF!,[31]Presupuesto!#REF!,[31]Presupuesto!#REF!,[31]Presupuesto!#REF!</definedName>
    <definedName name="ESTRUCTURA" localSheetId="16">[31]Presupuesto!#REF!,[31]Presupuesto!#REF!,[31]Presupuesto!#REF!,[31]Presupuesto!#REF!,[31]Presupuesto!#REF!,[31]Presupuesto!#REF!,[31]Presupuesto!#REF!,[31]Presupuesto!#REF!,[31]Presupuesto!#REF!,[31]Presupuesto!#REF!,[31]Presupuesto!#REF!,[31]Presupuesto!#REF!,[31]Presupuesto!#REF!</definedName>
    <definedName name="ESTRUCTURA">[31]Presupuesto!#REF!,[31]Presupuesto!#REF!,[31]Presupuesto!#REF!,[31]Presupuesto!#REF!,[31]Presupuesto!#REF!,[31]Presupuesto!#REF!,[31]Presupuesto!#REF!,[31]Presupuesto!#REF!,[31]Presupuesto!#REF!,[31]Presupuesto!#REF!,[31]Presupuesto!#REF!,[31]Presupuesto!#REF!,[31]Presupuesto!#REF!</definedName>
    <definedName name="ESTRUCTURAL" localSheetId="1">[7]PRESUPUESTO!#REF!</definedName>
    <definedName name="ESTRUCTURAL" localSheetId="16">[7]PRESUPUESTO!#REF!</definedName>
    <definedName name="ESTRUCTURAL">[7]PRESUPUESTO!#REF!</definedName>
    <definedName name="Estuco_gl" localSheetId="1">'[20]LISTADO DE MATERIALES Y EQUIPOS'!$B$64</definedName>
    <definedName name="Estuco_gl" localSheetId="16">'[20]LISTADO DE MATERIALES Y EQUIPOS'!$B$64</definedName>
    <definedName name="Estuco_gl">'[20]LISTADO DE MATERIALES Y EQUIPOS'!$B$64</definedName>
    <definedName name="Eternit__8" localSheetId="1">'[20]LISTADO DE MATERIALES Y EQUIPOS'!$B$56</definedName>
    <definedName name="Eternit__8" localSheetId="16">'[20]LISTADO DE MATERIALES Y EQUIPOS'!$B$56</definedName>
    <definedName name="Eternit__8">'[20]LISTADO DE MATERIALES Y EQUIPOS'!$B$56</definedName>
    <definedName name="etertgg" localSheetId="1" hidden="1">{"via1",#N/A,TRUE,"general";"via2",#N/A,TRUE,"general";"via3",#N/A,TRUE,"general"}</definedName>
    <definedName name="etertgg" localSheetId="9" hidden="1">{"via1",#N/A,TRUE,"general";"via2",#N/A,TRUE,"general";"via3",#N/A,TRUE,"general"}</definedName>
    <definedName name="etertgg" localSheetId="16" hidden="1">{"via1",#N/A,TRUE,"general";"via2",#N/A,TRUE,"general";"via3",#N/A,TRUE,"general"}</definedName>
    <definedName name="etertgg" localSheetId="19" hidden="1">{"via1",#N/A,TRUE,"general";"via2",#N/A,TRUE,"general";"via3",#N/A,TRUE,"general"}</definedName>
    <definedName name="etertgg" hidden="1">{"via1",#N/A,TRUE,"general";"via2",#N/A,TRUE,"general";"via3",#N/A,TRUE,"general"}</definedName>
    <definedName name="etewt" localSheetId="1" hidden="1">{"TAB1",#N/A,TRUE,"GENERAL";"TAB2",#N/A,TRUE,"GENERAL";"TAB3",#N/A,TRUE,"GENERAL";"TAB4",#N/A,TRUE,"GENERAL";"TAB5",#N/A,TRUE,"GENERAL"}</definedName>
    <definedName name="etewt" localSheetId="9" hidden="1">{"TAB1",#N/A,TRUE,"GENERAL";"TAB2",#N/A,TRUE,"GENERAL";"TAB3",#N/A,TRUE,"GENERAL";"TAB4",#N/A,TRUE,"GENERAL";"TAB5",#N/A,TRUE,"GENERAL"}</definedName>
    <definedName name="etewt" localSheetId="16" hidden="1">{"TAB1",#N/A,TRUE,"GENERAL";"TAB2",#N/A,TRUE,"GENERAL";"TAB3",#N/A,TRUE,"GENERAL";"TAB4",#N/A,TRUE,"GENERAL";"TAB5",#N/A,TRUE,"GENERAL"}</definedName>
    <definedName name="etewt" localSheetId="19" hidden="1">{"TAB1",#N/A,TRUE,"GENERAL";"TAB2",#N/A,TRUE,"GENERAL";"TAB3",#N/A,TRUE,"GENERAL";"TAB4",#N/A,TRUE,"GENERAL";"TAB5",#N/A,TRUE,"GENERAL"}</definedName>
    <definedName name="etewt" hidden="1">{"TAB1",#N/A,TRUE,"GENERAL";"TAB2",#N/A,TRUE,"GENERAL";"TAB3",#N/A,TRUE,"GENERAL";"TAB4",#N/A,TRUE,"GENERAL";"TAB5",#N/A,TRUE,"GENERAL"}</definedName>
    <definedName name="etu" localSheetId="1" hidden="1">{"via1",#N/A,TRUE,"general";"via2",#N/A,TRUE,"general";"via3",#N/A,TRUE,"general"}</definedName>
    <definedName name="etu" localSheetId="9" hidden="1">{"via1",#N/A,TRUE,"general";"via2",#N/A,TRUE,"general";"via3",#N/A,TRUE,"general"}</definedName>
    <definedName name="etu" localSheetId="16" hidden="1">{"via1",#N/A,TRUE,"general";"via2",#N/A,TRUE,"general";"via3",#N/A,TRUE,"general"}</definedName>
    <definedName name="etu" localSheetId="19" hidden="1">{"via1",#N/A,TRUE,"general";"via2",#N/A,TRUE,"general";"via3",#N/A,TRUE,"general"}</definedName>
    <definedName name="etu" hidden="1">{"via1",#N/A,TRUE,"general";"via2",#N/A,TRUE,"general";"via3",#N/A,TRUE,"general"}</definedName>
    <definedName name="etueh" localSheetId="1" hidden="1">{"via1",#N/A,TRUE,"general";"via2",#N/A,TRUE,"general";"via3",#N/A,TRUE,"general"}</definedName>
    <definedName name="etueh" localSheetId="9" hidden="1">{"via1",#N/A,TRUE,"general";"via2",#N/A,TRUE,"general";"via3",#N/A,TRUE,"general"}</definedName>
    <definedName name="etueh" localSheetId="16" hidden="1">{"via1",#N/A,TRUE,"general";"via2",#N/A,TRUE,"general";"via3",#N/A,TRUE,"general"}</definedName>
    <definedName name="etueh" localSheetId="19" hidden="1">{"via1",#N/A,TRUE,"general";"via2",#N/A,TRUE,"general";"via3",#N/A,TRUE,"general"}</definedName>
    <definedName name="etueh" hidden="1">{"via1",#N/A,TRUE,"general";"via2",#N/A,TRUE,"general";"via3",#N/A,TRUE,"general"}</definedName>
    <definedName name="etyty" localSheetId="1" hidden="1">{"via1",#N/A,TRUE,"general";"via2",#N/A,TRUE,"general";"via3",#N/A,TRUE,"general"}</definedName>
    <definedName name="etyty" localSheetId="9" hidden="1">{"via1",#N/A,TRUE,"general";"via2",#N/A,TRUE,"general";"via3",#N/A,TRUE,"general"}</definedName>
    <definedName name="etyty" localSheetId="16" hidden="1">{"via1",#N/A,TRUE,"general";"via2",#N/A,TRUE,"general";"via3",#N/A,TRUE,"general"}</definedName>
    <definedName name="etyty" localSheetId="19" hidden="1">{"via1",#N/A,TRUE,"general";"via2",#N/A,TRUE,"general";"via3",#N/A,TRUE,"general"}</definedName>
    <definedName name="etyty" hidden="1">{"via1",#N/A,TRUE,"general";"via2",#N/A,TRUE,"general";"via3",#N/A,TRUE,"general"}</definedName>
    <definedName name="etyu" localSheetId="1" hidden="1">{"TAB1",#N/A,TRUE,"GENERAL";"TAB2",#N/A,TRUE,"GENERAL";"TAB3",#N/A,TRUE,"GENERAL";"TAB4",#N/A,TRUE,"GENERAL";"TAB5",#N/A,TRUE,"GENERAL"}</definedName>
    <definedName name="etyu" localSheetId="9" hidden="1">{"TAB1",#N/A,TRUE,"GENERAL";"TAB2",#N/A,TRUE,"GENERAL";"TAB3",#N/A,TRUE,"GENERAL";"TAB4",#N/A,TRUE,"GENERAL";"TAB5",#N/A,TRUE,"GENERAL"}</definedName>
    <definedName name="etyu" localSheetId="16" hidden="1">{"TAB1",#N/A,TRUE,"GENERAL";"TAB2",#N/A,TRUE,"GENERAL";"TAB3",#N/A,TRUE,"GENERAL";"TAB4",#N/A,TRUE,"GENERAL";"TAB5",#N/A,TRUE,"GENERAL"}</definedName>
    <definedName name="etyu" localSheetId="19" hidden="1">{"TAB1",#N/A,TRUE,"GENERAL";"TAB2",#N/A,TRUE,"GENERAL";"TAB3",#N/A,TRUE,"GENERAL";"TAB4",#N/A,TRUE,"GENERAL";"TAB5",#N/A,TRUE,"GENERAL"}</definedName>
    <definedName name="etyu" hidden="1">{"TAB1",#N/A,TRUE,"GENERAL";"TAB2",#N/A,TRUE,"GENERAL";"TAB3",#N/A,TRUE,"GENERAL";"TAB4",#N/A,TRUE,"GENERAL";"TAB5",#N/A,TRUE,"GENERAL"}</definedName>
    <definedName name="eu" localSheetId="1" hidden="1">{"via1",#N/A,TRUE,"general";"via2",#N/A,TRUE,"general";"via3",#N/A,TRUE,"general"}</definedName>
    <definedName name="eu" localSheetId="9" hidden="1">{"via1",#N/A,TRUE,"general";"via2",#N/A,TRUE,"general";"via3",#N/A,TRUE,"general"}</definedName>
    <definedName name="eu" localSheetId="16" hidden="1">{"via1",#N/A,TRUE,"general";"via2",#N/A,TRUE,"general";"via3",#N/A,TRUE,"general"}</definedName>
    <definedName name="eu" localSheetId="19" hidden="1">{"via1",#N/A,TRUE,"general";"via2",#N/A,TRUE,"general";"via3",#N/A,TRUE,"general"}</definedName>
    <definedName name="eu" hidden="1">{"via1",#N/A,TRUE,"general";"via2",#N/A,TRUE,"general";"via3",#N/A,TRUE,"general"}</definedName>
    <definedName name="eut" localSheetId="1" hidden="1">{"via1",#N/A,TRUE,"general";"via2",#N/A,TRUE,"general";"via3",#N/A,TRUE,"general"}</definedName>
    <definedName name="eut" localSheetId="9" hidden="1">{"via1",#N/A,TRUE,"general";"via2",#N/A,TRUE,"general";"via3",#N/A,TRUE,"general"}</definedName>
    <definedName name="eut" localSheetId="16" hidden="1">{"via1",#N/A,TRUE,"general";"via2",#N/A,TRUE,"general";"via3",#N/A,TRUE,"general"}</definedName>
    <definedName name="eut" localSheetId="19" hidden="1">{"via1",#N/A,TRUE,"general";"via2",#N/A,TRUE,"general";"via3",#N/A,TRUE,"general"}</definedName>
    <definedName name="eut" hidden="1">{"via1",#N/A,TRUE,"general";"via2",#N/A,TRUE,"general";"via3",#N/A,TRUE,"general"}</definedName>
    <definedName name="euyt" localSheetId="1" hidden="1">{"TAB1",#N/A,TRUE,"GENERAL";"TAB2",#N/A,TRUE,"GENERAL";"TAB3",#N/A,TRUE,"GENERAL";"TAB4",#N/A,TRUE,"GENERAL";"TAB5",#N/A,TRUE,"GENERAL"}</definedName>
    <definedName name="euyt" localSheetId="9" hidden="1">{"TAB1",#N/A,TRUE,"GENERAL";"TAB2",#N/A,TRUE,"GENERAL";"TAB3",#N/A,TRUE,"GENERAL";"TAB4",#N/A,TRUE,"GENERAL";"TAB5",#N/A,TRUE,"GENERAL"}</definedName>
    <definedName name="euyt" localSheetId="16" hidden="1">{"TAB1",#N/A,TRUE,"GENERAL";"TAB2",#N/A,TRUE,"GENERAL";"TAB3",#N/A,TRUE,"GENERAL";"TAB4",#N/A,TRUE,"GENERAL";"TAB5",#N/A,TRUE,"GENERAL"}</definedName>
    <definedName name="euyt" localSheetId="19" hidden="1">{"TAB1",#N/A,TRUE,"GENERAL";"TAB2",#N/A,TRUE,"GENERAL";"TAB3",#N/A,TRUE,"GENERAL";"TAB4",#N/A,TRUE,"GENERAL";"TAB5",#N/A,TRUE,"GENERAL"}</definedName>
    <definedName name="euyt" hidden="1">{"TAB1",#N/A,TRUE,"GENERAL";"TAB2",#N/A,TRUE,"GENERAL";"TAB3",#N/A,TRUE,"GENERAL";"TAB4",#N/A,TRUE,"GENERAL";"TAB5",#N/A,TRUE,"GENERAL"}</definedName>
    <definedName name="ewegt" localSheetId="1" hidden="1">{"TAB1",#N/A,TRUE,"GENERAL";"TAB2",#N/A,TRUE,"GENERAL";"TAB3",#N/A,TRUE,"GENERAL";"TAB4",#N/A,TRUE,"GENERAL";"TAB5",#N/A,TRUE,"GENERAL"}</definedName>
    <definedName name="ewegt" localSheetId="9" hidden="1">{"TAB1",#N/A,TRUE,"GENERAL";"TAB2",#N/A,TRUE,"GENERAL";"TAB3",#N/A,TRUE,"GENERAL";"TAB4",#N/A,TRUE,"GENERAL";"TAB5",#N/A,TRUE,"GENERAL"}</definedName>
    <definedName name="ewegt" localSheetId="16" hidden="1">{"TAB1",#N/A,TRUE,"GENERAL";"TAB2",#N/A,TRUE,"GENERAL";"TAB3",#N/A,TRUE,"GENERAL";"TAB4",#N/A,TRUE,"GENERAL";"TAB5",#N/A,TRUE,"GENERAL"}</definedName>
    <definedName name="ewegt" localSheetId="19" hidden="1">{"TAB1",#N/A,TRUE,"GENERAL";"TAB2",#N/A,TRUE,"GENERAL";"TAB3",#N/A,TRUE,"GENERAL";"TAB4",#N/A,TRUE,"GENERAL";"TAB5",#N/A,TRUE,"GENERAL"}</definedName>
    <definedName name="ewegt" hidden="1">{"TAB1",#N/A,TRUE,"GENERAL";"TAB2",#N/A,TRUE,"GENERAL";"TAB3",#N/A,TRUE,"GENERAL";"TAB4",#N/A,TRUE,"GENERAL";"TAB5",#N/A,TRUE,"GENERAL"}</definedName>
    <definedName name="ewfewfg" localSheetId="1" hidden="1">{"TAB1",#N/A,TRUE,"GENERAL";"TAB2",#N/A,TRUE,"GENERAL";"TAB3",#N/A,TRUE,"GENERAL";"TAB4",#N/A,TRUE,"GENERAL";"TAB5",#N/A,TRUE,"GENERAL"}</definedName>
    <definedName name="ewfewfg" localSheetId="9" hidden="1">{"TAB1",#N/A,TRUE,"GENERAL";"TAB2",#N/A,TRUE,"GENERAL";"TAB3",#N/A,TRUE,"GENERAL";"TAB4",#N/A,TRUE,"GENERAL";"TAB5",#N/A,TRUE,"GENERAL"}</definedName>
    <definedName name="ewfewfg" localSheetId="16" hidden="1">{"TAB1",#N/A,TRUE,"GENERAL";"TAB2",#N/A,TRUE,"GENERAL";"TAB3",#N/A,TRUE,"GENERAL";"TAB4",#N/A,TRUE,"GENERAL";"TAB5",#N/A,TRUE,"GENERAL"}</definedName>
    <definedName name="ewfewfg" localSheetId="19" hidden="1">{"TAB1",#N/A,TRUE,"GENERAL";"TAB2",#N/A,TRUE,"GENERAL";"TAB3",#N/A,TRUE,"GENERAL";"TAB4",#N/A,TRUE,"GENERAL";"TAB5",#N/A,TRUE,"GENERAL"}</definedName>
    <definedName name="ewfewfg" hidden="1">{"TAB1",#N/A,TRUE,"GENERAL";"TAB2",#N/A,TRUE,"GENERAL";"TAB3",#N/A,TRUE,"GENERAL";"TAB4",#N/A,TRUE,"GENERAL";"TAB5",#N/A,TRUE,"GENERAL"}</definedName>
    <definedName name="ewre" localSheetId="1" hidden="1">{"TAB1",#N/A,TRUE,"GENERAL";"TAB2",#N/A,TRUE,"GENERAL";"TAB3",#N/A,TRUE,"GENERAL";"TAB4",#N/A,TRUE,"GENERAL";"TAB5",#N/A,TRUE,"GENERAL"}</definedName>
    <definedName name="ewre" localSheetId="9" hidden="1">{"TAB1",#N/A,TRUE,"GENERAL";"TAB2",#N/A,TRUE,"GENERAL";"TAB3",#N/A,TRUE,"GENERAL";"TAB4",#N/A,TRUE,"GENERAL";"TAB5",#N/A,TRUE,"GENERAL"}</definedName>
    <definedName name="ewre" localSheetId="16" hidden="1">{"TAB1",#N/A,TRUE,"GENERAL";"TAB2",#N/A,TRUE,"GENERAL";"TAB3",#N/A,TRUE,"GENERAL";"TAB4",#N/A,TRUE,"GENERAL";"TAB5",#N/A,TRUE,"GENERAL"}</definedName>
    <definedName name="ewre" localSheetId="19" hidden="1">{"TAB1",#N/A,TRUE,"GENERAL";"TAB2",#N/A,TRUE,"GENERAL";"TAB3",#N/A,TRUE,"GENERAL";"TAB4",#N/A,TRUE,"GENERAL";"TAB5",#N/A,TRUE,"GENERAL"}</definedName>
    <definedName name="ewre" hidden="1">{"TAB1",#N/A,TRUE,"GENERAL";"TAB2",#N/A,TRUE,"GENERAL";"TAB3",#N/A,TRUE,"GENERAL";"TAB4",#N/A,TRUE,"GENERAL";"TAB5",#N/A,TRUE,"GENERAL"}</definedName>
    <definedName name="ewrewf" localSheetId="1" hidden="1">{"TAB1",#N/A,TRUE,"GENERAL";"TAB2",#N/A,TRUE,"GENERAL";"TAB3",#N/A,TRUE,"GENERAL";"TAB4",#N/A,TRUE,"GENERAL";"TAB5",#N/A,TRUE,"GENERAL"}</definedName>
    <definedName name="ewrewf" localSheetId="9" hidden="1">{"TAB1",#N/A,TRUE,"GENERAL";"TAB2",#N/A,TRUE,"GENERAL";"TAB3",#N/A,TRUE,"GENERAL";"TAB4",#N/A,TRUE,"GENERAL";"TAB5",#N/A,TRUE,"GENERAL"}</definedName>
    <definedName name="ewrewf" localSheetId="16" hidden="1">{"TAB1",#N/A,TRUE,"GENERAL";"TAB2",#N/A,TRUE,"GENERAL";"TAB3",#N/A,TRUE,"GENERAL";"TAB4",#N/A,TRUE,"GENERAL";"TAB5",#N/A,TRUE,"GENERAL"}</definedName>
    <definedName name="ewrewf" localSheetId="19" hidden="1">{"TAB1",#N/A,TRUE,"GENERAL";"TAB2",#N/A,TRUE,"GENERAL";"TAB3",#N/A,TRUE,"GENERAL";"TAB4",#N/A,TRUE,"GENERAL";"TAB5",#N/A,TRUE,"GENERAL"}</definedName>
    <definedName name="ewrewf" hidden="1">{"TAB1",#N/A,TRUE,"GENERAL";"TAB2",#N/A,TRUE,"GENERAL";"TAB3",#N/A,TRUE,"GENERAL";"TAB4",#N/A,TRUE,"GENERAL";"TAB5",#N/A,TRUE,"GENERAL"}</definedName>
    <definedName name="ewrr" localSheetId="1" hidden="1">{"TAB1",#N/A,TRUE,"GENERAL";"TAB2",#N/A,TRUE,"GENERAL";"TAB3",#N/A,TRUE,"GENERAL";"TAB4",#N/A,TRUE,"GENERAL";"TAB5",#N/A,TRUE,"GENERAL"}</definedName>
    <definedName name="ewrr" localSheetId="9" hidden="1">{"TAB1",#N/A,TRUE,"GENERAL";"TAB2",#N/A,TRUE,"GENERAL";"TAB3",#N/A,TRUE,"GENERAL";"TAB4",#N/A,TRUE,"GENERAL";"TAB5",#N/A,TRUE,"GENERAL"}</definedName>
    <definedName name="ewrr" localSheetId="16" hidden="1">{"TAB1",#N/A,TRUE,"GENERAL";"TAB2",#N/A,TRUE,"GENERAL";"TAB3",#N/A,TRUE,"GENERAL";"TAB4",#N/A,TRUE,"GENERAL";"TAB5",#N/A,TRUE,"GENERAL"}</definedName>
    <definedName name="ewrr" localSheetId="19" hidden="1">{"TAB1",#N/A,TRUE,"GENERAL";"TAB2",#N/A,TRUE,"GENERAL";"TAB3",#N/A,TRUE,"GENERAL";"TAB4",#N/A,TRUE,"GENERAL";"TAB5",#N/A,TRUE,"GENERAL"}</definedName>
    <definedName name="ewrr" hidden="1">{"TAB1",#N/A,TRUE,"GENERAL";"TAB2",#N/A,TRUE,"GENERAL";"TAB3",#N/A,TRUE,"GENERAL";"TAB4",#N/A,TRUE,"GENERAL";"TAB5",#N/A,TRUE,"GENERAL"}</definedName>
    <definedName name="ewrt" localSheetId="1" hidden="1">{"TAB1",#N/A,TRUE,"GENERAL";"TAB2",#N/A,TRUE,"GENERAL";"TAB3",#N/A,TRUE,"GENERAL";"TAB4",#N/A,TRUE,"GENERAL";"TAB5",#N/A,TRUE,"GENERAL"}</definedName>
    <definedName name="ewrt" localSheetId="9" hidden="1">{"TAB1",#N/A,TRUE,"GENERAL";"TAB2",#N/A,TRUE,"GENERAL";"TAB3",#N/A,TRUE,"GENERAL";"TAB4",#N/A,TRUE,"GENERAL";"TAB5",#N/A,TRUE,"GENERAL"}</definedName>
    <definedName name="ewrt" localSheetId="16" hidden="1">{"TAB1",#N/A,TRUE,"GENERAL";"TAB2",#N/A,TRUE,"GENERAL";"TAB3",#N/A,TRUE,"GENERAL";"TAB4",#N/A,TRUE,"GENERAL";"TAB5",#N/A,TRUE,"GENERAL"}</definedName>
    <definedName name="ewrt" localSheetId="19" hidden="1">{"TAB1",#N/A,TRUE,"GENERAL";"TAB2",#N/A,TRUE,"GENERAL";"TAB3",#N/A,TRUE,"GENERAL";"TAB4",#N/A,TRUE,"GENERAL";"TAB5",#N/A,TRUE,"GENERAL"}</definedName>
    <definedName name="ewrt" hidden="1">{"TAB1",#N/A,TRUE,"GENERAL";"TAB2",#N/A,TRUE,"GENERAL";"TAB3",#N/A,TRUE,"GENERAL";"TAB4",#N/A,TRUE,"GENERAL";"TAB5",#N/A,TRUE,"GENERAL"}</definedName>
    <definedName name="ewrwer" localSheetId="1" hidden="1">{"TAB1",#N/A,TRUE,"GENERAL";"TAB2",#N/A,TRUE,"GENERAL";"TAB3",#N/A,TRUE,"GENERAL";"TAB4",#N/A,TRUE,"GENERAL";"TAB5",#N/A,TRUE,"GENERAL"}</definedName>
    <definedName name="ewrwer" localSheetId="9" hidden="1">{"TAB1",#N/A,TRUE,"GENERAL";"TAB2",#N/A,TRUE,"GENERAL";"TAB3",#N/A,TRUE,"GENERAL";"TAB4",#N/A,TRUE,"GENERAL";"TAB5",#N/A,TRUE,"GENERAL"}</definedName>
    <definedName name="ewrwer" localSheetId="16" hidden="1">{"TAB1",#N/A,TRUE,"GENERAL";"TAB2",#N/A,TRUE,"GENERAL";"TAB3",#N/A,TRUE,"GENERAL";"TAB4",#N/A,TRUE,"GENERAL";"TAB5",#N/A,TRUE,"GENERAL"}</definedName>
    <definedName name="ewrwer" localSheetId="19" hidden="1">{"TAB1",#N/A,TRUE,"GENERAL";"TAB2",#N/A,TRUE,"GENERAL";"TAB3",#N/A,TRUE,"GENERAL";"TAB4",#N/A,TRUE,"GENERAL";"TAB5",#N/A,TRUE,"GENERAL"}</definedName>
    <definedName name="ewrwer" hidden="1">{"TAB1",#N/A,TRUE,"GENERAL";"TAB2",#N/A,TRUE,"GENERAL";"TAB3",#N/A,TRUE,"GENERAL";"TAB4",#N/A,TRUE,"GENERAL";"TAB5",#N/A,TRUE,"GENERAL"}</definedName>
    <definedName name="EXC">#REF!</definedName>
    <definedName name="EXC.POZ">#REF!</definedName>
    <definedName name="EXC.ZAN">#REF!</definedName>
    <definedName name="EXCAVACION_Y_RETIRO_DE_MATERIAL" localSheetId="1">[7]PRESUPUESTO!#REF!</definedName>
    <definedName name="EXCAVACION_Y_RETIRO_DE_MATERIAL" localSheetId="16">[7]PRESUPUESTO!#REF!</definedName>
    <definedName name="EXCAVACION_Y_RETIRO_DE_MATERIAL">[7]PRESUPUESTO!#REF!</definedName>
    <definedName name="exCEL" localSheetId="16">#REF!</definedName>
    <definedName name="exCEL">#REF!</definedName>
    <definedName name="Excel_BuiltIn__FilterDatabase">[71]Presupuesto_Via_distribuidora!$A$9:$H$344</definedName>
    <definedName name="Excel_BuiltIn_Print_Area">[71]Presupuesto_Via_distribuidora!$C$1:$H$344</definedName>
    <definedName name="Excel_BuiltIn_Print_Area_1" localSheetId="16">#REF!</definedName>
    <definedName name="Excel_BuiltIn_Print_Area_1" localSheetId="19">'INSUMOS '!#REF!</definedName>
    <definedName name="Excel_BuiltIn_Print_Area_1">#REF!</definedName>
    <definedName name="Excel_BuiltIn_Print_Area_1_1" localSheetId="16">#REF!</definedName>
    <definedName name="Excel_BuiltIn_Print_Area_1_1" localSheetId="19">'INSUMOS '!#REF!</definedName>
    <definedName name="Excel_BuiltIn_Print_Area_1_1">#REF!</definedName>
    <definedName name="Excel_BuiltIn_Print_Area_1_1_1" localSheetId="16">#REF!</definedName>
    <definedName name="Excel_BuiltIn_Print_Area_1_1_1" localSheetId="19">'INSUMOS '!#REF!</definedName>
    <definedName name="Excel_BuiltIn_Print_Area_1_1_1">#REF!</definedName>
    <definedName name="Excel_BuiltIn_Print_Area_1_1_1_1" localSheetId="16">#REF!</definedName>
    <definedName name="Excel_BuiltIn_Print_Area_1_1_1_1" localSheetId="19">'INSUMOS '!#REF!</definedName>
    <definedName name="Excel_BuiltIn_Print_Area_1_1_1_1">#REF!</definedName>
    <definedName name="Excel_BuiltIn_Print_Area_3" localSheetId="16">#REF!</definedName>
    <definedName name="Excel_BuiltIn_Print_Area_3">#REF!</definedName>
    <definedName name="Excel_BuiltIn_Print_Area_3_X" localSheetId="16">#REF!</definedName>
    <definedName name="Excel_BuiltIn_Print_Area_3_X">#REF!</definedName>
    <definedName name="Excel_BuiltIn_Print_Area_7" localSheetId="16">#REF!</definedName>
    <definedName name="Excel_BuiltIn_Print_Area_7" localSheetId="19">'INSUMOS '!#REF!</definedName>
    <definedName name="Excel_BuiltIn_Print_Area_7">#REF!</definedName>
    <definedName name="Excel_BuiltIn_Print_Titles">[71]Presupuesto_Via_distribuidora!$A$2:$IV$8</definedName>
    <definedName name="Excel_BuiltIn_Print_Titles_1" localSheetId="16">#REF!</definedName>
    <definedName name="Excel_BuiltIn_Print_Titles_1" localSheetId="19">'INSUMOS '!#REF!</definedName>
    <definedName name="Excel_BuiltIn_Print_Titles_1">#REF!</definedName>
    <definedName name="Excel_BuiltIn_Print_Titles_1_1" localSheetId="16">#REF!</definedName>
    <definedName name="Excel_BuiltIn_Print_Titles_1_1" localSheetId="19">'INSUMOS '!#REF!</definedName>
    <definedName name="Excel_BuiltIn_Print_Titles_1_1">#REF!</definedName>
    <definedName name="Excel_BuiltIn_Print_Titles_1_1_1" localSheetId="16">#REF!</definedName>
    <definedName name="Excel_BuiltIn_Print_Titles_1_1_1" localSheetId="19">'INSUMOS '!#REF!</definedName>
    <definedName name="Excel_BuiltIn_Print_Titles_1_1_1">#REF!</definedName>
    <definedName name="Excel_BuiltIn_Print_Titles_10">[59]SKJ452!#REF!</definedName>
    <definedName name="Excel_BuiltIn_Print_Titles_11">[59]ITA878!#REF!</definedName>
    <definedName name="Excel_BuiltIn_Print_Titles_12">'[59]AEA-944'!#REF!</definedName>
    <definedName name="Excel_BuiltIn_Print_Titles_13">'[59]DUB-823'!#REF!</definedName>
    <definedName name="Excel_BuiltIn_Print_Titles_14">'[59]GPI 526'!#REF!</definedName>
    <definedName name="Excel_BuiltIn_Print_Titles_15" localSheetId="16">#REF!</definedName>
    <definedName name="Excel_BuiltIn_Print_Titles_15" localSheetId="19">#REF!</definedName>
    <definedName name="Excel_BuiltIn_Print_Titles_15">#REF!</definedName>
    <definedName name="Excel_BuiltIn_Print_Titles_16" localSheetId="16">#REF!</definedName>
    <definedName name="Excel_BuiltIn_Print_Titles_16">#REF!</definedName>
    <definedName name="Excel_BuiltIn_Print_Titles_17">#REF!</definedName>
    <definedName name="Excel_BuiltIn_Print_Titles_18">#REF!</definedName>
    <definedName name="Excel_BuiltIn_Print_Titles_19">[59]XXJ617!#REF!</definedName>
    <definedName name="Excel_BuiltIn_Print_Titles_2_1" localSheetId="16">#REF!</definedName>
    <definedName name="Excel_BuiltIn_Print_Titles_2_1" localSheetId="19">#REF!</definedName>
    <definedName name="Excel_BuiltIn_Print_Titles_2_1">#REF!</definedName>
    <definedName name="Excel_BuiltIn_Print_Titles_20" localSheetId="16">#REF!</definedName>
    <definedName name="Excel_BuiltIn_Print_Titles_20">#REF!</definedName>
    <definedName name="Excel_BuiltIn_Print_Titles_21" localSheetId="16">[59]SNG_855!#REF!</definedName>
    <definedName name="Excel_BuiltIn_Print_Titles_21">[59]SNG_855!#REF!</definedName>
    <definedName name="Excel_BuiltIn_Print_Titles_23" localSheetId="16">#REF!</definedName>
    <definedName name="Excel_BuiltIn_Print_Titles_23" localSheetId="19">#REF!</definedName>
    <definedName name="Excel_BuiltIn_Print_Titles_23">#REF!</definedName>
    <definedName name="Excel_BuiltIn_Print_Titles_3" localSheetId="16">'[72]COSTOS OFICINA'!#REF!</definedName>
    <definedName name="Excel_BuiltIn_Print_Titles_3" localSheetId="19">'[72]COSTOS OFICINA'!#REF!</definedName>
    <definedName name="Excel_BuiltIn_Print_Titles_3">'[72]COSTOS OFICINA'!#REF!</definedName>
    <definedName name="Excel_BuiltIn_Print_Titles_4" localSheetId="19">'[72]COSTOS CAMPAMENTO'!#REF!</definedName>
    <definedName name="Excel_BuiltIn_Print_Titles_4">'[72]COSTOS CAMPAMENTO'!#REF!</definedName>
    <definedName name="Excel_BuiltIn_Print_Titles_5">'[59]VEA 374'!#REF!</definedName>
    <definedName name="Excel_BuiltIn_Print_Titles_5_XX">'[59]VEA 374'!#REF!</definedName>
    <definedName name="Excel_BuiltIn_Print_Titles_6" localSheetId="16">#REF!</definedName>
    <definedName name="Excel_BuiltIn_Print_Titles_6" localSheetId="19">#REF!</definedName>
    <definedName name="Excel_BuiltIn_Print_Titles_6">#REF!</definedName>
    <definedName name="Excel_BuiltIn_Print_Titles_7" localSheetId="16">[59]HFB024!#REF!</definedName>
    <definedName name="Excel_BuiltIn_Print_Titles_7" localSheetId="19">[59]HFB024!#REF!</definedName>
    <definedName name="Excel_BuiltIn_Print_Titles_7">[59]HFB024!#REF!</definedName>
    <definedName name="Excel_BuiltIn_Print_Titles_8" localSheetId="16">#REF!</definedName>
    <definedName name="Excel_BuiltIn_Print_Titles_8" localSheetId="19">#REF!</definedName>
    <definedName name="Excel_BuiltIn_Print_Titles_8">#REF!</definedName>
    <definedName name="Excel_BuiltIn_Print_Titles_9" localSheetId="16">[59]PAJ825!#REF!</definedName>
    <definedName name="Excel_BuiltIn_Print_Titles_9" localSheetId="19">[59]PAJ825!#REF!</definedName>
    <definedName name="Excel_BuiltIn_Print_Titles_9">[59]PAJ825!#REF!</definedName>
    <definedName name="EXCROC">'[73]Análisis de precios'!$H$52</definedName>
    <definedName name="Extra_Pay" localSheetId="16">#REF!</definedName>
    <definedName name="Extra_Pay" localSheetId="3">#REF!</definedName>
    <definedName name="Extra_Pay" localSheetId="19">#REF!</definedName>
    <definedName name="Extra_Pay">#REF!</definedName>
    <definedName name="fa" localSheetId="16">#REF!</definedName>
    <definedName name="fa">#REF!</definedName>
    <definedName name="FABI" localSheetId="1">Scheduled_Payment+Extra_Payment</definedName>
    <definedName name="FABI" localSheetId="9">Scheduled_Payment+Extra_Payment</definedName>
    <definedName name="FABI" localSheetId="16">Scheduled_Payment+Extra_Payment</definedName>
    <definedName name="FABI" localSheetId="3">Scheduled_Payment+Extra_Payment</definedName>
    <definedName name="FABI">Scheduled_Payment+Extra_Payment</definedName>
    <definedName name="FABIAN">#N/A</definedName>
    <definedName name="FACHADA_ITEM" localSheetId="1">[31]Presupuesto!#REF!</definedName>
    <definedName name="FACHADA_ITEM" localSheetId="9">[31]Presupuesto!#REF!</definedName>
    <definedName name="FACHADA_ITEM" localSheetId="16">[31]Presupuesto!#REF!</definedName>
    <definedName name="FACHADA_ITEM">[31]Presupuesto!#REF!</definedName>
    <definedName name="FACT" localSheetId="9">#REF!</definedName>
    <definedName name="FACT" localSheetId="16">#REF!</definedName>
    <definedName name="FACT">#REF!</definedName>
    <definedName name="FACT_PRESTACION" localSheetId="9">#REF!</definedName>
    <definedName name="FACT_PRESTACION">#REF!</definedName>
    <definedName name="fb">#REF!</definedName>
    <definedName name="fd">#REF!</definedName>
    <definedName name="fda" localSheetId="1" hidden="1">{"TAB1",#N/A,TRUE,"GENERAL";"TAB2",#N/A,TRUE,"GENERAL";"TAB3",#N/A,TRUE,"GENERAL";"TAB4",#N/A,TRUE,"GENERAL";"TAB5",#N/A,TRUE,"GENERAL"}</definedName>
    <definedName name="fda" localSheetId="9" hidden="1">{"TAB1",#N/A,TRUE,"GENERAL";"TAB2",#N/A,TRUE,"GENERAL";"TAB3",#N/A,TRUE,"GENERAL";"TAB4",#N/A,TRUE,"GENERAL";"TAB5",#N/A,TRUE,"GENERAL"}</definedName>
    <definedName name="fda" localSheetId="16" hidden="1">{"TAB1",#N/A,TRUE,"GENERAL";"TAB2",#N/A,TRUE,"GENERAL";"TAB3",#N/A,TRUE,"GENERAL";"TAB4",#N/A,TRUE,"GENERAL";"TAB5",#N/A,TRUE,"GENERAL"}</definedName>
    <definedName name="fda" localSheetId="3">#REF!</definedName>
    <definedName name="fda" localSheetId="19" hidden="1">{"TAB1",#N/A,TRUE,"GENERAL";"TAB2",#N/A,TRUE,"GENERAL";"TAB3",#N/A,TRUE,"GENERAL";"TAB4",#N/A,TRUE,"GENERAL";"TAB5",#N/A,TRUE,"GENERAL"}</definedName>
    <definedName name="fda" hidden="1">{"TAB1",#N/A,TRUE,"GENERAL";"TAB2",#N/A,TRUE,"GENERAL";"TAB3",#N/A,TRUE,"GENERAL";"TAB4",#N/A,TRUE,"GENERAL";"TAB5",#N/A,TRUE,"GENERAL"}</definedName>
    <definedName name="fdbjp" localSheetId="1" hidden="1">{"TAB1",#N/A,TRUE,"GENERAL";"TAB2",#N/A,TRUE,"GENERAL";"TAB3",#N/A,TRUE,"GENERAL";"TAB4",#N/A,TRUE,"GENERAL";"TAB5",#N/A,TRUE,"GENERAL"}</definedName>
    <definedName name="fdbjp" localSheetId="9" hidden="1">{"TAB1",#N/A,TRUE,"GENERAL";"TAB2",#N/A,TRUE,"GENERAL";"TAB3",#N/A,TRUE,"GENERAL";"TAB4",#N/A,TRUE,"GENERAL";"TAB5",#N/A,TRUE,"GENERAL"}</definedName>
    <definedName name="fdbjp" localSheetId="16" hidden="1">{"TAB1",#N/A,TRUE,"GENERAL";"TAB2",#N/A,TRUE,"GENERAL";"TAB3",#N/A,TRUE,"GENERAL";"TAB4",#N/A,TRUE,"GENERAL";"TAB5",#N/A,TRUE,"GENERAL"}</definedName>
    <definedName name="fdbjp" localSheetId="19" hidden="1">{"TAB1",#N/A,TRUE,"GENERAL";"TAB2",#N/A,TRUE,"GENERAL";"TAB3",#N/A,TRUE,"GENERAL";"TAB4",#N/A,TRUE,"GENERAL";"TAB5",#N/A,TRUE,"GENERAL"}</definedName>
    <definedName name="fdbjp" hidden="1">{"TAB1",#N/A,TRUE,"GENERAL";"TAB2",#N/A,TRUE,"GENERAL";"TAB3",#N/A,TRUE,"GENERAL";"TAB4",#N/A,TRUE,"GENERAL";"TAB5",#N/A,TRUE,"GENERAL"}</definedName>
    <definedName name="fdf" localSheetId="1" hidden="1">{"TAB1",#N/A,TRUE,"GENERAL";"TAB2",#N/A,TRUE,"GENERAL";"TAB3",#N/A,TRUE,"GENERAL";"TAB4",#N/A,TRUE,"GENERAL";"TAB5",#N/A,TRUE,"GENERAL"}</definedName>
    <definedName name="fdf" localSheetId="9" hidden="1">{"TAB1",#N/A,TRUE,"GENERAL";"TAB2",#N/A,TRUE,"GENERAL";"TAB3",#N/A,TRUE,"GENERAL";"TAB4",#N/A,TRUE,"GENERAL";"TAB5",#N/A,TRUE,"GENERAL"}</definedName>
    <definedName name="fdf" localSheetId="16" hidden="1">{"TAB1",#N/A,TRUE,"GENERAL";"TAB2",#N/A,TRUE,"GENERAL";"TAB3",#N/A,TRUE,"GENERAL";"TAB4",#N/A,TRUE,"GENERAL";"TAB5",#N/A,TRUE,"GENERAL"}</definedName>
    <definedName name="fdf" localSheetId="19" hidden="1">{"TAB1",#N/A,TRUE,"GENERAL";"TAB2",#N/A,TRUE,"GENERAL";"TAB3",#N/A,TRUE,"GENERAL";"TAB4",#N/A,TRUE,"GENERAL";"TAB5",#N/A,TRUE,"GENERAL"}</definedName>
    <definedName name="fdf" hidden="1">{"TAB1",#N/A,TRUE,"GENERAL";"TAB2",#N/A,TRUE,"GENERAL";"TAB3",#N/A,TRUE,"GENERAL";"TAB4",#N/A,TRUE,"GENERAL";"TAB5",#N/A,TRUE,"GENERAL"}</definedName>
    <definedName name="fdg" localSheetId="1" hidden="1">{"via1",#N/A,TRUE,"general";"via2",#N/A,TRUE,"general";"via3",#N/A,TRUE,"general"}</definedName>
    <definedName name="fdg" localSheetId="9" hidden="1">{"via1",#N/A,TRUE,"general";"via2",#N/A,TRUE,"general";"via3",#N/A,TRUE,"general"}</definedName>
    <definedName name="fdg" localSheetId="16" hidden="1">{"via1",#N/A,TRUE,"general";"via2",#N/A,TRUE,"general";"via3",#N/A,TRUE,"general"}</definedName>
    <definedName name="fdg" localSheetId="19" hidden="1">{"via1",#N/A,TRUE,"general";"via2",#N/A,TRUE,"general";"via3",#N/A,TRUE,"general"}</definedName>
    <definedName name="fdg" hidden="1">{"via1",#N/A,TRUE,"general";"via2",#N/A,TRUE,"general";"via3",#N/A,TRUE,"general"}</definedName>
    <definedName name="FDGD" localSheetId="1" hidden="1">{"TAB1",#N/A,TRUE,"GENERAL";"TAB2",#N/A,TRUE,"GENERAL";"TAB3",#N/A,TRUE,"GENERAL";"TAB4",#N/A,TRUE,"GENERAL";"TAB5",#N/A,TRUE,"GENERAL"}</definedName>
    <definedName name="FDGD" localSheetId="9" hidden="1">{"TAB1",#N/A,TRUE,"GENERAL";"TAB2",#N/A,TRUE,"GENERAL";"TAB3",#N/A,TRUE,"GENERAL";"TAB4",#N/A,TRUE,"GENERAL";"TAB5",#N/A,TRUE,"GENERAL"}</definedName>
    <definedName name="FDGD" localSheetId="16" hidden="1">{"TAB1",#N/A,TRUE,"GENERAL";"TAB2",#N/A,TRUE,"GENERAL";"TAB3",#N/A,TRUE,"GENERAL";"TAB4",#N/A,TRUE,"GENERAL";"TAB5",#N/A,TRUE,"GENERAL"}</definedName>
    <definedName name="FDGD" localSheetId="19" hidden="1">{"TAB1",#N/A,TRUE,"GENERAL";"TAB2",#N/A,TRUE,"GENERAL";"TAB3",#N/A,TRUE,"GENERAL";"TAB4",#N/A,TRUE,"GENERAL";"TAB5",#N/A,TRUE,"GENERAL"}</definedName>
    <definedName name="FDGD" hidden="1">{"TAB1",#N/A,TRUE,"GENERAL";"TAB2",#N/A,TRUE,"GENERAL";"TAB3",#N/A,TRUE,"GENERAL";"TAB4",#N/A,TRUE,"GENERAL";"TAB5",#N/A,TRUE,"GENERAL"}</definedName>
    <definedName name="FDGFDBBP" localSheetId="1" hidden="1">{"TAB1",#N/A,TRUE,"GENERAL";"TAB2",#N/A,TRUE,"GENERAL";"TAB3",#N/A,TRUE,"GENERAL";"TAB4",#N/A,TRUE,"GENERAL";"TAB5",#N/A,TRUE,"GENERAL"}</definedName>
    <definedName name="FDGFDBBP" localSheetId="9" hidden="1">{"TAB1",#N/A,TRUE,"GENERAL";"TAB2",#N/A,TRUE,"GENERAL";"TAB3",#N/A,TRUE,"GENERAL";"TAB4",#N/A,TRUE,"GENERAL";"TAB5",#N/A,TRUE,"GENERAL"}</definedName>
    <definedName name="FDGFDBBP" localSheetId="16" hidden="1">{"TAB1",#N/A,TRUE,"GENERAL";"TAB2",#N/A,TRUE,"GENERAL";"TAB3",#N/A,TRUE,"GENERAL";"TAB4",#N/A,TRUE,"GENERAL";"TAB5",#N/A,TRUE,"GENERAL"}</definedName>
    <definedName name="FDGFDBBP" localSheetId="19" hidden="1">{"TAB1",#N/A,TRUE,"GENERAL";"TAB2",#N/A,TRUE,"GENERAL";"TAB3",#N/A,TRUE,"GENERAL";"TAB4",#N/A,TRUE,"GENERAL";"TAB5",#N/A,TRUE,"GENERAL"}</definedName>
    <definedName name="FDGFDBBP" hidden="1">{"TAB1",#N/A,TRUE,"GENERAL";"TAB2",#N/A,TRUE,"GENERAL";"TAB3",#N/A,TRUE,"GENERAL";"TAB4",#N/A,TRUE,"GENERAL";"TAB5",#N/A,TRUE,"GENERAL"}</definedName>
    <definedName name="fdh" localSheetId="1" hidden="1">{"TAB1",#N/A,TRUE,"GENERAL";"TAB2",#N/A,TRUE,"GENERAL";"TAB3",#N/A,TRUE,"GENERAL";"TAB4",#N/A,TRUE,"GENERAL";"TAB5",#N/A,TRUE,"GENERAL"}</definedName>
    <definedName name="fdh" localSheetId="9" hidden="1">{"TAB1",#N/A,TRUE,"GENERAL";"TAB2",#N/A,TRUE,"GENERAL";"TAB3",#N/A,TRUE,"GENERAL";"TAB4",#N/A,TRUE,"GENERAL";"TAB5",#N/A,TRUE,"GENERAL"}</definedName>
    <definedName name="fdh" localSheetId="16" hidden="1">{"TAB1",#N/A,TRUE,"GENERAL";"TAB2",#N/A,TRUE,"GENERAL";"TAB3",#N/A,TRUE,"GENERAL";"TAB4",#N/A,TRUE,"GENERAL";"TAB5",#N/A,TRUE,"GENERAL"}</definedName>
    <definedName name="fdh" localSheetId="19" hidden="1">{"TAB1",#N/A,TRUE,"GENERAL";"TAB2",#N/A,TRUE,"GENERAL";"TAB3",#N/A,TRUE,"GENERAL";"TAB4",#N/A,TRUE,"GENERAL";"TAB5",#N/A,TRUE,"GENERAL"}</definedName>
    <definedName name="fdh" hidden="1">{"TAB1",#N/A,TRUE,"GENERAL";"TAB2",#N/A,TRUE,"GENERAL";"TAB3",#N/A,TRUE,"GENERAL";"TAB4",#N/A,TRUE,"GENERAL";"TAB5",#N/A,TRUE,"GENERAL"}</definedName>
    <definedName name="fdsf" localSheetId="1" hidden="1">{"TAB1",#N/A,TRUE,"GENERAL";"TAB2",#N/A,TRUE,"GENERAL";"TAB3",#N/A,TRUE,"GENERAL";"TAB4",#N/A,TRUE,"GENERAL";"TAB5",#N/A,TRUE,"GENERAL"}</definedName>
    <definedName name="fdsf" localSheetId="9" hidden="1">{"TAB1",#N/A,TRUE,"GENERAL";"TAB2",#N/A,TRUE,"GENERAL";"TAB3",#N/A,TRUE,"GENERAL";"TAB4",#N/A,TRUE,"GENERAL";"TAB5",#N/A,TRUE,"GENERAL"}</definedName>
    <definedName name="fdsf" localSheetId="16" hidden="1">{"TAB1",#N/A,TRUE,"GENERAL";"TAB2",#N/A,TRUE,"GENERAL";"TAB3",#N/A,TRUE,"GENERAL";"TAB4",#N/A,TRUE,"GENERAL";"TAB5",#N/A,TRUE,"GENERAL"}</definedName>
    <definedName name="fdsf" localSheetId="19" hidden="1">{"TAB1",#N/A,TRUE,"GENERAL";"TAB2",#N/A,TRUE,"GENERAL";"TAB3",#N/A,TRUE,"GENERAL";"TAB4",#N/A,TRUE,"GENERAL";"TAB5",#N/A,TRUE,"GENERAL"}</definedName>
    <definedName name="fdsf" hidden="1">{"TAB1",#N/A,TRUE,"GENERAL";"TAB2",#N/A,TRUE,"GENERAL";"TAB3",#N/A,TRUE,"GENERAL";"TAB4",#N/A,TRUE,"GENERAL";"TAB5",#N/A,TRUE,"GENERAL"}</definedName>
    <definedName name="fdsfds" localSheetId="1" hidden="1">{"TAB1",#N/A,TRUE,"GENERAL";"TAB2",#N/A,TRUE,"GENERAL";"TAB3",#N/A,TRUE,"GENERAL";"TAB4",#N/A,TRUE,"GENERAL";"TAB5",#N/A,TRUE,"GENERAL"}</definedName>
    <definedName name="fdsfds" localSheetId="9" hidden="1">{"TAB1",#N/A,TRUE,"GENERAL";"TAB2",#N/A,TRUE,"GENERAL";"TAB3",#N/A,TRUE,"GENERAL";"TAB4",#N/A,TRUE,"GENERAL";"TAB5",#N/A,TRUE,"GENERAL"}</definedName>
    <definedName name="fdsfds" localSheetId="16" hidden="1">{"TAB1",#N/A,TRUE,"GENERAL";"TAB2",#N/A,TRUE,"GENERAL";"TAB3",#N/A,TRUE,"GENERAL";"TAB4",#N/A,TRUE,"GENERAL";"TAB5",#N/A,TRUE,"GENERAL"}</definedName>
    <definedName name="fdsfds" localSheetId="19" hidden="1">{"TAB1",#N/A,TRUE,"GENERAL";"TAB2",#N/A,TRUE,"GENERAL";"TAB3",#N/A,TRUE,"GENERAL";"TAB4",#N/A,TRUE,"GENERAL";"TAB5",#N/A,TRUE,"GENERAL"}</definedName>
    <definedName name="fdsfds" hidden="1">{"TAB1",#N/A,TRUE,"GENERAL";"TAB2",#N/A,TRUE,"GENERAL";"TAB3",#N/A,TRUE,"GENERAL";"TAB4",#N/A,TRUE,"GENERAL";"TAB5",#N/A,TRUE,"GENERAL"}</definedName>
    <definedName name="fdsfdsf" localSheetId="1" hidden="1">{"via1",#N/A,TRUE,"general";"via2",#N/A,TRUE,"general";"via3",#N/A,TRUE,"general"}</definedName>
    <definedName name="fdsfdsf" localSheetId="9" hidden="1">{"via1",#N/A,TRUE,"general";"via2",#N/A,TRUE,"general";"via3",#N/A,TRUE,"general"}</definedName>
    <definedName name="fdsfdsf" localSheetId="16" hidden="1">{"via1",#N/A,TRUE,"general";"via2",#N/A,TRUE,"general";"via3",#N/A,TRUE,"general"}</definedName>
    <definedName name="fdsfdsf" localSheetId="19" hidden="1">{"via1",#N/A,TRUE,"general";"via2",#N/A,TRUE,"general";"via3",#N/A,TRUE,"general"}</definedName>
    <definedName name="fdsfdsf" hidden="1">{"via1",#N/A,TRUE,"general";"via2",#N/A,TRUE,"general";"via3",#N/A,TRUE,"general"}</definedName>
    <definedName name="fdsgfds" localSheetId="1" hidden="1">{"via1",#N/A,TRUE,"general";"via2",#N/A,TRUE,"general";"via3",#N/A,TRUE,"general"}</definedName>
    <definedName name="fdsgfds" localSheetId="9" hidden="1">{"via1",#N/A,TRUE,"general";"via2",#N/A,TRUE,"general";"via3",#N/A,TRUE,"general"}</definedName>
    <definedName name="fdsgfds" localSheetId="16" hidden="1">{"via1",#N/A,TRUE,"general";"via2",#N/A,TRUE,"general";"via3",#N/A,TRUE,"general"}</definedName>
    <definedName name="fdsgfds" localSheetId="19" hidden="1">{"via1",#N/A,TRUE,"general";"via2",#N/A,TRUE,"general";"via3",#N/A,TRUE,"general"}</definedName>
    <definedName name="fdsgfds" hidden="1">{"via1",#N/A,TRUE,"general";"via2",#N/A,TRUE,"general";"via3",#N/A,TRUE,"general"}</definedName>
    <definedName name="fdsgsdfu" localSheetId="1" hidden="1">{"TAB1",#N/A,TRUE,"GENERAL";"TAB2",#N/A,TRUE,"GENERAL";"TAB3",#N/A,TRUE,"GENERAL";"TAB4",#N/A,TRUE,"GENERAL";"TAB5",#N/A,TRUE,"GENERAL"}</definedName>
    <definedName name="fdsgsdfu" localSheetId="9" hidden="1">{"TAB1",#N/A,TRUE,"GENERAL";"TAB2",#N/A,TRUE,"GENERAL";"TAB3",#N/A,TRUE,"GENERAL";"TAB4",#N/A,TRUE,"GENERAL";"TAB5",#N/A,TRUE,"GENERAL"}</definedName>
    <definedName name="fdsgsdfu" localSheetId="16" hidden="1">{"TAB1",#N/A,TRUE,"GENERAL";"TAB2",#N/A,TRUE,"GENERAL";"TAB3",#N/A,TRUE,"GENERAL";"TAB4",#N/A,TRUE,"GENERAL";"TAB5",#N/A,TRUE,"GENERAL"}</definedName>
    <definedName name="fdsgsdfu" localSheetId="19" hidden="1">{"TAB1",#N/A,TRUE,"GENERAL";"TAB2",#N/A,TRUE,"GENERAL";"TAB3",#N/A,TRUE,"GENERAL";"TAB4",#N/A,TRUE,"GENERAL";"TAB5",#N/A,TRUE,"GENERAL"}</definedName>
    <definedName name="fdsgsdfu" hidden="1">{"TAB1",#N/A,TRUE,"GENERAL";"TAB2",#N/A,TRUE,"GENERAL";"TAB3",#N/A,TRUE,"GENERAL";"TAB4",#N/A,TRUE,"GENERAL";"TAB5",#N/A,TRUE,"GENERAL"}</definedName>
    <definedName name="FDSIO" localSheetId="1" hidden="1">{"TAB1",#N/A,TRUE,"GENERAL";"TAB2",#N/A,TRUE,"GENERAL";"TAB3",#N/A,TRUE,"GENERAL";"TAB4",#N/A,TRUE,"GENERAL";"TAB5",#N/A,TRUE,"GENERAL"}</definedName>
    <definedName name="FDSIO" localSheetId="9" hidden="1">{"TAB1",#N/A,TRUE,"GENERAL";"TAB2",#N/A,TRUE,"GENERAL";"TAB3",#N/A,TRUE,"GENERAL";"TAB4",#N/A,TRUE,"GENERAL";"TAB5",#N/A,TRUE,"GENERAL"}</definedName>
    <definedName name="FDSIO" localSheetId="16" hidden="1">{"TAB1",#N/A,TRUE,"GENERAL";"TAB2",#N/A,TRUE,"GENERAL";"TAB3",#N/A,TRUE,"GENERAL";"TAB4",#N/A,TRUE,"GENERAL";"TAB5",#N/A,TRUE,"GENERAL"}</definedName>
    <definedName name="FDSIO" localSheetId="19" hidden="1">{"TAB1",#N/A,TRUE,"GENERAL";"TAB2",#N/A,TRUE,"GENERAL";"TAB3",#N/A,TRUE,"GENERAL";"TAB4",#N/A,TRUE,"GENERAL";"TAB5",#N/A,TRUE,"GENERAL"}</definedName>
    <definedName name="FDSIO" hidden="1">{"TAB1",#N/A,TRUE,"GENERAL";"TAB2",#N/A,TRUE,"GENERAL";"TAB3",#N/A,TRUE,"GENERAL";"TAB4",#N/A,TRUE,"GENERAL";"TAB5",#N/A,TRUE,"GENERAL"}</definedName>
    <definedName name="Feb">[64]FEB!$A$12:$H$33</definedName>
    <definedName name="Feb_C">[64]FEB!$A$35:$H$51</definedName>
    <definedName name="Fecha">[55]Datos!$B$5</definedName>
    <definedName name="FECHA_CORTE" localSheetId="16">'[74]FECHAS DE CORTE'!$B$4:$B$74</definedName>
    <definedName name="FECHA_CORTE">'[74]FECHAS DE CORTE'!$B$4:$B$74</definedName>
    <definedName name="FECHA_TERMINACION_CONTRATO" localSheetId="16">'[74]Informacion General'!$B$23</definedName>
    <definedName name="FECHA_TERMINACION_CONTRATO">'[74]Informacion General'!$B$23</definedName>
    <definedName name="ferfer" localSheetId="1" hidden="1">{"via1",#N/A,TRUE,"general";"via2",#N/A,TRUE,"general";"via3",#N/A,TRUE,"general"}</definedName>
    <definedName name="ferfer" localSheetId="9" hidden="1">{"via1",#N/A,TRUE,"general";"via2",#N/A,TRUE,"general";"via3",#N/A,TRUE,"general"}</definedName>
    <definedName name="ferfer" localSheetId="16" hidden="1">{"via1",#N/A,TRUE,"general";"via2",#N/A,TRUE,"general";"via3",#N/A,TRUE,"general"}</definedName>
    <definedName name="ferfer" localSheetId="19" hidden="1">{"via1",#N/A,TRUE,"general";"via2",#N/A,TRUE,"general";"via3",#N/A,TRUE,"general"}</definedName>
    <definedName name="ferfer" hidden="1">{"via1",#N/A,TRUE,"general";"via2",#N/A,TRUE,"general";"via3",#N/A,TRUE,"general"}</definedName>
    <definedName name="Festivos" localSheetId="16">'[75]días habiles 2015'!$D$2:$D$21</definedName>
    <definedName name="Festivos">'[75]días habiles 2015'!$D$2:$D$21</definedName>
    <definedName name="ff" localSheetId="1">[1]!ERR</definedName>
    <definedName name="ff" localSheetId="16">[1]!ERR</definedName>
    <definedName name="ff" localSheetId="3">#REF!</definedName>
    <definedName name="ff" localSheetId="19">[1]!ERR</definedName>
    <definedName name="ff">[1]!ERR</definedName>
    <definedName name="fff" localSheetId="1" hidden="1">{"via1",#N/A,TRUE,"general";"via2",#N/A,TRUE,"general";"via3",#N/A,TRUE,"general"}</definedName>
    <definedName name="fff" localSheetId="9" hidden="1">{"via1",#N/A,TRUE,"general";"via2",#N/A,TRUE,"general";"via3",#N/A,TRUE,"general"}</definedName>
    <definedName name="fff" localSheetId="16" hidden="1">{"via1",#N/A,TRUE,"general";"via2",#N/A,TRUE,"general";"via3",#N/A,TRUE,"general"}</definedName>
    <definedName name="fff" localSheetId="19" hidden="1">{"via1",#N/A,TRUE,"general";"via2",#N/A,TRUE,"general";"via3",#N/A,TRUE,"general"}</definedName>
    <definedName name="fff" hidden="1">{"via1",#N/A,TRUE,"general";"via2",#N/A,TRUE,"general";"via3",#N/A,TRUE,"general"}</definedName>
    <definedName name="ffffd" localSheetId="1" hidden="1">{"via1",#N/A,TRUE,"general";"via2",#N/A,TRUE,"general";"via3",#N/A,TRUE,"general"}</definedName>
    <definedName name="ffffd" localSheetId="9" hidden="1">{"via1",#N/A,TRUE,"general";"via2",#N/A,TRUE,"general";"via3",#N/A,TRUE,"general"}</definedName>
    <definedName name="ffffd" localSheetId="16" hidden="1">{"via1",#N/A,TRUE,"general";"via2",#N/A,TRUE,"general";"via3",#N/A,TRUE,"general"}</definedName>
    <definedName name="ffffd" localSheetId="19" hidden="1">{"via1",#N/A,TRUE,"general";"via2",#N/A,TRUE,"general";"via3",#N/A,TRUE,"general"}</definedName>
    <definedName name="ffffd" hidden="1">{"via1",#N/A,TRUE,"general";"via2",#N/A,TRUE,"general";"via3",#N/A,TRUE,"general"}</definedName>
    <definedName name="fffffft" localSheetId="1" hidden="1">{"TAB1",#N/A,TRUE,"GENERAL";"TAB2",#N/A,TRUE,"GENERAL";"TAB3",#N/A,TRUE,"GENERAL";"TAB4",#N/A,TRUE,"GENERAL";"TAB5",#N/A,TRUE,"GENERAL"}</definedName>
    <definedName name="fffffft" localSheetId="9" hidden="1">{"TAB1",#N/A,TRUE,"GENERAL";"TAB2",#N/A,TRUE,"GENERAL";"TAB3",#N/A,TRUE,"GENERAL";"TAB4",#N/A,TRUE,"GENERAL";"TAB5",#N/A,TRUE,"GENERAL"}</definedName>
    <definedName name="fffffft" localSheetId="16" hidden="1">{"TAB1",#N/A,TRUE,"GENERAL";"TAB2",#N/A,TRUE,"GENERAL";"TAB3",#N/A,TRUE,"GENERAL";"TAB4",#N/A,TRUE,"GENERAL";"TAB5",#N/A,TRUE,"GENERAL"}</definedName>
    <definedName name="fffffft" localSheetId="19" hidden="1">{"TAB1",#N/A,TRUE,"GENERAL";"TAB2",#N/A,TRUE,"GENERAL";"TAB3",#N/A,TRUE,"GENERAL";"TAB4",#N/A,TRUE,"GENERAL";"TAB5",#N/A,TRUE,"GENERAL"}</definedName>
    <definedName name="fffffft" hidden="1">{"TAB1",#N/A,TRUE,"GENERAL";"TAB2",#N/A,TRUE,"GENERAL";"TAB3",#N/A,TRUE,"GENERAL";"TAB4",#N/A,TRUE,"GENERAL";"TAB5",#N/A,TRUE,"GENERAL"}</definedName>
    <definedName name="fffffik" localSheetId="1" hidden="1">{"TAB1",#N/A,TRUE,"GENERAL";"TAB2",#N/A,TRUE,"GENERAL";"TAB3",#N/A,TRUE,"GENERAL";"TAB4",#N/A,TRUE,"GENERAL";"TAB5",#N/A,TRUE,"GENERAL"}</definedName>
    <definedName name="fffffik" localSheetId="9" hidden="1">{"TAB1",#N/A,TRUE,"GENERAL";"TAB2",#N/A,TRUE,"GENERAL";"TAB3",#N/A,TRUE,"GENERAL";"TAB4",#N/A,TRUE,"GENERAL";"TAB5",#N/A,TRUE,"GENERAL"}</definedName>
    <definedName name="fffffik" localSheetId="16" hidden="1">{"TAB1",#N/A,TRUE,"GENERAL";"TAB2",#N/A,TRUE,"GENERAL";"TAB3",#N/A,TRUE,"GENERAL";"TAB4",#N/A,TRUE,"GENERAL";"TAB5",#N/A,TRUE,"GENERAL"}</definedName>
    <definedName name="fffffik" localSheetId="19" hidden="1">{"TAB1",#N/A,TRUE,"GENERAL";"TAB2",#N/A,TRUE,"GENERAL";"TAB3",#N/A,TRUE,"GENERAL";"TAB4",#N/A,TRUE,"GENERAL";"TAB5",#N/A,TRUE,"GENERAL"}</definedName>
    <definedName name="fffffik" hidden="1">{"TAB1",#N/A,TRUE,"GENERAL";"TAB2",#N/A,TRUE,"GENERAL";"TAB3",#N/A,TRUE,"GENERAL";"TAB4",#N/A,TRUE,"GENERAL";"TAB5",#N/A,TRUE,"GENERAL"}</definedName>
    <definedName name="fffffj" localSheetId="1" hidden="1">{"TAB1",#N/A,TRUE,"GENERAL";"TAB2",#N/A,TRUE,"GENERAL";"TAB3",#N/A,TRUE,"GENERAL";"TAB4",#N/A,TRUE,"GENERAL";"TAB5",#N/A,TRUE,"GENERAL"}</definedName>
    <definedName name="fffffj" localSheetId="9" hidden="1">{"TAB1",#N/A,TRUE,"GENERAL";"TAB2",#N/A,TRUE,"GENERAL";"TAB3",#N/A,TRUE,"GENERAL";"TAB4",#N/A,TRUE,"GENERAL";"TAB5",#N/A,TRUE,"GENERAL"}</definedName>
    <definedName name="fffffj" localSheetId="16" hidden="1">{"TAB1",#N/A,TRUE,"GENERAL";"TAB2",#N/A,TRUE,"GENERAL";"TAB3",#N/A,TRUE,"GENERAL";"TAB4",#N/A,TRUE,"GENERAL";"TAB5",#N/A,TRUE,"GENERAL"}</definedName>
    <definedName name="fffffj" localSheetId="19" hidden="1">{"TAB1",#N/A,TRUE,"GENERAL";"TAB2",#N/A,TRUE,"GENERAL";"TAB3",#N/A,TRUE,"GENERAL";"TAB4",#N/A,TRUE,"GENERAL";"TAB5",#N/A,TRUE,"GENERAL"}</definedName>
    <definedName name="fffffj" hidden="1">{"TAB1",#N/A,TRUE,"GENERAL";"TAB2",#N/A,TRUE,"GENERAL";"TAB3",#N/A,TRUE,"GENERAL";"TAB4",#N/A,TRUE,"GENERAL";"TAB5",#N/A,TRUE,"GENERAL"}</definedName>
    <definedName name="ffffrd" localSheetId="1" hidden="1">{"via1",#N/A,TRUE,"general";"via2",#N/A,TRUE,"general";"via3",#N/A,TRUE,"general"}</definedName>
    <definedName name="ffffrd" localSheetId="9" hidden="1">{"via1",#N/A,TRUE,"general";"via2",#N/A,TRUE,"general";"via3",#N/A,TRUE,"general"}</definedName>
    <definedName name="ffffrd" localSheetId="16" hidden="1">{"via1",#N/A,TRUE,"general";"via2",#N/A,TRUE,"general";"via3",#N/A,TRUE,"general"}</definedName>
    <definedName name="ffffrd" localSheetId="19" hidden="1">{"via1",#N/A,TRUE,"general";"via2",#N/A,TRUE,"general";"via3",#N/A,TRUE,"general"}</definedName>
    <definedName name="ffffrd" hidden="1">{"via1",#N/A,TRUE,"general";"via2",#N/A,TRUE,"general";"via3",#N/A,TRUE,"general"}</definedName>
    <definedName name="ffffy" localSheetId="1" hidden="1">{"TAB1",#N/A,TRUE,"GENERAL";"TAB2",#N/A,TRUE,"GENERAL";"TAB3",#N/A,TRUE,"GENERAL";"TAB4",#N/A,TRUE,"GENERAL";"TAB5",#N/A,TRUE,"GENERAL"}</definedName>
    <definedName name="ffffy" localSheetId="9" hidden="1">{"TAB1",#N/A,TRUE,"GENERAL";"TAB2",#N/A,TRUE,"GENERAL";"TAB3",#N/A,TRUE,"GENERAL";"TAB4",#N/A,TRUE,"GENERAL";"TAB5",#N/A,TRUE,"GENERAL"}</definedName>
    <definedName name="ffffy" localSheetId="16" hidden="1">{"TAB1",#N/A,TRUE,"GENERAL";"TAB2",#N/A,TRUE,"GENERAL";"TAB3",#N/A,TRUE,"GENERAL";"TAB4",#N/A,TRUE,"GENERAL";"TAB5",#N/A,TRUE,"GENERAL"}</definedName>
    <definedName name="ffffy" localSheetId="19" hidden="1">{"TAB1",#N/A,TRUE,"GENERAL";"TAB2",#N/A,TRUE,"GENERAL";"TAB3",#N/A,TRUE,"GENERAL";"TAB4",#N/A,TRUE,"GENERAL";"TAB5",#N/A,TRUE,"GENERAL"}</definedName>
    <definedName name="ffffy" hidden="1">{"TAB1",#N/A,TRUE,"GENERAL";"TAB2",#N/A,TRUE,"GENERAL";"TAB3",#N/A,TRUE,"GENERAL";"TAB4",#N/A,TRUE,"GENERAL";"TAB5",#N/A,TRUE,"GENERAL"}</definedName>
    <definedName name="fffrfr" localSheetId="1" hidden="1">{"TAB1",#N/A,TRUE,"GENERAL";"TAB2",#N/A,TRUE,"GENERAL";"TAB3",#N/A,TRUE,"GENERAL";"TAB4",#N/A,TRUE,"GENERAL";"TAB5",#N/A,TRUE,"GENERAL"}</definedName>
    <definedName name="fffrfr" localSheetId="9" hidden="1">{"TAB1",#N/A,TRUE,"GENERAL";"TAB2",#N/A,TRUE,"GENERAL";"TAB3",#N/A,TRUE,"GENERAL";"TAB4",#N/A,TRUE,"GENERAL";"TAB5",#N/A,TRUE,"GENERAL"}</definedName>
    <definedName name="fffrfr" localSheetId="16" hidden="1">{"TAB1",#N/A,TRUE,"GENERAL";"TAB2",#N/A,TRUE,"GENERAL";"TAB3",#N/A,TRUE,"GENERAL";"TAB4",#N/A,TRUE,"GENERAL";"TAB5",#N/A,TRUE,"GENERAL"}</definedName>
    <definedName name="fffrfr" localSheetId="19" hidden="1">{"TAB1",#N/A,TRUE,"GENERAL";"TAB2",#N/A,TRUE,"GENERAL";"TAB3",#N/A,TRUE,"GENERAL";"TAB4",#N/A,TRUE,"GENERAL";"TAB5",#N/A,TRUE,"GENERAL"}</definedName>
    <definedName name="fffrfr" hidden="1">{"TAB1",#N/A,TRUE,"GENERAL";"TAB2",#N/A,TRUE,"GENERAL";"TAB3",#N/A,TRUE,"GENERAL";"TAB4",#N/A,TRUE,"GENERAL";"TAB5",#N/A,TRUE,"GENERAL"}</definedName>
    <definedName name="fffs" localSheetId="1" hidden="1">{"TAB1",#N/A,TRUE,"GENERAL";"TAB2",#N/A,TRUE,"GENERAL";"TAB3",#N/A,TRUE,"GENERAL";"TAB4",#N/A,TRUE,"GENERAL";"TAB5",#N/A,TRUE,"GENERAL"}</definedName>
    <definedName name="fffs" localSheetId="9" hidden="1">{"TAB1",#N/A,TRUE,"GENERAL";"TAB2",#N/A,TRUE,"GENERAL";"TAB3",#N/A,TRUE,"GENERAL";"TAB4",#N/A,TRUE,"GENERAL";"TAB5",#N/A,TRUE,"GENERAL"}</definedName>
    <definedName name="fffs" localSheetId="16" hidden="1">{"TAB1",#N/A,TRUE,"GENERAL";"TAB2",#N/A,TRUE,"GENERAL";"TAB3",#N/A,TRUE,"GENERAL";"TAB4",#N/A,TRUE,"GENERAL";"TAB5",#N/A,TRUE,"GENERAL"}</definedName>
    <definedName name="fffs" localSheetId="19" hidden="1">{"TAB1",#N/A,TRUE,"GENERAL";"TAB2",#N/A,TRUE,"GENERAL";"TAB3",#N/A,TRUE,"GENERAL";"TAB4",#N/A,TRUE,"GENERAL";"TAB5",#N/A,TRUE,"GENERAL"}</definedName>
    <definedName name="fffs" hidden="1">{"TAB1",#N/A,TRUE,"GENERAL";"TAB2",#N/A,TRUE,"GENERAL";"TAB3",#N/A,TRUE,"GENERAL";"TAB4",#N/A,TRUE,"GENERAL";"TAB5",#N/A,TRUE,"GENERAL"}</definedName>
    <definedName name="fg" localSheetId="1">[1]!ERR</definedName>
    <definedName name="fg" localSheetId="16">[1]!ERR</definedName>
    <definedName name="fg" localSheetId="3">#REF!</definedName>
    <definedName name="fg" localSheetId="19">[1]!ERR</definedName>
    <definedName name="fg">[1]!ERR</definedName>
    <definedName name="fgdfg" localSheetId="1" hidden="1">{"TAB1",#N/A,TRUE,"GENERAL";"TAB2",#N/A,TRUE,"GENERAL";"TAB3",#N/A,TRUE,"GENERAL";"TAB4",#N/A,TRUE,"GENERAL";"TAB5",#N/A,TRUE,"GENERAL"}</definedName>
    <definedName name="fgdfg" localSheetId="9" hidden="1">{"TAB1",#N/A,TRUE,"GENERAL";"TAB2",#N/A,TRUE,"GENERAL";"TAB3",#N/A,TRUE,"GENERAL";"TAB4",#N/A,TRUE,"GENERAL";"TAB5",#N/A,TRUE,"GENERAL"}</definedName>
    <definedName name="fgdfg" localSheetId="16" hidden="1">{"TAB1",#N/A,TRUE,"GENERAL";"TAB2",#N/A,TRUE,"GENERAL";"TAB3",#N/A,TRUE,"GENERAL";"TAB4",#N/A,TRUE,"GENERAL";"TAB5",#N/A,TRUE,"GENERAL"}</definedName>
    <definedName name="fgdfg" localSheetId="19" hidden="1">{"TAB1",#N/A,TRUE,"GENERAL";"TAB2",#N/A,TRUE,"GENERAL";"TAB3",#N/A,TRUE,"GENERAL";"TAB4",#N/A,TRUE,"GENERAL";"TAB5",#N/A,TRUE,"GENERAL"}</definedName>
    <definedName name="fgdfg" hidden="1">{"TAB1",#N/A,TRUE,"GENERAL";"TAB2",#N/A,TRUE,"GENERAL";"TAB3",#N/A,TRUE,"GENERAL";"TAB4",#N/A,TRUE,"GENERAL";"TAB5",#N/A,TRUE,"GENERAL"}</definedName>
    <definedName name="fgdfsgr" localSheetId="1" hidden="1">{"via1",#N/A,TRUE,"general";"via2",#N/A,TRUE,"general";"via3",#N/A,TRUE,"general"}</definedName>
    <definedName name="fgdfsgr" localSheetId="9" hidden="1">{"via1",#N/A,TRUE,"general";"via2",#N/A,TRUE,"general";"via3",#N/A,TRUE,"general"}</definedName>
    <definedName name="fgdfsgr" localSheetId="16" hidden="1">{"via1",#N/A,TRUE,"general";"via2",#N/A,TRUE,"general";"via3",#N/A,TRUE,"general"}</definedName>
    <definedName name="fgdfsgr" localSheetId="19" hidden="1">{"via1",#N/A,TRUE,"general";"via2",#N/A,TRUE,"general";"via3",#N/A,TRUE,"general"}</definedName>
    <definedName name="fgdfsgr" hidden="1">{"via1",#N/A,TRUE,"general";"via2",#N/A,TRUE,"general";"via3",#N/A,TRUE,"general"}</definedName>
    <definedName name="fgdsfg" localSheetId="1" hidden="1">{"TAB1",#N/A,TRUE,"GENERAL";"TAB2",#N/A,TRUE,"GENERAL";"TAB3",#N/A,TRUE,"GENERAL";"TAB4",#N/A,TRUE,"GENERAL";"TAB5",#N/A,TRUE,"GENERAL"}</definedName>
    <definedName name="fgdsfg" localSheetId="9" hidden="1">{"TAB1",#N/A,TRUE,"GENERAL";"TAB2",#N/A,TRUE,"GENERAL";"TAB3",#N/A,TRUE,"GENERAL";"TAB4",#N/A,TRUE,"GENERAL";"TAB5",#N/A,TRUE,"GENERAL"}</definedName>
    <definedName name="fgdsfg" localSheetId="16" hidden="1">{"TAB1",#N/A,TRUE,"GENERAL";"TAB2",#N/A,TRUE,"GENERAL";"TAB3",#N/A,TRUE,"GENERAL";"TAB4",#N/A,TRUE,"GENERAL";"TAB5",#N/A,TRUE,"GENERAL"}</definedName>
    <definedName name="fgdsfg" localSheetId="19" hidden="1">{"TAB1",#N/A,TRUE,"GENERAL";"TAB2",#N/A,TRUE,"GENERAL";"TAB3",#N/A,TRUE,"GENERAL";"TAB4",#N/A,TRUE,"GENERAL";"TAB5",#N/A,TRUE,"GENERAL"}</definedName>
    <definedName name="fgdsfg" hidden="1">{"TAB1",#N/A,TRUE,"GENERAL";"TAB2",#N/A,TRUE,"GENERAL";"TAB3",#N/A,TRUE,"GENERAL";"TAB4",#N/A,TRUE,"GENERAL";"TAB5",#N/A,TRUE,"GENERAL"}</definedName>
    <definedName name="FGFDH" localSheetId="1" hidden="1">{"via1",#N/A,TRUE,"general";"via2",#N/A,TRUE,"general";"via3",#N/A,TRUE,"general"}</definedName>
    <definedName name="FGFDH" localSheetId="9" hidden="1">{"via1",#N/A,TRUE,"general";"via2",#N/A,TRUE,"general";"via3",#N/A,TRUE,"general"}</definedName>
    <definedName name="FGFDH" localSheetId="16" hidden="1">{"via1",#N/A,TRUE,"general";"via2",#N/A,TRUE,"general";"via3",#N/A,TRUE,"general"}</definedName>
    <definedName name="FGFDH" localSheetId="19" hidden="1">{"via1",#N/A,TRUE,"general";"via2",#N/A,TRUE,"general";"via3",#N/A,TRUE,"general"}</definedName>
    <definedName name="FGFDH" hidden="1">{"via1",#N/A,TRUE,"general";"via2",#N/A,TRUE,"general";"via3",#N/A,TRUE,"general"}</definedName>
    <definedName name="fgghhj" localSheetId="1" hidden="1">{"via1",#N/A,TRUE,"general";"via2",#N/A,TRUE,"general";"via3",#N/A,TRUE,"general"}</definedName>
    <definedName name="fgghhj" localSheetId="9" hidden="1">{"via1",#N/A,TRUE,"general";"via2",#N/A,TRUE,"general";"via3",#N/A,TRUE,"general"}</definedName>
    <definedName name="fgghhj" localSheetId="16" hidden="1">{"via1",#N/A,TRUE,"general";"via2",#N/A,TRUE,"general";"via3",#N/A,TRUE,"general"}</definedName>
    <definedName name="fgghhj" localSheetId="19" hidden="1">{"via1",#N/A,TRUE,"general";"via2",#N/A,TRUE,"general";"via3",#N/A,TRUE,"general"}</definedName>
    <definedName name="fgghhj" hidden="1">{"via1",#N/A,TRUE,"general";"via2",#N/A,TRUE,"general";"via3",#N/A,TRUE,"general"}</definedName>
    <definedName name="FGHFBC" localSheetId="1" hidden="1">{"via1",#N/A,TRUE,"general";"via2",#N/A,TRUE,"general";"via3",#N/A,TRUE,"general"}</definedName>
    <definedName name="FGHFBC" localSheetId="9" hidden="1">{"via1",#N/A,TRUE,"general";"via2",#N/A,TRUE,"general";"via3",#N/A,TRUE,"general"}</definedName>
    <definedName name="FGHFBC" localSheetId="16" hidden="1">{"via1",#N/A,TRUE,"general";"via2",#N/A,TRUE,"general";"via3",#N/A,TRUE,"general"}</definedName>
    <definedName name="FGHFBC" localSheetId="19" hidden="1">{"via1",#N/A,TRUE,"general";"via2",#N/A,TRUE,"general";"via3",#N/A,TRUE,"general"}</definedName>
    <definedName name="FGHFBC" hidden="1">{"via1",#N/A,TRUE,"general";"via2",#N/A,TRUE,"general";"via3",#N/A,TRUE,"general"}</definedName>
    <definedName name="fghfg" localSheetId="1" hidden="1">{"TAB1",#N/A,TRUE,"GENERAL";"TAB2",#N/A,TRUE,"GENERAL";"TAB3",#N/A,TRUE,"GENERAL";"TAB4",#N/A,TRUE,"GENERAL";"TAB5",#N/A,TRUE,"GENERAL"}</definedName>
    <definedName name="fghfg" localSheetId="9" hidden="1">{"TAB1",#N/A,TRUE,"GENERAL";"TAB2",#N/A,TRUE,"GENERAL";"TAB3",#N/A,TRUE,"GENERAL";"TAB4",#N/A,TRUE,"GENERAL";"TAB5",#N/A,TRUE,"GENERAL"}</definedName>
    <definedName name="fghfg" localSheetId="16" hidden="1">{"TAB1",#N/A,TRUE,"GENERAL";"TAB2",#N/A,TRUE,"GENERAL";"TAB3",#N/A,TRUE,"GENERAL";"TAB4",#N/A,TRUE,"GENERAL";"TAB5",#N/A,TRUE,"GENERAL"}</definedName>
    <definedName name="fghfg" localSheetId="19" hidden="1">{"TAB1",#N/A,TRUE,"GENERAL";"TAB2",#N/A,TRUE,"GENERAL";"TAB3",#N/A,TRUE,"GENERAL";"TAB4",#N/A,TRUE,"GENERAL";"TAB5",#N/A,TRUE,"GENERAL"}</definedName>
    <definedName name="fghfg" hidden="1">{"TAB1",#N/A,TRUE,"GENERAL";"TAB2",#N/A,TRUE,"GENERAL";"TAB3",#N/A,TRUE,"GENERAL";"TAB4",#N/A,TRUE,"GENERAL";"TAB5",#N/A,TRUE,"GENERAL"}</definedName>
    <definedName name="fghfgh" localSheetId="1" hidden="1">{"via1",#N/A,TRUE,"general";"via2",#N/A,TRUE,"general";"via3",#N/A,TRUE,"general"}</definedName>
    <definedName name="fghfgh" localSheetId="9" hidden="1">{"via1",#N/A,TRUE,"general";"via2",#N/A,TRUE,"general";"via3",#N/A,TRUE,"general"}</definedName>
    <definedName name="fghfgh" localSheetId="16" hidden="1">{"via1",#N/A,TRUE,"general";"via2",#N/A,TRUE,"general";"via3",#N/A,TRUE,"general"}</definedName>
    <definedName name="fghfgh" localSheetId="19" hidden="1">{"via1",#N/A,TRUE,"general";"via2",#N/A,TRUE,"general";"via3",#N/A,TRUE,"general"}</definedName>
    <definedName name="fghfgh" hidden="1">{"via1",#N/A,TRUE,"general";"via2",#N/A,TRUE,"general";"via3",#N/A,TRUE,"general"}</definedName>
    <definedName name="FGHFW" localSheetId="1" hidden="1">{"via1",#N/A,TRUE,"general";"via2",#N/A,TRUE,"general";"via3",#N/A,TRUE,"general"}</definedName>
    <definedName name="FGHFW" localSheetId="9" hidden="1">{"via1",#N/A,TRUE,"general";"via2",#N/A,TRUE,"general";"via3",#N/A,TRUE,"general"}</definedName>
    <definedName name="FGHFW" localSheetId="16" hidden="1">{"via1",#N/A,TRUE,"general";"via2",#N/A,TRUE,"general";"via3",#N/A,TRUE,"general"}</definedName>
    <definedName name="FGHFW" localSheetId="19" hidden="1">{"via1",#N/A,TRUE,"general";"via2",#N/A,TRUE,"general";"via3",#N/A,TRUE,"general"}</definedName>
    <definedName name="FGHFW" hidden="1">{"via1",#N/A,TRUE,"general";"via2",#N/A,TRUE,"general";"via3",#N/A,TRUE,"general"}</definedName>
    <definedName name="fghhh" localSheetId="1" hidden="1">{"TAB1",#N/A,TRUE,"GENERAL";"TAB2",#N/A,TRUE,"GENERAL";"TAB3",#N/A,TRUE,"GENERAL";"TAB4",#N/A,TRUE,"GENERAL";"TAB5",#N/A,TRUE,"GENERAL"}</definedName>
    <definedName name="fghhh" localSheetId="9" hidden="1">{"TAB1",#N/A,TRUE,"GENERAL";"TAB2",#N/A,TRUE,"GENERAL";"TAB3",#N/A,TRUE,"GENERAL";"TAB4",#N/A,TRUE,"GENERAL";"TAB5",#N/A,TRUE,"GENERAL"}</definedName>
    <definedName name="fghhh" localSheetId="16" hidden="1">{"TAB1",#N/A,TRUE,"GENERAL";"TAB2",#N/A,TRUE,"GENERAL";"TAB3",#N/A,TRUE,"GENERAL";"TAB4",#N/A,TRUE,"GENERAL";"TAB5",#N/A,TRUE,"GENERAL"}</definedName>
    <definedName name="fghhh" localSheetId="19" hidden="1">{"TAB1",#N/A,TRUE,"GENERAL";"TAB2",#N/A,TRUE,"GENERAL";"TAB3",#N/A,TRUE,"GENERAL";"TAB4",#N/A,TRUE,"GENERAL";"TAB5",#N/A,TRUE,"GENERAL"}</definedName>
    <definedName name="fghhh" hidden="1">{"TAB1",#N/A,TRUE,"GENERAL";"TAB2",#N/A,TRUE,"GENERAL";"TAB3",#N/A,TRUE,"GENERAL";"TAB4",#N/A,TRUE,"GENERAL";"TAB5",#N/A,TRUE,"GENERAL"}</definedName>
    <definedName name="fghsfgh" localSheetId="1" hidden="1">{"via1",#N/A,TRUE,"general";"via2",#N/A,TRUE,"general";"via3",#N/A,TRUE,"general"}</definedName>
    <definedName name="fghsfgh" localSheetId="9" hidden="1">{"via1",#N/A,TRUE,"general";"via2",#N/A,TRUE,"general";"via3",#N/A,TRUE,"general"}</definedName>
    <definedName name="fghsfgh" localSheetId="16" hidden="1">{"via1",#N/A,TRUE,"general";"via2",#N/A,TRUE,"general";"via3",#N/A,TRUE,"general"}</definedName>
    <definedName name="fghsfgh" localSheetId="19" hidden="1">{"via1",#N/A,TRUE,"general";"via2",#N/A,TRUE,"general";"via3",#N/A,TRUE,"general"}</definedName>
    <definedName name="fghsfgh" hidden="1">{"via1",#N/A,TRUE,"general";"via2",#N/A,TRUE,"general";"via3",#N/A,TRUE,"general"}</definedName>
    <definedName name="fght" localSheetId="1" hidden="1">{"TAB1",#N/A,TRUE,"GENERAL";"TAB2",#N/A,TRUE,"GENERAL";"TAB3",#N/A,TRUE,"GENERAL";"TAB4",#N/A,TRUE,"GENERAL";"TAB5",#N/A,TRUE,"GENERAL"}</definedName>
    <definedName name="fght" localSheetId="9" hidden="1">{"TAB1",#N/A,TRUE,"GENERAL";"TAB2",#N/A,TRUE,"GENERAL";"TAB3",#N/A,TRUE,"GENERAL";"TAB4",#N/A,TRUE,"GENERAL";"TAB5",#N/A,TRUE,"GENERAL"}</definedName>
    <definedName name="fght" localSheetId="16" hidden="1">{"TAB1",#N/A,TRUE,"GENERAL";"TAB2",#N/A,TRUE,"GENERAL";"TAB3",#N/A,TRUE,"GENERAL";"TAB4",#N/A,TRUE,"GENERAL";"TAB5",#N/A,TRUE,"GENERAL"}</definedName>
    <definedName name="fght" localSheetId="19" hidden="1">{"TAB1",#N/A,TRUE,"GENERAL";"TAB2",#N/A,TRUE,"GENERAL";"TAB3",#N/A,TRUE,"GENERAL";"TAB4",#N/A,TRUE,"GENERAL";"TAB5",#N/A,TRUE,"GENERAL"}</definedName>
    <definedName name="fght" hidden="1">{"TAB1",#N/A,TRUE,"GENERAL";"TAB2",#N/A,TRUE,"GENERAL";"TAB3",#N/A,TRUE,"GENERAL";"TAB4",#N/A,TRUE,"GENERAL";"TAB5",#N/A,TRUE,"GENERAL"}</definedName>
    <definedName name="fgjgryi" localSheetId="1" hidden="1">{"TAB1",#N/A,TRUE,"GENERAL";"TAB2",#N/A,TRUE,"GENERAL";"TAB3",#N/A,TRUE,"GENERAL";"TAB4",#N/A,TRUE,"GENERAL";"TAB5",#N/A,TRUE,"GENERAL"}</definedName>
    <definedName name="fgjgryi" localSheetId="9" hidden="1">{"TAB1",#N/A,TRUE,"GENERAL";"TAB2",#N/A,TRUE,"GENERAL";"TAB3",#N/A,TRUE,"GENERAL";"TAB4",#N/A,TRUE,"GENERAL";"TAB5",#N/A,TRUE,"GENERAL"}</definedName>
    <definedName name="fgjgryi" localSheetId="16" hidden="1">{"TAB1",#N/A,TRUE,"GENERAL";"TAB2",#N/A,TRUE,"GENERAL";"TAB3",#N/A,TRUE,"GENERAL";"TAB4",#N/A,TRUE,"GENERAL";"TAB5",#N/A,TRUE,"GENERAL"}</definedName>
    <definedName name="fgjgryi" localSheetId="19" hidden="1">{"TAB1",#N/A,TRUE,"GENERAL";"TAB2",#N/A,TRUE,"GENERAL";"TAB3",#N/A,TRUE,"GENERAL";"TAB4",#N/A,TRUE,"GENERAL";"TAB5",#N/A,TRUE,"GENERAL"}</definedName>
    <definedName name="fgjgryi" hidden="1">{"TAB1",#N/A,TRUE,"GENERAL";"TAB2",#N/A,TRUE,"GENERAL";"TAB3",#N/A,TRUE,"GENERAL";"TAB4",#N/A,TRUE,"GENERAL";"TAB5",#N/A,TRUE,"GENERAL"}</definedName>
    <definedName name="FGV" localSheetId="3">#REF!</definedName>
    <definedName name="FGV">#REF!</definedName>
    <definedName name="fhfg" localSheetId="1" hidden="1">{"TAB1",#N/A,TRUE,"GENERAL";"TAB2",#N/A,TRUE,"GENERAL";"TAB3",#N/A,TRUE,"GENERAL";"TAB4",#N/A,TRUE,"GENERAL";"TAB5",#N/A,TRUE,"GENERAL"}</definedName>
    <definedName name="fhfg" localSheetId="9" hidden="1">{"TAB1",#N/A,TRUE,"GENERAL";"TAB2",#N/A,TRUE,"GENERAL";"TAB3",#N/A,TRUE,"GENERAL";"TAB4",#N/A,TRUE,"GENERAL";"TAB5",#N/A,TRUE,"GENERAL"}</definedName>
    <definedName name="fhfg" localSheetId="16" hidden="1">{"TAB1",#N/A,TRUE,"GENERAL";"TAB2",#N/A,TRUE,"GENERAL";"TAB3",#N/A,TRUE,"GENERAL";"TAB4",#N/A,TRUE,"GENERAL";"TAB5",#N/A,TRUE,"GENERAL"}</definedName>
    <definedName name="fhfg" localSheetId="19" hidden="1">{"TAB1",#N/A,TRUE,"GENERAL";"TAB2",#N/A,TRUE,"GENERAL";"TAB3",#N/A,TRUE,"GENERAL";"TAB4",#N/A,TRUE,"GENERAL";"TAB5",#N/A,TRUE,"GENERAL"}</definedName>
    <definedName name="fhfg" hidden="1">{"TAB1",#N/A,TRUE,"GENERAL";"TAB2",#N/A,TRUE,"GENERAL";"TAB3",#N/A,TRUE,"GENERAL";"TAB4",#N/A,TRUE,"GENERAL";"TAB5",#N/A,TRUE,"GENERAL"}</definedName>
    <definedName name="fhfgh" localSheetId="1" hidden="1">{"via1",#N/A,TRUE,"general";"via2",#N/A,TRUE,"general";"via3",#N/A,TRUE,"general"}</definedName>
    <definedName name="fhfgh" localSheetId="9" hidden="1">{"via1",#N/A,TRUE,"general";"via2",#N/A,TRUE,"general";"via3",#N/A,TRUE,"general"}</definedName>
    <definedName name="fhfgh" localSheetId="16" hidden="1">{"via1",#N/A,TRUE,"general";"via2",#N/A,TRUE,"general";"via3",#N/A,TRUE,"general"}</definedName>
    <definedName name="fhfgh" localSheetId="19" hidden="1">{"via1",#N/A,TRUE,"general";"via2",#N/A,TRUE,"general";"via3",#N/A,TRUE,"general"}</definedName>
    <definedName name="fhfgh" hidden="1">{"via1",#N/A,TRUE,"general";"via2",#N/A,TRUE,"general";"via3",#N/A,TRUE,"general"}</definedName>
    <definedName name="fhgh" localSheetId="1" hidden="1">{"via1",#N/A,TRUE,"general";"via2",#N/A,TRUE,"general";"via3",#N/A,TRUE,"general"}</definedName>
    <definedName name="fhgh" localSheetId="9" hidden="1">{"via1",#N/A,TRUE,"general";"via2",#N/A,TRUE,"general";"via3",#N/A,TRUE,"general"}</definedName>
    <definedName name="fhgh" localSheetId="16" hidden="1">{"via1",#N/A,TRUE,"general";"via2",#N/A,TRUE,"general";"via3",#N/A,TRUE,"general"}</definedName>
    <definedName name="fhgh" localSheetId="19" hidden="1">{"via1",#N/A,TRUE,"general";"via2",#N/A,TRUE,"general";"via3",#N/A,TRUE,"general"}</definedName>
    <definedName name="fhgh" hidden="1">{"via1",#N/A,TRUE,"general";"via2",#N/A,TRUE,"general";"via3",#N/A,TRUE,"general"}</definedName>
    <definedName name="fhpltyunh" localSheetId="1" hidden="1">{"via1",#N/A,TRUE,"general";"via2",#N/A,TRUE,"general";"via3",#N/A,TRUE,"general"}</definedName>
    <definedName name="fhpltyunh" localSheetId="9" hidden="1">{"via1",#N/A,TRUE,"general";"via2",#N/A,TRUE,"general";"via3",#N/A,TRUE,"general"}</definedName>
    <definedName name="fhpltyunh" localSheetId="16" hidden="1">{"via1",#N/A,TRUE,"general";"via2",#N/A,TRUE,"general";"via3",#N/A,TRUE,"general"}</definedName>
    <definedName name="fhpltyunh" localSheetId="19" hidden="1">{"via1",#N/A,TRUE,"general";"via2",#N/A,TRUE,"general";"via3",#N/A,TRUE,"general"}</definedName>
    <definedName name="fhpltyunh" hidden="1">{"via1",#N/A,TRUE,"general";"via2",#N/A,TRUE,"general";"via3",#N/A,TRUE,"general"}</definedName>
    <definedName name="fi" localSheetId="3">#REF!</definedName>
    <definedName name="fi">#REF!</definedName>
    <definedName name="FIDUCIASOCTUBRE" hidden="1">{#N/A,#N/A,FALSE,"Aging Summary";#N/A,#N/A,FALSE,"Ratio Analysis";#N/A,#N/A,FALSE,"Test 120 Day Accts";#N/A,#N/A,FALSE,"Tickmarks"}</definedName>
    <definedName name="Fin_de_semana" localSheetId="16">'[75]días habiles 2015'!$M$1:$M$2</definedName>
    <definedName name="Fin_de_semana">'[75]días habiles 2015'!$M$1:$M$2</definedName>
    <definedName name="FINANCIACION" localSheetId="1">[1]!ERR</definedName>
    <definedName name="FINANCIACION" localSheetId="16">[1]!ERR</definedName>
    <definedName name="FINANCIACION" localSheetId="19">[1]!ERR</definedName>
    <definedName name="FINANCIACION">[1]!ERR</definedName>
    <definedName name="fk" localSheetId="1">#REF!</definedName>
    <definedName name="fk" localSheetId="16">#REF!</definedName>
    <definedName name="fk" localSheetId="3">#REF!</definedName>
    <definedName name="fk">#REF!</definedName>
    <definedName name="flq" localSheetId="1">#REF!</definedName>
    <definedName name="flq">#REF!</definedName>
    <definedName name="fomulario3">#REF!</definedName>
    <definedName name="Formaleta" localSheetId="1">'[20]LISTADO DE MATERIALES Y EQUIPOS'!$B$45</definedName>
    <definedName name="Formaleta" localSheetId="16">'[20]LISTADO DE MATERIALES Y EQUIPOS'!$B$45</definedName>
    <definedName name="Formaleta">'[20]LISTADO DE MATERIALES Y EQUIPOS'!$B$45</definedName>
    <definedName name="formularioCantidades" localSheetId="16">#REF!</definedName>
    <definedName name="formularioCantidades" localSheetId="3">#REF!</definedName>
    <definedName name="formularioCantidades">#REF!</definedName>
    <definedName name="FPrestacional">[76]PlanCero!$D$8+[76]PlanCero!$D$9</definedName>
    <definedName name="frbgsd" localSheetId="1" hidden="1">{"TAB1",#N/A,TRUE,"GENERAL";"TAB2",#N/A,TRUE,"GENERAL";"TAB3",#N/A,TRUE,"GENERAL";"TAB4",#N/A,TRUE,"GENERAL";"TAB5",#N/A,TRUE,"GENERAL"}</definedName>
    <definedName name="frbgsd" localSheetId="9" hidden="1">{"TAB1",#N/A,TRUE,"GENERAL";"TAB2",#N/A,TRUE,"GENERAL";"TAB3",#N/A,TRUE,"GENERAL";"TAB4",#N/A,TRUE,"GENERAL";"TAB5",#N/A,TRUE,"GENERAL"}</definedName>
    <definedName name="frbgsd" localSheetId="16" hidden="1">{"TAB1",#N/A,TRUE,"GENERAL";"TAB2",#N/A,TRUE,"GENERAL";"TAB3",#N/A,TRUE,"GENERAL";"TAB4",#N/A,TRUE,"GENERAL";"TAB5",#N/A,TRUE,"GENERAL"}</definedName>
    <definedName name="frbgsd" localSheetId="19" hidden="1">{"TAB1",#N/A,TRUE,"GENERAL";"TAB2",#N/A,TRUE,"GENERAL";"TAB3",#N/A,TRUE,"GENERAL";"TAB4",#N/A,TRUE,"GENERAL";"TAB5",#N/A,TRUE,"GENERAL"}</definedName>
    <definedName name="frbgsd" hidden="1">{"TAB1",#N/A,TRUE,"GENERAL";"TAB2",#N/A,TRUE,"GENERAL";"TAB3",#N/A,TRUE,"GENERAL";"TAB4",#N/A,TRUE,"GENERAL";"TAB5",#N/A,TRUE,"GENERAL"}</definedName>
    <definedName name="frefr" localSheetId="1" hidden="1">{"via1",#N/A,TRUE,"general";"via2",#N/A,TRUE,"general";"via3",#N/A,TRUE,"general"}</definedName>
    <definedName name="frefr" localSheetId="9" hidden="1">{"via1",#N/A,TRUE,"general";"via2",#N/A,TRUE,"general";"via3",#N/A,TRUE,"general"}</definedName>
    <definedName name="frefr" localSheetId="16" hidden="1">{"via1",#N/A,TRUE,"general";"via2",#N/A,TRUE,"general";"via3",#N/A,TRUE,"general"}</definedName>
    <definedName name="frefr" localSheetId="19" hidden="1">{"via1",#N/A,TRUE,"general";"via2",#N/A,TRUE,"general";"via3",#N/A,TRUE,"general"}</definedName>
    <definedName name="frefr" hidden="1">{"via1",#N/A,TRUE,"general";"via2",#N/A,TRUE,"general";"via3",#N/A,TRUE,"general"}</definedName>
    <definedName name="FREV" hidden="1">{"PYGT",#N/A,FALSE,"PYG";"ACTIT",#N/A,FALSE,"BCE_GRAL-ACTIVO";"PASIT",#N/A,FALSE,"BCE_GRAL-PASIVO-PATRIM";"CAJAT",#N/A,FALSE,"CAJA"}</definedName>
    <definedName name="frfa" localSheetId="1" hidden="1">{"via1",#N/A,TRUE,"general";"via2",#N/A,TRUE,"general";"via3",#N/A,TRUE,"general"}</definedName>
    <definedName name="frfa" localSheetId="9" hidden="1">{"via1",#N/A,TRUE,"general";"via2",#N/A,TRUE,"general";"via3",#N/A,TRUE,"general"}</definedName>
    <definedName name="frfa" localSheetId="16" hidden="1">{"via1",#N/A,TRUE,"general";"via2",#N/A,TRUE,"general";"via3",#N/A,TRUE,"general"}</definedName>
    <definedName name="frfa" localSheetId="19" hidden="1">{"via1",#N/A,TRUE,"general";"via2",#N/A,TRUE,"general";"via3",#N/A,TRUE,"general"}</definedName>
    <definedName name="frfa" hidden="1">{"via1",#N/A,TRUE,"general";"via2",#N/A,TRUE,"general";"via3",#N/A,TRUE,"general"}</definedName>
    <definedName name="frfr" localSheetId="1" hidden="1">{"TAB1",#N/A,TRUE,"GENERAL";"TAB2",#N/A,TRUE,"GENERAL";"TAB3",#N/A,TRUE,"GENERAL";"TAB4",#N/A,TRUE,"GENERAL";"TAB5",#N/A,TRUE,"GENERAL"}</definedName>
    <definedName name="frfr" localSheetId="9" hidden="1">{"TAB1",#N/A,TRUE,"GENERAL";"TAB2",#N/A,TRUE,"GENERAL";"TAB3",#N/A,TRUE,"GENERAL";"TAB4",#N/A,TRUE,"GENERAL";"TAB5",#N/A,TRUE,"GENERAL"}</definedName>
    <definedName name="frfr" localSheetId="16" hidden="1">{"TAB1",#N/A,TRUE,"GENERAL";"TAB2",#N/A,TRUE,"GENERAL";"TAB3",#N/A,TRUE,"GENERAL";"TAB4",#N/A,TRUE,"GENERAL";"TAB5",#N/A,TRUE,"GENERAL"}</definedName>
    <definedName name="frfr" localSheetId="19" hidden="1">{"TAB1",#N/A,TRUE,"GENERAL";"TAB2",#N/A,TRUE,"GENERAL";"TAB3",#N/A,TRUE,"GENERAL";"TAB4",#N/A,TRUE,"GENERAL";"TAB5",#N/A,TRUE,"GENERAL"}</definedName>
    <definedName name="frfr" hidden="1">{"TAB1",#N/A,TRUE,"GENERAL";"TAB2",#N/A,TRUE,"GENERAL";"TAB3",#N/A,TRUE,"GENERAL";"TAB4",#N/A,TRUE,"GENERAL";"TAB5",#N/A,TRUE,"GENERAL"}</definedName>
    <definedName name="fsdfdsf" localSheetId="1">[1]!ERR</definedName>
    <definedName name="fsdfdsf" localSheetId="16">[1]!ERR</definedName>
    <definedName name="fsdfdsf" localSheetId="19">[1]!ERR</definedName>
    <definedName name="fsdfdsf">[1]!ERR</definedName>
    <definedName name="fu" localSheetId="1">[1]!ERR</definedName>
    <definedName name="fu" localSheetId="16">[1]!ERR</definedName>
    <definedName name="fu" localSheetId="3">#REF!</definedName>
    <definedName name="fu" localSheetId="19">[1]!ERR</definedName>
    <definedName name="fu">[1]!ERR</definedName>
    <definedName name="Full_Print" localSheetId="1">#REF!</definedName>
    <definedName name="Full_Print" localSheetId="16">#REF!</definedName>
    <definedName name="Full_Print" localSheetId="3">#REF!</definedName>
    <definedName name="Full_Print">#REF!</definedName>
    <definedName name="fv" localSheetId="1">#REF!</definedName>
    <definedName name="fv">#REF!</definedName>
    <definedName name="fwff" localSheetId="1" hidden="1">{"via1",#N/A,TRUE,"general";"via2",#N/A,TRUE,"general";"via3",#N/A,TRUE,"general"}</definedName>
    <definedName name="fwff" localSheetId="9" hidden="1">{"via1",#N/A,TRUE,"general";"via2",#N/A,TRUE,"general";"via3",#N/A,TRUE,"general"}</definedName>
    <definedName name="fwff" localSheetId="16" hidden="1">{"via1",#N/A,TRUE,"general";"via2",#N/A,TRUE,"general";"via3",#N/A,TRUE,"general"}</definedName>
    <definedName name="fwff" localSheetId="19" hidden="1">{"via1",#N/A,TRUE,"general";"via2",#N/A,TRUE,"general";"via3",#N/A,TRUE,"general"}</definedName>
    <definedName name="fwff" hidden="1">{"via1",#N/A,TRUE,"general";"via2",#N/A,TRUE,"general";"via3",#N/A,TRUE,"general"}</definedName>
    <definedName name="fwwe" localSheetId="1" hidden="1">{"via1",#N/A,TRUE,"general";"via2",#N/A,TRUE,"general";"via3",#N/A,TRUE,"general"}</definedName>
    <definedName name="fwwe" localSheetId="9" hidden="1">{"via1",#N/A,TRUE,"general";"via2",#N/A,TRUE,"general";"via3",#N/A,TRUE,"general"}</definedName>
    <definedName name="fwwe" localSheetId="16" hidden="1">{"via1",#N/A,TRUE,"general";"via2",#N/A,TRUE,"general";"via3",#N/A,TRUE,"general"}</definedName>
    <definedName name="fwwe" localSheetId="19" hidden="1">{"via1",#N/A,TRUE,"general";"via2",#N/A,TRUE,"general";"via3",#N/A,TRUE,"general"}</definedName>
    <definedName name="fwwe" hidden="1">{"via1",#N/A,TRUE,"general";"via2",#N/A,TRUE,"general";"via3",#N/A,TRUE,"general"}</definedName>
    <definedName name="fy" localSheetId="3">#REF!</definedName>
    <definedName name="fy">#REF!</definedName>
    <definedName name="ga" localSheetId="3">#REF!</definedName>
    <definedName name="ga">#REF!</definedName>
    <definedName name="GAS_MEDICINAL" localSheetId="1">[7]PRESUPUESTO!#REF!</definedName>
    <definedName name="GAS_MEDICINAL" localSheetId="16">[7]PRESUPUESTO!#REF!</definedName>
    <definedName name="GAS_MEDICINAL">[7]PRESUPUESTO!#REF!</definedName>
    <definedName name="Gastos" localSheetId="16">#REF!</definedName>
    <definedName name="Gastos" localSheetId="3" hidden="1">{#N/A,#N/A,FALSE,"GRAFICO";#N/A,#N/A,FALSE,"CAJA (2)";#N/A,#N/A,FALSE,"TERCEROS-PROMEDIO";#N/A,#N/A,FALSE,"CAJA";#N/A,#N/A,FALSE,"INGRESOS1995-2003";#N/A,#N/A,FALSE,"GASTOS1995-2003"}</definedName>
    <definedName name="Gastos">#REF!</definedName>
    <definedName name="gb" localSheetId="16">#REF!</definedName>
    <definedName name="gb">#REF!</definedName>
    <definedName name="gbbfghghj" localSheetId="1" hidden="1">{"TAB1",#N/A,TRUE,"GENERAL";"TAB2",#N/A,TRUE,"GENERAL";"TAB3",#N/A,TRUE,"GENERAL";"TAB4",#N/A,TRUE,"GENERAL";"TAB5",#N/A,TRUE,"GENERAL"}</definedName>
    <definedName name="gbbfghghj" localSheetId="9" hidden="1">{"TAB1",#N/A,TRUE,"GENERAL";"TAB2",#N/A,TRUE,"GENERAL";"TAB3",#N/A,TRUE,"GENERAL";"TAB4",#N/A,TRUE,"GENERAL";"TAB5",#N/A,TRUE,"GENERAL"}</definedName>
    <definedName name="gbbfghghj" localSheetId="16" hidden="1">{"TAB1",#N/A,TRUE,"GENERAL";"TAB2",#N/A,TRUE,"GENERAL";"TAB3",#N/A,TRUE,"GENERAL";"TAB4",#N/A,TRUE,"GENERAL";"TAB5",#N/A,TRUE,"GENERAL"}</definedName>
    <definedName name="gbbfghghj" localSheetId="19" hidden="1">{"TAB1",#N/A,TRUE,"GENERAL";"TAB2",#N/A,TRUE,"GENERAL";"TAB3",#N/A,TRUE,"GENERAL";"TAB4",#N/A,TRUE,"GENERAL";"TAB5",#N/A,TRUE,"GENERAL"}</definedName>
    <definedName name="gbbfghghj" hidden="1">{"TAB1",#N/A,TRUE,"GENERAL";"TAB2",#N/A,TRUE,"GENERAL";"TAB3",#N/A,TRUE,"GENERAL";"TAB4",#N/A,TRUE,"GENERAL";"TAB5",#N/A,TRUE,"GENERAL"}</definedName>
    <definedName name="gc" localSheetId="3">#REF!</definedName>
    <definedName name="gc">#REF!</definedName>
    <definedName name="gd" localSheetId="3">#REF!</definedName>
    <definedName name="gd">#REF!</definedName>
    <definedName name="gdj" localSheetId="3">#REF!</definedName>
    <definedName name="gdj">#REF!</definedName>
    <definedName name="gdt" localSheetId="1" hidden="1">{"TAB1",#N/A,TRUE,"GENERAL";"TAB2",#N/A,TRUE,"GENERAL";"TAB3",#N/A,TRUE,"GENERAL";"TAB4",#N/A,TRUE,"GENERAL";"TAB5",#N/A,TRUE,"GENERAL"}</definedName>
    <definedName name="gdt" localSheetId="9" hidden="1">{"TAB1",#N/A,TRUE,"GENERAL";"TAB2",#N/A,TRUE,"GENERAL";"TAB3",#N/A,TRUE,"GENERAL";"TAB4",#N/A,TRUE,"GENERAL";"TAB5",#N/A,TRUE,"GENERAL"}</definedName>
    <definedName name="gdt" localSheetId="16" hidden="1">{"TAB1",#N/A,TRUE,"GENERAL";"TAB2",#N/A,TRUE,"GENERAL";"TAB3",#N/A,TRUE,"GENERAL";"TAB4",#N/A,TRUE,"GENERAL";"TAB5",#N/A,TRUE,"GENERAL"}</definedName>
    <definedName name="gdt" localSheetId="19" hidden="1">{"TAB1",#N/A,TRUE,"GENERAL";"TAB2",#N/A,TRUE,"GENERAL";"TAB3",#N/A,TRUE,"GENERAL";"TAB4",#N/A,TRUE,"GENERAL";"TAB5",#N/A,TRUE,"GENERAL"}</definedName>
    <definedName name="gdt" hidden="1">{"TAB1",#N/A,TRUE,"GENERAL";"TAB2",#N/A,TRUE,"GENERAL";"TAB3",#N/A,TRUE,"GENERAL";"TAB4",#N/A,TRUE,"GENERAL";"TAB5",#N/A,TRUE,"GENERAL"}</definedName>
    <definedName name="geg" localSheetId="1" hidden="1">{"via1",#N/A,TRUE,"general";"via2",#N/A,TRUE,"general";"via3",#N/A,TRUE,"general"}</definedName>
    <definedName name="geg" localSheetId="9" hidden="1">{"via1",#N/A,TRUE,"general";"via2",#N/A,TRUE,"general";"via3",#N/A,TRUE,"general"}</definedName>
    <definedName name="geg" localSheetId="16" hidden="1">{"via1",#N/A,TRUE,"general";"via2",#N/A,TRUE,"general";"via3",#N/A,TRUE,"general"}</definedName>
    <definedName name="geg" localSheetId="19" hidden="1">{"via1",#N/A,TRUE,"general";"via2",#N/A,TRUE,"general";"via3",#N/A,TRUE,"general"}</definedName>
    <definedName name="geg" hidden="1">{"via1",#N/A,TRUE,"general";"via2",#N/A,TRUE,"general";"via3",#N/A,TRUE,"general"}</definedName>
    <definedName name="gerg" localSheetId="1" hidden="1">{"TAB1",#N/A,TRUE,"GENERAL";"TAB2",#N/A,TRUE,"GENERAL";"TAB3",#N/A,TRUE,"GENERAL";"TAB4",#N/A,TRUE,"GENERAL";"TAB5",#N/A,TRUE,"GENERAL"}</definedName>
    <definedName name="gerg" localSheetId="9" hidden="1">{"TAB1",#N/A,TRUE,"GENERAL";"TAB2",#N/A,TRUE,"GENERAL";"TAB3",#N/A,TRUE,"GENERAL";"TAB4",#N/A,TRUE,"GENERAL";"TAB5",#N/A,TRUE,"GENERAL"}</definedName>
    <definedName name="gerg" localSheetId="16" hidden="1">{"TAB1",#N/A,TRUE,"GENERAL";"TAB2",#N/A,TRUE,"GENERAL";"TAB3",#N/A,TRUE,"GENERAL";"TAB4",#N/A,TRUE,"GENERAL";"TAB5",#N/A,TRUE,"GENERAL"}</definedName>
    <definedName name="gerg" localSheetId="19" hidden="1">{"TAB1",#N/A,TRUE,"GENERAL";"TAB2",#N/A,TRUE,"GENERAL";"TAB3",#N/A,TRUE,"GENERAL";"TAB4",#N/A,TRUE,"GENERAL";"TAB5",#N/A,TRUE,"GENERAL"}</definedName>
    <definedName name="gerg" hidden="1">{"TAB1",#N/A,TRUE,"GENERAL";"TAB2",#N/A,TRUE,"GENERAL";"TAB3",#N/A,TRUE,"GENERAL";"TAB4",#N/A,TRUE,"GENERAL";"TAB5",#N/A,TRUE,"GENERAL"}</definedName>
    <definedName name="gerg54" localSheetId="1" hidden="1">{"via1",#N/A,TRUE,"general";"via2",#N/A,TRUE,"general";"via3",#N/A,TRUE,"general"}</definedName>
    <definedName name="gerg54" localSheetId="9" hidden="1">{"via1",#N/A,TRUE,"general";"via2",#N/A,TRUE,"general";"via3",#N/A,TRUE,"general"}</definedName>
    <definedName name="gerg54" localSheetId="16" hidden="1">{"via1",#N/A,TRUE,"general";"via2",#N/A,TRUE,"general";"via3",#N/A,TRUE,"general"}</definedName>
    <definedName name="gerg54" localSheetId="19" hidden="1">{"via1",#N/A,TRUE,"general";"via2",#N/A,TRUE,"general";"via3",#N/A,TRUE,"general"}</definedName>
    <definedName name="gerg54" hidden="1">{"via1",#N/A,TRUE,"general";"via2",#N/A,TRUE,"general";"via3",#N/A,TRUE,"general"}</definedName>
    <definedName name="gergew" localSheetId="1" hidden="1">{"TAB1",#N/A,TRUE,"GENERAL";"TAB2",#N/A,TRUE,"GENERAL";"TAB3",#N/A,TRUE,"GENERAL";"TAB4",#N/A,TRUE,"GENERAL";"TAB5",#N/A,TRUE,"GENERAL"}</definedName>
    <definedName name="gergew" localSheetId="9" hidden="1">{"TAB1",#N/A,TRUE,"GENERAL";"TAB2",#N/A,TRUE,"GENERAL";"TAB3",#N/A,TRUE,"GENERAL";"TAB4",#N/A,TRUE,"GENERAL";"TAB5",#N/A,TRUE,"GENERAL"}</definedName>
    <definedName name="gergew" localSheetId="16" hidden="1">{"TAB1",#N/A,TRUE,"GENERAL";"TAB2",#N/A,TRUE,"GENERAL";"TAB3",#N/A,TRUE,"GENERAL";"TAB4",#N/A,TRUE,"GENERAL";"TAB5",#N/A,TRUE,"GENERAL"}</definedName>
    <definedName name="gergew" localSheetId="19" hidden="1">{"TAB1",#N/A,TRUE,"GENERAL";"TAB2",#N/A,TRUE,"GENERAL";"TAB3",#N/A,TRUE,"GENERAL";"TAB4",#N/A,TRUE,"GENERAL";"TAB5",#N/A,TRUE,"GENERAL"}</definedName>
    <definedName name="gergew" hidden="1">{"TAB1",#N/A,TRUE,"GENERAL";"TAB2",#N/A,TRUE,"GENERAL";"TAB3",#N/A,TRUE,"GENERAL";"TAB4",#N/A,TRUE,"GENERAL";"TAB5",#N/A,TRUE,"GENERAL"}</definedName>
    <definedName name="gergw" localSheetId="1" hidden="1">{"TAB1",#N/A,TRUE,"GENERAL";"TAB2",#N/A,TRUE,"GENERAL";"TAB3",#N/A,TRUE,"GENERAL";"TAB4",#N/A,TRUE,"GENERAL";"TAB5",#N/A,TRUE,"GENERAL"}</definedName>
    <definedName name="gergw" localSheetId="9" hidden="1">{"TAB1",#N/A,TRUE,"GENERAL";"TAB2",#N/A,TRUE,"GENERAL";"TAB3",#N/A,TRUE,"GENERAL";"TAB4",#N/A,TRUE,"GENERAL";"TAB5",#N/A,TRUE,"GENERAL"}</definedName>
    <definedName name="gergw" localSheetId="16" hidden="1">{"TAB1",#N/A,TRUE,"GENERAL";"TAB2",#N/A,TRUE,"GENERAL";"TAB3",#N/A,TRUE,"GENERAL";"TAB4",#N/A,TRUE,"GENERAL";"TAB5",#N/A,TRUE,"GENERAL"}</definedName>
    <definedName name="gergw" localSheetId="19" hidden="1">{"TAB1",#N/A,TRUE,"GENERAL";"TAB2",#N/A,TRUE,"GENERAL";"TAB3",#N/A,TRUE,"GENERAL";"TAB4",#N/A,TRUE,"GENERAL";"TAB5",#N/A,TRUE,"GENERAL"}</definedName>
    <definedName name="gergw" hidden="1">{"TAB1",#N/A,TRUE,"GENERAL";"TAB2",#N/A,TRUE,"GENERAL";"TAB3",#N/A,TRUE,"GENERAL";"TAB4",#N/A,TRUE,"GENERAL";"TAB5",#N/A,TRUE,"GENERAL"}</definedName>
    <definedName name="gf" localSheetId="3">#REF!</definedName>
    <definedName name="gf">#REF!</definedName>
    <definedName name="gfd" localSheetId="1" hidden="1">{"TAB1",#N/A,TRUE,"GENERAL";"TAB2",#N/A,TRUE,"GENERAL";"TAB3",#N/A,TRUE,"GENERAL";"TAB4",#N/A,TRUE,"GENERAL";"TAB5",#N/A,TRUE,"GENERAL"}</definedName>
    <definedName name="gfd" localSheetId="9" hidden="1">{"TAB1",#N/A,TRUE,"GENERAL";"TAB2",#N/A,TRUE,"GENERAL";"TAB3",#N/A,TRUE,"GENERAL";"TAB4",#N/A,TRUE,"GENERAL";"TAB5",#N/A,TRUE,"GENERAL"}</definedName>
    <definedName name="gfd" localSheetId="16" hidden="1">{"TAB1",#N/A,TRUE,"GENERAL";"TAB2",#N/A,TRUE,"GENERAL";"TAB3",#N/A,TRUE,"GENERAL";"TAB4",#N/A,TRUE,"GENERAL";"TAB5",#N/A,TRUE,"GENERAL"}</definedName>
    <definedName name="gfd" localSheetId="19" hidden="1">{"TAB1",#N/A,TRUE,"GENERAL";"TAB2",#N/A,TRUE,"GENERAL";"TAB3",#N/A,TRUE,"GENERAL";"TAB4",#N/A,TRUE,"GENERAL";"TAB5",#N/A,TRUE,"GENERAL"}</definedName>
    <definedName name="gfd" hidden="1">{"TAB1",#N/A,TRUE,"GENERAL";"TAB2",#N/A,TRUE,"GENERAL";"TAB3",#N/A,TRUE,"GENERAL";"TAB4",#N/A,TRUE,"GENERAL";"TAB5",#N/A,TRUE,"GENERAL"}</definedName>
    <definedName name="gfdg" localSheetId="1" hidden="1">{"via1",#N/A,TRUE,"general";"via2",#N/A,TRUE,"general";"via3",#N/A,TRUE,"general"}</definedName>
    <definedName name="gfdg" localSheetId="9" hidden="1">{"via1",#N/A,TRUE,"general";"via2",#N/A,TRUE,"general";"via3",#N/A,TRUE,"general"}</definedName>
    <definedName name="gfdg" localSheetId="16" hidden="1">{"via1",#N/A,TRUE,"general";"via2",#N/A,TRUE,"general";"via3",#N/A,TRUE,"general"}</definedName>
    <definedName name="gfdg" localSheetId="19" hidden="1">{"via1",#N/A,TRUE,"general";"via2",#N/A,TRUE,"general";"via3",#N/A,TRUE,"general"}</definedName>
    <definedName name="gfdg" hidden="1">{"via1",#N/A,TRUE,"general";"via2",#N/A,TRUE,"general";"via3",#N/A,TRUE,"general"}</definedName>
    <definedName name="gfgfgr" localSheetId="1" hidden="1">{"via1",#N/A,TRUE,"general";"via2",#N/A,TRUE,"general";"via3",#N/A,TRUE,"general"}</definedName>
    <definedName name="gfgfgr" localSheetId="9" hidden="1">{"via1",#N/A,TRUE,"general";"via2",#N/A,TRUE,"general";"via3",#N/A,TRUE,"general"}</definedName>
    <definedName name="gfgfgr" localSheetId="16" hidden="1">{"via1",#N/A,TRUE,"general";"via2",#N/A,TRUE,"general";"via3",#N/A,TRUE,"general"}</definedName>
    <definedName name="gfgfgr" localSheetId="19" hidden="1">{"via1",#N/A,TRUE,"general";"via2",#N/A,TRUE,"general";"via3",#N/A,TRUE,"general"}</definedName>
    <definedName name="gfgfgr" hidden="1">{"via1",#N/A,TRUE,"general";"via2",#N/A,TRUE,"general";"via3",#N/A,TRUE,"general"}</definedName>
    <definedName name="gfhf" localSheetId="1" hidden="1">{"via1",#N/A,TRUE,"general";"via2",#N/A,TRUE,"general";"via3",#N/A,TRUE,"general"}</definedName>
    <definedName name="gfhf" localSheetId="9" hidden="1">{"via1",#N/A,TRUE,"general";"via2",#N/A,TRUE,"general";"via3",#N/A,TRUE,"general"}</definedName>
    <definedName name="gfhf" localSheetId="16" hidden="1">{"via1",#N/A,TRUE,"general";"via2",#N/A,TRUE,"general";"via3",#N/A,TRUE,"general"}</definedName>
    <definedName name="gfhf" localSheetId="19" hidden="1">{"via1",#N/A,TRUE,"general";"via2",#N/A,TRUE,"general";"via3",#N/A,TRUE,"general"}</definedName>
    <definedName name="gfhf" hidden="1">{"via1",#N/A,TRUE,"general";"via2",#N/A,TRUE,"general";"via3",#N/A,TRUE,"general"}</definedName>
    <definedName name="gfhfdh" localSheetId="1" hidden="1">{"TAB1",#N/A,TRUE,"GENERAL";"TAB2",#N/A,TRUE,"GENERAL";"TAB3",#N/A,TRUE,"GENERAL";"TAB4",#N/A,TRUE,"GENERAL";"TAB5",#N/A,TRUE,"GENERAL"}</definedName>
    <definedName name="gfhfdh" localSheetId="9" hidden="1">{"TAB1",#N/A,TRUE,"GENERAL";"TAB2",#N/A,TRUE,"GENERAL";"TAB3",#N/A,TRUE,"GENERAL";"TAB4",#N/A,TRUE,"GENERAL";"TAB5",#N/A,TRUE,"GENERAL"}</definedName>
    <definedName name="gfhfdh" localSheetId="16" hidden="1">{"TAB1",#N/A,TRUE,"GENERAL";"TAB2",#N/A,TRUE,"GENERAL";"TAB3",#N/A,TRUE,"GENERAL";"TAB4",#N/A,TRUE,"GENERAL";"TAB5",#N/A,TRUE,"GENERAL"}</definedName>
    <definedName name="gfhfdh" localSheetId="19" hidden="1">{"TAB1",#N/A,TRUE,"GENERAL";"TAB2",#N/A,TRUE,"GENERAL";"TAB3",#N/A,TRUE,"GENERAL";"TAB4",#N/A,TRUE,"GENERAL";"TAB5",#N/A,TRUE,"GENERAL"}</definedName>
    <definedName name="gfhfdh" hidden="1">{"TAB1",#N/A,TRUE,"GENERAL";"TAB2",#N/A,TRUE,"GENERAL";"TAB3",#N/A,TRUE,"GENERAL";"TAB4",#N/A,TRUE,"GENERAL";"TAB5",#N/A,TRUE,"GENERAL"}</definedName>
    <definedName name="gfhgfh" localSheetId="1" hidden="1">{"TAB1",#N/A,TRUE,"GENERAL";"TAB2",#N/A,TRUE,"GENERAL";"TAB3",#N/A,TRUE,"GENERAL";"TAB4",#N/A,TRUE,"GENERAL";"TAB5",#N/A,TRUE,"GENERAL"}</definedName>
    <definedName name="gfhgfh" localSheetId="9" hidden="1">{"TAB1",#N/A,TRUE,"GENERAL";"TAB2",#N/A,TRUE,"GENERAL";"TAB3",#N/A,TRUE,"GENERAL";"TAB4",#N/A,TRUE,"GENERAL";"TAB5",#N/A,TRUE,"GENERAL"}</definedName>
    <definedName name="gfhgfh" localSheetId="16" hidden="1">{"TAB1",#N/A,TRUE,"GENERAL";"TAB2",#N/A,TRUE,"GENERAL";"TAB3",#N/A,TRUE,"GENERAL";"TAB4",#N/A,TRUE,"GENERAL";"TAB5",#N/A,TRUE,"GENERAL"}</definedName>
    <definedName name="gfhgfh" localSheetId="19" hidden="1">{"TAB1",#N/A,TRUE,"GENERAL";"TAB2",#N/A,TRUE,"GENERAL";"TAB3",#N/A,TRUE,"GENERAL";"TAB4",#N/A,TRUE,"GENERAL";"TAB5",#N/A,TRUE,"GENERAL"}</definedName>
    <definedName name="gfhgfh" hidden="1">{"TAB1",#N/A,TRUE,"GENERAL";"TAB2",#N/A,TRUE,"GENERAL";"TAB3",#N/A,TRUE,"GENERAL";"TAB4",#N/A,TRUE,"GENERAL";"TAB5",#N/A,TRUE,"GENERAL"}</definedName>
    <definedName name="GFJHGJ" localSheetId="1" hidden="1">{"TAB1",#N/A,TRUE,"GENERAL";"TAB2",#N/A,TRUE,"GENERAL";"TAB3",#N/A,TRUE,"GENERAL";"TAB4",#N/A,TRUE,"GENERAL";"TAB5",#N/A,TRUE,"GENERAL"}</definedName>
    <definedName name="GFJHGJ" localSheetId="9" hidden="1">{"TAB1",#N/A,TRUE,"GENERAL";"TAB2",#N/A,TRUE,"GENERAL";"TAB3",#N/A,TRUE,"GENERAL";"TAB4",#N/A,TRUE,"GENERAL";"TAB5",#N/A,TRUE,"GENERAL"}</definedName>
    <definedName name="GFJHGJ" localSheetId="16" hidden="1">{"TAB1",#N/A,TRUE,"GENERAL";"TAB2",#N/A,TRUE,"GENERAL";"TAB3",#N/A,TRUE,"GENERAL";"TAB4",#N/A,TRUE,"GENERAL";"TAB5",#N/A,TRUE,"GENERAL"}</definedName>
    <definedName name="GFJHGJ" localSheetId="19" hidden="1">{"TAB1",#N/A,TRUE,"GENERAL";"TAB2",#N/A,TRUE,"GENERAL";"TAB3",#N/A,TRUE,"GENERAL";"TAB4",#N/A,TRUE,"GENERAL";"TAB5",#N/A,TRUE,"GENERAL"}</definedName>
    <definedName name="GFJHGJ" hidden="1">{"TAB1",#N/A,TRUE,"GENERAL";"TAB2",#N/A,TRUE,"GENERAL";"TAB3",#N/A,TRUE,"GENERAL";"TAB4",#N/A,TRUE,"GENERAL";"TAB5",#N/A,TRUE,"GENERAL"}</definedName>
    <definedName name="gfjjh" localSheetId="1" hidden="1">{"via1",#N/A,TRUE,"general";"via2",#N/A,TRUE,"general";"via3",#N/A,TRUE,"general"}</definedName>
    <definedName name="gfjjh" localSheetId="9" hidden="1">{"via1",#N/A,TRUE,"general";"via2",#N/A,TRUE,"general";"via3",#N/A,TRUE,"general"}</definedName>
    <definedName name="gfjjh" localSheetId="16" hidden="1">{"via1",#N/A,TRUE,"general";"via2",#N/A,TRUE,"general";"via3",#N/A,TRUE,"general"}</definedName>
    <definedName name="gfjjh" localSheetId="19" hidden="1">{"via1",#N/A,TRUE,"general";"via2",#N/A,TRUE,"general";"via3",#N/A,TRUE,"general"}</definedName>
    <definedName name="gfjjh" hidden="1">{"via1",#N/A,TRUE,"general";"via2",#N/A,TRUE,"general";"via3",#N/A,TRUE,"general"}</definedName>
    <definedName name="gft" localSheetId="3">#REF!</definedName>
    <definedName name="gft">#REF!</definedName>
    <definedName name="gfutyj6" localSheetId="1" hidden="1">{"via1",#N/A,TRUE,"general";"via2",#N/A,TRUE,"general";"via3",#N/A,TRUE,"general"}</definedName>
    <definedName name="gfutyj6" localSheetId="9" hidden="1">{"via1",#N/A,TRUE,"general";"via2",#N/A,TRUE,"general";"via3",#N/A,TRUE,"general"}</definedName>
    <definedName name="gfutyj6" localSheetId="16" hidden="1">{"via1",#N/A,TRUE,"general";"via2",#N/A,TRUE,"general";"via3",#N/A,TRUE,"general"}</definedName>
    <definedName name="gfutyj6" localSheetId="19" hidden="1">{"via1",#N/A,TRUE,"general";"via2",#N/A,TRUE,"general";"via3",#N/A,TRUE,"general"}</definedName>
    <definedName name="gfutyj6" hidden="1">{"via1",#N/A,TRUE,"general";"via2",#N/A,TRUE,"general";"via3",#N/A,TRUE,"general"}</definedName>
    <definedName name="GFYTFTYFB">'[63]Itemes Renovación'!#REF!</definedName>
    <definedName name="gg" localSheetId="1" hidden="1">{"TAB1",#N/A,TRUE,"GENERAL";"TAB2",#N/A,TRUE,"GENERAL";"TAB3",#N/A,TRUE,"GENERAL";"TAB4",#N/A,TRUE,"GENERAL";"TAB5",#N/A,TRUE,"GENERAL"}</definedName>
    <definedName name="gg" localSheetId="9" hidden="1">{"TAB1",#N/A,TRUE,"GENERAL";"TAB2",#N/A,TRUE,"GENERAL";"TAB3",#N/A,TRUE,"GENERAL";"TAB4",#N/A,TRUE,"GENERAL";"TAB5",#N/A,TRUE,"GENERAL"}</definedName>
    <definedName name="gg" localSheetId="16" hidden="1">{"TAB1",#N/A,TRUE,"GENERAL";"TAB2",#N/A,TRUE,"GENERAL";"TAB3",#N/A,TRUE,"GENERAL";"TAB4",#N/A,TRUE,"GENERAL";"TAB5",#N/A,TRUE,"GENERAL"}</definedName>
    <definedName name="gg" localSheetId="3">#REF!</definedName>
    <definedName name="gg" localSheetId="19" hidden="1">{"TAB1",#N/A,TRUE,"GENERAL";"TAB2",#N/A,TRUE,"GENERAL";"TAB3",#N/A,TRUE,"GENERAL";"TAB4",#N/A,TRUE,"GENERAL";"TAB5",#N/A,TRUE,"GENERAL"}</definedName>
    <definedName name="gg" hidden="1">{"TAB1",#N/A,TRUE,"GENERAL";"TAB2",#N/A,TRUE,"GENERAL";"TAB3",#N/A,TRUE,"GENERAL";"TAB4",#N/A,TRUE,"GENERAL";"TAB5",#N/A,TRUE,"GENERAL"}</definedName>
    <definedName name="ggdr" localSheetId="1" hidden="1">{"via1",#N/A,TRUE,"general";"via2",#N/A,TRUE,"general";"via3",#N/A,TRUE,"general"}</definedName>
    <definedName name="ggdr" localSheetId="9" hidden="1">{"via1",#N/A,TRUE,"general";"via2",#N/A,TRUE,"general";"via3",#N/A,TRUE,"general"}</definedName>
    <definedName name="ggdr" localSheetId="16" hidden="1">{"via1",#N/A,TRUE,"general";"via2",#N/A,TRUE,"general";"via3",#N/A,TRUE,"general"}</definedName>
    <definedName name="ggdr" localSheetId="19" hidden="1">{"via1",#N/A,TRUE,"general";"via2",#N/A,TRUE,"general";"via3",#N/A,TRUE,"general"}</definedName>
    <definedName name="ggdr" hidden="1">{"via1",#N/A,TRUE,"general";"via2",#N/A,TRUE,"general";"via3",#N/A,TRUE,"general"}</definedName>
    <definedName name="ggerg" localSheetId="1" hidden="1">{"TAB1",#N/A,TRUE,"GENERAL";"TAB2",#N/A,TRUE,"GENERAL";"TAB3",#N/A,TRUE,"GENERAL";"TAB4",#N/A,TRUE,"GENERAL";"TAB5",#N/A,TRUE,"GENERAL"}</definedName>
    <definedName name="ggerg" localSheetId="9" hidden="1">{"TAB1",#N/A,TRUE,"GENERAL";"TAB2",#N/A,TRUE,"GENERAL";"TAB3",#N/A,TRUE,"GENERAL";"TAB4",#N/A,TRUE,"GENERAL";"TAB5",#N/A,TRUE,"GENERAL"}</definedName>
    <definedName name="ggerg" localSheetId="16" hidden="1">{"TAB1",#N/A,TRUE,"GENERAL";"TAB2",#N/A,TRUE,"GENERAL";"TAB3",#N/A,TRUE,"GENERAL";"TAB4",#N/A,TRUE,"GENERAL";"TAB5",#N/A,TRUE,"GENERAL"}</definedName>
    <definedName name="ggerg" localSheetId="19" hidden="1">{"TAB1",#N/A,TRUE,"GENERAL";"TAB2",#N/A,TRUE,"GENERAL";"TAB3",#N/A,TRUE,"GENERAL";"TAB4",#N/A,TRUE,"GENERAL";"TAB5",#N/A,TRUE,"GENERAL"}</definedName>
    <definedName name="ggerg" hidden="1">{"TAB1",#N/A,TRUE,"GENERAL";"TAB2",#N/A,TRUE,"GENERAL";"TAB3",#N/A,TRUE,"GENERAL";"TAB4",#N/A,TRUE,"GENERAL";"TAB5",#N/A,TRUE,"GENERAL"}</definedName>
    <definedName name="GGG" localSheetId="1">[1]!ERR</definedName>
    <definedName name="GGG" localSheetId="16">[1]!ERR</definedName>
    <definedName name="GGG" localSheetId="19">[1]!ERR</definedName>
    <definedName name="GGG">[1]!ERR</definedName>
    <definedName name="gggb" localSheetId="1" hidden="1">{"TAB1",#N/A,TRUE,"GENERAL";"TAB2",#N/A,TRUE,"GENERAL";"TAB3",#N/A,TRUE,"GENERAL";"TAB4",#N/A,TRUE,"GENERAL";"TAB5",#N/A,TRUE,"GENERAL"}</definedName>
    <definedName name="gggb" localSheetId="9" hidden="1">{"TAB1",#N/A,TRUE,"GENERAL";"TAB2",#N/A,TRUE,"GENERAL";"TAB3",#N/A,TRUE,"GENERAL";"TAB4",#N/A,TRUE,"GENERAL";"TAB5",#N/A,TRUE,"GENERAL"}</definedName>
    <definedName name="gggb" localSheetId="16" hidden="1">{"TAB1",#N/A,TRUE,"GENERAL";"TAB2",#N/A,TRUE,"GENERAL";"TAB3",#N/A,TRUE,"GENERAL";"TAB4",#N/A,TRUE,"GENERAL";"TAB5",#N/A,TRUE,"GENERAL"}</definedName>
    <definedName name="gggb" localSheetId="19" hidden="1">{"TAB1",#N/A,TRUE,"GENERAL";"TAB2",#N/A,TRUE,"GENERAL";"TAB3",#N/A,TRUE,"GENERAL";"TAB4",#N/A,TRUE,"GENERAL";"TAB5",#N/A,TRUE,"GENERAL"}</definedName>
    <definedName name="gggb" hidden="1">{"TAB1",#N/A,TRUE,"GENERAL";"TAB2",#N/A,TRUE,"GENERAL";"TAB3",#N/A,TRUE,"GENERAL";"TAB4",#N/A,TRUE,"GENERAL";"TAB5",#N/A,TRUE,"GENERAL"}</definedName>
    <definedName name="gggg" localSheetId="1" hidden="1">{"via1",#N/A,TRUE,"general";"via2",#N/A,TRUE,"general";"via3",#N/A,TRUE,"general"}</definedName>
    <definedName name="gggg" localSheetId="9" hidden="1">{"via1",#N/A,TRUE,"general";"via2",#N/A,TRUE,"general";"via3",#N/A,TRUE,"general"}</definedName>
    <definedName name="gggg" localSheetId="16" hidden="1">{"via1",#N/A,TRUE,"general";"via2",#N/A,TRUE,"general";"via3",#N/A,TRUE,"general"}</definedName>
    <definedName name="gggg" localSheetId="19" hidden="1">{"via1",#N/A,TRUE,"general";"via2",#N/A,TRUE,"general";"via3",#N/A,TRUE,"general"}</definedName>
    <definedName name="gggg" hidden="1">{"via1",#N/A,TRUE,"general";"via2",#N/A,TRUE,"general";"via3",#N/A,TRUE,"general"}</definedName>
    <definedName name="ggggd" localSheetId="1" hidden="1">{"TAB1",#N/A,TRUE,"GENERAL";"TAB2",#N/A,TRUE,"GENERAL";"TAB3",#N/A,TRUE,"GENERAL";"TAB4",#N/A,TRUE,"GENERAL";"TAB5",#N/A,TRUE,"GENERAL"}</definedName>
    <definedName name="ggggd" localSheetId="9" hidden="1">{"TAB1",#N/A,TRUE,"GENERAL";"TAB2",#N/A,TRUE,"GENERAL";"TAB3",#N/A,TRUE,"GENERAL";"TAB4",#N/A,TRUE,"GENERAL";"TAB5",#N/A,TRUE,"GENERAL"}</definedName>
    <definedName name="ggggd" localSheetId="16" hidden="1">{"TAB1",#N/A,TRUE,"GENERAL";"TAB2",#N/A,TRUE,"GENERAL";"TAB3",#N/A,TRUE,"GENERAL";"TAB4",#N/A,TRUE,"GENERAL";"TAB5",#N/A,TRUE,"GENERAL"}</definedName>
    <definedName name="ggggd" localSheetId="19" hidden="1">{"TAB1",#N/A,TRUE,"GENERAL";"TAB2",#N/A,TRUE,"GENERAL";"TAB3",#N/A,TRUE,"GENERAL";"TAB4",#N/A,TRUE,"GENERAL";"TAB5",#N/A,TRUE,"GENERAL"}</definedName>
    <definedName name="ggggd" hidden="1">{"TAB1",#N/A,TRUE,"GENERAL";"TAB2",#N/A,TRUE,"GENERAL";"TAB3",#N/A,TRUE,"GENERAL";"TAB4",#N/A,TRUE,"GENERAL";"TAB5",#N/A,TRUE,"GENERAL"}</definedName>
    <definedName name="gggggt" localSheetId="1" hidden="1">{"via1",#N/A,TRUE,"general";"via2",#N/A,TRUE,"general";"via3",#N/A,TRUE,"general"}</definedName>
    <definedName name="gggggt" localSheetId="9" hidden="1">{"via1",#N/A,TRUE,"general";"via2",#N/A,TRUE,"general";"via3",#N/A,TRUE,"general"}</definedName>
    <definedName name="gggggt" localSheetId="16" hidden="1">{"via1",#N/A,TRUE,"general";"via2",#N/A,TRUE,"general";"via3",#N/A,TRUE,"general"}</definedName>
    <definedName name="gggggt" localSheetId="19" hidden="1">{"via1",#N/A,TRUE,"general";"via2",#N/A,TRUE,"general";"via3",#N/A,TRUE,"general"}</definedName>
    <definedName name="gggggt" hidden="1">{"via1",#N/A,TRUE,"general";"via2",#N/A,TRUE,"general";"via3",#N/A,TRUE,"general"}</definedName>
    <definedName name="gggghn" localSheetId="1" hidden="1">{"TAB1",#N/A,TRUE,"GENERAL";"TAB2",#N/A,TRUE,"GENERAL";"TAB3",#N/A,TRUE,"GENERAL";"TAB4",#N/A,TRUE,"GENERAL";"TAB5",#N/A,TRUE,"GENERAL"}</definedName>
    <definedName name="gggghn" localSheetId="9" hidden="1">{"TAB1",#N/A,TRUE,"GENERAL";"TAB2",#N/A,TRUE,"GENERAL";"TAB3",#N/A,TRUE,"GENERAL";"TAB4",#N/A,TRUE,"GENERAL";"TAB5",#N/A,TRUE,"GENERAL"}</definedName>
    <definedName name="gggghn" localSheetId="16" hidden="1">{"TAB1",#N/A,TRUE,"GENERAL";"TAB2",#N/A,TRUE,"GENERAL";"TAB3",#N/A,TRUE,"GENERAL";"TAB4",#N/A,TRUE,"GENERAL";"TAB5",#N/A,TRUE,"GENERAL"}</definedName>
    <definedName name="gggghn" localSheetId="19" hidden="1">{"TAB1",#N/A,TRUE,"GENERAL";"TAB2",#N/A,TRUE,"GENERAL";"TAB3",#N/A,TRUE,"GENERAL";"TAB4",#N/A,TRUE,"GENERAL";"TAB5",#N/A,TRUE,"GENERAL"}</definedName>
    <definedName name="gggghn" hidden="1">{"TAB1",#N/A,TRUE,"GENERAL";"TAB2",#N/A,TRUE,"GENERAL";"TAB3",#N/A,TRUE,"GENERAL";"TAB4",#N/A,TRUE,"GENERAL";"TAB5",#N/A,TRUE,"GENERAL"}</definedName>
    <definedName name="ggggt" localSheetId="1" hidden="1">{"TAB1",#N/A,TRUE,"GENERAL";"TAB2",#N/A,TRUE,"GENERAL";"TAB3",#N/A,TRUE,"GENERAL";"TAB4",#N/A,TRUE,"GENERAL";"TAB5",#N/A,TRUE,"GENERAL"}</definedName>
    <definedName name="ggggt" localSheetId="9" hidden="1">{"TAB1",#N/A,TRUE,"GENERAL";"TAB2",#N/A,TRUE,"GENERAL";"TAB3",#N/A,TRUE,"GENERAL";"TAB4",#N/A,TRUE,"GENERAL";"TAB5",#N/A,TRUE,"GENERAL"}</definedName>
    <definedName name="ggggt" localSheetId="16" hidden="1">{"TAB1",#N/A,TRUE,"GENERAL";"TAB2",#N/A,TRUE,"GENERAL";"TAB3",#N/A,TRUE,"GENERAL";"TAB4",#N/A,TRUE,"GENERAL";"TAB5",#N/A,TRUE,"GENERAL"}</definedName>
    <definedName name="ggggt" localSheetId="19" hidden="1">{"TAB1",#N/A,TRUE,"GENERAL";"TAB2",#N/A,TRUE,"GENERAL";"TAB3",#N/A,TRUE,"GENERAL";"TAB4",#N/A,TRUE,"GENERAL";"TAB5",#N/A,TRUE,"GENERAL"}</definedName>
    <definedName name="ggggt" hidden="1">{"TAB1",#N/A,TRUE,"GENERAL";"TAB2",#N/A,TRUE,"GENERAL";"TAB3",#N/A,TRUE,"GENERAL";"TAB4",#N/A,TRUE,"GENERAL";"TAB5",#N/A,TRUE,"GENERAL"}</definedName>
    <definedName name="ggggy" localSheetId="1" hidden="1">{"TAB1",#N/A,TRUE,"GENERAL";"TAB2",#N/A,TRUE,"GENERAL";"TAB3",#N/A,TRUE,"GENERAL";"TAB4",#N/A,TRUE,"GENERAL";"TAB5",#N/A,TRUE,"GENERAL"}</definedName>
    <definedName name="ggggy" localSheetId="9" hidden="1">{"TAB1",#N/A,TRUE,"GENERAL";"TAB2",#N/A,TRUE,"GENERAL";"TAB3",#N/A,TRUE,"GENERAL";"TAB4",#N/A,TRUE,"GENERAL";"TAB5",#N/A,TRUE,"GENERAL"}</definedName>
    <definedName name="ggggy" localSheetId="16" hidden="1">{"TAB1",#N/A,TRUE,"GENERAL";"TAB2",#N/A,TRUE,"GENERAL";"TAB3",#N/A,TRUE,"GENERAL";"TAB4",#N/A,TRUE,"GENERAL";"TAB5",#N/A,TRUE,"GENERAL"}</definedName>
    <definedName name="ggggy" localSheetId="19" hidden="1">{"TAB1",#N/A,TRUE,"GENERAL";"TAB2",#N/A,TRUE,"GENERAL";"TAB3",#N/A,TRUE,"GENERAL";"TAB4",#N/A,TRUE,"GENERAL";"TAB5",#N/A,TRUE,"GENERAL"}</definedName>
    <definedName name="ggggy" hidden="1">{"TAB1",#N/A,TRUE,"GENERAL";"TAB2",#N/A,TRUE,"GENERAL";"TAB3",#N/A,TRUE,"GENERAL";"TAB4",#N/A,TRUE,"GENERAL";"TAB5",#N/A,TRUE,"GENERAL"}</definedName>
    <definedName name="gggtgd" localSheetId="1" hidden="1">{"via1",#N/A,TRUE,"general";"via2",#N/A,TRUE,"general";"via3",#N/A,TRUE,"general"}</definedName>
    <definedName name="gggtgd" localSheetId="9" hidden="1">{"via1",#N/A,TRUE,"general";"via2",#N/A,TRUE,"general";"via3",#N/A,TRUE,"general"}</definedName>
    <definedName name="gggtgd" localSheetId="16" hidden="1">{"via1",#N/A,TRUE,"general";"via2",#N/A,TRUE,"general";"via3",#N/A,TRUE,"general"}</definedName>
    <definedName name="gggtgd" localSheetId="19" hidden="1">{"via1",#N/A,TRUE,"general";"via2",#N/A,TRUE,"general";"via3",#N/A,TRUE,"general"}</definedName>
    <definedName name="gggtgd" hidden="1">{"via1",#N/A,TRUE,"general";"via2",#N/A,TRUE,"general";"via3",#N/A,TRUE,"general"}</definedName>
    <definedName name="ggtgt" localSheetId="1" hidden="1">{"via1",#N/A,TRUE,"general";"via2",#N/A,TRUE,"general";"via3",#N/A,TRUE,"general"}</definedName>
    <definedName name="ggtgt" localSheetId="9" hidden="1">{"via1",#N/A,TRUE,"general";"via2",#N/A,TRUE,"general";"via3",#N/A,TRUE,"general"}</definedName>
    <definedName name="ggtgt" localSheetId="16" hidden="1">{"via1",#N/A,TRUE,"general";"via2",#N/A,TRUE,"general";"via3",#N/A,TRUE,"general"}</definedName>
    <definedName name="ggtgt" localSheetId="19" hidden="1">{"via1",#N/A,TRUE,"general";"via2",#N/A,TRUE,"general";"via3",#N/A,TRUE,"general"}</definedName>
    <definedName name="ggtgt" hidden="1">{"via1",#N/A,TRUE,"general";"via2",#N/A,TRUE,"general";"via3",#N/A,TRUE,"general"}</definedName>
    <definedName name="gh" localSheetId="3">#REF!</definedName>
    <definedName name="gh">#N/A</definedName>
    <definedName name="ghdghuy" localSheetId="1" hidden="1">{"via1",#N/A,TRUE,"general";"via2",#N/A,TRUE,"general";"via3",#N/A,TRUE,"general"}</definedName>
    <definedName name="ghdghuy" localSheetId="9" hidden="1">{"via1",#N/A,TRUE,"general";"via2",#N/A,TRUE,"general";"via3",#N/A,TRUE,"general"}</definedName>
    <definedName name="ghdghuy" localSheetId="16" hidden="1">{"via1",#N/A,TRUE,"general";"via2",#N/A,TRUE,"general";"via3",#N/A,TRUE,"general"}</definedName>
    <definedName name="ghdghuy" localSheetId="19" hidden="1">{"via1",#N/A,TRUE,"general";"via2",#N/A,TRUE,"general";"via3",#N/A,TRUE,"general"}</definedName>
    <definedName name="ghdghuy" hidden="1">{"via1",#N/A,TRUE,"general";"via2",#N/A,TRUE,"general";"via3",#N/A,TRUE,"general"}</definedName>
    <definedName name="GHDP" localSheetId="1" hidden="1">{"via1",#N/A,TRUE,"general";"via2",#N/A,TRUE,"general";"via3",#N/A,TRUE,"general"}</definedName>
    <definedName name="GHDP" localSheetId="9" hidden="1">{"via1",#N/A,TRUE,"general";"via2",#N/A,TRUE,"general";"via3",#N/A,TRUE,"general"}</definedName>
    <definedName name="GHDP" localSheetId="16" hidden="1">{"via1",#N/A,TRUE,"general";"via2",#N/A,TRUE,"general";"via3",#N/A,TRUE,"general"}</definedName>
    <definedName name="GHDP" localSheetId="19" hidden="1">{"via1",#N/A,TRUE,"general";"via2",#N/A,TRUE,"general";"via3",#N/A,TRUE,"general"}</definedName>
    <definedName name="GHDP" hidden="1">{"via1",#N/A,TRUE,"general";"via2",#N/A,TRUE,"general";"via3",#N/A,TRUE,"general"}</definedName>
    <definedName name="ghfg" localSheetId="1" hidden="1">{"via1",#N/A,TRUE,"general";"via2",#N/A,TRUE,"general";"via3",#N/A,TRUE,"general"}</definedName>
    <definedName name="ghfg" localSheetId="9" hidden="1">{"via1",#N/A,TRUE,"general";"via2",#N/A,TRUE,"general";"via3",#N/A,TRUE,"general"}</definedName>
    <definedName name="ghfg" localSheetId="16" hidden="1">{"via1",#N/A,TRUE,"general";"via2",#N/A,TRUE,"general";"via3",#N/A,TRUE,"general"}</definedName>
    <definedName name="ghfg" localSheetId="19" hidden="1">{"via1",#N/A,TRUE,"general";"via2",#N/A,TRUE,"general";"via3",#N/A,TRUE,"general"}</definedName>
    <definedName name="ghfg" hidden="1">{"via1",#N/A,TRUE,"general";"via2",#N/A,TRUE,"general";"via3",#N/A,TRUE,"general"}</definedName>
    <definedName name="ghjghj" localSheetId="1" hidden="1">{"TAB1",#N/A,TRUE,"GENERAL";"TAB2",#N/A,TRUE,"GENERAL";"TAB3",#N/A,TRUE,"GENERAL";"TAB4",#N/A,TRUE,"GENERAL";"TAB5",#N/A,TRUE,"GENERAL"}</definedName>
    <definedName name="ghjghj" localSheetId="9" hidden="1">{"TAB1",#N/A,TRUE,"GENERAL";"TAB2",#N/A,TRUE,"GENERAL";"TAB3",#N/A,TRUE,"GENERAL";"TAB4",#N/A,TRUE,"GENERAL";"TAB5",#N/A,TRUE,"GENERAL"}</definedName>
    <definedName name="ghjghj" localSheetId="16" hidden="1">{"TAB1",#N/A,TRUE,"GENERAL";"TAB2",#N/A,TRUE,"GENERAL";"TAB3",#N/A,TRUE,"GENERAL";"TAB4",#N/A,TRUE,"GENERAL";"TAB5",#N/A,TRUE,"GENERAL"}</definedName>
    <definedName name="ghjghj" localSheetId="19" hidden="1">{"TAB1",#N/A,TRUE,"GENERAL";"TAB2",#N/A,TRUE,"GENERAL";"TAB3",#N/A,TRUE,"GENERAL";"TAB4",#N/A,TRUE,"GENERAL";"TAB5",#N/A,TRUE,"GENERAL"}</definedName>
    <definedName name="ghjghj" hidden="1">{"TAB1",#N/A,TRUE,"GENERAL";"TAB2",#N/A,TRUE,"GENERAL";"TAB3",#N/A,TRUE,"GENERAL";"TAB4",#N/A,TRUE,"GENERAL";"TAB5",#N/A,TRUE,"GENERAL"}</definedName>
    <definedName name="GHKJHK" localSheetId="1" hidden="1">{"TAB1",#N/A,TRUE,"GENERAL";"TAB2",#N/A,TRUE,"GENERAL";"TAB3",#N/A,TRUE,"GENERAL";"TAB4",#N/A,TRUE,"GENERAL";"TAB5",#N/A,TRUE,"GENERAL"}</definedName>
    <definedName name="GHKJHK" localSheetId="9" hidden="1">{"TAB1",#N/A,TRUE,"GENERAL";"TAB2",#N/A,TRUE,"GENERAL";"TAB3",#N/A,TRUE,"GENERAL";"TAB4",#N/A,TRUE,"GENERAL";"TAB5",#N/A,TRUE,"GENERAL"}</definedName>
    <definedName name="GHKJHK" localSheetId="16" hidden="1">{"TAB1",#N/A,TRUE,"GENERAL";"TAB2",#N/A,TRUE,"GENERAL";"TAB3",#N/A,TRUE,"GENERAL";"TAB4",#N/A,TRUE,"GENERAL";"TAB5",#N/A,TRUE,"GENERAL"}</definedName>
    <definedName name="GHKJHK" localSheetId="19" hidden="1">{"TAB1",#N/A,TRUE,"GENERAL";"TAB2",#N/A,TRUE,"GENERAL";"TAB3",#N/A,TRUE,"GENERAL";"TAB4",#N/A,TRUE,"GENERAL";"TAB5",#N/A,TRUE,"GENERAL"}</definedName>
    <definedName name="GHKJHK" hidden="1">{"TAB1",#N/A,TRUE,"GENERAL";"TAB2",#N/A,TRUE,"GENERAL";"TAB3",#N/A,TRUE,"GENERAL";"TAB4",#N/A,TRUE,"GENERAL";"TAB5",#N/A,TRUE,"GENERAL"}</definedName>
    <definedName name="ghu" localSheetId="3">#REF!</definedName>
    <definedName name="ghu">#REF!</definedName>
    <definedName name="gj" localSheetId="3">#REF!</definedName>
    <definedName name="gj">#REF!</definedName>
    <definedName name="GJHVCB" localSheetId="1" hidden="1">{"TAB1",#N/A,TRUE,"GENERAL";"TAB2",#N/A,TRUE,"GENERAL";"TAB3",#N/A,TRUE,"GENERAL";"TAB4",#N/A,TRUE,"GENERAL";"TAB5",#N/A,TRUE,"GENERAL"}</definedName>
    <definedName name="GJHVCB" localSheetId="9" hidden="1">{"TAB1",#N/A,TRUE,"GENERAL";"TAB2",#N/A,TRUE,"GENERAL";"TAB3",#N/A,TRUE,"GENERAL";"TAB4",#N/A,TRUE,"GENERAL";"TAB5",#N/A,TRUE,"GENERAL"}</definedName>
    <definedName name="GJHVCB" localSheetId="16" hidden="1">{"TAB1",#N/A,TRUE,"GENERAL";"TAB2",#N/A,TRUE,"GENERAL";"TAB3",#N/A,TRUE,"GENERAL";"TAB4",#N/A,TRUE,"GENERAL";"TAB5",#N/A,TRUE,"GENERAL"}</definedName>
    <definedName name="GJHVCB" localSheetId="19" hidden="1">{"TAB1",#N/A,TRUE,"GENERAL";"TAB2",#N/A,TRUE,"GENERAL";"TAB3",#N/A,TRUE,"GENERAL";"TAB4",#N/A,TRUE,"GENERAL";"TAB5",#N/A,TRUE,"GENERAL"}</definedName>
    <definedName name="GJHVCB" hidden="1">{"TAB1",#N/A,TRUE,"GENERAL";"TAB2",#N/A,TRUE,"GENERAL";"TAB3",#N/A,TRUE,"GENERAL";"TAB4",#N/A,TRUE,"GENERAL";"TAB5",#N/A,TRUE,"GENERAL"}</definedName>
    <definedName name="gk" localSheetId="1" hidden="1">{"via1",#N/A,TRUE,"general";"via2",#N/A,TRUE,"general";"via3",#N/A,TRUE,"general"}</definedName>
    <definedName name="gk" localSheetId="9" hidden="1">{"via1",#N/A,TRUE,"general";"via2",#N/A,TRUE,"general";"via3",#N/A,TRUE,"general"}</definedName>
    <definedName name="gk" localSheetId="16" hidden="1">{"via1",#N/A,TRUE,"general";"via2",#N/A,TRUE,"general";"via3",#N/A,TRUE,"general"}</definedName>
    <definedName name="gk" localSheetId="19" hidden="1">{"via1",#N/A,TRUE,"general";"via2",#N/A,TRUE,"general";"via3",#N/A,TRUE,"general"}</definedName>
    <definedName name="gk" hidden="1">{"via1",#N/A,TRUE,"general";"via2",#N/A,TRUE,"general";"via3",#N/A,TRUE,"general"}</definedName>
    <definedName name="GKJDGDIJZ">"Imagen 3"</definedName>
    <definedName name="gl" localSheetId="3">#REF!</definedName>
    <definedName name="gl">#REF!</definedName>
    <definedName name="gmt" localSheetId="3">#REF!</definedName>
    <definedName name="gmt">#REF!</definedName>
    <definedName name="gmvsa">'[15]Gabinetes ctrol, prot. y med. '!#REF!</definedName>
    <definedName name="gn" localSheetId="16">#REF!</definedName>
    <definedName name="gn" localSheetId="3">#REF!</definedName>
    <definedName name="gn">#REF!</definedName>
    <definedName name="gnm" localSheetId="16">#REF!</definedName>
    <definedName name="gnm">#REF!</definedName>
    <definedName name="gñ" localSheetId="16">#REF!</definedName>
    <definedName name="gñ">#REF!</definedName>
    <definedName name="gp">#REF!</definedName>
    <definedName name="GPS" localSheetId="19">#REF!</definedName>
    <definedName name="GPS">#REF!</definedName>
    <definedName name="GRAF1ANO" localSheetId="1" hidden="1">{"via1",#N/A,TRUE,"general";"via2",#N/A,TRUE,"general";"via3",#N/A,TRUE,"general"}</definedName>
    <definedName name="GRAF1ANO" localSheetId="9" hidden="1">{"via1",#N/A,TRUE,"general";"via2",#N/A,TRUE,"general";"via3",#N/A,TRUE,"general"}</definedName>
    <definedName name="GRAF1ANO" localSheetId="16" hidden="1">{"via1",#N/A,TRUE,"general";"via2",#N/A,TRUE,"general";"via3",#N/A,TRUE,"general"}</definedName>
    <definedName name="GRAF1ANO" localSheetId="19" hidden="1">{"via1",#N/A,TRUE,"general";"via2",#N/A,TRUE,"general";"via3",#N/A,TRUE,"general"}</definedName>
    <definedName name="GRAF1ANO" hidden="1">{"via1",#N/A,TRUE,"general";"via2",#N/A,TRUE,"general";"via3",#N/A,TRUE,"general"}</definedName>
    <definedName name="GRAF1AÑO" localSheetId="1" hidden="1">{"TAB1",#N/A,TRUE,"GENERAL";"TAB2",#N/A,TRUE,"GENERAL";"TAB3",#N/A,TRUE,"GENERAL";"TAB4",#N/A,TRUE,"GENERAL";"TAB5",#N/A,TRUE,"GENERAL"}</definedName>
    <definedName name="GRAF1AÑO" localSheetId="9" hidden="1">{"TAB1",#N/A,TRUE,"GENERAL";"TAB2",#N/A,TRUE,"GENERAL";"TAB3",#N/A,TRUE,"GENERAL";"TAB4",#N/A,TRUE,"GENERAL";"TAB5",#N/A,TRUE,"GENERAL"}</definedName>
    <definedName name="GRAF1AÑO" localSheetId="16" hidden="1">{"TAB1",#N/A,TRUE,"GENERAL";"TAB2",#N/A,TRUE,"GENERAL";"TAB3",#N/A,TRUE,"GENERAL";"TAB4",#N/A,TRUE,"GENERAL";"TAB5",#N/A,TRUE,"GENERAL"}</definedName>
    <definedName name="GRAF1AÑO" localSheetId="19" hidden="1">{"TAB1",#N/A,TRUE,"GENERAL";"TAB2",#N/A,TRUE,"GENERAL";"TAB3",#N/A,TRUE,"GENERAL";"TAB4",#N/A,TRUE,"GENERAL";"TAB5",#N/A,TRUE,"GENERAL"}</definedName>
    <definedName name="GRAF1AÑO" hidden="1">{"TAB1",#N/A,TRUE,"GENERAL";"TAB2",#N/A,TRUE,"GENERAL";"TAB3",#N/A,TRUE,"GENERAL";"TAB4",#N/A,TRUE,"GENERAL";"TAB5",#N/A,TRUE,"GENERAL"}</definedName>
    <definedName name="GRAF2">#REF!</definedName>
    <definedName name="GRAF3">#REF!</definedName>
    <definedName name="Grama_verde" localSheetId="1">'[20]LISTADO DE MATERIALES Y EQUIPOS'!$B$128</definedName>
    <definedName name="Grama_verde" localSheetId="16">'[20]LISTADO DE MATERIALES Y EQUIPOS'!$B$128</definedName>
    <definedName name="Grama_verde">'[20]LISTADO DE MATERIALES Y EQUIPOS'!$B$128</definedName>
    <definedName name="GRAV4">[77]BASE!$D$63</definedName>
    <definedName name="GRAVILLA" localSheetId="16">[26]MATERIALES!$D$3</definedName>
    <definedName name="GRAVILLA">[26]MATERIALES!$D$3</definedName>
    <definedName name="gregds" localSheetId="1" hidden="1">{"TAB1",#N/A,TRUE,"GENERAL";"TAB2",#N/A,TRUE,"GENERAL";"TAB3",#N/A,TRUE,"GENERAL";"TAB4",#N/A,TRUE,"GENERAL";"TAB5",#N/A,TRUE,"GENERAL"}</definedName>
    <definedName name="gregds" localSheetId="9" hidden="1">{"TAB1",#N/A,TRUE,"GENERAL";"TAB2",#N/A,TRUE,"GENERAL";"TAB3",#N/A,TRUE,"GENERAL";"TAB4",#N/A,TRUE,"GENERAL";"TAB5",#N/A,TRUE,"GENERAL"}</definedName>
    <definedName name="gregds" localSheetId="16" hidden="1">{"TAB1",#N/A,TRUE,"GENERAL";"TAB2",#N/A,TRUE,"GENERAL";"TAB3",#N/A,TRUE,"GENERAL";"TAB4",#N/A,TRUE,"GENERAL";"TAB5",#N/A,TRUE,"GENERAL"}</definedName>
    <definedName name="gregds" localSheetId="19" hidden="1">{"TAB1",#N/A,TRUE,"GENERAL";"TAB2",#N/A,TRUE,"GENERAL";"TAB3",#N/A,TRUE,"GENERAL";"TAB4",#N/A,TRUE,"GENERAL";"TAB5",#N/A,TRUE,"GENERAL"}</definedName>
    <definedName name="gregds" hidden="1">{"TAB1",#N/A,TRUE,"GENERAL";"TAB2",#N/A,TRUE,"GENERAL";"TAB3",#N/A,TRUE,"GENERAL";"TAB4",#N/A,TRUE,"GENERAL";"TAB5",#N/A,TRUE,"GENERAL"}</definedName>
    <definedName name="grehrtyh" localSheetId="1" hidden="1">{"TAB1",#N/A,TRUE,"GENERAL";"TAB2",#N/A,TRUE,"GENERAL";"TAB3",#N/A,TRUE,"GENERAL";"TAB4",#N/A,TRUE,"GENERAL";"TAB5",#N/A,TRUE,"GENERAL"}</definedName>
    <definedName name="grehrtyh" localSheetId="9" hidden="1">{"TAB1",#N/A,TRUE,"GENERAL";"TAB2",#N/A,TRUE,"GENERAL";"TAB3",#N/A,TRUE,"GENERAL";"TAB4",#N/A,TRUE,"GENERAL";"TAB5",#N/A,TRUE,"GENERAL"}</definedName>
    <definedName name="grehrtyh" localSheetId="16" hidden="1">{"TAB1",#N/A,TRUE,"GENERAL";"TAB2",#N/A,TRUE,"GENERAL";"TAB3",#N/A,TRUE,"GENERAL";"TAB4",#N/A,TRUE,"GENERAL";"TAB5",#N/A,TRUE,"GENERAL"}</definedName>
    <definedName name="grehrtyh" localSheetId="19" hidden="1">{"TAB1",#N/A,TRUE,"GENERAL";"TAB2",#N/A,TRUE,"GENERAL";"TAB3",#N/A,TRUE,"GENERAL";"TAB4",#N/A,TRUE,"GENERAL";"TAB5",#N/A,TRUE,"GENERAL"}</definedName>
    <definedName name="grehrtyh" hidden="1">{"TAB1",#N/A,TRUE,"GENERAL";"TAB2",#N/A,TRUE,"GENERAL";"TAB3",#N/A,TRUE,"GENERAL";"TAB4",#N/A,TRUE,"GENERAL";"TAB5",#N/A,TRUE,"GENERAL"}</definedName>
    <definedName name="grggwero" localSheetId="1" hidden="1">{"via1",#N/A,TRUE,"general";"via2",#N/A,TRUE,"general";"via3",#N/A,TRUE,"general"}</definedName>
    <definedName name="grggwero" localSheetId="9" hidden="1">{"via1",#N/A,TRUE,"general";"via2",#N/A,TRUE,"general";"via3",#N/A,TRUE,"general"}</definedName>
    <definedName name="grggwero" localSheetId="16" hidden="1">{"via1",#N/A,TRUE,"general";"via2",#N/A,TRUE,"general";"via3",#N/A,TRUE,"general"}</definedName>
    <definedName name="grggwero" localSheetId="19" hidden="1">{"via1",#N/A,TRUE,"general";"via2",#N/A,TRUE,"general";"via3",#N/A,TRUE,"general"}</definedName>
    <definedName name="grggwero" hidden="1">{"via1",#N/A,TRUE,"general";"via2",#N/A,TRUE,"general";"via3",#N/A,TRUE,"general"}</definedName>
    <definedName name="GRIFERIAS_ITEM" localSheetId="1">[31]Presupuesto!#REF!</definedName>
    <definedName name="GRIFERIAS_ITEM" localSheetId="16">[31]Presupuesto!#REF!</definedName>
    <definedName name="GRIFERIAS_ITEM">[31]Presupuesto!#REF!</definedName>
    <definedName name="grl" localSheetId="16">#REF!</definedName>
    <definedName name="grl" localSheetId="3">#REF!</definedName>
    <definedName name="grl">#REF!</definedName>
    <definedName name="grtyerh" localSheetId="1" hidden="1">{"TAB1",#N/A,TRUE,"GENERAL";"TAB2",#N/A,TRUE,"GENERAL";"TAB3",#N/A,TRUE,"GENERAL";"TAB4",#N/A,TRUE,"GENERAL";"TAB5",#N/A,TRUE,"GENERAL"}</definedName>
    <definedName name="grtyerh" localSheetId="9" hidden="1">{"TAB1",#N/A,TRUE,"GENERAL";"TAB2",#N/A,TRUE,"GENERAL";"TAB3",#N/A,TRUE,"GENERAL";"TAB4",#N/A,TRUE,"GENERAL";"TAB5",#N/A,TRUE,"GENERAL"}</definedName>
    <definedName name="grtyerh" localSheetId="16" hidden="1">{"TAB1",#N/A,TRUE,"GENERAL";"TAB2",#N/A,TRUE,"GENERAL";"TAB3",#N/A,TRUE,"GENERAL";"TAB4",#N/A,TRUE,"GENERAL";"TAB5",#N/A,TRUE,"GENERAL"}</definedName>
    <definedName name="grtyerh" localSheetId="19" hidden="1">{"TAB1",#N/A,TRUE,"GENERAL";"TAB2",#N/A,TRUE,"GENERAL";"TAB3",#N/A,TRUE,"GENERAL";"TAB4",#N/A,TRUE,"GENERAL";"TAB5",#N/A,TRUE,"GENERAL"}</definedName>
    <definedName name="grtyerh" hidden="1">{"TAB1",#N/A,TRUE,"GENERAL";"TAB2",#N/A,TRUE,"GENERAL";"TAB3",#N/A,TRUE,"GENERAL";"TAB4",#N/A,TRUE,"GENERAL";"TAB5",#N/A,TRUE,"GENERAL"}</definedName>
    <definedName name="GRUPO1">#REF!</definedName>
    <definedName name="GRUPO2">#REF!</definedName>
    <definedName name="GSDG" localSheetId="1" hidden="1">{"TAB1",#N/A,TRUE,"GENERAL";"TAB2",#N/A,TRUE,"GENERAL";"TAB3",#N/A,TRUE,"GENERAL";"TAB4",#N/A,TRUE,"GENERAL";"TAB5",#N/A,TRUE,"GENERAL"}</definedName>
    <definedName name="GSDG" localSheetId="9" hidden="1">{"TAB1",#N/A,TRUE,"GENERAL";"TAB2",#N/A,TRUE,"GENERAL";"TAB3",#N/A,TRUE,"GENERAL";"TAB4",#N/A,TRUE,"GENERAL";"TAB5",#N/A,TRUE,"GENERAL"}</definedName>
    <definedName name="GSDG" localSheetId="16" hidden="1">{"TAB1",#N/A,TRUE,"GENERAL";"TAB2",#N/A,TRUE,"GENERAL";"TAB3",#N/A,TRUE,"GENERAL";"TAB4",#N/A,TRUE,"GENERAL";"TAB5",#N/A,TRUE,"GENERAL"}</definedName>
    <definedName name="GSDG" localSheetId="19" hidden="1">{"TAB1",#N/A,TRUE,"GENERAL";"TAB2",#N/A,TRUE,"GENERAL";"TAB3",#N/A,TRUE,"GENERAL";"TAB4",#N/A,TRUE,"GENERAL";"TAB5",#N/A,TRUE,"GENERAL"}</definedName>
    <definedName name="GSDG" hidden="1">{"TAB1",#N/A,TRUE,"GENERAL";"TAB2",#N/A,TRUE,"GENERAL";"TAB3",#N/A,TRUE,"GENERAL";"TAB4",#N/A,TRUE,"GENERAL";"TAB5",#N/A,TRUE,"GENERAL"}</definedName>
    <definedName name="gsfsf" localSheetId="1" hidden="1">{"via1",#N/A,TRUE,"general";"via2",#N/A,TRUE,"general";"via3",#N/A,TRUE,"general"}</definedName>
    <definedName name="gsfsf" localSheetId="9" hidden="1">{"via1",#N/A,TRUE,"general";"via2",#N/A,TRUE,"general";"via3",#N/A,TRUE,"general"}</definedName>
    <definedName name="gsfsf" localSheetId="16" hidden="1">{"via1",#N/A,TRUE,"general";"via2",#N/A,TRUE,"general";"via3",#N/A,TRUE,"general"}</definedName>
    <definedName name="gsfsf" localSheetId="19" hidden="1">{"via1",#N/A,TRUE,"general";"via2",#N/A,TRUE,"general";"via3",#N/A,TRUE,"general"}</definedName>
    <definedName name="gsfsf" hidden="1">{"via1",#N/A,TRUE,"general";"via2",#N/A,TRUE,"general";"via3",#N/A,TRUE,"general"}</definedName>
    <definedName name="gte" localSheetId="3">#REF!</definedName>
    <definedName name="gte">#REF!</definedName>
    <definedName name="gtgt" localSheetId="1" hidden="1">{"via1",#N/A,TRUE,"general";"via2",#N/A,TRUE,"general";"via3",#N/A,TRUE,"general"}</definedName>
    <definedName name="gtgt" localSheetId="9" hidden="1">{"via1",#N/A,TRUE,"general";"via2",#N/A,TRUE,"general";"via3",#N/A,TRUE,"general"}</definedName>
    <definedName name="gtgt" localSheetId="16" hidden="1">{"via1",#N/A,TRUE,"general";"via2",#N/A,TRUE,"general";"via3",#N/A,TRUE,"general"}</definedName>
    <definedName name="gtgt" localSheetId="19" hidden="1">{"via1",#N/A,TRUE,"general";"via2",#N/A,TRUE,"general";"via3",#N/A,TRUE,"general"}</definedName>
    <definedName name="gtgt" hidden="1">{"via1",#N/A,TRUE,"general";"via2",#N/A,TRUE,"general";"via3",#N/A,TRUE,"general"}</definedName>
    <definedName name="gtgtg" localSheetId="1" hidden="1">{"via1",#N/A,TRUE,"general";"via2",#N/A,TRUE,"general";"via3",#N/A,TRUE,"general"}</definedName>
    <definedName name="gtgtg" localSheetId="9" hidden="1">{"via1",#N/A,TRUE,"general";"via2",#N/A,TRUE,"general";"via3",#N/A,TRUE,"general"}</definedName>
    <definedName name="gtgtg" localSheetId="16" hidden="1">{"via1",#N/A,TRUE,"general";"via2",#N/A,TRUE,"general";"via3",#N/A,TRUE,"general"}</definedName>
    <definedName name="gtgtg" localSheetId="19" hidden="1">{"via1",#N/A,TRUE,"general";"via2",#N/A,TRUE,"general";"via3",#N/A,TRUE,"general"}</definedName>
    <definedName name="gtgtg" hidden="1">{"via1",#N/A,TRUE,"general";"via2",#N/A,TRUE,"general";"via3",#N/A,TRUE,"general"}</definedName>
    <definedName name="gtgtgff" localSheetId="1" hidden="1">{"via1",#N/A,TRUE,"general";"via2",#N/A,TRUE,"general";"via3",#N/A,TRUE,"general"}</definedName>
    <definedName name="gtgtgff" localSheetId="9" hidden="1">{"via1",#N/A,TRUE,"general";"via2",#N/A,TRUE,"general";"via3",#N/A,TRUE,"general"}</definedName>
    <definedName name="gtgtgff" localSheetId="16" hidden="1">{"via1",#N/A,TRUE,"general";"via2",#N/A,TRUE,"general";"via3",#N/A,TRUE,"general"}</definedName>
    <definedName name="gtgtgff" localSheetId="19" hidden="1">{"via1",#N/A,TRUE,"general";"via2",#N/A,TRUE,"general";"via3",#N/A,TRUE,"general"}</definedName>
    <definedName name="gtgtgff" hidden="1">{"via1",#N/A,TRUE,"general";"via2",#N/A,TRUE,"general";"via3",#N/A,TRUE,"general"}</definedName>
    <definedName name="gtgtgyh" localSheetId="1" hidden="1">{"TAB1",#N/A,TRUE,"GENERAL";"TAB2",#N/A,TRUE,"GENERAL";"TAB3",#N/A,TRUE,"GENERAL";"TAB4",#N/A,TRUE,"GENERAL";"TAB5",#N/A,TRUE,"GENERAL"}</definedName>
    <definedName name="gtgtgyh" localSheetId="9" hidden="1">{"TAB1",#N/A,TRUE,"GENERAL";"TAB2",#N/A,TRUE,"GENERAL";"TAB3",#N/A,TRUE,"GENERAL";"TAB4",#N/A,TRUE,"GENERAL";"TAB5",#N/A,TRUE,"GENERAL"}</definedName>
    <definedName name="gtgtgyh" localSheetId="16" hidden="1">{"TAB1",#N/A,TRUE,"GENERAL";"TAB2",#N/A,TRUE,"GENERAL";"TAB3",#N/A,TRUE,"GENERAL";"TAB4",#N/A,TRUE,"GENERAL";"TAB5",#N/A,TRUE,"GENERAL"}</definedName>
    <definedName name="gtgtgyh" localSheetId="19" hidden="1">{"TAB1",#N/A,TRUE,"GENERAL";"TAB2",#N/A,TRUE,"GENERAL";"TAB3",#N/A,TRUE,"GENERAL";"TAB4",#N/A,TRUE,"GENERAL";"TAB5",#N/A,TRUE,"GENERAL"}</definedName>
    <definedName name="gtgtgyh" hidden="1">{"TAB1",#N/A,TRUE,"GENERAL";"TAB2",#N/A,TRUE,"GENERAL";"TAB3",#N/A,TRUE,"GENERAL";"TAB4",#N/A,TRUE,"GENERAL";"TAB5",#N/A,TRUE,"GENERAL"}</definedName>
    <definedName name="gtgth" localSheetId="1" hidden="1">{"TAB1",#N/A,TRUE,"GENERAL";"TAB2",#N/A,TRUE,"GENERAL";"TAB3",#N/A,TRUE,"GENERAL";"TAB4",#N/A,TRUE,"GENERAL";"TAB5",#N/A,TRUE,"GENERAL"}</definedName>
    <definedName name="gtgth" localSheetId="9" hidden="1">{"TAB1",#N/A,TRUE,"GENERAL";"TAB2",#N/A,TRUE,"GENERAL";"TAB3",#N/A,TRUE,"GENERAL";"TAB4",#N/A,TRUE,"GENERAL";"TAB5",#N/A,TRUE,"GENERAL"}</definedName>
    <definedName name="gtgth" localSheetId="16" hidden="1">{"TAB1",#N/A,TRUE,"GENERAL";"TAB2",#N/A,TRUE,"GENERAL";"TAB3",#N/A,TRUE,"GENERAL";"TAB4",#N/A,TRUE,"GENERAL";"TAB5",#N/A,TRUE,"GENERAL"}</definedName>
    <definedName name="gtgth" localSheetId="19" hidden="1">{"TAB1",#N/A,TRUE,"GENERAL";"TAB2",#N/A,TRUE,"GENERAL";"TAB3",#N/A,TRUE,"GENERAL";"TAB4",#N/A,TRUE,"GENERAL";"TAB5",#N/A,TRUE,"GENERAL"}</definedName>
    <definedName name="gtgth" hidden="1">{"TAB1",#N/A,TRUE,"GENERAL";"TAB2",#N/A,TRUE,"GENERAL";"TAB3",#N/A,TRUE,"GENERAL";"TAB4",#N/A,TRUE,"GENERAL";"TAB5",#N/A,TRUE,"GENERAL"}</definedName>
    <definedName name="GTI" localSheetId="3">#REF!</definedName>
    <definedName name="GTI">#REF!</definedName>
    <definedName name="gy" localSheetId="3">#REF!</definedName>
    <definedName name="gy">#REF!</definedName>
    <definedName name="H" localSheetId="3">'[63]Itemes Renovación'!#REF!</definedName>
    <definedName name="H">'[63]Itemes Renovación'!#REF!</definedName>
    <definedName name="h.EXC" localSheetId="16">#REF!</definedName>
    <definedName name="h.EXC">#REF!</definedName>
    <definedName name="h.LOM" localSheetId="16">#REF!</definedName>
    <definedName name="h.LOM">#REF!</definedName>
    <definedName name="H.LOMO">[78]TUBERIA!$S$10:$S$14</definedName>
    <definedName name="h.POZ" localSheetId="16">#REF!</definedName>
    <definedName name="h.POZ" localSheetId="19">#REF!</definedName>
    <definedName name="h.POZ">#REF!</definedName>
    <definedName name="h9h" localSheetId="1" hidden="1">{"via1",#N/A,TRUE,"general";"via2",#N/A,TRUE,"general";"via3",#N/A,TRUE,"general"}</definedName>
    <definedName name="h9h" localSheetId="9" hidden="1">{"via1",#N/A,TRUE,"general";"via2",#N/A,TRUE,"general";"via3",#N/A,TRUE,"general"}</definedName>
    <definedName name="h9h" localSheetId="16" hidden="1">{"via1",#N/A,TRUE,"general";"via2",#N/A,TRUE,"general";"via3",#N/A,TRUE,"general"}</definedName>
    <definedName name="h9h" localSheetId="19" hidden="1">{"via1",#N/A,TRUE,"general";"via2",#N/A,TRUE,"general";"via3",#N/A,TRUE,"general"}</definedName>
    <definedName name="h9h" hidden="1">{"via1",#N/A,TRUE,"general";"via2",#N/A,TRUE,"general";"via3",#N/A,TRUE,"general"}</definedName>
    <definedName name="ha" localSheetId="3">#REF!</definedName>
    <definedName name="ha">#REF!</definedName>
    <definedName name="HACER">#REF!</definedName>
    <definedName name="HBBVSV" localSheetId="3">'[63]Itemes Renovación'!#REF!</definedName>
    <definedName name="HBBVSV">'[63]Itemes Renovación'!#REF!</definedName>
    <definedName name="hbfdhrw" localSheetId="1" hidden="1">{"TAB1",#N/A,TRUE,"GENERAL";"TAB2",#N/A,TRUE,"GENERAL";"TAB3",#N/A,TRUE,"GENERAL";"TAB4",#N/A,TRUE,"GENERAL";"TAB5",#N/A,TRUE,"GENERAL"}</definedName>
    <definedName name="hbfdhrw" localSheetId="9" hidden="1">{"TAB1",#N/A,TRUE,"GENERAL";"TAB2",#N/A,TRUE,"GENERAL";"TAB3",#N/A,TRUE,"GENERAL";"TAB4",#N/A,TRUE,"GENERAL";"TAB5",#N/A,TRUE,"GENERAL"}</definedName>
    <definedName name="hbfdhrw" localSheetId="16" hidden="1">{"TAB1",#N/A,TRUE,"GENERAL";"TAB2",#N/A,TRUE,"GENERAL";"TAB3",#N/A,TRUE,"GENERAL";"TAB4",#N/A,TRUE,"GENERAL";"TAB5",#N/A,TRUE,"GENERAL"}</definedName>
    <definedName name="hbfdhrw" localSheetId="19" hidden="1">{"TAB1",#N/A,TRUE,"GENERAL";"TAB2",#N/A,TRUE,"GENERAL";"TAB3",#N/A,TRUE,"GENERAL";"TAB4",#N/A,TRUE,"GENERAL";"TAB5",#N/A,TRUE,"GENERAL"}</definedName>
    <definedName name="hbfdhrw" hidden="1">{"TAB1",#N/A,TRUE,"GENERAL";"TAB2",#N/A,TRUE,"GENERAL";"TAB3",#N/A,TRUE,"GENERAL";"TAB4",#N/A,TRUE,"GENERAL";"TAB5",#N/A,TRUE,"GENERAL"}</definedName>
    <definedName name="hdfh" localSheetId="1" hidden="1">{"via1",#N/A,TRUE,"general";"via2",#N/A,TRUE,"general";"via3",#N/A,TRUE,"general"}</definedName>
    <definedName name="hdfh" localSheetId="9" hidden="1">{"via1",#N/A,TRUE,"general";"via2",#N/A,TRUE,"general";"via3",#N/A,TRUE,"general"}</definedName>
    <definedName name="hdfh" localSheetId="16" hidden="1">{"via1",#N/A,TRUE,"general";"via2",#N/A,TRUE,"general";"via3",#N/A,TRUE,"general"}</definedName>
    <definedName name="hdfh" localSheetId="19" hidden="1">{"via1",#N/A,TRUE,"general";"via2",#N/A,TRUE,"general";"via3",#N/A,TRUE,"general"}</definedName>
    <definedName name="hdfh" hidden="1">{"via1",#N/A,TRUE,"general";"via2",#N/A,TRUE,"general";"via3",#N/A,TRUE,"general"}</definedName>
    <definedName name="hdfh4" localSheetId="1" hidden="1">{"TAB1",#N/A,TRUE,"GENERAL";"TAB2",#N/A,TRUE,"GENERAL";"TAB3",#N/A,TRUE,"GENERAL";"TAB4",#N/A,TRUE,"GENERAL";"TAB5",#N/A,TRUE,"GENERAL"}</definedName>
    <definedName name="hdfh4" localSheetId="9" hidden="1">{"TAB1",#N/A,TRUE,"GENERAL";"TAB2",#N/A,TRUE,"GENERAL";"TAB3",#N/A,TRUE,"GENERAL";"TAB4",#N/A,TRUE,"GENERAL";"TAB5",#N/A,TRUE,"GENERAL"}</definedName>
    <definedName name="hdfh4" localSheetId="16" hidden="1">{"TAB1",#N/A,TRUE,"GENERAL";"TAB2",#N/A,TRUE,"GENERAL";"TAB3",#N/A,TRUE,"GENERAL";"TAB4",#N/A,TRUE,"GENERAL";"TAB5",#N/A,TRUE,"GENERAL"}</definedName>
    <definedName name="hdfh4" localSheetId="19" hidden="1">{"TAB1",#N/A,TRUE,"GENERAL";"TAB2",#N/A,TRUE,"GENERAL";"TAB3",#N/A,TRUE,"GENERAL";"TAB4",#N/A,TRUE,"GENERAL";"TAB5",#N/A,TRUE,"GENERAL"}</definedName>
    <definedName name="hdfh4" hidden="1">{"TAB1",#N/A,TRUE,"GENERAL";"TAB2",#N/A,TRUE,"GENERAL";"TAB3",#N/A,TRUE,"GENERAL";"TAB4",#N/A,TRUE,"GENERAL";"TAB5",#N/A,TRUE,"GENERAL"}</definedName>
    <definedName name="hdfhwq" localSheetId="1" hidden="1">{"TAB1",#N/A,TRUE,"GENERAL";"TAB2",#N/A,TRUE,"GENERAL";"TAB3",#N/A,TRUE,"GENERAL";"TAB4",#N/A,TRUE,"GENERAL";"TAB5",#N/A,TRUE,"GENERAL"}</definedName>
    <definedName name="hdfhwq" localSheetId="9" hidden="1">{"TAB1",#N/A,TRUE,"GENERAL";"TAB2",#N/A,TRUE,"GENERAL";"TAB3",#N/A,TRUE,"GENERAL";"TAB4",#N/A,TRUE,"GENERAL";"TAB5",#N/A,TRUE,"GENERAL"}</definedName>
    <definedName name="hdfhwq" localSheetId="16" hidden="1">{"TAB1",#N/A,TRUE,"GENERAL";"TAB2",#N/A,TRUE,"GENERAL";"TAB3",#N/A,TRUE,"GENERAL";"TAB4",#N/A,TRUE,"GENERAL";"TAB5",#N/A,TRUE,"GENERAL"}</definedName>
    <definedName name="hdfhwq" localSheetId="19" hidden="1">{"TAB1",#N/A,TRUE,"GENERAL";"TAB2",#N/A,TRUE,"GENERAL";"TAB3",#N/A,TRUE,"GENERAL";"TAB4",#N/A,TRUE,"GENERAL";"TAB5",#N/A,TRUE,"GENERAL"}</definedName>
    <definedName name="hdfhwq" hidden="1">{"TAB1",#N/A,TRUE,"GENERAL";"TAB2",#N/A,TRUE,"GENERAL";"TAB3",#N/A,TRUE,"GENERAL";"TAB4",#N/A,TRUE,"GENERAL";"TAB5",#N/A,TRUE,"GENERAL"}</definedName>
    <definedName name="hdgh" localSheetId="1" hidden="1">{"via1",#N/A,TRUE,"general";"via2",#N/A,TRUE,"general";"via3",#N/A,TRUE,"general"}</definedName>
    <definedName name="hdgh" localSheetId="9" hidden="1">{"via1",#N/A,TRUE,"general";"via2",#N/A,TRUE,"general";"via3",#N/A,TRUE,"general"}</definedName>
    <definedName name="hdgh" localSheetId="16" hidden="1">{"via1",#N/A,TRUE,"general";"via2",#N/A,TRUE,"general";"via3",#N/A,TRUE,"general"}</definedName>
    <definedName name="hdgh" localSheetId="19" hidden="1">{"via1",#N/A,TRUE,"general";"via2",#N/A,TRUE,"general";"via3",#N/A,TRUE,"general"}</definedName>
    <definedName name="hdgh" hidden="1">{"via1",#N/A,TRUE,"general";"via2",#N/A,TRUE,"general";"via3",#N/A,TRUE,"general"}</definedName>
    <definedName name="hdhf" localSheetId="1" hidden="1">{"TAB1",#N/A,TRUE,"GENERAL";"TAB2",#N/A,TRUE,"GENERAL";"TAB3",#N/A,TRUE,"GENERAL";"TAB4",#N/A,TRUE,"GENERAL";"TAB5",#N/A,TRUE,"GENERAL"}</definedName>
    <definedName name="hdhf" localSheetId="9" hidden="1">{"TAB1",#N/A,TRUE,"GENERAL";"TAB2",#N/A,TRUE,"GENERAL";"TAB3",#N/A,TRUE,"GENERAL";"TAB4",#N/A,TRUE,"GENERAL";"TAB5",#N/A,TRUE,"GENERAL"}</definedName>
    <definedName name="hdhf" localSheetId="16" hidden="1">{"TAB1",#N/A,TRUE,"GENERAL";"TAB2",#N/A,TRUE,"GENERAL";"TAB3",#N/A,TRUE,"GENERAL";"TAB4",#N/A,TRUE,"GENERAL";"TAB5",#N/A,TRUE,"GENERAL"}</definedName>
    <definedName name="hdhf" localSheetId="19" hidden="1">{"TAB1",#N/A,TRUE,"GENERAL";"TAB2",#N/A,TRUE,"GENERAL";"TAB3",#N/A,TRUE,"GENERAL";"TAB4",#N/A,TRUE,"GENERAL";"TAB5",#N/A,TRUE,"GENERAL"}</definedName>
    <definedName name="hdhf" hidden="1">{"TAB1",#N/A,TRUE,"GENERAL";"TAB2",#N/A,TRUE,"GENERAL";"TAB3",#N/A,TRUE,"GENERAL";"TAB4",#N/A,TRUE,"GENERAL";"TAB5",#N/A,TRUE,"GENERAL"}</definedName>
    <definedName name="Header_Row">ROW(#REF!)</definedName>
    <definedName name="hfgh" localSheetId="1" hidden="1">{"via1",#N/A,TRUE,"general";"via2",#N/A,TRUE,"general";"via3",#N/A,TRUE,"general"}</definedName>
    <definedName name="hfgh" localSheetId="9" hidden="1">{"via1",#N/A,TRUE,"general";"via2",#N/A,TRUE,"general";"via3",#N/A,TRUE,"general"}</definedName>
    <definedName name="hfgh" localSheetId="16" hidden="1">{"via1",#N/A,TRUE,"general";"via2",#N/A,TRUE,"general";"via3",#N/A,TRUE,"general"}</definedName>
    <definedName name="hfgh" localSheetId="19" hidden="1">{"via1",#N/A,TRUE,"general";"via2",#N/A,TRUE,"general";"via3",#N/A,TRUE,"general"}</definedName>
    <definedName name="hfgh" hidden="1">{"via1",#N/A,TRUE,"general";"via2",#N/A,TRUE,"general";"via3",#N/A,TRUE,"general"}</definedName>
    <definedName name="hfh" localSheetId="1" hidden="1">{"TAB1",#N/A,TRUE,"GENERAL";"TAB2",#N/A,TRUE,"GENERAL";"TAB3",#N/A,TRUE,"GENERAL";"TAB4",#N/A,TRUE,"GENERAL";"TAB5",#N/A,TRUE,"GENERAL"}</definedName>
    <definedName name="hfh" localSheetId="9" hidden="1">{"TAB1",#N/A,TRUE,"GENERAL";"TAB2",#N/A,TRUE,"GENERAL";"TAB3",#N/A,TRUE,"GENERAL";"TAB4",#N/A,TRUE,"GENERAL";"TAB5",#N/A,TRUE,"GENERAL"}</definedName>
    <definedName name="hfh" localSheetId="16" hidden="1">{"TAB1",#N/A,TRUE,"GENERAL";"TAB2",#N/A,TRUE,"GENERAL";"TAB3",#N/A,TRUE,"GENERAL";"TAB4",#N/A,TRUE,"GENERAL";"TAB5",#N/A,TRUE,"GENERAL"}</definedName>
    <definedName name="hfh" localSheetId="19" hidden="1">{"TAB1",#N/A,TRUE,"GENERAL";"TAB2",#N/A,TRUE,"GENERAL";"TAB3",#N/A,TRUE,"GENERAL";"TAB4",#N/A,TRUE,"GENERAL";"TAB5",#N/A,TRUE,"GENERAL"}</definedName>
    <definedName name="hfh" hidden="1">{"TAB1",#N/A,TRUE,"GENERAL";"TAB2",#N/A,TRUE,"GENERAL";"TAB3",#N/A,TRUE,"GENERAL";"TAB4",#N/A,TRUE,"GENERAL";"TAB5",#N/A,TRUE,"GENERAL"}</definedName>
    <definedName name="hfhg" localSheetId="1" hidden="1">{"TAB1",#N/A,TRUE,"GENERAL";"TAB2",#N/A,TRUE,"GENERAL";"TAB3",#N/A,TRUE,"GENERAL";"TAB4",#N/A,TRUE,"GENERAL";"TAB5",#N/A,TRUE,"GENERAL"}</definedName>
    <definedName name="hfhg" localSheetId="9" hidden="1">{"TAB1",#N/A,TRUE,"GENERAL";"TAB2",#N/A,TRUE,"GENERAL";"TAB3",#N/A,TRUE,"GENERAL";"TAB4",#N/A,TRUE,"GENERAL";"TAB5",#N/A,TRUE,"GENERAL"}</definedName>
    <definedName name="hfhg" localSheetId="16" hidden="1">{"TAB1",#N/A,TRUE,"GENERAL";"TAB2",#N/A,TRUE,"GENERAL";"TAB3",#N/A,TRUE,"GENERAL";"TAB4",#N/A,TRUE,"GENERAL";"TAB5",#N/A,TRUE,"GENERAL"}</definedName>
    <definedName name="hfhg" localSheetId="19" hidden="1">{"TAB1",#N/A,TRUE,"GENERAL";"TAB2",#N/A,TRUE,"GENERAL";"TAB3",#N/A,TRUE,"GENERAL";"TAB4",#N/A,TRUE,"GENERAL";"TAB5",#N/A,TRUE,"GENERAL"}</definedName>
    <definedName name="hfhg" hidden="1">{"TAB1",#N/A,TRUE,"GENERAL";"TAB2",#N/A,TRUE,"GENERAL";"TAB3",#N/A,TRUE,"GENERAL";"TAB4",#N/A,TRUE,"GENERAL";"TAB5",#N/A,TRUE,"GENERAL"}</definedName>
    <definedName name="hfthr" localSheetId="1" hidden="1">{"via1",#N/A,TRUE,"general";"via2",#N/A,TRUE,"general";"via3",#N/A,TRUE,"general"}</definedName>
    <definedName name="hfthr" localSheetId="9" hidden="1">{"via1",#N/A,TRUE,"general";"via2",#N/A,TRUE,"general";"via3",#N/A,TRUE,"general"}</definedName>
    <definedName name="hfthr" localSheetId="16" hidden="1">{"via1",#N/A,TRUE,"general";"via2",#N/A,TRUE,"general";"via3",#N/A,TRUE,"general"}</definedName>
    <definedName name="hfthr" localSheetId="19" hidden="1">{"via1",#N/A,TRUE,"general";"via2",#N/A,TRUE,"general";"via3",#N/A,TRUE,"general"}</definedName>
    <definedName name="hfthr" hidden="1">{"via1",#N/A,TRUE,"general";"via2",#N/A,TRUE,"general";"via3",#N/A,TRUE,"general"}</definedName>
    <definedName name="hg" localSheetId="1" hidden="1">{"via1",#N/A,TRUE,"general";"via2",#N/A,TRUE,"general";"via3",#N/A,TRUE,"general"}</definedName>
    <definedName name="hg" localSheetId="9" hidden="1">{"via1",#N/A,TRUE,"general";"via2",#N/A,TRUE,"general";"via3",#N/A,TRUE,"general"}</definedName>
    <definedName name="hg" localSheetId="16" hidden="1">{"via1",#N/A,TRUE,"general";"via2",#N/A,TRUE,"general";"via3",#N/A,TRUE,"general"}</definedName>
    <definedName name="hg" localSheetId="19" hidden="1">{"via1",#N/A,TRUE,"general";"via2",#N/A,TRUE,"general";"via3",#N/A,TRUE,"general"}</definedName>
    <definedName name="hg" hidden="1">{"via1",#N/A,TRUE,"general";"via2",#N/A,TRUE,"general";"via3",#N/A,TRUE,"general"}</definedName>
    <definedName name="HGDSGHD" localSheetId="3">#REF!</definedName>
    <definedName name="HGDSGHD">#REF!</definedName>
    <definedName name="HGFH" localSheetId="1" hidden="1">{"via1",#N/A,TRUE,"general";"via2",#N/A,TRUE,"general";"via3",#N/A,TRUE,"general"}</definedName>
    <definedName name="HGFH" localSheetId="9" hidden="1">{"via1",#N/A,TRUE,"general";"via2",#N/A,TRUE,"general";"via3",#N/A,TRUE,"general"}</definedName>
    <definedName name="HGFH" localSheetId="16" hidden="1">{"via1",#N/A,TRUE,"general";"via2",#N/A,TRUE,"general";"via3",#N/A,TRUE,"general"}</definedName>
    <definedName name="HGFH" localSheetId="19" hidden="1">{"via1",#N/A,TRUE,"general";"via2",#N/A,TRUE,"general";"via3",#N/A,TRUE,"general"}</definedName>
    <definedName name="HGFH" hidden="1">{"via1",#N/A,TRUE,"general";"via2",#N/A,TRUE,"general";"via3",#N/A,TRUE,"general"}</definedName>
    <definedName name="hgfhty" localSheetId="1" hidden="1">{"via1",#N/A,TRUE,"general";"via2",#N/A,TRUE,"general";"via3",#N/A,TRUE,"general"}</definedName>
    <definedName name="hgfhty" localSheetId="9" hidden="1">{"via1",#N/A,TRUE,"general";"via2",#N/A,TRUE,"general";"via3",#N/A,TRUE,"general"}</definedName>
    <definedName name="hgfhty" localSheetId="16" hidden="1">{"via1",#N/A,TRUE,"general";"via2",#N/A,TRUE,"general";"via3",#N/A,TRUE,"general"}</definedName>
    <definedName name="hgfhty" localSheetId="19" hidden="1">{"via1",#N/A,TRUE,"general";"via2",#N/A,TRUE,"general";"via3",#N/A,TRUE,"general"}</definedName>
    <definedName name="hgfhty" hidden="1">{"via1",#N/A,TRUE,"general";"via2",#N/A,TRUE,"general";"via3",#N/A,TRUE,"general"}</definedName>
    <definedName name="HGHFH7" localSheetId="1" hidden="1">{"TAB1",#N/A,TRUE,"GENERAL";"TAB2",#N/A,TRUE,"GENERAL";"TAB3",#N/A,TRUE,"GENERAL";"TAB4",#N/A,TRUE,"GENERAL";"TAB5",#N/A,TRUE,"GENERAL"}</definedName>
    <definedName name="HGHFH7" localSheetId="9" hidden="1">{"TAB1",#N/A,TRUE,"GENERAL";"TAB2",#N/A,TRUE,"GENERAL";"TAB3",#N/A,TRUE,"GENERAL";"TAB4",#N/A,TRUE,"GENERAL";"TAB5",#N/A,TRUE,"GENERAL"}</definedName>
    <definedName name="HGHFH7" localSheetId="16" hidden="1">{"TAB1",#N/A,TRUE,"GENERAL";"TAB2",#N/A,TRUE,"GENERAL";"TAB3",#N/A,TRUE,"GENERAL";"TAB4",#N/A,TRUE,"GENERAL";"TAB5",#N/A,TRUE,"GENERAL"}</definedName>
    <definedName name="HGHFH7" localSheetId="19" hidden="1">{"TAB1",#N/A,TRUE,"GENERAL";"TAB2",#N/A,TRUE,"GENERAL";"TAB3",#N/A,TRUE,"GENERAL";"TAB4",#N/A,TRUE,"GENERAL";"TAB5",#N/A,TRUE,"GENERAL"}</definedName>
    <definedName name="HGHFH7" hidden="1">{"TAB1",#N/A,TRUE,"GENERAL";"TAB2",#N/A,TRUE,"GENERAL";"TAB3",#N/A,TRUE,"GENERAL";"TAB4",#N/A,TRUE,"GENERAL";"TAB5",#N/A,TRUE,"GENERAL"}</definedName>
    <definedName name="hghhj" localSheetId="1" hidden="1">{"TAB1",#N/A,TRUE,"GENERAL";"TAB2",#N/A,TRUE,"GENERAL";"TAB3",#N/A,TRUE,"GENERAL";"TAB4",#N/A,TRUE,"GENERAL";"TAB5",#N/A,TRUE,"GENERAL"}</definedName>
    <definedName name="hghhj" localSheetId="9" hidden="1">{"TAB1",#N/A,TRUE,"GENERAL";"TAB2",#N/A,TRUE,"GENERAL";"TAB3",#N/A,TRUE,"GENERAL";"TAB4",#N/A,TRUE,"GENERAL";"TAB5",#N/A,TRUE,"GENERAL"}</definedName>
    <definedName name="hghhj" localSheetId="16" hidden="1">{"TAB1",#N/A,TRUE,"GENERAL";"TAB2",#N/A,TRUE,"GENERAL";"TAB3",#N/A,TRUE,"GENERAL";"TAB4",#N/A,TRUE,"GENERAL";"TAB5",#N/A,TRUE,"GENERAL"}</definedName>
    <definedName name="hghhj" localSheetId="19" hidden="1">{"TAB1",#N/A,TRUE,"GENERAL";"TAB2",#N/A,TRUE,"GENERAL";"TAB3",#N/A,TRUE,"GENERAL";"TAB4",#N/A,TRUE,"GENERAL";"TAB5",#N/A,TRUE,"GENERAL"}</definedName>
    <definedName name="hghhj" hidden="1">{"TAB1",#N/A,TRUE,"GENERAL";"TAB2",#N/A,TRUE,"GENERAL";"TAB3",#N/A,TRUE,"GENERAL";"TAB4",#N/A,TRUE,"GENERAL";"TAB5",#N/A,TRUE,"GENERAL"}</definedName>
    <definedName name="hghydj" localSheetId="1" hidden="1">{"via1",#N/A,TRUE,"general";"via2",#N/A,TRUE,"general";"via3",#N/A,TRUE,"general"}</definedName>
    <definedName name="hghydj" localSheetId="9" hidden="1">{"via1",#N/A,TRUE,"general";"via2",#N/A,TRUE,"general";"via3",#N/A,TRUE,"general"}</definedName>
    <definedName name="hghydj" localSheetId="16" hidden="1">{"via1",#N/A,TRUE,"general";"via2",#N/A,TRUE,"general";"via3",#N/A,TRUE,"general"}</definedName>
    <definedName name="hghydj" localSheetId="19" hidden="1">{"via1",#N/A,TRUE,"general";"via2",#N/A,TRUE,"general";"via3",#N/A,TRUE,"general"}</definedName>
    <definedName name="hghydj" hidden="1">{"via1",#N/A,TRUE,"general";"via2",#N/A,TRUE,"general";"via3",#N/A,TRUE,"general"}</definedName>
    <definedName name="hgjfjw" localSheetId="1" hidden="1">{"via1",#N/A,TRUE,"general";"via2",#N/A,TRUE,"general";"via3",#N/A,TRUE,"general"}</definedName>
    <definedName name="hgjfjw" localSheetId="9" hidden="1">{"via1",#N/A,TRUE,"general";"via2",#N/A,TRUE,"general";"via3",#N/A,TRUE,"general"}</definedName>
    <definedName name="hgjfjw" localSheetId="16" hidden="1">{"via1",#N/A,TRUE,"general";"via2",#N/A,TRUE,"general";"via3",#N/A,TRUE,"general"}</definedName>
    <definedName name="hgjfjw" localSheetId="19" hidden="1">{"via1",#N/A,TRUE,"general";"via2",#N/A,TRUE,"general";"via3",#N/A,TRUE,"general"}</definedName>
    <definedName name="hgjfjw" hidden="1">{"via1",#N/A,TRUE,"general";"via2",#N/A,TRUE,"general";"via3",#N/A,TRUE,"general"}</definedName>
    <definedName name="HGJG" localSheetId="1" hidden="1">{"TAB1",#N/A,TRUE,"GENERAL";"TAB2",#N/A,TRUE,"GENERAL";"TAB3",#N/A,TRUE,"GENERAL";"TAB4",#N/A,TRUE,"GENERAL";"TAB5",#N/A,TRUE,"GENERAL"}</definedName>
    <definedName name="HGJG" localSheetId="9" hidden="1">{"TAB1",#N/A,TRUE,"GENERAL";"TAB2",#N/A,TRUE,"GENERAL";"TAB3",#N/A,TRUE,"GENERAL";"TAB4",#N/A,TRUE,"GENERAL";"TAB5",#N/A,TRUE,"GENERAL"}</definedName>
    <definedName name="HGJG" localSheetId="16" hidden="1">{"TAB1",#N/A,TRUE,"GENERAL";"TAB2",#N/A,TRUE,"GENERAL";"TAB3",#N/A,TRUE,"GENERAL";"TAB4",#N/A,TRUE,"GENERAL";"TAB5",#N/A,TRUE,"GENERAL"}</definedName>
    <definedName name="HGJG" localSheetId="19" hidden="1">{"TAB1",#N/A,TRUE,"GENERAL";"TAB2",#N/A,TRUE,"GENERAL";"TAB3",#N/A,TRUE,"GENERAL";"TAB4",#N/A,TRUE,"GENERAL";"TAB5",#N/A,TRUE,"GENERAL"}</definedName>
    <definedName name="HGJG" hidden="1">{"TAB1",#N/A,TRUE,"GENERAL";"TAB2",#N/A,TRUE,"GENERAL";"TAB3",#N/A,TRUE,"GENERAL";"TAB4",#N/A,TRUE,"GENERAL";"TAB5",#N/A,TRUE,"GENERAL"}</definedName>
    <definedName name="hgt" localSheetId="3">#REF!</definedName>
    <definedName name="hgt">#REF!</definedName>
    <definedName name="hgu" localSheetId="3">#REF!</definedName>
    <definedName name="hgu">#REF!</definedName>
    <definedName name="hh" localSheetId="3">#REF!</definedName>
    <definedName name="hh" hidden="1">'[10]46W9'!#REF!</definedName>
    <definedName name="hhh" localSheetId="1" hidden="1">{"TAB1",#N/A,TRUE,"GENERAL";"TAB2",#N/A,TRUE,"GENERAL";"TAB3",#N/A,TRUE,"GENERAL";"TAB4",#N/A,TRUE,"GENERAL";"TAB5",#N/A,TRUE,"GENERAL"}</definedName>
    <definedName name="hhh" localSheetId="9" hidden="1">{"TAB1",#N/A,TRUE,"GENERAL";"TAB2",#N/A,TRUE,"GENERAL";"TAB3",#N/A,TRUE,"GENERAL";"TAB4",#N/A,TRUE,"GENERAL";"TAB5",#N/A,TRUE,"GENERAL"}</definedName>
    <definedName name="hhh" localSheetId="16" hidden="1">{"TAB1",#N/A,TRUE,"GENERAL";"TAB2",#N/A,TRUE,"GENERAL";"TAB3",#N/A,TRUE,"GENERAL";"TAB4",#N/A,TRUE,"GENERAL";"TAB5",#N/A,TRUE,"GENERAL"}</definedName>
    <definedName name="hhh" localSheetId="19" hidden="1">{"TAB1",#N/A,TRUE,"GENERAL";"TAB2",#N/A,TRUE,"GENERAL";"TAB3",#N/A,TRUE,"GENERAL";"TAB4",#N/A,TRUE,"GENERAL";"TAB5",#N/A,TRUE,"GENERAL"}</definedName>
    <definedName name="hhh" hidden="1">{"TAB1",#N/A,TRUE,"GENERAL";"TAB2",#N/A,TRUE,"GENERAL";"TAB3",#N/A,TRUE,"GENERAL";"TAB4",#N/A,TRUE,"GENERAL";"TAB5",#N/A,TRUE,"GENERAL"}</definedName>
    <definedName name="hhhhhh" localSheetId="1" hidden="1">{"via1",#N/A,TRUE,"general";"via2",#N/A,TRUE,"general";"via3",#N/A,TRUE,"general"}</definedName>
    <definedName name="hhhhhh" localSheetId="9" hidden="1">{"via1",#N/A,TRUE,"general";"via2",#N/A,TRUE,"general";"via3",#N/A,TRUE,"general"}</definedName>
    <definedName name="hhhhhh" localSheetId="16" hidden="1">{"via1",#N/A,TRUE,"general";"via2",#N/A,TRUE,"general";"via3",#N/A,TRUE,"general"}</definedName>
    <definedName name="hhhhhh" localSheetId="19" hidden="1">{"via1",#N/A,TRUE,"general";"via2",#N/A,TRUE,"general";"via3",#N/A,TRUE,"general"}</definedName>
    <definedName name="hhhhhh" hidden="1">{"via1",#N/A,TRUE,"general";"via2",#N/A,TRUE,"general";"via3",#N/A,TRUE,"general"}</definedName>
    <definedName name="hhhhhho" localSheetId="1" hidden="1">{"TAB1",#N/A,TRUE,"GENERAL";"TAB2",#N/A,TRUE,"GENERAL";"TAB3",#N/A,TRUE,"GENERAL";"TAB4",#N/A,TRUE,"GENERAL";"TAB5",#N/A,TRUE,"GENERAL"}</definedName>
    <definedName name="hhhhhho" localSheetId="9" hidden="1">{"TAB1",#N/A,TRUE,"GENERAL";"TAB2",#N/A,TRUE,"GENERAL";"TAB3",#N/A,TRUE,"GENERAL";"TAB4",#N/A,TRUE,"GENERAL";"TAB5",#N/A,TRUE,"GENERAL"}</definedName>
    <definedName name="hhhhhho" localSheetId="16" hidden="1">{"TAB1",#N/A,TRUE,"GENERAL";"TAB2",#N/A,TRUE,"GENERAL";"TAB3",#N/A,TRUE,"GENERAL";"TAB4",#N/A,TRUE,"GENERAL";"TAB5",#N/A,TRUE,"GENERAL"}</definedName>
    <definedName name="hhhhhho" localSheetId="19" hidden="1">{"TAB1",#N/A,TRUE,"GENERAL";"TAB2",#N/A,TRUE,"GENERAL";"TAB3",#N/A,TRUE,"GENERAL";"TAB4",#N/A,TRUE,"GENERAL";"TAB5",#N/A,TRUE,"GENERAL"}</definedName>
    <definedName name="hhhhhho" hidden="1">{"TAB1",#N/A,TRUE,"GENERAL";"TAB2",#N/A,TRUE,"GENERAL";"TAB3",#N/A,TRUE,"GENERAL";"TAB4",#N/A,TRUE,"GENERAL";"TAB5",#N/A,TRUE,"GENERAL"}</definedName>
    <definedName name="hhhhhpy" localSheetId="1" hidden="1">{"TAB1",#N/A,TRUE,"GENERAL";"TAB2",#N/A,TRUE,"GENERAL";"TAB3",#N/A,TRUE,"GENERAL";"TAB4",#N/A,TRUE,"GENERAL";"TAB5",#N/A,TRUE,"GENERAL"}</definedName>
    <definedName name="hhhhhpy" localSheetId="9" hidden="1">{"TAB1",#N/A,TRUE,"GENERAL";"TAB2",#N/A,TRUE,"GENERAL";"TAB3",#N/A,TRUE,"GENERAL";"TAB4",#N/A,TRUE,"GENERAL";"TAB5",#N/A,TRUE,"GENERAL"}</definedName>
    <definedName name="hhhhhpy" localSheetId="16" hidden="1">{"TAB1",#N/A,TRUE,"GENERAL";"TAB2",#N/A,TRUE,"GENERAL";"TAB3",#N/A,TRUE,"GENERAL";"TAB4",#N/A,TRUE,"GENERAL";"TAB5",#N/A,TRUE,"GENERAL"}</definedName>
    <definedName name="hhhhhpy" localSheetId="19" hidden="1">{"TAB1",#N/A,TRUE,"GENERAL";"TAB2",#N/A,TRUE,"GENERAL";"TAB3",#N/A,TRUE,"GENERAL";"TAB4",#N/A,TRUE,"GENERAL";"TAB5",#N/A,TRUE,"GENERAL"}</definedName>
    <definedName name="hhhhhpy" hidden="1">{"TAB1",#N/A,TRUE,"GENERAL";"TAB2",#N/A,TRUE,"GENERAL";"TAB3",#N/A,TRUE,"GENERAL";"TAB4",#N/A,TRUE,"GENERAL";"TAB5",#N/A,TRUE,"GENERAL"}</definedName>
    <definedName name="hhhhth" localSheetId="1" hidden="1">{"via1",#N/A,TRUE,"general";"via2",#N/A,TRUE,"general";"via3",#N/A,TRUE,"general"}</definedName>
    <definedName name="hhhhth" localSheetId="9" hidden="1">{"via1",#N/A,TRUE,"general";"via2",#N/A,TRUE,"general";"via3",#N/A,TRUE,"general"}</definedName>
    <definedName name="hhhhth" localSheetId="16" hidden="1">{"via1",#N/A,TRUE,"general";"via2",#N/A,TRUE,"general";"via3",#N/A,TRUE,"general"}</definedName>
    <definedName name="hhhhth" localSheetId="19" hidden="1">{"via1",#N/A,TRUE,"general";"via2",#N/A,TRUE,"general";"via3",#N/A,TRUE,"general"}</definedName>
    <definedName name="hhhhth" hidden="1">{"via1",#N/A,TRUE,"general";"via2",#N/A,TRUE,"general";"via3",#N/A,TRUE,"general"}</definedName>
    <definedName name="hhhyhyh" localSheetId="1" hidden="1">{"TAB1",#N/A,TRUE,"GENERAL";"TAB2",#N/A,TRUE,"GENERAL";"TAB3",#N/A,TRUE,"GENERAL";"TAB4",#N/A,TRUE,"GENERAL";"TAB5",#N/A,TRUE,"GENERAL"}</definedName>
    <definedName name="hhhyhyh" localSheetId="9" hidden="1">{"TAB1",#N/A,TRUE,"GENERAL";"TAB2",#N/A,TRUE,"GENERAL";"TAB3",#N/A,TRUE,"GENERAL";"TAB4",#N/A,TRUE,"GENERAL";"TAB5",#N/A,TRUE,"GENERAL"}</definedName>
    <definedName name="hhhyhyh" localSheetId="16" hidden="1">{"TAB1",#N/A,TRUE,"GENERAL";"TAB2",#N/A,TRUE,"GENERAL";"TAB3",#N/A,TRUE,"GENERAL";"TAB4",#N/A,TRUE,"GENERAL";"TAB5",#N/A,TRUE,"GENERAL"}</definedName>
    <definedName name="hhhyhyh" localSheetId="19" hidden="1">{"TAB1",#N/A,TRUE,"GENERAL";"TAB2",#N/A,TRUE,"GENERAL";"TAB3",#N/A,TRUE,"GENERAL";"TAB4",#N/A,TRUE,"GENERAL";"TAB5",#N/A,TRUE,"GENERAL"}</definedName>
    <definedName name="hhhyhyh" hidden="1">{"TAB1",#N/A,TRUE,"GENERAL";"TAB2",#N/A,TRUE,"GENERAL";"TAB3",#N/A,TRUE,"GENERAL";"TAB4",#N/A,TRUE,"GENERAL";"TAB5",#N/A,TRUE,"GENERAL"}</definedName>
    <definedName name="hhtrhreh" localSheetId="1" hidden="1">{"via1",#N/A,TRUE,"general";"via2",#N/A,TRUE,"general";"via3",#N/A,TRUE,"general"}</definedName>
    <definedName name="hhtrhreh" localSheetId="9" hidden="1">{"via1",#N/A,TRUE,"general";"via2",#N/A,TRUE,"general";"via3",#N/A,TRUE,"general"}</definedName>
    <definedName name="hhtrhreh" localSheetId="16" hidden="1">{"via1",#N/A,TRUE,"general";"via2",#N/A,TRUE,"general";"via3",#N/A,TRUE,"general"}</definedName>
    <definedName name="hhtrhreh" localSheetId="19" hidden="1">{"via1",#N/A,TRUE,"general";"via2",#N/A,TRUE,"general";"via3",#N/A,TRUE,"general"}</definedName>
    <definedName name="hhtrhreh" hidden="1">{"via1",#N/A,TRUE,"general";"via2",#N/A,TRUE,"general";"via3",#N/A,TRUE,"general"}</definedName>
    <definedName name="Hid">'[5]Interc de Hidr.'!$E$1:$E$65536</definedName>
    <definedName name="HIDROSANITARIO_RED_DE_GAS" localSheetId="1">[7]PRESUPUESTO!#REF!</definedName>
    <definedName name="HIDROSANITARIO_RED_DE_GAS" localSheetId="16">[7]PRESUPUESTO!#REF!</definedName>
    <definedName name="HIDROSANITARIO_RED_DE_GAS">[7]PRESUPUESTO!#REF!</definedName>
    <definedName name="HIDROSANITYGAS_ITEM" localSheetId="1">[31]Presupuesto!#REF!</definedName>
    <definedName name="HIDROSANITYGAS_ITEM" localSheetId="16">[31]Presupuesto!#REF!</definedName>
    <definedName name="HIDROSANITYGAS_ITEM">[31]Presupuesto!#REF!</definedName>
    <definedName name="hj" localSheetId="16">#REF!</definedName>
    <definedName name="hj" localSheetId="3">#REF!</definedName>
    <definedName name="hj">#REF!</definedName>
    <definedName name="hjfg" localSheetId="1" hidden="1">{"via1",#N/A,TRUE,"general";"via2",#N/A,TRUE,"general";"via3",#N/A,TRUE,"general"}</definedName>
    <definedName name="hjfg" localSheetId="9" hidden="1">{"via1",#N/A,TRUE,"general";"via2",#N/A,TRUE,"general";"via3",#N/A,TRUE,"general"}</definedName>
    <definedName name="hjfg" localSheetId="16" hidden="1">{"via1",#N/A,TRUE,"general";"via2",#N/A,TRUE,"general";"via3",#N/A,TRUE,"general"}</definedName>
    <definedName name="hjfg" localSheetId="19" hidden="1">{"via1",#N/A,TRUE,"general";"via2",#N/A,TRUE,"general";"via3",#N/A,TRUE,"general"}</definedName>
    <definedName name="hjfg" hidden="1">{"via1",#N/A,TRUE,"general";"via2",#N/A,TRUE,"general";"via3",#N/A,TRUE,"general"}</definedName>
    <definedName name="hjgh" localSheetId="1" hidden="1">{"TAB1",#N/A,TRUE,"GENERAL";"TAB2",#N/A,TRUE,"GENERAL";"TAB3",#N/A,TRUE,"GENERAL";"TAB4",#N/A,TRUE,"GENERAL";"TAB5",#N/A,TRUE,"GENERAL"}</definedName>
    <definedName name="hjgh" localSheetId="9" hidden="1">{"TAB1",#N/A,TRUE,"GENERAL";"TAB2",#N/A,TRUE,"GENERAL";"TAB3",#N/A,TRUE,"GENERAL";"TAB4",#N/A,TRUE,"GENERAL";"TAB5",#N/A,TRUE,"GENERAL"}</definedName>
    <definedName name="hjgh" localSheetId="16" hidden="1">{"TAB1",#N/A,TRUE,"GENERAL";"TAB2",#N/A,TRUE,"GENERAL";"TAB3",#N/A,TRUE,"GENERAL";"TAB4",#N/A,TRUE,"GENERAL";"TAB5",#N/A,TRUE,"GENERAL"}</definedName>
    <definedName name="hjgh" localSheetId="19" hidden="1">{"TAB1",#N/A,TRUE,"GENERAL";"TAB2",#N/A,TRUE,"GENERAL";"TAB3",#N/A,TRUE,"GENERAL";"TAB4",#N/A,TRUE,"GENERAL";"TAB5",#N/A,TRUE,"GENERAL"}</definedName>
    <definedName name="hjgh" hidden="1">{"TAB1",#N/A,TRUE,"GENERAL";"TAB2",#N/A,TRUE,"GENERAL";"TAB3",#N/A,TRUE,"GENERAL";"TAB4",#N/A,TRUE,"GENERAL";"TAB5",#N/A,TRUE,"GENERAL"}</definedName>
    <definedName name="hjghj" localSheetId="1" hidden="1">{"TAB1",#N/A,TRUE,"GENERAL";"TAB2",#N/A,TRUE,"GENERAL";"TAB3",#N/A,TRUE,"GENERAL";"TAB4",#N/A,TRUE,"GENERAL";"TAB5",#N/A,TRUE,"GENERAL"}</definedName>
    <definedName name="hjghj" localSheetId="9" hidden="1">{"TAB1",#N/A,TRUE,"GENERAL";"TAB2",#N/A,TRUE,"GENERAL";"TAB3",#N/A,TRUE,"GENERAL";"TAB4",#N/A,TRUE,"GENERAL";"TAB5",#N/A,TRUE,"GENERAL"}</definedName>
    <definedName name="hjghj" localSheetId="16" hidden="1">{"TAB1",#N/A,TRUE,"GENERAL";"TAB2",#N/A,TRUE,"GENERAL";"TAB3",#N/A,TRUE,"GENERAL";"TAB4",#N/A,TRUE,"GENERAL";"TAB5",#N/A,TRUE,"GENERAL"}</definedName>
    <definedName name="hjghj" localSheetId="19" hidden="1">{"TAB1",#N/A,TRUE,"GENERAL";"TAB2",#N/A,TRUE,"GENERAL";"TAB3",#N/A,TRUE,"GENERAL";"TAB4",#N/A,TRUE,"GENERAL";"TAB5",#N/A,TRUE,"GENERAL"}</definedName>
    <definedName name="hjghj" hidden="1">{"TAB1",#N/A,TRUE,"GENERAL";"TAB2",#N/A,TRUE,"GENERAL";"TAB3",#N/A,TRUE,"GENERAL";"TAB4",#N/A,TRUE,"GENERAL";"TAB5",#N/A,TRUE,"GENERAL"}</definedName>
    <definedName name="hjhjhg" localSheetId="1" hidden="1">{"TAB1",#N/A,TRUE,"GENERAL";"TAB2",#N/A,TRUE,"GENERAL";"TAB3",#N/A,TRUE,"GENERAL";"TAB4",#N/A,TRUE,"GENERAL";"TAB5",#N/A,TRUE,"GENERAL"}</definedName>
    <definedName name="hjhjhg" localSheetId="9" hidden="1">{"TAB1",#N/A,TRUE,"GENERAL";"TAB2",#N/A,TRUE,"GENERAL";"TAB3",#N/A,TRUE,"GENERAL";"TAB4",#N/A,TRUE,"GENERAL";"TAB5",#N/A,TRUE,"GENERAL"}</definedName>
    <definedName name="hjhjhg" localSheetId="16" hidden="1">{"TAB1",#N/A,TRUE,"GENERAL";"TAB2",#N/A,TRUE,"GENERAL";"TAB3",#N/A,TRUE,"GENERAL";"TAB4",#N/A,TRUE,"GENERAL";"TAB5",#N/A,TRUE,"GENERAL"}</definedName>
    <definedName name="hjhjhg" localSheetId="19" hidden="1">{"TAB1",#N/A,TRUE,"GENERAL";"TAB2",#N/A,TRUE,"GENERAL";"TAB3",#N/A,TRUE,"GENERAL";"TAB4",#N/A,TRUE,"GENERAL";"TAB5",#N/A,TRUE,"GENERAL"}</definedName>
    <definedName name="hjhjhg" hidden="1">{"TAB1",#N/A,TRUE,"GENERAL";"TAB2",#N/A,TRUE,"GENERAL";"TAB3",#N/A,TRUE,"GENERAL";"TAB4",#N/A,TRUE,"GENERAL";"TAB5",#N/A,TRUE,"GENERAL"}</definedName>
    <definedName name="hjk" localSheetId="3">#REF!</definedName>
    <definedName name="hjk">#REF!</definedName>
    <definedName name="HJKH" localSheetId="1" hidden="1">{"via1",#N/A,TRUE,"general";"via2",#N/A,TRUE,"general";"via3",#N/A,TRUE,"general"}</definedName>
    <definedName name="HJKH" localSheetId="9" hidden="1">{"via1",#N/A,TRUE,"general";"via2",#N/A,TRUE,"general";"via3",#N/A,TRUE,"general"}</definedName>
    <definedName name="HJKH" localSheetId="16" hidden="1">{"via1",#N/A,TRUE,"general";"via2",#N/A,TRUE,"general";"via3",#N/A,TRUE,"general"}</definedName>
    <definedName name="HJKH" localSheetId="19" hidden="1">{"via1",#N/A,TRUE,"general";"via2",#N/A,TRUE,"general";"via3",#N/A,TRUE,"general"}</definedName>
    <definedName name="HJKH" hidden="1">{"via1",#N/A,TRUE,"general";"via2",#N/A,TRUE,"general";"via3",#N/A,TRUE,"general"}</definedName>
    <definedName name="hjkjk" localSheetId="1" hidden="1">{"via1",#N/A,TRUE,"general";"via2",#N/A,TRUE,"general";"via3",#N/A,TRUE,"general"}</definedName>
    <definedName name="hjkjk" localSheetId="9" hidden="1">{"via1",#N/A,TRUE,"general";"via2",#N/A,TRUE,"general";"via3",#N/A,TRUE,"general"}</definedName>
    <definedName name="hjkjk" localSheetId="16" hidden="1">{"via1",#N/A,TRUE,"general";"via2",#N/A,TRUE,"general";"via3",#N/A,TRUE,"general"}</definedName>
    <definedName name="hjkjk" localSheetId="19" hidden="1">{"via1",#N/A,TRUE,"general";"via2",#N/A,TRUE,"general";"via3",#N/A,TRUE,"general"}</definedName>
    <definedName name="hjkjk" hidden="1">{"via1",#N/A,TRUE,"general";"via2",#N/A,TRUE,"general";"via3",#N/A,TRUE,"general"}</definedName>
    <definedName name="hl" localSheetId="3">#REF!</definedName>
    <definedName name="hl">#REF!</definedName>
    <definedName name="HMHF3" localSheetId="1">[7]BASE!#REF!</definedName>
    <definedName name="HMHF3" localSheetId="16">[7]BASE!#REF!</definedName>
    <definedName name="HMHF3">[7]BASE!#REF!</definedName>
    <definedName name="hn" localSheetId="1" hidden="1">{"TAB1",#N/A,TRUE,"GENERAL";"TAB2",#N/A,TRUE,"GENERAL";"TAB3",#N/A,TRUE,"GENERAL";"TAB4",#N/A,TRUE,"GENERAL";"TAB5",#N/A,TRUE,"GENERAL"}</definedName>
    <definedName name="hn" localSheetId="9" hidden="1">{"TAB1",#N/A,TRUE,"GENERAL";"TAB2",#N/A,TRUE,"GENERAL";"TAB3",#N/A,TRUE,"GENERAL";"TAB4",#N/A,TRUE,"GENERAL";"TAB5",#N/A,TRUE,"GENERAL"}</definedName>
    <definedName name="hn" localSheetId="16" hidden="1">{"TAB1",#N/A,TRUE,"GENERAL";"TAB2",#N/A,TRUE,"GENERAL";"TAB3",#N/A,TRUE,"GENERAL";"TAB4",#N/A,TRUE,"GENERAL";"TAB5",#N/A,TRUE,"GENERAL"}</definedName>
    <definedName name="hn" localSheetId="19" hidden="1">{"TAB1",#N/A,TRUE,"GENERAL";"TAB2",#N/A,TRUE,"GENERAL";"TAB3",#N/A,TRUE,"GENERAL";"TAB4",#N/A,TRUE,"GENERAL";"TAB5",#N/A,TRUE,"GENERAL"}</definedName>
    <definedName name="hn" hidden="1">{"TAB1",#N/A,TRUE,"GENERAL";"TAB2",#N/A,TRUE,"GENERAL";"TAB3",#N/A,TRUE,"GENERAL";"TAB4",#N/A,TRUE,"GENERAL";"TAB5",#N/A,TRUE,"GENERAL"}</definedName>
    <definedName name="hnt" localSheetId="3">#REF!</definedName>
    <definedName name="hnt">#REF!</definedName>
    <definedName name="hoha" hidden="1">{"PYGT",#N/A,FALSE,"PYG";"ACTIT",#N/A,FALSE,"BCE_GRAL-ACTIVO";"PASIT",#N/A,FALSE,"BCE_GRAL-PASIVO-PATRIM";"CAJAT",#N/A,FALSE,"CAJA"}</definedName>
    <definedName name="HOJA">#N/A</definedName>
    <definedName name="HOJA1">#REF!</definedName>
    <definedName name="HOJA444">#N/A</definedName>
    <definedName name="horat" localSheetId="3">'[79]Itemes Renovación'!#REF!</definedName>
    <definedName name="horat">'[80]Itemes Renovación'!#REF!</definedName>
    <definedName name="hp" localSheetId="16">#REF!</definedName>
    <definedName name="hp" localSheetId="3">#REF!</definedName>
    <definedName name="hp">#REF!</definedName>
    <definedName name="hqi" localSheetId="16">#REF!</definedName>
    <definedName name="hqi">#REF!</definedName>
    <definedName name="hreer" localSheetId="1" hidden="1">{"TAB1",#N/A,TRUE,"GENERAL";"TAB2",#N/A,TRUE,"GENERAL";"TAB3",#N/A,TRUE,"GENERAL";"TAB4",#N/A,TRUE,"GENERAL";"TAB5",#N/A,TRUE,"GENERAL"}</definedName>
    <definedName name="hreer" localSheetId="9" hidden="1">{"TAB1",#N/A,TRUE,"GENERAL";"TAB2",#N/A,TRUE,"GENERAL";"TAB3",#N/A,TRUE,"GENERAL";"TAB4",#N/A,TRUE,"GENERAL";"TAB5",#N/A,TRUE,"GENERAL"}</definedName>
    <definedName name="hreer" localSheetId="16" hidden="1">{"TAB1",#N/A,TRUE,"GENERAL";"TAB2",#N/A,TRUE,"GENERAL";"TAB3",#N/A,TRUE,"GENERAL";"TAB4",#N/A,TRUE,"GENERAL";"TAB5",#N/A,TRUE,"GENERAL"}</definedName>
    <definedName name="hreer" localSheetId="19" hidden="1">{"TAB1",#N/A,TRUE,"GENERAL";"TAB2",#N/A,TRUE,"GENERAL";"TAB3",#N/A,TRUE,"GENERAL";"TAB4",#N/A,TRUE,"GENERAL";"TAB5",#N/A,TRUE,"GENERAL"}</definedName>
    <definedName name="hreer" hidden="1">{"TAB1",#N/A,TRUE,"GENERAL";"TAB2",#N/A,TRUE,"GENERAL";"TAB3",#N/A,TRUE,"GENERAL";"TAB4",#N/A,TRUE,"GENERAL";"TAB5",#N/A,TRUE,"GENERAL"}</definedName>
    <definedName name="hrhth" localSheetId="1" hidden="1">{"TAB1",#N/A,TRUE,"GENERAL";"TAB2",#N/A,TRUE,"GENERAL";"TAB3",#N/A,TRUE,"GENERAL";"TAB4",#N/A,TRUE,"GENERAL";"TAB5",#N/A,TRUE,"GENERAL"}</definedName>
    <definedName name="hrhth" localSheetId="9" hidden="1">{"TAB1",#N/A,TRUE,"GENERAL";"TAB2",#N/A,TRUE,"GENERAL";"TAB3",#N/A,TRUE,"GENERAL";"TAB4",#N/A,TRUE,"GENERAL";"TAB5",#N/A,TRUE,"GENERAL"}</definedName>
    <definedName name="hrhth" localSheetId="16" hidden="1">{"TAB1",#N/A,TRUE,"GENERAL";"TAB2",#N/A,TRUE,"GENERAL";"TAB3",#N/A,TRUE,"GENERAL";"TAB4",#N/A,TRUE,"GENERAL";"TAB5",#N/A,TRUE,"GENERAL"}</definedName>
    <definedName name="hrhth" localSheetId="19" hidden="1">{"TAB1",#N/A,TRUE,"GENERAL";"TAB2",#N/A,TRUE,"GENERAL";"TAB3",#N/A,TRUE,"GENERAL";"TAB4",#N/A,TRUE,"GENERAL";"TAB5",#N/A,TRUE,"GENERAL"}</definedName>
    <definedName name="hrhth" hidden="1">{"TAB1",#N/A,TRUE,"GENERAL";"TAB2",#N/A,TRUE,"GENERAL";"TAB3",#N/A,TRUE,"GENERAL";"TAB4",#N/A,TRUE,"GENERAL";"TAB5",#N/A,TRUE,"GENERAL"}</definedName>
    <definedName name="hrthtrh" localSheetId="1" hidden="1">{"TAB1",#N/A,TRUE,"GENERAL";"TAB2",#N/A,TRUE,"GENERAL";"TAB3",#N/A,TRUE,"GENERAL";"TAB4",#N/A,TRUE,"GENERAL";"TAB5",#N/A,TRUE,"GENERAL"}</definedName>
    <definedName name="hrthtrh" localSheetId="9" hidden="1">{"TAB1",#N/A,TRUE,"GENERAL";"TAB2",#N/A,TRUE,"GENERAL";"TAB3",#N/A,TRUE,"GENERAL";"TAB4",#N/A,TRUE,"GENERAL";"TAB5",#N/A,TRUE,"GENERAL"}</definedName>
    <definedName name="hrthtrh" localSheetId="16" hidden="1">{"TAB1",#N/A,TRUE,"GENERAL";"TAB2",#N/A,TRUE,"GENERAL";"TAB3",#N/A,TRUE,"GENERAL";"TAB4",#N/A,TRUE,"GENERAL";"TAB5",#N/A,TRUE,"GENERAL"}</definedName>
    <definedName name="hrthtrh" localSheetId="19" hidden="1">{"TAB1",#N/A,TRUE,"GENERAL";"TAB2",#N/A,TRUE,"GENERAL";"TAB3",#N/A,TRUE,"GENERAL";"TAB4",#N/A,TRUE,"GENERAL";"TAB5",#N/A,TRUE,"GENERAL"}</definedName>
    <definedName name="hrthtrh" hidden="1">{"TAB1",#N/A,TRUE,"GENERAL";"TAB2",#N/A,TRUE,"GENERAL";"TAB3",#N/A,TRUE,"GENERAL";"TAB4",#N/A,TRUE,"GENERAL";"TAB5",#N/A,TRUE,"GENERAL"}</definedName>
    <definedName name="hsfg" localSheetId="1" hidden="1">{"via1",#N/A,TRUE,"general";"via2",#N/A,TRUE,"general";"via3",#N/A,TRUE,"general"}</definedName>
    <definedName name="hsfg" localSheetId="9" hidden="1">{"via1",#N/A,TRUE,"general";"via2",#N/A,TRUE,"general";"via3",#N/A,TRUE,"general"}</definedName>
    <definedName name="hsfg" localSheetId="16" hidden="1">{"via1",#N/A,TRUE,"general";"via2",#N/A,TRUE,"general";"via3",#N/A,TRUE,"general"}</definedName>
    <definedName name="hsfg" localSheetId="19" hidden="1">{"via1",#N/A,TRUE,"general";"via2",#N/A,TRUE,"general";"via3",#N/A,TRUE,"general"}</definedName>
    <definedName name="hsfg" hidden="1">{"via1",#N/A,TRUE,"general";"via2",#N/A,TRUE,"general";"via3",#N/A,TRUE,"general"}</definedName>
    <definedName name="ht" localSheetId="3">#REF!</definedName>
    <definedName name="ht">#REF!</definedName>
    <definedName name="hthdrf" localSheetId="1" hidden="1">{"TAB1",#N/A,TRUE,"GENERAL";"TAB2",#N/A,TRUE,"GENERAL";"TAB3",#N/A,TRUE,"GENERAL";"TAB4",#N/A,TRUE,"GENERAL";"TAB5",#N/A,TRUE,"GENERAL"}</definedName>
    <definedName name="hthdrf" localSheetId="9" hidden="1">{"TAB1",#N/A,TRUE,"GENERAL";"TAB2",#N/A,TRUE,"GENERAL";"TAB3",#N/A,TRUE,"GENERAL";"TAB4",#N/A,TRUE,"GENERAL";"TAB5",#N/A,TRUE,"GENERAL"}</definedName>
    <definedName name="hthdrf" localSheetId="16" hidden="1">{"TAB1",#N/A,TRUE,"GENERAL";"TAB2",#N/A,TRUE,"GENERAL";"TAB3",#N/A,TRUE,"GENERAL";"TAB4",#N/A,TRUE,"GENERAL";"TAB5",#N/A,TRUE,"GENERAL"}</definedName>
    <definedName name="hthdrf" localSheetId="19" hidden="1">{"TAB1",#N/A,TRUE,"GENERAL";"TAB2",#N/A,TRUE,"GENERAL";"TAB3",#N/A,TRUE,"GENERAL";"TAB4",#N/A,TRUE,"GENERAL";"TAB5",#N/A,TRUE,"GENERAL"}</definedName>
    <definedName name="hthdrf" hidden="1">{"TAB1",#N/A,TRUE,"GENERAL";"TAB2",#N/A,TRUE,"GENERAL";"TAB3",#N/A,TRUE,"GENERAL";"TAB4",#N/A,TRUE,"GENERAL";"TAB5",#N/A,TRUE,"GENERAL"}</definedName>
    <definedName name="htk" localSheetId="3">#REF!</definedName>
    <definedName name="htk">#REF!</definedName>
    <definedName name="HTML_CodePage" hidden="1">1252</definedName>
    <definedName name="HTML_Control" hidden="1">{"'PACÍFICO12'!$A$1:$E$6"}</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4" hidden="1">TRUE</definedName>
    <definedName name="HTML_OS" hidden="1">0</definedName>
    <definedName name="HTML_PathFile" hidden="1">"\\Sap1002264\c\COMPAQ\HTML.htm"</definedName>
    <definedName name="HTML_Title" hidden="1">"Planeacion 2002-cto11"</definedName>
    <definedName name="htryrt7" localSheetId="1" hidden="1">{"via1",#N/A,TRUE,"general";"via2",#N/A,TRUE,"general";"via3",#N/A,TRUE,"general"}</definedName>
    <definedName name="htryrt7" localSheetId="9" hidden="1">{"via1",#N/A,TRUE,"general";"via2",#N/A,TRUE,"general";"via3",#N/A,TRUE,"general"}</definedName>
    <definedName name="htryrt7" localSheetId="16" hidden="1">{"via1",#N/A,TRUE,"general";"via2",#N/A,TRUE,"general";"via3",#N/A,TRUE,"general"}</definedName>
    <definedName name="htryrt7" localSheetId="19" hidden="1">{"via1",#N/A,TRUE,"general";"via2",#N/A,TRUE,"general";"via3",#N/A,TRUE,"general"}</definedName>
    <definedName name="htryrt7" hidden="1">{"via1",#N/A,TRUE,"general";"via2",#N/A,TRUE,"general";"via3",#N/A,TRUE,"general"}</definedName>
    <definedName name="hyhjop" localSheetId="1" hidden="1">{"TAB1",#N/A,TRUE,"GENERAL";"TAB2",#N/A,TRUE,"GENERAL";"TAB3",#N/A,TRUE,"GENERAL";"TAB4",#N/A,TRUE,"GENERAL";"TAB5",#N/A,TRUE,"GENERAL"}</definedName>
    <definedName name="hyhjop" localSheetId="9" hidden="1">{"TAB1",#N/A,TRUE,"GENERAL";"TAB2",#N/A,TRUE,"GENERAL";"TAB3",#N/A,TRUE,"GENERAL";"TAB4",#N/A,TRUE,"GENERAL";"TAB5",#N/A,TRUE,"GENERAL"}</definedName>
    <definedName name="hyhjop" localSheetId="16" hidden="1">{"TAB1",#N/A,TRUE,"GENERAL";"TAB2",#N/A,TRUE,"GENERAL";"TAB3",#N/A,TRUE,"GENERAL";"TAB4",#N/A,TRUE,"GENERAL";"TAB5",#N/A,TRUE,"GENERAL"}</definedName>
    <definedName name="hyhjop" localSheetId="19" hidden="1">{"TAB1",#N/A,TRUE,"GENERAL";"TAB2",#N/A,TRUE,"GENERAL";"TAB3",#N/A,TRUE,"GENERAL";"TAB4",#N/A,TRUE,"GENERAL";"TAB5",#N/A,TRUE,"GENERAL"}</definedName>
    <definedName name="hyhjop" hidden="1">{"TAB1",#N/A,TRUE,"GENERAL";"TAB2",#N/A,TRUE,"GENERAL";"TAB3",#N/A,TRUE,"GENERAL";"TAB4",#N/A,TRUE,"GENERAL";"TAB5",#N/A,TRUE,"GENERAL"}</definedName>
    <definedName name="hyhyh" localSheetId="1" hidden="1">{"TAB1",#N/A,TRUE,"GENERAL";"TAB2",#N/A,TRUE,"GENERAL";"TAB3",#N/A,TRUE,"GENERAL";"TAB4",#N/A,TRUE,"GENERAL";"TAB5",#N/A,TRUE,"GENERAL"}</definedName>
    <definedName name="hyhyh" localSheetId="9" hidden="1">{"TAB1",#N/A,TRUE,"GENERAL";"TAB2",#N/A,TRUE,"GENERAL";"TAB3",#N/A,TRUE,"GENERAL";"TAB4",#N/A,TRUE,"GENERAL";"TAB5",#N/A,TRUE,"GENERAL"}</definedName>
    <definedName name="hyhyh" localSheetId="16" hidden="1">{"TAB1",#N/A,TRUE,"GENERAL";"TAB2",#N/A,TRUE,"GENERAL";"TAB3",#N/A,TRUE,"GENERAL";"TAB4",#N/A,TRUE,"GENERAL";"TAB5",#N/A,TRUE,"GENERAL"}</definedName>
    <definedName name="hyhyh" localSheetId="19" hidden="1">{"TAB1",#N/A,TRUE,"GENERAL";"TAB2",#N/A,TRUE,"GENERAL";"TAB3",#N/A,TRUE,"GENERAL";"TAB4",#N/A,TRUE,"GENERAL";"TAB5",#N/A,TRUE,"GENERAL"}</definedName>
    <definedName name="hyhyh" hidden="1">{"TAB1",#N/A,TRUE,"GENERAL";"TAB2",#N/A,TRUE,"GENERAL";"TAB3",#N/A,TRUE,"GENERAL";"TAB4",#N/A,TRUE,"GENERAL";"TAB5",#N/A,TRUE,"GENERAL"}</definedName>
    <definedName name="HYT" localSheetId="3">#REF!</definedName>
    <definedName name="HYT">#REF!</definedName>
    <definedName name="hytirs" localSheetId="1" hidden="1">{"via1",#N/A,TRUE,"general";"via2",#N/A,TRUE,"general";"via3",#N/A,TRUE,"general"}</definedName>
    <definedName name="hytirs" localSheetId="9" hidden="1">{"via1",#N/A,TRUE,"general";"via2",#N/A,TRUE,"general";"via3",#N/A,TRUE,"general"}</definedName>
    <definedName name="hytirs" localSheetId="16" hidden="1">{"via1",#N/A,TRUE,"general";"via2",#N/A,TRUE,"general";"via3",#N/A,TRUE,"general"}</definedName>
    <definedName name="hytirs" localSheetId="19" hidden="1">{"via1",#N/A,TRUE,"general";"via2",#N/A,TRUE,"general";"via3",#N/A,TRUE,"general"}</definedName>
    <definedName name="hytirs" hidden="1">{"via1",#N/A,TRUE,"general";"via2",#N/A,TRUE,"general";"via3",#N/A,TRUE,"general"}</definedName>
    <definedName name="I" localSheetId="3" hidden="1">{"PYGT",#N/A,FALSE,"PYG";"ACTIT",#N/A,FALSE,"BCE_GRAL-ACTIVO";"PASIT",#N/A,FALSE,"BCE_GRAL-PASIVO-PATRIM";"CAJAT",#N/A,FALSE,"CAJA"}</definedName>
    <definedName name="I">#REF!</definedName>
    <definedName name="i8i" localSheetId="1" hidden="1">{"TAB1",#N/A,TRUE,"GENERAL";"TAB2",#N/A,TRUE,"GENERAL";"TAB3",#N/A,TRUE,"GENERAL";"TAB4",#N/A,TRUE,"GENERAL";"TAB5",#N/A,TRUE,"GENERAL"}</definedName>
    <definedName name="i8i" localSheetId="9" hidden="1">{"TAB1",#N/A,TRUE,"GENERAL";"TAB2",#N/A,TRUE,"GENERAL";"TAB3",#N/A,TRUE,"GENERAL";"TAB4",#N/A,TRUE,"GENERAL";"TAB5",#N/A,TRUE,"GENERAL"}</definedName>
    <definedName name="i8i" localSheetId="16" hidden="1">{"TAB1",#N/A,TRUE,"GENERAL";"TAB2",#N/A,TRUE,"GENERAL";"TAB3",#N/A,TRUE,"GENERAL";"TAB4",#N/A,TRUE,"GENERAL";"TAB5",#N/A,TRUE,"GENERAL"}</definedName>
    <definedName name="i8i" localSheetId="19" hidden="1">{"TAB1",#N/A,TRUE,"GENERAL";"TAB2",#N/A,TRUE,"GENERAL";"TAB3",#N/A,TRUE,"GENERAL";"TAB4",#N/A,TRUE,"GENERAL";"TAB5",#N/A,TRUE,"GENERAL"}</definedName>
    <definedName name="i8i" hidden="1">{"TAB1",#N/A,TRUE,"GENERAL";"TAB2",#N/A,TRUE,"GENERAL";"TAB3",#N/A,TRUE,"GENERAL";"TAB4",#N/A,TRUE,"GENERAL";"TAB5",#N/A,TRUE,"GENERAL"}</definedName>
    <definedName name="id" localSheetId="3">#REF!</definedName>
    <definedName name="id">#REF!</definedName>
    <definedName name="IF">'[49]A. P. U.'!#REF!</definedName>
    <definedName name="ig" localSheetId="16">#REF!</definedName>
    <definedName name="ig" localSheetId="3">#REF!</definedName>
    <definedName name="ig">#REF!</definedName>
    <definedName name="ignacio" localSheetId="16">#REF!</definedName>
    <definedName name="ignacio">#REF!</definedName>
    <definedName name="ii" localSheetId="1" hidden="1">{"TAB1",#N/A,TRUE,"GENERAL";"TAB2",#N/A,TRUE,"GENERAL";"TAB3",#N/A,TRUE,"GENERAL";"TAB4",#N/A,TRUE,"GENERAL";"TAB5",#N/A,TRUE,"GENERAL"}</definedName>
    <definedName name="ii" localSheetId="9" hidden="1">{"TAB1",#N/A,TRUE,"GENERAL";"TAB2",#N/A,TRUE,"GENERAL";"TAB3",#N/A,TRUE,"GENERAL";"TAB4",#N/A,TRUE,"GENERAL";"TAB5",#N/A,TRUE,"GENERAL"}</definedName>
    <definedName name="ii" localSheetId="16" hidden="1">{"TAB1",#N/A,TRUE,"GENERAL";"TAB2",#N/A,TRUE,"GENERAL";"TAB3",#N/A,TRUE,"GENERAL";"TAB4",#N/A,TRUE,"GENERAL";"TAB5",#N/A,TRUE,"GENERAL"}</definedName>
    <definedName name="ii" localSheetId="3">#REF!</definedName>
    <definedName name="ii" localSheetId="19" hidden="1">{"TAB1",#N/A,TRUE,"GENERAL";"TAB2",#N/A,TRUE,"GENERAL";"TAB3",#N/A,TRUE,"GENERAL";"TAB4",#N/A,TRUE,"GENERAL";"TAB5",#N/A,TRUE,"GENERAL"}</definedName>
    <definedName name="ii" hidden="1">{"TAB1",#N/A,TRUE,"GENERAL";"TAB2",#N/A,TRUE,"GENERAL";"TAB3",#N/A,TRUE,"GENERAL";"TAB4",#N/A,TRUE,"GENERAL";"TAB5",#N/A,TRUE,"GENERAL"}</definedName>
    <definedName name="iii" localSheetId="1" hidden="1">{"via1",#N/A,TRUE,"general";"via2",#N/A,TRUE,"general";"via3",#N/A,TRUE,"general"}</definedName>
    <definedName name="iii" localSheetId="9" hidden="1">{"via1",#N/A,TRUE,"general";"via2",#N/A,TRUE,"general";"via3",#N/A,TRUE,"general"}</definedName>
    <definedName name="iii" localSheetId="16" hidden="1">{"via1",#N/A,TRUE,"general";"via2",#N/A,TRUE,"general";"via3",#N/A,TRUE,"general"}</definedName>
    <definedName name="iii" localSheetId="19" hidden="1">{"via1",#N/A,TRUE,"general";"via2",#N/A,TRUE,"general";"via3",#N/A,TRUE,"general"}</definedName>
    <definedName name="iii" hidden="1">{"via1",#N/A,TRUE,"general";"via2",#N/A,TRUE,"general";"via3",#N/A,TRUE,"general"}</definedName>
    <definedName name="iiii" localSheetId="1" hidden="1">{"via1",#N/A,TRUE,"general";"via2",#N/A,TRUE,"general";"via3",#N/A,TRUE,"general"}</definedName>
    <definedName name="iiii" localSheetId="9" hidden="1">{"via1",#N/A,TRUE,"general";"via2",#N/A,TRUE,"general";"via3",#N/A,TRUE,"general"}</definedName>
    <definedName name="iiii" localSheetId="16" hidden="1">{"via1",#N/A,TRUE,"general";"via2",#N/A,TRUE,"general";"via3",#N/A,TRUE,"general"}</definedName>
    <definedName name="iiii" localSheetId="19" hidden="1">{"via1",#N/A,TRUE,"general";"via2",#N/A,TRUE,"general";"via3",#N/A,TRUE,"general"}</definedName>
    <definedName name="iiii" hidden="1">{"via1",#N/A,TRUE,"general";"via2",#N/A,TRUE,"general";"via3",#N/A,TRUE,"general"}</definedName>
    <definedName name="iiiiiiik" localSheetId="1" hidden="1">{"via1",#N/A,TRUE,"general";"via2",#N/A,TRUE,"general";"via3",#N/A,TRUE,"general"}</definedName>
    <definedName name="iiiiiiik" localSheetId="9" hidden="1">{"via1",#N/A,TRUE,"general";"via2",#N/A,TRUE,"general";"via3",#N/A,TRUE,"general"}</definedName>
    <definedName name="iiiiiiik" localSheetId="16" hidden="1">{"via1",#N/A,TRUE,"general";"via2",#N/A,TRUE,"general";"via3",#N/A,TRUE,"general"}</definedName>
    <definedName name="iiiiiiik" localSheetId="19" hidden="1">{"via1",#N/A,TRUE,"general";"via2",#N/A,TRUE,"general";"via3",#N/A,TRUE,"general"}</definedName>
    <definedName name="iiiiiiik" hidden="1">{"via1",#N/A,TRUE,"general";"via2",#N/A,TRUE,"general";"via3",#N/A,TRUE,"general"}</definedName>
    <definedName name="iiiiuh" localSheetId="1" hidden="1">{"TAB1",#N/A,TRUE,"GENERAL";"TAB2",#N/A,TRUE,"GENERAL";"TAB3",#N/A,TRUE,"GENERAL";"TAB4",#N/A,TRUE,"GENERAL";"TAB5",#N/A,TRUE,"GENERAL"}</definedName>
    <definedName name="iiiiuh" localSheetId="9" hidden="1">{"TAB1",#N/A,TRUE,"GENERAL";"TAB2",#N/A,TRUE,"GENERAL";"TAB3",#N/A,TRUE,"GENERAL";"TAB4",#N/A,TRUE,"GENERAL";"TAB5",#N/A,TRUE,"GENERAL"}</definedName>
    <definedName name="iiiiuh" localSheetId="16" hidden="1">{"TAB1",#N/A,TRUE,"GENERAL";"TAB2",#N/A,TRUE,"GENERAL";"TAB3",#N/A,TRUE,"GENERAL";"TAB4",#N/A,TRUE,"GENERAL";"TAB5",#N/A,TRUE,"GENERAL"}</definedName>
    <definedName name="iiiiuh" localSheetId="19" hidden="1">{"TAB1",#N/A,TRUE,"GENERAL";"TAB2",#N/A,TRUE,"GENERAL";"TAB3",#N/A,TRUE,"GENERAL";"TAB4",#N/A,TRUE,"GENERAL";"TAB5",#N/A,TRUE,"GENERAL"}</definedName>
    <definedName name="iiiiuh" hidden="1">{"TAB1",#N/A,TRUE,"GENERAL";"TAB2",#N/A,TRUE,"GENERAL";"TAB3",#N/A,TRUE,"GENERAL";"TAB4",#N/A,TRUE,"GENERAL";"TAB5",#N/A,TRUE,"GENERAL"}</definedName>
    <definedName name="ik" localSheetId="3">#REF!</definedName>
    <definedName name="ik">#REF!</definedName>
    <definedName name="ikj" localSheetId="3">#REF!</definedName>
    <definedName name="ikj">#REF!</definedName>
    <definedName name="iktgvfmu" localSheetId="1" hidden="1">{"TAB1",#N/A,TRUE,"GENERAL";"TAB2",#N/A,TRUE,"GENERAL";"TAB3",#N/A,TRUE,"GENERAL";"TAB4",#N/A,TRUE,"GENERAL";"TAB5",#N/A,TRUE,"GENERAL"}</definedName>
    <definedName name="iktgvfmu" localSheetId="9" hidden="1">{"TAB1",#N/A,TRUE,"GENERAL";"TAB2",#N/A,TRUE,"GENERAL";"TAB3",#N/A,TRUE,"GENERAL";"TAB4",#N/A,TRUE,"GENERAL";"TAB5",#N/A,TRUE,"GENERAL"}</definedName>
    <definedName name="iktgvfmu" localSheetId="16" hidden="1">{"TAB1",#N/A,TRUE,"GENERAL";"TAB2",#N/A,TRUE,"GENERAL";"TAB3",#N/A,TRUE,"GENERAL";"TAB4",#N/A,TRUE,"GENERAL";"TAB5",#N/A,TRUE,"GENERAL"}</definedName>
    <definedName name="iktgvfmu" localSheetId="19" hidden="1">{"TAB1",#N/A,TRUE,"GENERAL";"TAB2",#N/A,TRUE,"GENERAL";"TAB3",#N/A,TRUE,"GENERAL";"TAB4",#N/A,TRUE,"GENERAL";"TAB5",#N/A,TRUE,"GENERAL"}</definedName>
    <definedName name="iktgvfmu" hidden="1">{"TAB1",#N/A,TRUE,"GENERAL";"TAB2",#N/A,TRUE,"GENERAL";"TAB3",#N/A,TRUE,"GENERAL";"TAB4",#N/A,TRUE,"GENERAL";"TAB5",#N/A,TRUE,"GENERAL"}</definedName>
    <definedName name="IMPREVISTOS" localSheetId="16">'[26]Formulario N° 4'!$F$130</definedName>
    <definedName name="imprevistos" localSheetId="3">[27]DATOS!$B$17</definedName>
    <definedName name="IMPREVISTOS">'[26]Formulario N° 4'!$F$130</definedName>
    <definedName name="Imprima" localSheetId="16">#REF!</definedName>
    <definedName name="Imprima" localSheetId="19">#REF!</definedName>
    <definedName name="Imprima">#REF!</definedName>
    <definedName name="INCRUST" localSheetId="1">[31]Presupuesto!#REF!,[31]Presupuesto!#REF!,[31]Presupuesto!#REF!,[31]Presupuesto!#REF!,[31]Presupuesto!#REF!</definedName>
    <definedName name="INCRUST" localSheetId="9">[31]Presupuesto!#REF!,[31]Presupuesto!#REF!,[31]Presupuesto!#REF!,[31]Presupuesto!#REF!,[31]Presupuesto!#REF!</definedName>
    <definedName name="INCRUST" localSheetId="16">[31]Presupuesto!#REF!,[31]Presupuesto!#REF!,[31]Presupuesto!#REF!,[31]Presupuesto!#REF!,[31]Presupuesto!#REF!</definedName>
    <definedName name="INCRUST">[31]Presupuesto!#REF!,[31]Presupuesto!#REF!,[31]Presupuesto!#REF!,[31]Presupuesto!#REF!,[31]Presupuesto!#REF!</definedName>
    <definedName name="IND">[81]items!$C$4:$J$247</definedName>
    <definedName name="inf" localSheetId="16">#REF!</definedName>
    <definedName name="inf" localSheetId="3">#REF!</definedName>
    <definedName name="inf">#REF!</definedName>
    <definedName name="inf___0">"$"</definedName>
    <definedName name="INFG">#REF!</definedName>
    <definedName name="INGE" localSheetId="1">'[40]DATOS OBRA'!$B$43</definedName>
    <definedName name="INGE" localSheetId="16">'[40]DATOS OBRA'!$B$43</definedName>
    <definedName name="INGE">'[40]DATOS OBRA'!$B$43</definedName>
    <definedName name="Inicio">[34]BASES!$E$26</definedName>
    <definedName name="INSU">[82]INSUMOS!$A$1:$E$65536</definedName>
    <definedName name="INSUMO" localSheetId="16">#REF!</definedName>
    <definedName name="INSUMO" localSheetId="19">#REF!</definedName>
    <definedName name="INSUMO">#REF!</definedName>
    <definedName name="INSUMOS_MATERIALES">'[83]INSUMOS MATERIALES'!$A$1:$D$528</definedName>
    <definedName name="Int" localSheetId="16">#REF!</definedName>
    <definedName name="Int">#REF!</definedName>
    <definedName name="InTap">[5]Interc.tapones!$E$1:$E$65536</definedName>
    <definedName name="Interest_Rate" localSheetId="16">#REF!</definedName>
    <definedName name="Interest_Rate" localSheetId="3">#REF!</definedName>
    <definedName name="Interest_Rate">#REF!</definedName>
    <definedName name="Interruptor_Doble" localSheetId="1">'[20]LISTADO DE MATERIALES Y EQUIPOS'!$B$116</definedName>
    <definedName name="Interruptor_Doble" localSheetId="16">'[20]LISTADO DE MATERIALES Y EQUIPOS'!$B$116</definedName>
    <definedName name="Interruptor_Doble">'[20]LISTADO DE MATERIALES Y EQUIPOS'!$B$116</definedName>
    <definedName name="Interruptor_sencillo" localSheetId="1">'[20]LISTADO DE MATERIALES Y EQUIPOS'!$B$115</definedName>
    <definedName name="Interruptor_sencillo" localSheetId="16">'[20]LISTADO DE MATERIALES Y EQUIPOS'!$B$115</definedName>
    <definedName name="Interruptor_sencillo">'[20]LISTADO DE MATERIALES Y EQUIPOS'!$B$115</definedName>
    <definedName name="INTERv">[77]BASE!$C$5</definedName>
    <definedName name="IntVal">'[5]Interc.válv.'!$E$1:$E$65536</definedName>
    <definedName name="INV_11">'[84]PR 1'!$A$2:$N$655</definedName>
    <definedName name="Io" localSheetId="16">#REF!</definedName>
    <definedName name="io" localSheetId="3">#REF!</definedName>
    <definedName name="Io" localSheetId="19">#REF!</definedName>
    <definedName name="Io">#REF!</definedName>
    <definedName name="ir" localSheetId="16">#REF!</definedName>
    <definedName name="ir">#REF!</definedName>
    <definedName name="it.">#REF!</definedName>
    <definedName name="Item">#REF!</definedName>
    <definedName name="ITEM1">#REF!</definedName>
    <definedName name="ITEM15">#REF!</definedName>
    <definedName name="ITEM2">#REF!</definedName>
    <definedName name="ITEM3">#REF!</definedName>
    <definedName name="ItemCodos">#REF!</definedName>
    <definedName name="items">[27]ITEMS!$B$6:$B$176</definedName>
    <definedName name="IUI" localSheetId="1" hidden="1">{"TAB1",#N/A,TRUE,"GENERAL";"TAB2",#N/A,TRUE,"GENERAL";"TAB3",#N/A,TRUE,"GENERAL";"TAB4",#N/A,TRUE,"GENERAL";"TAB5",#N/A,TRUE,"GENERAL"}</definedName>
    <definedName name="IUI" localSheetId="9" hidden="1">{"TAB1",#N/A,TRUE,"GENERAL";"TAB2",#N/A,TRUE,"GENERAL";"TAB3",#N/A,TRUE,"GENERAL";"TAB4",#N/A,TRUE,"GENERAL";"TAB5",#N/A,TRUE,"GENERAL"}</definedName>
    <definedName name="IUI" localSheetId="16" hidden="1">{"TAB1",#N/A,TRUE,"GENERAL";"TAB2",#N/A,TRUE,"GENERAL";"TAB3",#N/A,TRUE,"GENERAL";"TAB4",#N/A,TRUE,"GENERAL";"TAB5",#N/A,TRUE,"GENERAL"}</definedName>
    <definedName name="IUI" localSheetId="19" hidden="1">{"TAB1",#N/A,TRUE,"GENERAL";"TAB2",#N/A,TRUE,"GENERAL";"TAB3",#N/A,TRUE,"GENERAL";"TAB4",#N/A,TRUE,"GENERAL";"TAB5",#N/A,TRUE,"GENERAL"}</definedName>
    <definedName name="IUI" hidden="1">{"TAB1",#N/A,TRUE,"GENERAL";"TAB2",#N/A,TRUE,"GENERAL";"TAB3",#N/A,TRUE,"GENERAL";"TAB4",#N/A,TRUE,"GENERAL";"TAB5",#N/A,TRUE,"GENERAL"}</definedName>
    <definedName name="iuit7" localSheetId="1" hidden="1">{"TAB1",#N/A,TRUE,"GENERAL";"TAB2",#N/A,TRUE,"GENERAL";"TAB3",#N/A,TRUE,"GENERAL";"TAB4",#N/A,TRUE,"GENERAL";"TAB5",#N/A,TRUE,"GENERAL"}</definedName>
    <definedName name="iuit7" localSheetId="9" hidden="1">{"TAB1",#N/A,TRUE,"GENERAL";"TAB2",#N/A,TRUE,"GENERAL";"TAB3",#N/A,TRUE,"GENERAL";"TAB4",#N/A,TRUE,"GENERAL";"TAB5",#N/A,TRUE,"GENERAL"}</definedName>
    <definedName name="iuit7" localSheetId="16" hidden="1">{"TAB1",#N/A,TRUE,"GENERAL";"TAB2",#N/A,TRUE,"GENERAL";"TAB3",#N/A,TRUE,"GENERAL";"TAB4",#N/A,TRUE,"GENERAL";"TAB5",#N/A,TRUE,"GENERAL"}</definedName>
    <definedName name="iuit7" localSheetId="19" hidden="1">{"TAB1",#N/A,TRUE,"GENERAL";"TAB2",#N/A,TRUE,"GENERAL";"TAB3",#N/A,TRUE,"GENERAL";"TAB4",#N/A,TRUE,"GENERAL";"TAB5",#N/A,TRUE,"GENERAL"}</definedName>
    <definedName name="iuit7" hidden="1">{"TAB1",#N/A,TRUE,"GENERAL";"TAB2",#N/A,TRUE,"GENERAL";"TAB3",#N/A,TRUE,"GENERAL";"TAB4",#N/A,TRUE,"GENERAL";"TAB5",#N/A,TRUE,"GENERAL"}</definedName>
    <definedName name="iul" localSheetId="1" hidden="1">{"via1",#N/A,TRUE,"general";"via2",#N/A,TRUE,"general";"via3",#N/A,TRUE,"general"}</definedName>
    <definedName name="iul" localSheetId="9" hidden="1">{"via1",#N/A,TRUE,"general";"via2",#N/A,TRUE,"general";"via3",#N/A,TRUE,"general"}</definedName>
    <definedName name="iul" localSheetId="16" hidden="1">{"via1",#N/A,TRUE,"general";"via2",#N/A,TRUE,"general";"via3",#N/A,TRUE,"general"}</definedName>
    <definedName name="iul" localSheetId="19" hidden="1">{"via1",#N/A,TRUE,"general";"via2",#N/A,TRUE,"general";"via3",#N/A,TRUE,"general"}</definedName>
    <definedName name="iul" hidden="1">{"via1",#N/A,TRUE,"general";"via2",#N/A,TRUE,"general";"via3",#N/A,TRUE,"general"}</definedName>
    <definedName name="iuouio" localSheetId="1" hidden="1">{"via1",#N/A,TRUE,"general";"via2",#N/A,TRUE,"general";"via3",#N/A,TRUE,"general"}</definedName>
    <definedName name="iuouio" localSheetId="9" hidden="1">{"via1",#N/A,TRUE,"general";"via2",#N/A,TRUE,"general";"via3",#N/A,TRUE,"general"}</definedName>
    <definedName name="iuouio" localSheetId="16" hidden="1">{"via1",#N/A,TRUE,"general";"via2",#N/A,TRUE,"general";"via3",#N/A,TRUE,"general"}</definedName>
    <definedName name="iuouio" localSheetId="19" hidden="1">{"via1",#N/A,TRUE,"general";"via2",#N/A,TRUE,"general";"via3",#N/A,TRUE,"general"}</definedName>
    <definedName name="iuouio" hidden="1">{"via1",#N/A,TRUE,"general";"via2",#N/A,TRUE,"general";"via3",#N/A,TRUE,"general"}</definedName>
    <definedName name="iuyi9" localSheetId="1" hidden="1">{"TAB1",#N/A,TRUE,"GENERAL";"TAB2",#N/A,TRUE,"GENERAL";"TAB3",#N/A,TRUE,"GENERAL";"TAB4",#N/A,TRUE,"GENERAL";"TAB5",#N/A,TRUE,"GENERAL"}</definedName>
    <definedName name="iuyi9" localSheetId="9" hidden="1">{"TAB1",#N/A,TRUE,"GENERAL";"TAB2",#N/A,TRUE,"GENERAL";"TAB3",#N/A,TRUE,"GENERAL";"TAB4",#N/A,TRUE,"GENERAL";"TAB5",#N/A,TRUE,"GENERAL"}</definedName>
    <definedName name="iuyi9" localSheetId="16" hidden="1">{"TAB1",#N/A,TRUE,"GENERAL";"TAB2",#N/A,TRUE,"GENERAL";"TAB3",#N/A,TRUE,"GENERAL";"TAB4",#N/A,TRUE,"GENERAL";"TAB5",#N/A,TRUE,"GENERAL"}</definedName>
    <definedName name="iuyi9" localSheetId="19" hidden="1">{"TAB1",#N/A,TRUE,"GENERAL";"TAB2",#N/A,TRUE,"GENERAL";"TAB3",#N/A,TRUE,"GENERAL";"TAB4",#N/A,TRUE,"GENERAL";"TAB5",#N/A,TRUE,"GENERAL"}</definedName>
    <definedName name="iuyi9" hidden="1">{"TAB1",#N/A,TRUE,"GENERAL";"TAB2",#N/A,TRUE,"GENERAL";"TAB3",#N/A,TRUE,"GENERAL";"TAB4",#N/A,TRUE,"GENERAL";"TAB5",#N/A,TRUE,"GENERAL"}</definedName>
    <definedName name="IVA">#REF!</definedName>
    <definedName name="iyuiuyi" localSheetId="1" hidden="1">{"via1",#N/A,TRUE,"general";"via2",#N/A,TRUE,"general";"via3",#N/A,TRUE,"general"}</definedName>
    <definedName name="iyuiuyi" localSheetId="9" hidden="1">{"via1",#N/A,TRUE,"general";"via2",#N/A,TRUE,"general";"via3",#N/A,TRUE,"general"}</definedName>
    <definedName name="iyuiuyi" localSheetId="16" hidden="1">{"via1",#N/A,TRUE,"general";"via2",#N/A,TRUE,"general";"via3",#N/A,TRUE,"general"}</definedName>
    <definedName name="iyuiuyi" localSheetId="19" hidden="1">{"via1",#N/A,TRUE,"general";"via2",#N/A,TRUE,"general";"via3",#N/A,TRUE,"general"}</definedName>
    <definedName name="iyuiuyi" hidden="1">{"via1",#N/A,TRUE,"general";"via2",#N/A,TRUE,"general";"via3",#N/A,TRUE,"general"}</definedName>
    <definedName name="IZQ">[61]DIST!$G$7:$H$2413</definedName>
    <definedName name="j" localSheetId="1" hidden="1">{"TAB1",#N/A,TRUE,"GENERAL";"TAB2",#N/A,TRUE,"GENERAL";"TAB3",#N/A,TRUE,"GENERAL";"TAB4",#N/A,TRUE,"GENERAL";"TAB5",#N/A,TRUE,"GENERAL"}</definedName>
    <definedName name="j" localSheetId="9" hidden="1">{"TAB1",#N/A,TRUE,"GENERAL";"TAB2",#N/A,TRUE,"GENERAL";"TAB3",#N/A,TRUE,"GENERAL";"TAB4",#N/A,TRUE,"GENERAL";"TAB5",#N/A,TRUE,"GENERAL"}</definedName>
    <definedName name="j" localSheetId="16" hidden="1">{"TAB1",#N/A,TRUE,"GENERAL";"TAB2",#N/A,TRUE,"GENERAL";"TAB3",#N/A,TRUE,"GENERAL";"TAB4",#N/A,TRUE,"GENERAL";"TAB5",#N/A,TRUE,"GENERAL"}</definedName>
    <definedName name="j" localSheetId="19" hidden="1">{"TAB1",#N/A,TRUE,"GENERAL";"TAB2",#N/A,TRUE,"GENERAL";"TAB3",#N/A,TRUE,"GENERAL";"TAB4",#N/A,TRUE,"GENERAL";"TAB5",#N/A,TRUE,"GENERAL"}</definedName>
    <definedName name="j" hidden="1">{"TAB1",#N/A,TRUE,"GENERAL";"TAB2",#N/A,TRUE,"GENERAL";"TAB3",#N/A,TRUE,"GENERAL";"TAB4",#N/A,TRUE,"GENERAL";"TAB5",#N/A,TRUE,"GENERAL"}</definedName>
    <definedName name="JAEFWNFJWE">'[63]Itemes Renovación'!#REF!</definedName>
    <definedName name="jd" localSheetId="1" hidden="1">{"via1",#N/A,TRUE,"general";"via2",#N/A,TRUE,"general";"via3",#N/A,TRUE,"general"}</definedName>
    <definedName name="jd" localSheetId="9" hidden="1">{"via1",#N/A,TRUE,"general";"via2",#N/A,TRUE,"general";"via3",#N/A,TRUE,"general"}</definedName>
    <definedName name="jd" localSheetId="16" hidden="1">{"via1",#N/A,TRUE,"general";"via2",#N/A,TRUE,"general";"via3",#N/A,TRUE,"general"}</definedName>
    <definedName name="jd" localSheetId="19" hidden="1">{"via1",#N/A,TRUE,"general";"via2",#N/A,TRUE,"general";"via3",#N/A,TRUE,"general"}</definedName>
    <definedName name="jd" hidden="1">{"via1",#N/A,TRUE,"general";"via2",#N/A,TRUE,"general";"via3",#N/A,TRUE,"general"}</definedName>
    <definedName name="jdfjkd">#REF!</definedName>
    <definedName name="jdh" localSheetId="1" hidden="1">{"TAB1",#N/A,TRUE,"GENERAL";"TAB2",#N/A,TRUE,"GENERAL";"TAB3",#N/A,TRUE,"GENERAL";"TAB4",#N/A,TRUE,"GENERAL";"TAB5",#N/A,TRUE,"GENERAL"}</definedName>
    <definedName name="jdh" localSheetId="9" hidden="1">{"TAB1",#N/A,TRUE,"GENERAL";"TAB2",#N/A,TRUE,"GENERAL";"TAB3",#N/A,TRUE,"GENERAL";"TAB4",#N/A,TRUE,"GENERAL";"TAB5",#N/A,TRUE,"GENERAL"}</definedName>
    <definedName name="jdh" localSheetId="16" hidden="1">{"TAB1",#N/A,TRUE,"GENERAL";"TAB2",#N/A,TRUE,"GENERAL";"TAB3",#N/A,TRUE,"GENERAL";"TAB4",#N/A,TRUE,"GENERAL";"TAB5",#N/A,TRUE,"GENERAL"}</definedName>
    <definedName name="jdh" localSheetId="19" hidden="1">{"TAB1",#N/A,TRUE,"GENERAL";"TAB2",#N/A,TRUE,"GENERAL";"TAB3",#N/A,TRUE,"GENERAL";"TAB4",#N/A,TRUE,"GENERAL";"TAB5",#N/A,TRUE,"GENERAL"}</definedName>
    <definedName name="jdh" hidden="1">{"TAB1",#N/A,TRUE,"GENERAL";"TAB2",#N/A,TRUE,"GENERAL";"TAB3",#N/A,TRUE,"GENERAL";"TAB4",#N/A,TRUE,"GENERAL";"TAB5",#N/A,TRUE,"GENERAL"}</definedName>
    <definedName name="jdhdh" localSheetId="1" hidden="1">[22]Presupuesto_Via_distribuidora!#REF!</definedName>
    <definedName name="jdhdh" localSheetId="16" hidden="1">[22]Presupuesto_Via_distribuidora!#REF!</definedName>
    <definedName name="jdhdh" localSheetId="3" hidden="1">[14]Presupuesto_Via_distribuidora!#REF!</definedName>
    <definedName name="jdhdh" hidden="1">[22]Presupuesto_Via_distribuidora!#REF!</definedName>
    <definedName name="jeytj" localSheetId="1" hidden="1">{"TAB1",#N/A,TRUE,"GENERAL";"TAB2",#N/A,TRUE,"GENERAL";"TAB3",#N/A,TRUE,"GENERAL";"TAB4",#N/A,TRUE,"GENERAL";"TAB5",#N/A,TRUE,"GENERAL"}</definedName>
    <definedName name="jeytj" localSheetId="9" hidden="1">{"TAB1",#N/A,TRUE,"GENERAL";"TAB2",#N/A,TRUE,"GENERAL";"TAB3",#N/A,TRUE,"GENERAL";"TAB4",#N/A,TRUE,"GENERAL";"TAB5",#N/A,TRUE,"GENERAL"}</definedName>
    <definedName name="jeytj" localSheetId="16" hidden="1">{"TAB1",#N/A,TRUE,"GENERAL";"TAB2",#N/A,TRUE,"GENERAL";"TAB3",#N/A,TRUE,"GENERAL";"TAB4",#N/A,TRUE,"GENERAL";"TAB5",#N/A,TRUE,"GENERAL"}</definedName>
    <definedName name="jeytj" localSheetId="19" hidden="1">{"TAB1",#N/A,TRUE,"GENERAL";"TAB2",#N/A,TRUE,"GENERAL";"TAB3",#N/A,TRUE,"GENERAL";"TAB4",#N/A,TRUE,"GENERAL";"TAB5",#N/A,TRUE,"GENERAL"}</definedName>
    <definedName name="jeytj" hidden="1">{"TAB1",#N/A,TRUE,"GENERAL";"TAB2",#N/A,TRUE,"GENERAL";"TAB3",#N/A,TRUE,"GENERAL";"TAB4",#N/A,TRUE,"GENERAL";"TAB5",#N/A,TRUE,"GENERAL"}</definedName>
    <definedName name="jfhjfrt" localSheetId="1" hidden="1">{"TAB1",#N/A,TRUE,"GENERAL";"TAB2",#N/A,TRUE,"GENERAL";"TAB3",#N/A,TRUE,"GENERAL";"TAB4",#N/A,TRUE,"GENERAL";"TAB5",#N/A,TRUE,"GENERAL"}</definedName>
    <definedName name="jfhjfrt" localSheetId="9" hidden="1">{"TAB1",#N/A,TRUE,"GENERAL";"TAB2",#N/A,TRUE,"GENERAL";"TAB3",#N/A,TRUE,"GENERAL";"TAB4",#N/A,TRUE,"GENERAL";"TAB5",#N/A,TRUE,"GENERAL"}</definedName>
    <definedName name="jfhjfrt" localSheetId="16" hidden="1">{"TAB1",#N/A,TRUE,"GENERAL";"TAB2",#N/A,TRUE,"GENERAL";"TAB3",#N/A,TRUE,"GENERAL";"TAB4",#N/A,TRUE,"GENERAL";"TAB5",#N/A,TRUE,"GENERAL"}</definedName>
    <definedName name="jfhjfrt" localSheetId="19" hidden="1">{"TAB1",#N/A,TRUE,"GENERAL";"TAB2",#N/A,TRUE,"GENERAL";"TAB3",#N/A,TRUE,"GENERAL";"TAB4",#N/A,TRUE,"GENERAL";"TAB5",#N/A,TRUE,"GENERAL"}</definedName>
    <definedName name="jfhjfrt" hidden="1">{"TAB1",#N/A,TRUE,"GENERAL";"TAB2",#N/A,TRUE,"GENERAL";"TAB3",#N/A,TRUE,"GENERAL";"TAB4",#N/A,TRUE,"GENERAL";"TAB5",#N/A,TRUE,"GENERAL"}</definedName>
    <definedName name="jgfj" localSheetId="1" hidden="1">{"via1",#N/A,TRUE,"general";"via2",#N/A,TRUE,"general";"via3",#N/A,TRUE,"general"}</definedName>
    <definedName name="jgfj" localSheetId="9" hidden="1">{"via1",#N/A,TRUE,"general";"via2",#N/A,TRUE,"general";"via3",#N/A,TRUE,"general"}</definedName>
    <definedName name="jgfj" localSheetId="16" hidden="1">{"via1",#N/A,TRUE,"general";"via2",#N/A,TRUE,"general";"via3",#N/A,TRUE,"general"}</definedName>
    <definedName name="jgfj" localSheetId="19" hidden="1">{"via1",#N/A,TRUE,"general";"via2",#N/A,TRUE,"general";"via3",#N/A,TRUE,"general"}</definedName>
    <definedName name="jgfj" hidden="1">{"via1",#N/A,TRUE,"general";"via2",#N/A,TRUE,"general";"via3",#N/A,TRUE,"general"}</definedName>
    <definedName name="jghj" localSheetId="1" hidden="1">{"TAB1",#N/A,TRUE,"GENERAL";"TAB2",#N/A,TRUE,"GENERAL";"TAB3",#N/A,TRUE,"GENERAL";"TAB4",#N/A,TRUE,"GENERAL";"TAB5",#N/A,TRUE,"GENERAL"}</definedName>
    <definedName name="jghj" localSheetId="9" hidden="1">{"TAB1",#N/A,TRUE,"GENERAL";"TAB2",#N/A,TRUE,"GENERAL";"TAB3",#N/A,TRUE,"GENERAL";"TAB4",#N/A,TRUE,"GENERAL";"TAB5",#N/A,TRUE,"GENERAL"}</definedName>
    <definedName name="jghj" localSheetId="16" hidden="1">{"TAB1",#N/A,TRUE,"GENERAL";"TAB2",#N/A,TRUE,"GENERAL";"TAB3",#N/A,TRUE,"GENERAL";"TAB4",#N/A,TRUE,"GENERAL";"TAB5",#N/A,TRUE,"GENERAL"}</definedName>
    <definedName name="jghj" localSheetId="19" hidden="1">{"TAB1",#N/A,TRUE,"GENERAL";"TAB2",#N/A,TRUE,"GENERAL";"TAB3",#N/A,TRUE,"GENERAL";"TAB4",#N/A,TRUE,"GENERAL";"TAB5",#N/A,TRUE,"GENERAL"}</definedName>
    <definedName name="jghj" hidden="1">{"TAB1",#N/A,TRUE,"GENERAL";"TAB2",#N/A,TRUE,"GENERAL";"TAB3",#N/A,TRUE,"GENERAL";"TAB4",#N/A,TRUE,"GENERAL";"TAB5",#N/A,TRUE,"GENERAL"}</definedName>
    <definedName name="jgj" localSheetId="1" hidden="1">{"TAB1",#N/A,TRUE,"GENERAL";"TAB2",#N/A,TRUE,"GENERAL";"TAB3",#N/A,TRUE,"GENERAL";"TAB4",#N/A,TRUE,"GENERAL";"TAB5",#N/A,TRUE,"GENERAL"}</definedName>
    <definedName name="jgj" localSheetId="9" hidden="1">{"TAB1",#N/A,TRUE,"GENERAL";"TAB2",#N/A,TRUE,"GENERAL";"TAB3",#N/A,TRUE,"GENERAL";"TAB4",#N/A,TRUE,"GENERAL";"TAB5",#N/A,TRUE,"GENERAL"}</definedName>
    <definedName name="jgj" localSheetId="16" hidden="1">{"TAB1",#N/A,TRUE,"GENERAL";"TAB2",#N/A,TRUE,"GENERAL";"TAB3",#N/A,TRUE,"GENERAL";"TAB4",#N/A,TRUE,"GENERAL";"TAB5",#N/A,TRUE,"GENERAL"}</definedName>
    <definedName name="jgj" localSheetId="19" hidden="1">{"TAB1",#N/A,TRUE,"GENERAL";"TAB2",#N/A,TRUE,"GENERAL";"TAB3",#N/A,TRUE,"GENERAL";"TAB4",#N/A,TRUE,"GENERAL";"TAB5",#N/A,TRUE,"GENERAL"}</definedName>
    <definedName name="jgj" hidden="1">{"TAB1",#N/A,TRUE,"GENERAL";"TAB2",#N/A,TRUE,"GENERAL";"TAB3",#N/A,TRUE,"GENERAL";"TAB4",#N/A,TRUE,"GENERAL";"TAB5",#N/A,TRUE,"GENERAL"}</definedName>
    <definedName name="jh" localSheetId="3">#REF!</definedName>
    <definedName name="jh">#REF!</definedName>
    <definedName name="jhg" localSheetId="1" hidden="1">{"TAB1",#N/A,TRUE,"GENERAL";"TAB2",#N/A,TRUE,"GENERAL";"TAB3",#N/A,TRUE,"GENERAL";"TAB4",#N/A,TRUE,"GENERAL";"TAB5",#N/A,TRUE,"GENERAL"}</definedName>
    <definedName name="jhg" localSheetId="9" hidden="1">{"TAB1",#N/A,TRUE,"GENERAL";"TAB2",#N/A,TRUE,"GENERAL";"TAB3",#N/A,TRUE,"GENERAL";"TAB4",#N/A,TRUE,"GENERAL";"TAB5",#N/A,TRUE,"GENERAL"}</definedName>
    <definedName name="jhg" localSheetId="16" hidden="1">{"TAB1",#N/A,TRUE,"GENERAL";"TAB2",#N/A,TRUE,"GENERAL";"TAB3",#N/A,TRUE,"GENERAL";"TAB4",#N/A,TRUE,"GENERAL";"TAB5",#N/A,TRUE,"GENERAL"}</definedName>
    <definedName name="jhg" localSheetId="19" hidden="1">{"TAB1",#N/A,TRUE,"GENERAL";"TAB2",#N/A,TRUE,"GENERAL";"TAB3",#N/A,TRUE,"GENERAL";"TAB4",#N/A,TRUE,"GENERAL";"TAB5",#N/A,TRUE,"GENERAL"}</definedName>
    <definedName name="jhg" hidden="1">{"TAB1",#N/A,TRUE,"GENERAL";"TAB2",#N/A,TRUE,"GENERAL";"TAB3",#N/A,TRUE,"GENERAL";"TAB4",#N/A,TRUE,"GENERAL";"TAB5",#N/A,TRUE,"GENERAL"}</definedName>
    <definedName name="jhjyj" localSheetId="1" hidden="1">{"via1",#N/A,TRUE,"general";"via2",#N/A,TRUE,"general";"via3",#N/A,TRUE,"general"}</definedName>
    <definedName name="jhjyj" localSheetId="9" hidden="1">{"via1",#N/A,TRUE,"general";"via2",#N/A,TRUE,"general";"via3",#N/A,TRUE,"general"}</definedName>
    <definedName name="jhjyj" localSheetId="16" hidden="1">{"via1",#N/A,TRUE,"general";"via2",#N/A,TRUE,"general";"via3",#N/A,TRUE,"general"}</definedName>
    <definedName name="jhjyj" localSheetId="19" hidden="1">{"via1",#N/A,TRUE,"general";"via2",#N/A,TRUE,"general";"via3",#N/A,TRUE,"general"}</definedName>
    <definedName name="jhjyj" hidden="1">{"via1",#N/A,TRUE,"general";"via2",#N/A,TRUE,"general";"via3",#N/A,TRUE,"general"}</definedName>
    <definedName name="JHK" localSheetId="1" hidden="1">{"TAB1",#N/A,TRUE,"GENERAL";"TAB2",#N/A,TRUE,"GENERAL";"TAB3",#N/A,TRUE,"GENERAL";"TAB4",#N/A,TRUE,"GENERAL";"TAB5",#N/A,TRUE,"GENERAL"}</definedName>
    <definedName name="JHK" localSheetId="9" hidden="1">{"TAB1",#N/A,TRUE,"GENERAL";"TAB2",#N/A,TRUE,"GENERAL";"TAB3",#N/A,TRUE,"GENERAL";"TAB4",#N/A,TRUE,"GENERAL";"TAB5",#N/A,TRUE,"GENERAL"}</definedName>
    <definedName name="JHK" localSheetId="16" hidden="1">{"TAB1",#N/A,TRUE,"GENERAL";"TAB2",#N/A,TRUE,"GENERAL";"TAB3",#N/A,TRUE,"GENERAL";"TAB4",#N/A,TRUE,"GENERAL";"TAB5",#N/A,TRUE,"GENERAL"}</definedName>
    <definedName name="JHK" localSheetId="19" hidden="1">{"TAB1",#N/A,TRUE,"GENERAL";"TAB2",#N/A,TRUE,"GENERAL";"TAB3",#N/A,TRUE,"GENERAL";"TAB4",#N/A,TRUE,"GENERAL";"TAB5",#N/A,TRUE,"GENERAL"}</definedName>
    <definedName name="JHK" hidden="1">{"TAB1",#N/A,TRUE,"GENERAL";"TAB2",#N/A,TRUE,"GENERAL";"TAB3",#N/A,TRUE,"GENERAL";"TAB4",#N/A,TRUE,"GENERAL";"TAB5",#N/A,TRUE,"GENERAL"}</definedName>
    <definedName name="jhkgjkvf" localSheetId="1" hidden="1">{"TAB1",#N/A,TRUE,"GENERAL";"TAB2",#N/A,TRUE,"GENERAL";"TAB3",#N/A,TRUE,"GENERAL";"TAB4",#N/A,TRUE,"GENERAL";"TAB5",#N/A,TRUE,"GENERAL"}</definedName>
    <definedName name="jhkgjkvf" localSheetId="9" hidden="1">{"TAB1",#N/A,TRUE,"GENERAL";"TAB2",#N/A,TRUE,"GENERAL";"TAB3",#N/A,TRUE,"GENERAL";"TAB4",#N/A,TRUE,"GENERAL";"TAB5",#N/A,TRUE,"GENERAL"}</definedName>
    <definedName name="jhkgjkvf" localSheetId="16" hidden="1">{"TAB1",#N/A,TRUE,"GENERAL";"TAB2",#N/A,TRUE,"GENERAL";"TAB3",#N/A,TRUE,"GENERAL";"TAB4",#N/A,TRUE,"GENERAL";"TAB5",#N/A,TRUE,"GENERAL"}</definedName>
    <definedName name="jhkgjkvf" localSheetId="19" hidden="1">{"TAB1",#N/A,TRUE,"GENERAL";"TAB2",#N/A,TRUE,"GENERAL";"TAB3",#N/A,TRUE,"GENERAL";"TAB4",#N/A,TRUE,"GENERAL";"TAB5",#N/A,TRUE,"GENERAL"}</definedName>
    <definedName name="jhkgjkvf" hidden="1">{"TAB1",#N/A,TRUE,"GENERAL";"TAB2",#N/A,TRUE,"GENERAL";"TAB3",#N/A,TRUE,"GENERAL";"TAB4",#N/A,TRUE,"GENERAL";"TAB5",#N/A,TRUE,"GENERAL"}</definedName>
    <definedName name="jj" localSheetId="1" hidden="1">{"via1",#N/A,TRUE,"general";"via2",#N/A,TRUE,"general";"via3",#N/A,TRUE,"general"}</definedName>
    <definedName name="jj" localSheetId="9" hidden="1">{"via1",#N/A,TRUE,"general";"via2",#N/A,TRUE,"general";"via3",#N/A,TRUE,"general"}</definedName>
    <definedName name="jj" localSheetId="16" hidden="1">{"via1",#N/A,TRUE,"general";"via2",#N/A,TRUE,"general";"via3",#N/A,TRUE,"general"}</definedName>
    <definedName name="jj" localSheetId="3">#REF!</definedName>
    <definedName name="jj" localSheetId="19" hidden="1">{"via1",#N/A,TRUE,"general";"via2",#N/A,TRUE,"general";"via3",#N/A,TRUE,"general"}</definedName>
    <definedName name="jj" hidden="1">{"via1",#N/A,TRUE,"general";"via2",#N/A,TRUE,"general";"via3",#N/A,TRUE,"general"}</definedName>
    <definedName name="jjfq" localSheetId="1" hidden="1">{"via1",#N/A,TRUE,"general";"via2",#N/A,TRUE,"general";"via3",#N/A,TRUE,"general"}</definedName>
    <definedName name="jjfq" localSheetId="9" hidden="1">{"via1",#N/A,TRUE,"general";"via2",#N/A,TRUE,"general";"via3",#N/A,TRUE,"general"}</definedName>
    <definedName name="jjfq" localSheetId="16" hidden="1">{"via1",#N/A,TRUE,"general";"via2",#N/A,TRUE,"general";"via3",#N/A,TRUE,"general"}</definedName>
    <definedName name="jjfq" localSheetId="19" hidden="1">{"via1",#N/A,TRUE,"general";"via2",#N/A,TRUE,"general";"via3",#N/A,TRUE,"general"}</definedName>
    <definedName name="jjfq" hidden="1">{"via1",#N/A,TRUE,"general";"via2",#N/A,TRUE,"general";"via3",#N/A,TRUE,"general"}</definedName>
    <definedName name="jjjhjddfg" localSheetId="1" hidden="1">{"via1",#N/A,TRUE,"general";"via2",#N/A,TRUE,"general";"via3",#N/A,TRUE,"general"}</definedName>
    <definedName name="jjjhjddfg" localSheetId="9" hidden="1">{"via1",#N/A,TRUE,"general";"via2",#N/A,TRUE,"general";"via3",#N/A,TRUE,"general"}</definedName>
    <definedName name="jjjhjddfg" localSheetId="16" hidden="1">{"via1",#N/A,TRUE,"general";"via2",#N/A,TRUE,"general";"via3",#N/A,TRUE,"general"}</definedName>
    <definedName name="jjjhjddfg" localSheetId="19" hidden="1">{"via1",#N/A,TRUE,"general";"via2",#N/A,TRUE,"general";"via3",#N/A,TRUE,"general"}</definedName>
    <definedName name="jjjhjddfg" hidden="1">{"via1",#N/A,TRUE,"general";"via2",#N/A,TRUE,"general";"via3",#N/A,TRUE,"general"}</definedName>
    <definedName name="JJJJJJJJJJJJJJJJJJJJ" localSheetId="1">[31]Presupuesto!#REF!</definedName>
    <definedName name="JJJJJJJJJJJJJJJJJJJJ" localSheetId="16">[31]Presupuesto!#REF!</definedName>
    <definedName name="JJJJJJJJJJJJJJJJJJJJ">[31]Presupuesto!#REF!</definedName>
    <definedName name="jjjjju" localSheetId="1" hidden="1">{"via1",#N/A,TRUE,"general";"via2",#N/A,TRUE,"general";"via3",#N/A,TRUE,"general"}</definedName>
    <definedName name="jjjjju" localSheetId="9" hidden="1">{"via1",#N/A,TRUE,"general";"via2",#N/A,TRUE,"general";"via3",#N/A,TRUE,"general"}</definedName>
    <definedName name="jjjjju" localSheetId="16" hidden="1">{"via1",#N/A,TRUE,"general";"via2",#N/A,TRUE,"general";"via3",#N/A,TRUE,"general"}</definedName>
    <definedName name="jjjjju" localSheetId="19" hidden="1">{"via1",#N/A,TRUE,"general";"via2",#N/A,TRUE,"general";"via3",#N/A,TRUE,"general"}</definedName>
    <definedName name="jjjjju" hidden="1">{"via1",#N/A,TRUE,"general";"via2",#N/A,TRUE,"general";"via3",#N/A,TRUE,"general"}</definedName>
    <definedName name="jjujujty" localSheetId="1" hidden="1">{"TAB1",#N/A,TRUE,"GENERAL";"TAB2",#N/A,TRUE,"GENERAL";"TAB3",#N/A,TRUE,"GENERAL";"TAB4",#N/A,TRUE,"GENERAL";"TAB5",#N/A,TRUE,"GENERAL"}</definedName>
    <definedName name="jjujujty" localSheetId="9" hidden="1">{"TAB1",#N/A,TRUE,"GENERAL";"TAB2",#N/A,TRUE,"GENERAL";"TAB3",#N/A,TRUE,"GENERAL";"TAB4",#N/A,TRUE,"GENERAL";"TAB5",#N/A,TRUE,"GENERAL"}</definedName>
    <definedName name="jjujujty" localSheetId="16" hidden="1">{"TAB1",#N/A,TRUE,"GENERAL";"TAB2",#N/A,TRUE,"GENERAL";"TAB3",#N/A,TRUE,"GENERAL";"TAB4",#N/A,TRUE,"GENERAL";"TAB5",#N/A,TRUE,"GENERAL"}</definedName>
    <definedName name="jjujujty" localSheetId="19" hidden="1">{"TAB1",#N/A,TRUE,"GENERAL";"TAB2",#N/A,TRUE,"GENERAL";"TAB3",#N/A,TRUE,"GENERAL";"TAB4",#N/A,TRUE,"GENERAL";"TAB5",#N/A,TRUE,"GENERAL"}</definedName>
    <definedName name="jjujujty" hidden="1">{"TAB1",#N/A,TRUE,"GENERAL";"TAB2",#N/A,TRUE,"GENERAL";"TAB3",#N/A,TRUE,"GENERAL";"TAB4",#N/A,TRUE,"GENERAL";"TAB5",#N/A,TRUE,"GENERAL"}</definedName>
    <definedName name="jjyjy" localSheetId="1" hidden="1">{"via1",#N/A,TRUE,"general";"via2",#N/A,TRUE,"general";"via3",#N/A,TRUE,"general"}</definedName>
    <definedName name="jjyjy" localSheetId="9" hidden="1">{"via1",#N/A,TRUE,"general";"via2",#N/A,TRUE,"general";"via3",#N/A,TRUE,"general"}</definedName>
    <definedName name="jjyjy" localSheetId="16" hidden="1">{"via1",#N/A,TRUE,"general";"via2",#N/A,TRUE,"general";"via3",#N/A,TRUE,"general"}</definedName>
    <definedName name="jjyjy" localSheetId="19" hidden="1">{"via1",#N/A,TRUE,"general";"via2",#N/A,TRUE,"general";"via3",#N/A,TRUE,"general"}</definedName>
    <definedName name="jjyjy" hidden="1">{"via1",#N/A,TRUE,"general";"via2",#N/A,TRUE,"general";"via3",#N/A,TRUE,"general"}</definedName>
    <definedName name="jk" localSheetId="3">#REF!</definedName>
    <definedName name="jk">#REF!</definedName>
    <definedName name="jkk" localSheetId="1" hidden="1">{"TAB1",#N/A,TRUE,"GENERAL";"TAB2",#N/A,TRUE,"GENERAL";"TAB3",#N/A,TRUE,"GENERAL";"TAB4",#N/A,TRUE,"GENERAL";"TAB5",#N/A,TRUE,"GENERAL"}</definedName>
    <definedName name="jkk" localSheetId="9" hidden="1">{"TAB1",#N/A,TRUE,"GENERAL";"TAB2",#N/A,TRUE,"GENERAL";"TAB3",#N/A,TRUE,"GENERAL";"TAB4",#N/A,TRUE,"GENERAL";"TAB5",#N/A,TRUE,"GENERAL"}</definedName>
    <definedName name="jkk" localSheetId="16" hidden="1">{"TAB1",#N/A,TRUE,"GENERAL";"TAB2",#N/A,TRUE,"GENERAL";"TAB3",#N/A,TRUE,"GENERAL";"TAB4",#N/A,TRUE,"GENERAL";"TAB5",#N/A,TRUE,"GENERAL"}</definedName>
    <definedName name="jkk" localSheetId="19" hidden="1">{"TAB1",#N/A,TRUE,"GENERAL";"TAB2",#N/A,TRUE,"GENERAL";"TAB3",#N/A,TRUE,"GENERAL";"TAB4",#N/A,TRUE,"GENERAL";"TAB5",#N/A,TRUE,"GENERAL"}</definedName>
    <definedName name="jkk" hidden="1">{"TAB1",#N/A,TRUE,"GENERAL";"TAB2",#N/A,TRUE,"GENERAL";"TAB3",#N/A,TRUE,"GENERAL";"TAB4",#N/A,TRUE,"GENERAL";"TAB5",#N/A,TRUE,"GENERAL"}</definedName>
    <definedName name="jkl" localSheetId="1" hidden="1">{"TAB1",#N/A,TRUE,"GENERAL";"TAB2",#N/A,TRUE,"GENERAL";"TAB3",#N/A,TRUE,"GENERAL";"TAB4",#N/A,TRUE,"GENERAL";"TAB5",#N/A,TRUE,"GENERAL"}</definedName>
    <definedName name="jkl" localSheetId="9" hidden="1">{"TAB1",#N/A,TRUE,"GENERAL";"TAB2",#N/A,TRUE,"GENERAL";"TAB3",#N/A,TRUE,"GENERAL";"TAB4",#N/A,TRUE,"GENERAL";"TAB5",#N/A,TRUE,"GENERAL"}</definedName>
    <definedName name="jkl" localSheetId="16" hidden="1">{"TAB1",#N/A,TRUE,"GENERAL";"TAB2",#N/A,TRUE,"GENERAL";"TAB3",#N/A,TRUE,"GENERAL";"TAB4",#N/A,TRUE,"GENERAL";"TAB5",#N/A,TRUE,"GENERAL"}</definedName>
    <definedName name="jkl" localSheetId="19" hidden="1">{"TAB1",#N/A,TRUE,"GENERAL";"TAB2",#N/A,TRUE,"GENERAL";"TAB3",#N/A,TRUE,"GENERAL";"TAB4",#N/A,TRUE,"GENERAL";"TAB5",#N/A,TRUE,"GENERAL"}</definedName>
    <definedName name="jkl" hidden="1">{"TAB1",#N/A,TRUE,"GENERAL";"TAB2",#N/A,TRUE,"GENERAL";"TAB3",#N/A,TRUE,"GENERAL";"TAB4",#N/A,TRUE,"GENERAL";"TAB5",#N/A,TRUE,"GENERAL"}</definedName>
    <definedName name="jn" localSheetId="3">#REF!</definedName>
    <definedName name="jn">#REF!</definedName>
    <definedName name="JNNNK" localSheetId="3">'[63]Itemes Renovación'!#REF!</definedName>
    <definedName name="JNNNK">'[63]Itemes Renovación'!#REF!</definedName>
    <definedName name="jñ" localSheetId="16">#REF!</definedName>
    <definedName name="jñ" localSheetId="3">#REF!</definedName>
    <definedName name="jñ">#REF!</definedName>
    <definedName name="jo" localSheetId="16">#REF!</definedName>
    <definedName name="jo">#REF!</definedName>
    <definedName name="JOHNNY" localSheetId="1">[1]!ERR</definedName>
    <definedName name="JOHNNY" localSheetId="16">[1]!ERR</definedName>
    <definedName name="JOHNNY" localSheetId="19">[1]!ERR</definedName>
    <definedName name="JOHNNY">[1]!ERR</definedName>
    <definedName name="JRYJ" localSheetId="1" hidden="1">{"via1",#N/A,TRUE,"general";"via2",#N/A,TRUE,"general";"via3",#N/A,TRUE,"general"}</definedName>
    <definedName name="JRYJ" localSheetId="9" hidden="1">{"via1",#N/A,TRUE,"general";"via2",#N/A,TRUE,"general";"via3",#N/A,TRUE,"general"}</definedName>
    <definedName name="JRYJ" localSheetId="16" hidden="1">{"via1",#N/A,TRUE,"general";"via2",#N/A,TRUE,"general";"via3",#N/A,TRUE,"general"}</definedName>
    <definedName name="JRYJ" localSheetId="19" hidden="1">{"via1",#N/A,TRUE,"general";"via2",#N/A,TRUE,"general";"via3",#N/A,TRUE,"general"}</definedName>
    <definedName name="JRYJ" hidden="1">{"via1",#N/A,TRUE,"general";"via2",#N/A,TRUE,"general";"via3",#N/A,TRUE,"general"}</definedName>
    <definedName name="jsfjnwdf">'[63]Itemes Renovación'!#REF!</definedName>
    <definedName name="jt" localSheetId="16">#REF!</definedName>
    <definedName name="jt" localSheetId="3">#REF!</definedName>
    <definedName name="jt">#REF!</definedName>
    <definedName name="jtyj" localSheetId="1" hidden="1">{"TAB1",#N/A,TRUE,"GENERAL";"TAB2",#N/A,TRUE,"GENERAL";"TAB3",#N/A,TRUE,"GENERAL";"TAB4",#N/A,TRUE,"GENERAL";"TAB5",#N/A,TRUE,"GENERAL"}</definedName>
    <definedName name="jtyj" localSheetId="9" hidden="1">{"TAB1",#N/A,TRUE,"GENERAL";"TAB2",#N/A,TRUE,"GENERAL";"TAB3",#N/A,TRUE,"GENERAL";"TAB4",#N/A,TRUE,"GENERAL";"TAB5",#N/A,TRUE,"GENERAL"}</definedName>
    <definedName name="jtyj" localSheetId="16" hidden="1">{"TAB1",#N/A,TRUE,"GENERAL";"TAB2",#N/A,TRUE,"GENERAL";"TAB3",#N/A,TRUE,"GENERAL";"TAB4",#N/A,TRUE,"GENERAL";"TAB5",#N/A,TRUE,"GENERAL"}</definedName>
    <definedName name="jtyj" localSheetId="19" hidden="1">{"TAB1",#N/A,TRUE,"GENERAL";"TAB2",#N/A,TRUE,"GENERAL";"TAB3",#N/A,TRUE,"GENERAL";"TAB4",#N/A,TRUE,"GENERAL";"TAB5",#N/A,TRUE,"GENERAL"}</definedName>
    <definedName name="jtyj" hidden="1">{"TAB1",#N/A,TRUE,"GENERAL";"TAB2",#N/A,TRUE,"GENERAL";"TAB3",#N/A,TRUE,"GENERAL";"TAB4",#N/A,TRUE,"GENERAL";"TAB5",#N/A,TRUE,"GENERAL"}</definedName>
    <definedName name="jtyry" localSheetId="1" hidden="1">{"TAB1",#N/A,TRUE,"GENERAL";"TAB2",#N/A,TRUE,"GENERAL";"TAB3",#N/A,TRUE,"GENERAL";"TAB4",#N/A,TRUE,"GENERAL";"TAB5",#N/A,TRUE,"GENERAL"}</definedName>
    <definedName name="jtyry" localSheetId="9" hidden="1">{"TAB1",#N/A,TRUE,"GENERAL";"TAB2",#N/A,TRUE,"GENERAL";"TAB3",#N/A,TRUE,"GENERAL";"TAB4",#N/A,TRUE,"GENERAL";"TAB5",#N/A,TRUE,"GENERAL"}</definedName>
    <definedName name="jtyry" localSheetId="16" hidden="1">{"TAB1",#N/A,TRUE,"GENERAL";"TAB2",#N/A,TRUE,"GENERAL";"TAB3",#N/A,TRUE,"GENERAL";"TAB4",#N/A,TRUE,"GENERAL";"TAB5",#N/A,TRUE,"GENERAL"}</definedName>
    <definedName name="jtyry" localSheetId="19" hidden="1">{"TAB1",#N/A,TRUE,"GENERAL";"TAB2",#N/A,TRUE,"GENERAL";"TAB3",#N/A,TRUE,"GENERAL";"TAB4",#N/A,TRUE,"GENERAL";"TAB5",#N/A,TRUE,"GENERAL"}</definedName>
    <definedName name="jtyry" hidden="1">{"TAB1",#N/A,TRUE,"GENERAL";"TAB2",#N/A,TRUE,"GENERAL";"TAB3",#N/A,TRUE,"GENERAL";"TAB4",#N/A,TRUE,"GENERAL";"TAB5",#N/A,TRUE,"GENERAL"}</definedName>
    <definedName name="jui" localSheetId="3">#REF!</definedName>
    <definedName name="jui">#REF!</definedName>
    <definedName name="juj" localSheetId="1" hidden="1">{"via1",#N/A,TRUE,"general";"via2",#N/A,TRUE,"general";"via3",#N/A,TRUE,"general"}</definedName>
    <definedName name="juj" localSheetId="9" hidden="1">{"via1",#N/A,TRUE,"general";"via2",#N/A,TRUE,"general";"via3",#N/A,TRUE,"general"}</definedName>
    <definedName name="juj" localSheetId="16" hidden="1">{"via1",#N/A,TRUE,"general";"via2",#N/A,TRUE,"general";"via3",#N/A,TRUE,"general"}</definedName>
    <definedName name="juj" localSheetId="19" hidden="1">{"via1",#N/A,TRUE,"general";"via2",#N/A,TRUE,"general";"via3",#N/A,TRUE,"general"}</definedName>
    <definedName name="juj" hidden="1">{"via1",#N/A,TRUE,"general";"via2",#N/A,TRUE,"general";"via3",#N/A,TRUE,"general"}</definedName>
    <definedName name="jujcx" localSheetId="1" hidden="1">{"via1",#N/A,TRUE,"general";"via2",#N/A,TRUE,"general";"via3",#N/A,TRUE,"general"}</definedName>
    <definedName name="jujcx" localSheetId="9" hidden="1">{"via1",#N/A,TRUE,"general";"via2",#N/A,TRUE,"general";"via3",#N/A,TRUE,"general"}</definedName>
    <definedName name="jujcx" localSheetId="16" hidden="1">{"via1",#N/A,TRUE,"general";"via2",#N/A,TRUE,"general";"via3",#N/A,TRUE,"general"}</definedName>
    <definedName name="jujcx" localSheetId="19" hidden="1">{"via1",#N/A,TRUE,"general";"via2",#N/A,TRUE,"general";"via3",#N/A,TRUE,"general"}</definedName>
    <definedName name="jujcx" hidden="1">{"via1",#N/A,TRUE,"general";"via2",#N/A,TRUE,"general";"via3",#N/A,TRUE,"general"}</definedName>
    <definedName name="jujuj" localSheetId="1" hidden="1">{"via1",#N/A,TRUE,"general";"via2",#N/A,TRUE,"general";"via3",#N/A,TRUE,"general"}</definedName>
    <definedName name="jujuj" localSheetId="9" hidden="1">{"via1",#N/A,TRUE,"general";"via2",#N/A,TRUE,"general";"via3",#N/A,TRUE,"general"}</definedName>
    <definedName name="jujuj" localSheetId="16" hidden="1">{"via1",#N/A,TRUE,"general";"via2",#N/A,TRUE,"general";"via3",#N/A,TRUE,"general"}</definedName>
    <definedName name="jujuj" localSheetId="19" hidden="1">{"via1",#N/A,TRUE,"general";"via2",#N/A,TRUE,"general";"via3",#N/A,TRUE,"general"}</definedName>
    <definedName name="jujuj" hidden="1">{"via1",#N/A,TRUE,"general";"via2",#N/A,TRUE,"general";"via3",#N/A,TRUE,"general"}</definedName>
    <definedName name="jujujuju" localSheetId="1" hidden="1">{"TAB1",#N/A,TRUE,"GENERAL";"TAB2",#N/A,TRUE,"GENERAL";"TAB3",#N/A,TRUE,"GENERAL";"TAB4",#N/A,TRUE,"GENERAL";"TAB5",#N/A,TRUE,"GENERAL"}</definedName>
    <definedName name="jujujuju" localSheetId="9" hidden="1">{"TAB1",#N/A,TRUE,"GENERAL";"TAB2",#N/A,TRUE,"GENERAL";"TAB3",#N/A,TRUE,"GENERAL";"TAB4",#N/A,TRUE,"GENERAL";"TAB5",#N/A,TRUE,"GENERAL"}</definedName>
    <definedName name="jujujuju" localSheetId="16" hidden="1">{"TAB1",#N/A,TRUE,"GENERAL";"TAB2",#N/A,TRUE,"GENERAL";"TAB3",#N/A,TRUE,"GENERAL";"TAB4",#N/A,TRUE,"GENERAL";"TAB5",#N/A,TRUE,"GENERAL"}</definedName>
    <definedName name="jujujuju" localSheetId="19" hidden="1">{"TAB1",#N/A,TRUE,"GENERAL";"TAB2",#N/A,TRUE,"GENERAL";"TAB3",#N/A,TRUE,"GENERAL";"TAB4",#N/A,TRUE,"GENERAL";"TAB5",#N/A,TRUE,"GENERAL"}</definedName>
    <definedName name="jujujuju" hidden="1">{"TAB1",#N/A,TRUE,"GENERAL";"TAB2",#N/A,TRUE,"GENERAL";"TAB3",#N/A,TRUE,"GENERAL";"TAB4",#N/A,TRUE,"GENERAL";"TAB5",#N/A,TRUE,"GENERAL"}</definedName>
    <definedName name="JulAgo">'[65]Jul-Ago'!$A$12:$H$29</definedName>
    <definedName name="JulAgo_C">'[85]Jul-Ago'!$A$30:$H$45</definedName>
    <definedName name="jun" localSheetId="16">#REF!</definedName>
    <definedName name="jun" localSheetId="3">#REF!</definedName>
    <definedName name="jun">#REF!</definedName>
    <definedName name="juuuhb" localSheetId="1" hidden="1">{"TAB1",#N/A,TRUE,"GENERAL";"TAB2",#N/A,TRUE,"GENERAL";"TAB3",#N/A,TRUE,"GENERAL";"TAB4",#N/A,TRUE,"GENERAL";"TAB5",#N/A,TRUE,"GENERAL"}</definedName>
    <definedName name="juuuhb" localSheetId="9" hidden="1">{"TAB1",#N/A,TRUE,"GENERAL";"TAB2",#N/A,TRUE,"GENERAL";"TAB3",#N/A,TRUE,"GENERAL";"TAB4",#N/A,TRUE,"GENERAL";"TAB5",#N/A,TRUE,"GENERAL"}</definedName>
    <definedName name="juuuhb" localSheetId="16" hidden="1">{"TAB1",#N/A,TRUE,"GENERAL";"TAB2",#N/A,TRUE,"GENERAL";"TAB3",#N/A,TRUE,"GENERAL";"TAB4",#N/A,TRUE,"GENERAL";"TAB5",#N/A,TRUE,"GENERAL"}</definedName>
    <definedName name="juuuhb" localSheetId="19" hidden="1">{"TAB1",#N/A,TRUE,"GENERAL";"TAB2",#N/A,TRUE,"GENERAL";"TAB3",#N/A,TRUE,"GENERAL";"TAB4",#N/A,TRUE,"GENERAL";"TAB5",#N/A,TRUE,"GENERAL"}</definedName>
    <definedName name="juuuhb" hidden="1">{"TAB1",#N/A,TRUE,"GENERAL";"TAB2",#N/A,TRUE,"GENERAL";"TAB3",#N/A,TRUE,"GENERAL";"TAB4",#N/A,TRUE,"GENERAL";"TAB5",#N/A,TRUE,"GENERAL"}</definedName>
    <definedName name="juy" localSheetId="3">#REF!</definedName>
    <definedName name="juy">#REF!</definedName>
    <definedName name="jyjt7" localSheetId="1" hidden="1">{"via1",#N/A,TRUE,"general";"via2",#N/A,TRUE,"general";"via3",#N/A,TRUE,"general"}</definedName>
    <definedName name="jyjt7" localSheetId="9" hidden="1">{"via1",#N/A,TRUE,"general";"via2",#N/A,TRUE,"general";"via3",#N/A,TRUE,"general"}</definedName>
    <definedName name="jyjt7" localSheetId="16" hidden="1">{"via1",#N/A,TRUE,"general";"via2",#N/A,TRUE,"general";"via3",#N/A,TRUE,"general"}</definedName>
    <definedName name="jyjt7" localSheetId="19" hidden="1">{"via1",#N/A,TRUE,"general";"via2",#N/A,TRUE,"general";"via3",#N/A,TRUE,"general"}</definedName>
    <definedName name="jyjt7" hidden="1">{"via1",#N/A,TRUE,"general";"via2",#N/A,TRUE,"general";"via3",#N/A,TRUE,"general"}</definedName>
    <definedName name="jyt" localSheetId="1" hidden="1">{"via1",#N/A,TRUE,"general";"via2",#N/A,TRUE,"general";"via3",#N/A,TRUE,"general"}</definedName>
    <definedName name="jyt" localSheetId="9" hidden="1">{"via1",#N/A,TRUE,"general";"via2",#N/A,TRUE,"general";"via3",#N/A,TRUE,"general"}</definedName>
    <definedName name="jyt" localSheetId="16" hidden="1">{"via1",#N/A,TRUE,"general";"via2",#N/A,TRUE,"general";"via3",#N/A,TRUE,"general"}</definedName>
    <definedName name="jyt" localSheetId="19" hidden="1">{"via1",#N/A,TRUE,"general";"via2",#N/A,TRUE,"general";"via3",#N/A,TRUE,"general"}</definedName>
    <definedName name="jyt" hidden="1">{"via1",#N/A,TRUE,"general";"via2",#N/A,TRUE,"general";"via3",#N/A,TRUE,"general"}</definedName>
    <definedName name="jytj" localSheetId="1" hidden="1">{"via1",#N/A,TRUE,"general";"via2",#N/A,TRUE,"general";"via3",#N/A,TRUE,"general"}</definedName>
    <definedName name="jytj" localSheetId="9" hidden="1">{"via1",#N/A,TRUE,"general";"via2",#N/A,TRUE,"general";"via3",#N/A,TRUE,"general"}</definedName>
    <definedName name="jytj" localSheetId="16" hidden="1">{"via1",#N/A,TRUE,"general";"via2",#N/A,TRUE,"general";"via3",#N/A,TRUE,"general"}</definedName>
    <definedName name="jytj" localSheetId="19" hidden="1">{"via1",#N/A,TRUE,"general";"via2",#N/A,TRUE,"general";"via3",#N/A,TRUE,"general"}</definedName>
    <definedName name="jytj" hidden="1">{"via1",#N/A,TRUE,"general";"via2",#N/A,TRUE,"general";"via3",#N/A,TRUE,"general"}</definedName>
    <definedName name="jyuju" localSheetId="1" hidden="1">{"via1",#N/A,TRUE,"general";"via2",#N/A,TRUE,"general";"via3",#N/A,TRUE,"general"}</definedName>
    <definedName name="jyuju" localSheetId="9" hidden="1">{"via1",#N/A,TRUE,"general";"via2",#N/A,TRUE,"general";"via3",#N/A,TRUE,"general"}</definedName>
    <definedName name="jyuju" localSheetId="16" hidden="1">{"via1",#N/A,TRUE,"general";"via2",#N/A,TRUE,"general";"via3",#N/A,TRUE,"general"}</definedName>
    <definedName name="jyuju" localSheetId="19" hidden="1">{"via1",#N/A,TRUE,"general";"via2",#N/A,TRUE,"general";"via3",#N/A,TRUE,"general"}</definedName>
    <definedName name="jyuju" hidden="1">{"via1",#N/A,TRUE,"general";"via2",#N/A,TRUE,"general";"via3",#N/A,TRUE,"general"}</definedName>
    <definedName name="jyujyuj" localSheetId="1" hidden="1">{"via1",#N/A,TRUE,"general";"via2",#N/A,TRUE,"general";"via3",#N/A,TRUE,"general"}</definedName>
    <definedName name="jyujyuj" localSheetId="9" hidden="1">{"via1",#N/A,TRUE,"general";"via2",#N/A,TRUE,"general";"via3",#N/A,TRUE,"general"}</definedName>
    <definedName name="jyujyuj" localSheetId="16" hidden="1">{"via1",#N/A,TRUE,"general";"via2",#N/A,TRUE,"general";"via3",#N/A,TRUE,"general"}</definedName>
    <definedName name="jyujyuj" localSheetId="19" hidden="1">{"via1",#N/A,TRUE,"general";"via2",#N/A,TRUE,"general";"via3",#N/A,TRUE,"general"}</definedName>
    <definedName name="jyujyuj" hidden="1">{"via1",#N/A,TRUE,"general";"via2",#N/A,TRUE,"general";"via3",#N/A,TRUE,"general"}</definedName>
    <definedName name="K" hidden="1">{"PYGT",#N/A,FALSE,"PYG";"ACTIT",#N/A,FALSE,"BCE_GRAL-ACTIVO";"PASIT",#N/A,FALSE,"BCE_GRAL-PASIVO-PATRIM";"CAJAT",#N/A,FALSE,"CAJA"}</definedName>
    <definedName name="K0F1" localSheetId="16">#REF!</definedName>
    <definedName name="K0F1" localSheetId="19">'INSUMOS '!#REF!</definedName>
    <definedName name="K0F1">#REF!</definedName>
    <definedName name="K0F2" localSheetId="16">#REF!</definedName>
    <definedName name="K0F2" localSheetId="19">'INSUMOS '!#REF!</definedName>
    <definedName name="K0F2">#REF!</definedName>
    <definedName name="K10ALO" localSheetId="16">#REF!</definedName>
    <definedName name="K10ALO" localSheetId="19">'INSUMOS '!#REF!</definedName>
    <definedName name="K10ALO">#REF!</definedName>
    <definedName name="K11ALO" localSheetId="16">#REF!</definedName>
    <definedName name="K11ALO" localSheetId="19">'INSUMOS '!#REF!</definedName>
    <definedName name="K11ALO">#REF!</definedName>
    <definedName name="K1F1" localSheetId="16">#REF!</definedName>
    <definedName name="K1F1" localSheetId="19">'INSUMOS '!#REF!</definedName>
    <definedName name="K1F1">#REF!</definedName>
    <definedName name="K1F2" localSheetId="16">#REF!</definedName>
    <definedName name="K1F2" localSheetId="19">'INSUMOS '!#REF!</definedName>
    <definedName name="K1F2">#REF!</definedName>
    <definedName name="K2F1" localSheetId="16">#REF!</definedName>
    <definedName name="K2F1" localSheetId="19">'INSUMOS '!#REF!</definedName>
    <definedName name="K2F1">#REF!</definedName>
    <definedName name="K2F2" localSheetId="16">#REF!</definedName>
    <definedName name="K2F2" localSheetId="19">'INSUMOS '!#REF!</definedName>
    <definedName name="K2F2">#REF!</definedName>
    <definedName name="K3F1" localSheetId="16">#REF!</definedName>
    <definedName name="K3F1" localSheetId="19">'INSUMOS '!#REF!</definedName>
    <definedName name="K3F1">#REF!</definedName>
    <definedName name="K3F2" localSheetId="16">#REF!</definedName>
    <definedName name="K3F2" localSheetId="19">'INSUMOS '!#REF!</definedName>
    <definedName name="K3F2">#REF!</definedName>
    <definedName name="K4F1" localSheetId="16">#REF!</definedName>
    <definedName name="K4F1" localSheetId="19">'INSUMOS '!#REF!</definedName>
    <definedName name="K4F1">#REF!</definedName>
    <definedName name="K4F2" localSheetId="16">#REF!</definedName>
    <definedName name="K4F2" localSheetId="19">'INSUMOS '!#REF!</definedName>
    <definedName name="K4F2">#REF!</definedName>
    <definedName name="K5F1" localSheetId="16">#REF!</definedName>
    <definedName name="K5F1" localSheetId="19">'INSUMOS '!#REF!</definedName>
    <definedName name="K5F1">#REF!</definedName>
    <definedName name="K5F2" localSheetId="16">#REF!</definedName>
    <definedName name="K5F2" localSheetId="19">'INSUMOS '!#REF!</definedName>
    <definedName name="K5F2">#REF!</definedName>
    <definedName name="K6F1" localSheetId="16">#REF!</definedName>
    <definedName name="K6F1" localSheetId="19">'INSUMOS '!#REF!</definedName>
    <definedName name="K6F1">#REF!</definedName>
    <definedName name="K6F2" localSheetId="16">#REF!</definedName>
    <definedName name="K6F2" localSheetId="19">'INSUMOS '!#REF!</definedName>
    <definedName name="K6F2">#REF!</definedName>
    <definedName name="K7F1" localSheetId="16">#REF!</definedName>
    <definedName name="K7F1" localSheetId="19">'INSUMOS '!#REF!</definedName>
    <definedName name="K7F1">#REF!</definedName>
    <definedName name="K7F2" localSheetId="16">#REF!</definedName>
    <definedName name="K7F2" localSheetId="19">'INSUMOS '!#REF!</definedName>
    <definedName name="K7F2">#REF!</definedName>
    <definedName name="K8ALO" localSheetId="16">#REF!</definedName>
    <definedName name="K8ALO" localSheetId="19">'INSUMOS '!#REF!</definedName>
    <definedName name="K8ALO">#REF!</definedName>
    <definedName name="K8F1" localSheetId="16">#REF!</definedName>
    <definedName name="K8F1" localSheetId="19">'INSUMOS '!#REF!</definedName>
    <definedName name="K8F1">#REF!</definedName>
    <definedName name="K8F2" localSheetId="16">#REF!</definedName>
    <definedName name="K8F2" localSheetId="19">'INSUMOS '!#REF!</definedName>
    <definedName name="K8F2">#REF!</definedName>
    <definedName name="K9ALO" localSheetId="16">#REF!</definedName>
    <definedName name="K9ALO" localSheetId="19">'INSUMOS '!#REF!</definedName>
    <definedName name="K9ALO">#REF!</definedName>
    <definedName name="KHGGH" localSheetId="1" hidden="1">{"via1",#N/A,TRUE,"general";"via2",#N/A,TRUE,"general";"via3",#N/A,TRUE,"general"}</definedName>
    <definedName name="KHGGH" localSheetId="9" hidden="1">{"via1",#N/A,TRUE,"general";"via2",#N/A,TRUE,"general";"via3",#N/A,TRUE,"general"}</definedName>
    <definedName name="KHGGH" localSheetId="16" hidden="1">{"via1",#N/A,TRUE,"general";"via2",#N/A,TRUE,"general";"via3",#N/A,TRUE,"general"}</definedName>
    <definedName name="KHGGH" localSheetId="19" hidden="1">{"via1",#N/A,TRUE,"general";"via2",#N/A,TRUE,"general";"via3",#N/A,TRUE,"general"}</definedName>
    <definedName name="KHGGH" hidden="1">{"via1",#N/A,TRUE,"general";"via2",#N/A,TRUE,"general";"via3",#N/A,TRUE,"general"}</definedName>
    <definedName name="khjk7" localSheetId="1" hidden="1">{"TAB1",#N/A,TRUE,"GENERAL";"TAB2",#N/A,TRUE,"GENERAL";"TAB3",#N/A,TRUE,"GENERAL";"TAB4",#N/A,TRUE,"GENERAL";"TAB5",#N/A,TRUE,"GENERAL"}</definedName>
    <definedName name="khjk7" localSheetId="9" hidden="1">{"TAB1",#N/A,TRUE,"GENERAL";"TAB2",#N/A,TRUE,"GENERAL";"TAB3",#N/A,TRUE,"GENERAL";"TAB4",#N/A,TRUE,"GENERAL";"TAB5",#N/A,TRUE,"GENERAL"}</definedName>
    <definedName name="khjk7" localSheetId="16" hidden="1">{"TAB1",#N/A,TRUE,"GENERAL";"TAB2",#N/A,TRUE,"GENERAL";"TAB3",#N/A,TRUE,"GENERAL";"TAB4",#N/A,TRUE,"GENERAL";"TAB5",#N/A,TRUE,"GENERAL"}</definedName>
    <definedName name="khjk7" localSheetId="19" hidden="1">{"TAB1",#N/A,TRUE,"GENERAL";"TAB2",#N/A,TRUE,"GENERAL";"TAB3",#N/A,TRUE,"GENERAL";"TAB4",#N/A,TRUE,"GENERAL";"TAB5",#N/A,TRUE,"GENERAL"}</definedName>
    <definedName name="khjk7" hidden="1">{"TAB1",#N/A,TRUE,"GENERAL";"TAB2",#N/A,TRUE,"GENERAL";"TAB3",#N/A,TRUE,"GENERAL";"TAB4",#N/A,TRUE,"GENERAL";"TAB5",#N/A,TRUE,"GENERAL"}</definedName>
    <definedName name="kikik" localSheetId="1" hidden="1">{"via1",#N/A,TRUE,"general";"via2",#N/A,TRUE,"general";"via3",#N/A,TRUE,"general"}</definedName>
    <definedName name="kikik" localSheetId="9" hidden="1">{"via1",#N/A,TRUE,"general";"via2",#N/A,TRUE,"general";"via3",#N/A,TRUE,"general"}</definedName>
    <definedName name="kikik" localSheetId="16" hidden="1">{"via1",#N/A,TRUE,"general";"via2",#N/A,TRUE,"general";"via3",#N/A,TRUE,"general"}</definedName>
    <definedName name="kikik" localSheetId="19" hidden="1">{"via1",#N/A,TRUE,"general";"via2",#N/A,TRUE,"general";"via3",#N/A,TRUE,"general"}</definedName>
    <definedName name="kikik" hidden="1">{"via1",#N/A,TRUE,"general";"via2",#N/A,TRUE,"general";"via3",#N/A,TRUE,"general"}</definedName>
    <definedName name="kio" localSheetId="3">#REF!</definedName>
    <definedName name="kio">#REF!</definedName>
    <definedName name="kip" localSheetId="3">#REF!</definedName>
    <definedName name="kip">#REF!</definedName>
    <definedName name="KJH" localSheetId="3">#REF!</definedName>
    <definedName name="KJH">#REF!</definedName>
    <definedName name="kjhkd" localSheetId="1" hidden="1">{"via1",#N/A,TRUE,"general";"via2",#N/A,TRUE,"general";"via3",#N/A,TRUE,"general"}</definedName>
    <definedName name="kjhkd" localSheetId="9" hidden="1">{"via1",#N/A,TRUE,"general";"via2",#N/A,TRUE,"general";"via3",#N/A,TRUE,"general"}</definedName>
    <definedName name="kjhkd" localSheetId="16" hidden="1">{"via1",#N/A,TRUE,"general";"via2",#N/A,TRUE,"general";"via3",#N/A,TRUE,"general"}</definedName>
    <definedName name="kjhkd" localSheetId="19" hidden="1">{"via1",#N/A,TRUE,"general";"via2",#N/A,TRUE,"general";"via3",#N/A,TRUE,"general"}</definedName>
    <definedName name="kjhkd" hidden="1">{"via1",#N/A,TRUE,"general";"via2",#N/A,TRUE,"general";"via3",#N/A,TRUE,"general"}</definedName>
    <definedName name="kjk" localSheetId="1" hidden="1">{"via1",#N/A,TRUE,"general";"via2",#N/A,TRUE,"general";"via3",#N/A,TRUE,"general"}</definedName>
    <definedName name="kjk" localSheetId="9" hidden="1">{"via1",#N/A,TRUE,"general";"via2",#N/A,TRUE,"general";"via3",#N/A,TRUE,"general"}</definedName>
    <definedName name="kjk" localSheetId="16" hidden="1">{"via1",#N/A,TRUE,"general";"via2",#N/A,TRUE,"general";"via3",#N/A,TRUE,"general"}</definedName>
    <definedName name="kjk" localSheetId="19" hidden="1">{"via1",#N/A,TRUE,"general";"via2",#N/A,TRUE,"general";"via3",#N/A,TRUE,"general"}</definedName>
    <definedName name="kjk" hidden="1">{"via1",#N/A,TRUE,"general";"via2",#N/A,TRUE,"general";"via3",#N/A,TRUE,"general"}</definedName>
    <definedName name="kjtrkjr" localSheetId="1" hidden="1">{"via1",#N/A,TRUE,"general";"via2",#N/A,TRUE,"general";"via3",#N/A,TRUE,"general"}</definedName>
    <definedName name="kjtrkjr" localSheetId="9" hidden="1">{"via1",#N/A,TRUE,"general";"via2",#N/A,TRUE,"general";"via3",#N/A,TRUE,"general"}</definedName>
    <definedName name="kjtrkjr" localSheetId="16" hidden="1">{"via1",#N/A,TRUE,"general";"via2",#N/A,TRUE,"general";"via3",#N/A,TRUE,"general"}</definedName>
    <definedName name="kjtrkjr" localSheetId="19" hidden="1">{"via1",#N/A,TRUE,"general";"via2",#N/A,TRUE,"general";"via3",#N/A,TRUE,"general"}</definedName>
    <definedName name="kjtrkjr" hidden="1">{"via1",#N/A,TRUE,"general";"via2",#N/A,TRUE,"general";"via3",#N/A,TRUE,"general"}</definedName>
    <definedName name="kkkki" localSheetId="1" hidden="1">{"via1",#N/A,TRUE,"general";"via2",#N/A,TRUE,"general";"via3",#N/A,TRUE,"general"}</definedName>
    <definedName name="kkkki" localSheetId="9" hidden="1">{"via1",#N/A,TRUE,"general";"via2",#N/A,TRUE,"general";"via3",#N/A,TRUE,"general"}</definedName>
    <definedName name="kkkki" localSheetId="16" hidden="1">{"via1",#N/A,TRUE,"general";"via2",#N/A,TRUE,"general";"via3",#N/A,TRUE,"general"}</definedName>
    <definedName name="kkkki" localSheetId="19" hidden="1">{"via1",#N/A,TRUE,"general";"via2",#N/A,TRUE,"general";"via3",#N/A,TRUE,"general"}</definedName>
    <definedName name="kkkki" hidden="1">{"via1",#N/A,TRUE,"general";"via2",#N/A,TRUE,"general";"via3",#N/A,TRUE,"general"}</definedName>
    <definedName name="kkkkkki" localSheetId="1" hidden="1">{"TAB1",#N/A,TRUE,"GENERAL";"TAB2",#N/A,TRUE,"GENERAL";"TAB3",#N/A,TRUE,"GENERAL";"TAB4",#N/A,TRUE,"GENERAL";"TAB5",#N/A,TRUE,"GENERAL"}</definedName>
    <definedName name="kkkkkki" localSheetId="9" hidden="1">{"TAB1",#N/A,TRUE,"GENERAL";"TAB2",#N/A,TRUE,"GENERAL";"TAB3",#N/A,TRUE,"GENERAL";"TAB4",#N/A,TRUE,"GENERAL";"TAB5",#N/A,TRUE,"GENERAL"}</definedName>
    <definedName name="kkkkkki" localSheetId="16" hidden="1">{"TAB1",#N/A,TRUE,"GENERAL";"TAB2",#N/A,TRUE,"GENERAL";"TAB3",#N/A,TRUE,"GENERAL";"TAB4",#N/A,TRUE,"GENERAL";"TAB5",#N/A,TRUE,"GENERAL"}</definedName>
    <definedName name="kkkkkki" localSheetId="19" hidden="1">{"TAB1",#N/A,TRUE,"GENERAL";"TAB2",#N/A,TRUE,"GENERAL";"TAB3",#N/A,TRUE,"GENERAL";"TAB4",#N/A,TRUE,"GENERAL";"TAB5",#N/A,TRUE,"GENERAL"}</definedName>
    <definedName name="kkkkkki" hidden="1">{"TAB1",#N/A,TRUE,"GENERAL";"TAB2",#N/A,TRUE,"GENERAL";"TAB3",#N/A,TRUE,"GENERAL";"TAB4",#N/A,TRUE,"GENERAL";"TAB5",#N/A,TRUE,"GENERAL"}</definedName>
    <definedName name="kl" localSheetId="1">[1]!ERR</definedName>
    <definedName name="kl" localSheetId="16">[1]!ERR</definedName>
    <definedName name="kl" localSheetId="3">#REF!</definedName>
    <definedName name="kl" localSheetId="19">[1]!ERR</definedName>
    <definedName name="kl">[1]!ERR</definedName>
    <definedName name="kñy" localSheetId="1">#REF!</definedName>
    <definedName name="kñy" localSheetId="16">#REF!</definedName>
    <definedName name="kñy" localSheetId="3">#REF!</definedName>
    <definedName name="kñy">#REF!</definedName>
    <definedName name="KO" localSheetId="3" hidden="1">#REF!</definedName>
    <definedName name="ko">[86]items!$C$4:$J$247</definedName>
    <definedName name="krtrk" localSheetId="1" hidden="1">{"via1",#N/A,TRUE,"general";"via2",#N/A,TRUE,"general";"via3",#N/A,TRUE,"general"}</definedName>
    <definedName name="krtrk" localSheetId="9" hidden="1">{"via1",#N/A,TRUE,"general";"via2",#N/A,TRUE,"general";"via3",#N/A,TRUE,"general"}</definedName>
    <definedName name="krtrk" localSheetId="16" hidden="1">{"via1",#N/A,TRUE,"general";"via2",#N/A,TRUE,"general";"via3",#N/A,TRUE,"general"}</definedName>
    <definedName name="krtrk" localSheetId="19" hidden="1">{"via1",#N/A,TRUE,"general";"via2",#N/A,TRUE,"general";"via3",#N/A,TRUE,"general"}</definedName>
    <definedName name="krtrk" hidden="1">{"via1",#N/A,TRUE,"general";"via2",#N/A,TRUE,"general";"via3",#N/A,TRUE,"general"}</definedName>
    <definedName name="kuh" localSheetId="3">#REF!</definedName>
    <definedName name="kuh">#REF!</definedName>
    <definedName name="kuy" localSheetId="3">#REF!</definedName>
    <definedName name="kuy">#REF!</definedName>
    <definedName name="kyr" localSheetId="1" hidden="1">{"TAB1",#N/A,TRUE,"GENERAL";"TAB2",#N/A,TRUE,"GENERAL";"TAB3",#N/A,TRUE,"GENERAL";"TAB4",#N/A,TRUE,"GENERAL";"TAB5",#N/A,TRUE,"GENERAL"}</definedName>
    <definedName name="kyr" localSheetId="9" hidden="1">{"TAB1",#N/A,TRUE,"GENERAL";"TAB2",#N/A,TRUE,"GENERAL";"TAB3",#N/A,TRUE,"GENERAL";"TAB4",#N/A,TRUE,"GENERAL";"TAB5",#N/A,TRUE,"GENERAL"}</definedName>
    <definedName name="kyr" localSheetId="16" hidden="1">{"TAB1",#N/A,TRUE,"GENERAL";"TAB2",#N/A,TRUE,"GENERAL";"TAB3",#N/A,TRUE,"GENERAL";"TAB4",#N/A,TRUE,"GENERAL";"TAB5",#N/A,TRUE,"GENERAL"}</definedName>
    <definedName name="kyr" localSheetId="19" hidden="1">{"TAB1",#N/A,TRUE,"GENERAL";"TAB2",#N/A,TRUE,"GENERAL";"TAB3",#N/A,TRUE,"GENERAL";"TAB4",#N/A,TRUE,"GENERAL";"TAB5",#N/A,TRUE,"GENERAL"}</definedName>
    <definedName name="kyr" hidden="1">{"TAB1",#N/A,TRUE,"GENERAL";"TAB2",#N/A,TRUE,"GENERAL";"TAB3",#N/A,TRUE,"GENERAL";"TAB4",#N/A,TRUE,"GENERAL";"TAB5",#N/A,TRUE,"GENERAL"}</definedName>
    <definedName name="l">'[63]Itemes Renovación'!#REF!</definedName>
    <definedName name="L.CARCAMO" localSheetId="16">#REF!</definedName>
    <definedName name="L.CARCAMO">#REF!</definedName>
    <definedName name="L.CIL" localSheetId="16">#REF!</definedName>
    <definedName name="L.CIL">#REF!</definedName>
    <definedName name="L_" localSheetId="16">#REF!</definedName>
    <definedName name="L_">#REF!</definedName>
    <definedName name="L_L">#N/A</definedName>
    <definedName name="L_TUB">#REF!</definedName>
    <definedName name="Lamina_superboard" localSheetId="1">'[20]LISTADO DE MATERIALES Y EQUIPOS'!$B$99</definedName>
    <definedName name="Lamina_superboard" localSheetId="16">'[20]LISTADO DE MATERIALES Y EQUIPOS'!$B$99</definedName>
    <definedName name="Lamina_superboard">'[20]LISTADO DE MATERIALES Y EQUIPOS'!$B$99</definedName>
    <definedName name="LARGUE">[46]BASE!$D$394</definedName>
    <definedName name="Last_Row">#N/A</definedName>
    <definedName name="LE" localSheetId="3">'[63]Itemes Renovación'!#REF!</definedName>
    <definedName name="LE">'[63]Itemes Renovación'!#REF!</definedName>
    <definedName name="Lechada_juntas" localSheetId="1">'[20]LISTADO DE MATERIALES Y EQUIPOS'!$B$67</definedName>
    <definedName name="Lechada_juntas" localSheetId="16">'[20]LISTADO DE MATERIALES Y EQUIPOS'!$B$67</definedName>
    <definedName name="Lechada_juntas">'[20]LISTADO DE MATERIALES Y EQUIPOS'!$B$67</definedName>
    <definedName name="leo" localSheetId="3">'[63]Itemes Renovación'!#REF!</definedName>
    <definedName name="leo">'[63]Itemes Renovación'!#REF!</definedName>
    <definedName name="LICITACION" localSheetId="16">#REF!</definedName>
    <definedName name="LICITACION">#REF!</definedName>
    <definedName name="LIJA" localSheetId="1">'[20]LISTADO DE MATERIALES Y EQUIPOS'!$B$108</definedName>
    <definedName name="LIJA" localSheetId="16">'[20]LISTADO DE MATERIALES Y EQUIPOS'!$B$108</definedName>
    <definedName name="LIJA">'[20]LISTADO DE MATERIALES Y EQUIPOS'!$B$108</definedName>
    <definedName name="LIMPIO" localSheetId="16">#REF!</definedName>
    <definedName name="LIMPIO">#REF!</definedName>
    <definedName name="LINEA">[27]DATOS!$B$16</definedName>
    <definedName name="LisaCodSAO" localSheetId="16">#REF!</definedName>
    <definedName name="LisaCodSAO">#REF!</definedName>
    <definedName name="Listacanti" localSheetId="16">#REF!</definedName>
    <definedName name="Listacanti">#REF!</definedName>
    <definedName name="ListaCantidad" localSheetId="16">#REF!</definedName>
    <definedName name="ListaCantidad">#REF!</definedName>
    <definedName name="ListaItem">#REF!</definedName>
    <definedName name="ListaUni">[87]TOTALES!$D$7:$D$654</definedName>
    <definedName name="LISTON">[46]BASE!$D$395</definedName>
    <definedName name="Liston_2x2" localSheetId="1">'[20]LISTADO DE MATERIALES Y EQUIPOS'!$B$25</definedName>
    <definedName name="Liston_2x2" localSheetId="16">'[20]LISTADO DE MATERIALES Y EQUIPOS'!$B$25</definedName>
    <definedName name="Liston_2x2">'[20]LISTADO DE MATERIALES Y EQUIPOS'!$B$25</definedName>
    <definedName name="liuoo" localSheetId="1" hidden="1">{"TAB1",#N/A,TRUE,"GENERAL";"TAB2",#N/A,TRUE,"GENERAL";"TAB3",#N/A,TRUE,"GENERAL";"TAB4",#N/A,TRUE,"GENERAL";"TAB5",#N/A,TRUE,"GENERAL"}</definedName>
    <definedName name="liuoo" localSheetId="9" hidden="1">{"TAB1",#N/A,TRUE,"GENERAL";"TAB2",#N/A,TRUE,"GENERAL";"TAB3",#N/A,TRUE,"GENERAL";"TAB4",#N/A,TRUE,"GENERAL";"TAB5",#N/A,TRUE,"GENERAL"}</definedName>
    <definedName name="liuoo" localSheetId="16" hidden="1">{"TAB1",#N/A,TRUE,"GENERAL";"TAB2",#N/A,TRUE,"GENERAL";"TAB3",#N/A,TRUE,"GENERAL";"TAB4",#N/A,TRUE,"GENERAL";"TAB5",#N/A,TRUE,"GENERAL"}</definedName>
    <definedName name="liuoo" localSheetId="19" hidden="1">{"TAB1",#N/A,TRUE,"GENERAL";"TAB2",#N/A,TRUE,"GENERAL";"TAB3",#N/A,TRUE,"GENERAL";"TAB4",#N/A,TRUE,"GENERAL";"TAB5",#N/A,TRUE,"GENERAL"}</definedName>
    <definedName name="liuoo" hidden="1">{"TAB1",#N/A,TRUE,"GENERAL";"TAB2",#N/A,TRUE,"GENERAL";"TAB3",#N/A,TRUE,"GENERAL";"TAB4",#N/A,TRUE,"GENERAL";"TAB5",#N/A,TRUE,"GENERAL"}</definedName>
    <definedName name="lkj" localSheetId="1" hidden="1">{"via1",#N/A,TRUE,"general";"via2",#N/A,TRUE,"general";"via3",#N/A,TRUE,"general"}</definedName>
    <definedName name="lkj" localSheetId="9" hidden="1">{"via1",#N/A,TRUE,"general";"via2",#N/A,TRUE,"general";"via3",#N/A,TRUE,"general"}</definedName>
    <definedName name="lkj" localSheetId="16" hidden="1">{"via1",#N/A,TRUE,"general";"via2",#N/A,TRUE,"general";"via3",#N/A,TRUE,"general"}</definedName>
    <definedName name="lkj" localSheetId="19" hidden="1">{"via1",#N/A,TRUE,"general";"via2",#N/A,TRUE,"general";"via3",#N/A,TRUE,"general"}</definedName>
    <definedName name="lkj" hidden="1">{"via1",#N/A,TRUE,"general";"via2",#N/A,TRUE,"general";"via3",#N/A,TRUE,"general"}</definedName>
    <definedName name="LKJLJK" localSheetId="1" hidden="1">{"TAB1",#N/A,TRUE,"GENERAL";"TAB2",#N/A,TRUE,"GENERAL";"TAB3",#N/A,TRUE,"GENERAL";"TAB4",#N/A,TRUE,"GENERAL";"TAB5",#N/A,TRUE,"GENERAL"}</definedName>
    <definedName name="LKJLJK" localSheetId="9" hidden="1">{"TAB1",#N/A,TRUE,"GENERAL";"TAB2",#N/A,TRUE,"GENERAL";"TAB3",#N/A,TRUE,"GENERAL";"TAB4",#N/A,TRUE,"GENERAL";"TAB5",#N/A,TRUE,"GENERAL"}</definedName>
    <definedName name="LKJLJK" localSheetId="16" hidden="1">{"TAB1",#N/A,TRUE,"GENERAL";"TAB2",#N/A,TRUE,"GENERAL";"TAB3",#N/A,TRUE,"GENERAL";"TAB4",#N/A,TRUE,"GENERAL";"TAB5",#N/A,TRUE,"GENERAL"}</definedName>
    <definedName name="LKJLJK" localSheetId="19" hidden="1">{"TAB1",#N/A,TRUE,"GENERAL";"TAB2",#N/A,TRUE,"GENERAL";"TAB3",#N/A,TRUE,"GENERAL";"TAB4",#N/A,TRUE,"GENERAL";"TAB5",#N/A,TRUE,"GENERAL"}</definedName>
    <definedName name="LKJLJK" hidden="1">{"TAB1",#N/A,TRUE,"GENERAL";"TAB2",#N/A,TRUE,"GENERAL";"TAB3",#N/A,TRUE,"GENERAL";"TAB4",#N/A,TRUE,"GENERAL";"TAB5",#N/A,TRUE,"GENERAL"}</definedName>
    <definedName name="LL" localSheetId="1">[1]!ERR</definedName>
    <definedName name="LL" localSheetId="16">[1]!ERR</definedName>
    <definedName name="ll" localSheetId="3">#REF!</definedName>
    <definedName name="LL" localSheetId="19">[1]!ERR</definedName>
    <definedName name="LL">[1]!ERR</definedName>
    <definedName name="LLENOS" localSheetId="1">[7]PRESUPUESTO!#REF!</definedName>
    <definedName name="LLENOS" localSheetId="16">[7]PRESUPUESTO!#REF!</definedName>
    <definedName name="LLENOS">[7]PRESUPUESTO!#REF!</definedName>
    <definedName name="lllllh" localSheetId="1" hidden="1">{"via1",#N/A,TRUE,"general";"via2",#N/A,TRUE,"general";"via3",#N/A,TRUE,"general"}</definedName>
    <definedName name="lllllh" localSheetId="9" hidden="1">{"via1",#N/A,TRUE,"general";"via2",#N/A,TRUE,"general";"via3",#N/A,TRUE,"general"}</definedName>
    <definedName name="lllllh" localSheetId="16" hidden="1">{"via1",#N/A,TRUE,"general";"via2",#N/A,TRUE,"general";"via3",#N/A,TRUE,"general"}</definedName>
    <definedName name="lllllh" localSheetId="19" hidden="1">{"via1",#N/A,TRUE,"general";"via2",#N/A,TRUE,"general";"via3",#N/A,TRUE,"general"}</definedName>
    <definedName name="lllllh" hidden="1">{"via1",#N/A,TRUE,"general";"via2",#N/A,TRUE,"general";"via3",#N/A,TRUE,"general"}</definedName>
    <definedName name="lllllllo" localSheetId="1" hidden="1">{"via1",#N/A,TRUE,"general";"via2",#N/A,TRUE,"general";"via3",#N/A,TRUE,"general"}</definedName>
    <definedName name="lllllllo" localSheetId="9" hidden="1">{"via1",#N/A,TRUE,"general";"via2",#N/A,TRUE,"general";"via3",#N/A,TRUE,"general"}</definedName>
    <definedName name="lllllllo" localSheetId="16" hidden="1">{"via1",#N/A,TRUE,"general";"via2",#N/A,TRUE,"general";"via3",#N/A,TRUE,"general"}</definedName>
    <definedName name="lllllllo" localSheetId="19" hidden="1">{"via1",#N/A,TRUE,"general";"via2",#N/A,TRUE,"general";"via3",#N/A,TRUE,"general"}</definedName>
    <definedName name="lllllllo" hidden="1">{"via1",#N/A,TRUE,"general";"via2",#N/A,TRUE,"general";"via3",#N/A,TRUE,"general"}</definedName>
    <definedName name="LÑP" localSheetId="3">#REF!</definedName>
    <definedName name="LÑP">#REF!</definedName>
    <definedName name="lo" hidden="1">{#N/A,#N/A,FALSE,"GRAFICO";#N/A,#N/A,FALSE,"CAJA (2)";#N/A,#N/A,FALSE,"TERCEROS-PROMEDIO";#N/A,#N/A,FALSE,"CAJA";#N/A,#N/A,FALSE,"INGRESOS1995-2003";#N/A,#N/A,FALSE,"GASTOS1995-2003"}</definedName>
    <definedName name="Loan_Amount" localSheetId="3">#REF!</definedName>
    <definedName name="Loan_Amount">#REF!</definedName>
    <definedName name="Loan_Start" localSheetId="3">#REF!</definedName>
    <definedName name="Loan_Start">#REF!</definedName>
    <definedName name="Loan_Years">#REF!</definedName>
    <definedName name="LOCA" localSheetId="3">#N/A</definedName>
    <definedName name="LOCA" localSheetId="19">[19]!absc</definedName>
    <definedName name="LOCA">[19]!absc</definedName>
    <definedName name="LOCA1">[88]!absc</definedName>
    <definedName name="LOCALIZACIÓN_Y_REPLANTEO._ESTRUCTURAS" localSheetId="3">[89]INDICE!#REF!</definedName>
    <definedName name="LOCALIZACIÓN_Y_REPLANTEO._ESTRUCTURAS">[89]INDICE!#REF!</definedName>
    <definedName name="LOGO" localSheetId="1">[1]!ERR</definedName>
    <definedName name="LOGO" localSheetId="16">[1]!ERR</definedName>
    <definedName name="LOGO" localSheetId="19">[1]!ERR</definedName>
    <definedName name="LOGO">[1]!ERR</definedName>
    <definedName name="LOI" localSheetId="1">#REF!</definedName>
    <definedName name="LOI" localSheetId="16">#REF!</definedName>
    <definedName name="LOI" localSheetId="3">#REF!</definedName>
    <definedName name="LOI">#REF!</definedName>
    <definedName name="lojhft" localSheetId="1">'[63]Itemes Renovación'!#REF!</definedName>
    <definedName name="lojhft" localSheetId="16">'[63]Itemes Renovación'!#REF!</definedName>
    <definedName name="lojhft" localSheetId="3">'[63]Itemes Renovación'!#REF!</definedName>
    <definedName name="lojhft">'[63]Itemes Renovación'!#REF!</definedName>
    <definedName name="lolol" localSheetId="1" hidden="1">{"TAB1",#N/A,TRUE,"GENERAL";"TAB2",#N/A,TRUE,"GENERAL";"TAB3",#N/A,TRUE,"GENERAL";"TAB4",#N/A,TRUE,"GENERAL";"TAB5",#N/A,TRUE,"GENERAL"}</definedName>
    <definedName name="lolol" localSheetId="9" hidden="1">{"TAB1",#N/A,TRUE,"GENERAL";"TAB2",#N/A,TRUE,"GENERAL";"TAB3",#N/A,TRUE,"GENERAL";"TAB4",#N/A,TRUE,"GENERAL";"TAB5",#N/A,TRUE,"GENERAL"}</definedName>
    <definedName name="lolol" localSheetId="16" hidden="1">{"TAB1",#N/A,TRUE,"GENERAL";"TAB2",#N/A,TRUE,"GENERAL";"TAB3",#N/A,TRUE,"GENERAL";"TAB4",#N/A,TRUE,"GENERAL";"TAB5",#N/A,TRUE,"GENERAL"}</definedName>
    <definedName name="lolol" localSheetId="19" hidden="1">{"TAB1",#N/A,TRUE,"GENERAL";"TAB2",#N/A,TRUE,"GENERAL";"TAB3",#N/A,TRUE,"GENERAL";"TAB4",#N/A,TRUE,"GENERAL";"TAB5",#N/A,TRUE,"GENERAL"}</definedName>
    <definedName name="lolol" hidden="1">{"TAB1",#N/A,TRUE,"GENERAL";"TAB2",#N/A,TRUE,"GENERAL";"TAB3",#N/A,TRUE,"GENERAL";"TAB4",#N/A,TRUE,"GENERAL";"TAB5",#N/A,TRUE,"GENERAL"}</definedName>
    <definedName name="LONG">#REF!</definedName>
    <definedName name="Longitud">#REF!</definedName>
    <definedName name="Longitud1">#REF!</definedName>
    <definedName name="Longitud2">#REF!</definedName>
    <definedName name="LOPE">#REF!</definedName>
    <definedName name="lplpl" localSheetId="1" hidden="1">{"via1",#N/A,TRUE,"general";"via2",#N/A,TRUE,"general";"via3",#N/A,TRUE,"general"}</definedName>
    <definedName name="lplpl" localSheetId="9" hidden="1">{"via1",#N/A,TRUE,"general";"via2",#N/A,TRUE,"general";"via3",#N/A,TRUE,"general"}</definedName>
    <definedName name="lplpl" localSheetId="16" hidden="1">{"via1",#N/A,TRUE,"general";"via2",#N/A,TRUE,"general";"via3",#N/A,TRUE,"general"}</definedName>
    <definedName name="lplpl" localSheetId="19" hidden="1">{"via1",#N/A,TRUE,"general";"via2",#N/A,TRUE,"general";"via3",#N/A,TRUE,"general"}</definedName>
    <definedName name="lplpl" hidden="1">{"via1",#N/A,TRUE,"general";"via2",#N/A,TRUE,"general";"via3",#N/A,TRUE,"general"}</definedName>
    <definedName name="LUCY" localSheetId="3">OFFSET('FM '!Full_Print,0,0,'FM '!LOCA)</definedName>
    <definedName name="LUCY">#N/A</definedName>
    <definedName name="M_O" localSheetId="1">'[90]MATRIZ DE PRECIOS'!$G$526:$G$540</definedName>
    <definedName name="M_O" localSheetId="16">'[90]MATRIZ DE PRECIOS'!$G$526:$G$540</definedName>
    <definedName name="M_O">'[90]MATRIZ DE PRECIOS'!$G$526:$G$540</definedName>
    <definedName name="M240K" localSheetId="1">[7]BASE!$D$39</definedName>
    <definedName name="M240K" localSheetId="16">[7]BASE!$D$39</definedName>
    <definedName name="M240K">[7]BASE!$D$39</definedName>
    <definedName name="M280K" localSheetId="1">[7]BASE!$D$38</definedName>
    <definedName name="M280K" localSheetId="16">[7]BASE!$D$38</definedName>
    <definedName name="M280K">[7]BASE!$D$38</definedName>
    <definedName name="mac" localSheetId="16">#REF!</definedName>
    <definedName name="mac" localSheetId="19">'INSUMOS '!#REF!</definedName>
    <definedName name="mac">#REF!</definedName>
    <definedName name="Maestro" localSheetId="1">'[20]LISTADO DE MATERIALES Y EQUIPOS'!$B$8</definedName>
    <definedName name="Maestro" localSheetId="16">'[20]LISTADO DE MATERIALES Y EQUIPOS'!$B$8</definedName>
    <definedName name="Maestro">'[20]LISTADO DE MATERIALES Y EQUIPOS'!$B$8</definedName>
    <definedName name="mafdsf" localSheetId="1" hidden="1">{"via1",#N/A,TRUE,"general";"via2",#N/A,TRUE,"general";"via3",#N/A,TRUE,"general"}</definedName>
    <definedName name="mafdsf" localSheetId="9" hidden="1">{"via1",#N/A,TRUE,"general";"via2",#N/A,TRUE,"general";"via3",#N/A,TRUE,"general"}</definedName>
    <definedName name="mafdsf" localSheetId="16" hidden="1">{"via1",#N/A,TRUE,"general";"via2",#N/A,TRUE,"general";"via3",#N/A,TRUE,"general"}</definedName>
    <definedName name="mafdsf" localSheetId="19" hidden="1">{"via1",#N/A,TRUE,"general";"via2",#N/A,TRUE,"general";"via3",#N/A,TRUE,"general"}</definedName>
    <definedName name="mafdsf" hidden="1">{"via1",#N/A,TRUE,"general";"via2",#N/A,TRUE,"general";"via3",#N/A,TRUE,"general"}</definedName>
    <definedName name="MAL">'[91]Estado Resumen'!#REF!&lt;2.5</definedName>
    <definedName name="Malla_4x4" localSheetId="1">'[20]LISTADO DE MATERIALES Y EQUIPOS'!$B$30</definedName>
    <definedName name="Malla_4x4" localSheetId="16">'[20]LISTADO DE MATERIALES Y EQUIPOS'!$B$30</definedName>
    <definedName name="Malla_4x4">'[20]LISTADO DE MATERIALES Y EQUIPOS'!$B$30</definedName>
    <definedName name="Malla_Electrosoldada" localSheetId="1">'[20]LISTADO DE MATERIALES Y EQUIPOS'!$B$29</definedName>
    <definedName name="Malla_Electrosoldada" localSheetId="16">'[20]LISTADO DE MATERIALES Y EQUIPOS'!$B$29</definedName>
    <definedName name="Malla_Electrosoldada">'[20]LISTADO DE MATERIALES Y EQUIPOS'!$B$29</definedName>
    <definedName name="MALO">'[92]ESTADO VÍA-CRIT.TECNICO'!#REF!&lt;2.5</definedName>
    <definedName name="MALO4006" localSheetId="16">#REF!</definedName>
    <definedName name="MALO4006" localSheetId="3">#REF!</definedName>
    <definedName name="MALO4006">#REF!</definedName>
    <definedName name="MALO4006A" localSheetId="16">#REF!</definedName>
    <definedName name="MALO4006A">#REF!</definedName>
    <definedName name="MALO40CN01" localSheetId="16">#REF!</definedName>
    <definedName name="MALO40CN01">#REF!</definedName>
    <definedName name="MALO40CNA">#REF!</definedName>
    <definedName name="MALO40CNB">#REF!</definedName>
    <definedName name="MALO55CN01">#REF!</definedName>
    <definedName name="MALO55CN03">#REF!</definedName>
    <definedName name="MALO5607">#REF!</definedName>
    <definedName name="MALOAFIR5607">#REF!</definedName>
    <definedName name="mama" localSheetId="1" hidden="1">'[93]Datos-Gráfica-Apartada'!#REF!</definedName>
    <definedName name="mama" localSheetId="16" hidden="1">'[93]Datos-Gráfica-Apartada'!#REF!</definedName>
    <definedName name="mama" hidden="1">'[93]Datos-Gráfica-Apartada'!#REF!</definedName>
    <definedName name="MANO_OBRA" localSheetId="16">#REF!</definedName>
    <definedName name="MANO_OBRA">#REF!</definedName>
    <definedName name="MANTO">[46]BASE!$D$401</definedName>
    <definedName name="mao" localSheetId="1" hidden="1">{"TAB1",#N/A,TRUE,"GENERAL";"TAB2",#N/A,TRUE,"GENERAL";"TAB3",#N/A,TRUE,"GENERAL";"TAB4",#N/A,TRUE,"GENERAL";"TAB5",#N/A,TRUE,"GENERAL"}</definedName>
    <definedName name="mao" localSheetId="9" hidden="1">{"TAB1",#N/A,TRUE,"GENERAL";"TAB2",#N/A,TRUE,"GENERAL";"TAB3",#N/A,TRUE,"GENERAL";"TAB4",#N/A,TRUE,"GENERAL";"TAB5",#N/A,TRUE,"GENERAL"}</definedName>
    <definedName name="mao" localSheetId="16" hidden="1">{"TAB1",#N/A,TRUE,"GENERAL";"TAB2",#N/A,TRUE,"GENERAL";"TAB3",#N/A,TRUE,"GENERAL";"TAB4",#N/A,TRUE,"GENERAL";"TAB5",#N/A,TRUE,"GENERAL"}</definedName>
    <definedName name="mao" localSheetId="19" hidden="1">{"TAB1",#N/A,TRUE,"GENERAL";"TAB2",#N/A,TRUE,"GENERAL";"TAB3",#N/A,TRUE,"GENERAL";"TAB4",#N/A,TRUE,"GENERAL";"TAB5",#N/A,TRUE,"GENERAL"}</definedName>
    <definedName name="mao" hidden="1">{"TAB1",#N/A,TRUE,"GENERAL";"TAB2",#N/A,TRUE,"GENERAL";"TAB3",#N/A,TRUE,"GENERAL";"TAB4",#N/A,TRUE,"GENERAL";"TAB5",#N/A,TRUE,"GENERAL"}</definedName>
    <definedName name="maow" localSheetId="1" hidden="1">{"via1",#N/A,TRUE,"general";"via2",#N/A,TRUE,"general";"via3",#N/A,TRUE,"general"}</definedName>
    <definedName name="maow" localSheetId="9" hidden="1">{"via1",#N/A,TRUE,"general";"via2",#N/A,TRUE,"general";"via3",#N/A,TRUE,"general"}</definedName>
    <definedName name="maow" localSheetId="16" hidden="1">{"via1",#N/A,TRUE,"general";"via2",#N/A,TRUE,"general";"via3",#N/A,TRUE,"general"}</definedName>
    <definedName name="maow" localSheetId="19" hidden="1">{"via1",#N/A,TRUE,"general";"via2",#N/A,TRUE,"general";"via3",#N/A,TRUE,"general"}</definedName>
    <definedName name="maow" hidden="1">{"via1",#N/A,TRUE,"general";"via2",#N/A,TRUE,"general";"via3",#N/A,TRUE,"general"}</definedName>
    <definedName name="Mar">[64]MAR!$A$12:$H$33</definedName>
    <definedName name="Mar_C">[64]MAR!$A$35:$H$51</definedName>
    <definedName name="MarAbr">'[65]Mar-Abr'!$A$12:$H$34</definedName>
    <definedName name="MarkP" hidden="1">{#N/A,#N/A,FALSE,"GRAFICO";#N/A,#N/A,FALSE,"CAJA (2)";#N/A,#N/A,FALSE,"TERCEROS-PROMEDIO";#N/A,#N/A,FALSE,"CAJA";#N/A,#N/A,FALSE,"INGRESOS1995-2003";#N/A,#N/A,FALSE,"GASTOS1995-2003"}</definedName>
    <definedName name="MARTA" localSheetId="3">IF('FM '!Loan_Amount*'FM '!Interest_Rate*Loan_Years*'FM '!Loan_Start&gt;0,1,0)</definedName>
    <definedName name="MARTA">#N/A</definedName>
    <definedName name="MARTHA">[27]DATOS!$A$9</definedName>
    <definedName name="MASILLA" localSheetId="1">'[20]LISTADO DE MATERIALES Y EQUIPOS'!$B$106</definedName>
    <definedName name="MASILLA" localSheetId="16">'[20]LISTADO DE MATERIALES Y EQUIPOS'!$B$106</definedName>
    <definedName name="MASILLA">'[20]LISTADO DE MATERIALES Y EQUIPOS'!$B$106</definedName>
    <definedName name="masor" localSheetId="1" hidden="1">{"via1",#N/A,TRUE,"general";"via2",#N/A,TRUE,"general";"via3",#N/A,TRUE,"general"}</definedName>
    <definedName name="masor" localSheetId="9" hidden="1">{"via1",#N/A,TRUE,"general";"via2",#N/A,TRUE,"general";"via3",#N/A,TRUE,"general"}</definedName>
    <definedName name="masor" localSheetId="16" hidden="1">{"via1",#N/A,TRUE,"general";"via2",#N/A,TRUE,"general";"via3",#N/A,TRUE,"general"}</definedName>
    <definedName name="masor" localSheetId="19" hidden="1">{"via1",#N/A,TRUE,"general";"via2",#N/A,TRUE,"general";"via3",#N/A,TRUE,"general"}</definedName>
    <definedName name="masor" hidden="1">{"via1",#N/A,TRUE,"general";"via2",#N/A,TRUE,"general";"via3",#N/A,TRUE,"general"}</definedName>
    <definedName name="MAT">#REF!</definedName>
    <definedName name="MATER" localSheetId="16">[69]MATERIAL!$B$3:$B$580</definedName>
    <definedName name="mater" localSheetId="3">'[27]precios-básicos2002'!$C$59:$C$127</definedName>
    <definedName name="MATER">[69]MATERIAL!$B$3:$B$580</definedName>
    <definedName name="MATERIAL" localSheetId="16">#REF!</definedName>
    <definedName name="MATERIAL" localSheetId="19">#REF!</definedName>
    <definedName name="MATERIAL">#REF!</definedName>
    <definedName name="Material_seleccionado" localSheetId="1">'[20]LISTADO DE MATERIALES Y EQUIPOS'!$B$22</definedName>
    <definedName name="Material_seleccionado" localSheetId="16">'[20]LISTADO DE MATERIALES Y EQUIPOS'!$B$22</definedName>
    <definedName name="Material_seleccionado">'[20]LISTADO DE MATERIALES Y EQUIPOS'!$B$22</definedName>
    <definedName name="MATERIALES" localSheetId="16">[69]MATERIAL!$B$2:$D$580</definedName>
    <definedName name="materiales" localSheetId="3">'[27]precios-básicos2002'!$C$59:$E$127</definedName>
    <definedName name="MATERIALES">[69]MATERIAL!$B$2:$D$580</definedName>
    <definedName name="materiales2" localSheetId="1">'[90]MATRIZ DE PRECIOS'!$G$11:$G$490</definedName>
    <definedName name="materiales2" localSheetId="16">'[90]MATRIZ DE PRECIOS'!$G$11:$G$490</definedName>
    <definedName name="materiales2">'[90]MATRIZ DE PRECIOS'!$G$11:$G$490</definedName>
    <definedName name="MaterialTub" localSheetId="16">#REF!</definedName>
    <definedName name="MaterialTub" localSheetId="3">#REF!</definedName>
    <definedName name="MaterialTub">#REF!</definedName>
    <definedName name="MATPR" localSheetId="1">[7]BASE!$D$46</definedName>
    <definedName name="MATPR" localSheetId="16">[7]BASE!$D$46</definedName>
    <definedName name="MATPR">[7]BASE!$D$46</definedName>
    <definedName name="MayJun">'[65]May-Jun'!$A$12:$H$32</definedName>
    <definedName name="MayJun_C">'[85]May-Jun'!$A$33:$H$52</definedName>
    <definedName name="mcb">'[15]Gabinetes ctrol, prot. y med. '!#REF!</definedName>
    <definedName name="mcbb">'[15]Gabinetes ctrol, prot. y med. '!#REF!</definedName>
    <definedName name="mdd" localSheetId="1" hidden="1">{"via1",#N/A,TRUE,"general";"via2",#N/A,TRUE,"general";"via3",#N/A,TRUE,"general"}</definedName>
    <definedName name="mdd" localSheetId="9" hidden="1">{"via1",#N/A,TRUE,"general";"via2",#N/A,TRUE,"general";"via3",#N/A,TRUE,"general"}</definedName>
    <definedName name="mdd" localSheetId="16" hidden="1">{"via1",#N/A,TRUE,"general";"via2",#N/A,TRUE,"general";"via3",#N/A,TRUE,"general"}</definedName>
    <definedName name="mdd" localSheetId="19" hidden="1">{"via1",#N/A,TRUE,"general";"via2",#N/A,TRUE,"general";"via3",#N/A,TRUE,"general"}</definedName>
    <definedName name="mdd" hidden="1">{"via1",#N/A,TRUE,"general";"via2",#N/A,TRUE,"general";"via3",#N/A,TRUE,"general"}</definedName>
    <definedName name="mdo">'[27]precios-básicos2002'!$C$131:$C$140</definedName>
    <definedName name="mdsfm" localSheetId="3">'[63]Itemes Renovación'!#REF!</definedName>
    <definedName name="mdsfm">'[63]Itemes Renovación'!#REF!</definedName>
    <definedName name="meg" localSheetId="1" hidden="1">{"TAB1",#N/A,TRUE,"GENERAL";"TAB2",#N/A,TRUE,"GENERAL";"TAB3",#N/A,TRUE,"GENERAL";"TAB4",#N/A,TRUE,"GENERAL";"TAB5",#N/A,TRUE,"GENERAL"}</definedName>
    <definedName name="meg" localSheetId="9" hidden="1">{"TAB1",#N/A,TRUE,"GENERAL";"TAB2",#N/A,TRUE,"GENERAL";"TAB3",#N/A,TRUE,"GENERAL";"TAB4",#N/A,TRUE,"GENERAL";"TAB5",#N/A,TRUE,"GENERAL"}</definedName>
    <definedName name="meg" localSheetId="16" hidden="1">{"TAB1",#N/A,TRUE,"GENERAL";"TAB2",#N/A,TRUE,"GENERAL";"TAB3",#N/A,TRUE,"GENERAL";"TAB4",#N/A,TRUE,"GENERAL";"TAB5",#N/A,TRUE,"GENERAL"}</definedName>
    <definedName name="meg" localSheetId="19" hidden="1">{"TAB1",#N/A,TRUE,"GENERAL";"TAB2",#N/A,TRUE,"GENERAL";"TAB3",#N/A,TRUE,"GENERAL";"TAB4",#N/A,TRUE,"GENERAL";"TAB5",#N/A,TRUE,"GENERAL"}</definedName>
    <definedName name="meg" hidden="1">{"TAB1",#N/A,TRUE,"GENERAL";"TAB2",#N/A,TRUE,"GENERAL";"TAB3",#N/A,TRUE,"GENERAL";"TAB4",#N/A,TRUE,"GENERAL";"TAB5",#N/A,TRUE,"GENERAL"}</definedName>
    <definedName name="Memorias">#REF!</definedName>
    <definedName name="MESES">[94]CAJA!$AB$8</definedName>
    <definedName name="Mezcladora" localSheetId="1">'[20]LISTADO DE MATERIALES Y EQUIPOS'!$B$32</definedName>
    <definedName name="Mezcladora" localSheetId="16">'[20]LISTADO DE MATERIALES Y EQUIPOS'!$B$32</definedName>
    <definedName name="Mezcladora">'[20]LISTADO DE MATERIALES Y EQUIPOS'!$B$32</definedName>
    <definedName name="mf" localSheetId="16">#REF!</definedName>
    <definedName name="mf" localSheetId="3">#REF!</definedName>
    <definedName name="mf">#REF!</definedName>
    <definedName name="mfgjrdt" localSheetId="1" hidden="1">{"TAB1",#N/A,TRUE,"GENERAL";"TAB2",#N/A,TRUE,"GENERAL";"TAB3",#N/A,TRUE,"GENERAL";"TAB4",#N/A,TRUE,"GENERAL";"TAB5",#N/A,TRUE,"GENERAL"}</definedName>
    <definedName name="mfgjrdt" localSheetId="9" hidden="1">{"TAB1",#N/A,TRUE,"GENERAL";"TAB2",#N/A,TRUE,"GENERAL";"TAB3",#N/A,TRUE,"GENERAL";"TAB4",#N/A,TRUE,"GENERAL";"TAB5",#N/A,TRUE,"GENERAL"}</definedName>
    <definedName name="mfgjrdt" localSheetId="16" hidden="1">{"TAB1",#N/A,TRUE,"GENERAL";"TAB2",#N/A,TRUE,"GENERAL";"TAB3",#N/A,TRUE,"GENERAL";"TAB4",#N/A,TRUE,"GENERAL";"TAB5",#N/A,TRUE,"GENERAL"}</definedName>
    <definedName name="mfgjrdt" localSheetId="19" hidden="1">{"TAB1",#N/A,TRUE,"GENERAL";"TAB2",#N/A,TRUE,"GENERAL";"TAB3",#N/A,TRUE,"GENERAL";"TAB4",#N/A,TRUE,"GENERAL";"TAB5",#N/A,TRUE,"GENERAL"}</definedName>
    <definedName name="mfgjrdt" hidden="1">{"TAB1",#N/A,TRUE,"GENERAL";"TAB2",#N/A,TRUE,"GENERAL";"TAB3",#N/A,TRUE,"GENERAL";"TAB4",#N/A,TRUE,"GENERAL";"TAB5",#N/A,TRUE,"GENERAL"}</definedName>
    <definedName name="mghm" localSheetId="1" hidden="1">{"via1",#N/A,TRUE,"general";"via2",#N/A,TRUE,"general";"via3",#N/A,TRUE,"general"}</definedName>
    <definedName name="mghm" localSheetId="9" hidden="1">{"via1",#N/A,TRUE,"general";"via2",#N/A,TRUE,"general";"via3",#N/A,TRUE,"general"}</definedName>
    <definedName name="mghm" localSheetId="16" hidden="1">{"via1",#N/A,TRUE,"general";"via2",#N/A,TRUE,"general";"via3",#N/A,TRUE,"general"}</definedName>
    <definedName name="mghm" localSheetId="19" hidden="1">{"via1",#N/A,TRUE,"general";"via2",#N/A,TRUE,"general";"via3",#N/A,TRUE,"general"}</definedName>
    <definedName name="mghm" hidden="1">{"via1",#N/A,TRUE,"general";"via2",#N/A,TRUE,"general";"via3",#N/A,TRUE,"general"}</definedName>
    <definedName name="mhg" localSheetId="3">#REF!</definedName>
    <definedName name="mhg">#REF!</definedName>
    <definedName name="mht" localSheetId="3">#REF!</definedName>
    <definedName name="mht">#REF!</definedName>
    <definedName name="mhy" localSheetId="3">#REF!</definedName>
    <definedName name="mhy">#REF!</definedName>
    <definedName name="mjmj" localSheetId="1" hidden="1">{"via1",#N/A,TRUE,"general";"via2",#N/A,TRUE,"general";"via3",#N/A,TRUE,"general"}</definedName>
    <definedName name="mjmj" localSheetId="9" hidden="1">{"via1",#N/A,TRUE,"general";"via2",#N/A,TRUE,"general";"via3",#N/A,TRUE,"general"}</definedName>
    <definedName name="mjmj" localSheetId="16" hidden="1">{"via1",#N/A,TRUE,"general";"via2",#N/A,TRUE,"general";"via3",#N/A,TRUE,"general"}</definedName>
    <definedName name="mjmj" localSheetId="19" hidden="1">{"via1",#N/A,TRUE,"general";"via2",#N/A,TRUE,"general";"via3",#N/A,TRUE,"general"}</definedName>
    <definedName name="mjmj" hidden="1">{"via1",#N/A,TRUE,"general";"via2",#N/A,TRUE,"general";"via3",#N/A,TRUE,"general"}</definedName>
    <definedName name="mjmjmn" localSheetId="1" hidden="1">{"via1",#N/A,TRUE,"general";"via2",#N/A,TRUE,"general";"via3",#N/A,TRUE,"general"}</definedName>
    <definedName name="mjmjmn" localSheetId="9" hidden="1">{"via1",#N/A,TRUE,"general";"via2",#N/A,TRUE,"general";"via3",#N/A,TRUE,"general"}</definedName>
    <definedName name="mjmjmn" localSheetId="16" hidden="1">{"via1",#N/A,TRUE,"general";"via2",#N/A,TRUE,"general";"via3",#N/A,TRUE,"general"}</definedName>
    <definedName name="mjmjmn" localSheetId="19" hidden="1">{"via1",#N/A,TRUE,"general";"via2",#N/A,TRUE,"general";"via3",#N/A,TRUE,"general"}</definedName>
    <definedName name="mjmjmn" hidden="1">{"via1",#N/A,TRUE,"general";"via2",#N/A,TRUE,"general";"via3",#N/A,TRUE,"general"}</definedName>
    <definedName name="mjnhgkio" localSheetId="1" hidden="1">{"via1",#N/A,TRUE,"general";"via2",#N/A,TRUE,"general";"via3",#N/A,TRUE,"general"}</definedName>
    <definedName name="mjnhgkio" localSheetId="9" hidden="1">{"via1",#N/A,TRUE,"general";"via2",#N/A,TRUE,"general";"via3",#N/A,TRUE,"general"}</definedName>
    <definedName name="mjnhgkio" localSheetId="16" hidden="1">{"via1",#N/A,TRUE,"general";"via2",#N/A,TRUE,"general";"via3",#N/A,TRUE,"general"}</definedName>
    <definedName name="mjnhgkio" localSheetId="19" hidden="1">{"via1",#N/A,TRUE,"general";"via2",#N/A,TRUE,"general";"via3",#N/A,TRUE,"general"}</definedName>
    <definedName name="mjnhgkio" hidden="1">{"via1",#N/A,TRUE,"general";"via2",#N/A,TRUE,"general";"via3",#N/A,TRUE,"general"}</definedName>
    <definedName name="mju" localSheetId="3">#REF!</definedName>
    <definedName name="mju">#REF!</definedName>
    <definedName name="mku" localSheetId="3">#REF!</definedName>
    <definedName name="mku">#REF!</definedName>
    <definedName name="mm" localSheetId="3">#REF!</definedName>
    <definedName name="mm">#REF!</definedName>
    <definedName name="mmjmjh" localSheetId="1" hidden="1">{"TAB1",#N/A,TRUE,"GENERAL";"TAB2",#N/A,TRUE,"GENERAL";"TAB3",#N/A,TRUE,"GENERAL";"TAB4",#N/A,TRUE,"GENERAL";"TAB5",#N/A,TRUE,"GENERAL"}</definedName>
    <definedName name="mmjmjh" localSheetId="9" hidden="1">{"TAB1",#N/A,TRUE,"GENERAL";"TAB2",#N/A,TRUE,"GENERAL";"TAB3",#N/A,TRUE,"GENERAL";"TAB4",#N/A,TRUE,"GENERAL";"TAB5",#N/A,TRUE,"GENERAL"}</definedName>
    <definedName name="mmjmjh" localSheetId="16" hidden="1">{"TAB1",#N/A,TRUE,"GENERAL";"TAB2",#N/A,TRUE,"GENERAL";"TAB3",#N/A,TRUE,"GENERAL";"TAB4",#N/A,TRUE,"GENERAL";"TAB5",#N/A,TRUE,"GENERAL"}</definedName>
    <definedName name="mmjmjh" localSheetId="19" hidden="1">{"TAB1",#N/A,TRUE,"GENERAL";"TAB2",#N/A,TRUE,"GENERAL";"TAB3",#N/A,TRUE,"GENERAL";"TAB4",#N/A,TRUE,"GENERAL";"TAB5",#N/A,TRUE,"GENERAL"}</definedName>
    <definedName name="mmjmjh" hidden="1">{"TAB1",#N/A,TRUE,"GENERAL";"TAB2",#N/A,TRUE,"GENERAL";"TAB3",#N/A,TRUE,"GENERAL";"TAB4",#N/A,TRUE,"GENERAL";"TAB5",#N/A,TRUE,"GENERAL"}</definedName>
    <definedName name="mmm" localSheetId="1" hidden="1">{"TAB1",#N/A,TRUE,"GENERAL";"TAB2",#N/A,TRUE,"GENERAL";"TAB3",#N/A,TRUE,"GENERAL";"TAB4",#N/A,TRUE,"GENERAL";"TAB5",#N/A,TRUE,"GENERAL"}</definedName>
    <definedName name="mmm" localSheetId="9" hidden="1">{"TAB1",#N/A,TRUE,"GENERAL";"TAB2",#N/A,TRUE,"GENERAL";"TAB3",#N/A,TRUE,"GENERAL";"TAB4",#N/A,TRUE,"GENERAL";"TAB5",#N/A,TRUE,"GENERAL"}</definedName>
    <definedName name="mmm" localSheetId="16" hidden="1">{"TAB1",#N/A,TRUE,"GENERAL";"TAB2",#N/A,TRUE,"GENERAL";"TAB3",#N/A,TRUE,"GENERAL";"TAB4",#N/A,TRUE,"GENERAL";"TAB5",#N/A,TRUE,"GENERAL"}</definedName>
    <definedName name="mmm" localSheetId="3">#REF!</definedName>
    <definedName name="mmm" localSheetId="19" hidden="1">{"TAB1",#N/A,TRUE,"GENERAL";"TAB2",#N/A,TRUE,"GENERAL";"TAB3",#N/A,TRUE,"GENERAL";"TAB4",#N/A,TRUE,"GENERAL";"TAB5",#N/A,TRUE,"GENERAL"}</definedName>
    <definedName name="mmm" hidden="1">{"TAB1",#N/A,TRUE,"GENERAL";"TAB2",#N/A,TRUE,"GENERAL";"TAB3",#N/A,TRUE,"GENERAL";"TAB4",#N/A,TRUE,"GENERAL";"TAB5",#N/A,TRUE,"GENERAL"}</definedName>
    <definedName name="mmmh" localSheetId="1" hidden="1">{"via1",#N/A,TRUE,"general";"via2",#N/A,TRUE,"general";"via3",#N/A,TRUE,"general"}</definedName>
    <definedName name="mmmh" localSheetId="9" hidden="1">{"via1",#N/A,TRUE,"general";"via2",#N/A,TRUE,"general";"via3",#N/A,TRUE,"general"}</definedName>
    <definedName name="mmmh" localSheetId="16" hidden="1">{"via1",#N/A,TRUE,"general";"via2",#N/A,TRUE,"general";"via3",#N/A,TRUE,"general"}</definedName>
    <definedName name="mmmh" localSheetId="19" hidden="1">{"via1",#N/A,TRUE,"general";"via2",#N/A,TRUE,"general";"via3",#N/A,TRUE,"general"}</definedName>
    <definedName name="mmmh" hidden="1">{"via1",#N/A,TRUE,"general";"via2",#N/A,TRUE,"general";"via3",#N/A,TRUE,"general"}</definedName>
    <definedName name="mmmmmjyt" localSheetId="1" hidden="1">{"TAB1",#N/A,TRUE,"GENERAL";"TAB2",#N/A,TRUE,"GENERAL";"TAB3",#N/A,TRUE,"GENERAL";"TAB4",#N/A,TRUE,"GENERAL";"TAB5",#N/A,TRUE,"GENERAL"}</definedName>
    <definedName name="mmmmmjyt" localSheetId="9" hidden="1">{"TAB1",#N/A,TRUE,"GENERAL";"TAB2",#N/A,TRUE,"GENERAL";"TAB3",#N/A,TRUE,"GENERAL";"TAB4",#N/A,TRUE,"GENERAL";"TAB5",#N/A,TRUE,"GENERAL"}</definedName>
    <definedName name="mmmmmjyt" localSheetId="16" hidden="1">{"TAB1",#N/A,TRUE,"GENERAL";"TAB2",#N/A,TRUE,"GENERAL";"TAB3",#N/A,TRUE,"GENERAL";"TAB4",#N/A,TRUE,"GENERAL";"TAB5",#N/A,TRUE,"GENERAL"}</definedName>
    <definedName name="mmmmmjyt" localSheetId="19" hidden="1">{"TAB1",#N/A,TRUE,"GENERAL";"TAB2",#N/A,TRUE,"GENERAL";"TAB3",#N/A,TRUE,"GENERAL";"TAB4",#N/A,TRUE,"GENERAL";"TAB5",#N/A,TRUE,"GENERAL"}</definedName>
    <definedName name="mmmmmjyt" hidden="1">{"TAB1",#N/A,TRUE,"GENERAL";"TAB2",#N/A,TRUE,"GENERAL";"TAB3",#N/A,TRUE,"GENERAL";"TAB4",#N/A,TRUE,"GENERAL";"TAB5",#N/A,TRUE,"GENERAL"}</definedName>
    <definedName name="mmmmmmg" localSheetId="1" hidden="1">{"via1",#N/A,TRUE,"general";"via2",#N/A,TRUE,"general";"via3",#N/A,TRUE,"general"}</definedName>
    <definedName name="mmmmmmg" localSheetId="9" hidden="1">{"via1",#N/A,TRUE,"general";"via2",#N/A,TRUE,"general";"via3",#N/A,TRUE,"general"}</definedName>
    <definedName name="mmmmmmg" localSheetId="16" hidden="1">{"via1",#N/A,TRUE,"general";"via2",#N/A,TRUE,"general";"via3",#N/A,TRUE,"general"}</definedName>
    <definedName name="mmmmmmg" localSheetId="19" hidden="1">{"via1",#N/A,TRUE,"general";"via2",#N/A,TRUE,"general";"via3",#N/A,TRUE,"general"}</definedName>
    <definedName name="mmmmmmg" hidden="1">{"via1",#N/A,TRUE,"general";"via2",#N/A,TRUE,"general";"via3",#N/A,TRUE,"general"}</definedName>
    <definedName name="MN" localSheetId="1" hidden="1">{"via1",#N/A,TRUE,"general";"via2",#N/A,TRUE,"general";"via3",#N/A,TRUE,"general"}</definedName>
    <definedName name="MN" localSheetId="9" hidden="1">{"via1",#N/A,TRUE,"general";"via2",#N/A,TRUE,"general";"via3",#N/A,TRUE,"general"}</definedName>
    <definedName name="MN" localSheetId="16" hidden="1">{"via1",#N/A,TRUE,"general";"via2",#N/A,TRUE,"general";"via3",#N/A,TRUE,"general"}</definedName>
    <definedName name="MN" localSheetId="19" hidden="1">{"via1",#N/A,TRUE,"general";"via2",#N/A,TRUE,"general";"via3",#N/A,TRUE,"general"}</definedName>
    <definedName name="MN" hidden="1">{"via1",#N/A,TRUE,"general";"via2",#N/A,TRUE,"general";"via3",#N/A,TRUE,"general"}</definedName>
    <definedName name="MOBILIARIO_SEG_ELECTRON_ITEM" localSheetId="1">[31]Presupuesto!#REF!</definedName>
    <definedName name="MOBILIARIO_SEG_ELECTRON_ITEM" localSheetId="16">[31]Presupuesto!#REF!</definedName>
    <definedName name="MOBILIARIO_SEG_ELECTRON_ITEM">[31]Presupuesto!#REF!</definedName>
    <definedName name="MOBILIARIOOFIC_ITEM" localSheetId="1">[31]Presupuesto!#REF!</definedName>
    <definedName name="MOBILIARIOOFIC_ITEM" localSheetId="16">[31]Presupuesto!#REF!</definedName>
    <definedName name="MOBILIARIOOFIC_ITEM">[31]Presupuesto!#REF!</definedName>
    <definedName name="mobra">'[27]precios-básicos2002'!$C$131:$E$140</definedName>
    <definedName name="mortero" localSheetId="1">[1]!ERR</definedName>
    <definedName name="mortero" localSheetId="16">[1]!ERR</definedName>
    <definedName name="mortero" localSheetId="19">[1]!ERR</definedName>
    <definedName name="mortero">[1]!ERR</definedName>
    <definedName name="Mortero_1_10" localSheetId="1">'[20]APUS BASIC'!$G$296</definedName>
    <definedName name="Mortero_1_10" localSheetId="16">'[20]APUS BASIC'!$G$296</definedName>
    <definedName name="Mortero_1_10">'[20]APUS BASIC'!$G$296</definedName>
    <definedName name="Mortero_1_5" localSheetId="1">'[20]APUS BASIC'!$G$208</definedName>
    <definedName name="Mortero_1_5" localSheetId="16">'[20]APUS BASIC'!$G$208</definedName>
    <definedName name="Mortero_1_5">'[20]APUS BASIC'!$G$208</definedName>
    <definedName name="Mortero_1_6" localSheetId="1">'[20]APUS BASIC'!$G$252</definedName>
    <definedName name="Mortero_1_6" localSheetId="16">'[20]APUS BASIC'!$G$252</definedName>
    <definedName name="Mortero_1_6">'[20]APUS BASIC'!$G$252</definedName>
    <definedName name="MOV_TIERRA_ITEM" localSheetId="1">[31]Presupuesto!#REF!</definedName>
    <definedName name="MOV_TIERRA_ITEM" localSheetId="16">[31]Presupuesto!#REF!</definedName>
    <definedName name="MOV_TIERRA_ITEM">[31]Presupuesto!#REF!</definedName>
    <definedName name="MOVIMIENTOS_DE_TIERRA" localSheetId="1">[7]PRESUPUESTO!#REF!</definedName>
    <definedName name="MOVIMIENTOS_DE_TIERRA" localSheetId="16">[7]PRESUPUESTO!#REF!</definedName>
    <definedName name="MOVIMIENTOS_DE_TIERRA">[7]PRESUPUESTO!#REF!</definedName>
    <definedName name="MProfesional" localSheetId="1">'[40]DATOS OBRA'!$B$44</definedName>
    <definedName name="MProfesional" localSheetId="16">'[40]DATOS OBRA'!$B$44</definedName>
    <definedName name="MProfesional">'[40]DATOS OBRA'!$B$44</definedName>
    <definedName name="mr" localSheetId="16">#REF!</definedName>
    <definedName name="mr" localSheetId="3">#REF!</definedName>
    <definedName name="mr">#REF!</definedName>
    <definedName name="MUEBLES_BAÑOS_ITEM" localSheetId="1">[31]Presupuesto!#REF!</definedName>
    <definedName name="MUEBLES_BAÑOS_ITEM" localSheetId="16">[31]Presupuesto!#REF!</definedName>
    <definedName name="MUEBLES_BAÑOS_ITEM">[31]Presupuesto!#REF!</definedName>
    <definedName name="MUEBLES_COC_ITEM" localSheetId="1">[31]Presupuesto!#REF!</definedName>
    <definedName name="MUEBLES_COC_ITEM" localSheetId="16">[31]Presupuesto!#REF!</definedName>
    <definedName name="MUEBLES_COC_ITEM">[31]Presupuesto!#REF!</definedName>
    <definedName name="MUEBLES_COC_VALOR" localSheetId="1">[31]Presupuesto!#REF!</definedName>
    <definedName name="MUEBLES_COC_VALOR" localSheetId="16">[31]Presupuesto!#REF!</definedName>
    <definedName name="MUEBLES_COC_VALOR">[31]Presupuesto!#REF!</definedName>
    <definedName name="MUEBLES_MADERA_FIJ_ITEM" localSheetId="1">[31]Presupuesto!#REF!</definedName>
    <definedName name="MUEBLES_MADERA_FIJ_ITEM" localSheetId="16">[31]Presupuesto!#REF!</definedName>
    <definedName name="MUEBLES_MADERA_FIJ_ITEM">[31]Presupuesto!#REF!</definedName>
    <definedName name="MUEBLES_Y_CARPINTERIA" localSheetId="1">[7]PRESUPUESTO!#REF!</definedName>
    <definedName name="MUEBLES_Y_CARPINTERIA" localSheetId="16">[7]PRESUPUESTO!#REF!</definedName>
    <definedName name="MUEBLES_Y_CARPINTERIA">[7]PRESUPUESTO!#REF!</definedName>
    <definedName name="MUROS" localSheetId="1">[7]PRESUPUESTO!#REF!</definedName>
    <definedName name="MUROS" localSheetId="16">[7]PRESUPUESTO!#REF!</definedName>
    <definedName name="MUROS">[7]PRESUPUESTO!#REF!</definedName>
    <definedName name="MUROS_BLOQ_PLOMO_ITEM" localSheetId="1">[31]Presupuesto!#REF!</definedName>
    <definedName name="MUROS_BLOQ_PLOMO_ITEM" localSheetId="16">[31]Presupuesto!#REF!</definedName>
    <definedName name="MUROS_BLOQ_PLOMO_ITEM">[31]Presupuesto!#REF!</definedName>
    <definedName name="MUROS_BLOQ_PLOMO_VALOR" localSheetId="1">[31]Presupuesto!$G$62:$G$66</definedName>
    <definedName name="MUROS_BLOQ_PLOMO_VALOR" localSheetId="16">[31]Presupuesto!$G$62:$G$66</definedName>
    <definedName name="MUROS_BLOQ_PLOMO_VALOR">[31]Presupuesto!$G$62:$G$66</definedName>
    <definedName name="MYC_DRYWALLITEM" localSheetId="1">[31]Presupuesto!#REF!,[31]Presupuesto!#REF!,[31]Presupuesto!#REF!</definedName>
    <definedName name="MYC_DRYWALLITEM" localSheetId="16">[31]Presupuesto!#REF!,[31]Presupuesto!#REF!,[31]Presupuesto!#REF!</definedName>
    <definedName name="MYC_DRYWALLITEM">[31]Presupuesto!#REF!,[31]Presupuesto!#REF!,[31]Presupuesto!#REF!</definedName>
    <definedName name="MYCIELOS_DRYWALLVALOR" localSheetId="1">[31]Presupuesto!#REF!</definedName>
    <definedName name="MYCIELOS_DRYWALLVALOR" localSheetId="16">[31]Presupuesto!#REF!</definedName>
    <definedName name="MYCIELOS_DRYWALLVALOR">[31]Presupuesto!#REF!</definedName>
    <definedName name="MYPUERTAS_MAD_ITEM" localSheetId="1">[31]Presupuesto!#REF!</definedName>
    <definedName name="MYPUERTAS_MAD_ITEM" localSheetId="16">[31]Presupuesto!#REF!</definedName>
    <definedName name="MYPUERTAS_MAD_ITEM">[31]Presupuesto!#REF!</definedName>
    <definedName name="MYPUERTAS_MET_ITEM" localSheetId="1">[31]Presupuesto!#REF!</definedName>
    <definedName name="MYPUERTAS_MET_ITEM" localSheetId="16">[31]Presupuesto!#REF!</definedName>
    <definedName name="MYPUERTAS_MET_ITEM">[31]Presupuesto!#REF!</definedName>
    <definedName name="n" localSheetId="1" hidden="1">{"via1",#N/A,TRUE,"general";"via2",#N/A,TRUE,"general";"via3",#N/A,TRUE,"general"}</definedName>
    <definedName name="n" localSheetId="9" hidden="1">{"via1",#N/A,TRUE,"general";"via2",#N/A,TRUE,"general";"via3",#N/A,TRUE,"general"}</definedName>
    <definedName name="n" localSheetId="16" hidden="1">{"via1",#N/A,TRUE,"general";"via2",#N/A,TRUE,"general";"via3",#N/A,TRUE,"general"}</definedName>
    <definedName name="n" localSheetId="19" hidden="1">{"via1",#N/A,TRUE,"general";"via2",#N/A,TRUE,"general";"via3",#N/A,TRUE,"general"}</definedName>
    <definedName name="n" hidden="1">{"via1",#N/A,TRUE,"general";"via2",#N/A,TRUE,"general";"via3",#N/A,TRUE,"general"}</definedName>
    <definedName name="N_metal">[13]D_AWG!$C$25</definedName>
    <definedName name="nb" localSheetId="16">#REF!</definedName>
    <definedName name="nb" localSheetId="3">#REF!</definedName>
    <definedName name="nb">#REF!</definedName>
    <definedName name="nbv" localSheetId="16">#REF!</definedName>
    <definedName name="nbv">#REF!</definedName>
    <definedName name="nbvnv" localSheetId="1" hidden="1">{"via1",#N/A,TRUE,"general";"via2",#N/A,TRUE,"general";"via3",#N/A,TRUE,"general"}</definedName>
    <definedName name="nbvnv" localSheetId="9" hidden="1">{"via1",#N/A,TRUE,"general";"via2",#N/A,TRUE,"general";"via3",#N/A,TRUE,"general"}</definedName>
    <definedName name="nbvnv" localSheetId="16" hidden="1">{"via1",#N/A,TRUE,"general";"via2",#N/A,TRUE,"general";"via3",#N/A,TRUE,"general"}</definedName>
    <definedName name="nbvnv" localSheetId="19" hidden="1">{"via1",#N/A,TRUE,"general";"via2",#N/A,TRUE,"general";"via3",#N/A,TRUE,"general"}</definedName>
    <definedName name="nbvnv" hidden="1">{"via1",#N/A,TRUE,"general";"via2",#N/A,TRUE,"general";"via3",#N/A,TRUE,"general"}</definedName>
    <definedName name="NDHS" localSheetId="1" hidden="1">{"TAB1",#N/A,TRUE,"GENERAL";"TAB2",#N/A,TRUE,"GENERAL";"TAB3",#N/A,TRUE,"GENERAL";"TAB4",#N/A,TRUE,"GENERAL";"TAB5",#N/A,TRUE,"GENERAL"}</definedName>
    <definedName name="NDHS" localSheetId="9" hidden="1">{"TAB1",#N/A,TRUE,"GENERAL";"TAB2",#N/A,TRUE,"GENERAL";"TAB3",#N/A,TRUE,"GENERAL";"TAB4",#N/A,TRUE,"GENERAL";"TAB5",#N/A,TRUE,"GENERAL"}</definedName>
    <definedName name="NDHS" localSheetId="16" hidden="1">{"TAB1",#N/A,TRUE,"GENERAL";"TAB2",#N/A,TRUE,"GENERAL";"TAB3",#N/A,TRUE,"GENERAL";"TAB4",#N/A,TRUE,"GENERAL";"TAB5",#N/A,TRUE,"GENERAL"}</definedName>
    <definedName name="NDHS" localSheetId="19" hidden="1">{"TAB1",#N/A,TRUE,"GENERAL";"TAB2",#N/A,TRUE,"GENERAL";"TAB3",#N/A,TRUE,"GENERAL";"TAB4",#N/A,TRUE,"GENERAL";"TAB5",#N/A,TRUE,"GENERAL"}</definedName>
    <definedName name="NDHS" hidden="1">{"TAB1",#N/A,TRUE,"GENERAL";"TAB2",#N/A,TRUE,"GENERAL";"TAB3",#N/A,TRUE,"GENERAL";"TAB4",#N/A,TRUE,"GENERAL";"TAB5",#N/A,TRUE,"GENERAL"}</definedName>
    <definedName name="nece.cab" localSheetId="3">#REF!</definedName>
    <definedName name="nece.cab">#REF!</definedName>
    <definedName name="nf" localSheetId="1" hidden="1">{"TAB1",#N/A,TRUE,"GENERAL";"TAB2",#N/A,TRUE,"GENERAL";"TAB3",#N/A,TRUE,"GENERAL";"TAB4",#N/A,TRUE,"GENERAL";"TAB5",#N/A,TRUE,"GENERAL"}</definedName>
    <definedName name="nf" localSheetId="9" hidden="1">{"TAB1",#N/A,TRUE,"GENERAL";"TAB2",#N/A,TRUE,"GENERAL";"TAB3",#N/A,TRUE,"GENERAL";"TAB4",#N/A,TRUE,"GENERAL";"TAB5",#N/A,TRUE,"GENERAL"}</definedName>
    <definedName name="nf" localSheetId="16" hidden="1">{"TAB1",#N/A,TRUE,"GENERAL";"TAB2",#N/A,TRUE,"GENERAL";"TAB3",#N/A,TRUE,"GENERAL";"TAB4",#N/A,TRUE,"GENERAL";"TAB5",#N/A,TRUE,"GENERAL"}</definedName>
    <definedName name="nf" localSheetId="19" hidden="1">{"TAB1",#N/A,TRUE,"GENERAL";"TAB2",#N/A,TRUE,"GENERAL";"TAB3",#N/A,TRUE,"GENERAL";"TAB4",#N/A,TRUE,"GENERAL";"TAB5",#N/A,TRUE,"GENERAL"}</definedName>
    <definedName name="nf" hidden="1">{"TAB1",#N/A,TRUE,"GENERAL";"TAB2",#N/A,TRUE,"GENERAL";"TAB3",#N/A,TRUE,"GENERAL";"TAB4",#N/A,TRUE,"GENERAL";"TAB5",#N/A,TRUE,"GENERAL"}</definedName>
    <definedName name="nfg" localSheetId="1" hidden="1">{"via1",#N/A,TRUE,"general";"via2",#N/A,TRUE,"general";"via3",#N/A,TRUE,"general"}</definedName>
    <definedName name="nfg" localSheetId="9" hidden="1">{"via1",#N/A,TRUE,"general";"via2",#N/A,TRUE,"general";"via3",#N/A,TRUE,"general"}</definedName>
    <definedName name="nfg" localSheetId="16" hidden="1">{"via1",#N/A,TRUE,"general";"via2",#N/A,TRUE,"general";"via3",#N/A,TRUE,"general"}</definedName>
    <definedName name="nfg" localSheetId="19" hidden="1">{"via1",#N/A,TRUE,"general";"via2",#N/A,TRUE,"general";"via3",#N/A,TRUE,"general"}</definedName>
    <definedName name="nfg" hidden="1">{"via1",#N/A,TRUE,"general";"via2",#N/A,TRUE,"general";"via3",#N/A,TRUE,"general"}</definedName>
    <definedName name="nfgn" localSheetId="1" hidden="1">{"via1",#N/A,TRUE,"general";"via2",#N/A,TRUE,"general";"via3",#N/A,TRUE,"general"}</definedName>
    <definedName name="nfgn" localSheetId="9" hidden="1">{"via1",#N/A,TRUE,"general";"via2",#N/A,TRUE,"general";"via3",#N/A,TRUE,"general"}</definedName>
    <definedName name="nfgn" localSheetId="16" hidden="1">{"via1",#N/A,TRUE,"general";"via2",#N/A,TRUE,"general";"via3",#N/A,TRUE,"general"}</definedName>
    <definedName name="nfgn" localSheetId="19" hidden="1">{"via1",#N/A,TRUE,"general";"via2",#N/A,TRUE,"general";"via3",#N/A,TRUE,"general"}</definedName>
    <definedName name="nfgn" hidden="1">{"via1",#N/A,TRUE,"general";"via2",#N/A,TRUE,"general";"via3",#N/A,TRUE,"general"}</definedName>
    <definedName name="ngdn" localSheetId="1" hidden="1">{"TAB1",#N/A,TRUE,"GENERAL";"TAB2",#N/A,TRUE,"GENERAL";"TAB3",#N/A,TRUE,"GENERAL";"TAB4",#N/A,TRUE,"GENERAL";"TAB5",#N/A,TRUE,"GENERAL"}</definedName>
    <definedName name="ngdn" localSheetId="9" hidden="1">{"TAB1",#N/A,TRUE,"GENERAL";"TAB2",#N/A,TRUE,"GENERAL";"TAB3",#N/A,TRUE,"GENERAL";"TAB4",#N/A,TRUE,"GENERAL";"TAB5",#N/A,TRUE,"GENERAL"}</definedName>
    <definedName name="ngdn" localSheetId="16" hidden="1">{"TAB1",#N/A,TRUE,"GENERAL";"TAB2",#N/A,TRUE,"GENERAL";"TAB3",#N/A,TRUE,"GENERAL";"TAB4",#N/A,TRUE,"GENERAL";"TAB5",#N/A,TRUE,"GENERAL"}</definedName>
    <definedName name="ngdn" localSheetId="19" hidden="1">{"TAB1",#N/A,TRUE,"GENERAL";"TAB2",#N/A,TRUE,"GENERAL";"TAB3",#N/A,TRUE,"GENERAL";"TAB4",#N/A,TRUE,"GENERAL";"TAB5",#N/A,TRUE,"GENERAL"}</definedName>
    <definedName name="ngdn" hidden="1">{"TAB1",#N/A,TRUE,"GENERAL";"TAB2",#N/A,TRUE,"GENERAL";"TAB3",#N/A,TRUE,"GENERAL";"TAB4",#N/A,TRUE,"GENERAL";"TAB5",#N/A,TRUE,"GENERAL"}</definedName>
    <definedName name="ngfh" localSheetId="1" hidden="1">{"via1",#N/A,TRUE,"general";"via2",#N/A,TRUE,"general";"via3",#N/A,TRUE,"general"}</definedName>
    <definedName name="ngfh" localSheetId="9" hidden="1">{"via1",#N/A,TRUE,"general";"via2",#N/A,TRUE,"general";"via3",#N/A,TRUE,"general"}</definedName>
    <definedName name="ngfh" localSheetId="16" hidden="1">{"via1",#N/A,TRUE,"general";"via2",#N/A,TRUE,"general";"via3",#N/A,TRUE,"general"}</definedName>
    <definedName name="ngfh" localSheetId="19" hidden="1">{"via1",#N/A,TRUE,"general";"via2",#N/A,TRUE,"general";"via3",#N/A,TRUE,"general"}</definedName>
    <definedName name="ngfh" hidden="1">{"via1",#N/A,TRUE,"general";"via2",#N/A,TRUE,"general";"via3",#N/A,TRUE,"general"}</definedName>
    <definedName name="NHG" localSheetId="3">#REF!</definedName>
    <definedName name="NHG">#REF!</definedName>
    <definedName name="nhn" localSheetId="1" hidden="1">{"via1",#N/A,TRUE,"general";"via2",#N/A,TRUE,"general";"via3",#N/A,TRUE,"general"}</definedName>
    <definedName name="nhn" localSheetId="9" hidden="1">{"via1",#N/A,TRUE,"general";"via2",#N/A,TRUE,"general";"via3",#N/A,TRUE,"general"}</definedName>
    <definedName name="nhn" localSheetId="16" hidden="1">{"via1",#N/A,TRUE,"general";"via2",#N/A,TRUE,"general";"via3",#N/A,TRUE,"general"}</definedName>
    <definedName name="nhn" localSheetId="19" hidden="1">{"via1",#N/A,TRUE,"general";"via2",#N/A,TRUE,"general";"via3",#N/A,TRUE,"general"}</definedName>
    <definedName name="nhn" hidden="1">{"via1",#N/A,TRUE,"general";"via2",#N/A,TRUE,"general";"via3",#N/A,TRUE,"general"}</definedName>
    <definedName name="nhncfgn" localSheetId="1" hidden="1">{"TAB1",#N/A,TRUE,"GENERAL";"TAB2",#N/A,TRUE,"GENERAL";"TAB3",#N/A,TRUE,"GENERAL";"TAB4",#N/A,TRUE,"GENERAL";"TAB5",#N/A,TRUE,"GENERAL"}</definedName>
    <definedName name="nhncfgn" localSheetId="9" hidden="1">{"TAB1",#N/A,TRUE,"GENERAL";"TAB2",#N/A,TRUE,"GENERAL";"TAB3",#N/A,TRUE,"GENERAL";"TAB4",#N/A,TRUE,"GENERAL";"TAB5",#N/A,TRUE,"GENERAL"}</definedName>
    <definedName name="nhncfgn" localSheetId="16" hidden="1">{"TAB1",#N/A,TRUE,"GENERAL";"TAB2",#N/A,TRUE,"GENERAL";"TAB3",#N/A,TRUE,"GENERAL";"TAB4",#N/A,TRUE,"GENERAL";"TAB5",#N/A,TRUE,"GENERAL"}</definedName>
    <definedName name="nhncfgn" localSheetId="19" hidden="1">{"TAB1",#N/A,TRUE,"GENERAL";"TAB2",#N/A,TRUE,"GENERAL";"TAB3",#N/A,TRUE,"GENERAL";"TAB4",#N/A,TRUE,"GENERAL";"TAB5",#N/A,TRUE,"GENERAL"}</definedName>
    <definedName name="nhncfgn" hidden="1">{"TAB1",#N/A,TRUE,"GENERAL";"TAB2",#N/A,TRUE,"GENERAL";"TAB3",#N/A,TRUE,"GENERAL";"TAB4",#N/A,TRUE,"GENERAL";"TAB5",#N/A,TRUE,"GENERAL"}</definedName>
    <definedName name="nhndr" localSheetId="1" hidden="1">{"via1",#N/A,TRUE,"general";"via2",#N/A,TRUE,"general";"via3",#N/A,TRUE,"general"}</definedName>
    <definedName name="nhndr" localSheetId="9" hidden="1">{"via1",#N/A,TRUE,"general";"via2",#N/A,TRUE,"general";"via3",#N/A,TRUE,"general"}</definedName>
    <definedName name="nhndr" localSheetId="16" hidden="1">{"via1",#N/A,TRUE,"general";"via2",#N/A,TRUE,"general";"via3",#N/A,TRUE,"general"}</definedName>
    <definedName name="nhndr" localSheetId="19" hidden="1">{"via1",#N/A,TRUE,"general";"via2",#N/A,TRUE,"general";"via3",#N/A,TRUE,"general"}</definedName>
    <definedName name="nhndr" hidden="1">{"via1",#N/A,TRUE,"general";"via2",#N/A,TRUE,"general";"via3",#N/A,TRUE,"general"}</definedName>
    <definedName name="Niqui">#REF!</definedName>
    <definedName name="NJH" localSheetId="3">#REF!</definedName>
    <definedName name="NJH">#REF!</definedName>
    <definedName name="nm" localSheetId="3">#REF!</definedName>
    <definedName name="nm">#REF!</definedName>
    <definedName name="nmmmm" localSheetId="1" hidden="1">{"via1",#N/A,TRUE,"general";"via2",#N/A,TRUE,"general";"via3",#N/A,TRUE,"general"}</definedName>
    <definedName name="nmmmm" localSheetId="9" hidden="1">{"via1",#N/A,TRUE,"general";"via2",#N/A,TRUE,"general";"via3",#N/A,TRUE,"general"}</definedName>
    <definedName name="nmmmm" localSheetId="16" hidden="1">{"via1",#N/A,TRUE,"general";"via2",#N/A,TRUE,"general";"via3",#N/A,TRUE,"general"}</definedName>
    <definedName name="nmmmm" localSheetId="19" hidden="1">{"via1",#N/A,TRUE,"general";"via2",#N/A,TRUE,"general";"via3",#N/A,TRUE,"general"}</definedName>
    <definedName name="nmmmm" hidden="1">{"via1",#N/A,TRUE,"general";"via2",#N/A,TRUE,"general";"via3",#N/A,TRUE,"general"}</definedName>
    <definedName name="NN" localSheetId="1" hidden="1">{"TAB1",#N/A,TRUE,"GENERAL";"TAB2",#N/A,TRUE,"GENERAL";"TAB3",#N/A,TRUE,"GENERAL";"TAB4",#N/A,TRUE,"GENERAL";"TAB5",#N/A,TRUE,"GENERAL"}</definedName>
    <definedName name="NN" localSheetId="9" hidden="1">{"TAB1",#N/A,TRUE,"GENERAL";"TAB2",#N/A,TRUE,"GENERAL";"TAB3",#N/A,TRUE,"GENERAL";"TAB4",#N/A,TRUE,"GENERAL";"TAB5",#N/A,TRUE,"GENERAL"}</definedName>
    <definedName name="NN" localSheetId="16" hidden="1">{"TAB1",#N/A,TRUE,"GENERAL";"TAB2",#N/A,TRUE,"GENERAL";"TAB3",#N/A,TRUE,"GENERAL";"TAB4",#N/A,TRUE,"GENERAL";"TAB5",#N/A,TRUE,"GENERAL"}</definedName>
    <definedName name="NN" localSheetId="19" hidden="1">{"TAB1",#N/A,TRUE,"GENERAL";"TAB2",#N/A,TRUE,"GENERAL";"TAB3",#N/A,TRUE,"GENERAL";"TAB4",#N/A,TRUE,"GENERAL";"TAB5",#N/A,TRUE,"GENERAL"}</definedName>
    <definedName name="NN" hidden="1">{"TAB1",#N/A,TRUE,"GENERAL";"TAB2",#N/A,TRUE,"GENERAL";"TAB3",#N/A,TRUE,"GENERAL";"TAB4",#N/A,TRUE,"GENERAL";"TAB5",#N/A,TRUE,"GENERAL"}</definedName>
    <definedName name="nndng" localSheetId="1" hidden="1">{"TAB1",#N/A,TRUE,"GENERAL";"TAB2",#N/A,TRUE,"GENERAL";"TAB3",#N/A,TRUE,"GENERAL";"TAB4",#N/A,TRUE,"GENERAL";"TAB5",#N/A,TRUE,"GENERAL"}</definedName>
    <definedName name="nndng" localSheetId="9" hidden="1">{"TAB1",#N/A,TRUE,"GENERAL";"TAB2",#N/A,TRUE,"GENERAL";"TAB3",#N/A,TRUE,"GENERAL";"TAB4",#N/A,TRUE,"GENERAL";"TAB5",#N/A,TRUE,"GENERAL"}</definedName>
    <definedName name="nndng" localSheetId="16" hidden="1">{"TAB1",#N/A,TRUE,"GENERAL";"TAB2",#N/A,TRUE,"GENERAL";"TAB3",#N/A,TRUE,"GENERAL";"TAB4",#N/A,TRUE,"GENERAL";"TAB5",#N/A,TRUE,"GENERAL"}</definedName>
    <definedName name="nndng" localSheetId="19" hidden="1">{"TAB1",#N/A,TRUE,"GENERAL";"TAB2",#N/A,TRUE,"GENERAL";"TAB3",#N/A,TRUE,"GENERAL";"TAB4",#N/A,TRUE,"GENERAL";"TAB5",#N/A,TRUE,"GENERAL"}</definedName>
    <definedName name="nndng" hidden="1">{"TAB1",#N/A,TRUE,"GENERAL";"TAB2",#N/A,TRUE,"GENERAL";"TAB3",#N/A,TRUE,"GENERAL";"TAB4",#N/A,TRUE,"GENERAL";"TAB5",#N/A,TRUE,"GENERAL"}</definedName>
    <definedName name="nnn" localSheetId="1" hidden="1">{"TAB1",#N/A,TRUE,"GENERAL";"TAB2",#N/A,TRUE,"GENERAL";"TAB3",#N/A,TRUE,"GENERAL";"TAB4",#N/A,TRUE,"GENERAL";"TAB5",#N/A,TRUE,"GENERAL"}</definedName>
    <definedName name="nnn" localSheetId="9" hidden="1">{"TAB1",#N/A,TRUE,"GENERAL";"TAB2",#N/A,TRUE,"GENERAL";"TAB3",#N/A,TRUE,"GENERAL";"TAB4",#N/A,TRUE,"GENERAL";"TAB5",#N/A,TRUE,"GENERAL"}</definedName>
    <definedName name="nnn" localSheetId="16" hidden="1">{"TAB1",#N/A,TRUE,"GENERAL";"TAB2",#N/A,TRUE,"GENERAL";"TAB3",#N/A,TRUE,"GENERAL";"TAB4",#N/A,TRUE,"GENERAL";"TAB5",#N/A,TRUE,"GENERAL"}</definedName>
    <definedName name="nnn" localSheetId="19" hidden="1">{"TAB1",#N/A,TRUE,"GENERAL";"TAB2",#N/A,TRUE,"GENERAL";"TAB3",#N/A,TRUE,"GENERAL";"TAB4",#N/A,TRUE,"GENERAL";"TAB5",#N/A,TRUE,"GENERAL"}</definedName>
    <definedName name="nnn" hidden="1">{"TAB1",#N/A,TRUE,"GENERAL";"TAB2",#N/A,TRUE,"GENERAL";"TAB3",#N/A,TRUE,"GENERAL";"TAB4",#N/A,TRUE,"GENERAL";"TAB5",#N/A,TRUE,"GENERAL"}</definedName>
    <definedName name="nnnhd" localSheetId="1" hidden="1">{"via1",#N/A,TRUE,"general";"via2",#N/A,TRUE,"general";"via3",#N/A,TRUE,"general"}</definedName>
    <definedName name="nnnhd" localSheetId="9" hidden="1">{"via1",#N/A,TRUE,"general";"via2",#N/A,TRUE,"general";"via3",#N/A,TRUE,"general"}</definedName>
    <definedName name="nnnhd" localSheetId="16" hidden="1">{"via1",#N/A,TRUE,"general";"via2",#N/A,TRUE,"general";"via3",#N/A,TRUE,"general"}</definedName>
    <definedName name="nnnhd" localSheetId="19" hidden="1">{"via1",#N/A,TRUE,"general";"via2",#N/A,TRUE,"general";"via3",#N/A,TRUE,"general"}</definedName>
    <definedName name="nnnhd" hidden="1">{"via1",#N/A,TRUE,"general";"via2",#N/A,TRUE,"general";"via3",#N/A,TRUE,"general"}</definedName>
    <definedName name="nnnnn" localSheetId="1" hidden="1">{"via1",#N/A,TRUE,"general";"via2",#N/A,TRUE,"general";"via3",#N/A,TRUE,"general"}</definedName>
    <definedName name="nnnnn" localSheetId="9" hidden="1">{"via1",#N/A,TRUE,"general";"via2",#N/A,TRUE,"general";"via3",#N/A,TRUE,"general"}</definedName>
    <definedName name="nnnnn" localSheetId="16" hidden="1">{"via1",#N/A,TRUE,"general";"via2",#N/A,TRUE,"general";"via3",#N/A,TRUE,"general"}</definedName>
    <definedName name="nnnnn" localSheetId="19" hidden="1">{"via1",#N/A,TRUE,"general";"via2",#N/A,TRUE,"general";"via3",#N/A,TRUE,"general"}</definedName>
    <definedName name="nnnnn" hidden="1">{"via1",#N/A,TRUE,"general";"via2",#N/A,TRUE,"general";"via3",#N/A,TRUE,"general"}</definedName>
    <definedName name="nnnnnd" localSheetId="1" hidden="1">{"TAB1",#N/A,TRUE,"GENERAL";"TAB2",#N/A,TRUE,"GENERAL";"TAB3",#N/A,TRUE,"GENERAL";"TAB4",#N/A,TRUE,"GENERAL";"TAB5",#N/A,TRUE,"GENERAL"}</definedName>
    <definedName name="nnnnnd" localSheetId="9" hidden="1">{"TAB1",#N/A,TRUE,"GENERAL";"TAB2",#N/A,TRUE,"GENERAL";"TAB3",#N/A,TRUE,"GENERAL";"TAB4",#N/A,TRUE,"GENERAL";"TAB5",#N/A,TRUE,"GENERAL"}</definedName>
    <definedName name="nnnnnd" localSheetId="16" hidden="1">{"TAB1",#N/A,TRUE,"GENERAL";"TAB2",#N/A,TRUE,"GENERAL";"TAB3",#N/A,TRUE,"GENERAL";"TAB4",#N/A,TRUE,"GENERAL";"TAB5",#N/A,TRUE,"GENERAL"}</definedName>
    <definedName name="nnnnnd" localSheetId="19" hidden="1">{"TAB1",#N/A,TRUE,"GENERAL";"TAB2",#N/A,TRUE,"GENERAL";"TAB3",#N/A,TRUE,"GENERAL";"TAB4",#N/A,TRUE,"GENERAL";"TAB5",#N/A,TRUE,"GENERAL"}</definedName>
    <definedName name="nnnnnd" hidden="1">{"TAB1",#N/A,TRUE,"GENERAL";"TAB2",#N/A,TRUE,"GENERAL";"TAB3",#N/A,TRUE,"GENERAL";"TAB4",#N/A,TRUE,"GENERAL";"TAB5",#N/A,TRUE,"GENERAL"}</definedName>
    <definedName name="nnnnnf" localSheetId="1" hidden="1">{"TAB1",#N/A,TRUE,"GENERAL";"TAB2",#N/A,TRUE,"GENERAL";"TAB3",#N/A,TRUE,"GENERAL";"TAB4",#N/A,TRUE,"GENERAL";"TAB5",#N/A,TRUE,"GENERAL"}</definedName>
    <definedName name="nnnnnf" localSheetId="9" hidden="1">{"TAB1",#N/A,TRUE,"GENERAL";"TAB2",#N/A,TRUE,"GENERAL";"TAB3",#N/A,TRUE,"GENERAL";"TAB4",#N/A,TRUE,"GENERAL";"TAB5",#N/A,TRUE,"GENERAL"}</definedName>
    <definedName name="nnnnnf" localSheetId="16" hidden="1">{"TAB1",#N/A,TRUE,"GENERAL";"TAB2",#N/A,TRUE,"GENERAL";"TAB3",#N/A,TRUE,"GENERAL";"TAB4",#N/A,TRUE,"GENERAL";"TAB5",#N/A,TRUE,"GENERAL"}</definedName>
    <definedName name="nnnnnf" localSheetId="19" hidden="1">{"TAB1",#N/A,TRUE,"GENERAL";"TAB2",#N/A,TRUE,"GENERAL";"TAB3",#N/A,TRUE,"GENERAL";"TAB4",#N/A,TRUE,"GENERAL";"TAB5",#N/A,TRUE,"GENERAL"}</definedName>
    <definedName name="nnnnnf" hidden="1">{"TAB1",#N/A,TRUE,"GENERAL";"TAB2",#N/A,TRUE,"GENERAL";"TAB3",#N/A,TRUE,"GENERAL";"TAB4",#N/A,TRUE,"GENERAL";"TAB5",#N/A,TRUE,"GENERAL"}</definedName>
    <definedName name="nnnnnh" localSheetId="1" hidden="1">{"via1",#N/A,TRUE,"general";"via2",#N/A,TRUE,"general";"via3",#N/A,TRUE,"general"}</definedName>
    <definedName name="nnnnnh" localSheetId="9" hidden="1">{"via1",#N/A,TRUE,"general";"via2",#N/A,TRUE,"general";"via3",#N/A,TRUE,"general"}</definedName>
    <definedName name="nnnnnh" localSheetId="16" hidden="1">{"via1",#N/A,TRUE,"general";"via2",#N/A,TRUE,"general";"via3",#N/A,TRUE,"general"}</definedName>
    <definedName name="nnnnnh" localSheetId="19" hidden="1">{"via1",#N/A,TRUE,"general";"via2",#N/A,TRUE,"general";"via3",#N/A,TRUE,"general"}</definedName>
    <definedName name="nnnnnh" hidden="1">{"via1",#N/A,TRUE,"general";"via2",#N/A,TRUE,"general";"via3",#N/A,TRUE,"general"}</definedName>
    <definedName name="NO" localSheetId="1">[1]!ERR</definedName>
    <definedName name="NO" localSheetId="16">[1]!ERR</definedName>
    <definedName name="NO" localSheetId="3" hidden="1">{"PYGT",#N/A,FALSE,"PYG";"ACTIT",#N/A,FALSE,"BCE_GRAL-ACTIVO";"PASIT",#N/A,FALSE,"BCE_GRAL-PASIVO-PATRIM";"CAJAT",#N/A,FALSE,"CAJA"}</definedName>
    <definedName name="NO" localSheetId="19">[1]!ERR</definedName>
    <definedName name="NO">[1]!ERR</definedName>
    <definedName name="NOMBRE" localSheetId="1">#REF!</definedName>
    <definedName name="NOMBRE" localSheetId="16">#REF!</definedName>
    <definedName name="NOMBRE">#REF!</definedName>
    <definedName name="Norte" localSheetId="1">#REF!</definedName>
    <definedName name="Norte">#REF!</definedName>
    <definedName name="NovDic">'[65]Nov-Dic'!$A$12:$H$34</definedName>
    <definedName name="nr" localSheetId="16">#REF!</definedName>
    <definedName name="nr" localSheetId="3">#REF!</definedName>
    <definedName name="nr">#REF!</definedName>
    <definedName name="nt" localSheetId="16">#REF!</definedName>
    <definedName name="nt">#REF!</definedName>
    <definedName name="NUEVA" localSheetId="16">#REF!</definedName>
    <definedName name="NUEVA">#REF!</definedName>
    <definedName name="NUEVO">#REF!</definedName>
    <definedName name="Num_Pmt_Per_Year">#REF!</definedName>
    <definedName name="Number_of_Payments" localSheetId="1">MATCH(0.01,End_Bal,-1)+1</definedName>
    <definedName name="Number_of_Payments" localSheetId="9">MATCH(0.01,End_Bal,-1)+1</definedName>
    <definedName name="Number_of_Payments" localSheetId="16">MATCH(0.01,'Cap17 '!End_Bal,-1)+1</definedName>
    <definedName name="Number_of_Payments" localSheetId="3">MATCH(0.01,'FM '!End_Bal,-1)+1</definedName>
    <definedName name="Number_of_Payments" localSheetId="19">MATCH(0.01,End_Bal,-1)+1</definedName>
    <definedName name="Number_of_Payments">MATCH(0.01,End_Bal,-1)+1</definedName>
    <definedName name="nxn" localSheetId="1" hidden="1">{"via1",#N/A,TRUE,"general";"via2",#N/A,TRUE,"general";"via3",#N/A,TRUE,"general"}</definedName>
    <definedName name="nxn" localSheetId="9" hidden="1">{"via1",#N/A,TRUE,"general";"via2",#N/A,TRUE,"general";"via3",#N/A,TRUE,"general"}</definedName>
    <definedName name="nxn" localSheetId="16" hidden="1">{"via1",#N/A,TRUE,"general";"via2",#N/A,TRUE,"general";"via3",#N/A,TRUE,"general"}</definedName>
    <definedName name="nxn" localSheetId="19" hidden="1">{"via1",#N/A,TRUE,"general";"via2",#N/A,TRUE,"general";"via3",#N/A,TRUE,"general"}</definedName>
    <definedName name="nxn" hidden="1">{"via1",#N/A,TRUE,"general";"via2",#N/A,TRUE,"general";"via3",#N/A,TRUE,"general"}</definedName>
    <definedName name="ñl" localSheetId="3">#REF!</definedName>
    <definedName name="ñl">#REF!</definedName>
    <definedName name="ÑÑ" localSheetId="1">[1]!ERR</definedName>
    <definedName name="ÑÑ" localSheetId="16">[1]!ERR</definedName>
    <definedName name="ññ" localSheetId="3">#REF!</definedName>
    <definedName name="ÑÑ" localSheetId="19">[1]!ERR</definedName>
    <definedName name="ÑÑ">[1]!ERR</definedName>
    <definedName name="ÑÑÑ" localSheetId="1">#REF!</definedName>
    <definedName name="ÑÑÑ" localSheetId="16">#REF!</definedName>
    <definedName name="ÑÑÑ" localSheetId="3">#REF!</definedName>
    <definedName name="ÑÑÑ">#REF!</definedName>
    <definedName name="ñok" localSheetId="1">#REF!</definedName>
    <definedName name="ñok">#REF!</definedName>
    <definedName name="ñp">#REF!</definedName>
    <definedName name="ñpñpñ" localSheetId="1" hidden="1">{"via1",#N/A,TRUE,"general";"via2",#N/A,TRUE,"general";"via3",#N/A,TRUE,"general"}</definedName>
    <definedName name="ñpñpñ" localSheetId="9" hidden="1">{"via1",#N/A,TRUE,"general";"via2",#N/A,TRUE,"general";"via3",#N/A,TRUE,"general"}</definedName>
    <definedName name="ñpñpñ" localSheetId="16" hidden="1">{"via1",#N/A,TRUE,"general";"via2",#N/A,TRUE,"general";"via3",#N/A,TRUE,"general"}</definedName>
    <definedName name="ñpñpñ" localSheetId="19" hidden="1">{"via1",#N/A,TRUE,"general";"via2",#N/A,TRUE,"general";"via3",#N/A,TRUE,"general"}</definedName>
    <definedName name="ñpñpñ" hidden="1">{"via1",#N/A,TRUE,"general";"via2",#N/A,TRUE,"general";"via3",#N/A,TRUE,"general"}</definedName>
    <definedName name="ñpo" localSheetId="3">#REF!</definedName>
    <definedName name="ñpo">#REF!</definedName>
    <definedName name="O" localSheetId="1">[7]BASE!#REF!</definedName>
    <definedName name="O" localSheetId="16">[7]BASE!#REF!</definedName>
    <definedName name="O">[7]BASE!#REF!</definedName>
    <definedName name="o9o9" localSheetId="1" hidden="1">{"via1",#N/A,TRUE,"general";"via2",#N/A,TRUE,"general";"via3",#N/A,TRUE,"general"}</definedName>
    <definedName name="o9o9" localSheetId="9" hidden="1">{"via1",#N/A,TRUE,"general";"via2",#N/A,TRUE,"general";"via3",#N/A,TRUE,"general"}</definedName>
    <definedName name="o9o9" localSheetId="16" hidden="1">{"via1",#N/A,TRUE,"general";"via2",#N/A,TRUE,"general";"via3",#N/A,TRUE,"general"}</definedName>
    <definedName name="o9o9" localSheetId="19" hidden="1">{"via1",#N/A,TRUE,"general";"via2",#N/A,TRUE,"general";"via3",#N/A,TRUE,"general"}</definedName>
    <definedName name="o9o9" hidden="1">{"via1",#N/A,TRUE,"general";"via2",#N/A,TRUE,"general";"via3",#N/A,TRUE,"general"}</definedName>
    <definedName name="Objeto">'[55]Datos básicos'!$B$4</definedName>
    <definedName name="OBRAS_VARIAS" localSheetId="1">[7]PRESUPUESTO!#REF!</definedName>
    <definedName name="OBRAS_VARIAS" localSheetId="16">[7]PRESUPUESTO!#REF!</definedName>
    <definedName name="OBRAS_VARIAS">[7]PRESUPUESTO!#REF!</definedName>
    <definedName name="OBRERO" localSheetId="1">'[40]M,Obra'!$C$12</definedName>
    <definedName name="OBRERO" localSheetId="16">'[40]M,Obra'!$C$12</definedName>
    <definedName name="OBRERO">'[40]M,Obra'!$C$12</definedName>
    <definedName name="OBSERV" localSheetId="16">#REF!</definedName>
    <definedName name="OBSERV" localSheetId="19">#REF!</definedName>
    <definedName name="OBSERV">#REF!</definedName>
    <definedName name="oera" hidden="1">{#N/A,#N/A,FALSE,"Aging Summary";#N/A,#N/A,FALSE,"Ratio Analysis";#N/A,#N/A,FALSE,"Test 120 Day Accts";#N/A,#N/A,FALSE,"Tickmarks"}</definedName>
    <definedName name="OFICI" localSheetId="1">[7]BASE!$D$8</definedName>
    <definedName name="OFICI" localSheetId="16">[7]BASE!$D$8</definedName>
    <definedName name="OFICI">[7]BASE!$D$8</definedName>
    <definedName name="OFICIAL" localSheetId="1">'[40]M,Obra'!$C$10</definedName>
    <definedName name="OFICIAL" localSheetId="16">'[40]M,Obra'!$C$10</definedName>
    <definedName name="OFICIAL">'[40]M,Obra'!$C$10</definedName>
    <definedName name="oiret" localSheetId="1" hidden="1">{"TAB1",#N/A,TRUE,"GENERAL";"TAB2",#N/A,TRUE,"GENERAL";"TAB3",#N/A,TRUE,"GENERAL";"TAB4",#N/A,TRUE,"GENERAL";"TAB5",#N/A,TRUE,"GENERAL"}</definedName>
    <definedName name="oiret" localSheetId="9" hidden="1">{"TAB1",#N/A,TRUE,"GENERAL";"TAB2",#N/A,TRUE,"GENERAL";"TAB3",#N/A,TRUE,"GENERAL";"TAB4",#N/A,TRUE,"GENERAL";"TAB5",#N/A,TRUE,"GENERAL"}</definedName>
    <definedName name="oiret" localSheetId="16" hidden="1">{"TAB1",#N/A,TRUE,"GENERAL";"TAB2",#N/A,TRUE,"GENERAL";"TAB3",#N/A,TRUE,"GENERAL";"TAB4",#N/A,TRUE,"GENERAL";"TAB5",#N/A,TRUE,"GENERAL"}</definedName>
    <definedName name="oiret" localSheetId="19" hidden="1">{"TAB1",#N/A,TRUE,"GENERAL";"TAB2",#N/A,TRUE,"GENERAL";"TAB3",#N/A,TRUE,"GENERAL";"TAB4",#N/A,TRUE,"GENERAL";"TAB5",#N/A,TRUE,"GENERAL"}</definedName>
    <definedName name="oiret" hidden="1">{"TAB1",#N/A,TRUE,"GENERAL";"TAB2",#N/A,TRUE,"GENERAL";"TAB3",#N/A,TRUE,"GENERAL";"TAB4",#N/A,TRUE,"GENERAL";"TAB5",#N/A,TRUE,"GENERAL"}</definedName>
    <definedName name="oirgrth" localSheetId="1" hidden="1">{"TAB1",#N/A,TRUE,"GENERAL";"TAB2",#N/A,TRUE,"GENERAL";"TAB3",#N/A,TRUE,"GENERAL";"TAB4",#N/A,TRUE,"GENERAL";"TAB5",#N/A,TRUE,"GENERAL"}</definedName>
    <definedName name="oirgrth" localSheetId="9" hidden="1">{"TAB1",#N/A,TRUE,"GENERAL";"TAB2",#N/A,TRUE,"GENERAL";"TAB3",#N/A,TRUE,"GENERAL";"TAB4",#N/A,TRUE,"GENERAL";"TAB5",#N/A,TRUE,"GENERAL"}</definedName>
    <definedName name="oirgrth" localSheetId="16" hidden="1">{"TAB1",#N/A,TRUE,"GENERAL";"TAB2",#N/A,TRUE,"GENERAL";"TAB3",#N/A,TRUE,"GENERAL";"TAB4",#N/A,TRUE,"GENERAL";"TAB5",#N/A,TRUE,"GENERAL"}</definedName>
    <definedName name="oirgrth" localSheetId="19" hidden="1">{"TAB1",#N/A,TRUE,"GENERAL";"TAB2",#N/A,TRUE,"GENERAL";"TAB3",#N/A,TRUE,"GENERAL";"TAB4",#N/A,TRUE,"GENERAL";"TAB5",#N/A,TRUE,"GENERAL"}</definedName>
    <definedName name="oirgrth" hidden="1">{"TAB1",#N/A,TRUE,"GENERAL";"TAB2",#N/A,TRUE,"GENERAL";"TAB3",#N/A,TRUE,"GENERAL";"TAB4",#N/A,TRUE,"GENERAL";"TAB5",#N/A,TRUE,"GENERAL"}</definedName>
    <definedName name="OIUOIU" localSheetId="1" hidden="1">{"via1",#N/A,TRUE,"general";"via2",#N/A,TRUE,"general";"via3",#N/A,TRUE,"general"}</definedName>
    <definedName name="OIUOIU" localSheetId="9" hidden="1">{"via1",#N/A,TRUE,"general";"via2",#N/A,TRUE,"general";"via3",#N/A,TRUE,"general"}</definedName>
    <definedName name="OIUOIU" localSheetId="16" hidden="1">{"via1",#N/A,TRUE,"general";"via2",#N/A,TRUE,"general";"via3",#N/A,TRUE,"general"}</definedName>
    <definedName name="OIUOIU" localSheetId="19" hidden="1">{"via1",#N/A,TRUE,"general";"via2",#N/A,TRUE,"general";"via3",#N/A,TRUE,"general"}</definedName>
    <definedName name="OIUOIU" hidden="1">{"via1",#N/A,TRUE,"general";"via2",#N/A,TRUE,"general";"via3",#N/A,TRUE,"general"}</definedName>
    <definedName name="OJO" hidden="1">#REF!</definedName>
    <definedName name="oo" localSheetId="3">#REF!</definedName>
    <definedName name="oo">#REF!</definedName>
    <definedName name="ooo" localSheetId="1" hidden="1">{"via1",#N/A,TRUE,"general";"via2",#N/A,TRUE,"general";"via3",#N/A,TRUE,"general"}</definedName>
    <definedName name="ooo" localSheetId="9" hidden="1">{"via1",#N/A,TRUE,"general";"via2",#N/A,TRUE,"general";"via3",#N/A,TRUE,"general"}</definedName>
    <definedName name="ooo" localSheetId="16" hidden="1">{"via1",#N/A,TRUE,"general";"via2",#N/A,TRUE,"general";"via3",#N/A,TRUE,"general"}</definedName>
    <definedName name="ooo" localSheetId="19" hidden="1">{"via1",#N/A,TRUE,"general";"via2",#N/A,TRUE,"general";"via3",#N/A,TRUE,"general"}</definedName>
    <definedName name="ooo" hidden="1">{"via1",#N/A,TRUE,"general";"via2",#N/A,TRUE,"general";"via3",#N/A,TRUE,"general"}</definedName>
    <definedName name="ooooiii" localSheetId="1" hidden="1">{"TAB1",#N/A,TRUE,"GENERAL";"TAB2",#N/A,TRUE,"GENERAL";"TAB3",#N/A,TRUE,"GENERAL";"TAB4",#N/A,TRUE,"GENERAL";"TAB5",#N/A,TRUE,"GENERAL"}</definedName>
    <definedName name="ooooiii" localSheetId="9" hidden="1">{"TAB1",#N/A,TRUE,"GENERAL";"TAB2",#N/A,TRUE,"GENERAL";"TAB3",#N/A,TRUE,"GENERAL";"TAB4",#N/A,TRUE,"GENERAL";"TAB5",#N/A,TRUE,"GENERAL"}</definedName>
    <definedName name="ooooiii" localSheetId="16" hidden="1">{"TAB1",#N/A,TRUE,"GENERAL";"TAB2",#N/A,TRUE,"GENERAL";"TAB3",#N/A,TRUE,"GENERAL";"TAB4",#N/A,TRUE,"GENERAL";"TAB5",#N/A,TRUE,"GENERAL"}</definedName>
    <definedName name="ooooiii" localSheetId="19" hidden="1">{"TAB1",#N/A,TRUE,"GENERAL";"TAB2",#N/A,TRUE,"GENERAL";"TAB3",#N/A,TRUE,"GENERAL";"TAB4",#N/A,TRUE,"GENERAL";"TAB5",#N/A,TRUE,"GENERAL"}</definedName>
    <definedName name="ooooiii" hidden="1">{"TAB1",#N/A,TRUE,"GENERAL";"TAB2",#N/A,TRUE,"GENERAL";"TAB3",#N/A,TRUE,"GENERAL";"TAB4",#N/A,TRUE,"GENERAL";"TAB5",#N/A,TRUE,"GENERAL"}</definedName>
    <definedName name="OOOOOOOOOOOOOOOOOOO" localSheetId="3">#REF!</definedName>
    <definedName name="OOOOOOOOOOOOOOOOOOO">#REF!</definedName>
    <definedName name="oooos" localSheetId="1" hidden="1">{"via1",#N/A,TRUE,"general";"via2",#N/A,TRUE,"general";"via3",#N/A,TRUE,"general"}</definedName>
    <definedName name="oooos" localSheetId="9" hidden="1">{"via1",#N/A,TRUE,"general";"via2",#N/A,TRUE,"general";"via3",#N/A,TRUE,"general"}</definedName>
    <definedName name="oooos" localSheetId="16" hidden="1">{"via1",#N/A,TRUE,"general";"via2",#N/A,TRUE,"general";"via3",#N/A,TRUE,"general"}</definedName>
    <definedName name="oooos" localSheetId="19" hidden="1">{"via1",#N/A,TRUE,"general";"via2",#N/A,TRUE,"general";"via3",#N/A,TRUE,"general"}</definedName>
    <definedName name="oooos" hidden="1">{"via1",#N/A,TRUE,"general";"via2",#N/A,TRUE,"general";"via3",#N/A,TRUE,"general"}</definedName>
    <definedName name="os" localSheetId="3">#REF!</definedName>
    <definedName name="os">#REF!</definedName>
    <definedName name="otros">[70]otros!$A$6:$A$1235</definedName>
    <definedName name="p0p0" localSheetId="1" hidden="1">{"via1",#N/A,TRUE,"general";"via2",#N/A,TRUE,"general";"via3",#N/A,TRUE,"general"}</definedName>
    <definedName name="p0p0" localSheetId="9" hidden="1">{"via1",#N/A,TRUE,"general";"via2",#N/A,TRUE,"general";"via3",#N/A,TRUE,"general"}</definedName>
    <definedName name="p0p0" localSheetId="16" hidden="1">{"via1",#N/A,TRUE,"general";"via2",#N/A,TRUE,"general";"via3",#N/A,TRUE,"general"}</definedName>
    <definedName name="p0p0" localSheetId="19" hidden="1">{"via1",#N/A,TRUE,"general";"via2",#N/A,TRUE,"general";"via3",#N/A,TRUE,"general"}</definedName>
    <definedName name="p0p0" hidden="1">{"via1",#N/A,TRUE,"general";"via2",#N/A,TRUE,"general";"via3",#N/A,TRUE,"general"}</definedName>
    <definedName name="Panel_Led_Plano_de_18w" localSheetId="1">'[20]LISTADO DE MATERIALES Y EQUIPOS'!$B$113</definedName>
    <definedName name="Panel_Led_Plano_de_18w" localSheetId="16">'[20]LISTADO DE MATERIALES Y EQUIPOS'!$B$113</definedName>
    <definedName name="Panel_Led_Plano_de_18w">'[20]LISTADO DE MATERIALES Y EQUIPOS'!$B$113</definedName>
    <definedName name="PANEL_SOLARITEM" localSheetId="1">[31]Presupuesto!#REF!</definedName>
    <definedName name="PANEL_SOLARITEM" localSheetId="16">[31]Presupuesto!#REF!</definedName>
    <definedName name="PANEL_SOLARITEM">[31]Presupuesto!#REF!</definedName>
    <definedName name="PANELES_SISTEMA_SOLAR" localSheetId="1">[7]PRESUPUESTO!#REF!</definedName>
    <definedName name="PANELES_SISTEMA_SOLAR" localSheetId="16">[7]PRESUPUESTO!#REF!</definedName>
    <definedName name="PANELES_SISTEMA_SOLAR">[7]PRESUPUESTO!#REF!</definedName>
    <definedName name="Pant_NC">[13]T_Cu_ASTM!$T$8:$AJ$33</definedName>
    <definedName name="PAROUE_CENTENARIO_MUNICIPIO_DE_TAURAMENA" localSheetId="16">#REF!</definedName>
    <definedName name="PAROUE_CENTENARIO_MUNICIPIO_DE_TAURAMENA" localSheetId="19">#REF!</definedName>
    <definedName name="PAROUE_CENTENARIO_MUNICIPIO_DE_TAURAMENA">#REF!</definedName>
    <definedName name="particulares1" hidden="1">{#N/A,#N/A,FALSE,"Aging Summary";#N/A,#N/A,FALSE,"Ratio Analysis";#N/A,#N/A,FALSE,"Test 120 Day Accts";#N/A,#N/A,FALSE,"Tickmarks"}</definedName>
    <definedName name="PATIOS">[95]INDICE!$A$9:$G$281</definedName>
    <definedName name="Pay_Date" localSheetId="16">#REF!</definedName>
    <definedName name="Pay_Date" localSheetId="3">#REF!</definedName>
    <definedName name="Pay_Date">#REF!</definedName>
    <definedName name="Pay_Num" localSheetId="16">#REF!</definedName>
    <definedName name="Pay_Num">#REF!</definedName>
    <definedName name="Payment_Date" localSheetId="1">DATE(YEAR(Loan_Start),MONTH(Loan_Start)+Payment_Number,DAY(Loan_Start))</definedName>
    <definedName name="Payment_Date" localSheetId="9">DATE(YEAR(Loan_Start),MONTH(Loan_Start)+Payment_Number,DAY(Loan_Start))</definedName>
    <definedName name="Payment_Date" localSheetId="16">DATE(YEAR(Loan_Start),MONTH(Loan_Start)+Payment_Number,DAY(Loan_Start))</definedName>
    <definedName name="Payment_Date" localSheetId="3">DATE(YEAR('FM '!Loan_Start),MONTH('FM '!Loan_Start)+Payment_Number,DAY('FM '!Loan_Start))</definedName>
    <definedName name="Payment_Date" localSheetId="19">DATE(YEAR([0]!Loan_Start),MONTH([0]!Loan_Start)+Payment_Number,DAY([0]!Loan_Start))</definedName>
    <definedName name="Payment_Date">DATE(YEAR(Loan_Start),MONTH(Loan_Start)+Payment_Number,DAY(Loan_Start))</definedName>
    <definedName name="Payment_Needed">"Pago necesario"</definedName>
    <definedName name="PAZ" localSheetId="3">#REF!</definedName>
    <definedName name="PAZ">#REF!</definedName>
    <definedName name="pedro" localSheetId="3">'[63]Itemes Renovación'!#REF!</definedName>
    <definedName name="pedro">'[63]Itemes Renovación'!#REF!</definedName>
    <definedName name="Pegante_pvc" localSheetId="1">'[20]LISTADO DE MATERIALES Y EQUIPOS'!$B$119</definedName>
    <definedName name="Pegante_pvc" localSheetId="16">'[20]LISTADO DE MATERIALES Y EQUIPOS'!$B$119</definedName>
    <definedName name="Pegante_pvc">'[20]LISTADO DE MATERIALES Y EQUIPOS'!$B$119</definedName>
    <definedName name="PER_PAV" localSheetId="16">#REF!</definedName>
    <definedName name="PER_PAV">#REF!</definedName>
    <definedName name="PERFIL_ANGULO_2.5_X_2.5_X_2.44__Cund" localSheetId="1">'[20]LISTADO DE MATERIALES Y EQUIPOS'!$B$100</definedName>
    <definedName name="PERFIL_ANGULO_2.5_X_2.5_X_2.44__Cund" localSheetId="16">'[20]LISTADO DE MATERIALES Y EQUIPOS'!$B$100</definedName>
    <definedName name="PERFIL_ANGULO_2.5_X_2.5_X_2.44__Cund">'[20]LISTADO DE MATERIALES Y EQUIPOS'!$B$100</definedName>
    <definedName name="Perfil_c_120x50mm" localSheetId="1">'[20]LISTADO DE MATERIALES Y EQUIPOS'!$B$109</definedName>
    <definedName name="Perfil_c_120x50mm" localSheetId="16">'[20]LISTADO DE MATERIALES Y EQUIPOS'!$B$109</definedName>
    <definedName name="Perfil_c_120x50mm">'[20]LISTADO DE MATERIALES Y EQUIPOS'!$B$109</definedName>
    <definedName name="PERFIL_OMEGA_X_2.44_C_26" localSheetId="1">'[20]LISTADO DE MATERIALES Y EQUIPOS'!$B$101</definedName>
    <definedName name="PERFIL_OMEGA_X_2.44_C_26" localSheetId="16">'[20]LISTADO DE MATERIALES Y EQUIPOS'!$B$101</definedName>
    <definedName name="PERFIL_OMEGA_X_2.44_C_26">'[20]LISTADO DE MATERIALES Y EQUIPOS'!$B$101</definedName>
    <definedName name="PERFIL_VIGUETA_PRINCIPAL_X_2.44_Cund" localSheetId="1">'[20]LISTADO DE MATERIALES Y EQUIPOS'!$B$102</definedName>
    <definedName name="PERFIL_VIGUETA_PRINCIPAL_X_2.44_Cund" localSheetId="16">'[20]LISTADO DE MATERIALES Y EQUIPOS'!$B$102</definedName>
    <definedName name="PERFIL_VIGUETA_PRINCIPAL_X_2.44_Cund">'[20]LISTADO DE MATERIALES Y EQUIPOS'!$B$102</definedName>
    <definedName name="PERIODO">[23]CUMPLIMIENTO!$M$5</definedName>
    <definedName name="PESO">IFERROR('[96]CO_Acero '!$E1*'[96]CO_Acero '!$G1*HLOOKUP('[96]CO_Acero '!$H1,'[96]CO_Acero '!#REF!,2,FALSE),"")</definedName>
    <definedName name="PILOTE" localSheetId="16">#REF!</definedName>
    <definedName name="PILOTE" localSheetId="3">#REF!</definedName>
    <definedName name="PILOTE">#REF!</definedName>
    <definedName name="PINT_EXT_ITEM" localSheetId="1">[31]Presupuesto!#REF!</definedName>
    <definedName name="PINT_EXT_ITEM" localSheetId="16">[31]Presupuesto!#REF!</definedName>
    <definedName name="PINT_EXT_ITEM">[31]Presupuesto!#REF!</definedName>
    <definedName name="Pintura_esmalte" localSheetId="1">'[20]LISTADO DE MATERIALES Y EQUIPOS'!$B$61</definedName>
    <definedName name="Pintura_esmalte" localSheetId="16">'[20]LISTADO DE MATERIALES Y EQUIPOS'!$B$61</definedName>
    <definedName name="Pintura_esmalte">'[20]LISTADO DE MATERIALES Y EQUIPOS'!$B$61</definedName>
    <definedName name="Pintura_Exterior" localSheetId="1">'[20]LISTADO DE MATERIALES Y EQUIPOS'!$B$59</definedName>
    <definedName name="Pintura_Exterior" localSheetId="16">'[20]LISTADO DE MATERIALES Y EQUIPOS'!$B$59</definedName>
    <definedName name="Pintura_Exterior">'[20]LISTADO DE MATERIALES Y EQUIPOS'!$B$59</definedName>
    <definedName name="Pintura_Interior_Gl" localSheetId="1">'[20]LISTADO DE MATERIALES Y EQUIPOS'!$B$58</definedName>
    <definedName name="Pintura_Interior_Gl" localSheetId="16">'[20]LISTADO DE MATERIALES Y EQUIPOS'!$B$58</definedName>
    <definedName name="Pintura_Interior_Gl">'[20]LISTADO DE MATERIALES Y EQUIPOS'!$B$58</definedName>
    <definedName name="Piso" localSheetId="1">'[20]LISTADO DE MATERIALES Y EQUIPOS'!$B$66</definedName>
    <definedName name="Piso" localSheetId="16">'[20]LISTADO DE MATERIALES Y EQUIPOS'!$B$66</definedName>
    <definedName name="Piso">'[20]LISTADO DE MATERIALES Y EQUIPOS'!$B$66</definedName>
    <definedName name="PISOS" localSheetId="1">[7]PRESUPUESTO!#REF!</definedName>
    <definedName name="PISOS" localSheetId="16">[7]PRESUPUESTO!#REF!</definedName>
    <definedName name="PISOS">[7]PRESUPUESTO!#REF!</definedName>
    <definedName name="PISOS_CONC_ESP_PUBL_ITEM" localSheetId="1">[31]Presupuesto!#REF!,[31]Presupuesto!#REF!,[31]Presupuesto!#REF!,[31]Presupuesto!#REF!,[31]Presupuesto!#REF!,[31]Presupuesto!#REF!,[31]Presupuesto!#REF!</definedName>
    <definedName name="PISOS_CONC_ESP_PUBL_ITEM" localSheetId="9">[31]Presupuesto!#REF!,[31]Presupuesto!#REF!,[31]Presupuesto!#REF!,[31]Presupuesto!#REF!,[31]Presupuesto!#REF!,[31]Presupuesto!#REF!,[31]Presupuesto!#REF!</definedName>
    <definedName name="PISOS_CONC_ESP_PUBL_ITEM" localSheetId="16">[31]Presupuesto!#REF!,[31]Presupuesto!#REF!,[31]Presupuesto!#REF!,[31]Presupuesto!#REF!,[31]Presupuesto!#REF!,[31]Presupuesto!#REF!,[31]Presupuesto!#REF!</definedName>
    <definedName name="PISOS_CONC_ESP_PUBL_ITEM">[31]Presupuesto!#REF!,[31]Presupuesto!#REF!,[31]Presupuesto!#REF!,[31]Presupuesto!#REF!,[31]Presupuesto!#REF!,[31]Presupuesto!#REF!,[31]Presupuesto!#REF!</definedName>
    <definedName name="PISOS_CONC_ESP_PUBL_VALOR" localSheetId="1">[31]Presupuesto!$G$131:$G$132,[31]Presupuesto!$G$133:$G$137,[31]Presupuesto!$G$138,[31]Presupuesto!$G$139:$G$140,[31]Presupuesto!$G$141:$G$142</definedName>
    <definedName name="PISOS_CONC_ESP_PUBL_VALOR" localSheetId="16">[31]Presupuesto!$G$131:$G$132,[31]Presupuesto!$G$133:$G$137,[31]Presupuesto!$G$138,[31]Presupuesto!$G$139:$G$140,[31]Presupuesto!$G$141:$G$142</definedName>
    <definedName name="PISOS_CONC_ESP_PUBL_VALOR">[31]Presupuesto!$G$131:$G$132,[31]Presupuesto!$G$133:$G$137,[31]Presupuesto!$G$138,[31]Presupuesto!$G$139:$G$140,[31]Presupuesto!$G$141:$G$142</definedName>
    <definedName name="PISOS_CONC_GRAN_ITEM" localSheetId="1">[31]Presupuesto!#REF!,[31]Presupuesto!#REF!,[31]Presupuesto!#REF!</definedName>
    <definedName name="PISOS_CONC_GRAN_ITEM" localSheetId="16">[31]Presupuesto!#REF!,[31]Presupuesto!#REF!,[31]Presupuesto!#REF!</definedName>
    <definedName name="PISOS_CONC_GRAN_ITEM">[31]Presupuesto!#REF!,[31]Presupuesto!#REF!,[31]Presupuesto!#REF!</definedName>
    <definedName name="PISOS_CONC_GRAN_VALOR" localSheetId="1">[31]Presupuesto!$G$148:$G$168,[31]Presupuesto!$G$143:$G$146</definedName>
    <definedName name="PISOS_CONC_GRAN_VALOR" localSheetId="16">[31]Presupuesto!$G$148:$G$168,[31]Presupuesto!$G$143:$G$146</definedName>
    <definedName name="PISOS_CONC_GRAN_VALOR">[31]Presupuesto!$G$148:$G$168,[31]Presupuesto!$G$143:$G$146</definedName>
    <definedName name="PKHK" localSheetId="1" hidden="1">{"TAB1",#N/A,TRUE,"GENERAL";"TAB2",#N/A,TRUE,"GENERAL";"TAB3",#N/A,TRUE,"GENERAL";"TAB4",#N/A,TRUE,"GENERAL";"TAB5",#N/A,TRUE,"GENERAL"}</definedName>
    <definedName name="PKHK" localSheetId="9" hidden="1">{"TAB1",#N/A,TRUE,"GENERAL";"TAB2",#N/A,TRUE,"GENERAL";"TAB3",#N/A,TRUE,"GENERAL";"TAB4",#N/A,TRUE,"GENERAL";"TAB5",#N/A,TRUE,"GENERAL"}</definedName>
    <definedName name="PKHK" localSheetId="16" hidden="1">{"TAB1",#N/A,TRUE,"GENERAL";"TAB2",#N/A,TRUE,"GENERAL";"TAB3",#N/A,TRUE,"GENERAL";"TAB4",#N/A,TRUE,"GENERAL";"TAB5",#N/A,TRUE,"GENERAL"}</definedName>
    <definedName name="PKHK" localSheetId="19" hidden="1">{"TAB1",#N/A,TRUE,"GENERAL";"TAB2",#N/A,TRUE,"GENERAL";"TAB3",#N/A,TRUE,"GENERAL";"TAB4",#N/A,TRUE,"GENERAL";"TAB5",#N/A,TRUE,"GENERAL"}</definedName>
    <definedName name="PKHK" hidden="1">{"TAB1",#N/A,TRUE,"GENERAL";"TAB2",#N/A,TRUE,"GENERAL";"TAB3",#N/A,TRUE,"GENERAL";"TAB4",#N/A,TRUE,"GENERAL";"TAB5",#N/A,TRUE,"GENERAL"}</definedName>
    <definedName name="pkj" localSheetId="1" hidden="1">{"TAB1",#N/A,TRUE,"GENERAL";"TAB2",#N/A,TRUE,"GENERAL";"TAB3",#N/A,TRUE,"GENERAL";"TAB4",#N/A,TRUE,"GENERAL";"TAB5",#N/A,TRUE,"GENERAL"}</definedName>
    <definedName name="pkj" localSheetId="9" hidden="1">{"TAB1",#N/A,TRUE,"GENERAL";"TAB2",#N/A,TRUE,"GENERAL";"TAB3",#N/A,TRUE,"GENERAL";"TAB4",#N/A,TRUE,"GENERAL";"TAB5",#N/A,TRUE,"GENERAL"}</definedName>
    <definedName name="pkj" localSheetId="16" hidden="1">{"TAB1",#N/A,TRUE,"GENERAL";"TAB2",#N/A,TRUE,"GENERAL";"TAB3",#N/A,TRUE,"GENERAL";"TAB4",#N/A,TRUE,"GENERAL";"TAB5",#N/A,TRUE,"GENERAL"}</definedName>
    <definedName name="pkj" localSheetId="19" hidden="1">{"TAB1",#N/A,TRUE,"GENERAL";"TAB2",#N/A,TRUE,"GENERAL";"TAB3",#N/A,TRUE,"GENERAL";"TAB4",#N/A,TRUE,"GENERAL";"TAB5",#N/A,TRUE,"GENERAL"}</definedName>
    <definedName name="pkj" hidden="1">{"TAB1",#N/A,TRUE,"GENERAL";"TAB2",#N/A,TRUE,"GENERAL";"TAB3",#N/A,TRUE,"GENERAL";"TAB4",#N/A,TRUE,"GENERAL";"TAB5",#N/A,TRUE,"GENERAL"}</definedName>
    <definedName name="PLAD" localSheetId="1" hidden="1">{"TAB1",#N/A,TRUE,"GENERAL";"TAB2",#N/A,TRUE,"GENERAL";"TAB3",#N/A,TRUE,"GENERAL";"TAB4",#N/A,TRUE,"GENERAL";"TAB5",#N/A,TRUE,"GENERAL"}</definedName>
    <definedName name="PLAD" localSheetId="9" hidden="1">{"TAB1",#N/A,TRUE,"GENERAL";"TAB2",#N/A,TRUE,"GENERAL";"TAB3",#N/A,TRUE,"GENERAL";"TAB4",#N/A,TRUE,"GENERAL";"TAB5",#N/A,TRUE,"GENERAL"}</definedName>
    <definedName name="PLAD" localSheetId="16" hidden="1">{"TAB1",#N/A,TRUE,"GENERAL";"TAB2",#N/A,TRUE,"GENERAL";"TAB3",#N/A,TRUE,"GENERAL";"TAB4",#N/A,TRUE,"GENERAL";"TAB5",#N/A,TRUE,"GENERAL"}</definedName>
    <definedName name="PLAD" localSheetId="19" hidden="1">{"TAB1",#N/A,TRUE,"GENERAL";"TAB2",#N/A,TRUE,"GENERAL";"TAB3",#N/A,TRUE,"GENERAL";"TAB4",#N/A,TRUE,"GENERAL";"TAB5",#N/A,TRUE,"GENERAL"}</definedName>
    <definedName name="PLAD" hidden="1">{"TAB1",#N/A,TRUE,"GENERAL";"TAB2",#N/A,TRUE,"GENERAL";"TAB3",#N/A,TRUE,"GENERAL";"TAB4",#N/A,TRUE,"GENERAL";"TAB5",#N/A,TRUE,"GENERAL"}</definedName>
    <definedName name="Plazo">[34]BASES!$E$27</definedName>
    <definedName name="PlazoAIU" localSheetId="16">#REF!</definedName>
    <definedName name="PlazoAIU" localSheetId="19">#REF!</definedName>
    <definedName name="PlazoAIU">#REF!</definedName>
    <definedName name="PLPLUNN" localSheetId="1" hidden="1">{"TAB1",#N/A,TRUE,"GENERAL";"TAB2",#N/A,TRUE,"GENERAL";"TAB3",#N/A,TRUE,"GENERAL";"TAB4",#N/A,TRUE,"GENERAL";"TAB5",#N/A,TRUE,"GENERAL"}</definedName>
    <definedName name="PLPLUNN" localSheetId="9" hidden="1">{"TAB1",#N/A,TRUE,"GENERAL";"TAB2",#N/A,TRUE,"GENERAL";"TAB3",#N/A,TRUE,"GENERAL";"TAB4",#N/A,TRUE,"GENERAL";"TAB5",#N/A,TRUE,"GENERAL"}</definedName>
    <definedName name="PLPLUNN" localSheetId="16" hidden="1">{"TAB1",#N/A,TRUE,"GENERAL";"TAB2",#N/A,TRUE,"GENERAL";"TAB3",#N/A,TRUE,"GENERAL";"TAB4",#N/A,TRUE,"GENERAL";"TAB5",#N/A,TRUE,"GENERAL"}</definedName>
    <definedName name="PLPLUNN" localSheetId="19" hidden="1">{"TAB1",#N/A,TRUE,"GENERAL";"TAB2",#N/A,TRUE,"GENERAL";"TAB3",#N/A,TRUE,"GENERAL";"TAB4",#N/A,TRUE,"GENERAL";"TAB5",#N/A,TRUE,"GENERAL"}</definedName>
    <definedName name="PLPLUNN" hidden="1">{"TAB1",#N/A,TRUE,"GENERAL";"TAB2",#N/A,TRUE,"GENERAL";"TAB3",#N/A,TRUE,"GENERAL";"TAB4",#N/A,TRUE,"GENERAL";"TAB5",#N/A,TRUE,"GENERAL"}</definedName>
    <definedName name="pñ" localSheetId="3">#REF!</definedName>
    <definedName name="pñ">#REF!</definedName>
    <definedName name="po" localSheetId="3">#REF!</definedName>
    <definedName name="po">#REF!</definedName>
    <definedName name="poi" localSheetId="3">#REF!</definedName>
    <definedName name="poi">#REF!</definedName>
    <definedName name="POIUP" localSheetId="1" hidden="1">{"via1",#N/A,TRUE,"general";"via2",#N/A,TRUE,"general";"via3",#N/A,TRUE,"general"}</definedName>
    <definedName name="POIUP" localSheetId="9" hidden="1">{"via1",#N/A,TRUE,"general";"via2",#N/A,TRUE,"general";"via3",#N/A,TRUE,"general"}</definedName>
    <definedName name="POIUP" localSheetId="16" hidden="1">{"via1",#N/A,TRUE,"general";"via2",#N/A,TRUE,"general";"via3",#N/A,TRUE,"general"}</definedName>
    <definedName name="POIUP" localSheetId="19" hidden="1">{"via1",#N/A,TRUE,"general";"via2",#N/A,TRUE,"general";"via3",#N/A,TRUE,"general"}</definedName>
    <definedName name="POIUP" hidden="1">{"via1",#N/A,TRUE,"general";"via2",#N/A,TRUE,"general";"via3",#N/A,TRUE,"general"}</definedName>
    <definedName name="Polynomial">#REF!</definedName>
    <definedName name="PoMede">#REF!</definedName>
    <definedName name="POO" localSheetId="3">#REF!</definedName>
    <definedName name="POO">#REF!</definedName>
    <definedName name="popop" localSheetId="1" hidden="1">{"via1",#N/A,TRUE,"general";"via2",#N/A,TRUE,"general";"via3",#N/A,TRUE,"general"}</definedName>
    <definedName name="popop" localSheetId="9" hidden="1">{"via1",#N/A,TRUE,"general";"via2",#N/A,TRUE,"general";"via3",#N/A,TRUE,"general"}</definedName>
    <definedName name="popop" localSheetId="16" hidden="1">{"via1",#N/A,TRUE,"general";"via2",#N/A,TRUE,"general";"via3",#N/A,TRUE,"general"}</definedName>
    <definedName name="popop" localSheetId="19" hidden="1">{"via1",#N/A,TRUE,"general";"via2",#N/A,TRUE,"general";"via3",#N/A,TRUE,"general"}</definedName>
    <definedName name="popop" hidden="1">{"via1",#N/A,TRUE,"general";"via2",#N/A,TRUE,"general";"via3",#N/A,TRUE,"general"}</definedName>
    <definedName name="popp" localSheetId="1" hidden="1">{"via1",#N/A,TRUE,"general";"via2",#N/A,TRUE,"general";"via3",#N/A,TRUE,"general"}</definedName>
    <definedName name="popp" localSheetId="9" hidden="1">{"via1",#N/A,TRUE,"general";"via2",#N/A,TRUE,"general";"via3",#N/A,TRUE,"general"}</definedName>
    <definedName name="popp" localSheetId="16" hidden="1">{"via1",#N/A,TRUE,"general";"via2",#N/A,TRUE,"general";"via3",#N/A,TRUE,"general"}</definedName>
    <definedName name="popp" localSheetId="19" hidden="1">{"via1",#N/A,TRUE,"general";"via2",#N/A,TRUE,"general";"via3",#N/A,TRUE,"general"}</definedName>
    <definedName name="popp" hidden="1">{"via1",#N/A,TRUE,"general";"via2",#N/A,TRUE,"general";"via3",#N/A,TRUE,"general"}</definedName>
    <definedName name="popvds" localSheetId="1" hidden="1">{"TAB1",#N/A,TRUE,"GENERAL";"TAB2",#N/A,TRUE,"GENERAL";"TAB3",#N/A,TRUE,"GENERAL";"TAB4",#N/A,TRUE,"GENERAL";"TAB5",#N/A,TRUE,"GENERAL"}</definedName>
    <definedName name="popvds" localSheetId="9" hidden="1">{"TAB1",#N/A,TRUE,"GENERAL";"TAB2",#N/A,TRUE,"GENERAL";"TAB3",#N/A,TRUE,"GENERAL";"TAB4",#N/A,TRUE,"GENERAL";"TAB5",#N/A,TRUE,"GENERAL"}</definedName>
    <definedName name="popvds" localSheetId="16" hidden="1">{"TAB1",#N/A,TRUE,"GENERAL";"TAB2",#N/A,TRUE,"GENERAL";"TAB3",#N/A,TRUE,"GENERAL";"TAB4",#N/A,TRUE,"GENERAL";"TAB5",#N/A,TRUE,"GENERAL"}</definedName>
    <definedName name="popvds" localSheetId="19" hidden="1">{"TAB1",#N/A,TRUE,"GENERAL";"TAB2",#N/A,TRUE,"GENERAL";"TAB3",#N/A,TRUE,"GENERAL";"TAB4",#N/A,TRUE,"GENERAL";"TAB5",#N/A,TRUE,"GENERAL"}</definedName>
    <definedName name="popvds" hidden="1">{"TAB1",#N/A,TRUE,"GENERAL";"TAB2",#N/A,TRUE,"GENERAL";"TAB3",#N/A,TRUE,"GENERAL";"TAB4",#N/A,TRUE,"GENERAL";"TAB5",#N/A,TRUE,"GENERAL"}</definedName>
    <definedName name="PORCE">[35]BASES!$E$26</definedName>
    <definedName name="pouig" localSheetId="1" hidden="1">{"via1",#N/A,TRUE,"general";"via2",#N/A,TRUE,"general";"via3",#N/A,TRUE,"general"}</definedName>
    <definedName name="pouig" localSheetId="9" hidden="1">{"via1",#N/A,TRUE,"general";"via2",#N/A,TRUE,"general";"via3",#N/A,TRUE,"general"}</definedName>
    <definedName name="pouig" localSheetId="16" hidden="1">{"via1",#N/A,TRUE,"general";"via2",#N/A,TRUE,"general";"via3",#N/A,TRUE,"general"}</definedName>
    <definedName name="pouig" localSheetId="19" hidden="1">{"via1",#N/A,TRUE,"general";"via2",#N/A,TRUE,"general";"via3",#N/A,TRUE,"general"}</definedName>
    <definedName name="pouig" hidden="1">{"via1",#N/A,TRUE,"general";"via2",#N/A,TRUE,"general";"via3",#N/A,TRUE,"general"}</definedName>
    <definedName name="POZ">#REF!</definedName>
    <definedName name="POZO">#REF!</definedName>
    <definedName name="POZO1.2">#REF!</definedName>
    <definedName name="POZOS">#REF!</definedName>
    <definedName name="POZOS_CAJAS_SUM_ITEM" localSheetId="1">[31]Presupuesto!#REF!</definedName>
    <definedName name="POZOS_CAJAS_SUM_ITEM" localSheetId="16">[31]Presupuesto!#REF!</definedName>
    <definedName name="POZOS_CAJAS_SUM_ITEM">[31]Presupuesto!#REF!</definedName>
    <definedName name="pp" localSheetId="16">#REF!</definedName>
    <definedName name="pp" localSheetId="3">#REF!</definedName>
    <definedName name="pp">#REF!</definedName>
    <definedName name="ppppp9" localSheetId="1" hidden="1">{"via1",#N/A,TRUE,"general";"via2",#N/A,TRUE,"general";"via3",#N/A,TRUE,"general"}</definedName>
    <definedName name="ppppp9" localSheetId="9" hidden="1">{"via1",#N/A,TRUE,"general";"via2",#N/A,TRUE,"general";"via3",#N/A,TRUE,"general"}</definedName>
    <definedName name="ppppp9" localSheetId="16" hidden="1">{"via1",#N/A,TRUE,"general";"via2",#N/A,TRUE,"general";"via3",#N/A,TRUE,"general"}</definedName>
    <definedName name="ppppp9" localSheetId="19" hidden="1">{"via1",#N/A,TRUE,"general";"via2",#N/A,TRUE,"general";"via3",#N/A,TRUE,"general"}</definedName>
    <definedName name="ppppp9" hidden="1">{"via1",#N/A,TRUE,"general";"via2",#N/A,TRUE,"general";"via3",#N/A,TRUE,"general"}</definedName>
    <definedName name="pppppd" localSheetId="1" hidden="1">{"TAB1",#N/A,TRUE,"GENERAL";"TAB2",#N/A,TRUE,"GENERAL";"TAB3",#N/A,TRUE,"GENERAL";"TAB4",#N/A,TRUE,"GENERAL";"TAB5",#N/A,TRUE,"GENERAL"}</definedName>
    <definedName name="pppppd" localSheetId="9" hidden="1">{"TAB1",#N/A,TRUE,"GENERAL";"TAB2",#N/A,TRUE,"GENERAL";"TAB3",#N/A,TRUE,"GENERAL";"TAB4",#N/A,TRUE,"GENERAL";"TAB5",#N/A,TRUE,"GENERAL"}</definedName>
    <definedName name="pppppd" localSheetId="16" hidden="1">{"TAB1",#N/A,TRUE,"GENERAL";"TAB2",#N/A,TRUE,"GENERAL";"TAB3",#N/A,TRUE,"GENERAL";"TAB4",#N/A,TRUE,"GENERAL";"TAB5",#N/A,TRUE,"GENERAL"}</definedName>
    <definedName name="pppppd" localSheetId="19" hidden="1">{"TAB1",#N/A,TRUE,"GENERAL";"TAB2",#N/A,TRUE,"GENERAL";"TAB3",#N/A,TRUE,"GENERAL";"TAB4",#N/A,TRUE,"GENERAL";"TAB5",#N/A,TRUE,"GENERAL"}</definedName>
    <definedName name="pppppd" hidden="1">{"TAB1",#N/A,TRUE,"GENERAL";"TAB2",#N/A,TRUE,"GENERAL";"TAB3",#N/A,TRUE,"GENERAL";"TAB4",#N/A,TRUE,"GENERAL";"TAB5",#N/A,TRUE,"GENERAL"}</definedName>
    <definedName name="PPPPPPPPPPPPPPPPPPPPPPPPPPPPPPPPP" localSheetId="3">#REF!</definedName>
    <definedName name="PPPPPPPPPPPPPPPPPPPPPPPPPPPPPPPPP">#REF!</definedName>
    <definedName name="Ppto">#REF!</definedName>
    <definedName name="PPtoNorte" localSheetId="3">#REF!</definedName>
    <definedName name="PPtoNorte">#REF!</definedName>
    <definedName name="pqroj" localSheetId="1" hidden="1">{"via1",#N/A,TRUE,"general";"via2",#N/A,TRUE,"general";"via3",#N/A,TRUE,"general"}</definedName>
    <definedName name="pqroj" localSheetId="9" hidden="1">{"via1",#N/A,TRUE,"general";"via2",#N/A,TRUE,"general";"via3",#N/A,TRUE,"general"}</definedName>
    <definedName name="pqroj" localSheetId="16" hidden="1">{"via1",#N/A,TRUE,"general";"via2",#N/A,TRUE,"general";"via3",#N/A,TRUE,"general"}</definedName>
    <definedName name="pqroj" localSheetId="19" hidden="1">{"via1",#N/A,TRUE,"general";"via2",#N/A,TRUE,"general";"via3",#N/A,TRUE,"general"}</definedName>
    <definedName name="pqroj" hidden="1">{"via1",#N/A,TRUE,"general";"via2",#N/A,TRUE,"general";"via3",#N/A,TRUE,"general"}</definedName>
    <definedName name="PRE">#REF!</definedName>
    <definedName name="PRECIO" localSheetId="3">#REF!</definedName>
    <definedName name="PRECIO">[97]PRECIOS!$A$5:$M$167</definedName>
    <definedName name="precio2" localSheetId="16">#REF!</definedName>
    <definedName name="precio2" localSheetId="3">#REF!</definedName>
    <definedName name="precio2">#REF!</definedName>
    <definedName name="precios" localSheetId="16">#REF!</definedName>
    <definedName name="precios">#REF!</definedName>
    <definedName name="PRELIM_ITEM" localSheetId="1">[31]Presupuesto!#REF!</definedName>
    <definedName name="PRELIM_ITEM" localSheetId="16">[31]Presupuesto!#REF!</definedName>
    <definedName name="PRELIM_ITEM">[31]Presupuesto!#REF!</definedName>
    <definedName name="PRELIMINARES" localSheetId="1">[7]PRESUPUESTO!#REF!</definedName>
    <definedName name="PRELIMINARES" localSheetId="16">[7]PRESUPUESTO!#REF!</definedName>
    <definedName name="PRELIMINARES">[7]PRESUPUESTO!#REF!</definedName>
    <definedName name="preliminares1" localSheetId="1">[31]Presupuesto!#REF!</definedName>
    <definedName name="preliminares1" localSheetId="16">[31]Presupuesto!#REF!</definedName>
    <definedName name="preliminares1">[31]Presupuesto!#REF!</definedName>
    <definedName name="PRESIPISTO" localSheetId="16">#REF!</definedName>
    <definedName name="PRESIPISTO">#REF!</definedName>
    <definedName name="presta">[98]BASE!$D$8</definedName>
    <definedName name="prestaciones" localSheetId="3">[27]DATOS!$B$14</definedName>
    <definedName name="Prestaciones">[99]Datos!$B$14</definedName>
    <definedName name="PRESUPUESTO" localSheetId="1">[100]PPTO!$A$7:$F$178</definedName>
    <definedName name="PRESUPUESTO" localSheetId="16">[100]PPTO!$A$7:$F$178</definedName>
    <definedName name="PRESUPUESTO" localSheetId="3">[101]PPTO!$A$7:$F$178</definedName>
    <definedName name="PRESUPUESTO">[100]PPTO!$A$7:$F$178</definedName>
    <definedName name="PRIMER" localSheetId="1" hidden="1">{"via1",#N/A,TRUE,"general";"via2",#N/A,TRUE,"general";"via3",#N/A,TRUE,"general"}</definedName>
    <definedName name="PRIMER" localSheetId="9" hidden="1">{"via1",#N/A,TRUE,"general";"via2",#N/A,TRUE,"general";"via3",#N/A,TRUE,"general"}</definedName>
    <definedName name="PRIMER" localSheetId="16" hidden="1">{"via1",#N/A,TRUE,"general";"via2",#N/A,TRUE,"general";"via3",#N/A,TRUE,"general"}</definedName>
    <definedName name="primer" localSheetId="3">'[21]ESTADO RED'!#REF!</definedName>
    <definedName name="PRIMER" localSheetId="19" hidden="1">{"via1",#N/A,TRUE,"general";"via2",#N/A,TRUE,"general";"via3",#N/A,TRUE,"general"}</definedName>
    <definedName name="PRIMER" hidden="1">{"via1",#N/A,TRUE,"general";"via2",#N/A,TRUE,"general";"via3",#N/A,TRUE,"general"}</definedName>
    <definedName name="PRIMET" localSheetId="1" hidden="1">{"TAB1",#N/A,TRUE,"GENERAL";"TAB2",#N/A,TRUE,"GENERAL";"TAB3",#N/A,TRUE,"GENERAL";"TAB4",#N/A,TRUE,"GENERAL";"TAB5",#N/A,TRUE,"GENERAL"}</definedName>
    <definedName name="PRIMET" localSheetId="9" hidden="1">{"TAB1",#N/A,TRUE,"GENERAL";"TAB2",#N/A,TRUE,"GENERAL";"TAB3",#N/A,TRUE,"GENERAL";"TAB4",#N/A,TRUE,"GENERAL";"TAB5",#N/A,TRUE,"GENERAL"}</definedName>
    <definedName name="PRIMET" localSheetId="16" hidden="1">{"TAB1",#N/A,TRUE,"GENERAL";"TAB2",#N/A,TRUE,"GENERAL";"TAB3",#N/A,TRUE,"GENERAL";"TAB4",#N/A,TRUE,"GENERAL";"TAB5",#N/A,TRUE,"GENERAL"}</definedName>
    <definedName name="PRIMET" localSheetId="19" hidden="1">{"TAB1",#N/A,TRUE,"GENERAL";"TAB2",#N/A,TRUE,"GENERAL";"TAB3",#N/A,TRUE,"GENERAL";"TAB4",#N/A,TRUE,"GENERAL";"TAB5",#N/A,TRUE,"GENERAL"}</definedName>
    <definedName name="PRIMET" hidden="1">{"TAB1",#N/A,TRUE,"GENERAL";"TAB2",#N/A,TRUE,"GENERAL";"TAB3",#N/A,TRUE,"GENERAL";"TAB4",#N/A,TRUE,"GENERAL";"TAB5",#N/A,TRUE,"GENERAL"}</definedName>
    <definedName name="Princ" localSheetId="3">#REF!</definedName>
    <definedName name="Princ">#REF!</definedName>
    <definedName name="PRINT_AREA">#N/A</definedName>
    <definedName name="Print_Area_MI" localSheetId="3">#REF!</definedName>
    <definedName name="Print_Area_MI">#REF!</definedName>
    <definedName name="Print_Area_Reset" localSheetId="1">OFFSET(AU!Full_Print,0,0,Last_Row)</definedName>
    <definedName name="Print_Area_Reset" localSheetId="9">OFFSET(Full_Print,0,0,Last_Row)</definedName>
    <definedName name="Print_Area_Reset" localSheetId="16">OFFSET('Cap17 '!Full_Print,0,0,Last_Row)</definedName>
    <definedName name="Print_Area_Reset" localSheetId="3">OFFSET('FM '!Full_Print,0,0,Last_Row)</definedName>
    <definedName name="Print_Area_Reset" localSheetId="19">OFFSET(Full_Print,0,0,Last_Row)</definedName>
    <definedName name="Print_Area_Reset">OFFSET(Full_Print,0,0,Last_Row)</definedName>
    <definedName name="PRINT_TITLES">#N/A</definedName>
    <definedName name="PRINT_TITLES_MI">#N/A</definedName>
    <definedName name="PROF" localSheetId="9">#REF!</definedName>
    <definedName name="PROF">#REF!</definedName>
    <definedName name="PrOfic">[34]BASES!$B$31</definedName>
    <definedName name="Program">"$"</definedName>
    <definedName name="programainv" localSheetId="1">[1]!ERR</definedName>
    <definedName name="programainv" localSheetId="16">[1]!ERR</definedName>
    <definedName name="programainv" localSheetId="19">[1]!ERR</definedName>
    <definedName name="programainv">[1]!ERR</definedName>
    <definedName name="PROP3" localSheetId="1">#REF!</definedName>
    <definedName name="PROP3" localSheetId="16">#REF!</definedName>
    <definedName name="PROP3" localSheetId="3">#REF!</definedName>
    <definedName name="PROP3">#REF!</definedName>
    <definedName name="prueba" localSheetId="1">#REF!</definedName>
    <definedName name="prueba" localSheetId="16">#REF!</definedName>
    <definedName name="prueba" localSheetId="19">'INSUMOS '!#REF!</definedName>
    <definedName name="prueba">#REF!</definedName>
    <definedName name="prueba1" localSheetId="19">[102]!absc</definedName>
    <definedName name="prueba1">[102]!absc</definedName>
    <definedName name="PRUEBA2" localSheetId="16">#REF!</definedName>
    <definedName name="PRUEBA2" localSheetId="19">#REF!</definedName>
    <definedName name="PRUEBA2">#REF!</definedName>
    <definedName name="PTO" localSheetId="16">#REF!</definedName>
    <definedName name="PTO">#REF!</definedName>
    <definedName name="ptope" localSheetId="1" hidden="1">{"TAB1",#N/A,TRUE,"GENERAL";"TAB2",#N/A,TRUE,"GENERAL";"TAB3",#N/A,TRUE,"GENERAL";"TAB4",#N/A,TRUE,"GENERAL";"TAB5",#N/A,TRUE,"GENERAL"}</definedName>
    <definedName name="ptope" localSheetId="9" hidden="1">{"TAB1",#N/A,TRUE,"GENERAL";"TAB2",#N/A,TRUE,"GENERAL";"TAB3",#N/A,TRUE,"GENERAL";"TAB4",#N/A,TRUE,"GENERAL";"TAB5",#N/A,TRUE,"GENERAL"}</definedName>
    <definedName name="ptope" localSheetId="16" hidden="1">{"TAB1",#N/A,TRUE,"GENERAL";"TAB2",#N/A,TRUE,"GENERAL";"TAB3",#N/A,TRUE,"GENERAL";"TAB4",#N/A,TRUE,"GENERAL";"TAB5",#N/A,TRUE,"GENERAL"}</definedName>
    <definedName name="ptope" localSheetId="19" hidden="1">{"TAB1",#N/A,TRUE,"GENERAL";"TAB2",#N/A,TRUE,"GENERAL";"TAB3",#N/A,TRUE,"GENERAL";"TAB4",#N/A,TRUE,"GENERAL";"TAB5",#N/A,TRUE,"GENERAL"}</definedName>
    <definedName name="ptope" hidden="1">{"TAB1",#N/A,TRUE,"GENERAL";"TAB2",#N/A,TRUE,"GENERAL";"TAB3",#N/A,TRUE,"GENERAL";"TAB4",#N/A,TRUE,"GENERAL";"TAB5",#N/A,TRUE,"GENERAL"}</definedName>
    <definedName name="ptopes" localSheetId="1" hidden="1">{"via1",#N/A,TRUE,"general";"via2",#N/A,TRUE,"general";"via3",#N/A,TRUE,"general"}</definedName>
    <definedName name="ptopes" localSheetId="9" hidden="1">{"via1",#N/A,TRUE,"general";"via2",#N/A,TRUE,"general";"via3",#N/A,TRUE,"general"}</definedName>
    <definedName name="ptopes" localSheetId="16" hidden="1">{"via1",#N/A,TRUE,"general";"via2",#N/A,TRUE,"general";"via3",#N/A,TRUE,"general"}</definedName>
    <definedName name="ptopes" localSheetId="19" hidden="1">{"via1",#N/A,TRUE,"general";"via2",#N/A,TRUE,"general";"via3",#N/A,TRUE,"general"}</definedName>
    <definedName name="ptopes" hidden="1">{"via1",#N/A,TRUE,"general";"via2",#N/A,TRUE,"general";"via3",#N/A,TRUE,"general"}</definedName>
    <definedName name="Puerta_Ventana" localSheetId="1">'[20]LISTADO DE MATERIALES Y EQUIPOS'!$B$88</definedName>
    <definedName name="Puerta_Ventana" localSheetId="16">'[20]LISTADO DE MATERIALES Y EQUIPOS'!$B$88</definedName>
    <definedName name="Puerta_Ventana">'[20]LISTADO DE MATERIALES Y EQUIPOS'!$B$88</definedName>
    <definedName name="PUERTAS_ESP_ITEM" localSheetId="1">[31]Presupuesto!#REF!</definedName>
    <definedName name="PUERTAS_ESP_ITEM" localSheetId="16">[31]Presupuesto!#REF!</definedName>
    <definedName name="PUERTAS_ESP_ITEM">[31]Presupuesto!#REF!</definedName>
    <definedName name="PUERTAS_VIDRIERAS_VENTANAS_CARPINTERIA" localSheetId="1">[7]PRESUPUESTO!#REF!</definedName>
    <definedName name="PUERTAS_VIDRIERAS_VENTANAS_CARPINTERIA" localSheetId="16">[7]PRESUPUESTO!#REF!</definedName>
    <definedName name="PUERTAS_VIDRIERAS_VENTANAS_CARPINTERIA">[7]PRESUPUESTO!#REF!</definedName>
    <definedName name="Puntilla_x_500gr" localSheetId="1">'[20]LISTADO DE MATERIALES Y EQUIPOS'!$B$24</definedName>
    <definedName name="Puntilla_x_500gr" localSheetId="16">'[20]LISTADO DE MATERIALES Y EQUIPOS'!$B$24</definedName>
    <definedName name="Puntilla_x_500gr">'[20]LISTADO DE MATERIALES Y EQUIPOS'!$B$24</definedName>
    <definedName name="PURGA" localSheetId="16">'[103]RECT-1,05 x 0,75'!$A$3:$I$49</definedName>
    <definedName name="PURGA">'[103]RECT-1,05 x 0,75'!$A$3:$I$49</definedName>
    <definedName name="PVIDRIERAS_ITEM" localSheetId="1">[31]Presupuesto!#REF!</definedName>
    <definedName name="PVIDRIERAS_ITEM" localSheetId="16">[31]Presupuesto!#REF!</definedName>
    <definedName name="PVIDRIERAS_ITEM">[31]Presupuesto!#REF!</definedName>
    <definedName name="Q" localSheetId="16">#REF!</definedName>
    <definedName name="q" localSheetId="3">#REF!</definedName>
    <definedName name="Q" localSheetId="19">'INSUMOS '!#REF!</definedName>
    <definedName name="Q">#REF!</definedName>
    <definedName name="Q__m³_s">'[104]CUADRO PLANO V1'!#REF!</definedName>
    <definedName name="q1q1q" localSheetId="1" hidden="1">{"via1",#N/A,TRUE,"general";"via2",#N/A,TRUE,"general";"via3",#N/A,TRUE,"general"}</definedName>
    <definedName name="q1q1q" localSheetId="9" hidden="1">{"via1",#N/A,TRUE,"general";"via2",#N/A,TRUE,"general";"via3",#N/A,TRUE,"general"}</definedName>
    <definedName name="q1q1q" localSheetId="16" hidden="1">{"via1",#N/A,TRUE,"general";"via2",#N/A,TRUE,"general";"via3",#N/A,TRUE,"general"}</definedName>
    <definedName name="q1q1q" localSheetId="19" hidden="1">{"via1",#N/A,TRUE,"general";"via2",#N/A,TRUE,"general";"via3",#N/A,TRUE,"general"}</definedName>
    <definedName name="q1q1q" hidden="1">{"via1",#N/A,TRUE,"general";"via2",#N/A,TRUE,"general";"via3",#N/A,TRUE,"general"}</definedName>
    <definedName name="qaedtguj" localSheetId="1" hidden="1">{"via1",#N/A,TRUE,"general";"via2",#N/A,TRUE,"general";"via3",#N/A,TRUE,"general"}</definedName>
    <definedName name="qaedtguj" localSheetId="9" hidden="1">{"via1",#N/A,TRUE,"general";"via2",#N/A,TRUE,"general";"via3",#N/A,TRUE,"general"}</definedName>
    <definedName name="qaedtguj" localSheetId="16" hidden="1">{"via1",#N/A,TRUE,"general";"via2",#N/A,TRUE,"general";"via3",#N/A,TRUE,"general"}</definedName>
    <definedName name="qaedtguj" localSheetId="19" hidden="1">{"via1",#N/A,TRUE,"general";"via2",#N/A,TRUE,"general";"via3",#N/A,TRUE,"general"}</definedName>
    <definedName name="qaedtguj" hidden="1">{"via1",#N/A,TRUE,"general";"via2",#N/A,TRUE,"general";"via3",#N/A,TRUE,"general"}</definedName>
    <definedName name="QAQSWS" localSheetId="1" hidden="1">{"via1",#N/A,TRUE,"general";"via2",#N/A,TRUE,"general";"via3",#N/A,TRUE,"general"}</definedName>
    <definedName name="QAQSWS" localSheetId="9" hidden="1">{"via1",#N/A,TRUE,"general";"via2",#N/A,TRUE,"general";"via3",#N/A,TRUE,"general"}</definedName>
    <definedName name="QAQSWS" localSheetId="16" hidden="1">{"via1",#N/A,TRUE,"general";"via2",#N/A,TRUE,"general";"via3",#N/A,TRUE,"general"}</definedName>
    <definedName name="QAQSWS" localSheetId="19" hidden="1">{"via1",#N/A,TRUE,"general";"via2",#N/A,TRUE,"general";"via3",#N/A,TRUE,"general"}</definedName>
    <definedName name="QAQSWS" hidden="1">{"via1",#N/A,TRUE,"general";"via2",#N/A,TRUE,"general";"via3",#N/A,TRUE,"general"}</definedName>
    <definedName name="qaqwwxcr" localSheetId="1" hidden="1">{"via1",#N/A,TRUE,"general";"via2",#N/A,TRUE,"general";"via3",#N/A,TRUE,"general"}</definedName>
    <definedName name="qaqwwxcr" localSheetId="9" hidden="1">{"via1",#N/A,TRUE,"general";"via2",#N/A,TRUE,"general";"via3",#N/A,TRUE,"general"}</definedName>
    <definedName name="qaqwwxcr" localSheetId="16" hidden="1">{"via1",#N/A,TRUE,"general";"via2",#N/A,TRUE,"general";"via3",#N/A,TRUE,"general"}</definedName>
    <definedName name="qaqwwxcr" localSheetId="19" hidden="1">{"via1",#N/A,TRUE,"general";"via2",#N/A,TRUE,"general";"via3",#N/A,TRUE,"general"}</definedName>
    <definedName name="qaqwwxcr" hidden="1">{"via1",#N/A,TRUE,"general";"via2",#N/A,TRUE,"general";"via3",#N/A,TRUE,"general"}</definedName>
    <definedName name="qedcd" localSheetId="1" hidden="1">{"via1",#N/A,TRUE,"general";"via2",#N/A,TRUE,"general";"via3",#N/A,TRUE,"general"}</definedName>
    <definedName name="qedcd" localSheetId="9" hidden="1">{"via1",#N/A,TRUE,"general";"via2",#N/A,TRUE,"general";"via3",#N/A,TRUE,"general"}</definedName>
    <definedName name="qedcd" localSheetId="16" hidden="1">{"via1",#N/A,TRUE,"general";"via2",#N/A,TRUE,"general";"via3",#N/A,TRUE,"general"}</definedName>
    <definedName name="qedcd" localSheetId="19" hidden="1">{"via1",#N/A,TRUE,"general";"via2",#N/A,TRUE,"general";"via3",#N/A,TRUE,"general"}</definedName>
    <definedName name="qedcd" hidden="1">{"via1",#N/A,TRUE,"general";"via2",#N/A,TRUE,"general";"via3",#N/A,TRUE,"general"}</definedName>
    <definedName name="qeqewe" localSheetId="1" hidden="1">{"TAB1",#N/A,TRUE,"GENERAL";"TAB2",#N/A,TRUE,"GENERAL";"TAB3",#N/A,TRUE,"GENERAL";"TAB4",#N/A,TRUE,"GENERAL";"TAB5",#N/A,TRUE,"GENERAL"}</definedName>
    <definedName name="qeqewe" localSheetId="9" hidden="1">{"TAB1",#N/A,TRUE,"GENERAL";"TAB2",#N/A,TRUE,"GENERAL";"TAB3",#N/A,TRUE,"GENERAL";"TAB4",#N/A,TRUE,"GENERAL";"TAB5",#N/A,TRUE,"GENERAL"}</definedName>
    <definedName name="qeqewe" localSheetId="16" hidden="1">{"TAB1",#N/A,TRUE,"GENERAL";"TAB2",#N/A,TRUE,"GENERAL";"TAB3",#N/A,TRUE,"GENERAL";"TAB4",#N/A,TRUE,"GENERAL";"TAB5",#N/A,TRUE,"GENERAL"}</definedName>
    <definedName name="qeqewe" localSheetId="19" hidden="1">{"TAB1",#N/A,TRUE,"GENERAL";"TAB2",#N/A,TRUE,"GENERAL";"TAB3",#N/A,TRUE,"GENERAL";"TAB4",#N/A,TRUE,"GENERAL";"TAB5",#N/A,TRUE,"GENERAL"}</definedName>
    <definedName name="qeqewe" hidden="1">{"TAB1",#N/A,TRUE,"GENERAL";"TAB2",#N/A,TRUE,"GENERAL";"TAB3",#N/A,TRUE,"GENERAL";"TAB4",#N/A,TRUE,"GENERAL";"TAB5",#N/A,TRUE,"GENERAL"}</definedName>
    <definedName name="qewj" localSheetId="1" hidden="1">{"via1",#N/A,TRUE,"general";"via2",#N/A,TRUE,"general";"via3",#N/A,TRUE,"general"}</definedName>
    <definedName name="qewj" localSheetId="9" hidden="1">{"via1",#N/A,TRUE,"general";"via2",#N/A,TRUE,"general";"via3",#N/A,TRUE,"general"}</definedName>
    <definedName name="qewj" localSheetId="16" hidden="1">{"via1",#N/A,TRUE,"general";"via2",#N/A,TRUE,"general";"via3",#N/A,TRUE,"general"}</definedName>
    <definedName name="qewj" localSheetId="19" hidden="1">{"via1",#N/A,TRUE,"general";"via2",#N/A,TRUE,"general";"via3",#N/A,TRUE,"general"}</definedName>
    <definedName name="qewj" hidden="1">{"via1",#N/A,TRUE,"general";"via2",#N/A,TRUE,"general";"via3",#N/A,TRUE,"general"}</definedName>
    <definedName name="QQ" localSheetId="1">[1]!ERR</definedName>
    <definedName name="QQ" localSheetId="16">[1]!ERR</definedName>
    <definedName name="qq" localSheetId="3">#REF!</definedName>
    <definedName name="QQ" localSheetId="19">[1]!ERR</definedName>
    <definedName name="QQ">[1]!ERR</definedName>
    <definedName name="qqqqqw" localSheetId="1" hidden="1">{"via1",#N/A,TRUE,"general";"via2",#N/A,TRUE,"general";"via3",#N/A,TRUE,"general"}</definedName>
    <definedName name="qqqqqw" localSheetId="9" hidden="1">{"via1",#N/A,TRUE,"general";"via2",#N/A,TRUE,"general";"via3",#N/A,TRUE,"general"}</definedName>
    <definedName name="qqqqqw" localSheetId="16" hidden="1">{"via1",#N/A,TRUE,"general";"via2",#N/A,TRUE,"general";"via3",#N/A,TRUE,"general"}</definedName>
    <definedName name="qqqqqw" localSheetId="19" hidden="1">{"via1",#N/A,TRUE,"general";"via2",#N/A,TRUE,"general";"via3",#N/A,TRUE,"general"}</definedName>
    <definedName name="qqqqqw" hidden="1">{"via1",#N/A,TRUE,"general";"via2",#N/A,TRUE,"general";"via3",#N/A,TRUE,"general"}</definedName>
    <definedName name="qw" localSheetId="1" hidden="1">{"via1",#N/A,TRUE,"general";"via2",#N/A,TRUE,"general";"via3",#N/A,TRUE,"general"}</definedName>
    <definedName name="qw" localSheetId="9" hidden="1">{"via1",#N/A,TRUE,"general";"via2",#N/A,TRUE,"general";"via3",#N/A,TRUE,"general"}</definedName>
    <definedName name="qw" localSheetId="16" hidden="1">{"via1",#N/A,TRUE,"general";"via2",#N/A,TRUE,"general";"via3",#N/A,TRUE,"general"}</definedName>
    <definedName name="qw" localSheetId="3">#REF!</definedName>
    <definedName name="qw" localSheetId="19" hidden="1">{"via1",#N/A,TRUE,"general";"via2",#N/A,TRUE,"general";"via3",#N/A,TRUE,"general"}</definedName>
    <definedName name="qw" hidden="1">{"via1",#N/A,TRUE,"general";"via2",#N/A,TRUE,"general";"via3",#N/A,TRUE,"general"}</definedName>
    <definedName name="qwdas2" localSheetId="1" hidden="1">{"via1",#N/A,TRUE,"general";"via2",#N/A,TRUE,"general";"via3",#N/A,TRUE,"general"}</definedName>
    <definedName name="qwdas2" localSheetId="9" hidden="1">{"via1",#N/A,TRUE,"general";"via2",#N/A,TRUE,"general";"via3",#N/A,TRUE,"general"}</definedName>
    <definedName name="qwdas2" localSheetId="16" hidden="1">{"via1",#N/A,TRUE,"general";"via2",#N/A,TRUE,"general";"via3",#N/A,TRUE,"general"}</definedName>
    <definedName name="qwdas2" localSheetId="19" hidden="1">{"via1",#N/A,TRUE,"general";"via2",#N/A,TRUE,"general";"via3",#N/A,TRUE,"general"}</definedName>
    <definedName name="qwdas2" hidden="1">{"via1",#N/A,TRUE,"general";"via2",#N/A,TRUE,"general";"via3",#N/A,TRUE,"general"}</definedName>
    <definedName name="qweqe" localSheetId="1" hidden="1">{"TAB1",#N/A,TRUE,"GENERAL";"TAB2",#N/A,TRUE,"GENERAL";"TAB3",#N/A,TRUE,"GENERAL";"TAB4",#N/A,TRUE,"GENERAL";"TAB5",#N/A,TRUE,"GENERAL"}</definedName>
    <definedName name="qweqe" localSheetId="9" hidden="1">{"TAB1",#N/A,TRUE,"GENERAL";"TAB2",#N/A,TRUE,"GENERAL";"TAB3",#N/A,TRUE,"GENERAL";"TAB4",#N/A,TRUE,"GENERAL";"TAB5",#N/A,TRUE,"GENERAL"}</definedName>
    <definedName name="qweqe" localSheetId="16" hidden="1">{"TAB1",#N/A,TRUE,"GENERAL";"TAB2",#N/A,TRUE,"GENERAL";"TAB3",#N/A,TRUE,"GENERAL";"TAB4",#N/A,TRUE,"GENERAL";"TAB5",#N/A,TRUE,"GENERAL"}</definedName>
    <definedName name="qweqe" localSheetId="19" hidden="1">{"TAB1",#N/A,TRUE,"GENERAL";"TAB2",#N/A,TRUE,"GENERAL";"TAB3",#N/A,TRUE,"GENERAL";"TAB4",#N/A,TRUE,"GENERAL";"TAB5",#N/A,TRUE,"GENERAL"}</definedName>
    <definedName name="qweqe" hidden="1">{"TAB1",#N/A,TRUE,"GENERAL";"TAB2",#N/A,TRUE,"GENERAL";"TAB3",#N/A,TRUE,"GENERAL";"TAB4",#N/A,TRUE,"GENERAL";"TAB5",#N/A,TRUE,"GENERAL"}</definedName>
    <definedName name="qwqwqwj" localSheetId="1" hidden="1">{"TAB1",#N/A,TRUE,"GENERAL";"TAB2",#N/A,TRUE,"GENERAL";"TAB3",#N/A,TRUE,"GENERAL";"TAB4",#N/A,TRUE,"GENERAL";"TAB5",#N/A,TRUE,"GENERAL"}</definedName>
    <definedName name="qwqwqwj" localSheetId="9" hidden="1">{"TAB1",#N/A,TRUE,"GENERAL";"TAB2",#N/A,TRUE,"GENERAL";"TAB3",#N/A,TRUE,"GENERAL";"TAB4",#N/A,TRUE,"GENERAL";"TAB5",#N/A,TRUE,"GENERAL"}</definedName>
    <definedName name="qwqwqwj" localSheetId="16" hidden="1">{"TAB1",#N/A,TRUE,"GENERAL";"TAB2",#N/A,TRUE,"GENERAL";"TAB3",#N/A,TRUE,"GENERAL";"TAB4",#N/A,TRUE,"GENERAL";"TAB5",#N/A,TRUE,"GENERAL"}</definedName>
    <definedName name="qwqwqwj" localSheetId="19" hidden="1">{"TAB1",#N/A,TRUE,"GENERAL";"TAB2",#N/A,TRUE,"GENERAL";"TAB3",#N/A,TRUE,"GENERAL";"TAB4",#N/A,TRUE,"GENERAL";"TAB5",#N/A,TRUE,"GENERAL"}</definedName>
    <definedName name="qwqwqwj" hidden="1">{"TAB1",#N/A,TRUE,"GENERAL";"TAB2",#N/A,TRUE,"GENERAL";"TAB3",#N/A,TRUE,"GENERAL";"TAB4",#N/A,TRUE,"GENERAL";"TAB5",#N/A,TRUE,"GENERAL"}</definedName>
    <definedName name="raa">'[15]Gabinetes ctrol, prot. y med. '!#REF!</definedName>
    <definedName name="rack">'[15]Gabinetes ctrol, prot. y med. '!#REF!</definedName>
    <definedName name="RACK1" localSheetId="16">#REF!</definedName>
    <definedName name="RACK1" localSheetId="19">#REF!</definedName>
    <definedName name="RACK1">#REF!</definedName>
    <definedName name="racks" localSheetId="16">'[15]Gabinetes ctrol, prot. y med. '!#REF!</definedName>
    <definedName name="racks" localSheetId="19">'[15]Gabinetes ctrol, prot. y med. '!#REF!</definedName>
    <definedName name="racks">'[15]Gabinetes ctrol, prot. y med. '!#REF!</definedName>
    <definedName name="Rana_o_canguro" localSheetId="1">'[20]LISTADO DE MATERIALES Y EQUIPOS'!$B$33</definedName>
    <definedName name="Rana_o_canguro" localSheetId="16">'[20]LISTADO DE MATERIALES Y EQUIPOS'!$B$33</definedName>
    <definedName name="Rana_o_canguro">'[20]LISTADO DE MATERIALES Y EQUIPOS'!$B$33</definedName>
    <definedName name="rds" localSheetId="16">#REF!</definedName>
    <definedName name="rds" localSheetId="3">#REF!</definedName>
    <definedName name="rds">#REF!</definedName>
    <definedName name="RECUBRIM_ESP_ITEM" localSheetId="1">[31]Presupuesto!#REF!</definedName>
    <definedName name="RECUBRIM_ESP_ITEM" localSheetId="16">[31]Presupuesto!#REF!</definedName>
    <definedName name="RECUBRIM_ESP_ITEM">[31]Presupuesto!#REF!</definedName>
    <definedName name="REG">'[91]Estado Resumen'!XFC1&gt;2.5</definedName>
    <definedName name="rege" localSheetId="1" hidden="1">{"TAB1",#N/A,TRUE,"GENERAL";"TAB2",#N/A,TRUE,"GENERAL";"TAB3",#N/A,TRUE,"GENERAL";"TAB4",#N/A,TRUE,"GENERAL";"TAB5",#N/A,TRUE,"GENERAL"}</definedName>
    <definedName name="rege" localSheetId="9" hidden="1">{"TAB1",#N/A,TRUE,"GENERAL";"TAB2",#N/A,TRUE,"GENERAL";"TAB3",#N/A,TRUE,"GENERAL";"TAB4",#N/A,TRUE,"GENERAL";"TAB5",#N/A,TRUE,"GENERAL"}</definedName>
    <definedName name="rege" localSheetId="16" hidden="1">{"TAB1",#N/A,TRUE,"GENERAL";"TAB2",#N/A,TRUE,"GENERAL";"TAB3",#N/A,TRUE,"GENERAL";"TAB4",#N/A,TRUE,"GENERAL";"TAB5",#N/A,TRUE,"GENERAL"}</definedName>
    <definedName name="rege" localSheetId="19" hidden="1">{"TAB1",#N/A,TRUE,"GENERAL";"TAB2",#N/A,TRUE,"GENERAL";"TAB3",#N/A,TRUE,"GENERAL";"TAB4",#N/A,TRUE,"GENERAL";"TAB5",#N/A,TRUE,"GENERAL"}</definedName>
    <definedName name="rege" hidden="1">{"TAB1",#N/A,TRUE,"GENERAL";"TAB2",#N/A,TRUE,"GENERAL";"TAB3",#N/A,TRUE,"GENERAL";"TAB4",#N/A,TRUE,"GENERAL";"TAB5",#N/A,TRUE,"GENERAL"}</definedName>
    <definedName name="regional">[42]CARRETERAS!$A$2</definedName>
    <definedName name="Registros_de_Asistencia" localSheetId="16">[105]Registros_de_Asistencia!$A$1:$E$29</definedName>
    <definedName name="Registros_de_Asistencia">[105]Registros_de_Asistencia!$A$1:$E$29</definedName>
    <definedName name="regresd" localSheetId="1" hidden="1">{"TAB1",#N/A,TRUE,"GENERAL";"TAB2",#N/A,TRUE,"GENERAL";"TAB3",#N/A,TRUE,"GENERAL";"TAB4",#N/A,TRUE,"GENERAL";"TAB5",#N/A,TRUE,"GENERAL"}</definedName>
    <definedName name="regresd" localSheetId="9" hidden="1">{"TAB1",#N/A,TRUE,"GENERAL";"TAB2",#N/A,TRUE,"GENERAL";"TAB3",#N/A,TRUE,"GENERAL";"TAB4",#N/A,TRUE,"GENERAL";"TAB5",#N/A,TRUE,"GENERAL"}</definedName>
    <definedName name="regresd" localSheetId="16" hidden="1">{"TAB1",#N/A,TRUE,"GENERAL";"TAB2",#N/A,TRUE,"GENERAL";"TAB3",#N/A,TRUE,"GENERAL";"TAB4",#N/A,TRUE,"GENERAL";"TAB5",#N/A,TRUE,"GENERAL"}</definedName>
    <definedName name="regresd" localSheetId="19" hidden="1">{"TAB1",#N/A,TRUE,"GENERAL";"TAB2",#N/A,TRUE,"GENERAL";"TAB3",#N/A,TRUE,"GENERAL";"TAB4",#N/A,TRUE,"GENERAL";"TAB5",#N/A,TRUE,"GENERAL"}</definedName>
    <definedName name="regresd" hidden="1">{"TAB1",#N/A,TRUE,"GENERAL";"TAB2",#N/A,TRUE,"GENERAL";"TAB3",#N/A,TRUE,"GENERAL";"TAB4",#N/A,TRUE,"GENERAL";"TAB5",#N/A,TRUE,"GENERAL"}</definedName>
    <definedName name="regthio" localSheetId="1" hidden="1">{"TAB1",#N/A,TRUE,"GENERAL";"TAB2",#N/A,TRUE,"GENERAL";"TAB3",#N/A,TRUE,"GENERAL";"TAB4",#N/A,TRUE,"GENERAL";"TAB5",#N/A,TRUE,"GENERAL"}</definedName>
    <definedName name="regthio" localSheetId="9" hidden="1">{"TAB1",#N/A,TRUE,"GENERAL";"TAB2",#N/A,TRUE,"GENERAL";"TAB3",#N/A,TRUE,"GENERAL";"TAB4",#N/A,TRUE,"GENERAL";"TAB5",#N/A,TRUE,"GENERAL"}</definedName>
    <definedName name="regthio" localSheetId="16" hidden="1">{"TAB1",#N/A,TRUE,"GENERAL";"TAB2",#N/A,TRUE,"GENERAL";"TAB3",#N/A,TRUE,"GENERAL";"TAB4",#N/A,TRUE,"GENERAL";"TAB5",#N/A,TRUE,"GENERAL"}</definedName>
    <definedName name="regthio" localSheetId="19" hidden="1">{"TAB1",#N/A,TRUE,"GENERAL";"TAB2",#N/A,TRUE,"GENERAL";"TAB3",#N/A,TRUE,"GENERAL";"TAB4",#N/A,TRUE,"GENERAL";"TAB5",#N/A,TRUE,"GENERAL"}</definedName>
    <definedName name="regthio" hidden="1">{"TAB1",#N/A,TRUE,"GENERAL";"TAB2",#N/A,TRUE,"GENERAL";"TAB3",#N/A,TRUE,"GENERAL";"TAB4",#N/A,TRUE,"GENERAL";"TAB5",#N/A,TRUE,"GENERAL"}</definedName>
    <definedName name="REGULAR">'[92]ESTADO VÍA-CRIT.TECNICO'!XFC1&gt;2.5</definedName>
    <definedName name="REGULAR4006" localSheetId="16">#REF!</definedName>
    <definedName name="REGULAR4006" localSheetId="3">#REF!</definedName>
    <definedName name="REGULAR4006">#REF!</definedName>
    <definedName name="REGULAR4006A" localSheetId="16">#REF!</definedName>
    <definedName name="REGULAR4006A">#REF!</definedName>
    <definedName name="REGULAR40CN01" localSheetId="16">#REF!</definedName>
    <definedName name="REGULAR40CN01">#REF!</definedName>
    <definedName name="REGULAR40CNA">#REF!</definedName>
    <definedName name="REGULAR40CNB">#REF!</definedName>
    <definedName name="REGULAR55CN01">#REF!</definedName>
    <definedName name="REGULAR55CN03">#REF!</definedName>
    <definedName name="REGULAR5607">#REF!</definedName>
    <definedName name="REGULARAFIR5607">#REF!</definedName>
    <definedName name="REICIO" localSheetId="1">[1]!ERR</definedName>
    <definedName name="REICIO" localSheetId="16">[1]!ERR</definedName>
    <definedName name="REICIO" localSheetId="19">[1]!ERR</definedName>
    <definedName name="REICIO">[1]!ERR</definedName>
    <definedName name="Reimbursement">"Reembolso"</definedName>
    <definedName name="reinicio" localSheetId="1">[1]!ERR</definedName>
    <definedName name="reinicio" localSheetId="16">[1]!ERR</definedName>
    <definedName name="reinicio" localSheetId="19">[1]!ERR</definedName>
    <definedName name="reinicio">[1]!ERR</definedName>
    <definedName name="REJHE" localSheetId="1" hidden="1">{"via1",#N/A,TRUE,"general";"via2",#N/A,TRUE,"general";"via3",#N/A,TRUE,"general"}</definedName>
    <definedName name="REJHE" localSheetId="9" hidden="1">{"via1",#N/A,TRUE,"general";"via2",#N/A,TRUE,"general";"via3",#N/A,TRUE,"general"}</definedName>
    <definedName name="REJHE" localSheetId="16" hidden="1">{"via1",#N/A,TRUE,"general";"via2",#N/A,TRUE,"general";"via3",#N/A,TRUE,"general"}</definedName>
    <definedName name="REJHE" localSheetId="19" hidden="1">{"via1",#N/A,TRUE,"general";"via2",#N/A,TRUE,"general";"via3",#N/A,TRUE,"general"}</definedName>
    <definedName name="REJHE" hidden="1">{"via1",#N/A,TRUE,"general";"via2",#N/A,TRUE,"general";"via3",#N/A,TRUE,"general"}</definedName>
    <definedName name="rell">#REF!</definedName>
    <definedName name="RELLG">#REF!</definedName>
    <definedName name="REP.PAV">'[17]factores A.N.'!$F$15:$F$69</definedName>
    <definedName name="REPLANTEO" localSheetId="1">[7]PRESUPUESTO!#REF!</definedName>
    <definedName name="REPLANTEO" localSheetId="16">[7]PRESUPUESTO!#REF!</definedName>
    <definedName name="REPLANTEO">[7]PRESUPUESTO!#REF!</definedName>
    <definedName name="rer" localSheetId="1" hidden="1">{"via1",#N/A,TRUE,"general";"via2",#N/A,TRUE,"general";"via3",#N/A,TRUE,"general"}</definedName>
    <definedName name="rer" localSheetId="9" hidden="1">{"via1",#N/A,TRUE,"general";"via2",#N/A,TRUE,"general";"via3",#N/A,TRUE,"general"}</definedName>
    <definedName name="rer" localSheetId="16" hidden="1">{"via1",#N/A,TRUE,"general";"via2",#N/A,TRUE,"general";"via3",#N/A,TRUE,"general"}</definedName>
    <definedName name="rer" localSheetId="19" hidden="1">{"via1",#N/A,TRUE,"general";"via2",#N/A,TRUE,"general";"via3",#N/A,TRUE,"general"}</definedName>
    <definedName name="rer" hidden="1">{"via1",#N/A,TRUE,"general";"via2",#N/A,TRUE,"general";"via3",#N/A,TRUE,"general"}</definedName>
    <definedName name="rererw" localSheetId="1" hidden="1">{"TAB1",#N/A,TRUE,"GENERAL";"TAB2",#N/A,TRUE,"GENERAL";"TAB3",#N/A,TRUE,"GENERAL";"TAB4",#N/A,TRUE,"GENERAL";"TAB5",#N/A,TRUE,"GENERAL"}</definedName>
    <definedName name="rererw" localSheetId="9" hidden="1">{"TAB1",#N/A,TRUE,"GENERAL";"TAB2",#N/A,TRUE,"GENERAL";"TAB3",#N/A,TRUE,"GENERAL";"TAB4",#N/A,TRUE,"GENERAL";"TAB5",#N/A,TRUE,"GENERAL"}</definedName>
    <definedName name="rererw" localSheetId="16" hidden="1">{"TAB1",#N/A,TRUE,"GENERAL";"TAB2",#N/A,TRUE,"GENERAL";"TAB3",#N/A,TRUE,"GENERAL";"TAB4",#N/A,TRUE,"GENERAL";"TAB5",#N/A,TRUE,"GENERAL"}</definedName>
    <definedName name="rererw" localSheetId="19" hidden="1">{"TAB1",#N/A,TRUE,"GENERAL";"TAB2",#N/A,TRUE,"GENERAL";"TAB3",#N/A,TRUE,"GENERAL";"TAB4",#N/A,TRUE,"GENERAL";"TAB5",#N/A,TRUE,"GENERAL"}</definedName>
    <definedName name="rererw" hidden="1">{"TAB1",#N/A,TRUE,"GENERAL";"TAB2",#N/A,TRUE,"GENERAL";"TAB3",#N/A,TRUE,"GENERAL";"TAB4",#N/A,TRUE,"GENERAL";"TAB5",#N/A,TRUE,"GENERAL"}</definedName>
    <definedName name="rerg" localSheetId="1" hidden="1">{"TAB1",#N/A,TRUE,"GENERAL";"TAB2",#N/A,TRUE,"GENERAL";"TAB3",#N/A,TRUE,"GENERAL";"TAB4",#N/A,TRUE,"GENERAL";"TAB5",#N/A,TRUE,"GENERAL"}</definedName>
    <definedName name="rerg" localSheetId="9" hidden="1">{"TAB1",#N/A,TRUE,"GENERAL";"TAB2",#N/A,TRUE,"GENERAL";"TAB3",#N/A,TRUE,"GENERAL";"TAB4",#N/A,TRUE,"GENERAL";"TAB5",#N/A,TRUE,"GENERAL"}</definedName>
    <definedName name="rerg" localSheetId="16" hidden="1">{"TAB1",#N/A,TRUE,"GENERAL";"TAB2",#N/A,TRUE,"GENERAL";"TAB3",#N/A,TRUE,"GENERAL";"TAB4",#N/A,TRUE,"GENERAL";"TAB5",#N/A,TRUE,"GENERAL"}</definedName>
    <definedName name="rerg" localSheetId="19" hidden="1">{"TAB1",#N/A,TRUE,"GENERAL";"TAB2",#N/A,TRUE,"GENERAL";"TAB3",#N/A,TRUE,"GENERAL";"TAB4",#N/A,TRUE,"GENERAL";"TAB5",#N/A,TRUE,"GENERAL"}</definedName>
    <definedName name="rerg" hidden="1">{"TAB1",#N/A,TRUE,"GENERAL";"TAB2",#N/A,TRUE,"GENERAL";"TAB3",#N/A,TRUE,"GENERAL";"TAB4",#N/A,TRUE,"GENERAL";"TAB5",#N/A,TRUE,"GENERAL"}</definedName>
    <definedName name="rerrrrw" localSheetId="1" hidden="1">{"TAB1",#N/A,TRUE,"GENERAL";"TAB2",#N/A,TRUE,"GENERAL";"TAB3",#N/A,TRUE,"GENERAL";"TAB4",#N/A,TRUE,"GENERAL";"TAB5",#N/A,TRUE,"GENERAL"}</definedName>
    <definedName name="rerrrrw" localSheetId="9" hidden="1">{"TAB1",#N/A,TRUE,"GENERAL";"TAB2",#N/A,TRUE,"GENERAL";"TAB3",#N/A,TRUE,"GENERAL";"TAB4",#N/A,TRUE,"GENERAL";"TAB5",#N/A,TRUE,"GENERAL"}</definedName>
    <definedName name="rerrrrw" localSheetId="16" hidden="1">{"TAB1",#N/A,TRUE,"GENERAL";"TAB2",#N/A,TRUE,"GENERAL";"TAB3",#N/A,TRUE,"GENERAL";"TAB4",#N/A,TRUE,"GENERAL";"TAB5",#N/A,TRUE,"GENERAL"}</definedName>
    <definedName name="rerrrrw" localSheetId="19" hidden="1">{"TAB1",#N/A,TRUE,"GENERAL";"TAB2",#N/A,TRUE,"GENERAL";"TAB3",#N/A,TRUE,"GENERAL";"TAB4",#N/A,TRUE,"GENERAL";"TAB5",#N/A,TRUE,"GENERAL"}</definedName>
    <definedName name="rerrrrw" hidden="1">{"TAB1",#N/A,TRUE,"GENERAL";"TAB2",#N/A,TRUE,"GENERAL";"TAB3",#N/A,TRUE,"GENERAL";"TAB4",#N/A,TRUE,"GENERAL";"TAB5",#N/A,TRUE,"GENERAL"}</definedName>
    <definedName name="res" localSheetId="1">IF(Loan_Amount*Interest_Rate*Loan_Years*Loan_Start&gt;0,1,0)</definedName>
    <definedName name="res" localSheetId="9">IF(Loan_Amount*Interest_Rate*Loan_Years*Loan_Start&gt;0,1,0)</definedName>
    <definedName name="res" localSheetId="16">IF(Loan_Amount*'Cap17 '!Interest_Rate*Loan_Years*Loan_Start&gt;0,1,0)</definedName>
    <definedName name="res" localSheetId="3" hidden="1">{#N/A,#N/A,FALSE,"GRAFICO";#N/A,#N/A,FALSE,"CAJA (2)";#N/A,#N/A,FALSE,"TERCEROS-PROMEDIO";#N/A,#N/A,FALSE,"CAJA";#N/A,#N/A,FALSE,"INGRESOS1995-2003";#N/A,#N/A,FALSE,"GASTOS1995-2003"}</definedName>
    <definedName name="res" localSheetId="19">IF(Loan_Amount*Interest_Rate*Loan_Years*Loan_Start&gt;0,1,0)</definedName>
    <definedName name="res">IF(Loan_Amount*Interest_Rate*Loan_Years*Loan_Start&gt;0,1,0)</definedName>
    <definedName name="residente">'[42]GENERALIDADES '!$E$9</definedName>
    <definedName name="resist_cond">[13]D_AWG!$G$29</definedName>
    <definedName name="RESU" localSheetId="16">#REF!</definedName>
    <definedName name="RESU" localSheetId="3">#REF!</definedName>
    <definedName name="RESU">#REF!</definedName>
    <definedName name="resumen" localSheetId="16">#REF!</definedName>
    <definedName name="resumen">#REF!</definedName>
    <definedName name="Retenc">[34]BASES!$E$31</definedName>
    <definedName name="RETRO" localSheetId="1">[7]BASE!$D$417</definedName>
    <definedName name="RETRO" localSheetId="16">[7]BASE!$D$417</definedName>
    <definedName name="RETRO">[7]BASE!$D$417</definedName>
    <definedName name="RETTRE" localSheetId="1" hidden="1">{"via1",#N/A,TRUE,"general";"via2",#N/A,TRUE,"general";"via3",#N/A,TRUE,"general"}</definedName>
    <definedName name="RETTRE" localSheetId="9" hidden="1">{"via1",#N/A,TRUE,"general";"via2",#N/A,TRUE,"general";"via3",#N/A,TRUE,"general"}</definedName>
    <definedName name="RETTRE" localSheetId="16" hidden="1">{"via1",#N/A,TRUE,"general";"via2",#N/A,TRUE,"general";"via3",#N/A,TRUE,"general"}</definedName>
    <definedName name="RETTRE" localSheetId="19" hidden="1">{"via1",#N/A,TRUE,"general";"via2",#N/A,TRUE,"general";"via3",#N/A,TRUE,"general"}</definedName>
    <definedName name="RETTRE" hidden="1">{"via1",#N/A,TRUE,"general";"via2",#N/A,TRUE,"general";"via3",#N/A,TRUE,"general"}</definedName>
    <definedName name="rety" localSheetId="1" hidden="1">{"TAB1",#N/A,TRUE,"GENERAL";"TAB2",#N/A,TRUE,"GENERAL";"TAB3",#N/A,TRUE,"GENERAL";"TAB4",#N/A,TRUE,"GENERAL";"TAB5",#N/A,TRUE,"GENERAL"}</definedName>
    <definedName name="rety" localSheetId="9" hidden="1">{"TAB1",#N/A,TRUE,"GENERAL";"TAB2",#N/A,TRUE,"GENERAL";"TAB3",#N/A,TRUE,"GENERAL";"TAB4",#N/A,TRUE,"GENERAL";"TAB5",#N/A,TRUE,"GENERAL"}</definedName>
    <definedName name="rety" localSheetId="16" hidden="1">{"TAB1",#N/A,TRUE,"GENERAL";"TAB2",#N/A,TRUE,"GENERAL";"TAB3",#N/A,TRUE,"GENERAL";"TAB4",#N/A,TRUE,"GENERAL";"TAB5",#N/A,TRUE,"GENERAL"}</definedName>
    <definedName name="rety" localSheetId="19" hidden="1">{"TAB1",#N/A,TRUE,"GENERAL";"TAB2",#N/A,TRUE,"GENERAL";"TAB3",#N/A,TRUE,"GENERAL";"TAB4",#N/A,TRUE,"GENERAL";"TAB5",#N/A,TRUE,"GENERAL"}</definedName>
    <definedName name="rety" hidden="1">{"TAB1",#N/A,TRUE,"GENERAL";"TAB2",#N/A,TRUE,"GENERAL";"TAB3",#N/A,TRUE,"GENERAL";"TAB4",#N/A,TRUE,"GENERAL";"TAB5",#N/A,TRUE,"GENERAL"}</definedName>
    <definedName name="REVEST_ESP_ITEM" localSheetId="1">[31]Presupuesto!#REF!</definedName>
    <definedName name="REVEST_ESP_ITEM" localSheetId="16">[31]Presupuesto!#REF!</definedName>
    <definedName name="REVEST_ESP_ITEM">[31]Presupuesto!#REF!</definedName>
    <definedName name="rewfreg" localSheetId="1" hidden="1">{"via1",#N/A,TRUE,"general";"via2",#N/A,TRUE,"general";"via3",#N/A,TRUE,"general"}</definedName>
    <definedName name="rewfreg" localSheetId="9" hidden="1">{"via1",#N/A,TRUE,"general";"via2",#N/A,TRUE,"general";"via3",#N/A,TRUE,"general"}</definedName>
    <definedName name="rewfreg" localSheetId="16" hidden="1">{"via1",#N/A,TRUE,"general";"via2",#N/A,TRUE,"general";"via3",#N/A,TRUE,"general"}</definedName>
    <definedName name="rewfreg" localSheetId="19" hidden="1">{"via1",#N/A,TRUE,"general";"via2",#N/A,TRUE,"general";"via3",#N/A,TRUE,"general"}</definedName>
    <definedName name="rewfreg" hidden="1">{"via1",#N/A,TRUE,"general";"via2",#N/A,TRUE,"general";"via3",#N/A,TRUE,"general"}</definedName>
    <definedName name="rewr" localSheetId="1" hidden="1">{"via1",#N/A,TRUE,"general";"via2",#N/A,TRUE,"general";"via3",#N/A,TRUE,"general"}</definedName>
    <definedName name="rewr" localSheetId="9" hidden="1">{"via1",#N/A,TRUE,"general";"via2",#N/A,TRUE,"general";"via3",#N/A,TRUE,"general"}</definedName>
    <definedName name="rewr" localSheetId="16" hidden="1">{"via1",#N/A,TRUE,"general";"via2",#N/A,TRUE,"general";"via3",#N/A,TRUE,"general"}</definedName>
    <definedName name="rewr" localSheetId="19" hidden="1">{"via1",#N/A,TRUE,"general";"via2",#N/A,TRUE,"general";"via3",#N/A,TRUE,"general"}</definedName>
    <definedName name="rewr" hidden="1">{"via1",#N/A,TRUE,"general";"via2",#N/A,TRUE,"general";"via3",#N/A,TRUE,"general"}</definedName>
    <definedName name="REWWER" localSheetId="1" hidden="1">{"TAB1",#N/A,TRUE,"GENERAL";"TAB2",#N/A,TRUE,"GENERAL";"TAB3",#N/A,TRUE,"GENERAL";"TAB4",#N/A,TRUE,"GENERAL";"TAB5",#N/A,TRUE,"GENERAL"}</definedName>
    <definedName name="REWWER" localSheetId="9" hidden="1">{"TAB1",#N/A,TRUE,"GENERAL";"TAB2",#N/A,TRUE,"GENERAL";"TAB3",#N/A,TRUE,"GENERAL";"TAB4",#N/A,TRUE,"GENERAL";"TAB5",#N/A,TRUE,"GENERAL"}</definedName>
    <definedName name="REWWER" localSheetId="16" hidden="1">{"TAB1",#N/A,TRUE,"GENERAL";"TAB2",#N/A,TRUE,"GENERAL";"TAB3",#N/A,TRUE,"GENERAL";"TAB4",#N/A,TRUE,"GENERAL";"TAB5",#N/A,TRUE,"GENERAL"}</definedName>
    <definedName name="REWWER" localSheetId="19" hidden="1">{"TAB1",#N/A,TRUE,"GENERAL";"TAB2",#N/A,TRUE,"GENERAL";"TAB3",#N/A,TRUE,"GENERAL";"TAB4",#N/A,TRUE,"GENERAL";"TAB5",#N/A,TRUE,"GENERAL"}</definedName>
    <definedName name="REWWER" hidden="1">{"TAB1",#N/A,TRUE,"GENERAL";"TAB2",#N/A,TRUE,"GENERAL";"TAB3",#N/A,TRUE,"GENERAL";"TAB4",#N/A,TRUE,"GENERAL";"TAB5",#N/A,TRUE,"GENERAL"}</definedName>
    <definedName name="REY">'[106]Tabla 1.1'!#REF!</definedName>
    <definedName name="reyepoi" localSheetId="1" hidden="1">{"TAB1",#N/A,TRUE,"GENERAL";"TAB2",#N/A,TRUE,"GENERAL";"TAB3",#N/A,TRUE,"GENERAL";"TAB4",#N/A,TRUE,"GENERAL";"TAB5",#N/A,TRUE,"GENERAL"}</definedName>
    <definedName name="reyepoi" localSheetId="9" hidden="1">{"TAB1",#N/A,TRUE,"GENERAL";"TAB2",#N/A,TRUE,"GENERAL";"TAB3",#N/A,TRUE,"GENERAL";"TAB4",#N/A,TRUE,"GENERAL";"TAB5",#N/A,TRUE,"GENERAL"}</definedName>
    <definedName name="reyepoi" localSheetId="16" hidden="1">{"TAB1",#N/A,TRUE,"GENERAL";"TAB2",#N/A,TRUE,"GENERAL";"TAB3",#N/A,TRUE,"GENERAL";"TAB4",#N/A,TRUE,"GENERAL";"TAB5",#N/A,TRUE,"GENERAL"}</definedName>
    <definedName name="reyepoi" localSheetId="19" hidden="1">{"TAB1",#N/A,TRUE,"GENERAL";"TAB2",#N/A,TRUE,"GENERAL";"TAB3",#N/A,TRUE,"GENERAL";"TAB4",#N/A,TRUE,"GENERAL";"TAB5",#N/A,TRUE,"GENERAL"}</definedName>
    <definedName name="reyepoi" hidden="1">{"TAB1",#N/A,TRUE,"GENERAL";"TAB2",#N/A,TRUE,"GENERAL";"TAB3",#N/A,TRUE,"GENERAL";"TAB4",#N/A,TRUE,"GENERAL";"TAB5",#N/A,TRUE,"GENERAL"}</definedName>
    <definedName name="reyety" localSheetId="1" hidden="1">{"via1",#N/A,TRUE,"general";"via2",#N/A,TRUE,"general";"via3",#N/A,TRUE,"general"}</definedName>
    <definedName name="reyety" localSheetId="9" hidden="1">{"via1",#N/A,TRUE,"general";"via2",#N/A,TRUE,"general";"via3",#N/A,TRUE,"general"}</definedName>
    <definedName name="reyety" localSheetId="16" hidden="1">{"via1",#N/A,TRUE,"general";"via2",#N/A,TRUE,"general";"via3",#N/A,TRUE,"general"}</definedName>
    <definedName name="reyety" localSheetId="19" hidden="1">{"via1",#N/A,TRUE,"general";"via2",#N/A,TRUE,"general";"via3",#N/A,TRUE,"general"}</definedName>
    <definedName name="reyety" hidden="1">{"via1",#N/A,TRUE,"general";"via2",#N/A,TRUE,"general";"via3",#N/A,TRUE,"general"}</definedName>
    <definedName name="reyty" localSheetId="1" hidden="1">{"via1",#N/A,TRUE,"general";"via2",#N/A,TRUE,"general";"via3",#N/A,TRUE,"general"}</definedName>
    <definedName name="reyty" localSheetId="9" hidden="1">{"via1",#N/A,TRUE,"general";"via2",#N/A,TRUE,"general";"via3",#N/A,TRUE,"general"}</definedName>
    <definedName name="reyty" localSheetId="16" hidden="1">{"via1",#N/A,TRUE,"general";"via2",#N/A,TRUE,"general";"via3",#N/A,TRUE,"general"}</definedName>
    <definedName name="reyty" localSheetId="19" hidden="1">{"via1",#N/A,TRUE,"general";"via2",#N/A,TRUE,"general";"via3",#N/A,TRUE,"general"}</definedName>
    <definedName name="reyty" hidden="1">{"via1",#N/A,TRUE,"general";"via2",#N/A,TRUE,"general";"via3",#N/A,TRUE,"general"}</definedName>
    <definedName name="reyyt" localSheetId="1" hidden="1">{"via1",#N/A,TRUE,"general";"via2",#N/A,TRUE,"general";"via3",#N/A,TRUE,"general"}</definedName>
    <definedName name="reyyt" localSheetId="9" hidden="1">{"via1",#N/A,TRUE,"general";"via2",#N/A,TRUE,"general";"via3",#N/A,TRUE,"general"}</definedName>
    <definedName name="reyyt" localSheetId="16" hidden="1">{"via1",#N/A,TRUE,"general";"via2",#N/A,TRUE,"general";"via3",#N/A,TRUE,"general"}</definedName>
    <definedName name="reyyt" localSheetId="19" hidden="1">{"via1",#N/A,TRUE,"general";"via2",#N/A,TRUE,"general";"via3",#N/A,TRUE,"general"}</definedName>
    <definedName name="reyyt" hidden="1">{"via1",#N/A,TRUE,"general";"via2",#N/A,TRUE,"general";"via3",#N/A,TRUE,"general"}</definedName>
    <definedName name="RF">#REF!</definedName>
    <definedName name="rfhnhjyu" localSheetId="1" hidden="1">{"TAB1",#N/A,TRUE,"GENERAL";"TAB2",#N/A,TRUE,"GENERAL";"TAB3",#N/A,TRUE,"GENERAL";"TAB4",#N/A,TRUE,"GENERAL";"TAB5",#N/A,TRUE,"GENERAL"}</definedName>
    <definedName name="rfhnhjyu" localSheetId="9" hidden="1">{"TAB1",#N/A,TRUE,"GENERAL";"TAB2",#N/A,TRUE,"GENERAL";"TAB3",#N/A,TRUE,"GENERAL";"TAB4",#N/A,TRUE,"GENERAL";"TAB5",#N/A,TRUE,"GENERAL"}</definedName>
    <definedName name="rfhnhjyu" localSheetId="16" hidden="1">{"TAB1",#N/A,TRUE,"GENERAL";"TAB2",#N/A,TRUE,"GENERAL";"TAB3",#N/A,TRUE,"GENERAL";"TAB4",#N/A,TRUE,"GENERAL";"TAB5",#N/A,TRUE,"GENERAL"}</definedName>
    <definedName name="rfhnhjyu" localSheetId="19" hidden="1">{"TAB1",#N/A,TRUE,"GENERAL";"TAB2",#N/A,TRUE,"GENERAL";"TAB3",#N/A,TRUE,"GENERAL";"TAB4",#N/A,TRUE,"GENERAL";"TAB5",#N/A,TRUE,"GENERAL"}</definedName>
    <definedName name="rfhnhjyu" hidden="1">{"TAB1",#N/A,TRUE,"GENERAL";"TAB2",#N/A,TRUE,"GENERAL";"TAB3",#N/A,TRUE,"GENERAL";"TAB4",#N/A,TRUE,"GENERAL";"TAB5",#N/A,TRUE,"GENERAL"}</definedName>
    <definedName name="rfref" localSheetId="16">#REF!</definedName>
    <definedName name="rfref" localSheetId="19">'INSUMOS '!#REF!</definedName>
    <definedName name="rfref">#REF!</definedName>
    <definedName name="rfrf" localSheetId="1" hidden="1">{"via1",#N/A,TRUE,"general";"via2",#N/A,TRUE,"general";"via3",#N/A,TRUE,"general"}</definedName>
    <definedName name="rfrf" localSheetId="9" hidden="1">{"via1",#N/A,TRUE,"general";"via2",#N/A,TRUE,"general";"via3",#N/A,TRUE,"general"}</definedName>
    <definedName name="rfrf" localSheetId="16" hidden="1">{"via1",#N/A,TRUE,"general";"via2",#N/A,TRUE,"general";"via3",#N/A,TRUE,"general"}</definedName>
    <definedName name="rfrf" localSheetId="19" hidden="1">{"via1",#N/A,TRUE,"general";"via2",#N/A,TRUE,"general";"via3",#N/A,TRUE,"general"}</definedName>
    <definedName name="rfrf" hidden="1">{"via1",#N/A,TRUE,"general";"via2",#N/A,TRUE,"general";"via3",#N/A,TRUE,"general"}</definedName>
    <definedName name="rge" localSheetId="1" hidden="1">{"via1",#N/A,TRUE,"general";"via2",#N/A,TRUE,"general";"via3",#N/A,TRUE,"general"}</definedName>
    <definedName name="rge" localSheetId="9" hidden="1">{"via1",#N/A,TRUE,"general";"via2",#N/A,TRUE,"general";"via3",#N/A,TRUE,"general"}</definedName>
    <definedName name="rge" localSheetId="16" hidden="1">{"via1",#N/A,TRUE,"general";"via2",#N/A,TRUE,"general";"via3",#N/A,TRUE,"general"}</definedName>
    <definedName name="rge" localSheetId="19" hidden="1">{"via1",#N/A,TRUE,"general";"via2",#N/A,TRUE,"general";"via3",#N/A,TRUE,"general"}</definedName>
    <definedName name="rge" hidden="1">{"via1",#N/A,TRUE,"general";"via2",#N/A,TRUE,"general";"via3",#N/A,TRUE,"general"}</definedName>
    <definedName name="rgegg" localSheetId="1" hidden="1">{"via1",#N/A,TRUE,"general";"via2",#N/A,TRUE,"general";"via3",#N/A,TRUE,"general"}</definedName>
    <definedName name="rgegg" localSheetId="9" hidden="1">{"via1",#N/A,TRUE,"general";"via2",#N/A,TRUE,"general";"via3",#N/A,TRUE,"general"}</definedName>
    <definedName name="rgegg" localSheetId="16" hidden="1">{"via1",#N/A,TRUE,"general";"via2",#N/A,TRUE,"general";"via3",#N/A,TRUE,"general"}</definedName>
    <definedName name="rgegg" localSheetId="19" hidden="1">{"via1",#N/A,TRUE,"general";"via2",#N/A,TRUE,"general";"via3",#N/A,TRUE,"general"}</definedName>
    <definedName name="rgegg" hidden="1">{"via1",#N/A,TRUE,"general";"via2",#N/A,TRUE,"general";"via3",#N/A,TRUE,"general"}</definedName>
    <definedName name="rhh" localSheetId="1" hidden="1">{"TAB1",#N/A,TRUE,"GENERAL";"TAB2",#N/A,TRUE,"GENERAL";"TAB3",#N/A,TRUE,"GENERAL";"TAB4",#N/A,TRUE,"GENERAL";"TAB5",#N/A,TRUE,"GENERAL"}</definedName>
    <definedName name="rhh" localSheetId="9" hidden="1">{"TAB1",#N/A,TRUE,"GENERAL";"TAB2",#N/A,TRUE,"GENERAL";"TAB3",#N/A,TRUE,"GENERAL";"TAB4",#N/A,TRUE,"GENERAL";"TAB5",#N/A,TRUE,"GENERAL"}</definedName>
    <definedName name="rhh" localSheetId="16" hidden="1">{"TAB1",#N/A,TRUE,"GENERAL";"TAB2",#N/A,TRUE,"GENERAL";"TAB3",#N/A,TRUE,"GENERAL";"TAB4",#N/A,TRUE,"GENERAL";"TAB5",#N/A,TRUE,"GENERAL"}</definedName>
    <definedName name="rhh" localSheetId="19" hidden="1">{"TAB1",#N/A,TRUE,"GENERAL";"TAB2",#N/A,TRUE,"GENERAL";"TAB3",#N/A,TRUE,"GENERAL";"TAB4",#N/A,TRUE,"GENERAL";"TAB5",#N/A,TRUE,"GENERAL"}</definedName>
    <definedName name="rhh" hidden="1">{"TAB1",#N/A,TRUE,"GENERAL";"TAB2",#N/A,TRUE,"GENERAL";"TAB3",#N/A,TRUE,"GENERAL";"TAB4",#N/A,TRUE,"GENERAL";"TAB5",#N/A,TRUE,"GENERAL"}</definedName>
    <definedName name="rhrtd" localSheetId="1" hidden="1">{"TAB1",#N/A,TRUE,"GENERAL";"TAB2",#N/A,TRUE,"GENERAL";"TAB3",#N/A,TRUE,"GENERAL";"TAB4",#N/A,TRUE,"GENERAL";"TAB5",#N/A,TRUE,"GENERAL"}</definedName>
    <definedName name="rhrtd" localSheetId="9" hidden="1">{"TAB1",#N/A,TRUE,"GENERAL";"TAB2",#N/A,TRUE,"GENERAL";"TAB3",#N/A,TRUE,"GENERAL";"TAB4",#N/A,TRUE,"GENERAL";"TAB5",#N/A,TRUE,"GENERAL"}</definedName>
    <definedName name="rhrtd" localSheetId="16" hidden="1">{"TAB1",#N/A,TRUE,"GENERAL";"TAB2",#N/A,TRUE,"GENERAL";"TAB3",#N/A,TRUE,"GENERAL";"TAB4",#N/A,TRUE,"GENERAL";"TAB5",#N/A,TRUE,"GENERAL"}</definedName>
    <definedName name="rhrtd" localSheetId="19" hidden="1">{"TAB1",#N/A,TRUE,"GENERAL";"TAB2",#N/A,TRUE,"GENERAL";"TAB3",#N/A,TRUE,"GENERAL";"TAB4",#N/A,TRUE,"GENERAL";"TAB5",#N/A,TRUE,"GENERAL"}</definedName>
    <definedName name="rhrtd" hidden="1">{"TAB1",#N/A,TRUE,"GENERAL";"TAB2",#N/A,TRUE,"GENERAL";"TAB3",#N/A,TRUE,"GENERAL";"TAB4",#N/A,TRUE,"GENERAL";"TAB5",#N/A,TRUE,"GENERAL"}</definedName>
    <definedName name="rhtry" localSheetId="1" hidden="1">{"TAB1",#N/A,TRUE,"GENERAL";"TAB2",#N/A,TRUE,"GENERAL";"TAB3",#N/A,TRUE,"GENERAL";"TAB4",#N/A,TRUE,"GENERAL";"TAB5",#N/A,TRUE,"GENERAL"}</definedName>
    <definedName name="rhtry" localSheetId="9" hidden="1">{"TAB1",#N/A,TRUE,"GENERAL";"TAB2",#N/A,TRUE,"GENERAL";"TAB3",#N/A,TRUE,"GENERAL";"TAB4",#N/A,TRUE,"GENERAL";"TAB5",#N/A,TRUE,"GENERAL"}</definedName>
    <definedName name="rhtry" localSheetId="16" hidden="1">{"TAB1",#N/A,TRUE,"GENERAL";"TAB2",#N/A,TRUE,"GENERAL";"TAB3",#N/A,TRUE,"GENERAL";"TAB4",#N/A,TRUE,"GENERAL";"TAB5",#N/A,TRUE,"GENERAL"}</definedName>
    <definedName name="rhtry" localSheetId="19" hidden="1">{"TAB1",#N/A,TRUE,"GENERAL";"TAB2",#N/A,TRUE,"GENERAL";"TAB3",#N/A,TRUE,"GENERAL";"TAB4",#N/A,TRUE,"GENERAL";"TAB5",#N/A,TRUE,"GENERAL"}</definedName>
    <definedName name="rhtry" hidden="1">{"TAB1",#N/A,TRUE,"GENERAL";"TAB2",#N/A,TRUE,"GENERAL";"TAB3",#N/A,TRUE,"GENERAL";"TAB4",#N/A,TRUE,"GENERAL";"TAB5",#N/A,TRUE,"GENERAL"}</definedName>
    <definedName name="RICARDO" localSheetId="1">#REF!,#REF!,#REF!,#REF!,#REF!,#REF!,#REF!,#REF!,#REF!</definedName>
    <definedName name="RICARDO" localSheetId="9">#REF!,#REF!,#REF!,#REF!,#REF!,#REF!,#REF!,#REF!,#REF!</definedName>
    <definedName name="RICARDO" localSheetId="19">#REF!,#REF!,#REF!,#REF!,#REF!,#REF!,#REF!,#REF!,#REF!</definedName>
    <definedName name="RICARDO">#REF!,#REF!,#REF!,#REF!,#REF!,#REF!,#REF!,#REF!,#REF!</definedName>
    <definedName name="RICO" localSheetId="3">IF('FM '!Loan_Amount*'FM '!Interest_Rate*Loan_Years*'FM '!Loan_Start&gt;0,1,0)</definedName>
    <definedName name="RICO">#N/A</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j" localSheetId="1" hidden="1">{"TAB1",#N/A,TRUE,"GENERAL";"TAB2",#N/A,TRUE,"GENERAL";"TAB3",#N/A,TRUE,"GENERAL";"TAB4",#N/A,TRUE,"GENERAL";"TAB5",#N/A,TRUE,"GENERAL"}</definedName>
    <definedName name="rj" localSheetId="9" hidden="1">{"TAB1",#N/A,TRUE,"GENERAL";"TAB2",#N/A,TRUE,"GENERAL";"TAB3",#N/A,TRUE,"GENERAL";"TAB4",#N/A,TRUE,"GENERAL";"TAB5",#N/A,TRUE,"GENERAL"}</definedName>
    <definedName name="rj" localSheetId="16" hidden="1">{"TAB1",#N/A,TRUE,"GENERAL";"TAB2",#N/A,TRUE,"GENERAL";"TAB3",#N/A,TRUE,"GENERAL";"TAB4",#N/A,TRUE,"GENERAL";"TAB5",#N/A,TRUE,"GENERAL"}</definedName>
    <definedName name="rj" localSheetId="19" hidden="1">{"TAB1",#N/A,TRUE,"GENERAL";"TAB2",#N/A,TRUE,"GENERAL";"TAB3",#N/A,TRUE,"GENERAL";"TAB4",#N/A,TRUE,"GENERAL";"TAB5",#N/A,TRUE,"GENERAL"}</definedName>
    <definedName name="rj" hidden="1">{"TAB1",#N/A,TRUE,"GENERAL";"TAB2",#N/A,TRUE,"GENERAL";"TAB3",#N/A,TRUE,"GENERAL";"TAB4",#N/A,TRUE,"GENERAL";"TAB5",#N/A,TRUE,"GENERAL"}</definedName>
    <definedName name="rjjth" localSheetId="1" hidden="1">{"TAB1",#N/A,TRUE,"GENERAL";"TAB2",#N/A,TRUE,"GENERAL";"TAB3",#N/A,TRUE,"GENERAL";"TAB4",#N/A,TRUE,"GENERAL";"TAB5",#N/A,TRUE,"GENERAL"}</definedName>
    <definedName name="rjjth" localSheetId="9" hidden="1">{"TAB1",#N/A,TRUE,"GENERAL";"TAB2",#N/A,TRUE,"GENERAL";"TAB3",#N/A,TRUE,"GENERAL";"TAB4",#N/A,TRUE,"GENERAL";"TAB5",#N/A,TRUE,"GENERAL"}</definedName>
    <definedName name="rjjth" localSheetId="16" hidden="1">{"TAB1",#N/A,TRUE,"GENERAL";"TAB2",#N/A,TRUE,"GENERAL";"TAB3",#N/A,TRUE,"GENERAL";"TAB4",#N/A,TRUE,"GENERAL";"TAB5",#N/A,TRUE,"GENERAL"}</definedName>
    <definedName name="rjjth" localSheetId="19" hidden="1">{"TAB1",#N/A,TRUE,"GENERAL";"TAB2",#N/A,TRUE,"GENERAL";"TAB3",#N/A,TRUE,"GENERAL";"TAB4",#N/A,TRUE,"GENERAL";"TAB5",#N/A,TRUE,"GENERAL"}</definedName>
    <definedName name="rjjth" hidden="1">{"TAB1",#N/A,TRUE,"GENERAL";"TAB2",#N/A,TRUE,"GENERAL";"TAB3",#N/A,TRUE,"GENERAL";"TAB4",#N/A,TRUE,"GENERAL";"TAB5",#N/A,TRUE,"GENERAL"}</definedName>
    <definedName name="rjy" localSheetId="1" hidden="1">{"via1",#N/A,TRUE,"general";"via2",#N/A,TRUE,"general";"via3",#N/A,TRUE,"general"}</definedName>
    <definedName name="rjy" localSheetId="9" hidden="1">{"via1",#N/A,TRUE,"general";"via2",#N/A,TRUE,"general";"via3",#N/A,TRUE,"general"}</definedName>
    <definedName name="rjy" localSheetId="16" hidden="1">{"via1",#N/A,TRUE,"general";"via2",#N/A,TRUE,"general";"via3",#N/A,TRUE,"general"}</definedName>
    <definedName name="rjy" localSheetId="19" hidden="1">{"via1",#N/A,TRUE,"general";"via2",#N/A,TRUE,"general";"via3",#N/A,TRUE,"general"}</definedName>
    <definedName name="rjy" hidden="1">{"via1",#N/A,TRUE,"general";"via2",#N/A,TRUE,"general";"via3",#N/A,TRUE,"general"}</definedName>
    <definedName name="rkjyk" localSheetId="1" hidden="1">{"TAB1",#N/A,TRUE,"GENERAL";"TAB2",#N/A,TRUE,"GENERAL";"TAB3",#N/A,TRUE,"GENERAL";"TAB4",#N/A,TRUE,"GENERAL";"TAB5",#N/A,TRUE,"GENERAL"}</definedName>
    <definedName name="rkjyk" localSheetId="9" hidden="1">{"TAB1",#N/A,TRUE,"GENERAL";"TAB2",#N/A,TRUE,"GENERAL";"TAB3",#N/A,TRUE,"GENERAL";"TAB4",#N/A,TRUE,"GENERAL";"TAB5",#N/A,TRUE,"GENERAL"}</definedName>
    <definedName name="rkjyk" localSheetId="16" hidden="1">{"TAB1",#N/A,TRUE,"GENERAL";"TAB2",#N/A,TRUE,"GENERAL";"TAB3",#N/A,TRUE,"GENERAL";"TAB4",#N/A,TRUE,"GENERAL";"TAB5",#N/A,TRUE,"GENERAL"}</definedName>
    <definedName name="rkjyk" localSheetId="19" hidden="1">{"TAB1",#N/A,TRUE,"GENERAL";"TAB2",#N/A,TRUE,"GENERAL";"TAB3",#N/A,TRUE,"GENERAL";"TAB4",#N/A,TRUE,"GENERAL";"TAB5",#N/A,TRUE,"GENERAL"}</definedName>
    <definedName name="rkjyk" hidden="1">{"TAB1",#N/A,TRUE,"GENERAL";"TAB2",#N/A,TRUE,"GENERAL";"TAB3",#N/A,TRUE,"GENERAL";"TAB4",#N/A,TRUE,"GENERAL";"TAB5",#N/A,TRUE,"GENERAL"}</definedName>
    <definedName name="rkru" localSheetId="1" hidden="1">{"via1",#N/A,TRUE,"general";"via2",#N/A,TRUE,"general";"via3",#N/A,TRUE,"general"}</definedName>
    <definedName name="rkru" localSheetId="9" hidden="1">{"via1",#N/A,TRUE,"general";"via2",#N/A,TRUE,"general";"via3",#N/A,TRUE,"general"}</definedName>
    <definedName name="rkru" localSheetId="16" hidden="1">{"via1",#N/A,TRUE,"general";"via2",#N/A,TRUE,"general";"via3",#N/A,TRUE,"general"}</definedName>
    <definedName name="rkru" localSheetId="19" hidden="1">{"via1",#N/A,TRUE,"general";"via2",#N/A,TRUE,"general";"via3",#N/A,TRUE,"general"}</definedName>
    <definedName name="rkru" hidden="1">{"via1",#N/A,TRUE,"general";"via2",#N/A,TRUE,"general";"via3",#N/A,TRUE,"general"}</definedName>
    <definedName name="rky" localSheetId="1" hidden="1">{"TAB1",#N/A,TRUE,"GENERAL";"TAB2",#N/A,TRUE,"GENERAL";"TAB3",#N/A,TRUE,"GENERAL";"TAB4",#N/A,TRUE,"GENERAL";"TAB5",#N/A,TRUE,"GENERAL"}</definedName>
    <definedName name="rky" localSheetId="9" hidden="1">{"TAB1",#N/A,TRUE,"GENERAL";"TAB2",#N/A,TRUE,"GENERAL";"TAB3",#N/A,TRUE,"GENERAL";"TAB4",#N/A,TRUE,"GENERAL";"TAB5",#N/A,TRUE,"GENERAL"}</definedName>
    <definedName name="rky" localSheetId="16" hidden="1">{"TAB1",#N/A,TRUE,"GENERAL";"TAB2",#N/A,TRUE,"GENERAL";"TAB3",#N/A,TRUE,"GENERAL";"TAB4",#N/A,TRUE,"GENERAL";"TAB5",#N/A,TRUE,"GENERAL"}</definedName>
    <definedName name="rky" localSheetId="19" hidden="1">{"TAB1",#N/A,TRUE,"GENERAL";"TAB2",#N/A,TRUE,"GENERAL";"TAB3",#N/A,TRUE,"GENERAL";"TAB4",#N/A,TRUE,"GENERAL";"TAB5",#N/A,TRUE,"GENERAL"}</definedName>
    <definedName name="rky" hidden="1">{"TAB1",#N/A,TRUE,"GENERAL";"TAB2",#N/A,TRUE,"GENERAL";"TAB3",#N/A,TRUE,"GENERAL";"TAB4",#N/A,TRUE,"GENERAL";"TAB5",#N/A,TRUE,"GENERAL"}</definedName>
    <definedName name="rl" localSheetId="3">#REF!</definedName>
    <definedName name="rl">#REF!</definedName>
    <definedName name="rlo" localSheetId="3">#REF!</definedName>
    <definedName name="rlo">#REF!</definedName>
    <definedName name="rm" localSheetId="3">#REF!</definedName>
    <definedName name="rm">#REF!</definedName>
    <definedName name="rñ">#REF!</definedName>
    <definedName name="royalphalumi" localSheetId="1">[107]datosluminariasRoyAlPHa!$A$1:$A$65536</definedName>
    <definedName name="royalphalumi" localSheetId="16">[107]datosluminariasRoyAlPHa!$A$1:$A$65536</definedName>
    <definedName name="royalphalumi">[107]datosluminariasRoyAlPHa!$A$1:$A$65536</definedName>
    <definedName name="rr" localSheetId="1">[1]!ERR</definedName>
    <definedName name="rr" localSheetId="16">[1]!ERR</definedName>
    <definedName name="rr" localSheetId="3">#REF!</definedName>
    <definedName name="rr" localSheetId="19">[1]!ERR</definedName>
    <definedName name="rr">[1]!ERR</definedName>
    <definedName name="rrr" localSheetId="1" hidden="1">{"via1",#N/A,TRUE,"general";"via2",#N/A,TRUE,"general";"via3",#N/A,TRUE,"general"}</definedName>
    <definedName name="rrr" localSheetId="9" hidden="1">{"via1",#N/A,TRUE,"general";"via2",#N/A,TRUE,"general";"via3",#N/A,TRUE,"general"}</definedName>
    <definedName name="rrr" localSheetId="16" hidden="1">{"via1",#N/A,TRUE,"general";"via2",#N/A,TRUE,"general";"via3",#N/A,TRUE,"general"}</definedName>
    <definedName name="rrr" localSheetId="19" hidden="1">{"via1",#N/A,TRUE,"general";"via2",#N/A,TRUE,"general";"via3",#N/A,TRUE,"general"}</definedName>
    <definedName name="rrr" hidden="1">{"via1",#N/A,TRUE,"general";"via2",#N/A,TRUE,"general";"via3",#N/A,TRUE,"general"}</definedName>
    <definedName name="rrrrrb" localSheetId="1" hidden="1">{"via1",#N/A,TRUE,"general";"via2",#N/A,TRUE,"general";"via3",#N/A,TRUE,"general"}</definedName>
    <definedName name="rrrrrb" localSheetId="9" hidden="1">{"via1",#N/A,TRUE,"general";"via2",#N/A,TRUE,"general";"via3",#N/A,TRUE,"general"}</definedName>
    <definedName name="rrrrrb" localSheetId="16" hidden="1">{"via1",#N/A,TRUE,"general";"via2",#N/A,TRUE,"general";"via3",#N/A,TRUE,"general"}</definedName>
    <definedName name="rrrrrb" localSheetId="19" hidden="1">{"via1",#N/A,TRUE,"general";"via2",#N/A,TRUE,"general";"via3",#N/A,TRUE,"general"}</definedName>
    <definedName name="rrrrrb" hidden="1">{"via1",#N/A,TRUE,"general";"via2",#N/A,TRUE,"general";"via3",#N/A,TRUE,"general"}</definedName>
    <definedName name="rrrrrrre" localSheetId="1" hidden="1">{"TAB1",#N/A,TRUE,"GENERAL";"TAB2",#N/A,TRUE,"GENERAL";"TAB3",#N/A,TRUE,"GENERAL";"TAB4",#N/A,TRUE,"GENERAL";"TAB5",#N/A,TRUE,"GENERAL"}</definedName>
    <definedName name="rrrrrrre" localSheetId="9" hidden="1">{"TAB1",#N/A,TRUE,"GENERAL";"TAB2",#N/A,TRUE,"GENERAL";"TAB3",#N/A,TRUE,"GENERAL";"TAB4",#N/A,TRUE,"GENERAL";"TAB5",#N/A,TRUE,"GENERAL"}</definedName>
    <definedName name="rrrrrrre" localSheetId="16" hidden="1">{"TAB1",#N/A,TRUE,"GENERAL";"TAB2",#N/A,TRUE,"GENERAL";"TAB3",#N/A,TRUE,"GENERAL";"TAB4",#N/A,TRUE,"GENERAL";"TAB5",#N/A,TRUE,"GENERAL"}</definedName>
    <definedName name="rrrrrrre" localSheetId="19" hidden="1">{"TAB1",#N/A,TRUE,"GENERAL";"TAB2",#N/A,TRUE,"GENERAL";"TAB3",#N/A,TRUE,"GENERAL";"TAB4",#N/A,TRUE,"GENERAL";"TAB5",#N/A,TRUE,"GENERAL"}</definedName>
    <definedName name="rrrrrrre" hidden="1">{"TAB1",#N/A,TRUE,"GENERAL";"TAB2",#N/A,TRUE,"GENERAL";"TAB3",#N/A,TRUE,"GENERAL";"TAB4",#N/A,TRUE,"GENERAL";"TAB5",#N/A,TRUE,"GENERAL"}</definedName>
    <definedName name="RRRRRRRRRRRRRRRRRR">#REF!</definedName>
    <definedName name="rrrrrrrrrrrrrrrrrrrrrrrrrrrrrrrrrrrrrr">#REF!</definedName>
    <definedName name="rrrrt" localSheetId="1" hidden="1">{"via1",#N/A,TRUE,"general";"via2",#N/A,TRUE,"general";"via3",#N/A,TRUE,"general"}</definedName>
    <definedName name="rrrrt" localSheetId="9" hidden="1">{"via1",#N/A,TRUE,"general";"via2",#N/A,TRUE,"general";"via3",#N/A,TRUE,"general"}</definedName>
    <definedName name="rrrrt" localSheetId="16" hidden="1">{"via1",#N/A,TRUE,"general";"via2",#N/A,TRUE,"general";"via3",#N/A,TRUE,"general"}</definedName>
    <definedName name="rrrrt" localSheetId="19" hidden="1">{"via1",#N/A,TRUE,"general";"via2",#N/A,TRUE,"general";"via3",#N/A,TRUE,"general"}</definedName>
    <definedName name="rrrrt" hidden="1">{"via1",#N/A,TRUE,"general";"via2",#N/A,TRUE,"general";"via3",#N/A,TRUE,"general"}</definedName>
    <definedName name="rsdgsd5" localSheetId="1" hidden="1">{"TAB1",#N/A,TRUE,"GENERAL";"TAB2",#N/A,TRUE,"GENERAL";"TAB3",#N/A,TRUE,"GENERAL";"TAB4",#N/A,TRUE,"GENERAL";"TAB5",#N/A,TRUE,"GENERAL"}</definedName>
    <definedName name="rsdgsd5" localSheetId="9" hidden="1">{"TAB1",#N/A,TRUE,"GENERAL";"TAB2",#N/A,TRUE,"GENERAL";"TAB3",#N/A,TRUE,"GENERAL";"TAB4",#N/A,TRUE,"GENERAL";"TAB5",#N/A,TRUE,"GENERAL"}</definedName>
    <definedName name="rsdgsd5" localSheetId="16" hidden="1">{"TAB1",#N/A,TRUE,"GENERAL";"TAB2",#N/A,TRUE,"GENERAL";"TAB3",#N/A,TRUE,"GENERAL";"TAB4",#N/A,TRUE,"GENERAL";"TAB5",#N/A,TRUE,"GENERAL"}</definedName>
    <definedName name="rsdgsd5" localSheetId="19" hidden="1">{"TAB1",#N/A,TRUE,"GENERAL";"TAB2",#N/A,TRUE,"GENERAL";"TAB3",#N/A,TRUE,"GENERAL";"TAB4",#N/A,TRUE,"GENERAL";"TAB5",#N/A,TRUE,"GENERAL"}</definedName>
    <definedName name="rsdgsd5" hidden="1">{"TAB1",#N/A,TRUE,"GENERAL";"TAB2",#N/A,TRUE,"GENERAL";"TAB3",#N/A,TRUE,"GENERAL";"TAB4",#N/A,TRUE,"GENERAL";"TAB5",#N/A,TRUE,"GENERAL"}</definedName>
    <definedName name="rt" localSheetId="1" hidden="1">{"TAB1",#N/A,TRUE,"GENERAL";"TAB2",#N/A,TRUE,"GENERAL";"TAB3",#N/A,TRUE,"GENERAL";"TAB4",#N/A,TRUE,"GENERAL";"TAB5",#N/A,TRUE,"GENERAL"}</definedName>
    <definedName name="rt" localSheetId="9" hidden="1">{"TAB1",#N/A,TRUE,"GENERAL";"TAB2",#N/A,TRUE,"GENERAL";"TAB3",#N/A,TRUE,"GENERAL";"TAB4",#N/A,TRUE,"GENERAL";"TAB5",#N/A,TRUE,"GENERAL"}</definedName>
    <definedName name="rt" localSheetId="16" hidden="1">{"TAB1",#N/A,TRUE,"GENERAL";"TAB2",#N/A,TRUE,"GENERAL";"TAB3",#N/A,TRUE,"GENERAL";"TAB4",#N/A,TRUE,"GENERAL";"TAB5",#N/A,TRUE,"GENERAL"}</definedName>
    <definedName name="rt" localSheetId="3">#REF!</definedName>
    <definedName name="rt" localSheetId="19" hidden="1">{"TAB1",#N/A,TRUE,"GENERAL";"TAB2",#N/A,TRUE,"GENERAL";"TAB3",#N/A,TRUE,"GENERAL";"TAB4",#N/A,TRUE,"GENERAL";"TAB5",#N/A,TRUE,"GENERAL"}</definedName>
    <definedName name="rt" hidden="1">{"TAB1",#N/A,TRUE,"GENERAL";"TAB2",#N/A,TRUE,"GENERAL";"TAB3",#N/A,TRUE,"GENERAL";"TAB4",#N/A,TRUE,"GENERAL";"TAB5",#N/A,TRUE,"GENERAL"}</definedName>
    <definedName name="rte" localSheetId="1" hidden="1">{"TAB1",#N/A,TRUE,"GENERAL";"TAB2",#N/A,TRUE,"GENERAL";"TAB3",#N/A,TRUE,"GENERAL";"TAB4",#N/A,TRUE,"GENERAL";"TAB5",#N/A,TRUE,"GENERAL"}</definedName>
    <definedName name="rte" localSheetId="9" hidden="1">{"TAB1",#N/A,TRUE,"GENERAL";"TAB2",#N/A,TRUE,"GENERAL";"TAB3",#N/A,TRUE,"GENERAL";"TAB4",#N/A,TRUE,"GENERAL";"TAB5",#N/A,TRUE,"GENERAL"}</definedName>
    <definedName name="rte" localSheetId="16" hidden="1">{"TAB1",#N/A,TRUE,"GENERAL";"TAB2",#N/A,TRUE,"GENERAL";"TAB3",#N/A,TRUE,"GENERAL";"TAB4",#N/A,TRUE,"GENERAL";"TAB5",#N/A,TRUE,"GENERAL"}</definedName>
    <definedName name="rte" localSheetId="3">#REF!</definedName>
    <definedName name="rte" localSheetId="19" hidden="1">{"TAB1",#N/A,TRUE,"GENERAL";"TAB2",#N/A,TRUE,"GENERAL";"TAB3",#N/A,TRUE,"GENERAL";"TAB4",#N/A,TRUE,"GENERAL";"TAB5",#N/A,TRUE,"GENERAL"}</definedName>
    <definedName name="rte" hidden="1">{"TAB1",#N/A,TRUE,"GENERAL";"TAB2",#N/A,TRUE,"GENERAL";"TAB3",#N/A,TRUE,"GENERAL";"TAB4",#N/A,TRUE,"GENERAL";"TAB5",#N/A,TRUE,"GENERAL"}</definedName>
    <definedName name="rteg" localSheetId="1" hidden="1">{"via1",#N/A,TRUE,"general";"via2",#N/A,TRUE,"general";"via3",#N/A,TRUE,"general"}</definedName>
    <definedName name="rteg" localSheetId="9" hidden="1">{"via1",#N/A,TRUE,"general";"via2",#N/A,TRUE,"general";"via3",#N/A,TRUE,"general"}</definedName>
    <definedName name="rteg" localSheetId="16" hidden="1">{"via1",#N/A,TRUE,"general";"via2",#N/A,TRUE,"general";"via3",#N/A,TRUE,"general"}</definedName>
    <definedName name="rteg" localSheetId="19" hidden="1">{"via1",#N/A,TRUE,"general";"via2",#N/A,TRUE,"general";"via3",#N/A,TRUE,"general"}</definedName>
    <definedName name="rteg" hidden="1">{"via1",#N/A,TRUE,"general";"via2",#N/A,TRUE,"general";"via3",#N/A,TRUE,"general"}</definedName>
    <definedName name="rtert" localSheetId="1" hidden="1">{"TAB1",#N/A,TRUE,"GENERAL";"TAB2",#N/A,TRUE,"GENERAL";"TAB3",#N/A,TRUE,"GENERAL";"TAB4",#N/A,TRUE,"GENERAL";"TAB5",#N/A,TRUE,"GENERAL"}</definedName>
    <definedName name="rtert" localSheetId="9" hidden="1">{"TAB1",#N/A,TRUE,"GENERAL";"TAB2",#N/A,TRUE,"GENERAL";"TAB3",#N/A,TRUE,"GENERAL";"TAB4",#N/A,TRUE,"GENERAL";"TAB5",#N/A,TRUE,"GENERAL"}</definedName>
    <definedName name="rtert" localSheetId="16" hidden="1">{"TAB1",#N/A,TRUE,"GENERAL";"TAB2",#N/A,TRUE,"GENERAL";"TAB3",#N/A,TRUE,"GENERAL";"TAB4",#N/A,TRUE,"GENERAL";"TAB5",#N/A,TRUE,"GENERAL"}</definedName>
    <definedName name="rtert" localSheetId="19" hidden="1">{"TAB1",#N/A,TRUE,"GENERAL";"TAB2",#N/A,TRUE,"GENERAL";"TAB3",#N/A,TRUE,"GENERAL";"TAB4",#N/A,TRUE,"GENERAL";"TAB5",#N/A,TRUE,"GENERAL"}</definedName>
    <definedName name="rtert" hidden="1">{"TAB1",#N/A,TRUE,"GENERAL";"TAB2",#N/A,TRUE,"GENERAL";"TAB3",#N/A,TRUE,"GENERAL";"TAB4",#N/A,TRUE,"GENERAL";"TAB5",#N/A,TRUE,"GENERAL"}</definedName>
    <definedName name="rtes" localSheetId="1" hidden="1">{"via1",#N/A,TRUE,"general";"via2",#N/A,TRUE,"general";"via3",#N/A,TRUE,"general"}</definedName>
    <definedName name="rtes" localSheetId="9" hidden="1">{"via1",#N/A,TRUE,"general";"via2",#N/A,TRUE,"general";"via3",#N/A,TRUE,"general"}</definedName>
    <definedName name="rtes" localSheetId="16" hidden="1">{"via1",#N/A,TRUE,"general";"via2",#N/A,TRUE,"general";"via3",#N/A,TRUE,"general"}</definedName>
    <definedName name="rtes" localSheetId="19" hidden="1">{"via1",#N/A,TRUE,"general";"via2",#N/A,TRUE,"general";"via3",#N/A,TRUE,"general"}</definedName>
    <definedName name="rtes" hidden="1">{"via1",#N/A,TRUE,"general";"via2",#N/A,TRUE,"general";"via3",#N/A,TRUE,"general"}</definedName>
    <definedName name="rtewth" localSheetId="1" hidden="1">{"TAB1",#N/A,TRUE,"GENERAL";"TAB2",#N/A,TRUE,"GENERAL";"TAB3",#N/A,TRUE,"GENERAL";"TAB4",#N/A,TRUE,"GENERAL";"TAB5",#N/A,TRUE,"GENERAL"}</definedName>
    <definedName name="rtewth" localSheetId="9" hidden="1">{"TAB1",#N/A,TRUE,"GENERAL";"TAB2",#N/A,TRUE,"GENERAL";"TAB3",#N/A,TRUE,"GENERAL";"TAB4",#N/A,TRUE,"GENERAL";"TAB5",#N/A,TRUE,"GENERAL"}</definedName>
    <definedName name="rtewth" localSheetId="16" hidden="1">{"TAB1",#N/A,TRUE,"GENERAL";"TAB2",#N/A,TRUE,"GENERAL";"TAB3",#N/A,TRUE,"GENERAL";"TAB4",#N/A,TRUE,"GENERAL";"TAB5",#N/A,TRUE,"GENERAL"}</definedName>
    <definedName name="rtewth" localSheetId="19" hidden="1">{"TAB1",#N/A,TRUE,"GENERAL";"TAB2",#N/A,TRUE,"GENERAL";"TAB3",#N/A,TRUE,"GENERAL";"TAB4",#N/A,TRUE,"GENERAL";"TAB5",#N/A,TRUE,"GENERAL"}</definedName>
    <definedName name="rtewth" hidden="1">{"TAB1",#N/A,TRUE,"GENERAL";"TAB2",#N/A,TRUE,"GENERAL";"TAB3",#N/A,TRUE,"GENERAL";"TAB4",#N/A,TRUE,"GENERAL";"TAB5",#N/A,TRUE,"GENERAL"}</definedName>
    <definedName name="rthjtj" localSheetId="1" hidden="1">{"TAB1",#N/A,TRUE,"GENERAL";"TAB2",#N/A,TRUE,"GENERAL";"TAB3",#N/A,TRUE,"GENERAL";"TAB4",#N/A,TRUE,"GENERAL";"TAB5",#N/A,TRUE,"GENERAL"}</definedName>
    <definedName name="rthjtj" localSheetId="9" hidden="1">{"TAB1",#N/A,TRUE,"GENERAL";"TAB2",#N/A,TRUE,"GENERAL";"TAB3",#N/A,TRUE,"GENERAL";"TAB4",#N/A,TRUE,"GENERAL";"TAB5",#N/A,TRUE,"GENERAL"}</definedName>
    <definedName name="rthjtj" localSheetId="16" hidden="1">{"TAB1",#N/A,TRUE,"GENERAL";"TAB2",#N/A,TRUE,"GENERAL";"TAB3",#N/A,TRUE,"GENERAL";"TAB4",#N/A,TRUE,"GENERAL";"TAB5",#N/A,TRUE,"GENERAL"}</definedName>
    <definedName name="rthjtj" localSheetId="19" hidden="1">{"TAB1",#N/A,TRUE,"GENERAL";"TAB2",#N/A,TRUE,"GENERAL";"TAB3",#N/A,TRUE,"GENERAL";"TAB4",#N/A,TRUE,"GENERAL";"TAB5",#N/A,TRUE,"GENERAL"}</definedName>
    <definedName name="rthjtj" hidden="1">{"TAB1",#N/A,TRUE,"GENERAL";"TAB2",#N/A,TRUE,"GENERAL";"TAB3",#N/A,TRUE,"GENERAL";"TAB4",#N/A,TRUE,"GENERAL";"TAB5",#N/A,TRUE,"GENERAL"}</definedName>
    <definedName name="rthrthg" localSheetId="1" hidden="1">{"via1",#N/A,TRUE,"general";"via2",#N/A,TRUE,"general";"via3",#N/A,TRUE,"general"}</definedName>
    <definedName name="rthrthg" localSheetId="9" hidden="1">{"via1",#N/A,TRUE,"general";"via2",#N/A,TRUE,"general";"via3",#N/A,TRUE,"general"}</definedName>
    <definedName name="rthrthg" localSheetId="16" hidden="1">{"via1",#N/A,TRUE,"general";"via2",#N/A,TRUE,"general";"via3",#N/A,TRUE,"general"}</definedName>
    <definedName name="rthrthg" localSheetId="19" hidden="1">{"via1",#N/A,TRUE,"general";"via2",#N/A,TRUE,"general";"via3",#N/A,TRUE,"general"}</definedName>
    <definedName name="rthrthg" hidden="1">{"via1",#N/A,TRUE,"general";"via2",#N/A,TRUE,"general";"via3",#N/A,TRUE,"general"}</definedName>
    <definedName name="rthtrh" localSheetId="1" hidden="1">{"via1",#N/A,TRUE,"general";"via2",#N/A,TRUE,"general";"via3",#N/A,TRUE,"general"}</definedName>
    <definedName name="rthtrh" localSheetId="9" hidden="1">{"via1",#N/A,TRUE,"general";"via2",#N/A,TRUE,"general";"via3",#N/A,TRUE,"general"}</definedName>
    <definedName name="rthtrh" localSheetId="16" hidden="1">{"via1",#N/A,TRUE,"general";"via2",#N/A,TRUE,"general";"via3",#N/A,TRUE,"general"}</definedName>
    <definedName name="rthtrh" localSheetId="19" hidden="1">{"via1",#N/A,TRUE,"general";"via2",#N/A,TRUE,"general";"via3",#N/A,TRUE,"general"}</definedName>
    <definedName name="rthtrh" hidden="1">{"via1",#N/A,TRUE,"general";"via2",#N/A,TRUE,"general";"via3",#N/A,TRUE,"general"}</definedName>
    <definedName name="rtkk" localSheetId="1" hidden="1">{"via1",#N/A,TRUE,"general";"via2",#N/A,TRUE,"general";"via3",#N/A,TRUE,"general"}</definedName>
    <definedName name="rtkk" localSheetId="9" hidden="1">{"via1",#N/A,TRUE,"general";"via2",#N/A,TRUE,"general";"via3",#N/A,TRUE,"general"}</definedName>
    <definedName name="rtkk" localSheetId="16" hidden="1">{"via1",#N/A,TRUE,"general";"via2",#N/A,TRUE,"general";"via3",#N/A,TRUE,"general"}</definedName>
    <definedName name="rtkk" localSheetId="19" hidden="1">{"via1",#N/A,TRUE,"general";"via2",#N/A,TRUE,"general";"via3",#N/A,TRUE,"general"}</definedName>
    <definedName name="rtkk" hidden="1">{"via1",#N/A,TRUE,"general";"via2",#N/A,TRUE,"general";"via3",#N/A,TRUE,"general"}</definedName>
    <definedName name="rttthy" localSheetId="1" hidden="1">{"via1",#N/A,TRUE,"general";"via2",#N/A,TRUE,"general";"via3",#N/A,TRUE,"general"}</definedName>
    <definedName name="rttthy" localSheetId="9" hidden="1">{"via1",#N/A,TRUE,"general";"via2",#N/A,TRUE,"general";"via3",#N/A,TRUE,"general"}</definedName>
    <definedName name="rttthy" localSheetId="16" hidden="1">{"via1",#N/A,TRUE,"general";"via2",#N/A,TRUE,"general";"via3",#N/A,TRUE,"general"}</definedName>
    <definedName name="rttthy" localSheetId="19" hidden="1">{"via1",#N/A,TRUE,"general";"via2",#N/A,TRUE,"general";"via3",#N/A,TRUE,"general"}</definedName>
    <definedName name="rttthy" hidden="1">{"via1",#N/A,TRUE,"general";"via2",#N/A,TRUE,"general";"via3",#N/A,TRUE,"general"}</definedName>
    <definedName name="rtu" localSheetId="1" hidden="1">{"via1",#N/A,TRUE,"general";"via2",#N/A,TRUE,"general";"via3",#N/A,TRUE,"general"}</definedName>
    <definedName name="rtu" localSheetId="9" hidden="1">{"via1",#N/A,TRUE,"general";"via2",#N/A,TRUE,"general";"via3",#N/A,TRUE,"general"}</definedName>
    <definedName name="rtu" localSheetId="16" hidden="1">{"via1",#N/A,TRUE,"general";"via2",#N/A,TRUE,"general";"via3",#N/A,TRUE,"general"}</definedName>
    <definedName name="rtu" localSheetId="19" hidden="1">{"via1",#N/A,TRUE,"general";"via2",#N/A,TRUE,"general";"via3",#N/A,TRUE,"general"}</definedName>
    <definedName name="rtu" hidden="1">{"via1",#N/A,TRUE,"general";"via2",#N/A,TRUE,"general";"via3",#N/A,TRUE,"general"}</definedName>
    <definedName name="rtug" localSheetId="1" hidden="1">{"TAB1",#N/A,TRUE,"GENERAL";"TAB2",#N/A,TRUE,"GENERAL";"TAB3",#N/A,TRUE,"GENERAL";"TAB4",#N/A,TRUE,"GENERAL";"TAB5",#N/A,TRUE,"GENERAL"}</definedName>
    <definedName name="rtug" localSheetId="9" hidden="1">{"TAB1",#N/A,TRUE,"GENERAL";"TAB2",#N/A,TRUE,"GENERAL";"TAB3",#N/A,TRUE,"GENERAL";"TAB4",#N/A,TRUE,"GENERAL";"TAB5",#N/A,TRUE,"GENERAL"}</definedName>
    <definedName name="rtug" localSheetId="16" hidden="1">{"TAB1",#N/A,TRUE,"GENERAL";"TAB2",#N/A,TRUE,"GENERAL";"TAB3",#N/A,TRUE,"GENERAL";"TAB4",#N/A,TRUE,"GENERAL";"TAB5",#N/A,TRUE,"GENERAL"}</definedName>
    <definedName name="rtug" localSheetId="19" hidden="1">{"TAB1",#N/A,TRUE,"GENERAL";"TAB2",#N/A,TRUE,"GENERAL";"TAB3",#N/A,TRUE,"GENERAL";"TAB4",#N/A,TRUE,"GENERAL";"TAB5",#N/A,TRUE,"GENERAL"}</definedName>
    <definedName name="rtug" hidden="1">{"TAB1",#N/A,TRUE,"GENERAL";"TAB2",#N/A,TRUE,"GENERAL";"TAB3",#N/A,TRUE,"GENERAL";"TAB4",#N/A,TRUE,"GENERAL";"TAB5",#N/A,TRUE,"GENERAL"}</definedName>
    <definedName name="rtugsd" localSheetId="1" hidden="1">{"TAB1",#N/A,TRUE,"GENERAL";"TAB2",#N/A,TRUE,"GENERAL";"TAB3",#N/A,TRUE,"GENERAL";"TAB4",#N/A,TRUE,"GENERAL";"TAB5",#N/A,TRUE,"GENERAL"}</definedName>
    <definedName name="rtugsd" localSheetId="9" hidden="1">{"TAB1",#N/A,TRUE,"GENERAL";"TAB2",#N/A,TRUE,"GENERAL";"TAB3",#N/A,TRUE,"GENERAL";"TAB4",#N/A,TRUE,"GENERAL";"TAB5",#N/A,TRUE,"GENERAL"}</definedName>
    <definedName name="rtugsd" localSheetId="16" hidden="1">{"TAB1",#N/A,TRUE,"GENERAL";"TAB2",#N/A,TRUE,"GENERAL";"TAB3",#N/A,TRUE,"GENERAL";"TAB4",#N/A,TRUE,"GENERAL";"TAB5",#N/A,TRUE,"GENERAL"}</definedName>
    <definedName name="rtugsd" localSheetId="19" hidden="1">{"TAB1",#N/A,TRUE,"GENERAL";"TAB2",#N/A,TRUE,"GENERAL";"TAB3",#N/A,TRUE,"GENERAL";"TAB4",#N/A,TRUE,"GENERAL";"TAB5",#N/A,TRUE,"GENERAL"}</definedName>
    <definedName name="rtugsd" hidden="1">{"TAB1",#N/A,TRUE,"GENERAL";"TAB2",#N/A,TRUE,"GENERAL";"TAB3",#N/A,TRUE,"GENERAL";"TAB4",#N/A,TRUE,"GENERAL";"TAB5",#N/A,TRUE,"GENERAL"}</definedName>
    <definedName name="rturtu" localSheetId="1" hidden="1">{"via1",#N/A,TRUE,"general";"via2",#N/A,TRUE,"general";"via3",#N/A,TRUE,"general"}</definedName>
    <definedName name="rturtu" localSheetId="9" hidden="1">{"via1",#N/A,TRUE,"general";"via2",#N/A,TRUE,"general";"via3",#N/A,TRUE,"general"}</definedName>
    <definedName name="rturtu" localSheetId="16" hidden="1">{"via1",#N/A,TRUE,"general";"via2",#N/A,TRUE,"general";"via3",#N/A,TRUE,"general"}</definedName>
    <definedName name="rturtu" localSheetId="19" hidden="1">{"via1",#N/A,TRUE,"general";"via2",#N/A,TRUE,"general";"via3",#N/A,TRUE,"general"}</definedName>
    <definedName name="rturtu" hidden="1">{"via1",#N/A,TRUE,"general";"via2",#N/A,TRUE,"general";"via3",#N/A,TRUE,"general"}</definedName>
    <definedName name="rturu" localSheetId="1" hidden="1">{"via1",#N/A,TRUE,"general";"via2",#N/A,TRUE,"general";"via3",#N/A,TRUE,"general"}</definedName>
    <definedName name="rturu" localSheetId="9" hidden="1">{"via1",#N/A,TRUE,"general";"via2",#N/A,TRUE,"general";"via3",#N/A,TRUE,"general"}</definedName>
    <definedName name="rturu" localSheetId="16" hidden="1">{"via1",#N/A,TRUE,"general";"via2",#N/A,TRUE,"general";"via3",#N/A,TRUE,"general"}</definedName>
    <definedName name="rturu" localSheetId="19" hidden="1">{"via1",#N/A,TRUE,"general";"via2",#N/A,TRUE,"general";"via3",#N/A,TRUE,"general"}</definedName>
    <definedName name="rturu" hidden="1">{"via1",#N/A,TRUE,"general";"via2",#N/A,TRUE,"general";"via3",#N/A,TRUE,"general"}</definedName>
    <definedName name="rtut" localSheetId="1" hidden="1">{"via1",#N/A,TRUE,"general";"via2",#N/A,TRUE,"general";"via3",#N/A,TRUE,"general"}</definedName>
    <definedName name="rtut" localSheetId="9" hidden="1">{"via1",#N/A,TRUE,"general";"via2",#N/A,TRUE,"general";"via3",#N/A,TRUE,"general"}</definedName>
    <definedName name="rtut" localSheetId="16" hidden="1">{"via1",#N/A,TRUE,"general";"via2",#N/A,TRUE,"general";"via3",#N/A,TRUE,"general"}</definedName>
    <definedName name="rtut" localSheetId="19" hidden="1">{"via1",#N/A,TRUE,"general";"via2",#N/A,TRUE,"general";"via3",#N/A,TRUE,"general"}</definedName>
    <definedName name="rtut" hidden="1">{"via1",#N/A,TRUE,"general";"via2",#N/A,TRUE,"general";"via3",#N/A,TRUE,"general"}</definedName>
    <definedName name="rtutru" localSheetId="1" hidden="1">{"via1",#N/A,TRUE,"general";"via2",#N/A,TRUE,"general";"via3",#N/A,TRUE,"general"}</definedName>
    <definedName name="rtutru" localSheetId="9" hidden="1">{"via1",#N/A,TRUE,"general";"via2",#N/A,TRUE,"general";"via3",#N/A,TRUE,"general"}</definedName>
    <definedName name="rtutru" localSheetId="16" hidden="1">{"via1",#N/A,TRUE,"general";"via2",#N/A,TRUE,"general";"via3",#N/A,TRUE,"general"}</definedName>
    <definedName name="rtutru" localSheetId="19" hidden="1">{"via1",#N/A,TRUE,"general";"via2",#N/A,TRUE,"general";"via3",#N/A,TRUE,"general"}</definedName>
    <definedName name="rtutru" hidden="1">{"via1",#N/A,TRUE,"general";"via2",#N/A,TRUE,"general";"via3",#N/A,TRUE,"general"}</definedName>
    <definedName name="rtuy" localSheetId="1" hidden="1">{"via1",#N/A,TRUE,"general";"via2",#N/A,TRUE,"general";"via3",#N/A,TRUE,"general"}</definedName>
    <definedName name="rtuy" localSheetId="9" hidden="1">{"via1",#N/A,TRUE,"general";"via2",#N/A,TRUE,"general";"via3",#N/A,TRUE,"general"}</definedName>
    <definedName name="rtuy" localSheetId="16" hidden="1">{"via1",#N/A,TRUE,"general";"via2",#N/A,TRUE,"general";"via3",#N/A,TRUE,"general"}</definedName>
    <definedName name="rtuy" localSheetId="19" hidden="1">{"via1",#N/A,TRUE,"general";"via2",#N/A,TRUE,"general";"via3",#N/A,TRUE,"general"}</definedName>
    <definedName name="rtuy" hidden="1">{"via1",#N/A,TRUE,"general";"via2",#N/A,TRUE,"general";"via3",#N/A,TRUE,"general"}</definedName>
    <definedName name="rty" localSheetId="3">#REF!</definedName>
    <definedName name="rty">#REF!</definedName>
    <definedName name="rtyhr" localSheetId="1" hidden="1">{"TAB1",#N/A,TRUE,"GENERAL";"TAB2",#N/A,TRUE,"GENERAL";"TAB3",#N/A,TRUE,"GENERAL";"TAB4",#N/A,TRUE,"GENERAL";"TAB5",#N/A,TRUE,"GENERAL"}</definedName>
    <definedName name="rtyhr" localSheetId="9" hidden="1">{"TAB1",#N/A,TRUE,"GENERAL";"TAB2",#N/A,TRUE,"GENERAL";"TAB3",#N/A,TRUE,"GENERAL";"TAB4",#N/A,TRUE,"GENERAL";"TAB5",#N/A,TRUE,"GENERAL"}</definedName>
    <definedName name="rtyhr" localSheetId="16" hidden="1">{"TAB1",#N/A,TRUE,"GENERAL";"TAB2",#N/A,TRUE,"GENERAL";"TAB3",#N/A,TRUE,"GENERAL";"TAB4",#N/A,TRUE,"GENERAL";"TAB5",#N/A,TRUE,"GENERAL"}</definedName>
    <definedName name="rtyhr" localSheetId="19" hidden="1">{"TAB1",#N/A,TRUE,"GENERAL";"TAB2",#N/A,TRUE,"GENERAL";"TAB3",#N/A,TRUE,"GENERAL";"TAB4",#N/A,TRUE,"GENERAL";"TAB5",#N/A,TRUE,"GENERAL"}</definedName>
    <definedName name="rtyhr" hidden="1">{"TAB1",#N/A,TRUE,"GENERAL";"TAB2",#N/A,TRUE,"GENERAL";"TAB3",#N/A,TRUE,"GENERAL";"TAB4",#N/A,TRUE,"GENERAL";"TAB5",#N/A,TRUE,"GENERAL"}</definedName>
    <definedName name="rtym" localSheetId="1" hidden="1">{"via1",#N/A,TRUE,"general";"via2",#N/A,TRUE,"general";"via3",#N/A,TRUE,"general"}</definedName>
    <definedName name="rtym" localSheetId="9" hidden="1">{"via1",#N/A,TRUE,"general";"via2",#N/A,TRUE,"general";"via3",#N/A,TRUE,"general"}</definedName>
    <definedName name="rtym" localSheetId="16" hidden="1">{"via1",#N/A,TRUE,"general";"via2",#N/A,TRUE,"general";"via3",#N/A,TRUE,"general"}</definedName>
    <definedName name="rtym" localSheetId="19" hidden="1">{"via1",#N/A,TRUE,"general";"via2",#N/A,TRUE,"general";"via3",#N/A,TRUE,"general"}</definedName>
    <definedName name="rtym" hidden="1">{"via1",#N/A,TRUE,"general";"via2",#N/A,TRUE,"general";"via3",#N/A,TRUE,"general"}</definedName>
    <definedName name="rtyrey" localSheetId="1" hidden="1">{"TAB1",#N/A,TRUE,"GENERAL";"TAB2",#N/A,TRUE,"GENERAL";"TAB3",#N/A,TRUE,"GENERAL";"TAB4",#N/A,TRUE,"GENERAL";"TAB5",#N/A,TRUE,"GENERAL"}</definedName>
    <definedName name="rtyrey" localSheetId="9" hidden="1">{"TAB1",#N/A,TRUE,"GENERAL";"TAB2",#N/A,TRUE,"GENERAL";"TAB3",#N/A,TRUE,"GENERAL";"TAB4",#N/A,TRUE,"GENERAL";"TAB5",#N/A,TRUE,"GENERAL"}</definedName>
    <definedName name="rtyrey" localSheetId="16" hidden="1">{"TAB1",#N/A,TRUE,"GENERAL";"TAB2",#N/A,TRUE,"GENERAL";"TAB3",#N/A,TRUE,"GENERAL";"TAB4",#N/A,TRUE,"GENERAL";"TAB5",#N/A,TRUE,"GENERAL"}</definedName>
    <definedName name="rtyrey" localSheetId="19" hidden="1">{"TAB1",#N/A,TRUE,"GENERAL";"TAB2",#N/A,TRUE,"GENERAL";"TAB3",#N/A,TRUE,"GENERAL";"TAB4",#N/A,TRUE,"GENERAL";"TAB5",#N/A,TRUE,"GENERAL"}</definedName>
    <definedName name="rtyrey" hidden="1">{"TAB1",#N/A,TRUE,"GENERAL";"TAB2",#N/A,TRUE,"GENERAL";"TAB3",#N/A,TRUE,"GENERAL";"TAB4",#N/A,TRUE,"GENERAL";"TAB5",#N/A,TRUE,"GENERAL"}</definedName>
    <definedName name="rtyrh" localSheetId="1" hidden="1">{"via1",#N/A,TRUE,"general";"via2",#N/A,TRUE,"general";"via3",#N/A,TRUE,"general"}</definedName>
    <definedName name="rtyrh" localSheetId="9" hidden="1">{"via1",#N/A,TRUE,"general";"via2",#N/A,TRUE,"general";"via3",#N/A,TRUE,"general"}</definedName>
    <definedName name="rtyrh" localSheetId="16" hidden="1">{"via1",#N/A,TRUE,"general";"via2",#N/A,TRUE,"general";"via3",#N/A,TRUE,"general"}</definedName>
    <definedName name="rtyrh" localSheetId="19" hidden="1">{"via1",#N/A,TRUE,"general";"via2",#N/A,TRUE,"general";"via3",#N/A,TRUE,"general"}</definedName>
    <definedName name="rtyrh" hidden="1">{"via1",#N/A,TRUE,"general";"via2",#N/A,TRUE,"general";"via3",#N/A,TRUE,"general"}</definedName>
    <definedName name="RTYRTY" localSheetId="1" hidden="1">{"via1",#N/A,TRUE,"general";"via2",#N/A,TRUE,"general";"via3",#N/A,TRUE,"general"}</definedName>
    <definedName name="RTYRTY" localSheetId="9" hidden="1">{"via1",#N/A,TRUE,"general";"via2",#N/A,TRUE,"general";"via3",#N/A,TRUE,"general"}</definedName>
    <definedName name="RTYRTY" localSheetId="16" hidden="1">{"via1",#N/A,TRUE,"general";"via2",#N/A,TRUE,"general";"via3",#N/A,TRUE,"general"}</definedName>
    <definedName name="RTYRTY" localSheetId="19" hidden="1">{"via1",#N/A,TRUE,"general";"via2",#N/A,TRUE,"general";"via3",#N/A,TRUE,"general"}</definedName>
    <definedName name="RTYRTY" hidden="1">{"via1",#N/A,TRUE,"general";"via2",#N/A,TRUE,"general";"via3",#N/A,TRUE,"general"}</definedName>
    <definedName name="rtyt" localSheetId="1" hidden="1">{"TAB1",#N/A,TRUE,"GENERAL";"TAB2",#N/A,TRUE,"GENERAL";"TAB3",#N/A,TRUE,"GENERAL";"TAB4",#N/A,TRUE,"GENERAL";"TAB5",#N/A,TRUE,"GENERAL"}</definedName>
    <definedName name="rtyt" localSheetId="9" hidden="1">{"TAB1",#N/A,TRUE,"GENERAL";"TAB2",#N/A,TRUE,"GENERAL";"TAB3",#N/A,TRUE,"GENERAL";"TAB4",#N/A,TRUE,"GENERAL";"TAB5",#N/A,TRUE,"GENERAL"}</definedName>
    <definedName name="rtyt" localSheetId="16" hidden="1">{"TAB1",#N/A,TRUE,"GENERAL";"TAB2",#N/A,TRUE,"GENERAL";"TAB3",#N/A,TRUE,"GENERAL";"TAB4",#N/A,TRUE,"GENERAL";"TAB5",#N/A,TRUE,"GENERAL"}</definedName>
    <definedName name="rtyt" localSheetId="19" hidden="1">{"TAB1",#N/A,TRUE,"GENERAL";"TAB2",#N/A,TRUE,"GENERAL";"TAB3",#N/A,TRUE,"GENERAL";"TAB4",#N/A,TRUE,"GENERAL";"TAB5",#N/A,TRUE,"GENERAL"}</definedName>
    <definedName name="rtyt" hidden="1">{"TAB1",#N/A,TRUE,"GENERAL";"TAB2",#N/A,TRUE,"GENERAL";"TAB3",#N/A,TRUE,"GENERAL";"TAB4",#N/A,TRUE,"GENERAL";"TAB5",#N/A,TRUE,"GENERAL"}</definedName>
    <definedName name="rtytry" localSheetId="1" hidden="1">{"via1",#N/A,TRUE,"general";"via2",#N/A,TRUE,"general";"via3",#N/A,TRUE,"general"}</definedName>
    <definedName name="rtytry" localSheetId="9" hidden="1">{"via1",#N/A,TRUE,"general";"via2",#N/A,TRUE,"general";"via3",#N/A,TRUE,"general"}</definedName>
    <definedName name="rtytry" localSheetId="16" hidden="1">{"via1",#N/A,TRUE,"general";"via2",#N/A,TRUE,"general";"via3",#N/A,TRUE,"general"}</definedName>
    <definedName name="rtytry" localSheetId="19" hidden="1">{"via1",#N/A,TRUE,"general";"via2",#N/A,TRUE,"general";"via3",#N/A,TRUE,"general"}</definedName>
    <definedName name="rtytry" hidden="1">{"via1",#N/A,TRUE,"general";"via2",#N/A,TRUE,"general";"via3",#N/A,TRUE,"general"}</definedName>
    <definedName name="ruru" localSheetId="1" hidden="1">{"TAB1",#N/A,TRUE,"GENERAL";"TAB2",#N/A,TRUE,"GENERAL";"TAB3",#N/A,TRUE,"GENERAL";"TAB4",#N/A,TRUE,"GENERAL";"TAB5",#N/A,TRUE,"GENERAL"}</definedName>
    <definedName name="ruru" localSheetId="9" hidden="1">{"TAB1",#N/A,TRUE,"GENERAL";"TAB2",#N/A,TRUE,"GENERAL";"TAB3",#N/A,TRUE,"GENERAL";"TAB4",#N/A,TRUE,"GENERAL";"TAB5",#N/A,TRUE,"GENERAL"}</definedName>
    <definedName name="ruru" localSheetId="16" hidden="1">{"TAB1",#N/A,TRUE,"GENERAL";"TAB2",#N/A,TRUE,"GENERAL";"TAB3",#N/A,TRUE,"GENERAL";"TAB4",#N/A,TRUE,"GENERAL";"TAB5",#N/A,TRUE,"GENERAL"}</definedName>
    <definedName name="ruru" localSheetId="19" hidden="1">{"TAB1",#N/A,TRUE,"GENERAL";"TAB2",#N/A,TRUE,"GENERAL";"TAB3",#N/A,TRUE,"GENERAL";"TAB4",#N/A,TRUE,"GENERAL";"TAB5",#N/A,TRUE,"GENERAL"}</definedName>
    <definedName name="ruru" hidden="1">{"TAB1",#N/A,TRUE,"GENERAL";"TAB2",#N/A,TRUE,"GENERAL";"TAB3",#N/A,TRUE,"GENERAL";"TAB4",#N/A,TRUE,"GENERAL";"TAB5",#N/A,TRUE,"GENERAL"}</definedName>
    <definedName name="RUTA" localSheetId="3">DATE(YEAR('FM '!Loan_Start),MONTH('FM '!Loan_Start)+Payment_Number,DAY('FM '!Loan_Start))</definedName>
    <definedName name="RUTA">#N/A</definedName>
    <definedName name="rutu" localSheetId="1" hidden="1">{"via1",#N/A,TRUE,"general";"via2",#N/A,TRUE,"general";"via3",#N/A,TRUE,"general"}</definedName>
    <definedName name="rutu" localSheetId="9" hidden="1">{"via1",#N/A,TRUE,"general";"via2",#N/A,TRUE,"general";"via3",#N/A,TRUE,"general"}</definedName>
    <definedName name="rutu" localSheetId="16" hidden="1">{"via1",#N/A,TRUE,"general";"via2",#N/A,TRUE,"general";"via3",#N/A,TRUE,"general"}</definedName>
    <definedName name="rutu" localSheetId="19" hidden="1">{"via1",#N/A,TRUE,"general";"via2",#N/A,TRUE,"general";"via3",#N/A,TRUE,"general"}</definedName>
    <definedName name="rutu" hidden="1">{"via1",#N/A,TRUE,"general";"via2",#N/A,TRUE,"general";"via3",#N/A,TRUE,"general"}</definedName>
    <definedName name="RW">[108]items!$C$4:$J$248</definedName>
    <definedName name="rwt" localSheetId="1" hidden="1">{"via1",#N/A,TRUE,"general";"via2",#N/A,TRUE,"general";"via3",#N/A,TRUE,"general"}</definedName>
    <definedName name="rwt" localSheetId="9" hidden="1">{"via1",#N/A,TRUE,"general";"via2",#N/A,TRUE,"general";"via3",#N/A,TRUE,"general"}</definedName>
    <definedName name="rwt" localSheetId="16" hidden="1">{"via1",#N/A,TRUE,"general";"via2",#N/A,TRUE,"general";"via3",#N/A,TRUE,"general"}</definedName>
    <definedName name="rwt" localSheetId="19" hidden="1">{"via1",#N/A,TRUE,"general";"via2",#N/A,TRUE,"general";"via3",#N/A,TRUE,"general"}</definedName>
    <definedName name="rwt" hidden="1">{"via1",#N/A,TRUE,"general";"via2",#N/A,TRUE,"general";"via3",#N/A,TRUE,"general"}</definedName>
    <definedName name="ry" localSheetId="1" hidden="1">{"via1",#N/A,TRUE,"general";"via2",#N/A,TRUE,"general";"via3",#N/A,TRUE,"general"}</definedName>
    <definedName name="ry" localSheetId="9" hidden="1">{"via1",#N/A,TRUE,"general";"via2",#N/A,TRUE,"general";"via3",#N/A,TRUE,"general"}</definedName>
    <definedName name="ry" localSheetId="16" hidden="1">{"via1",#N/A,TRUE,"general";"via2",#N/A,TRUE,"general";"via3",#N/A,TRUE,"general"}</definedName>
    <definedName name="ry" localSheetId="3">#REF!</definedName>
    <definedName name="ry" localSheetId="19" hidden="1">{"via1",#N/A,TRUE,"general";"via2",#N/A,TRUE,"general";"via3",#N/A,TRUE,"general"}</definedName>
    <definedName name="ry" hidden="1">{"via1",#N/A,TRUE,"general";"via2",#N/A,TRUE,"general";"via3",#N/A,TRUE,"general"}</definedName>
    <definedName name="ryeryb" localSheetId="1" hidden="1">{"TAB1",#N/A,TRUE,"GENERAL";"TAB2",#N/A,TRUE,"GENERAL";"TAB3",#N/A,TRUE,"GENERAL";"TAB4",#N/A,TRUE,"GENERAL";"TAB5",#N/A,TRUE,"GENERAL"}</definedName>
    <definedName name="ryeryb" localSheetId="9" hidden="1">{"TAB1",#N/A,TRUE,"GENERAL";"TAB2",#N/A,TRUE,"GENERAL";"TAB3",#N/A,TRUE,"GENERAL";"TAB4",#N/A,TRUE,"GENERAL";"TAB5",#N/A,TRUE,"GENERAL"}</definedName>
    <definedName name="ryeryb" localSheetId="16" hidden="1">{"TAB1",#N/A,TRUE,"GENERAL";"TAB2",#N/A,TRUE,"GENERAL";"TAB3",#N/A,TRUE,"GENERAL";"TAB4",#N/A,TRUE,"GENERAL";"TAB5",#N/A,TRUE,"GENERAL"}</definedName>
    <definedName name="ryeryb" localSheetId="19" hidden="1">{"TAB1",#N/A,TRUE,"GENERAL";"TAB2",#N/A,TRUE,"GENERAL";"TAB3",#N/A,TRUE,"GENERAL";"TAB4",#N/A,TRUE,"GENERAL";"TAB5",#N/A,TRUE,"GENERAL"}</definedName>
    <definedName name="ryeryb" hidden="1">{"TAB1",#N/A,TRUE,"GENERAL";"TAB2",#N/A,TRUE,"GENERAL";"TAB3",#N/A,TRUE,"GENERAL";"TAB4",#N/A,TRUE,"GENERAL";"TAB5",#N/A,TRUE,"GENERAL"}</definedName>
    <definedName name="rytrsdg" localSheetId="1" hidden="1">{"via1",#N/A,TRUE,"general";"via2",#N/A,TRUE,"general";"via3",#N/A,TRUE,"general"}</definedName>
    <definedName name="rytrsdg" localSheetId="9" hidden="1">{"via1",#N/A,TRUE,"general";"via2",#N/A,TRUE,"general";"via3",#N/A,TRUE,"general"}</definedName>
    <definedName name="rytrsdg" localSheetId="16" hidden="1">{"via1",#N/A,TRUE,"general";"via2",#N/A,TRUE,"general";"via3",#N/A,TRUE,"general"}</definedName>
    <definedName name="rytrsdg" localSheetId="19" hidden="1">{"via1",#N/A,TRUE,"general";"via2",#N/A,TRUE,"general";"via3",#N/A,TRUE,"general"}</definedName>
    <definedName name="rytrsdg" hidden="1">{"via1",#N/A,TRUE,"general";"via2",#N/A,TRUE,"general";"via3",#N/A,TRUE,"general"}</definedName>
    <definedName name="S" localSheetId="16">#REF!</definedName>
    <definedName name="s" localSheetId="3">#REF!</definedName>
    <definedName name="S" localSheetId="19">'INSUMOS '!#REF!</definedName>
    <definedName name="S">#REF!</definedName>
    <definedName name="saa" localSheetId="1" hidden="1">{"via1",#N/A,TRUE,"general";"via2",#N/A,TRUE,"general";"via3",#N/A,TRUE,"general"}</definedName>
    <definedName name="saa" localSheetId="9" hidden="1">{"via1",#N/A,TRUE,"general";"via2",#N/A,TRUE,"general";"via3",#N/A,TRUE,"general"}</definedName>
    <definedName name="saa" localSheetId="16" hidden="1">{"via1",#N/A,TRUE,"general";"via2",#N/A,TRUE,"general";"via3",#N/A,TRUE,"general"}</definedName>
    <definedName name="saa" localSheetId="19" hidden="1">{"via1",#N/A,TRUE,"general";"via2",#N/A,TRUE,"general";"via3",#N/A,TRUE,"general"}</definedName>
    <definedName name="saa" hidden="1">{"via1",#N/A,TRUE,"general";"via2",#N/A,TRUE,"general";"via3",#N/A,TRUE,"general"}</definedName>
    <definedName name="Sabaneta">'[32]SABANETA 3335'!$B$7:$L$475</definedName>
    <definedName name="SAD" localSheetId="1" hidden="1">{"via1",#N/A,TRUE,"general";"via2",#N/A,TRUE,"general";"via3",#N/A,TRUE,"general"}</definedName>
    <definedName name="SAD" localSheetId="9" hidden="1">{"via1",#N/A,TRUE,"general";"via2",#N/A,TRUE,"general";"via3",#N/A,TRUE,"general"}</definedName>
    <definedName name="SAD" localSheetId="16" hidden="1">{"via1",#N/A,TRUE,"general";"via2",#N/A,TRUE,"general";"via3",#N/A,TRUE,"general"}</definedName>
    <definedName name="SAD" localSheetId="19" hidden="1">{"via1",#N/A,TRUE,"general";"via2",#N/A,TRUE,"general";"via3",#N/A,TRUE,"general"}</definedName>
    <definedName name="SAD" hidden="1">{"via1",#N/A,TRUE,"general";"via2",#N/A,TRUE,"general";"via3",#N/A,TRUE,"general"}</definedName>
    <definedName name="SADF" localSheetId="1" hidden="1">{"via1",#N/A,TRUE,"general";"via2",#N/A,TRUE,"general";"via3",#N/A,TRUE,"general"}</definedName>
    <definedName name="SADF" localSheetId="9" hidden="1">{"via1",#N/A,TRUE,"general";"via2",#N/A,TRUE,"general";"via3",#N/A,TRUE,"general"}</definedName>
    <definedName name="SADF" localSheetId="16" hidden="1">{"via1",#N/A,TRUE,"general";"via2",#N/A,TRUE,"general";"via3",#N/A,TRUE,"general"}</definedName>
    <definedName name="SADF" localSheetId="19" hidden="1">{"via1",#N/A,TRUE,"general";"via2",#N/A,TRUE,"general";"via3",#N/A,TRUE,"general"}</definedName>
    <definedName name="SADF" hidden="1">{"via1",#N/A,TRUE,"general";"via2",#N/A,TRUE,"general";"via3",#N/A,TRUE,"general"}</definedName>
    <definedName name="sadff" localSheetId="1" hidden="1">{"TAB1",#N/A,TRUE,"GENERAL";"TAB2",#N/A,TRUE,"GENERAL";"TAB3",#N/A,TRUE,"GENERAL";"TAB4",#N/A,TRUE,"GENERAL";"TAB5",#N/A,TRUE,"GENERAL"}</definedName>
    <definedName name="sadff" localSheetId="9" hidden="1">{"TAB1",#N/A,TRUE,"GENERAL";"TAB2",#N/A,TRUE,"GENERAL";"TAB3",#N/A,TRUE,"GENERAL";"TAB4",#N/A,TRUE,"GENERAL";"TAB5",#N/A,TRUE,"GENERAL"}</definedName>
    <definedName name="sadff" localSheetId="16" hidden="1">{"TAB1",#N/A,TRUE,"GENERAL";"TAB2",#N/A,TRUE,"GENERAL";"TAB3",#N/A,TRUE,"GENERAL";"TAB4",#N/A,TRUE,"GENERAL";"TAB5",#N/A,TRUE,"GENERAL"}</definedName>
    <definedName name="sadff" localSheetId="19" hidden="1">{"TAB1",#N/A,TRUE,"GENERAL";"TAB2",#N/A,TRUE,"GENERAL";"TAB3",#N/A,TRUE,"GENERAL";"TAB4",#N/A,TRUE,"GENERAL";"TAB5",#N/A,TRUE,"GENERAL"}</definedName>
    <definedName name="sadff" hidden="1">{"TAB1",#N/A,TRUE,"GENERAL";"TAB2",#N/A,TRUE,"GENERAL";"TAB3",#N/A,TRUE,"GENERAL";"TAB4",#N/A,TRUE,"GENERAL";"TAB5",#N/A,TRUE,"GENERAL"}</definedName>
    <definedName name="sadfo" localSheetId="1" hidden="1">{"via1",#N/A,TRUE,"general";"via2",#N/A,TRUE,"general";"via3",#N/A,TRUE,"general"}</definedName>
    <definedName name="sadfo" localSheetId="9" hidden="1">{"via1",#N/A,TRUE,"general";"via2",#N/A,TRUE,"general";"via3",#N/A,TRUE,"general"}</definedName>
    <definedName name="sadfo" localSheetId="16" hidden="1">{"via1",#N/A,TRUE,"general";"via2",#N/A,TRUE,"general";"via3",#N/A,TRUE,"general"}</definedName>
    <definedName name="sadfo" localSheetId="19" hidden="1">{"via1",#N/A,TRUE,"general";"via2",#N/A,TRUE,"general";"via3",#N/A,TRUE,"general"}</definedName>
    <definedName name="sadfo" hidden="1">{"via1",#N/A,TRUE,"general";"via2",#N/A,TRUE,"general";"via3",#N/A,TRUE,"general"}</definedName>
    <definedName name="safdp" localSheetId="1" hidden="1">{"TAB1",#N/A,TRUE,"GENERAL";"TAB2",#N/A,TRUE,"GENERAL";"TAB3",#N/A,TRUE,"GENERAL";"TAB4",#N/A,TRUE,"GENERAL";"TAB5",#N/A,TRUE,"GENERAL"}</definedName>
    <definedName name="safdp" localSheetId="9" hidden="1">{"TAB1",#N/A,TRUE,"GENERAL";"TAB2",#N/A,TRUE,"GENERAL";"TAB3",#N/A,TRUE,"GENERAL";"TAB4",#N/A,TRUE,"GENERAL";"TAB5",#N/A,TRUE,"GENERAL"}</definedName>
    <definedName name="safdp" localSheetId="16" hidden="1">{"TAB1",#N/A,TRUE,"GENERAL";"TAB2",#N/A,TRUE,"GENERAL";"TAB3",#N/A,TRUE,"GENERAL";"TAB4",#N/A,TRUE,"GENERAL";"TAB5",#N/A,TRUE,"GENERAL"}</definedName>
    <definedName name="safdp" localSheetId="19" hidden="1">{"TAB1",#N/A,TRUE,"GENERAL";"TAB2",#N/A,TRUE,"GENERAL";"TAB3",#N/A,TRUE,"GENERAL";"TAB4",#N/A,TRUE,"GENERAL";"TAB5",#N/A,TRUE,"GENERAL"}</definedName>
    <definedName name="safdp" hidden="1">{"TAB1",#N/A,TRUE,"GENERAL";"TAB2",#N/A,TRUE,"GENERAL";"TAB3",#N/A,TRUE,"GENERAL";"TAB4",#N/A,TRUE,"GENERAL";"TAB5",#N/A,TRUE,"GENERAL"}</definedName>
    <definedName name="SalMinimo">[34]BASES!$E$41</definedName>
    <definedName name="SAOG7" localSheetId="16">#REF!</definedName>
    <definedName name="SAOG7">#REF!</definedName>
    <definedName name="SAOG7OCTUBRE" localSheetId="16">#REF!</definedName>
    <definedName name="SAOG7OCTUBRE">#REF!</definedName>
    <definedName name="sbe" localSheetId="16">#REF!</definedName>
    <definedName name="sbe">#REF!</definedName>
    <definedName name="sbgfbgdr" localSheetId="1" hidden="1">{"via1",#N/A,TRUE,"general";"via2",#N/A,TRUE,"general";"via3",#N/A,TRUE,"general"}</definedName>
    <definedName name="sbgfbgdr" localSheetId="9" hidden="1">{"via1",#N/A,TRUE,"general";"via2",#N/A,TRUE,"general";"via3",#N/A,TRUE,"general"}</definedName>
    <definedName name="sbgfbgdr" localSheetId="16" hidden="1">{"via1",#N/A,TRUE,"general";"via2",#N/A,TRUE,"general";"via3",#N/A,TRUE,"general"}</definedName>
    <definedName name="sbgfbgdr" localSheetId="19" hidden="1">{"via1",#N/A,TRUE,"general";"via2",#N/A,TRUE,"general";"via3",#N/A,TRUE,"general"}</definedName>
    <definedName name="sbgfbgdr" hidden="1">{"via1",#N/A,TRUE,"general";"via2",#N/A,TRUE,"general";"via3",#N/A,TRUE,"general"}</definedName>
    <definedName name="sc" localSheetId="3">#REF!</definedName>
    <definedName name="sc">#REF!</definedName>
    <definedName name="scft">'[15]Gabinetes ctrol, prot. y med. '!#REF!</definedName>
    <definedName name="Sched_Pay" localSheetId="16">#REF!</definedName>
    <definedName name="Sched_Pay" localSheetId="3">#REF!</definedName>
    <definedName name="Sched_Pay" localSheetId="19">#REF!</definedName>
    <definedName name="Sched_Pay">#REF!</definedName>
    <definedName name="Scheduled_Extra_Payments" localSheetId="16">#REF!</definedName>
    <definedName name="Scheduled_Extra_Payments">#REF!</definedName>
    <definedName name="Scheduled_Interest_Rate">#REF!</definedName>
    <definedName name="Scheduled_Monthly_Payment">#REF!</definedName>
    <definedName name="sd" localSheetId="1" hidden="1">{"TAB1",#N/A,TRUE,"GENERAL";"TAB2",#N/A,TRUE,"GENERAL";"TAB3",#N/A,TRUE,"GENERAL";"TAB4",#N/A,TRUE,"GENERAL";"TAB5",#N/A,TRUE,"GENERAL"}</definedName>
    <definedName name="sd" localSheetId="9" hidden="1">{"TAB1",#N/A,TRUE,"GENERAL";"TAB2",#N/A,TRUE,"GENERAL";"TAB3",#N/A,TRUE,"GENERAL";"TAB4",#N/A,TRUE,"GENERAL";"TAB5",#N/A,TRUE,"GENERAL"}</definedName>
    <definedName name="sd" localSheetId="16" hidden="1">{"TAB1",#N/A,TRUE,"GENERAL";"TAB2",#N/A,TRUE,"GENERAL";"TAB3",#N/A,TRUE,"GENERAL";"TAB4",#N/A,TRUE,"GENERAL";"TAB5",#N/A,TRUE,"GENERAL"}</definedName>
    <definedName name="sd" localSheetId="3">#REF!</definedName>
    <definedName name="sd" localSheetId="19" hidden="1">{"TAB1",#N/A,TRUE,"GENERAL";"TAB2",#N/A,TRUE,"GENERAL";"TAB3",#N/A,TRUE,"GENERAL";"TAB4",#N/A,TRUE,"GENERAL";"TAB5",#N/A,TRUE,"GENERAL"}</definedName>
    <definedName name="sd" hidden="1">{"TAB1",#N/A,TRUE,"GENERAL";"TAB2",#N/A,TRUE,"GENERAL";"TAB3",#N/A,TRUE,"GENERAL";"TAB4",#N/A,TRUE,"GENERAL";"TAB5",#N/A,TRUE,"GENERAL"}</definedName>
    <definedName name="sdaf" localSheetId="1" hidden="1">{"via1",#N/A,TRUE,"general";"via2",#N/A,TRUE,"general";"via3",#N/A,TRUE,"general"}</definedName>
    <definedName name="sdaf" localSheetId="9" hidden="1">{"via1",#N/A,TRUE,"general";"via2",#N/A,TRUE,"general";"via3",#N/A,TRUE,"general"}</definedName>
    <definedName name="sdaf" localSheetId="16" hidden="1">{"via1",#N/A,TRUE,"general";"via2",#N/A,TRUE,"general";"via3",#N/A,TRUE,"general"}</definedName>
    <definedName name="sdaf" localSheetId="19" hidden="1">{"via1",#N/A,TRUE,"general";"via2",#N/A,TRUE,"general";"via3",#N/A,TRUE,"general"}</definedName>
    <definedName name="sdaf" hidden="1">{"via1",#N/A,TRUE,"general";"via2",#N/A,TRUE,"general";"via3",#N/A,TRUE,"general"}</definedName>
    <definedName name="sdas" localSheetId="1" hidden="1">{"via1",#N/A,TRUE,"general";"via2",#N/A,TRUE,"general";"via3",#N/A,TRUE,"general"}</definedName>
    <definedName name="sdas" localSheetId="9" hidden="1">{"via1",#N/A,TRUE,"general";"via2",#N/A,TRUE,"general";"via3",#N/A,TRUE,"general"}</definedName>
    <definedName name="sdas" localSheetId="16" hidden="1">{"via1",#N/A,TRUE,"general";"via2",#N/A,TRUE,"general";"via3",#N/A,TRUE,"general"}</definedName>
    <definedName name="sdas" localSheetId="19" hidden="1">{"via1",#N/A,TRUE,"general";"via2",#N/A,TRUE,"general";"via3",#N/A,TRUE,"general"}</definedName>
    <definedName name="sdas" hidden="1">{"via1",#N/A,TRUE,"general";"via2",#N/A,TRUE,"general";"via3",#N/A,TRUE,"general"}</definedName>
    <definedName name="sdasdf" localSheetId="1" hidden="1">{"via1",#N/A,TRUE,"general";"via2",#N/A,TRUE,"general";"via3",#N/A,TRUE,"general"}</definedName>
    <definedName name="sdasdf" localSheetId="9" hidden="1">{"via1",#N/A,TRUE,"general";"via2",#N/A,TRUE,"general";"via3",#N/A,TRUE,"general"}</definedName>
    <definedName name="sdasdf" localSheetId="16" hidden="1">{"via1",#N/A,TRUE,"general";"via2",#N/A,TRUE,"general";"via3",#N/A,TRUE,"general"}</definedName>
    <definedName name="sdasdf" localSheetId="19" hidden="1">{"via1",#N/A,TRUE,"general";"via2",#N/A,TRUE,"general";"via3",#N/A,TRUE,"general"}</definedName>
    <definedName name="sdasdf" hidden="1">{"via1",#N/A,TRUE,"general";"via2",#N/A,TRUE,"general";"via3",#N/A,TRUE,"general"}</definedName>
    <definedName name="SDCDSCT" localSheetId="1" hidden="1">{"TAB1",#N/A,TRUE,"GENERAL";"TAB2",#N/A,TRUE,"GENERAL";"TAB3",#N/A,TRUE,"GENERAL";"TAB4",#N/A,TRUE,"GENERAL";"TAB5",#N/A,TRUE,"GENERAL"}</definedName>
    <definedName name="SDCDSCT" localSheetId="9" hidden="1">{"TAB1",#N/A,TRUE,"GENERAL";"TAB2",#N/A,TRUE,"GENERAL";"TAB3",#N/A,TRUE,"GENERAL";"TAB4",#N/A,TRUE,"GENERAL";"TAB5",#N/A,TRUE,"GENERAL"}</definedName>
    <definedName name="SDCDSCT" localSheetId="16" hidden="1">{"TAB1",#N/A,TRUE,"GENERAL";"TAB2",#N/A,TRUE,"GENERAL";"TAB3",#N/A,TRUE,"GENERAL";"TAB4",#N/A,TRUE,"GENERAL";"TAB5",#N/A,TRUE,"GENERAL"}</definedName>
    <definedName name="SDCDSCT" localSheetId="19" hidden="1">{"TAB1",#N/A,TRUE,"GENERAL";"TAB2",#N/A,TRUE,"GENERAL";"TAB3",#N/A,TRUE,"GENERAL";"TAB4",#N/A,TRUE,"GENERAL";"TAB5",#N/A,TRUE,"GENERAL"}</definedName>
    <definedName name="SDCDSCT" hidden="1">{"TAB1",#N/A,TRUE,"GENERAL";"TAB2",#N/A,TRUE,"GENERAL";"TAB3",#N/A,TRUE,"GENERAL";"TAB4",#N/A,TRUE,"GENERAL";"TAB5",#N/A,TRUE,"GENERAL"}</definedName>
    <definedName name="SDE" localSheetId="3">#REF!</definedName>
    <definedName name="SDE">#REF!</definedName>
    <definedName name="sdf" localSheetId="16">#REF!</definedName>
    <definedName name="sdf" localSheetId="19">'INSUMOS '!#REF!</definedName>
    <definedName name="sdf">#REF!</definedName>
    <definedName name="SDFCE" localSheetId="1" hidden="1">{"TAB1",#N/A,TRUE,"GENERAL";"TAB2",#N/A,TRUE,"GENERAL";"TAB3",#N/A,TRUE,"GENERAL";"TAB4",#N/A,TRUE,"GENERAL";"TAB5",#N/A,TRUE,"GENERAL"}</definedName>
    <definedName name="SDFCE" localSheetId="9" hidden="1">{"TAB1",#N/A,TRUE,"GENERAL";"TAB2",#N/A,TRUE,"GENERAL";"TAB3",#N/A,TRUE,"GENERAL";"TAB4",#N/A,TRUE,"GENERAL";"TAB5",#N/A,TRUE,"GENERAL"}</definedName>
    <definedName name="SDFCE" localSheetId="16" hidden="1">{"TAB1",#N/A,TRUE,"GENERAL";"TAB2",#N/A,TRUE,"GENERAL";"TAB3",#N/A,TRUE,"GENERAL";"TAB4",#N/A,TRUE,"GENERAL";"TAB5",#N/A,TRUE,"GENERAL"}</definedName>
    <definedName name="SDFCE" localSheetId="19" hidden="1">{"TAB1",#N/A,TRUE,"GENERAL";"TAB2",#N/A,TRUE,"GENERAL";"TAB3",#N/A,TRUE,"GENERAL";"TAB4",#N/A,TRUE,"GENERAL";"TAB5",#N/A,TRUE,"GENERAL"}</definedName>
    <definedName name="SDFCE" hidden="1">{"TAB1",#N/A,TRUE,"GENERAL";"TAB2",#N/A,TRUE,"GENERAL";"TAB3",#N/A,TRUE,"GENERAL";"TAB4",#N/A,TRUE,"GENERAL";"TAB5",#N/A,TRUE,"GENERAL"}</definedName>
    <definedName name="sdfd" localSheetId="1" hidden="1">{"via1",#N/A,TRUE,"general";"via2",#N/A,TRUE,"general";"via3",#N/A,TRUE,"general"}</definedName>
    <definedName name="sdfd" localSheetId="9" hidden="1">{"via1",#N/A,TRUE,"general";"via2",#N/A,TRUE,"general";"via3",#N/A,TRUE,"general"}</definedName>
    <definedName name="sdfd" localSheetId="16" hidden="1">{"via1",#N/A,TRUE,"general";"via2",#N/A,TRUE,"general";"via3",#N/A,TRUE,"general"}</definedName>
    <definedName name="sdfd" localSheetId="19" hidden="1">{"via1",#N/A,TRUE,"general";"via2",#N/A,TRUE,"general";"via3",#N/A,TRUE,"general"}</definedName>
    <definedName name="sdfd" hidden="1">{"via1",#N/A,TRUE,"general";"via2",#N/A,TRUE,"general";"via3",#N/A,TRUE,"general"}</definedName>
    <definedName name="sdfds" localSheetId="1" hidden="1">{"via1",#N/A,TRUE,"general";"via2",#N/A,TRUE,"general";"via3",#N/A,TRUE,"general"}</definedName>
    <definedName name="sdfds" localSheetId="9" hidden="1">{"via1",#N/A,TRUE,"general";"via2",#N/A,TRUE,"general";"via3",#N/A,TRUE,"general"}</definedName>
    <definedName name="sdfds" localSheetId="16" hidden="1">{"via1",#N/A,TRUE,"general";"via2",#N/A,TRUE,"general";"via3",#N/A,TRUE,"general"}</definedName>
    <definedName name="sdfds" localSheetId="19" hidden="1">{"via1",#N/A,TRUE,"general";"via2",#N/A,TRUE,"general";"via3",#N/A,TRUE,"general"}</definedName>
    <definedName name="sdfds" hidden="1">{"via1",#N/A,TRUE,"general";"via2",#N/A,TRUE,"general";"via3",#N/A,TRUE,"general"}</definedName>
    <definedName name="SDFDSO" localSheetId="1" hidden="1">{"via1",#N/A,TRUE,"general";"via2",#N/A,TRUE,"general";"via3",#N/A,TRUE,"general"}</definedName>
    <definedName name="SDFDSO" localSheetId="9" hidden="1">{"via1",#N/A,TRUE,"general";"via2",#N/A,TRUE,"general";"via3",#N/A,TRUE,"general"}</definedName>
    <definedName name="SDFDSO" localSheetId="16" hidden="1">{"via1",#N/A,TRUE,"general";"via2",#N/A,TRUE,"general";"via3",#N/A,TRUE,"general"}</definedName>
    <definedName name="SDFDSO" localSheetId="19" hidden="1">{"via1",#N/A,TRUE,"general";"via2",#N/A,TRUE,"general";"via3",#N/A,TRUE,"general"}</definedName>
    <definedName name="SDFDSO" hidden="1">{"via1",#N/A,TRUE,"general";"via2",#N/A,TRUE,"general";"via3",#N/A,TRUE,"general"}</definedName>
    <definedName name="sdfdstp" localSheetId="1" hidden="1">{"TAB1",#N/A,TRUE,"GENERAL";"TAB2",#N/A,TRUE,"GENERAL";"TAB3",#N/A,TRUE,"GENERAL";"TAB4",#N/A,TRUE,"GENERAL";"TAB5",#N/A,TRUE,"GENERAL"}</definedName>
    <definedName name="sdfdstp" localSheetId="9" hidden="1">{"TAB1",#N/A,TRUE,"GENERAL";"TAB2",#N/A,TRUE,"GENERAL";"TAB3",#N/A,TRUE,"GENERAL";"TAB4",#N/A,TRUE,"GENERAL";"TAB5",#N/A,TRUE,"GENERAL"}</definedName>
    <definedName name="sdfdstp" localSheetId="16" hidden="1">{"TAB1",#N/A,TRUE,"GENERAL";"TAB2",#N/A,TRUE,"GENERAL";"TAB3",#N/A,TRUE,"GENERAL";"TAB4",#N/A,TRUE,"GENERAL";"TAB5",#N/A,TRUE,"GENERAL"}</definedName>
    <definedName name="sdfdstp" localSheetId="19" hidden="1">{"TAB1",#N/A,TRUE,"GENERAL";"TAB2",#N/A,TRUE,"GENERAL";"TAB3",#N/A,TRUE,"GENERAL";"TAB4",#N/A,TRUE,"GENERAL";"TAB5",#N/A,TRUE,"GENERAL"}</definedName>
    <definedName name="sdfdstp" hidden="1">{"TAB1",#N/A,TRUE,"GENERAL";"TAB2",#N/A,TRUE,"GENERAL";"TAB3",#N/A,TRUE,"GENERAL";"TAB4",#N/A,TRUE,"GENERAL";"TAB5",#N/A,TRUE,"GENERAL"}</definedName>
    <definedName name="SDFEO" localSheetId="1" hidden="1">{"via1",#N/A,TRUE,"general";"via2",#N/A,TRUE,"general";"via3",#N/A,TRUE,"general"}</definedName>
    <definedName name="SDFEO" localSheetId="9" hidden="1">{"via1",#N/A,TRUE,"general";"via2",#N/A,TRUE,"general";"via3",#N/A,TRUE,"general"}</definedName>
    <definedName name="SDFEO" localSheetId="16" hidden="1">{"via1",#N/A,TRUE,"general";"via2",#N/A,TRUE,"general";"via3",#N/A,TRUE,"general"}</definedName>
    <definedName name="SDFEO" localSheetId="19" hidden="1">{"via1",#N/A,TRUE,"general";"via2",#N/A,TRUE,"general";"via3",#N/A,TRUE,"general"}</definedName>
    <definedName name="SDFEO" hidden="1">{"via1",#N/A,TRUE,"general";"via2",#N/A,TRUE,"general";"via3",#N/A,TRUE,"general"}</definedName>
    <definedName name="sdfg" localSheetId="1" hidden="1">{"TAB1",#N/A,TRUE,"GENERAL";"TAB2",#N/A,TRUE,"GENERAL";"TAB3",#N/A,TRUE,"GENERAL";"TAB4",#N/A,TRUE,"GENERAL";"TAB5",#N/A,TRUE,"GENERAL"}</definedName>
    <definedName name="sdfg" localSheetId="9" hidden="1">{"TAB1",#N/A,TRUE,"GENERAL";"TAB2",#N/A,TRUE,"GENERAL";"TAB3",#N/A,TRUE,"GENERAL";"TAB4",#N/A,TRUE,"GENERAL";"TAB5",#N/A,TRUE,"GENERAL"}</definedName>
    <definedName name="sdfg" localSheetId="16" hidden="1">{"TAB1",#N/A,TRUE,"GENERAL";"TAB2",#N/A,TRUE,"GENERAL";"TAB3",#N/A,TRUE,"GENERAL";"TAB4",#N/A,TRUE,"GENERAL";"TAB5",#N/A,TRUE,"GENERAL"}</definedName>
    <definedName name="sdfg" localSheetId="19" hidden="1">{"TAB1",#N/A,TRUE,"GENERAL";"TAB2",#N/A,TRUE,"GENERAL";"TAB3",#N/A,TRUE,"GENERAL";"TAB4",#N/A,TRUE,"GENERAL";"TAB5",#N/A,TRUE,"GENERAL"}</definedName>
    <definedName name="sdfg" hidden="1">{"TAB1",#N/A,TRUE,"GENERAL";"TAB2",#N/A,TRUE,"GENERAL";"TAB3",#N/A,TRUE,"GENERAL";"TAB4",#N/A,TRUE,"GENERAL";"TAB5",#N/A,TRUE,"GENERAL"}</definedName>
    <definedName name="sdfgdsfk" localSheetId="1" hidden="1">{"via1",#N/A,TRUE,"general";"via2",#N/A,TRUE,"general";"via3",#N/A,TRUE,"general"}</definedName>
    <definedName name="sdfgdsfk" localSheetId="9" hidden="1">{"via1",#N/A,TRUE,"general";"via2",#N/A,TRUE,"general";"via3",#N/A,TRUE,"general"}</definedName>
    <definedName name="sdfgdsfk" localSheetId="16" hidden="1">{"via1",#N/A,TRUE,"general";"via2",#N/A,TRUE,"general";"via3",#N/A,TRUE,"general"}</definedName>
    <definedName name="sdfgdsfk" localSheetId="19" hidden="1">{"via1",#N/A,TRUE,"general";"via2",#N/A,TRUE,"general";"via3",#N/A,TRUE,"general"}</definedName>
    <definedName name="sdfgdsfk" hidden="1">{"via1",#N/A,TRUE,"general";"via2",#N/A,TRUE,"general";"via3",#N/A,TRUE,"general"}</definedName>
    <definedName name="sdfgsg" localSheetId="1" hidden="1">{"via1",#N/A,TRUE,"general";"via2",#N/A,TRUE,"general";"via3",#N/A,TRUE,"general"}</definedName>
    <definedName name="sdfgsg" localSheetId="9" hidden="1">{"via1",#N/A,TRUE,"general";"via2",#N/A,TRUE,"general";"via3",#N/A,TRUE,"general"}</definedName>
    <definedName name="sdfgsg" localSheetId="16" hidden="1">{"via1",#N/A,TRUE,"general";"via2",#N/A,TRUE,"general";"via3",#N/A,TRUE,"general"}</definedName>
    <definedName name="sdfgsg" localSheetId="19" hidden="1">{"via1",#N/A,TRUE,"general";"via2",#N/A,TRUE,"general";"via3",#N/A,TRUE,"general"}</definedName>
    <definedName name="sdfgsg" hidden="1">{"via1",#N/A,TRUE,"general";"via2",#N/A,TRUE,"general";"via3",#N/A,TRUE,"general"}</definedName>
    <definedName name="SDFLJK" localSheetId="1" hidden="1">{"TAB1",#N/A,TRUE,"GENERAL";"TAB2",#N/A,TRUE,"GENERAL";"TAB3",#N/A,TRUE,"GENERAL";"TAB4",#N/A,TRUE,"GENERAL";"TAB5",#N/A,TRUE,"GENERAL"}</definedName>
    <definedName name="SDFLJK" localSheetId="9" hidden="1">{"TAB1",#N/A,TRUE,"GENERAL";"TAB2",#N/A,TRUE,"GENERAL";"TAB3",#N/A,TRUE,"GENERAL";"TAB4",#N/A,TRUE,"GENERAL";"TAB5",#N/A,TRUE,"GENERAL"}</definedName>
    <definedName name="SDFLJK" localSheetId="16" hidden="1">{"TAB1",#N/A,TRUE,"GENERAL";"TAB2",#N/A,TRUE,"GENERAL";"TAB3",#N/A,TRUE,"GENERAL";"TAB4",#N/A,TRUE,"GENERAL";"TAB5",#N/A,TRUE,"GENERAL"}</definedName>
    <definedName name="SDFLJK" localSheetId="19" hidden="1">{"TAB1",#N/A,TRUE,"GENERAL";"TAB2",#N/A,TRUE,"GENERAL";"TAB3",#N/A,TRUE,"GENERAL";"TAB4",#N/A,TRUE,"GENERAL";"TAB5",#N/A,TRUE,"GENERAL"}</definedName>
    <definedName name="SDFLJK" hidden="1">{"TAB1",#N/A,TRUE,"GENERAL";"TAB2",#N/A,TRUE,"GENERAL";"TAB3",#N/A,TRUE,"GENERAL";"TAB4",#N/A,TRUE,"GENERAL";"TAB5",#N/A,TRUE,"GENERAL"}</definedName>
    <definedName name="sdfsd4" localSheetId="1" hidden="1">{"via1",#N/A,TRUE,"general";"via2",#N/A,TRUE,"general";"via3",#N/A,TRUE,"general"}</definedName>
    <definedName name="sdfsd4" localSheetId="9" hidden="1">{"via1",#N/A,TRUE,"general";"via2",#N/A,TRUE,"general";"via3",#N/A,TRUE,"general"}</definedName>
    <definedName name="sdfsd4" localSheetId="16" hidden="1">{"via1",#N/A,TRUE,"general";"via2",#N/A,TRUE,"general";"via3",#N/A,TRUE,"general"}</definedName>
    <definedName name="sdfsd4" localSheetId="19" hidden="1">{"via1",#N/A,TRUE,"general";"via2",#N/A,TRUE,"general";"via3",#N/A,TRUE,"general"}</definedName>
    <definedName name="sdfsd4" hidden="1">{"via1",#N/A,TRUE,"general";"via2",#N/A,TRUE,"general";"via3",#N/A,TRUE,"general"}</definedName>
    <definedName name="SDFSDF" localSheetId="1" hidden="1">{"TAB1",#N/A,TRUE,"GENERAL";"TAB2",#N/A,TRUE,"GENERAL";"TAB3",#N/A,TRUE,"GENERAL";"TAB4",#N/A,TRUE,"GENERAL";"TAB5",#N/A,TRUE,"GENERAL"}</definedName>
    <definedName name="SDFSDF" localSheetId="9" hidden="1">{"TAB1",#N/A,TRUE,"GENERAL";"TAB2",#N/A,TRUE,"GENERAL";"TAB3",#N/A,TRUE,"GENERAL";"TAB4",#N/A,TRUE,"GENERAL";"TAB5",#N/A,TRUE,"GENERAL"}</definedName>
    <definedName name="SDFSDF" localSheetId="16" hidden="1">{"TAB1",#N/A,TRUE,"GENERAL";"TAB2",#N/A,TRUE,"GENERAL";"TAB3",#N/A,TRUE,"GENERAL";"TAB4",#N/A,TRUE,"GENERAL";"TAB5",#N/A,TRUE,"GENERAL"}</definedName>
    <definedName name="SDFSDF" localSheetId="19" hidden="1">{"TAB1",#N/A,TRUE,"GENERAL";"TAB2",#N/A,TRUE,"GENERAL";"TAB3",#N/A,TRUE,"GENERAL";"TAB4",#N/A,TRUE,"GENERAL";"TAB5",#N/A,TRUE,"GENERAL"}</definedName>
    <definedName name="SDFSDF" hidden="1">{"TAB1",#N/A,TRUE,"GENERAL";"TAB2",#N/A,TRUE,"GENERAL";"TAB3",#N/A,TRUE,"GENERAL";"TAB4",#N/A,TRUE,"GENERAL";"TAB5",#N/A,TRUE,"GENERAL"}</definedName>
    <definedName name="sdfsdfb" localSheetId="1" hidden="1">{"via1",#N/A,TRUE,"general";"via2",#N/A,TRUE,"general";"via3",#N/A,TRUE,"general"}</definedName>
    <definedName name="sdfsdfb" localSheetId="9" hidden="1">{"via1",#N/A,TRUE,"general";"via2",#N/A,TRUE,"general";"via3",#N/A,TRUE,"general"}</definedName>
    <definedName name="sdfsdfb" localSheetId="16" hidden="1">{"via1",#N/A,TRUE,"general";"via2",#N/A,TRUE,"general";"via3",#N/A,TRUE,"general"}</definedName>
    <definedName name="sdfsdfb" localSheetId="19" hidden="1">{"via1",#N/A,TRUE,"general";"via2",#N/A,TRUE,"general";"via3",#N/A,TRUE,"general"}</definedName>
    <definedName name="sdfsdfb" hidden="1">{"via1",#N/A,TRUE,"general";"via2",#N/A,TRUE,"general";"via3",#N/A,TRUE,"general"}</definedName>
    <definedName name="SDFSF" localSheetId="1" hidden="1">{"TAB1",#N/A,TRUE,"GENERAL";"TAB2",#N/A,TRUE,"GENERAL";"TAB3",#N/A,TRUE,"GENERAL";"TAB4",#N/A,TRUE,"GENERAL";"TAB5",#N/A,TRUE,"GENERAL"}</definedName>
    <definedName name="SDFSF" localSheetId="9" hidden="1">{"TAB1",#N/A,TRUE,"GENERAL";"TAB2",#N/A,TRUE,"GENERAL";"TAB3",#N/A,TRUE,"GENERAL";"TAB4",#N/A,TRUE,"GENERAL";"TAB5",#N/A,TRUE,"GENERAL"}</definedName>
    <definedName name="SDFSF" localSheetId="16" hidden="1">{"TAB1",#N/A,TRUE,"GENERAL";"TAB2",#N/A,TRUE,"GENERAL";"TAB3",#N/A,TRUE,"GENERAL";"TAB4",#N/A,TRUE,"GENERAL";"TAB5",#N/A,TRUE,"GENERAL"}</definedName>
    <definedName name="SDFSF" localSheetId="19" hidden="1">{"TAB1",#N/A,TRUE,"GENERAL";"TAB2",#N/A,TRUE,"GENERAL";"TAB3",#N/A,TRUE,"GENERAL";"TAB4",#N/A,TRUE,"GENERAL";"TAB5",#N/A,TRUE,"GENERAL"}</definedName>
    <definedName name="SDFSF" hidden="1">{"TAB1",#N/A,TRUE,"GENERAL";"TAB2",#N/A,TRUE,"GENERAL";"TAB3",#N/A,TRUE,"GENERAL";"TAB4",#N/A,TRUE,"GENERAL";"TAB5",#N/A,TRUE,"GENERAL"}</definedName>
    <definedName name="sdfsv" localSheetId="1" hidden="1">{"TAB1",#N/A,TRUE,"GENERAL";"TAB2",#N/A,TRUE,"GENERAL";"TAB3",#N/A,TRUE,"GENERAL";"TAB4",#N/A,TRUE,"GENERAL";"TAB5",#N/A,TRUE,"GENERAL"}</definedName>
    <definedName name="sdfsv" localSheetId="9" hidden="1">{"TAB1",#N/A,TRUE,"GENERAL";"TAB2",#N/A,TRUE,"GENERAL";"TAB3",#N/A,TRUE,"GENERAL";"TAB4",#N/A,TRUE,"GENERAL";"TAB5",#N/A,TRUE,"GENERAL"}</definedName>
    <definedName name="sdfsv" localSheetId="16" hidden="1">{"TAB1",#N/A,TRUE,"GENERAL";"TAB2",#N/A,TRUE,"GENERAL";"TAB3",#N/A,TRUE,"GENERAL";"TAB4",#N/A,TRUE,"GENERAL";"TAB5",#N/A,TRUE,"GENERAL"}</definedName>
    <definedName name="sdfsv" localSheetId="19" hidden="1">{"TAB1",#N/A,TRUE,"GENERAL";"TAB2",#N/A,TRUE,"GENERAL";"TAB3",#N/A,TRUE,"GENERAL";"TAB4",#N/A,TRUE,"GENERAL";"TAB5",#N/A,TRUE,"GENERAL"}</definedName>
    <definedName name="sdfsv" hidden="1">{"TAB1",#N/A,TRUE,"GENERAL";"TAB2",#N/A,TRUE,"GENERAL";"TAB3",#N/A,TRUE,"GENERAL";"TAB4",#N/A,TRUE,"GENERAL";"TAB5",#N/A,TRUE,"GENERAL"}</definedName>
    <definedName name="sdft">'[15]Gabinetes ctrol, prot. y med. '!#REF!</definedName>
    <definedName name="sdgfd" localSheetId="1" hidden="1">{"TAB1",#N/A,TRUE,"GENERAL";"TAB2",#N/A,TRUE,"GENERAL";"TAB3",#N/A,TRUE,"GENERAL";"TAB4",#N/A,TRUE,"GENERAL";"TAB5",#N/A,TRUE,"GENERAL"}</definedName>
    <definedName name="sdgfd" localSheetId="9" hidden="1">{"TAB1",#N/A,TRUE,"GENERAL";"TAB2",#N/A,TRUE,"GENERAL";"TAB3",#N/A,TRUE,"GENERAL";"TAB4",#N/A,TRUE,"GENERAL";"TAB5",#N/A,TRUE,"GENERAL"}</definedName>
    <definedName name="sdgfd" localSheetId="16" hidden="1">{"TAB1",#N/A,TRUE,"GENERAL";"TAB2",#N/A,TRUE,"GENERAL";"TAB3",#N/A,TRUE,"GENERAL";"TAB4",#N/A,TRUE,"GENERAL";"TAB5",#N/A,TRUE,"GENERAL"}</definedName>
    <definedName name="sdgfd" localSheetId="19" hidden="1">{"TAB1",#N/A,TRUE,"GENERAL";"TAB2",#N/A,TRUE,"GENERAL";"TAB3",#N/A,TRUE,"GENERAL";"TAB4",#N/A,TRUE,"GENERAL";"TAB5",#N/A,TRUE,"GENERAL"}</definedName>
    <definedName name="sdgfd" hidden="1">{"TAB1",#N/A,TRUE,"GENERAL";"TAB2",#N/A,TRUE,"GENERAL";"TAB3",#N/A,TRUE,"GENERAL";"TAB4",#N/A,TRUE,"GENERAL";"TAB5",#N/A,TRUE,"GENERAL"}</definedName>
    <definedName name="sdgfgp" localSheetId="1" hidden="1">{"via1",#N/A,TRUE,"general";"via2",#N/A,TRUE,"general";"via3",#N/A,TRUE,"general"}</definedName>
    <definedName name="sdgfgp" localSheetId="9" hidden="1">{"via1",#N/A,TRUE,"general";"via2",#N/A,TRUE,"general";"via3",#N/A,TRUE,"general"}</definedName>
    <definedName name="sdgfgp" localSheetId="16" hidden="1">{"via1",#N/A,TRUE,"general";"via2",#N/A,TRUE,"general";"via3",#N/A,TRUE,"general"}</definedName>
    <definedName name="sdgfgp" localSheetId="19" hidden="1">{"via1",#N/A,TRUE,"general";"via2",#N/A,TRUE,"general";"via3",#N/A,TRUE,"general"}</definedName>
    <definedName name="sdgfgp" hidden="1">{"via1",#N/A,TRUE,"general";"via2",#N/A,TRUE,"general";"via3",#N/A,TRUE,"general"}</definedName>
    <definedName name="sdgfiu" localSheetId="1" hidden="1">{"via1",#N/A,TRUE,"general";"via2",#N/A,TRUE,"general";"via3",#N/A,TRUE,"general"}</definedName>
    <definedName name="sdgfiu" localSheetId="9" hidden="1">{"via1",#N/A,TRUE,"general";"via2",#N/A,TRUE,"general";"via3",#N/A,TRUE,"general"}</definedName>
    <definedName name="sdgfiu" localSheetId="16" hidden="1">{"via1",#N/A,TRUE,"general";"via2",#N/A,TRUE,"general";"via3",#N/A,TRUE,"general"}</definedName>
    <definedName name="sdgfiu" localSheetId="19" hidden="1">{"via1",#N/A,TRUE,"general";"via2",#N/A,TRUE,"general";"via3",#N/A,TRUE,"general"}</definedName>
    <definedName name="sdgfiu" hidden="1">{"via1",#N/A,TRUE,"general";"via2",#N/A,TRUE,"general";"via3",#N/A,TRUE,"general"}</definedName>
    <definedName name="sdgsd" localSheetId="1" hidden="1">{"TAB1",#N/A,TRUE,"GENERAL";"TAB2",#N/A,TRUE,"GENERAL";"TAB3",#N/A,TRUE,"GENERAL";"TAB4",#N/A,TRUE,"GENERAL";"TAB5",#N/A,TRUE,"GENERAL"}</definedName>
    <definedName name="sdgsd" localSheetId="9" hidden="1">{"TAB1",#N/A,TRUE,"GENERAL";"TAB2",#N/A,TRUE,"GENERAL";"TAB3",#N/A,TRUE,"GENERAL";"TAB4",#N/A,TRUE,"GENERAL";"TAB5",#N/A,TRUE,"GENERAL"}</definedName>
    <definedName name="sdgsd" localSheetId="16" hidden="1">{"TAB1",#N/A,TRUE,"GENERAL";"TAB2",#N/A,TRUE,"GENERAL";"TAB3",#N/A,TRUE,"GENERAL";"TAB4",#N/A,TRUE,"GENERAL";"TAB5",#N/A,TRUE,"GENERAL"}</definedName>
    <definedName name="sdgsd" localSheetId="19" hidden="1">{"TAB1",#N/A,TRUE,"GENERAL";"TAB2",#N/A,TRUE,"GENERAL";"TAB3",#N/A,TRUE,"GENERAL";"TAB4",#N/A,TRUE,"GENERAL";"TAB5",#N/A,TRUE,"GENERAL"}</definedName>
    <definedName name="sdgsd" hidden="1">{"TAB1",#N/A,TRUE,"GENERAL";"TAB2",#N/A,TRUE,"GENERAL";"TAB3",#N/A,TRUE,"GENERAL";"TAB4",#N/A,TRUE,"GENERAL";"TAB5",#N/A,TRUE,"GENERAL"}</definedName>
    <definedName name="sdgsg" localSheetId="1" hidden="1">{"via1",#N/A,TRUE,"general";"via2",#N/A,TRUE,"general";"via3",#N/A,TRUE,"general"}</definedName>
    <definedName name="sdgsg" localSheetId="9" hidden="1">{"via1",#N/A,TRUE,"general";"via2",#N/A,TRUE,"general";"via3",#N/A,TRUE,"general"}</definedName>
    <definedName name="sdgsg" localSheetId="16" hidden="1">{"via1",#N/A,TRUE,"general";"via2",#N/A,TRUE,"general";"via3",#N/A,TRUE,"general"}</definedName>
    <definedName name="sdgsg" localSheetId="19" hidden="1">{"via1",#N/A,TRUE,"general";"via2",#N/A,TRUE,"general";"via3",#N/A,TRUE,"general"}</definedName>
    <definedName name="sdgsg" hidden="1">{"via1",#N/A,TRUE,"general";"via2",#N/A,TRUE,"general";"via3",#N/A,TRUE,"general"}</definedName>
    <definedName name="SDIKOM" localSheetId="1" hidden="1">{"TAB1",#N/A,TRUE,"GENERAL";"TAB2",#N/A,TRUE,"GENERAL";"TAB3",#N/A,TRUE,"GENERAL";"TAB4",#N/A,TRUE,"GENERAL";"TAB5",#N/A,TRUE,"GENERAL"}</definedName>
    <definedName name="SDIKOM" localSheetId="9" hidden="1">{"TAB1",#N/A,TRUE,"GENERAL";"TAB2",#N/A,TRUE,"GENERAL";"TAB3",#N/A,TRUE,"GENERAL";"TAB4",#N/A,TRUE,"GENERAL";"TAB5",#N/A,TRUE,"GENERAL"}</definedName>
    <definedName name="SDIKOM" localSheetId="16" hidden="1">{"TAB1",#N/A,TRUE,"GENERAL";"TAB2",#N/A,TRUE,"GENERAL";"TAB3",#N/A,TRUE,"GENERAL";"TAB4",#N/A,TRUE,"GENERAL";"TAB5",#N/A,TRUE,"GENERAL"}</definedName>
    <definedName name="SDIKOM" localSheetId="19" hidden="1">{"TAB1",#N/A,TRUE,"GENERAL";"TAB2",#N/A,TRUE,"GENERAL";"TAB3",#N/A,TRUE,"GENERAL";"TAB4",#N/A,TRUE,"GENERAL";"TAB5",#N/A,TRUE,"GENERAL"}</definedName>
    <definedName name="SDIKOM" hidden="1">{"TAB1",#N/A,TRUE,"GENERAL";"TAB2",#N/A,TRUE,"GENERAL";"TAB3",#N/A,TRUE,"GENERAL";"TAB4",#N/A,TRUE,"GENERAL";"TAB5",#N/A,TRUE,"GENERAL"}</definedName>
    <definedName name="SDSDD">#REF!</definedName>
    <definedName name="sdsdfh" localSheetId="1" hidden="1">{"via1",#N/A,TRUE,"general";"via2",#N/A,TRUE,"general";"via3",#N/A,TRUE,"general"}</definedName>
    <definedName name="sdsdfh" localSheetId="9" hidden="1">{"via1",#N/A,TRUE,"general";"via2",#N/A,TRUE,"general";"via3",#N/A,TRUE,"general"}</definedName>
    <definedName name="sdsdfh" localSheetId="16" hidden="1">{"via1",#N/A,TRUE,"general";"via2",#N/A,TRUE,"general";"via3",#N/A,TRUE,"general"}</definedName>
    <definedName name="sdsdfh" localSheetId="19" hidden="1">{"via1",#N/A,TRUE,"general";"via2",#N/A,TRUE,"general";"via3",#N/A,TRUE,"general"}</definedName>
    <definedName name="sdsdfh" hidden="1">{"via1",#N/A,TRUE,"general";"via2",#N/A,TRUE,"general";"via3",#N/A,TRUE,"general"}</definedName>
    <definedName name="SDSDSD">#REF!</definedName>
    <definedName name="SE">[109]Datos!$B$3:$D$72</definedName>
    <definedName name="seccion1" localSheetId="16">#REF!</definedName>
    <definedName name="seccion1">#REF!</definedName>
    <definedName name="seccion2" localSheetId="16">#REF!</definedName>
    <definedName name="seccion2">#REF!</definedName>
    <definedName name="SECTOR" localSheetId="16">#REF!</definedName>
    <definedName name="SECTOR">#REF!</definedName>
    <definedName name="segundo" localSheetId="16">'[21]ESTADO RED'!#REF!</definedName>
    <definedName name="segundo">'[21]ESTADO RED'!#REF!</definedName>
    <definedName name="SepOct">'[65]Sep-Oct'!$A$12:$H$30</definedName>
    <definedName name="SepOct_C">'[85]Sep-Oct'!$A$31:$H$45</definedName>
    <definedName name="SEPT_25_09" localSheetId="1">[31]Presupuesto!#REF!</definedName>
    <definedName name="SEPT_25_09" localSheetId="16">[31]Presupuesto!#REF!</definedName>
    <definedName name="SEPT_25_09">[31]Presupuesto!#REF!</definedName>
    <definedName name="septico" localSheetId="16">#REF!</definedName>
    <definedName name="septico">#REF!</definedName>
    <definedName name="SERO" localSheetId="1">[1]!ERR</definedName>
    <definedName name="SERO" localSheetId="16">[1]!ERR</definedName>
    <definedName name="SERO" localSheetId="19">[1]!ERR</definedName>
    <definedName name="SERO">[1]!ERR</definedName>
    <definedName name="setrj" localSheetId="1" hidden="1">{"via1",#N/A,TRUE,"general";"via2",#N/A,TRUE,"general";"via3",#N/A,TRUE,"general"}</definedName>
    <definedName name="setrj" localSheetId="9" hidden="1">{"via1",#N/A,TRUE,"general";"via2",#N/A,TRUE,"general";"via3",#N/A,TRUE,"general"}</definedName>
    <definedName name="setrj" localSheetId="16" hidden="1">{"via1",#N/A,TRUE,"general";"via2",#N/A,TRUE,"general";"via3",#N/A,TRUE,"general"}</definedName>
    <definedName name="setrj" localSheetId="19" hidden="1">{"via1",#N/A,TRUE,"general";"via2",#N/A,TRUE,"general";"via3",#N/A,TRUE,"general"}</definedName>
    <definedName name="setrj" hidden="1">{"via1",#N/A,TRUE,"general";"via2",#N/A,TRUE,"general";"via3",#N/A,TRUE,"general"}</definedName>
    <definedName name="sett" localSheetId="1" hidden="1">{"via1",#N/A,TRUE,"general";"via2",#N/A,TRUE,"general";"via3",#N/A,TRUE,"general"}</definedName>
    <definedName name="sett" localSheetId="9" hidden="1">{"via1",#N/A,TRUE,"general";"via2",#N/A,TRUE,"general";"via3",#N/A,TRUE,"general"}</definedName>
    <definedName name="sett" localSheetId="16" hidden="1">{"via1",#N/A,TRUE,"general";"via2",#N/A,TRUE,"general";"via3",#N/A,TRUE,"general"}</definedName>
    <definedName name="sett" localSheetId="19" hidden="1">{"via1",#N/A,TRUE,"general";"via2",#N/A,TRUE,"general";"via3",#N/A,TRUE,"general"}</definedName>
    <definedName name="sett" hidden="1">{"via1",#N/A,TRUE,"general";"via2",#N/A,TRUE,"general";"via3",#N/A,TRUE,"general"}</definedName>
    <definedName name="sfasf" localSheetId="1" hidden="1">{"TAB1",#N/A,TRUE,"GENERAL";"TAB2",#N/A,TRUE,"GENERAL";"TAB3",#N/A,TRUE,"GENERAL";"TAB4",#N/A,TRUE,"GENERAL";"TAB5",#N/A,TRUE,"GENERAL"}</definedName>
    <definedName name="sfasf" localSheetId="9" hidden="1">{"TAB1",#N/A,TRUE,"GENERAL";"TAB2",#N/A,TRUE,"GENERAL";"TAB3",#N/A,TRUE,"GENERAL";"TAB4",#N/A,TRUE,"GENERAL";"TAB5",#N/A,TRUE,"GENERAL"}</definedName>
    <definedName name="sfasf" localSheetId="16" hidden="1">{"TAB1",#N/A,TRUE,"GENERAL";"TAB2",#N/A,TRUE,"GENERAL";"TAB3",#N/A,TRUE,"GENERAL";"TAB4",#N/A,TRUE,"GENERAL";"TAB5",#N/A,TRUE,"GENERAL"}</definedName>
    <definedName name="sfasf" localSheetId="19" hidden="1">{"TAB1",#N/A,TRUE,"GENERAL";"TAB2",#N/A,TRUE,"GENERAL";"TAB3",#N/A,TRUE,"GENERAL";"TAB4",#N/A,TRUE,"GENERAL";"TAB5",#N/A,TRUE,"GENERAL"}</definedName>
    <definedName name="sfasf" hidden="1">{"TAB1",#N/A,TRUE,"GENERAL";"TAB2",#N/A,TRUE,"GENERAL";"TAB3",#N/A,TRUE,"GENERAL";"TAB4",#N/A,TRUE,"GENERAL";"TAB5",#N/A,TRUE,"GENERAL"}</definedName>
    <definedName name="sfb">'[15]Gabinetes ctrol, prot. y med. '!#REF!</definedName>
    <definedName name="SFHSGFH" localSheetId="1" hidden="1">{"TAB1",#N/A,TRUE,"GENERAL";"TAB2",#N/A,TRUE,"GENERAL";"TAB3",#N/A,TRUE,"GENERAL";"TAB4",#N/A,TRUE,"GENERAL";"TAB5",#N/A,TRUE,"GENERAL"}</definedName>
    <definedName name="SFHSGFH" localSheetId="9" hidden="1">{"TAB1",#N/A,TRUE,"GENERAL";"TAB2",#N/A,TRUE,"GENERAL";"TAB3",#N/A,TRUE,"GENERAL";"TAB4",#N/A,TRUE,"GENERAL";"TAB5",#N/A,TRUE,"GENERAL"}</definedName>
    <definedName name="SFHSGFH" localSheetId="16" hidden="1">{"TAB1",#N/A,TRUE,"GENERAL";"TAB2",#N/A,TRUE,"GENERAL";"TAB3",#N/A,TRUE,"GENERAL";"TAB4",#N/A,TRUE,"GENERAL";"TAB5",#N/A,TRUE,"GENERAL"}</definedName>
    <definedName name="SFHSGFH" localSheetId="19" hidden="1">{"TAB1",#N/A,TRUE,"GENERAL";"TAB2",#N/A,TRUE,"GENERAL";"TAB3",#N/A,TRUE,"GENERAL";"TAB4",#N/A,TRUE,"GENERAL";"TAB5",#N/A,TRUE,"GENERAL"}</definedName>
    <definedName name="SFHSGFH" hidden="1">{"TAB1",#N/A,TRUE,"GENERAL";"TAB2",#N/A,TRUE,"GENERAL";"TAB3",#N/A,TRUE,"GENERAL";"TAB4",#N/A,TRUE,"GENERAL";"TAB5",#N/A,TRUE,"GENERAL"}</definedName>
    <definedName name="sfsd" localSheetId="1" hidden="1">{"via1",#N/A,TRUE,"general";"via2",#N/A,TRUE,"general";"via3",#N/A,TRUE,"general"}</definedName>
    <definedName name="sfsd" localSheetId="9" hidden="1">{"via1",#N/A,TRUE,"general";"via2",#N/A,TRUE,"general";"via3",#N/A,TRUE,"general"}</definedName>
    <definedName name="sfsd" localSheetId="16" hidden="1">{"via1",#N/A,TRUE,"general";"via2",#N/A,TRUE,"general";"via3",#N/A,TRUE,"general"}</definedName>
    <definedName name="sfsd" localSheetId="19" hidden="1">{"via1",#N/A,TRUE,"general";"via2",#N/A,TRUE,"general";"via3",#N/A,TRUE,"general"}</definedName>
    <definedName name="sfsd" hidden="1">{"via1",#N/A,TRUE,"general";"via2",#N/A,TRUE,"general";"via3",#N/A,TRUE,"general"}</definedName>
    <definedName name="sfsdf" localSheetId="1" hidden="1">{"TAB1",#N/A,TRUE,"GENERAL";"TAB2",#N/A,TRUE,"GENERAL";"TAB3",#N/A,TRUE,"GENERAL";"TAB4",#N/A,TRUE,"GENERAL";"TAB5",#N/A,TRUE,"GENERAL"}</definedName>
    <definedName name="sfsdf" localSheetId="9" hidden="1">{"TAB1",#N/A,TRUE,"GENERAL";"TAB2",#N/A,TRUE,"GENERAL";"TAB3",#N/A,TRUE,"GENERAL";"TAB4",#N/A,TRUE,"GENERAL";"TAB5",#N/A,TRUE,"GENERAL"}</definedName>
    <definedName name="sfsdf" localSheetId="16" hidden="1">{"TAB1",#N/A,TRUE,"GENERAL";"TAB2",#N/A,TRUE,"GENERAL";"TAB3",#N/A,TRUE,"GENERAL";"TAB4",#N/A,TRUE,"GENERAL";"TAB5",#N/A,TRUE,"GENERAL"}</definedName>
    <definedName name="sfsdf" localSheetId="19" hidden="1">{"TAB1",#N/A,TRUE,"GENERAL";"TAB2",#N/A,TRUE,"GENERAL";"TAB3",#N/A,TRUE,"GENERAL";"TAB4",#N/A,TRUE,"GENERAL";"TAB5",#N/A,TRUE,"GENERAL"}</definedName>
    <definedName name="sfsdf" hidden="1">{"TAB1",#N/A,TRUE,"GENERAL";"TAB2",#N/A,TRUE,"GENERAL";"TAB3",#N/A,TRUE,"GENERAL";"TAB4",#N/A,TRUE,"GENERAL";"TAB5",#N/A,TRUE,"GENERAL"}</definedName>
    <definedName name="sfsdferg" localSheetId="1" hidden="1">{"TAB1",#N/A,TRUE,"GENERAL";"TAB2",#N/A,TRUE,"GENERAL";"TAB3",#N/A,TRUE,"GENERAL";"TAB4",#N/A,TRUE,"GENERAL";"TAB5",#N/A,TRUE,"GENERAL"}</definedName>
    <definedName name="sfsdferg" localSheetId="9" hidden="1">{"TAB1",#N/A,TRUE,"GENERAL";"TAB2",#N/A,TRUE,"GENERAL";"TAB3",#N/A,TRUE,"GENERAL";"TAB4",#N/A,TRUE,"GENERAL";"TAB5",#N/A,TRUE,"GENERAL"}</definedName>
    <definedName name="sfsdferg" localSheetId="16" hidden="1">{"TAB1",#N/A,TRUE,"GENERAL";"TAB2",#N/A,TRUE,"GENERAL";"TAB3",#N/A,TRUE,"GENERAL";"TAB4",#N/A,TRUE,"GENERAL";"TAB5",#N/A,TRUE,"GENERAL"}</definedName>
    <definedName name="sfsdferg" localSheetId="19" hidden="1">{"TAB1",#N/A,TRUE,"GENERAL";"TAB2",#N/A,TRUE,"GENERAL";"TAB3",#N/A,TRUE,"GENERAL";"TAB4",#N/A,TRUE,"GENERAL";"TAB5",#N/A,TRUE,"GENERAL"}</definedName>
    <definedName name="sfsdferg" hidden="1">{"TAB1",#N/A,TRUE,"GENERAL";"TAB2",#N/A,TRUE,"GENERAL";"TAB3",#N/A,TRUE,"GENERAL";"TAB4",#N/A,TRUE,"GENERAL";"TAB5",#N/A,TRUE,"GENERAL"}</definedName>
    <definedName name="sfsdfs" localSheetId="1" hidden="1">{"TAB1",#N/A,TRUE,"GENERAL";"TAB2",#N/A,TRUE,"GENERAL";"TAB3",#N/A,TRUE,"GENERAL";"TAB4",#N/A,TRUE,"GENERAL";"TAB5",#N/A,TRUE,"GENERAL"}</definedName>
    <definedName name="sfsdfs" localSheetId="9" hidden="1">{"TAB1",#N/A,TRUE,"GENERAL";"TAB2",#N/A,TRUE,"GENERAL";"TAB3",#N/A,TRUE,"GENERAL";"TAB4",#N/A,TRUE,"GENERAL";"TAB5",#N/A,TRUE,"GENERAL"}</definedName>
    <definedName name="sfsdfs" localSheetId="16" hidden="1">{"TAB1",#N/A,TRUE,"GENERAL";"TAB2",#N/A,TRUE,"GENERAL";"TAB3",#N/A,TRUE,"GENERAL";"TAB4",#N/A,TRUE,"GENERAL";"TAB5",#N/A,TRUE,"GENERAL"}</definedName>
    <definedName name="sfsdfs" localSheetId="19" hidden="1">{"TAB1",#N/A,TRUE,"GENERAL";"TAB2",#N/A,TRUE,"GENERAL";"TAB3",#N/A,TRUE,"GENERAL";"TAB4",#N/A,TRUE,"GENERAL";"TAB5",#N/A,TRUE,"GENERAL"}</definedName>
    <definedName name="sfsdfs" hidden="1">{"TAB1",#N/A,TRUE,"GENERAL";"TAB2",#N/A,TRUE,"GENERAL";"TAB3",#N/A,TRUE,"GENERAL";"TAB4",#N/A,TRUE,"GENERAL";"TAB5",#N/A,TRUE,"GENERAL"}</definedName>
    <definedName name="SGAGR">#REF!</definedName>
    <definedName name="SHARED_FORMULA_0">#N/A</definedName>
    <definedName name="SHARED_FORMULA_1">#N/A</definedName>
    <definedName name="SHARED_FORMULA_10">#N/A</definedName>
    <definedName name="SHARED_FORMULA_100">#N/A</definedName>
    <definedName name="SHARED_FORMULA_1000">#N/A</definedName>
    <definedName name="SHARED_FORMULA_1001">#N/A</definedName>
    <definedName name="SHARED_FORMULA_1002">#N/A</definedName>
    <definedName name="SHARED_FORMULA_1003">#N/A</definedName>
    <definedName name="SHARED_FORMULA_1004">#N/A</definedName>
    <definedName name="SHARED_FORMULA_1005">#N/A</definedName>
    <definedName name="SHARED_FORMULA_1006">#N/A</definedName>
    <definedName name="SHARED_FORMULA_1007">#N/A</definedName>
    <definedName name="SHARED_FORMULA_1008">#N/A</definedName>
    <definedName name="SHARED_FORMULA_1009">#N/A</definedName>
    <definedName name="SHARED_FORMULA_101">#N/A</definedName>
    <definedName name="SHARED_FORMULA_1010">#N/A</definedName>
    <definedName name="SHARED_FORMULA_1011">#N/A</definedName>
    <definedName name="SHARED_FORMULA_1012">#N/A</definedName>
    <definedName name="SHARED_FORMULA_1013">#N/A</definedName>
    <definedName name="SHARED_FORMULA_1014">#N/A</definedName>
    <definedName name="SHARED_FORMULA_1015">#N/A</definedName>
    <definedName name="SHARED_FORMULA_1016">#N/A</definedName>
    <definedName name="SHARED_FORMULA_1017">#N/A</definedName>
    <definedName name="SHARED_FORMULA_1018">#N/A</definedName>
    <definedName name="SHARED_FORMULA_1019">#N/A</definedName>
    <definedName name="SHARED_FORMULA_102">#N/A</definedName>
    <definedName name="SHARED_FORMULA_1020">#N/A</definedName>
    <definedName name="SHARED_FORMULA_1021">#N/A</definedName>
    <definedName name="SHARED_FORMULA_1022">#N/A</definedName>
    <definedName name="SHARED_FORMULA_1023">#N/A</definedName>
    <definedName name="SHARED_FORMULA_1024">#N/A</definedName>
    <definedName name="SHARED_FORMULA_1025">#N/A</definedName>
    <definedName name="SHARED_FORMULA_1026">#N/A</definedName>
    <definedName name="SHARED_FORMULA_1027">#N/A</definedName>
    <definedName name="SHARED_FORMULA_1028">#N/A</definedName>
    <definedName name="SHARED_FORMULA_1029">#N/A</definedName>
    <definedName name="SHARED_FORMULA_103">#N/A</definedName>
    <definedName name="SHARED_FORMULA_1030">#N/A</definedName>
    <definedName name="SHARED_FORMULA_1031">#N/A</definedName>
    <definedName name="SHARED_FORMULA_1032">#N/A</definedName>
    <definedName name="SHARED_FORMULA_1033">#N/A</definedName>
    <definedName name="SHARED_FORMULA_1034">#N/A</definedName>
    <definedName name="SHARED_FORMULA_1035">#N/A</definedName>
    <definedName name="SHARED_FORMULA_1036">#N/A</definedName>
    <definedName name="SHARED_FORMULA_1037">#N/A</definedName>
    <definedName name="SHARED_FORMULA_1038">#N/A</definedName>
    <definedName name="SHARED_FORMULA_1039">#N/A</definedName>
    <definedName name="SHARED_FORMULA_104">#N/A</definedName>
    <definedName name="SHARED_FORMULA_1040">#N/A</definedName>
    <definedName name="SHARED_FORMULA_1041">#N/A</definedName>
    <definedName name="SHARED_FORMULA_1042">#N/A</definedName>
    <definedName name="SHARED_FORMULA_1043">#N/A</definedName>
    <definedName name="SHARED_FORMULA_1044">#N/A</definedName>
    <definedName name="SHARED_FORMULA_1045">#N/A</definedName>
    <definedName name="SHARED_FORMULA_1046">#N/A</definedName>
    <definedName name="SHARED_FORMULA_1047">#N/A</definedName>
    <definedName name="SHARED_FORMULA_1048">#N/A</definedName>
    <definedName name="SHARED_FORMULA_1049">#N/A</definedName>
    <definedName name="SHARED_FORMULA_105">#N/A</definedName>
    <definedName name="SHARED_FORMULA_1050">#N/A</definedName>
    <definedName name="SHARED_FORMULA_1051">#N/A</definedName>
    <definedName name="SHARED_FORMULA_1052">#N/A</definedName>
    <definedName name="SHARED_FORMULA_1053">#N/A</definedName>
    <definedName name="SHARED_FORMULA_1054">#N/A</definedName>
    <definedName name="SHARED_FORMULA_1055">#N/A</definedName>
    <definedName name="SHARED_FORMULA_1056">#N/A</definedName>
    <definedName name="SHARED_FORMULA_1057">#N/A</definedName>
    <definedName name="SHARED_FORMULA_1058">#N/A</definedName>
    <definedName name="SHARED_FORMULA_1059">#N/A</definedName>
    <definedName name="SHARED_FORMULA_106">#N/A</definedName>
    <definedName name="SHARED_FORMULA_1060">#N/A</definedName>
    <definedName name="SHARED_FORMULA_1061">#N/A</definedName>
    <definedName name="SHARED_FORMULA_1062">#N/A</definedName>
    <definedName name="SHARED_FORMULA_1063">#N/A</definedName>
    <definedName name="SHARED_FORMULA_1064">#N/A</definedName>
    <definedName name="SHARED_FORMULA_1065">#N/A</definedName>
    <definedName name="SHARED_FORMULA_1066">#N/A</definedName>
    <definedName name="SHARED_FORMULA_1067">#N/A</definedName>
    <definedName name="SHARED_FORMULA_1068">#N/A</definedName>
    <definedName name="SHARED_FORMULA_1069">#N/A</definedName>
    <definedName name="SHARED_FORMULA_107">#N/A</definedName>
    <definedName name="SHARED_FORMULA_1070">#N/A</definedName>
    <definedName name="SHARED_FORMULA_1071">#N/A</definedName>
    <definedName name="SHARED_FORMULA_1072">#N/A</definedName>
    <definedName name="SHARED_FORMULA_1073">#N/A</definedName>
    <definedName name="SHARED_FORMULA_1074">#N/A</definedName>
    <definedName name="SHARED_FORMULA_1075">#N/A</definedName>
    <definedName name="SHARED_FORMULA_1076">#N/A</definedName>
    <definedName name="SHARED_FORMULA_1077">#N/A</definedName>
    <definedName name="SHARED_FORMULA_1078">#N/A</definedName>
    <definedName name="SHARED_FORMULA_1079">#N/A</definedName>
    <definedName name="SHARED_FORMULA_108">#N/A</definedName>
    <definedName name="SHARED_FORMULA_1080">#N/A</definedName>
    <definedName name="SHARED_FORMULA_1081">#N/A</definedName>
    <definedName name="SHARED_FORMULA_1082">#N/A</definedName>
    <definedName name="SHARED_FORMULA_1083">#N/A</definedName>
    <definedName name="SHARED_FORMULA_1084">#N/A</definedName>
    <definedName name="SHARED_FORMULA_1085">#N/A</definedName>
    <definedName name="SHARED_FORMULA_1086">#N/A</definedName>
    <definedName name="SHARED_FORMULA_1087">#N/A</definedName>
    <definedName name="SHARED_FORMULA_1088">#N/A</definedName>
    <definedName name="SHARED_FORMULA_1089">#N/A</definedName>
    <definedName name="SHARED_FORMULA_109">#N/A</definedName>
    <definedName name="SHARED_FORMULA_1090">#N/A</definedName>
    <definedName name="SHARED_FORMULA_1091">#N/A</definedName>
    <definedName name="SHARED_FORMULA_1092">#N/A</definedName>
    <definedName name="SHARED_FORMULA_1093">#N/A</definedName>
    <definedName name="SHARED_FORMULA_1094">#N/A</definedName>
    <definedName name="SHARED_FORMULA_1095">#N/A</definedName>
    <definedName name="SHARED_FORMULA_1096">#N/A</definedName>
    <definedName name="SHARED_FORMULA_1097">#N/A</definedName>
    <definedName name="SHARED_FORMULA_1098">#N/A</definedName>
    <definedName name="SHARED_FORMULA_1099">#N/A</definedName>
    <definedName name="SHARED_FORMULA_11">#N/A</definedName>
    <definedName name="SHARED_FORMULA_110">#N/A</definedName>
    <definedName name="SHARED_FORMULA_1100">#N/A</definedName>
    <definedName name="SHARED_FORMULA_1101">#N/A</definedName>
    <definedName name="SHARED_FORMULA_1102">#N/A</definedName>
    <definedName name="SHARED_FORMULA_1103">#N/A</definedName>
    <definedName name="SHARED_FORMULA_1104">#N/A</definedName>
    <definedName name="SHARED_FORMULA_1105">#N/A</definedName>
    <definedName name="SHARED_FORMULA_1106">#N/A</definedName>
    <definedName name="SHARED_FORMULA_1107">#N/A</definedName>
    <definedName name="SHARED_FORMULA_1108">#N/A</definedName>
    <definedName name="SHARED_FORMULA_1109">#N/A</definedName>
    <definedName name="SHARED_FORMULA_111">#N/A</definedName>
    <definedName name="SHARED_FORMULA_1110">#N/A</definedName>
    <definedName name="SHARED_FORMULA_1111">#N/A</definedName>
    <definedName name="SHARED_FORMULA_1112">#N/A</definedName>
    <definedName name="SHARED_FORMULA_1113">#N/A</definedName>
    <definedName name="SHARED_FORMULA_1114">#N/A</definedName>
    <definedName name="SHARED_FORMULA_1115">#N/A</definedName>
    <definedName name="SHARED_FORMULA_1116">#N/A</definedName>
    <definedName name="SHARED_FORMULA_1117">#N/A</definedName>
    <definedName name="SHARED_FORMULA_1118">#N/A</definedName>
    <definedName name="SHARED_FORMULA_1119">#N/A</definedName>
    <definedName name="SHARED_FORMULA_112">#N/A</definedName>
    <definedName name="SHARED_FORMULA_1120">#N/A</definedName>
    <definedName name="SHARED_FORMULA_1121">#N/A</definedName>
    <definedName name="SHARED_FORMULA_1122">#N/A</definedName>
    <definedName name="SHARED_FORMULA_1123">#N/A</definedName>
    <definedName name="SHARED_FORMULA_1124">#N/A</definedName>
    <definedName name="SHARED_FORMULA_1125">#N/A</definedName>
    <definedName name="SHARED_FORMULA_1126">#N/A</definedName>
    <definedName name="SHARED_FORMULA_1127">#N/A</definedName>
    <definedName name="SHARED_FORMULA_1128">#N/A</definedName>
    <definedName name="SHARED_FORMULA_1129">#N/A</definedName>
    <definedName name="SHARED_FORMULA_113">#N/A</definedName>
    <definedName name="SHARED_FORMULA_1130">#N/A</definedName>
    <definedName name="SHARED_FORMULA_1131">#N/A</definedName>
    <definedName name="SHARED_FORMULA_1132">#N/A</definedName>
    <definedName name="SHARED_FORMULA_1133">#N/A</definedName>
    <definedName name="SHARED_FORMULA_1134">#N/A</definedName>
    <definedName name="SHARED_FORMULA_1135">#N/A</definedName>
    <definedName name="SHARED_FORMULA_1136">#N/A</definedName>
    <definedName name="SHARED_FORMULA_1137">#N/A</definedName>
    <definedName name="SHARED_FORMULA_1138">#N/A</definedName>
    <definedName name="SHARED_FORMULA_1139">#N/A</definedName>
    <definedName name="SHARED_FORMULA_114">#N/A</definedName>
    <definedName name="SHARED_FORMULA_1140">#N/A</definedName>
    <definedName name="SHARED_FORMULA_1141">#N/A</definedName>
    <definedName name="SHARED_FORMULA_1142">#N/A</definedName>
    <definedName name="SHARED_FORMULA_1143">#N/A</definedName>
    <definedName name="SHARED_FORMULA_1144">#N/A</definedName>
    <definedName name="SHARED_FORMULA_1145">#N/A</definedName>
    <definedName name="SHARED_FORMULA_1146">#N/A</definedName>
    <definedName name="SHARED_FORMULA_1147">#N/A</definedName>
    <definedName name="SHARED_FORMULA_1148">#N/A</definedName>
    <definedName name="SHARED_FORMULA_1149">#N/A</definedName>
    <definedName name="SHARED_FORMULA_115">#N/A</definedName>
    <definedName name="SHARED_FORMULA_1150">#N/A</definedName>
    <definedName name="SHARED_FORMULA_1151">#N/A</definedName>
    <definedName name="SHARED_FORMULA_1152">1+(0.15+0.16*0.05)</definedName>
    <definedName name="SHARED_FORMULA_1153">#N/A</definedName>
    <definedName name="SHARED_FORMULA_1154">#N/A</definedName>
    <definedName name="SHARED_FORMULA_1155">1+(0+0.16*0.03)</definedName>
    <definedName name="SHARED_FORMULA_1156">#N/A</definedName>
    <definedName name="SHARED_FORMULA_1157">#N/A</definedName>
    <definedName name="SHARED_FORMULA_1158">1+(0.18+0.16*0.05)</definedName>
    <definedName name="SHARED_FORMULA_1159">#N/A</definedName>
    <definedName name="SHARED_FORMULA_116">#N/A</definedName>
    <definedName name="SHARED_FORMULA_1160">#N/A</definedName>
    <definedName name="SHARED_FORMULA_1161">#N/A</definedName>
    <definedName name="SHARED_FORMULA_1162">#N/A</definedName>
    <definedName name="SHARED_FORMULA_1163">#N/A</definedName>
    <definedName name="SHARED_FORMULA_1164">#N/A</definedName>
    <definedName name="SHARED_FORMULA_1165">1+(0.15+0.16*0.05)</definedName>
    <definedName name="SHARED_FORMULA_1166">#N/A</definedName>
    <definedName name="SHARED_FORMULA_1167">1+(0+0.16*0.03)</definedName>
    <definedName name="SHARED_FORMULA_1168">#N/A</definedName>
    <definedName name="SHARED_FORMULA_1169">1+(0.18+0.16*0.05)</definedName>
    <definedName name="SHARED_FORMULA_117">#N/A</definedName>
    <definedName name="SHARED_FORMULA_1170">#N/A</definedName>
    <definedName name="SHARED_FORMULA_1171">#N/A</definedName>
    <definedName name="SHARED_FORMULA_1172">#N/A</definedName>
    <definedName name="SHARED_FORMULA_1173">#N/A</definedName>
    <definedName name="SHARED_FORMULA_1174">#N/A</definedName>
    <definedName name="SHARED_FORMULA_1175">#N/A</definedName>
    <definedName name="SHARED_FORMULA_1176">#N/A</definedName>
    <definedName name="SHARED_FORMULA_1177">#N/A</definedName>
    <definedName name="SHARED_FORMULA_1178">#N/A</definedName>
    <definedName name="SHARED_FORMULA_1179">#N/A</definedName>
    <definedName name="SHARED_FORMULA_118">#N/A</definedName>
    <definedName name="SHARED_FORMULA_1180">#N/A</definedName>
    <definedName name="SHARED_FORMULA_1181">#N/A</definedName>
    <definedName name="SHARED_FORMULA_1182">#N/A</definedName>
    <definedName name="SHARED_FORMULA_1183">#N/A</definedName>
    <definedName name="SHARED_FORMULA_1184">#N/A</definedName>
    <definedName name="SHARED_FORMULA_1185">#N/A</definedName>
    <definedName name="SHARED_FORMULA_1186">#N/A</definedName>
    <definedName name="SHARED_FORMULA_1187">#N/A</definedName>
    <definedName name="SHARED_FORMULA_1188">#N/A</definedName>
    <definedName name="SHARED_FORMULA_1189">#N/A</definedName>
    <definedName name="SHARED_FORMULA_119">#N/A</definedName>
    <definedName name="SHARED_FORMULA_1190">#N/A</definedName>
    <definedName name="SHARED_FORMULA_1191">#N/A</definedName>
    <definedName name="SHARED_FORMULA_1192">#N/A</definedName>
    <definedName name="SHARED_FORMULA_1193">#N/A</definedName>
    <definedName name="SHARED_FORMULA_1194">#N/A</definedName>
    <definedName name="SHARED_FORMULA_1195">#N/A</definedName>
    <definedName name="SHARED_FORMULA_1196">#N/A</definedName>
    <definedName name="SHARED_FORMULA_1197">#N/A</definedName>
    <definedName name="SHARED_FORMULA_1198">#N/A</definedName>
    <definedName name="SHARED_FORMULA_1199">#N/A</definedName>
    <definedName name="SHARED_FORMULA_12">#N/A</definedName>
    <definedName name="SHARED_FORMULA_120">#N/A</definedName>
    <definedName name="SHARED_FORMULA_1200">#N/A</definedName>
    <definedName name="SHARED_FORMULA_1201">#N/A</definedName>
    <definedName name="SHARED_FORMULA_1202">1+(0.15+0.16*0.05)</definedName>
    <definedName name="SHARED_FORMULA_1203">#N/A</definedName>
    <definedName name="SHARED_FORMULA_1204">#N/A</definedName>
    <definedName name="SHARED_FORMULA_1205">1+(0+0.16*0.03)</definedName>
    <definedName name="SHARED_FORMULA_1206">#N/A</definedName>
    <definedName name="SHARED_FORMULA_1207">#N/A</definedName>
    <definedName name="SHARED_FORMULA_1208">1+(0.18+0.16*0.05)</definedName>
    <definedName name="SHARED_FORMULA_1209">#N/A</definedName>
    <definedName name="SHARED_FORMULA_121">#N/A</definedName>
    <definedName name="SHARED_FORMULA_1210">#N/A</definedName>
    <definedName name="SHARED_FORMULA_1211">#N/A</definedName>
    <definedName name="SHARED_FORMULA_1212">#N/A</definedName>
    <definedName name="SHARED_FORMULA_1213">#N/A</definedName>
    <definedName name="SHARED_FORMULA_1214">#N/A</definedName>
    <definedName name="SHARED_FORMULA_1215">1+(0.15+0.16*0.05)</definedName>
    <definedName name="SHARED_FORMULA_1216">#N/A</definedName>
    <definedName name="SHARED_FORMULA_1217">1+(0+0.16*0.03)</definedName>
    <definedName name="SHARED_FORMULA_1218">#N/A</definedName>
    <definedName name="SHARED_FORMULA_1219">1+(0.18+0.16*0.05)</definedName>
    <definedName name="SHARED_FORMULA_122">#N/A</definedName>
    <definedName name="SHARED_FORMULA_1220">#N/A</definedName>
    <definedName name="SHARED_FORMULA_1221">#N/A</definedName>
    <definedName name="SHARED_FORMULA_1222">#N/A</definedName>
    <definedName name="SHARED_FORMULA_1223">#N/A</definedName>
    <definedName name="SHARED_FORMULA_1224">#N/A</definedName>
    <definedName name="SHARED_FORMULA_1225">#N/A</definedName>
    <definedName name="SHARED_FORMULA_1226">#N/A</definedName>
    <definedName name="SHARED_FORMULA_1227">#N/A</definedName>
    <definedName name="SHARED_FORMULA_1228">#N/A</definedName>
    <definedName name="SHARED_FORMULA_1229">#N/A</definedName>
    <definedName name="SHARED_FORMULA_123">#N/A</definedName>
    <definedName name="SHARED_FORMULA_1230">#N/A</definedName>
    <definedName name="SHARED_FORMULA_1231">#N/A</definedName>
    <definedName name="SHARED_FORMULA_1232">#N/A</definedName>
    <definedName name="SHARED_FORMULA_1233">#N/A</definedName>
    <definedName name="SHARED_FORMULA_1234">#N/A</definedName>
    <definedName name="SHARED_FORMULA_1235">#N/A</definedName>
    <definedName name="SHARED_FORMULA_1236">#N/A</definedName>
    <definedName name="SHARED_FORMULA_1237">1+(0.15+0.16*0.05)</definedName>
    <definedName name="SHARED_FORMULA_1238">#N/A</definedName>
    <definedName name="SHARED_FORMULA_1239">#N/A</definedName>
    <definedName name="SHARED_FORMULA_124">#N/A</definedName>
    <definedName name="SHARED_FORMULA_1240">1+(0+0.16*0.03)</definedName>
    <definedName name="SHARED_FORMULA_1241">#N/A</definedName>
    <definedName name="SHARED_FORMULA_1242">#N/A</definedName>
    <definedName name="SHARED_FORMULA_1243">1+(0.18+0.16*0.05)</definedName>
    <definedName name="SHARED_FORMULA_1244">#N/A</definedName>
    <definedName name="SHARED_FORMULA_1245">#N/A</definedName>
    <definedName name="SHARED_FORMULA_1246">#N/A</definedName>
    <definedName name="SHARED_FORMULA_1247">#N/A</definedName>
    <definedName name="SHARED_FORMULA_1248">#N/A</definedName>
    <definedName name="SHARED_FORMULA_1249">#N/A</definedName>
    <definedName name="SHARED_FORMULA_125">#N/A</definedName>
    <definedName name="SHARED_FORMULA_1250">1+(0.15+0.16*0.05)</definedName>
    <definedName name="SHARED_FORMULA_1251">#N/A</definedName>
    <definedName name="SHARED_FORMULA_1252">1+(0+0.16*0.03)</definedName>
    <definedName name="SHARED_FORMULA_1253">#N/A</definedName>
    <definedName name="SHARED_FORMULA_1254">1+(0.18+0.16*0.05)</definedName>
    <definedName name="SHARED_FORMULA_1255">#N/A</definedName>
    <definedName name="SHARED_FORMULA_1256">#N/A</definedName>
    <definedName name="SHARED_FORMULA_1257">#N/A</definedName>
    <definedName name="SHARED_FORMULA_1258">#N/A</definedName>
    <definedName name="SHARED_FORMULA_1259">#N/A</definedName>
    <definedName name="SHARED_FORMULA_126">#N/A</definedName>
    <definedName name="SHARED_FORMULA_1260">#N/A</definedName>
    <definedName name="SHARED_FORMULA_1261">#N/A</definedName>
    <definedName name="SHARED_FORMULA_1262">#N/A</definedName>
    <definedName name="SHARED_FORMULA_1263">#N/A</definedName>
    <definedName name="SHARED_FORMULA_1264">#N/A</definedName>
    <definedName name="SHARED_FORMULA_1265">#N/A</definedName>
    <definedName name="SHARED_FORMULA_1266">#N/A</definedName>
    <definedName name="SHARED_FORMULA_1267">#N/A</definedName>
    <definedName name="SHARED_FORMULA_1268">#N/A</definedName>
    <definedName name="SHARED_FORMULA_1269">#N/A</definedName>
    <definedName name="SHARED_FORMULA_127">#N/A</definedName>
    <definedName name="SHARED_FORMULA_1270">#N/A</definedName>
    <definedName name="SHARED_FORMULA_1271">#N/A</definedName>
    <definedName name="SHARED_FORMULA_1272">#N/A</definedName>
    <definedName name="SHARED_FORMULA_1273">#N/A</definedName>
    <definedName name="SHARED_FORMULA_1274">#N/A</definedName>
    <definedName name="SHARED_FORMULA_1275">#N/A</definedName>
    <definedName name="SHARED_FORMULA_1276">#N/A</definedName>
    <definedName name="SHARED_FORMULA_1277">#N/A</definedName>
    <definedName name="SHARED_FORMULA_1278">#N/A</definedName>
    <definedName name="SHARED_FORMULA_1279">#N/A</definedName>
    <definedName name="SHARED_FORMULA_128">#N/A</definedName>
    <definedName name="SHARED_FORMULA_1280">#N/A</definedName>
    <definedName name="SHARED_FORMULA_1281">#N/A</definedName>
    <definedName name="SHARED_FORMULA_1282">#N/A</definedName>
    <definedName name="SHARED_FORMULA_1283">#N/A</definedName>
    <definedName name="SHARED_FORMULA_1284">#N/A</definedName>
    <definedName name="SHARED_FORMULA_1285">1+(0.15+0.16*0.05)</definedName>
    <definedName name="SHARED_FORMULA_1286">#N/A</definedName>
    <definedName name="SHARED_FORMULA_1287">1+(0+0.16*0.03)</definedName>
    <definedName name="SHARED_FORMULA_1288">#N/A</definedName>
    <definedName name="SHARED_FORMULA_1289">#N/A</definedName>
    <definedName name="SHARED_FORMULA_129">#N/A</definedName>
    <definedName name="SHARED_FORMULA_1290">1+(0.18+0.16*0.05)</definedName>
    <definedName name="SHARED_FORMULA_1291">#N/A</definedName>
    <definedName name="SHARED_FORMULA_1292">#N/A</definedName>
    <definedName name="SHARED_FORMULA_1293">#N/A</definedName>
    <definedName name="SHARED_FORMULA_1294">#N/A</definedName>
    <definedName name="SHARED_FORMULA_1295">#N/A</definedName>
    <definedName name="SHARED_FORMULA_1296">#N/A</definedName>
    <definedName name="SHARED_FORMULA_1297">#N/A</definedName>
    <definedName name="SHARED_FORMULA_1298">#N/A</definedName>
    <definedName name="SHARED_FORMULA_1299">#N/A</definedName>
    <definedName name="SHARED_FORMULA_13">#N/A</definedName>
    <definedName name="SHARED_FORMULA_130">#N/A</definedName>
    <definedName name="SHARED_FORMULA_1300">#N/A</definedName>
    <definedName name="SHARED_FORMULA_1301">#N/A</definedName>
    <definedName name="SHARED_FORMULA_1302">#N/A</definedName>
    <definedName name="SHARED_FORMULA_1303">#N/A</definedName>
    <definedName name="SHARED_FORMULA_1304">#N/A</definedName>
    <definedName name="SHARED_FORMULA_1305">#N/A</definedName>
    <definedName name="SHARED_FORMULA_1306">#N/A</definedName>
    <definedName name="SHARED_FORMULA_1307">#N/A</definedName>
    <definedName name="SHARED_FORMULA_1308">#N/A</definedName>
    <definedName name="SHARED_FORMULA_1309">#N/A</definedName>
    <definedName name="SHARED_FORMULA_131">#N/A</definedName>
    <definedName name="SHARED_FORMULA_1310">#N/A</definedName>
    <definedName name="SHARED_FORMULA_1311">#N/A</definedName>
    <definedName name="SHARED_FORMULA_1312">#N/A</definedName>
    <definedName name="SHARED_FORMULA_1313">#N/A</definedName>
    <definedName name="SHARED_FORMULA_1314">#N/A</definedName>
    <definedName name="SHARED_FORMULA_1315">#N/A</definedName>
    <definedName name="SHARED_FORMULA_1316">#N/A</definedName>
    <definedName name="SHARED_FORMULA_1317">#N/A</definedName>
    <definedName name="SHARED_FORMULA_1318">#N/A</definedName>
    <definedName name="SHARED_FORMULA_1319">#N/A</definedName>
    <definedName name="SHARED_FORMULA_132">#N/A</definedName>
    <definedName name="SHARED_FORMULA_1320">#N/A</definedName>
    <definedName name="SHARED_FORMULA_1321">#N/A</definedName>
    <definedName name="SHARED_FORMULA_1322">#N/A</definedName>
    <definedName name="SHARED_FORMULA_1323">#N/A</definedName>
    <definedName name="SHARED_FORMULA_1324">#N/A</definedName>
    <definedName name="SHARED_FORMULA_1325">#N/A</definedName>
    <definedName name="SHARED_FORMULA_1326">#N/A</definedName>
    <definedName name="SHARED_FORMULA_1327">#N/A</definedName>
    <definedName name="SHARED_FORMULA_1328">#N/A</definedName>
    <definedName name="SHARED_FORMULA_1329">#N/A</definedName>
    <definedName name="SHARED_FORMULA_133">#N/A</definedName>
    <definedName name="SHARED_FORMULA_1330">#N/A</definedName>
    <definedName name="SHARED_FORMULA_1331">#N/A</definedName>
    <definedName name="SHARED_FORMULA_1332">#N/A</definedName>
    <definedName name="SHARED_FORMULA_1333">#N/A</definedName>
    <definedName name="SHARED_FORMULA_1334">#N/A</definedName>
    <definedName name="SHARED_FORMULA_1335">#N/A</definedName>
    <definedName name="SHARED_FORMULA_1336">#N/A</definedName>
    <definedName name="SHARED_FORMULA_1337">#N/A</definedName>
    <definedName name="SHARED_FORMULA_1338">#N/A</definedName>
    <definedName name="SHARED_FORMULA_1339">#N/A</definedName>
    <definedName name="SHARED_FORMULA_134">#N/A</definedName>
    <definedName name="SHARED_FORMULA_1340">#N/A</definedName>
    <definedName name="SHARED_FORMULA_1341">#N/A</definedName>
    <definedName name="SHARED_FORMULA_1342">#N/A</definedName>
    <definedName name="SHARED_FORMULA_1343">#N/A</definedName>
    <definedName name="SHARED_FORMULA_1344">#N/A</definedName>
    <definedName name="SHARED_FORMULA_1345">#N/A</definedName>
    <definedName name="SHARED_FORMULA_1346">#N/A</definedName>
    <definedName name="SHARED_FORMULA_1347">#N/A</definedName>
    <definedName name="SHARED_FORMULA_1348">#N/A</definedName>
    <definedName name="SHARED_FORMULA_1349">#N/A</definedName>
    <definedName name="SHARED_FORMULA_135">#N/A</definedName>
    <definedName name="SHARED_FORMULA_1350">#N/A</definedName>
    <definedName name="SHARED_FORMULA_1351">#N/A</definedName>
    <definedName name="SHARED_FORMULA_1352">#N/A</definedName>
    <definedName name="SHARED_FORMULA_1353">#N/A</definedName>
    <definedName name="SHARED_FORMULA_1354">#N/A</definedName>
    <definedName name="SHARED_FORMULA_1355">#N/A</definedName>
    <definedName name="SHARED_FORMULA_1356">#N/A</definedName>
    <definedName name="SHARED_FORMULA_1357">#N/A</definedName>
    <definedName name="SHARED_FORMULA_1358">#N/A</definedName>
    <definedName name="SHARED_FORMULA_1359">#N/A</definedName>
    <definedName name="SHARED_FORMULA_136">#N/A</definedName>
    <definedName name="SHARED_FORMULA_1360">#N/A</definedName>
    <definedName name="SHARED_FORMULA_1361">#N/A</definedName>
    <definedName name="SHARED_FORMULA_1362">#N/A</definedName>
    <definedName name="SHARED_FORMULA_1363">#N/A</definedName>
    <definedName name="SHARED_FORMULA_1364">#N/A</definedName>
    <definedName name="SHARED_FORMULA_1365">#N/A</definedName>
    <definedName name="SHARED_FORMULA_1366">#N/A</definedName>
    <definedName name="SHARED_FORMULA_1367">#N/A</definedName>
    <definedName name="SHARED_FORMULA_1368">#N/A</definedName>
    <definedName name="SHARED_FORMULA_1369">#N/A</definedName>
    <definedName name="SHARED_FORMULA_137">#N/A</definedName>
    <definedName name="SHARED_FORMULA_1370">#N/A</definedName>
    <definedName name="SHARED_FORMULA_1371">#N/A</definedName>
    <definedName name="SHARED_FORMULA_1372">#N/A</definedName>
    <definedName name="SHARED_FORMULA_1373">#N/A</definedName>
    <definedName name="SHARED_FORMULA_1374">#N/A</definedName>
    <definedName name="SHARED_FORMULA_1375">#N/A</definedName>
    <definedName name="SHARED_FORMULA_1376">#N/A</definedName>
    <definedName name="SHARED_FORMULA_1377">#N/A</definedName>
    <definedName name="SHARED_FORMULA_1378">#N/A</definedName>
    <definedName name="SHARED_FORMULA_1379">#N/A</definedName>
    <definedName name="SHARED_FORMULA_138">#N/A</definedName>
    <definedName name="SHARED_FORMULA_1380">#N/A</definedName>
    <definedName name="SHARED_FORMULA_1381">#N/A</definedName>
    <definedName name="SHARED_FORMULA_1382">#N/A</definedName>
    <definedName name="SHARED_FORMULA_1383">#N/A</definedName>
    <definedName name="SHARED_FORMULA_1384">#N/A</definedName>
    <definedName name="SHARED_FORMULA_1385">#N/A</definedName>
    <definedName name="SHARED_FORMULA_1386">#N/A</definedName>
    <definedName name="SHARED_FORMULA_1387">#N/A</definedName>
    <definedName name="SHARED_FORMULA_1388">#N/A</definedName>
    <definedName name="SHARED_FORMULA_1389">#N/A</definedName>
    <definedName name="SHARED_FORMULA_139">#N/A</definedName>
    <definedName name="SHARED_FORMULA_1390">#N/A</definedName>
    <definedName name="SHARED_FORMULA_1391">#N/A</definedName>
    <definedName name="SHARED_FORMULA_1392">#N/A</definedName>
    <definedName name="SHARED_FORMULA_1393">#N/A</definedName>
    <definedName name="SHARED_FORMULA_1394">#N/A</definedName>
    <definedName name="SHARED_FORMULA_1395">#N/A</definedName>
    <definedName name="SHARED_FORMULA_1396">#N/A</definedName>
    <definedName name="SHARED_FORMULA_1397">#N/A</definedName>
    <definedName name="SHARED_FORMULA_1398">#N/A</definedName>
    <definedName name="SHARED_FORMULA_1399">#N/A</definedName>
    <definedName name="SHARED_FORMULA_14">#N/A</definedName>
    <definedName name="SHARED_FORMULA_140">#N/A</definedName>
    <definedName name="SHARED_FORMULA_1400">#N/A</definedName>
    <definedName name="SHARED_FORMULA_1401">#N/A</definedName>
    <definedName name="SHARED_FORMULA_1402">#N/A</definedName>
    <definedName name="SHARED_FORMULA_1403">#N/A</definedName>
    <definedName name="SHARED_FORMULA_1404">#N/A</definedName>
    <definedName name="SHARED_FORMULA_1405">#N/A</definedName>
    <definedName name="SHARED_FORMULA_1406">#N/A</definedName>
    <definedName name="SHARED_FORMULA_1407">#N/A</definedName>
    <definedName name="SHARED_FORMULA_1408">#N/A</definedName>
    <definedName name="SHARED_FORMULA_1409">#N/A</definedName>
    <definedName name="SHARED_FORMULA_141">#N/A</definedName>
    <definedName name="SHARED_FORMULA_1410">#N/A</definedName>
    <definedName name="SHARED_FORMULA_1411">#N/A</definedName>
    <definedName name="SHARED_FORMULA_1412">#N/A</definedName>
    <definedName name="SHARED_FORMULA_1413">#N/A</definedName>
    <definedName name="SHARED_FORMULA_1414">#N/A</definedName>
    <definedName name="SHARED_FORMULA_1415">#N/A</definedName>
    <definedName name="SHARED_FORMULA_1416">#N/A</definedName>
    <definedName name="SHARED_FORMULA_1417">#N/A</definedName>
    <definedName name="SHARED_FORMULA_1418">#N/A</definedName>
    <definedName name="SHARED_FORMULA_1419">#N/A</definedName>
    <definedName name="SHARED_FORMULA_142">#N/A</definedName>
    <definedName name="SHARED_FORMULA_1420">#N/A</definedName>
    <definedName name="SHARED_FORMULA_1421">#N/A</definedName>
    <definedName name="SHARED_FORMULA_1422">#N/A</definedName>
    <definedName name="SHARED_FORMULA_1423">#N/A</definedName>
    <definedName name="SHARED_FORMULA_1424">#N/A</definedName>
    <definedName name="SHARED_FORMULA_1425">#N/A</definedName>
    <definedName name="SHARED_FORMULA_1426">#N/A</definedName>
    <definedName name="SHARED_FORMULA_1427">#N/A</definedName>
    <definedName name="SHARED_FORMULA_1428">#N/A</definedName>
    <definedName name="SHARED_FORMULA_1429">#N/A</definedName>
    <definedName name="SHARED_FORMULA_143">#N/A</definedName>
    <definedName name="SHARED_FORMULA_1430">#N/A</definedName>
    <definedName name="SHARED_FORMULA_1431">#N/A</definedName>
    <definedName name="SHARED_FORMULA_1432">#N/A</definedName>
    <definedName name="SHARED_FORMULA_1433">#N/A</definedName>
    <definedName name="SHARED_FORMULA_1434">#N/A</definedName>
    <definedName name="SHARED_FORMULA_1435">#N/A</definedName>
    <definedName name="SHARED_FORMULA_1436">#N/A</definedName>
    <definedName name="SHARED_FORMULA_1437">#N/A</definedName>
    <definedName name="SHARED_FORMULA_1438">#N/A</definedName>
    <definedName name="SHARED_FORMULA_1439">#N/A</definedName>
    <definedName name="SHARED_FORMULA_144">#N/A</definedName>
    <definedName name="SHARED_FORMULA_1440">#N/A</definedName>
    <definedName name="SHARED_FORMULA_1441">#N/A</definedName>
    <definedName name="SHARED_FORMULA_1442">#N/A</definedName>
    <definedName name="SHARED_FORMULA_1443">#N/A</definedName>
    <definedName name="SHARED_FORMULA_1444">#N/A</definedName>
    <definedName name="SHARED_FORMULA_1445">#N/A</definedName>
    <definedName name="SHARED_FORMULA_1446">#N/A</definedName>
    <definedName name="SHARED_FORMULA_1447">#N/A</definedName>
    <definedName name="SHARED_FORMULA_1448">#N/A</definedName>
    <definedName name="SHARED_FORMULA_1449">#N/A</definedName>
    <definedName name="SHARED_FORMULA_145">#N/A</definedName>
    <definedName name="SHARED_FORMULA_1450">#N/A</definedName>
    <definedName name="SHARED_FORMULA_1451">#N/A</definedName>
    <definedName name="SHARED_FORMULA_1452">#N/A</definedName>
    <definedName name="SHARED_FORMULA_1453">#N/A</definedName>
    <definedName name="SHARED_FORMULA_1454">#N/A</definedName>
    <definedName name="SHARED_FORMULA_1455">#N/A</definedName>
    <definedName name="SHARED_FORMULA_1456">#N/A</definedName>
    <definedName name="SHARED_FORMULA_1457">#N/A</definedName>
    <definedName name="SHARED_FORMULA_1458">#N/A</definedName>
    <definedName name="SHARED_FORMULA_1459">#N/A</definedName>
    <definedName name="SHARED_FORMULA_146">#N/A</definedName>
    <definedName name="SHARED_FORMULA_1460">#N/A</definedName>
    <definedName name="SHARED_FORMULA_1461">#N/A</definedName>
    <definedName name="SHARED_FORMULA_1462">#N/A</definedName>
    <definedName name="SHARED_FORMULA_1463">#N/A</definedName>
    <definedName name="SHARED_FORMULA_1464">#N/A</definedName>
    <definedName name="SHARED_FORMULA_1465">#N/A</definedName>
    <definedName name="SHARED_FORMULA_1466">#N/A</definedName>
    <definedName name="SHARED_FORMULA_1467">#N/A</definedName>
    <definedName name="SHARED_FORMULA_1468">#N/A</definedName>
    <definedName name="SHARED_FORMULA_1469">#N/A</definedName>
    <definedName name="SHARED_FORMULA_147">#N/A</definedName>
    <definedName name="SHARED_FORMULA_1470">#N/A</definedName>
    <definedName name="SHARED_FORMULA_1471">#N/A</definedName>
    <definedName name="SHARED_FORMULA_1472">#N/A</definedName>
    <definedName name="SHARED_FORMULA_1473">#N/A</definedName>
    <definedName name="SHARED_FORMULA_1474">#N/A</definedName>
    <definedName name="SHARED_FORMULA_1475">#N/A</definedName>
    <definedName name="SHARED_FORMULA_1476">#N/A</definedName>
    <definedName name="SHARED_FORMULA_1477">#N/A</definedName>
    <definedName name="SHARED_FORMULA_1478">#N/A</definedName>
    <definedName name="SHARED_FORMULA_1479">#N/A</definedName>
    <definedName name="SHARED_FORMULA_148">#N/A</definedName>
    <definedName name="SHARED_FORMULA_1480">#N/A</definedName>
    <definedName name="SHARED_FORMULA_1481">#N/A</definedName>
    <definedName name="SHARED_FORMULA_1482">#N/A</definedName>
    <definedName name="SHARED_FORMULA_1483">#N/A</definedName>
    <definedName name="SHARED_FORMULA_1484">#N/A</definedName>
    <definedName name="SHARED_FORMULA_1485">#N/A</definedName>
    <definedName name="SHARED_FORMULA_1486">#N/A</definedName>
    <definedName name="SHARED_FORMULA_1487">#N/A</definedName>
    <definedName name="SHARED_FORMULA_1488">#N/A</definedName>
    <definedName name="SHARED_FORMULA_1489">#N/A</definedName>
    <definedName name="SHARED_FORMULA_149">#N/A</definedName>
    <definedName name="SHARED_FORMULA_1490">#N/A</definedName>
    <definedName name="SHARED_FORMULA_1491">#N/A</definedName>
    <definedName name="SHARED_FORMULA_1492">#N/A</definedName>
    <definedName name="SHARED_FORMULA_1493">#N/A</definedName>
    <definedName name="SHARED_FORMULA_1494">#N/A</definedName>
    <definedName name="SHARED_FORMULA_1495">#N/A</definedName>
    <definedName name="SHARED_FORMULA_1496">#N/A</definedName>
    <definedName name="SHARED_FORMULA_1497">#N/A</definedName>
    <definedName name="SHARED_FORMULA_1498">#N/A</definedName>
    <definedName name="SHARED_FORMULA_1499">#N/A</definedName>
    <definedName name="SHARED_FORMULA_15">#N/A</definedName>
    <definedName name="SHARED_FORMULA_150">#N/A</definedName>
    <definedName name="SHARED_FORMULA_1500">#N/A</definedName>
    <definedName name="SHARED_FORMULA_1501">#N/A</definedName>
    <definedName name="SHARED_FORMULA_1502">#N/A</definedName>
    <definedName name="SHARED_FORMULA_1503">#N/A</definedName>
    <definedName name="SHARED_FORMULA_1504">#N/A</definedName>
    <definedName name="SHARED_FORMULA_1505">#N/A</definedName>
    <definedName name="SHARED_FORMULA_1506">#N/A</definedName>
    <definedName name="SHARED_FORMULA_1507">#N/A</definedName>
    <definedName name="SHARED_FORMULA_1508">#N/A</definedName>
    <definedName name="SHARED_FORMULA_1509">#N/A</definedName>
    <definedName name="SHARED_FORMULA_151">#N/A</definedName>
    <definedName name="SHARED_FORMULA_1510">#N/A</definedName>
    <definedName name="SHARED_FORMULA_1511">#N/A</definedName>
    <definedName name="SHARED_FORMULA_1512">#N/A</definedName>
    <definedName name="SHARED_FORMULA_1513">#N/A</definedName>
    <definedName name="SHARED_FORMULA_1514">#N/A</definedName>
    <definedName name="SHARED_FORMULA_1515">#N/A</definedName>
    <definedName name="SHARED_FORMULA_1516">#N/A</definedName>
    <definedName name="SHARED_FORMULA_1517">#N/A</definedName>
    <definedName name="SHARED_FORMULA_1518">#N/A</definedName>
    <definedName name="SHARED_FORMULA_1519">#N/A</definedName>
    <definedName name="SHARED_FORMULA_152">#N/A</definedName>
    <definedName name="SHARED_FORMULA_1520">#N/A</definedName>
    <definedName name="SHARED_FORMULA_1521">#N/A</definedName>
    <definedName name="SHARED_FORMULA_1522">#N/A</definedName>
    <definedName name="SHARED_FORMULA_1523">#N/A</definedName>
    <definedName name="SHARED_FORMULA_1524">#N/A</definedName>
    <definedName name="SHARED_FORMULA_1525">#N/A</definedName>
    <definedName name="SHARED_FORMULA_1526">#N/A</definedName>
    <definedName name="SHARED_FORMULA_1527">#N/A</definedName>
    <definedName name="SHARED_FORMULA_1528">#N/A</definedName>
    <definedName name="SHARED_FORMULA_1529">#N/A</definedName>
    <definedName name="SHARED_FORMULA_153">#N/A</definedName>
    <definedName name="SHARED_FORMULA_1530">#N/A</definedName>
    <definedName name="SHARED_FORMULA_1531">#N/A</definedName>
    <definedName name="SHARED_FORMULA_1532">#N/A</definedName>
    <definedName name="SHARED_FORMULA_1533">#N/A</definedName>
    <definedName name="SHARED_FORMULA_1534">#N/A</definedName>
    <definedName name="SHARED_FORMULA_1535">#N/A</definedName>
    <definedName name="SHARED_FORMULA_1536">#N/A</definedName>
    <definedName name="SHARED_FORMULA_1537">#N/A</definedName>
    <definedName name="SHARED_FORMULA_1538">#N/A</definedName>
    <definedName name="SHARED_FORMULA_1539">#N/A</definedName>
    <definedName name="SHARED_FORMULA_154">#N/A</definedName>
    <definedName name="SHARED_FORMULA_1540">#N/A</definedName>
    <definedName name="SHARED_FORMULA_1541">#N/A</definedName>
    <definedName name="SHARED_FORMULA_1542">#N/A</definedName>
    <definedName name="SHARED_FORMULA_1543">#N/A</definedName>
    <definedName name="SHARED_FORMULA_1544">#N/A</definedName>
    <definedName name="SHARED_FORMULA_1545">#N/A</definedName>
    <definedName name="SHARED_FORMULA_1546">#N/A</definedName>
    <definedName name="SHARED_FORMULA_1547">#N/A</definedName>
    <definedName name="SHARED_FORMULA_1548">#N/A</definedName>
    <definedName name="SHARED_FORMULA_1549">#N/A</definedName>
    <definedName name="SHARED_FORMULA_155">#N/A</definedName>
    <definedName name="SHARED_FORMULA_1550">#N/A</definedName>
    <definedName name="SHARED_FORMULA_1551">#N/A</definedName>
    <definedName name="SHARED_FORMULA_1552">#N/A</definedName>
    <definedName name="SHARED_FORMULA_1553">#N/A</definedName>
    <definedName name="SHARED_FORMULA_1554">#N/A</definedName>
    <definedName name="SHARED_FORMULA_1555">#N/A</definedName>
    <definedName name="SHARED_FORMULA_1556">#N/A</definedName>
    <definedName name="SHARED_FORMULA_1557">#N/A</definedName>
    <definedName name="SHARED_FORMULA_1558">#N/A</definedName>
    <definedName name="SHARED_FORMULA_1559">#N/A</definedName>
    <definedName name="SHARED_FORMULA_156">#N/A</definedName>
    <definedName name="SHARED_FORMULA_1560">#N/A</definedName>
    <definedName name="SHARED_FORMULA_1561">#N/A</definedName>
    <definedName name="SHARED_FORMULA_1562">#N/A</definedName>
    <definedName name="SHARED_FORMULA_1563">#N/A</definedName>
    <definedName name="SHARED_FORMULA_1564">#N/A</definedName>
    <definedName name="SHARED_FORMULA_1565">#N/A</definedName>
    <definedName name="SHARED_FORMULA_1566">#N/A</definedName>
    <definedName name="SHARED_FORMULA_1567">#N/A</definedName>
    <definedName name="SHARED_FORMULA_1568">#N/A</definedName>
    <definedName name="SHARED_FORMULA_1569">#N/A</definedName>
    <definedName name="SHARED_FORMULA_157">#N/A</definedName>
    <definedName name="SHARED_FORMULA_1570">#N/A</definedName>
    <definedName name="SHARED_FORMULA_1571">#N/A</definedName>
    <definedName name="SHARED_FORMULA_1572">#N/A</definedName>
    <definedName name="SHARED_FORMULA_1573">#N/A</definedName>
    <definedName name="SHARED_FORMULA_1574">#N/A</definedName>
    <definedName name="SHARED_FORMULA_1575">#N/A</definedName>
    <definedName name="SHARED_FORMULA_1576">#N/A</definedName>
    <definedName name="SHARED_FORMULA_1577">#N/A</definedName>
    <definedName name="SHARED_FORMULA_1578">#N/A</definedName>
    <definedName name="SHARED_FORMULA_1579">#N/A</definedName>
    <definedName name="SHARED_FORMULA_158">#N/A</definedName>
    <definedName name="SHARED_FORMULA_1580">#N/A</definedName>
    <definedName name="SHARED_FORMULA_1581">#N/A</definedName>
    <definedName name="SHARED_FORMULA_1582">#N/A</definedName>
    <definedName name="SHARED_FORMULA_1583">#N/A</definedName>
    <definedName name="SHARED_FORMULA_1584">#N/A</definedName>
    <definedName name="SHARED_FORMULA_1585">#N/A</definedName>
    <definedName name="SHARED_FORMULA_1586">#N/A</definedName>
    <definedName name="SHARED_FORMULA_1587">#N/A</definedName>
    <definedName name="SHARED_FORMULA_1588">#N/A</definedName>
    <definedName name="SHARED_FORMULA_1589">#N/A</definedName>
    <definedName name="SHARED_FORMULA_159">#N/A</definedName>
    <definedName name="SHARED_FORMULA_1590">#N/A</definedName>
    <definedName name="SHARED_FORMULA_1591">#N/A</definedName>
    <definedName name="SHARED_FORMULA_1592">#N/A</definedName>
    <definedName name="SHARED_FORMULA_1593">#N/A</definedName>
    <definedName name="SHARED_FORMULA_1594">#N/A</definedName>
    <definedName name="SHARED_FORMULA_1595">#N/A</definedName>
    <definedName name="SHARED_FORMULA_1596">#N/A</definedName>
    <definedName name="SHARED_FORMULA_1597">#N/A</definedName>
    <definedName name="SHARED_FORMULA_1598">#N/A</definedName>
    <definedName name="SHARED_FORMULA_1599">#N/A</definedName>
    <definedName name="SHARED_FORMULA_16">#N/A</definedName>
    <definedName name="SHARED_FORMULA_160">#N/A</definedName>
    <definedName name="SHARED_FORMULA_1600">#N/A</definedName>
    <definedName name="SHARED_FORMULA_1601">#N/A</definedName>
    <definedName name="SHARED_FORMULA_1602">#N/A</definedName>
    <definedName name="SHARED_FORMULA_1603">#N/A</definedName>
    <definedName name="SHARED_FORMULA_1604">#N/A</definedName>
    <definedName name="SHARED_FORMULA_1605">#N/A</definedName>
    <definedName name="SHARED_FORMULA_1606">#N/A</definedName>
    <definedName name="SHARED_FORMULA_1607">#N/A</definedName>
    <definedName name="SHARED_FORMULA_1608">#N/A</definedName>
    <definedName name="SHARED_FORMULA_1609">#N/A</definedName>
    <definedName name="SHARED_FORMULA_161">#N/A</definedName>
    <definedName name="SHARED_FORMULA_1610">#N/A</definedName>
    <definedName name="SHARED_FORMULA_1611">#N/A</definedName>
    <definedName name="SHARED_FORMULA_1612">#N/A</definedName>
    <definedName name="SHARED_FORMULA_1613">#N/A</definedName>
    <definedName name="SHARED_FORMULA_1614">#N/A</definedName>
    <definedName name="SHARED_FORMULA_1615">#N/A</definedName>
    <definedName name="SHARED_FORMULA_1616">#N/A</definedName>
    <definedName name="SHARED_FORMULA_1617">#N/A</definedName>
    <definedName name="SHARED_FORMULA_1618">#N/A</definedName>
    <definedName name="SHARED_FORMULA_1619">#N/A</definedName>
    <definedName name="SHARED_FORMULA_162">#N/A</definedName>
    <definedName name="SHARED_FORMULA_1620">#N/A</definedName>
    <definedName name="SHARED_FORMULA_1621">#N/A</definedName>
    <definedName name="SHARED_FORMULA_1622">#N/A</definedName>
    <definedName name="SHARED_FORMULA_1623">#N/A</definedName>
    <definedName name="SHARED_FORMULA_1624">#N/A</definedName>
    <definedName name="SHARED_FORMULA_1625">#N/A</definedName>
    <definedName name="SHARED_FORMULA_1626">#N/A</definedName>
    <definedName name="SHARED_FORMULA_1627">#N/A</definedName>
    <definedName name="SHARED_FORMULA_1628">#N/A</definedName>
    <definedName name="SHARED_FORMULA_1629">#N/A</definedName>
    <definedName name="SHARED_FORMULA_163">#N/A</definedName>
    <definedName name="SHARED_FORMULA_1630">#N/A</definedName>
    <definedName name="SHARED_FORMULA_1631">#N/A</definedName>
    <definedName name="SHARED_FORMULA_1632">#N/A</definedName>
    <definedName name="SHARED_FORMULA_1633">#N/A</definedName>
    <definedName name="SHARED_FORMULA_1634">#N/A</definedName>
    <definedName name="SHARED_FORMULA_1635">#N/A</definedName>
    <definedName name="SHARED_FORMULA_1636">#N/A</definedName>
    <definedName name="SHARED_FORMULA_1637">#N/A</definedName>
    <definedName name="SHARED_FORMULA_1638">#N/A</definedName>
    <definedName name="SHARED_FORMULA_1639">#N/A</definedName>
    <definedName name="SHARED_FORMULA_164">#N/A</definedName>
    <definedName name="SHARED_FORMULA_1640">#N/A</definedName>
    <definedName name="SHARED_FORMULA_1641">#N/A</definedName>
    <definedName name="SHARED_FORMULA_1642">#N/A</definedName>
    <definedName name="SHARED_FORMULA_1643">#N/A</definedName>
    <definedName name="SHARED_FORMULA_1644">#N/A</definedName>
    <definedName name="SHARED_FORMULA_1645">#N/A</definedName>
    <definedName name="SHARED_FORMULA_1646">#N/A</definedName>
    <definedName name="SHARED_FORMULA_1647">#N/A</definedName>
    <definedName name="SHARED_FORMULA_1648">#N/A</definedName>
    <definedName name="SHARED_FORMULA_1649">#N/A</definedName>
    <definedName name="SHARED_FORMULA_165">#N/A</definedName>
    <definedName name="SHARED_FORMULA_1650">#N/A</definedName>
    <definedName name="SHARED_FORMULA_1651">#N/A</definedName>
    <definedName name="SHARED_FORMULA_1652">#N/A</definedName>
    <definedName name="SHARED_FORMULA_1653">#N/A</definedName>
    <definedName name="SHARED_FORMULA_1654">#N/A</definedName>
    <definedName name="SHARED_FORMULA_1655">#N/A</definedName>
    <definedName name="SHARED_FORMULA_1656">#N/A</definedName>
    <definedName name="SHARED_FORMULA_1657">#N/A</definedName>
    <definedName name="SHARED_FORMULA_1658">#N/A</definedName>
    <definedName name="SHARED_FORMULA_1659">#N/A</definedName>
    <definedName name="SHARED_FORMULA_166">#N/A</definedName>
    <definedName name="SHARED_FORMULA_1660">#N/A</definedName>
    <definedName name="SHARED_FORMULA_1661">#N/A</definedName>
    <definedName name="SHARED_FORMULA_1662">#N/A</definedName>
    <definedName name="SHARED_FORMULA_1663">#N/A</definedName>
    <definedName name="SHARED_FORMULA_1664">#N/A</definedName>
    <definedName name="SHARED_FORMULA_1665">#N/A</definedName>
    <definedName name="SHARED_FORMULA_1666">#N/A</definedName>
    <definedName name="SHARED_FORMULA_1667">#N/A</definedName>
    <definedName name="SHARED_FORMULA_1668">#N/A</definedName>
    <definedName name="SHARED_FORMULA_1669">#N/A</definedName>
    <definedName name="SHARED_FORMULA_167">#N/A</definedName>
    <definedName name="SHARED_FORMULA_1670">#N/A</definedName>
    <definedName name="SHARED_FORMULA_1671">#N/A</definedName>
    <definedName name="SHARED_FORMULA_1672">#N/A</definedName>
    <definedName name="SHARED_FORMULA_1673">#N/A</definedName>
    <definedName name="SHARED_FORMULA_1674">#N/A</definedName>
    <definedName name="SHARED_FORMULA_1675">#N/A</definedName>
    <definedName name="SHARED_FORMULA_1676">#N/A</definedName>
    <definedName name="SHARED_FORMULA_1677">#N/A</definedName>
    <definedName name="SHARED_FORMULA_1678">#N/A</definedName>
    <definedName name="SHARED_FORMULA_1679">#N/A</definedName>
    <definedName name="SHARED_FORMULA_168">#N/A</definedName>
    <definedName name="SHARED_FORMULA_1680">#N/A</definedName>
    <definedName name="SHARED_FORMULA_1681">#N/A</definedName>
    <definedName name="SHARED_FORMULA_1682">#N/A</definedName>
    <definedName name="SHARED_FORMULA_1683">#N/A</definedName>
    <definedName name="SHARED_FORMULA_1684">#N/A</definedName>
    <definedName name="SHARED_FORMULA_1685">#N/A</definedName>
    <definedName name="SHARED_FORMULA_1686">#N/A</definedName>
    <definedName name="SHARED_FORMULA_1687">#N/A</definedName>
    <definedName name="SHARED_FORMULA_1688">#N/A</definedName>
    <definedName name="SHARED_FORMULA_1689">#N/A</definedName>
    <definedName name="SHARED_FORMULA_169">#N/A</definedName>
    <definedName name="SHARED_FORMULA_1690">#N/A</definedName>
    <definedName name="SHARED_FORMULA_1691">#N/A</definedName>
    <definedName name="SHARED_FORMULA_1692">#N/A</definedName>
    <definedName name="SHARED_FORMULA_1693">#N/A</definedName>
    <definedName name="SHARED_FORMULA_1694">#N/A</definedName>
    <definedName name="SHARED_FORMULA_1695">#N/A</definedName>
    <definedName name="SHARED_FORMULA_1696">#N/A</definedName>
    <definedName name="SHARED_FORMULA_1697">#N/A</definedName>
    <definedName name="SHARED_FORMULA_1698">#N/A</definedName>
    <definedName name="SHARED_FORMULA_1699">#N/A</definedName>
    <definedName name="SHARED_FORMULA_17">#N/A</definedName>
    <definedName name="SHARED_FORMULA_170">#N/A</definedName>
    <definedName name="SHARED_FORMULA_1700">#N/A</definedName>
    <definedName name="SHARED_FORMULA_1701">#N/A</definedName>
    <definedName name="SHARED_FORMULA_1702">#N/A</definedName>
    <definedName name="SHARED_FORMULA_1703">#N/A</definedName>
    <definedName name="SHARED_FORMULA_1704">#N/A</definedName>
    <definedName name="SHARED_FORMULA_1705">#N/A</definedName>
    <definedName name="SHARED_FORMULA_1706">#N/A</definedName>
    <definedName name="SHARED_FORMULA_1707">#N/A</definedName>
    <definedName name="SHARED_FORMULA_1708">#N/A</definedName>
    <definedName name="SHARED_FORMULA_1709">#N/A</definedName>
    <definedName name="SHARED_FORMULA_171">#N/A</definedName>
    <definedName name="SHARED_FORMULA_1710">#N/A</definedName>
    <definedName name="SHARED_FORMULA_1711">#N/A</definedName>
    <definedName name="SHARED_FORMULA_1712">#N/A</definedName>
    <definedName name="SHARED_FORMULA_1713">#N/A</definedName>
    <definedName name="SHARED_FORMULA_1714">#N/A</definedName>
    <definedName name="SHARED_FORMULA_1715">#N/A</definedName>
    <definedName name="SHARED_FORMULA_1716">#N/A</definedName>
    <definedName name="SHARED_FORMULA_1717">#N/A</definedName>
    <definedName name="SHARED_FORMULA_1718">#N/A</definedName>
    <definedName name="SHARED_FORMULA_1719">#N/A</definedName>
    <definedName name="SHARED_FORMULA_172">#N/A</definedName>
    <definedName name="SHARED_FORMULA_1720">#N/A</definedName>
    <definedName name="SHARED_FORMULA_1721">#N/A</definedName>
    <definedName name="SHARED_FORMULA_1722">#N/A</definedName>
    <definedName name="SHARED_FORMULA_1723">#N/A</definedName>
    <definedName name="SHARED_FORMULA_1724">#N/A</definedName>
    <definedName name="SHARED_FORMULA_1725">#N/A</definedName>
    <definedName name="SHARED_FORMULA_1726">#N/A</definedName>
    <definedName name="SHARED_FORMULA_1727">#N/A</definedName>
    <definedName name="SHARED_FORMULA_1728">#N/A</definedName>
    <definedName name="SHARED_FORMULA_1729">#N/A</definedName>
    <definedName name="SHARED_FORMULA_173">#N/A</definedName>
    <definedName name="SHARED_FORMULA_1730">#N/A</definedName>
    <definedName name="SHARED_FORMULA_1731">#N/A</definedName>
    <definedName name="SHARED_FORMULA_1732">#N/A</definedName>
    <definedName name="SHARED_FORMULA_1733">#N/A</definedName>
    <definedName name="SHARED_FORMULA_1734">#N/A</definedName>
    <definedName name="SHARED_FORMULA_1735">#N/A</definedName>
    <definedName name="SHARED_FORMULA_1736">#N/A</definedName>
    <definedName name="SHARED_FORMULA_1737">#N/A</definedName>
    <definedName name="SHARED_FORMULA_1738">#N/A</definedName>
    <definedName name="SHARED_FORMULA_1739">#N/A</definedName>
    <definedName name="SHARED_FORMULA_174">#N/A</definedName>
    <definedName name="SHARED_FORMULA_1740">#N/A</definedName>
    <definedName name="SHARED_FORMULA_1741">#N/A</definedName>
    <definedName name="SHARED_FORMULA_1742">#N/A</definedName>
    <definedName name="SHARED_FORMULA_1743">#N/A</definedName>
    <definedName name="SHARED_FORMULA_1744">#N/A</definedName>
    <definedName name="SHARED_FORMULA_1745">#N/A</definedName>
    <definedName name="SHARED_FORMULA_1746">#N/A</definedName>
    <definedName name="SHARED_FORMULA_1747">#N/A</definedName>
    <definedName name="SHARED_FORMULA_1748">#N/A</definedName>
    <definedName name="SHARED_FORMULA_1749">#N/A</definedName>
    <definedName name="SHARED_FORMULA_175">#N/A</definedName>
    <definedName name="SHARED_FORMULA_1750">#N/A</definedName>
    <definedName name="SHARED_FORMULA_1751">#N/A</definedName>
    <definedName name="SHARED_FORMULA_1752">#N/A</definedName>
    <definedName name="SHARED_FORMULA_1753">#N/A</definedName>
    <definedName name="SHARED_FORMULA_1754">#N/A</definedName>
    <definedName name="SHARED_FORMULA_1755">#N/A</definedName>
    <definedName name="SHARED_FORMULA_1756">#N/A</definedName>
    <definedName name="SHARED_FORMULA_1757">#N/A</definedName>
    <definedName name="SHARED_FORMULA_1758">#N/A</definedName>
    <definedName name="SHARED_FORMULA_1759">#N/A</definedName>
    <definedName name="SHARED_FORMULA_176">#N/A</definedName>
    <definedName name="SHARED_FORMULA_1760">#N/A</definedName>
    <definedName name="SHARED_FORMULA_1761">#N/A</definedName>
    <definedName name="SHARED_FORMULA_1762">#N/A</definedName>
    <definedName name="SHARED_FORMULA_1763">#N/A</definedName>
    <definedName name="SHARED_FORMULA_1764">#N/A</definedName>
    <definedName name="SHARED_FORMULA_1765">#N/A</definedName>
    <definedName name="SHARED_FORMULA_1766">#N/A</definedName>
    <definedName name="SHARED_FORMULA_1767">#N/A</definedName>
    <definedName name="SHARED_FORMULA_1768">#N/A</definedName>
    <definedName name="SHARED_FORMULA_1769">#N/A</definedName>
    <definedName name="SHARED_FORMULA_177">#N/A</definedName>
    <definedName name="SHARED_FORMULA_1770">#N/A</definedName>
    <definedName name="SHARED_FORMULA_1771">#N/A</definedName>
    <definedName name="SHARED_FORMULA_1772">#N/A</definedName>
    <definedName name="SHARED_FORMULA_1773">#N/A</definedName>
    <definedName name="SHARED_FORMULA_1774">#N/A</definedName>
    <definedName name="SHARED_FORMULA_1775">#N/A</definedName>
    <definedName name="SHARED_FORMULA_1776">#N/A</definedName>
    <definedName name="SHARED_FORMULA_1777">#N/A</definedName>
    <definedName name="SHARED_FORMULA_1778">#N/A</definedName>
    <definedName name="SHARED_FORMULA_1779">#N/A</definedName>
    <definedName name="SHARED_FORMULA_178">#N/A</definedName>
    <definedName name="SHARED_FORMULA_1780">#N/A</definedName>
    <definedName name="SHARED_FORMULA_1781">#N/A</definedName>
    <definedName name="SHARED_FORMULA_1782">#N/A</definedName>
    <definedName name="SHARED_FORMULA_1783">#N/A</definedName>
    <definedName name="SHARED_FORMULA_1784">#N/A</definedName>
    <definedName name="SHARED_FORMULA_1785">#N/A</definedName>
    <definedName name="SHARED_FORMULA_1786">#N/A</definedName>
    <definedName name="SHARED_FORMULA_1787">#N/A</definedName>
    <definedName name="SHARED_FORMULA_1788">#N/A</definedName>
    <definedName name="SHARED_FORMULA_1789">#N/A</definedName>
    <definedName name="SHARED_FORMULA_179">#N/A</definedName>
    <definedName name="SHARED_FORMULA_1790">#N/A</definedName>
    <definedName name="SHARED_FORMULA_1791">#N/A</definedName>
    <definedName name="SHARED_FORMULA_1792">#N/A</definedName>
    <definedName name="SHARED_FORMULA_1793">#N/A</definedName>
    <definedName name="SHARED_FORMULA_1794">#N/A</definedName>
    <definedName name="SHARED_FORMULA_1795">#N/A</definedName>
    <definedName name="SHARED_FORMULA_1796">#N/A</definedName>
    <definedName name="SHARED_FORMULA_1797">#N/A</definedName>
    <definedName name="SHARED_FORMULA_1798">#N/A</definedName>
    <definedName name="SHARED_FORMULA_1799">#N/A</definedName>
    <definedName name="SHARED_FORMULA_18">#N/A</definedName>
    <definedName name="SHARED_FORMULA_180">#N/A</definedName>
    <definedName name="SHARED_FORMULA_1800">#N/A</definedName>
    <definedName name="SHARED_FORMULA_1801">#N/A</definedName>
    <definedName name="SHARED_FORMULA_1802">#N/A</definedName>
    <definedName name="SHARED_FORMULA_1803">#N/A</definedName>
    <definedName name="SHARED_FORMULA_1804">#N/A</definedName>
    <definedName name="SHARED_FORMULA_1805">#N/A</definedName>
    <definedName name="SHARED_FORMULA_1806">#N/A</definedName>
    <definedName name="SHARED_FORMULA_1807">#N/A</definedName>
    <definedName name="SHARED_FORMULA_1808">#N/A</definedName>
    <definedName name="SHARED_FORMULA_1809">#N/A</definedName>
    <definedName name="SHARED_FORMULA_181">#N/A</definedName>
    <definedName name="SHARED_FORMULA_1810">#N/A</definedName>
    <definedName name="SHARED_FORMULA_1811">#N/A</definedName>
    <definedName name="SHARED_FORMULA_1812">#N/A</definedName>
    <definedName name="SHARED_FORMULA_1813">#N/A</definedName>
    <definedName name="SHARED_FORMULA_1814">#N/A</definedName>
    <definedName name="SHARED_FORMULA_1815">#N/A</definedName>
    <definedName name="SHARED_FORMULA_1816">#N/A</definedName>
    <definedName name="SHARED_FORMULA_1817">#N/A</definedName>
    <definedName name="SHARED_FORMULA_1818">#N/A</definedName>
    <definedName name="SHARED_FORMULA_1819">#N/A</definedName>
    <definedName name="SHARED_FORMULA_182">#N/A</definedName>
    <definedName name="SHARED_FORMULA_1820">#N/A</definedName>
    <definedName name="SHARED_FORMULA_1821">#N/A</definedName>
    <definedName name="SHARED_FORMULA_1822">#N/A</definedName>
    <definedName name="SHARED_FORMULA_1823">#N/A</definedName>
    <definedName name="SHARED_FORMULA_1824">#N/A</definedName>
    <definedName name="SHARED_FORMULA_1825">#N/A</definedName>
    <definedName name="SHARED_FORMULA_1826">#N/A</definedName>
    <definedName name="SHARED_FORMULA_1827">#N/A</definedName>
    <definedName name="SHARED_FORMULA_1828">#N/A</definedName>
    <definedName name="SHARED_FORMULA_1829">#N/A</definedName>
    <definedName name="SHARED_FORMULA_183">#N/A</definedName>
    <definedName name="SHARED_FORMULA_1830">#N/A</definedName>
    <definedName name="SHARED_FORMULA_1831">#N/A</definedName>
    <definedName name="SHARED_FORMULA_1832">#N/A</definedName>
    <definedName name="SHARED_FORMULA_1833">#N/A</definedName>
    <definedName name="SHARED_FORMULA_1834">#N/A</definedName>
    <definedName name="SHARED_FORMULA_1835">#N/A</definedName>
    <definedName name="SHARED_FORMULA_1836">#N/A</definedName>
    <definedName name="SHARED_FORMULA_1837">#N/A</definedName>
    <definedName name="SHARED_FORMULA_1838">#N/A</definedName>
    <definedName name="SHARED_FORMULA_1839">#N/A</definedName>
    <definedName name="SHARED_FORMULA_184">#N/A</definedName>
    <definedName name="SHARED_FORMULA_1840">#N/A</definedName>
    <definedName name="SHARED_FORMULA_1841">#N/A</definedName>
    <definedName name="SHARED_FORMULA_1842">#N/A</definedName>
    <definedName name="SHARED_FORMULA_1843">#N/A</definedName>
    <definedName name="SHARED_FORMULA_1844">#N/A</definedName>
    <definedName name="SHARED_FORMULA_1845">#N/A</definedName>
    <definedName name="SHARED_FORMULA_1846">#N/A</definedName>
    <definedName name="SHARED_FORMULA_1847">#N/A</definedName>
    <definedName name="SHARED_FORMULA_1848">#N/A</definedName>
    <definedName name="SHARED_FORMULA_1849">#N/A</definedName>
    <definedName name="SHARED_FORMULA_185">#N/A</definedName>
    <definedName name="SHARED_FORMULA_1850">#N/A</definedName>
    <definedName name="SHARED_FORMULA_1851">#N/A</definedName>
    <definedName name="SHARED_FORMULA_1852">#N/A</definedName>
    <definedName name="SHARED_FORMULA_1853">#N/A</definedName>
    <definedName name="SHARED_FORMULA_1854">#N/A</definedName>
    <definedName name="SHARED_FORMULA_1855">#N/A</definedName>
    <definedName name="SHARED_FORMULA_1856">#N/A</definedName>
    <definedName name="SHARED_FORMULA_1857">#N/A</definedName>
    <definedName name="SHARED_FORMULA_1858">#N/A</definedName>
    <definedName name="SHARED_FORMULA_1859">#N/A</definedName>
    <definedName name="SHARED_FORMULA_186">#N/A</definedName>
    <definedName name="SHARED_FORMULA_1860">#N/A</definedName>
    <definedName name="SHARED_FORMULA_1861">#N/A</definedName>
    <definedName name="SHARED_FORMULA_1862">#N/A</definedName>
    <definedName name="SHARED_FORMULA_1863">#N/A</definedName>
    <definedName name="SHARED_FORMULA_1864">#N/A</definedName>
    <definedName name="SHARED_FORMULA_1865">#N/A</definedName>
    <definedName name="SHARED_FORMULA_1866">#N/A</definedName>
    <definedName name="SHARED_FORMULA_1867">#N/A</definedName>
    <definedName name="SHARED_FORMULA_1868">#N/A</definedName>
    <definedName name="SHARED_FORMULA_1869">#N/A</definedName>
    <definedName name="SHARED_FORMULA_187">#N/A</definedName>
    <definedName name="SHARED_FORMULA_1870">#N/A</definedName>
    <definedName name="SHARED_FORMULA_1871">#N/A</definedName>
    <definedName name="SHARED_FORMULA_1872">#N/A</definedName>
    <definedName name="SHARED_FORMULA_1873">#N/A</definedName>
    <definedName name="SHARED_FORMULA_1874">#N/A</definedName>
    <definedName name="SHARED_FORMULA_1875">#N/A</definedName>
    <definedName name="SHARED_FORMULA_1876">#N/A</definedName>
    <definedName name="SHARED_FORMULA_1877">#N/A</definedName>
    <definedName name="SHARED_FORMULA_1878">#N/A</definedName>
    <definedName name="SHARED_FORMULA_1879">#N/A</definedName>
    <definedName name="SHARED_FORMULA_188">#N/A</definedName>
    <definedName name="SHARED_FORMULA_1880">#N/A</definedName>
    <definedName name="SHARED_FORMULA_1881">#N/A</definedName>
    <definedName name="SHARED_FORMULA_1882">#N/A</definedName>
    <definedName name="SHARED_FORMULA_1883">#N/A</definedName>
    <definedName name="SHARED_FORMULA_1884">#N/A</definedName>
    <definedName name="SHARED_FORMULA_1885">#N/A</definedName>
    <definedName name="SHARED_FORMULA_1886">#N/A</definedName>
    <definedName name="SHARED_FORMULA_1887">#N/A</definedName>
    <definedName name="SHARED_FORMULA_1888">#N/A</definedName>
    <definedName name="SHARED_FORMULA_1889">#N/A</definedName>
    <definedName name="SHARED_FORMULA_189">#N/A</definedName>
    <definedName name="SHARED_FORMULA_1890">#N/A</definedName>
    <definedName name="SHARED_FORMULA_1891">#N/A</definedName>
    <definedName name="SHARED_FORMULA_1892">#N/A</definedName>
    <definedName name="SHARED_FORMULA_1893">#N/A</definedName>
    <definedName name="SHARED_FORMULA_1894">#N/A</definedName>
    <definedName name="SHARED_FORMULA_1895">#N/A</definedName>
    <definedName name="SHARED_FORMULA_1896">#N/A</definedName>
    <definedName name="SHARED_FORMULA_1897">#N/A</definedName>
    <definedName name="SHARED_FORMULA_1898">#N/A</definedName>
    <definedName name="SHARED_FORMULA_1899">#N/A</definedName>
    <definedName name="SHARED_FORMULA_19">#N/A</definedName>
    <definedName name="SHARED_FORMULA_190">#N/A</definedName>
    <definedName name="SHARED_FORMULA_1900">#N/A</definedName>
    <definedName name="SHARED_FORMULA_1901">#N/A</definedName>
    <definedName name="SHARED_FORMULA_1902">#N/A</definedName>
    <definedName name="SHARED_FORMULA_1903">#N/A</definedName>
    <definedName name="SHARED_FORMULA_1904">#N/A</definedName>
    <definedName name="SHARED_FORMULA_1905">#N/A</definedName>
    <definedName name="SHARED_FORMULA_1906">#N/A</definedName>
    <definedName name="SHARED_FORMULA_1907">#N/A</definedName>
    <definedName name="SHARED_FORMULA_1908">#N/A</definedName>
    <definedName name="SHARED_FORMULA_1909">#N/A</definedName>
    <definedName name="SHARED_FORMULA_191">#N/A</definedName>
    <definedName name="SHARED_FORMULA_1910">#N/A</definedName>
    <definedName name="SHARED_FORMULA_1911">#N/A</definedName>
    <definedName name="SHARED_FORMULA_1912">#N/A</definedName>
    <definedName name="SHARED_FORMULA_1913">#N/A</definedName>
    <definedName name="SHARED_FORMULA_1914">#N/A</definedName>
    <definedName name="SHARED_FORMULA_1915">#N/A</definedName>
    <definedName name="SHARED_FORMULA_1916">#N/A</definedName>
    <definedName name="SHARED_FORMULA_1917">#N/A</definedName>
    <definedName name="SHARED_FORMULA_1918">#N/A</definedName>
    <definedName name="SHARED_FORMULA_1919">#N/A</definedName>
    <definedName name="SHARED_FORMULA_192">#N/A</definedName>
    <definedName name="SHARED_FORMULA_1920">#N/A</definedName>
    <definedName name="SHARED_FORMULA_1921">#N/A</definedName>
    <definedName name="SHARED_FORMULA_1922">#N/A</definedName>
    <definedName name="SHARED_FORMULA_1923">#N/A</definedName>
    <definedName name="SHARED_FORMULA_1924">#N/A</definedName>
    <definedName name="SHARED_FORMULA_1925">#N/A</definedName>
    <definedName name="SHARED_FORMULA_1926">#N/A</definedName>
    <definedName name="SHARED_FORMULA_1927">#N/A</definedName>
    <definedName name="SHARED_FORMULA_1928">#N/A</definedName>
    <definedName name="SHARED_FORMULA_1929">#N/A</definedName>
    <definedName name="SHARED_FORMULA_193">#N/A</definedName>
    <definedName name="SHARED_FORMULA_1930">#N/A</definedName>
    <definedName name="SHARED_FORMULA_1931">#N/A</definedName>
    <definedName name="SHARED_FORMULA_1932">#N/A</definedName>
    <definedName name="SHARED_FORMULA_1933">#N/A</definedName>
    <definedName name="SHARED_FORMULA_1934">#N/A</definedName>
    <definedName name="SHARED_FORMULA_1935">#N/A</definedName>
    <definedName name="SHARED_FORMULA_1936">#N/A</definedName>
    <definedName name="SHARED_FORMULA_1937">#N/A</definedName>
    <definedName name="SHARED_FORMULA_1938">#N/A</definedName>
    <definedName name="SHARED_FORMULA_1939">#N/A</definedName>
    <definedName name="SHARED_FORMULA_194">#N/A</definedName>
    <definedName name="SHARED_FORMULA_1940">#N/A</definedName>
    <definedName name="SHARED_FORMULA_1941">#N/A</definedName>
    <definedName name="SHARED_FORMULA_1942">#N/A</definedName>
    <definedName name="SHARED_FORMULA_1943">#N/A</definedName>
    <definedName name="SHARED_FORMULA_1944">#N/A</definedName>
    <definedName name="SHARED_FORMULA_1945">#N/A</definedName>
    <definedName name="SHARED_FORMULA_1946">#N/A</definedName>
    <definedName name="SHARED_FORMULA_1947">#N/A</definedName>
    <definedName name="SHARED_FORMULA_1948">#N/A</definedName>
    <definedName name="SHARED_FORMULA_1949">#N/A</definedName>
    <definedName name="SHARED_FORMULA_195">#N/A</definedName>
    <definedName name="SHARED_FORMULA_1950">#N/A</definedName>
    <definedName name="SHARED_FORMULA_1951">#N/A</definedName>
    <definedName name="SHARED_FORMULA_1952">#N/A</definedName>
    <definedName name="SHARED_FORMULA_1953">#N/A</definedName>
    <definedName name="SHARED_FORMULA_1954">#N/A</definedName>
    <definedName name="SHARED_FORMULA_1955">#N/A</definedName>
    <definedName name="SHARED_FORMULA_1956">#N/A</definedName>
    <definedName name="SHARED_FORMULA_1957">#N/A</definedName>
    <definedName name="SHARED_FORMULA_1958">#N/A</definedName>
    <definedName name="SHARED_FORMULA_1959">#N/A</definedName>
    <definedName name="SHARED_FORMULA_196">#N/A</definedName>
    <definedName name="SHARED_FORMULA_1960">#N/A</definedName>
    <definedName name="SHARED_FORMULA_1961">#N/A</definedName>
    <definedName name="SHARED_FORMULA_1962">#N/A</definedName>
    <definedName name="SHARED_FORMULA_1963">#N/A</definedName>
    <definedName name="SHARED_FORMULA_1964">#N/A</definedName>
    <definedName name="SHARED_FORMULA_1965">#N/A</definedName>
    <definedName name="SHARED_FORMULA_1966">#N/A</definedName>
    <definedName name="SHARED_FORMULA_1967">#N/A</definedName>
    <definedName name="SHARED_FORMULA_1968">#N/A</definedName>
    <definedName name="SHARED_FORMULA_1969">#N/A</definedName>
    <definedName name="SHARED_FORMULA_197">#N/A</definedName>
    <definedName name="SHARED_FORMULA_1970">#N/A</definedName>
    <definedName name="SHARED_FORMULA_1971">#N/A</definedName>
    <definedName name="SHARED_FORMULA_1972">#N/A</definedName>
    <definedName name="SHARED_FORMULA_1973">#N/A</definedName>
    <definedName name="SHARED_FORMULA_1974">#N/A</definedName>
    <definedName name="SHARED_FORMULA_1975">#N/A</definedName>
    <definedName name="SHARED_FORMULA_1976">#N/A</definedName>
    <definedName name="SHARED_FORMULA_1977">#N/A</definedName>
    <definedName name="SHARED_FORMULA_1978">#N/A</definedName>
    <definedName name="SHARED_FORMULA_1979">#N/A</definedName>
    <definedName name="SHARED_FORMULA_198">#N/A</definedName>
    <definedName name="SHARED_FORMULA_1980">#N/A</definedName>
    <definedName name="SHARED_FORMULA_1981">#N/A</definedName>
    <definedName name="SHARED_FORMULA_1982">#N/A</definedName>
    <definedName name="SHARED_FORMULA_1983">#N/A</definedName>
    <definedName name="SHARED_FORMULA_1984">#N/A</definedName>
    <definedName name="SHARED_FORMULA_1985">#N/A</definedName>
    <definedName name="SHARED_FORMULA_1986">#N/A</definedName>
    <definedName name="SHARED_FORMULA_1987">#N/A</definedName>
    <definedName name="SHARED_FORMULA_1988">#N/A</definedName>
    <definedName name="SHARED_FORMULA_1989">#N/A</definedName>
    <definedName name="SHARED_FORMULA_199">#N/A</definedName>
    <definedName name="SHARED_FORMULA_1990">#N/A</definedName>
    <definedName name="SHARED_FORMULA_1991">#N/A</definedName>
    <definedName name="SHARED_FORMULA_1992">#N/A</definedName>
    <definedName name="SHARED_FORMULA_1993">#N/A</definedName>
    <definedName name="SHARED_FORMULA_1994">#N/A</definedName>
    <definedName name="SHARED_FORMULA_1995">#N/A</definedName>
    <definedName name="SHARED_FORMULA_1996">#N/A</definedName>
    <definedName name="SHARED_FORMULA_1997">#N/A</definedName>
    <definedName name="SHARED_FORMULA_1998">#N/A</definedName>
    <definedName name="SHARED_FORMULA_1999">#N/A</definedName>
    <definedName name="SHARED_FORMULA_2">#N/A</definedName>
    <definedName name="SHARED_FORMULA_20">#N/A</definedName>
    <definedName name="SHARED_FORMULA_200">#N/A</definedName>
    <definedName name="SHARED_FORMULA_2000">#N/A</definedName>
    <definedName name="SHARED_FORMULA_2001">#N/A</definedName>
    <definedName name="SHARED_FORMULA_2002">#N/A</definedName>
    <definedName name="SHARED_FORMULA_2003">#N/A</definedName>
    <definedName name="SHARED_FORMULA_2004">#N/A</definedName>
    <definedName name="SHARED_FORMULA_2005">#N/A</definedName>
    <definedName name="SHARED_FORMULA_2006">#N/A</definedName>
    <definedName name="SHARED_FORMULA_2007">#N/A</definedName>
    <definedName name="SHARED_FORMULA_2008">#N/A</definedName>
    <definedName name="SHARED_FORMULA_2009">#N/A</definedName>
    <definedName name="SHARED_FORMULA_201">#N/A</definedName>
    <definedName name="SHARED_FORMULA_2010">#N/A</definedName>
    <definedName name="SHARED_FORMULA_2011">#N/A</definedName>
    <definedName name="SHARED_FORMULA_2012">#N/A</definedName>
    <definedName name="SHARED_FORMULA_2013">#N/A</definedName>
    <definedName name="SHARED_FORMULA_2014">#N/A</definedName>
    <definedName name="SHARED_FORMULA_2015">#N/A</definedName>
    <definedName name="SHARED_FORMULA_2016">#N/A</definedName>
    <definedName name="SHARED_FORMULA_2017">#N/A</definedName>
    <definedName name="SHARED_FORMULA_2018">#N/A</definedName>
    <definedName name="SHARED_FORMULA_2019">#N/A</definedName>
    <definedName name="SHARED_FORMULA_202">#N/A</definedName>
    <definedName name="SHARED_FORMULA_2020">#N/A</definedName>
    <definedName name="SHARED_FORMULA_2021">#N/A</definedName>
    <definedName name="SHARED_FORMULA_2022">#N/A</definedName>
    <definedName name="SHARED_FORMULA_2023">#N/A</definedName>
    <definedName name="SHARED_FORMULA_2024">#N/A</definedName>
    <definedName name="SHARED_FORMULA_2025">#N/A</definedName>
    <definedName name="SHARED_FORMULA_2026">#N/A</definedName>
    <definedName name="SHARED_FORMULA_2027">#N/A</definedName>
    <definedName name="SHARED_FORMULA_2028">#N/A</definedName>
    <definedName name="SHARED_FORMULA_2029">#N/A</definedName>
    <definedName name="SHARED_FORMULA_203">#N/A</definedName>
    <definedName name="SHARED_FORMULA_2030">#N/A</definedName>
    <definedName name="SHARED_FORMULA_2031">#N/A</definedName>
    <definedName name="SHARED_FORMULA_2032">#N/A</definedName>
    <definedName name="SHARED_FORMULA_2033">#N/A</definedName>
    <definedName name="SHARED_FORMULA_2034">#N/A</definedName>
    <definedName name="SHARED_FORMULA_2035">#N/A</definedName>
    <definedName name="SHARED_FORMULA_2036">#N/A</definedName>
    <definedName name="SHARED_FORMULA_2037">#N/A</definedName>
    <definedName name="SHARED_FORMULA_2038">#N/A</definedName>
    <definedName name="SHARED_FORMULA_2039">#N/A</definedName>
    <definedName name="SHARED_FORMULA_204">#N/A</definedName>
    <definedName name="SHARED_FORMULA_2040">#N/A</definedName>
    <definedName name="SHARED_FORMULA_2041">#N/A</definedName>
    <definedName name="SHARED_FORMULA_2042">#N/A</definedName>
    <definedName name="SHARED_FORMULA_2043">#N/A</definedName>
    <definedName name="SHARED_FORMULA_2044">#N/A</definedName>
    <definedName name="SHARED_FORMULA_2045">#N/A</definedName>
    <definedName name="SHARED_FORMULA_2046">#N/A</definedName>
    <definedName name="SHARED_FORMULA_2047">#N/A</definedName>
    <definedName name="SHARED_FORMULA_2048">#N/A</definedName>
    <definedName name="SHARED_FORMULA_2049">#N/A</definedName>
    <definedName name="SHARED_FORMULA_205">#N/A</definedName>
    <definedName name="SHARED_FORMULA_2050">#N/A</definedName>
    <definedName name="SHARED_FORMULA_2051">#N/A</definedName>
    <definedName name="SHARED_FORMULA_2052">#N/A</definedName>
    <definedName name="SHARED_FORMULA_2053">#N/A</definedName>
    <definedName name="SHARED_FORMULA_2054">#N/A</definedName>
    <definedName name="SHARED_FORMULA_2055">#N/A</definedName>
    <definedName name="SHARED_FORMULA_2056">#N/A</definedName>
    <definedName name="SHARED_FORMULA_2057">#N/A</definedName>
    <definedName name="SHARED_FORMULA_2058">#N/A</definedName>
    <definedName name="SHARED_FORMULA_2059">#N/A</definedName>
    <definedName name="SHARED_FORMULA_206">#N/A</definedName>
    <definedName name="SHARED_FORMULA_2060">#N/A</definedName>
    <definedName name="SHARED_FORMULA_2061">#N/A</definedName>
    <definedName name="SHARED_FORMULA_2062">#N/A</definedName>
    <definedName name="SHARED_FORMULA_2063">#N/A</definedName>
    <definedName name="SHARED_FORMULA_2064">#N/A</definedName>
    <definedName name="SHARED_FORMULA_2065">#N/A</definedName>
    <definedName name="SHARED_FORMULA_2066">#N/A</definedName>
    <definedName name="SHARED_FORMULA_2067">#N/A</definedName>
    <definedName name="SHARED_FORMULA_2068">#N/A</definedName>
    <definedName name="SHARED_FORMULA_2069">#N/A</definedName>
    <definedName name="SHARED_FORMULA_207">#N/A</definedName>
    <definedName name="SHARED_FORMULA_2070">#N/A</definedName>
    <definedName name="SHARED_FORMULA_2071">#N/A</definedName>
    <definedName name="SHARED_FORMULA_2072">#N/A</definedName>
    <definedName name="SHARED_FORMULA_2073">#N/A</definedName>
    <definedName name="SHARED_FORMULA_2074">#N/A</definedName>
    <definedName name="SHARED_FORMULA_2075">#N/A</definedName>
    <definedName name="SHARED_FORMULA_2076">#N/A</definedName>
    <definedName name="SHARED_FORMULA_2077">#N/A</definedName>
    <definedName name="SHARED_FORMULA_2078">#N/A</definedName>
    <definedName name="SHARED_FORMULA_2079">#N/A</definedName>
    <definedName name="SHARED_FORMULA_208">#N/A</definedName>
    <definedName name="SHARED_FORMULA_2080">#N/A</definedName>
    <definedName name="SHARED_FORMULA_2081">#N/A</definedName>
    <definedName name="SHARED_FORMULA_2082">#N/A</definedName>
    <definedName name="SHARED_FORMULA_2083">#N/A</definedName>
    <definedName name="SHARED_FORMULA_2084">#N/A</definedName>
    <definedName name="SHARED_FORMULA_2085">#N/A</definedName>
    <definedName name="SHARED_FORMULA_2086">#N/A</definedName>
    <definedName name="SHARED_FORMULA_2087">#N/A</definedName>
    <definedName name="SHARED_FORMULA_2088">#N/A</definedName>
    <definedName name="SHARED_FORMULA_2089">#N/A</definedName>
    <definedName name="SHARED_FORMULA_209">#N/A</definedName>
    <definedName name="SHARED_FORMULA_2090">#N/A</definedName>
    <definedName name="SHARED_FORMULA_2091">#N/A</definedName>
    <definedName name="SHARED_FORMULA_2092">#N/A</definedName>
    <definedName name="SHARED_FORMULA_2093">#N/A</definedName>
    <definedName name="SHARED_FORMULA_2094">#N/A</definedName>
    <definedName name="SHARED_FORMULA_2095">#N/A</definedName>
    <definedName name="SHARED_FORMULA_2096">#N/A</definedName>
    <definedName name="SHARED_FORMULA_2097">#N/A</definedName>
    <definedName name="SHARED_FORMULA_2098">#N/A</definedName>
    <definedName name="SHARED_FORMULA_2099">#N/A</definedName>
    <definedName name="SHARED_FORMULA_21">#N/A</definedName>
    <definedName name="SHARED_FORMULA_210">#N/A</definedName>
    <definedName name="SHARED_FORMULA_2100">#N/A</definedName>
    <definedName name="SHARED_FORMULA_2101">#N/A</definedName>
    <definedName name="SHARED_FORMULA_2102">#N/A</definedName>
    <definedName name="SHARED_FORMULA_2103">#N/A</definedName>
    <definedName name="SHARED_FORMULA_2104">#N/A</definedName>
    <definedName name="SHARED_FORMULA_2105">#N/A</definedName>
    <definedName name="SHARED_FORMULA_2106">#N/A</definedName>
    <definedName name="SHARED_FORMULA_2107">#N/A</definedName>
    <definedName name="SHARED_FORMULA_2108">#N/A</definedName>
    <definedName name="SHARED_FORMULA_2109">#N/A</definedName>
    <definedName name="SHARED_FORMULA_211">#N/A</definedName>
    <definedName name="SHARED_FORMULA_2110">#N/A</definedName>
    <definedName name="SHARED_FORMULA_2111">#N/A</definedName>
    <definedName name="SHARED_FORMULA_2112">#N/A</definedName>
    <definedName name="SHARED_FORMULA_2113">#N/A</definedName>
    <definedName name="SHARED_FORMULA_2114">#N/A</definedName>
    <definedName name="SHARED_FORMULA_2115">#N/A</definedName>
    <definedName name="SHARED_FORMULA_2116">#N/A</definedName>
    <definedName name="SHARED_FORMULA_2117">#N/A</definedName>
    <definedName name="SHARED_FORMULA_2118">#N/A</definedName>
    <definedName name="SHARED_FORMULA_2119">#N/A</definedName>
    <definedName name="SHARED_FORMULA_212">#N/A</definedName>
    <definedName name="SHARED_FORMULA_2120">#N/A</definedName>
    <definedName name="SHARED_FORMULA_2121">#N/A</definedName>
    <definedName name="SHARED_FORMULA_2122">#N/A</definedName>
    <definedName name="SHARED_FORMULA_2123">#N/A</definedName>
    <definedName name="SHARED_FORMULA_2124">#N/A</definedName>
    <definedName name="SHARED_FORMULA_2125">#N/A</definedName>
    <definedName name="SHARED_FORMULA_2126">#N/A</definedName>
    <definedName name="SHARED_FORMULA_2127">#N/A</definedName>
    <definedName name="SHARED_FORMULA_2128">#N/A</definedName>
    <definedName name="SHARED_FORMULA_2129">#N/A</definedName>
    <definedName name="SHARED_FORMULA_213">#N/A</definedName>
    <definedName name="SHARED_FORMULA_2130">#N/A</definedName>
    <definedName name="SHARED_FORMULA_2131">#N/A</definedName>
    <definedName name="SHARED_FORMULA_2132">#N/A</definedName>
    <definedName name="SHARED_FORMULA_2133">#N/A</definedName>
    <definedName name="SHARED_FORMULA_2134">#N/A</definedName>
    <definedName name="SHARED_FORMULA_2135">#N/A</definedName>
    <definedName name="SHARED_FORMULA_2136">#N/A</definedName>
    <definedName name="SHARED_FORMULA_2137">#N/A</definedName>
    <definedName name="SHARED_FORMULA_2138">#N/A</definedName>
    <definedName name="SHARED_FORMULA_2139">#N/A</definedName>
    <definedName name="SHARED_FORMULA_214">#N/A</definedName>
    <definedName name="SHARED_FORMULA_2140">#N/A</definedName>
    <definedName name="SHARED_FORMULA_2141">#N/A</definedName>
    <definedName name="SHARED_FORMULA_2142">#N/A</definedName>
    <definedName name="SHARED_FORMULA_2143">#N/A</definedName>
    <definedName name="SHARED_FORMULA_2144">#N/A</definedName>
    <definedName name="SHARED_FORMULA_2145">#N/A</definedName>
    <definedName name="SHARED_FORMULA_2146">#N/A</definedName>
    <definedName name="SHARED_FORMULA_2147">#N/A</definedName>
    <definedName name="SHARED_FORMULA_2148">#N/A</definedName>
    <definedName name="SHARED_FORMULA_2149">#N/A</definedName>
    <definedName name="SHARED_FORMULA_215">#N/A</definedName>
    <definedName name="SHARED_FORMULA_2150">#N/A</definedName>
    <definedName name="SHARED_FORMULA_2151">#N/A</definedName>
    <definedName name="SHARED_FORMULA_2152">#N/A</definedName>
    <definedName name="SHARED_FORMULA_2153">#N/A</definedName>
    <definedName name="SHARED_FORMULA_2154">#N/A</definedName>
    <definedName name="SHARED_FORMULA_2155">#N/A</definedName>
    <definedName name="SHARED_FORMULA_2156">#N/A</definedName>
    <definedName name="SHARED_FORMULA_2157">#N/A</definedName>
    <definedName name="SHARED_FORMULA_2158">#N/A</definedName>
    <definedName name="SHARED_FORMULA_2159">#N/A</definedName>
    <definedName name="SHARED_FORMULA_216">#N/A</definedName>
    <definedName name="SHARED_FORMULA_2160">#N/A</definedName>
    <definedName name="SHARED_FORMULA_2161">#N/A</definedName>
    <definedName name="SHARED_FORMULA_2162">#N/A</definedName>
    <definedName name="SHARED_FORMULA_2163">#N/A</definedName>
    <definedName name="SHARED_FORMULA_2164">#N/A</definedName>
    <definedName name="SHARED_FORMULA_2165">#N/A</definedName>
    <definedName name="SHARED_FORMULA_2166">#N/A</definedName>
    <definedName name="SHARED_FORMULA_2167">#N/A</definedName>
    <definedName name="SHARED_FORMULA_2168">#N/A</definedName>
    <definedName name="SHARED_FORMULA_2169">#N/A</definedName>
    <definedName name="SHARED_FORMULA_217">#N/A</definedName>
    <definedName name="SHARED_FORMULA_2170">#N/A</definedName>
    <definedName name="SHARED_FORMULA_2171">#N/A</definedName>
    <definedName name="SHARED_FORMULA_2172">#N/A</definedName>
    <definedName name="SHARED_FORMULA_2173">#N/A</definedName>
    <definedName name="SHARED_FORMULA_2174">#N/A</definedName>
    <definedName name="SHARED_FORMULA_2175">#N/A</definedName>
    <definedName name="SHARED_FORMULA_2176">#N/A</definedName>
    <definedName name="SHARED_FORMULA_2177">#N/A</definedName>
    <definedName name="SHARED_FORMULA_2178">#N/A</definedName>
    <definedName name="SHARED_FORMULA_2179">#N/A</definedName>
    <definedName name="SHARED_FORMULA_218">#N/A</definedName>
    <definedName name="SHARED_FORMULA_2180">#N/A</definedName>
    <definedName name="SHARED_FORMULA_2181">#N/A</definedName>
    <definedName name="SHARED_FORMULA_2182">#N/A</definedName>
    <definedName name="SHARED_FORMULA_2183">#N/A</definedName>
    <definedName name="SHARED_FORMULA_2184">#N/A</definedName>
    <definedName name="SHARED_FORMULA_2185">#N/A</definedName>
    <definedName name="SHARED_FORMULA_2186">#N/A</definedName>
    <definedName name="SHARED_FORMULA_2187">#N/A</definedName>
    <definedName name="SHARED_FORMULA_2188">#N/A</definedName>
    <definedName name="SHARED_FORMULA_2189">#N/A</definedName>
    <definedName name="SHARED_FORMULA_219">#N/A</definedName>
    <definedName name="SHARED_FORMULA_2190">#N/A</definedName>
    <definedName name="SHARED_FORMULA_2191">#N/A</definedName>
    <definedName name="SHARED_FORMULA_2192">#N/A</definedName>
    <definedName name="SHARED_FORMULA_2193">#N/A</definedName>
    <definedName name="SHARED_FORMULA_2194">#N/A</definedName>
    <definedName name="SHARED_FORMULA_2195">#N/A</definedName>
    <definedName name="SHARED_FORMULA_2196">#N/A</definedName>
    <definedName name="SHARED_FORMULA_2197">#N/A</definedName>
    <definedName name="SHARED_FORMULA_2198">#N/A</definedName>
    <definedName name="SHARED_FORMULA_2199">#N/A</definedName>
    <definedName name="SHARED_FORMULA_22">#N/A</definedName>
    <definedName name="SHARED_FORMULA_220">#N/A</definedName>
    <definedName name="SHARED_FORMULA_2200">#N/A</definedName>
    <definedName name="SHARED_FORMULA_2201">#N/A</definedName>
    <definedName name="SHARED_FORMULA_2202">#N/A</definedName>
    <definedName name="SHARED_FORMULA_2203">#N/A</definedName>
    <definedName name="SHARED_FORMULA_2204">#N/A</definedName>
    <definedName name="SHARED_FORMULA_2205">#N/A</definedName>
    <definedName name="SHARED_FORMULA_2206">#N/A</definedName>
    <definedName name="SHARED_FORMULA_2207">#N/A</definedName>
    <definedName name="SHARED_FORMULA_2208">#N/A</definedName>
    <definedName name="SHARED_FORMULA_2209">#N/A</definedName>
    <definedName name="SHARED_FORMULA_221">#N/A</definedName>
    <definedName name="SHARED_FORMULA_2210">#N/A</definedName>
    <definedName name="SHARED_FORMULA_2211">#N/A</definedName>
    <definedName name="SHARED_FORMULA_2212">#N/A</definedName>
    <definedName name="SHARED_FORMULA_2213">#N/A</definedName>
    <definedName name="SHARED_FORMULA_2214">#N/A</definedName>
    <definedName name="SHARED_FORMULA_2215">#N/A</definedName>
    <definedName name="SHARED_FORMULA_2216">#N/A</definedName>
    <definedName name="SHARED_FORMULA_2217">#N/A</definedName>
    <definedName name="SHARED_FORMULA_2218">#N/A</definedName>
    <definedName name="SHARED_FORMULA_2219">#N/A</definedName>
    <definedName name="SHARED_FORMULA_222">#N/A</definedName>
    <definedName name="SHARED_FORMULA_2220">#N/A</definedName>
    <definedName name="SHARED_FORMULA_2221">#N/A</definedName>
    <definedName name="SHARED_FORMULA_2222">#N/A</definedName>
    <definedName name="SHARED_FORMULA_2223">#N/A</definedName>
    <definedName name="SHARED_FORMULA_2224">#N/A</definedName>
    <definedName name="SHARED_FORMULA_2225">#N/A</definedName>
    <definedName name="SHARED_FORMULA_2226">#N/A</definedName>
    <definedName name="SHARED_FORMULA_2227">#N/A</definedName>
    <definedName name="SHARED_FORMULA_2228">#N/A</definedName>
    <definedName name="SHARED_FORMULA_2229">#N/A</definedName>
    <definedName name="SHARED_FORMULA_223">#N/A</definedName>
    <definedName name="SHARED_FORMULA_2230">#N/A</definedName>
    <definedName name="SHARED_FORMULA_2231">#N/A</definedName>
    <definedName name="SHARED_FORMULA_2232">#N/A</definedName>
    <definedName name="SHARED_FORMULA_2233">#N/A</definedName>
    <definedName name="SHARED_FORMULA_2234">#N/A</definedName>
    <definedName name="SHARED_FORMULA_2235">#N/A</definedName>
    <definedName name="SHARED_FORMULA_2236">#N/A</definedName>
    <definedName name="SHARED_FORMULA_2237">#N/A</definedName>
    <definedName name="SHARED_FORMULA_2238">#N/A</definedName>
    <definedName name="SHARED_FORMULA_2239">#N/A</definedName>
    <definedName name="SHARED_FORMULA_224">#N/A</definedName>
    <definedName name="SHARED_FORMULA_2240">#N/A</definedName>
    <definedName name="SHARED_FORMULA_2241">#N/A</definedName>
    <definedName name="SHARED_FORMULA_2242">#N/A</definedName>
    <definedName name="SHARED_FORMULA_2243">#N/A</definedName>
    <definedName name="SHARED_FORMULA_2244">#N/A</definedName>
    <definedName name="SHARED_FORMULA_2245">#N/A</definedName>
    <definedName name="SHARED_FORMULA_2246">#N/A</definedName>
    <definedName name="SHARED_FORMULA_2247">#N/A</definedName>
    <definedName name="SHARED_FORMULA_2248">#N/A</definedName>
    <definedName name="SHARED_FORMULA_2249">#N/A</definedName>
    <definedName name="SHARED_FORMULA_225">#N/A</definedName>
    <definedName name="SHARED_FORMULA_2250">#N/A</definedName>
    <definedName name="SHARED_FORMULA_2251">#N/A</definedName>
    <definedName name="SHARED_FORMULA_2252">#N/A</definedName>
    <definedName name="SHARED_FORMULA_2253">#N/A</definedName>
    <definedName name="SHARED_FORMULA_2254">#N/A</definedName>
    <definedName name="SHARED_FORMULA_2255">#N/A</definedName>
    <definedName name="SHARED_FORMULA_2256">#N/A</definedName>
    <definedName name="SHARED_FORMULA_2257">#N/A</definedName>
    <definedName name="SHARED_FORMULA_2258">#N/A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11">#N/A</definedName>
    <definedName name="SHARED_FORMULA_512">#N/A</definedName>
    <definedName name="SHARED_FORMULA_513">#N/A</definedName>
    <definedName name="SHARED_FORMULA_514">#N/A</definedName>
    <definedName name="SHARED_FORMULA_515">#N/A</definedName>
    <definedName name="SHARED_FORMULA_516">#N/A</definedName>
    <definedName name="SHARED_FORMULA_517">#N/A</definedName>
    <definedName name="SHARED_FORMULA_518">#N/A</definedName>
    <definedName name="SHARED_FORMULA_519">#N/A</definedName>
    <definedName name="SHARED_FORMULA_52">#N/A</definedName>
    <definedName name="SHARED_FORMULA_520">#N/A</definedName>
    <definedName name="SHARED_FORMULA_521">#N/A</definedName>
    <definedName name="SHARED_FORMULA_522">#N/A</definedName>
    <definedName name="SHARED_FORMULA_523">#N/A</definedName>
    <definedName name="SHARED_FORMULA_524">#N/A</definedName>
    <definedName name="SHARED_FORMULA_525">#N/A</definedName>
    <definedName name="SHARED_FORMULA_526">#N/A</definedName>
    <definedName name="SHARED_FORMULA_527">#N/A</definedName>
    <definedName name="SHARED_FORMULA_528">#N/A</definedName>
    <definedName name="SHARED_FORMULA_529">#N/A</definedName>
    <definedName name="SHARED_FORMULA_53">#N/A</definedName>
    <definedName name="SHARED_FORMULA_530">#N/A</definedName>
    <definedName name="SHARED_FORMULA_531">#N/A</definedName>
    <definedName name="SHARED_FORMULA_532">#N/A</definedName>
    <definedName name="SHARED_FORMULA_533">#N/A</definedName>
    <definedName name="SHARED_FORMULA_534">#N/A</definedName>
    <definedName name="SHARED_FORMULA_535">#N/A</definedName>
    <definedName name="SHARED_FORMULA_536">#N/A</definedName>
    <definedName name="SHARED_FORMULA_537">#N/A</definedName>
    <definedName name="SHARED_FORMULA_538">#N/A</definedName>
    <definedName name="SHARED_FORMULA_539">#N/A</definedName>
    <definedName name="SHARED_FORMULA_54">#N/A</definedName>
    <definedName name="SHARED_FORMULA_540">#N/A</definedName>
    <definedName name="SHARED_FORMULA_541">#N/A</definedName>
    <definedName name="SHARED_FORMULA_542">#N/A</definedName>
    <definedName name="SHARED_FORMULA_543">#N/A</definedName>
    <definedName name="SHARED_FORMULA_544">#N/A</definedName>
    <definedName name="SHARED_FORMULA_545">#N/A</definedName>
    <definedName name="SHARED_FORMULA_546">#N/A</definedName>
    <definedName name="SHARED_FORMULA_547">#N/A</definedName>
    <definedName name="SHARED_FORMULA_548">#N/A</definedName>
    <definedName name="SHARED_FORMULA_549">#N/A</definedName>
    <definedName name="SHARED_FORMULA_55">#N/A</definedName>
    <definedName name="SHARED_FORMULA_550">#N/A</definedName>
    <definedName name="SHARED_FORMULA_551">#N/A</definedName>
    <definedName name="SHARED_FORMULA_552">#N/A</definedName>
    <definedName name="SHARED_FORMULA_553">#N/A</definedName>
    <definedName name="SHARED_FORMULA_554">#N/A</definedName>
    <definedName name="SHARED_FORMULA_555">#N/A</definedName>
    <definedName name="SHARED_FORMULA_556">#N/A</definedName>
    <definedName name="SHARED_FORMULA_557">#N/A</definedName>
    <definedName name="SHARED_FORMULA_558">#N/A</definedName>
    <definedName name="SHARED_FORMULA_559">#N/A</definedName>
    <definedName name="SHARED_FORMULA_56">#N/A</definedName>
    <definedName name="SHARED_FORMULA_560">#N/A</definedName>
    <definedName name="SHARED_FORMULA_561">#N/A</definedName>
    <definedName name="SHARED_FORMULA_562">#N/A</definedName>
    <definedName name="SHARED_FORMULA_563">#N/A</definedName>
    <definedName name="SHARED_FORMULA_564">#N/A</definedName>
    <definedName name="SHARED_FORMULA_565">#N/A</definedName>
    <definedName name="SHARED_FORMULA_566">#N/A</definedName>
    <definedName name="SHARED_FORMULA_567">#N/A</definedName>
    <definedName name="SHARED_FORMULA_568">#N/A</definedName>
    <definedName name="SHARED_FORMULA_569">#N/A</definedName>
    <definedName name="SHARED_FORMULA_57">#N/A</definedName>
    <definedName name="SHARED_FORMULA_570">#N/A</definedName>
    <definedName name="SHARED_FORMULA_571">#N/A</definedName>
    <definedName name="SHARED_FORMULA_572">#N/A</definedName>
    <definedName name="SHARED_FORMULA_573">#N/A</definedName>
    <definedName name="SHARED_FORMULA_574">#N/A</definedName>
    <definedName name="SHARED_FORMULA_575">#N/A</definedName>
    <definedName name="SHARED_FORMULA_576">#N/A</definedName>
    <definedName name="SHARED_FORMULA_577">#N/A</definedName>
    <definedName name="SHARED_FORMULA_578">#N/A</definedName>
    <definedName name="SHARED_FORMULA_579">#N/A</definedName>
    <definedName name="SHARED_FORMULA_58">#N/A</definedName>
    <definedName name="SHARED_FORMULA_580">#N/A</definedName>
    <definedName name="SHARED_FORMULA_581">#N/A</definedName>
    <definedName name="SHARED_FORMULA_582">#N/A</definedName>
    <definedName name="SHARED_FORMULA_583">#N/A</definedName>
    <definedName name="SHARED_FORMULA_584">#N/A</definedName>
    <definedName name="SHARED_FORMULA_585">#N/A</definedName>
    <definedName name="SHARED_FORMULA_586">#N/A</definedName>
    <definedName name="SHARED_FORMULA_587">#N/A</definedName>
    <definedName name="SHARED_FORMULA_588">#N/A</definedName>
    <definedName name="SHARED_FORMULA_589">#N/A</definedName>
    <definedName name="SHARED_FORMULA_59">#N/A</definedName>
    <definedName name="SHARED_FORMULA_590">#N/A</definedName>
    <definedName name="SHARED_FORMULA_591">#N/A</definedName>
    <definedName name="SHARED_FORMULA_592">#N/A</definedName>
    <definedName name="SHARED_FORMULA_593">#N/A</definedName>
    <definedName name="SHARED_FORMULA_594">#N/A</definedName>
    <definedName name="SHARED_FORMULA_595">#N/A</definedName>
    <definedName name="SHARED_FORMULA_596">#N/A</definedName>
    <definedName name="SHARED_FORMULA_597">#N/A</definedName>
    <definedName name="SHARED_FORMULA_598">#N/A</definedName>
    <definedName name="SHARED_FORMULA_599">#N/A</definedName>
    <definedName name="SHARED_FORMULA_6">#N/A</definedName>
    <definedName name="SHARED_FORMULA_60">#N/A</definedName>
    <definedName name="SHARED_FORMULA_600">#N/A</definedName>
    <definedName name="SHARED_FORMULA_601">#N/A</definedName>
    <definedName name="SHARED_FORMULA_602">#N/A</definedName>
    <definedName name="SHARED_FORMULA_603">#N/A</definedName>
    <definedName name="SHARED_FORMULA_604">#N/A</definedName>
    <definedName name="SHARED_FORMULA_605">#N/A</definedName>
    <definedName name="SHARED_FORMULA_606">#N/A</definedName>
    <definedName name="SHARED_FORMULA_607">#N/A</definedName>
    <definedName name="SHARED_FORMULA_608">#N/A</definedName>
    <definedName name="SHARED_FORMULA_609">#N/A</definedName>
    <definedName name="SHARED_FORMULA_61">#N/A</definedName>
    <definedName name="SHARED_FORMULA_610">#N/A</definedName>
    <definedName name="SHARED_FORMULA_611">#N/A</definedName>
    <definedName name="SHARED_FORMULA_612">#N/A</definedName>
    <definedName name="SHARED_FORMULA_613">#N/A</definedName>
    <definedName name="SHARED_FORMULA_614">#N/A</definedName>
    <definedName name="SHARED_FORMULA_615">#N/A</definedName>
    <definedName name="SHARED_FORMULA_616">#N/A</definedName>
    <definedName name="SHARED_FORMULA_617">#N/A</definedName>
    <definedName name="SHARED_FORMULA_618">#N/A</definedName>
    <definedName name="SHARED_FORMULA_619">#N/A</definedName>
    <definedName name="SHARED_FORMULA_62">#N/A</definedName>
    <definedName name="SHARED_FORMULA_620">#N/A</definedName>
    <definedName name="SHARED_FORMULA_621">#N/A</definedName>
    <definedName name="SHARED_FORMULA_622">#N/A</definedName>
    <definedName name="SHARED_FORMULA_623">#N/A</definedName>
    <definedName name="SHARED_FORMULA_624">#N/A</definedName>
    <definedName name="SHARED_FORMULA_625">#N/A</definedName>
    <definedName name="SHARED_FORMULA_626">#N/A</definedName>
    <definedName name="SHARED_FORMULA_627">#N/A</definedName>
    <definedName name="SHARED_FORMULA_628">#N/A</definedName>
    <definedName name="SHARED_FORMULA_629">#N/A</definedName>
    <definedName name="SHARED_FORMULA_63">#N/A</definedName>
    <definedName name="SHARED_FORMULA_630">#N/A</definedName>
    <definedName name="SHARED_FORMULA_631">#N/A</definedName>
    <definedName name="SHARED_FORMULA_632">#N/A</definedName>
    <definedName name="SHARED_FORMULA_633">#N/A</definedName>
    <definedName name="SHARED_FORMULA_634">#N/A</definedName>
    <definedName name="SHARED_FORMULA_635">#N/A</definedName>
    <definedName name="SHARED_FORMULA_636">#N/A</definedName>
    <definedName name="SHARED_FORMULA_637">#N/A</definedName>
    <definedName name="SHARED_FORMULA_638">#N/A</definedName>
    <definedName name="SHARED_FORMULA_639">#N/A</definedName>
    <definedName name="SHARED_FORMULA_64">#N/A</definedName>
    <definedName name="SHARED_FORMULA_640">#N/A</definedName>
    <definedName name="SHARED_FORMULA_641">#N/A</definedName>
    <definedName name="SHARED_FORMULA_642">#N/A</definedName>
    <definedName name="SHARED_FORMULA_643">#N/A</definedName>
    <definedName name="SHARED_FORMULA_644">#N/A</definedName>
    <definedName name="SHARED_FORMULA_645">#N/A</definedName>
    <definedName name="SHARED_FORMULA_646">#N/A</definedName>
    <definedName name="SHARED_FORMULA_647">#N/A</definedName>
    <definedName name="SHARED_FORMULA_648">#N/A</definedName>
    <definedName name="SHARED_FORMULA_649">#N/A</definedName>
    <definedName name="SHARED_FORMULA_65">#N/A</definedName>
    <definedName name="SHARED_FORMULA_650">#N/A</definedName>
    <definedName name="SHARED_FORMULA_651">#N/A</definedName>
    <definedName name="SHARED_FORMULA_652">#N/A</definedName>
    <definedName name="SHARED_FORMULA_653">#N/A</definedName>
    <definedName name="SHARED_FORMULA_654">#N/A</definedName>
    <definedName name="SHARED_FORMULA_655">#N/A</definedName>
    <definedName name="SHARED_FORMULA_656">#N/A</definedName>
    <definedName name="SHARED_FORMULA_657">#N/A</definedName>
    <definedName name="SHARED_FORMULA_658">#N/A</definedName>
    <definedName name="SHARED_FORMULA_659">#N/A</definedName>
    <definedName name="SHARED_FORMULA_66">#N/A</definedName>
    <definedName name="SHARED_FORMULA_660">#N/A</definedName>
    <definedName name="SHARED_FORMULA_661">#N/A</definedName>
    <definedName name="SHARED_FORMULA_662">#N/A</definedName>
    <definedName name="SHARED_FORMULA_663">#N/A</definedName>
    <definedName name="SHARED_FORMULA_664">#N/A</definedName>
    <definedName name="SHARED_FORMULA_665">#N/A</definedName>
    <definedName name="SHARED_FORMULA_666">#N/A</definedName>
    <definedName name="SHARED_FORMULA_667">#N/A</definedName>
    <definedName name="SHARED_FORMULA_668">#N/A</definedName>
    <definedName name="SHARED_FORMULA_669">#N/A</definedName>
    <definedName name="SHARED_FORMULA_67">#N/A</definedName>
    <definedName name="SHARED_FORMULA_670">#N/A</definedName>
    <definedName name="SHARED_FORMULA_671">#N/A</definedName>
    <definedName name="SHARED_FORMULA_672">#N/A</definedName>
    <definedName name="SHARED_FORMULA_673">#N/A</definedName>
    <definedName name="SHARED_FORMULA_674">#N/A</definedName>
    <definedName name="SHARED_FORMULA_675">#N/A</definedName>
    <definedName name="SHARED_FORMULA_676">#N/A</definedName>
    <definedName name="SHARED_FORMULA_677">#N/A</definedName>
    <definedName name="SHARED_FORMULA_678">#N/A</definedName>
    <definedName name="SHARED_FORMULA_679">#N/A</definedName>
    <definedName name="SHARED_FORMULA_68">#N/A</definedName>
    <definedName name="SHARED_FORMULA_680">#N/A</definedName>
    <definedName name="SHARED_FORMULA_681">#N/A</definedName>
    <definedName name="SHARED_FORMULA_682">#N/A</definedName>
    <definedName name="SHARED_FORMULA_683">#N/A</definedName>
    <definedName name="SHARED_FORMULA_684">#N/A</definedName>
    <definedName name="SHARED_FORMULA_685">#N/A</definedName>
    <definedName name="SHARED_FORMULA_686">#N/A</definedName>
    <definedName name="SHARED_FORMULA_687">#N/A</definedName>
    <definedName name="SHARED_FORMULA_688">#N/A</definedName>
    <definedName name="SHARED_FORMULA_689">#N/A</definedName>
    <definedName name="SHARED_FORMULA_69">#N/A</definedName>
    <definedName name="SHARED_FORMULA_690">#N/A</definedName>
    <definedName name="SHARED_FORMULA_691">#N/A</definedName>
    <definedName name="SHARED_FORMULA_692">#N/A</definedName>
    <definedName name="SHARED_FORMULA_693">#N/A</definedName>
    <definedName name="SHARED_FORMULA_694">#N/A</definedName>
    <definedName name="SHARED_FORMULA_695">#N/A</definedName>
    <definedName name="SHARED_FORMULA_696">#N/A</definedName>
    <definedName name="SHARED_FORMULA_697">#N/A</definedName>
    <definedName name="SHARED_FORMULA_698">#N/A</definedName>
    <definedName name="SHARED_FORMULA_699">#N/A</definedName>
    <definedName name="SHARED_FORMULA_7">#N/A</definedName>
    <definedName name="SHARED_FORMULA_70">#N/A</definedName>
    <definedName name="SHARED_FORMULA_700">#N/A</definedName>
    <definedName name="SHARED_FORMULA_701">#N/A</definedName>
    <definedName name="SHARED_FORMULA_702">#N/A</definedName>
    <definedName name="SHARED_FORMULA_703">#N/A</definedName>
    <definedName name="SHARED_FORMULA_704">#N/A</definedName>
    <definedName name="SHARED_FORMULA_705">#N/A</definedName>
    <definedName name="SHARED_FORMULA_706">#N/A</definedName>
    <definedName name="SHARED_FORMULA_707">#N/A</definedName>
    <definedName name="SHARED_FORMULA_708">#N/A</definedName>
    <definedName name="SHARED_FORMULA_709">#N/A</definedName>
    <definedName name="SHARED_FORMULA_71">#N/A</definedName>
    <definedName name="SHARED_FORMULA_710">#N/A</definedName>
    <definedName name="SHARED_FORMULA_711">#N/A</definedName>
    <definedName name="SHARED_FORMULA_712">#N/A</definedName>
    <definedName name="SHARED_FORMULA_713">#N/A</definedName>
    <definedName name="SHARED_FORMULA_714">#N/A</definedName>
    <definedName name="SHARED_FORMULA_715">#N/A</definedName>
    <definedName name="SHARED_FORMULA_716">#N/A</definedName>
    <definedName name="SHARED_FORMULA_717">#N/A</definedName>
    <definedName name="SHARED_FORMULA_718">#N/A</definedName>
    <definedName name="SHARED_FORMULA_719">#N/A</definedName>
    <definedName name="SHARED_FORMULA_72">#N/A</definedName>
    <definedName name="SHARED_FORMULA_720">#N/A</definedName>
    <definedName name="SHARED_FORMULA_721">#N/A</definedName>
    <definedName name="SHARED_FORMULA_722">#N/A</definedName>
    <definedName name="SHARED_FORMULA_723">#N/A</definedName>
    <definedName name="SHARED_FORMULA_724">#N/A</definedName>
    <definedName name="SHARED_FORMULA_725">#N/A</definedName>
    <definedName name="SHARED_FORMULA_726">#N/A</definedName>
    <definedName name="SHARED_FORMULA_727">#N/A</definedName>
    <definedName name="SHARED_FORMULA_728">#N/A</definedName>
    <definedName name="SHARED_FORMULA_729">#N/A</definedName>
    <definedName name="SHARED_FORMULA_73">#N/A</definedName>
    <definedName name="SHARED_FORMULA_730">#N/A</definedName>
    <definedName name="SHARED_FORMULA_731">#N/A</definedName>
    <definedName name="SHARED_FORMULA_732">#N/A</definedName>
    <definedName name="SHARED_FORMULA_733">#N/A</definedName>
    <definedName name="SHARED_FORMULA_734">#N/A</definedName>
    <definedName name="SHARED_FORMULA_735">#N/A</definedName>
    <definedName name="SHARED_FORMULA_736">#N/A</definedName>
    <definedName name="SHARED_FORMULA_737">#N/A</definedName>
    <definedName name="SHARED_FORMULA_738">#N/A</definedName>
    <definedName name="SHARED_FORMULA_739">#N/A</definedName>
    <definedName name="SHARED_FORMULA_74">#N/A</definedName>
    <definedName name="SHARED_FORMULA_740">#N/A</definedName>
    <definedName name="SHARED_FORMULA_741">#N/A</definedName>
    <definedName name="SHARED_FORMULA_742">#N/A</definedName>
    <definedName name="SHARED_FORMULA_743">#N/A</definedName>
    <definedName name="SHARED_FORMULA_744">#N/A</definedName>
    <definedName name="SHARED_FORMULA_745">#N/A</definedName>
    <definedName name="SHARED_FORMULA_746">#N/A</definedName>
    <definedName name="SHARED_FORMULA_747">#N/A</definedName>
    <definedName name="SHARED_FORMULA_748">#N/A</definedName>
    <definedName name="SHARED_FORMULA_749">#N/A</definedName>
    <definedName name="SHARED_FORMULA_75">#N/A</definedName>
    <definedName name="SHARED_FORMULA_750">#N/A</definedName>
    <definedName name="SHARED_FORMULA_751">#N/A</definedName>
    <definedName name="SHARED_FORMULA_752">#N/A</definedName>
    <definedName name="SHARED_FORMULA_753">#N/A</definedName>
    <definedName name="SHARED_FORMULA_754">#N/A</definedName>
    <definedName name="SHARED_FORMULA_755">#N/A</definedName>
    <definedName name="SHARED_FORMULA_756">#N/A</definedName>
    <definedName name="SHARED_FORMULA_757">#N/A</definedName>
    <definedName name="SHARED_FORMULA_758">#N/A</definedName>
    <definedName name="SHARED_FORMULA_759">#N/A</definedName>
    <definedName name="SHARED_FORMULA_76">#N/A</definedName>
    <definedName name="SHARED_FORMULA_760">#N/A</definedName>
    <definedName name="SHARED_FORMULA_761">#N/A</definedName>
    <definedName name="SHARED_FORMULA_762">#N/A</definedName>
    <definedName name="SHARED_FORMULA_763">#N/A</definedName>
    <definedName name="SHARED_FORMULA_764">#N/A</definedName>
    <definedName name="SHARED_FORMULA_765">#N/A</definedName>
    <definedName name="SHARED_FORMULA_766">#N/A</definedName>
    <definedName name="SHARED_FORMULA_767">#N/A</definedName>
    <definedName name="SHARED_FORMULA_768">#N/A</definedName>
    <definedName name="SHARED_FORMULA_769">#N/A</definedName>
    <definedName name="SHARED_FORMULA_77">#N/A</definedName>
    <definedName name="SHARED_FORMULA_770">#N/A</definedName>
    <definedName name="SHARED_FORMULA_771">#N/A</definedName>
    <definedName name="SHARED_FORMULA_772">#N/A</definedName>
    <definedName name="SHARED_FORMULA_773">#N/A</definedName>
    <definedName name="SHARED_FORMULA_774">#N/A</definedName>
    <definedName name="SHARED_FORMULA_775">#N/A</definedName>
    <definedName name="SHARED_FORMULA_776">#N/A</definedName>
    <definedName name="SHARED_FORMULA_777">#N/A</definedName>
    <definedName name="SHARED_FORMULA_778">#N/A</definedName>
    <definedName name="SHARED_FORMULA_779">#N/A</definedName>
    <definedName name="SHARED_FORMULA_78">#N/A</definedName>
    <definedName name="SHARED_FORMULA_780">#N/A</definedName>
    <definedName name="SHARED_FORMULA_781">#N/A</definedName>
    <definedName name="SHARED_FORMULA_782">#N/A</definedName>
    <definedName name="SHARED_FORMULA_783">#N/A</definedName>
    <definedName name="SHARED_FORMULA_784">#N/A</definedName>
    <definedName name="SHARED_FORMULA_785">#N/A</definedName>
    <definedName name="SHARED_FORMULA_786">#N/A</definedName>
    <definedName name="SHARED_FORMULA_787">#N/A</definedName>
    <definedName name="SHARED_FORMULA_788">#N/A</definedName>
    <definedName name="SHARED_FORMULA_789">#N/A</definedName>
    <definedName name="SHARED_FORMULA_79">#N/A</definedName>
    <definedName name="SHARED_FORMULA_790">#N/A</definedName>
    <definedName name="SHARED_FORMULA_791">#N/A</definedName>
    <definedName name="SHARED_FORMULA_792">#N/A</definedName>
    <definedName name="SHARED_FORMULA_793">#N/A</definedName>
    <definedName name="SHARED_FORMULA_794">#N/A</definedName>
    <definedName name="SHARED_FORMULA_795">#N/A</definedName>
    <definedName name="SHARED_FORMULA_796">#N/A</definedName>
    <definedName name="SHARED_FORMULA_797">#N/A</definedName>
    <definedName name="SHARED_FORMULA_798">#N/A</definedName>
    <definedName name="SHARED_FORMULA_799">#N/A</definedName>
    <definedName name="SHARED_FORMULA_8">#N/A</definedName>
    <definedName name="SHARED_FORMULA_80">#N/A</definedName>
    <definedName name="SHARED_FORMULA_800">#N/A</definedName>
    <definedName name="SHARED_FORMULA_801">#N/A</definedName>
    <definedName name="SHARED_FORMULA_802">#N/A</definedName>
    <definedName name="SHARED_FORMULA_803">#N/A</definedName>
    <definedName name="SHARED_FORMULA_804">#N/A</definedName>
    <definedName name="SHARED_FORMULA_805">#N/A</definedName>
    <definedName name="SHARED_FORMULA_806">#N/A</definedName>
    <definedName name="SHARED_FORMULA_807">#N/A</definedName>
    <definedName name="SHARED_FORMULA_808">#N/A</definedName>
    <definedName name="SHARED_FORMULA_809">#N/A</definedName>
    <definedName name="SHARED_FORMULA_81">#N/A</definedName>
    <definedName name="SHARED_FORMULA_810">#N/A</definedName>
    <definedName name="SHARED_FORMULA_811">#N/A</definedName>
    <definedName name="SHARED_FORMULA_812">#N/A</definedName>
    <definedName name="SHARED_FORMULA_813">#N/A</definedName>
    <definedName name="SHARED_FORMULA_814">#N/A</definedName>
    <definedName name="SHARED_FORMULA_815">#N/A</definedName>
    <definedName name="SHARED_FORMULA_816">#N/A</definedName>
    <definedName name="SHARED_FORMULA_817">#N/A</definedName>
    <definedName name="SHARED_FORMULA_818">#N/A</definedName>
    <definedName name="SHARED_FORMULA_819">#N/A</definedName>
    <definedName name="SHARED_FORMULA_82">#N/A</definedName>
    <definedName name="SHARED_FORMULA_820">#N/A</definedName>
    <definedName name="SHARED_FORMULA_821">#N/A</definedName>
    <definedName name="SHARED_FORMULA_822">#N/A</definedName>
    <definedName name="SHARED_FORMULA_823">#N/A</definedName>
    <definedName name="SHARED_FORMULA_824">#N/A</definedName>
    <definedName name="SHARED_FORMULA_825">#N/A</definedName>
    <definedName name="SHARED_FORMULA_826">#N/A</definedName>
    <definedName name="SHARED_FORMULA_827">#N/A</definedName>
    <definedName name="SHARED_FORMULA_828">#N/A</definedName>
    <definedName name="SHARED_FORMULA_829">#N/A</definedName>
    <definedName name="SHARED_FORMULA_83">#N/A</definedName>
    <definedName name="SHARED_FORMULA_830">#N/A</definedName>
    <definedName name="SHARED_FORMULA_831">#N/A</definedName>
    <definedName name="SHARED_FORMULA_832">#N/A</definedName>
    <definedName name="SHARED_FORMULA_833">#N/A</definedName>
    <definedName name="SHARED_FORMULA_834">#N/A</definedName>
    <definedName name="SHARED_FORMULA_835">#N/A</definedName>
    <definedName name="SHARED_FORMULA_836">#N/A</definedName>
    <definedName name="SHARED_FORMULA_837">#N/A</definedName>
    <definedName name="SHARED_FORMULA_838">#N/A</definedName>
    <definedName name="SHARED_FORMULA_839">#N/A</definedName>
    <definedName name="SHARED_FORMULA_84">#N/A</definedName>
    <definedName name="SHARED_FORMULA_840">#N/A</definedName>
    <definedName name="SHARED_FORMULA_841">#N/A</definedName>
    <definedName name="SHARED_FORMULA_842">#N/A</definedName>
    <definedName name="SHARED_FORMULA_843">#N/A</definedName>
    <definedName name="SHARED_FORMULA_844">#N/A</definedName>
    <definedName name="SHARED_FORMULA_845">#N/A</definedName>
    <definedName name="SHARED_FORMULA_846">#N/A</definedName>
    <definedName name="SHARED_FORMULA_847">#N/A</definedName>
    <definedName name="SHARED_FORMULA_848">#N/A</definedName>
    <definedName name="SHARED_FORMULA_849">#N/A</definedName>
    <definedName name="SHARED_FORMULA_85">#N/A</definedName>
    <definedName name="SHARED_FORMULA_850">#N/A</definedName>
    <definedName name="SHARED_FORMULA_851">#N/A</definedName>
    <definedName name="SHARED_FORMULA_852">#N/A</definedName>
    <definedName name="SHARED_FORMULA_853">#N/A</definedName>
    <definedName name="SHARED_FORMULA_854">#N/A</definedName>
    <definedName name="SHARED_FORMULA_855">#N/A</definedName>
    <definedName name="SHARED_FORMULA_856">#N/A</definedName>
    <definedName name="SHARED_FORMULA_857">#N/A</definedName>
    <definedName name="SHARED_FORMULA_858">#N/A</definedName>
    <definedName name="SHARED_FORMULA_859">#N/A</definedName>
    <definedName name="SHARED_FORMULA_86">#N/A</definedName>
    <definedName name="SHARED_FORMULA_860">#N/A</definedName>
    <definedName name="SHARED_FORMULA_861">#N/A</definedName>
    <definedName name="SHARED_FORMULA_862">#N/A</definedName>
    <definedName name="SHARED_FORMULA_863">#N/A</definedName>
    <definedName name="SHARED_FORMULA_864">#N/A</definedName>
    <definedName name="SHARED_FORMULA_865">#N/A</definedName>
    <definedName name="SHARED_FORMULA_866">#N/A</definedName>
    <definedName name="SHARED_FORMULA_867">#N/A</definedName>
    <definedName name="SHARED_FORMULA_868">#N/A</definedName>
    <definedName name="SHARED_FORMULA_869">#N/A</definedName>
    <definedName name="SHARED_FORMULA_87">#N/A</definedName>
    <definedName name="SHARED_FORMULA_870">#N/A</definedName>
    <definedName name="SHARED_FORMULA_871">#N/A</definedName>
    <definedName name="SHARED_FORMULA_872">#N/A</definedName>
    <definedName name="SHARED_FORMULA_873">#N/A</definedName>
    <definedName name="SHARED_FORMULA_874">#N/A</definedName>
    <definedName name="SHARED_FORMULA_875">#N/A</definedName>
    <definedName name="SHARED_FORMULA_876">#N/A</definedName>
    <definedName name="SHARED_FORMULA_877">#N/A</definedName>
    <definedName name="SHARED_FORMULA_878">#N/A</definedName>
    <definedName name="SHARED_FORMULA_879">#N/A</definedName>
    <definedName name="SHARED_FORMULA_88">#N/A</definedName>
    <definedName name="SHARED_FORMULA_880">#N/A</definedName>
    <definedName name="SHARED_FORMULA_881">#N/A</definedName>
    <definedName name="SHARED_FORMULA_882">#N/A</definedName>
    <definedName name="SHARED_FORMULA_883">#N/A</definedName>
    <definedName name="SHARED_FORMULA_884">#N/A</definedName>
    <definedName name="SHARED_FORMULA_885">#N/A</definedName>
    <definedName name="SHARED_FORMULA_886">#N/A</definedName>
    <definedName name="SHARED_FORMULA_887">#N/A</definedName>
    <definedName name="SHARED_FORMULA_888">#N/A</definedName>
    <definedName name="SHARED_FORMULA_889">#N/A</definedName>
    <definedName name="SHARED_FORMULA_89">#N/A</definedName>
    <definedName name="SHARED_FORMULA_890">#N/A</definedName>
    <definedName name="SHARED_FORMULA_891">#N/A</definedName>
    <definedName name="SHARED_FORMULA_892">#N/A</definedName>
    <definedName name="SHARED_FORMULA_893">#N/A</definedName>
    <definedName name="SHARED_FORMULA_894">#N/A</definedName>
    <definedName name="SHARED_FORMULA_895">#N/A</definedName>
    <definedName name="SHARED_FORMULA_896">#N/A</definedName>
    <definedName name="SHARED_FORMULA_897">#N/A</definedName>
    <definedName name="SHARED_FORMULA_898">#N/A</definedName>
    <definedName name="SHARED_FORMULA_899">#N/A</definedName>
    <definedName name="SHARED_FORMULA_9">#N/A</definedName>
    <definedName name="SHARED_FORMULA_90">#N/A</definedName>
    <definedName name="SHARED_FORMULA_900">#N/A</definedName>
    <definedName name="SHARED_FORMULA_901">#N/A</definedName>
    <definedName name="SHARED_FORMULA_902">#N/A</definedName>
    <definedName name="SHARED_FORMULA_903">#N/A</definedName>
    <definedName name="SHARED_FORMULA_904">#N/A</definedName>
    <definedName name="SHARED_FORMULA_905">#N/A</definedName>
    <definedName name="SHARED_FORMULA_906">#N/A</definedName>
    <definedName name="SHARED_FORMULA_907">#N/A</definedName>
    <definedName name="SHARED_FORMULA_908">#N/A</definedName>
    <definedName name="SHARED_FORMULA_909">#N/A</definedName>
    <definedName name="SHARED_FORMULA_91">#N/A</definedName>
    <definedName name="SHARED_FORMULA_910">#N/A</definedName>
    <definedName name="SHARED_FORMULA_911">#N/A</definedName>
    <definedName name="SHARED_FORMULA_912">#N/A</definedName>
    <definedName name="SHARED_FORMULA_913">#N/A</definedName>
    <definedName name="SHARED_FORMULA_914">#N/A</definedName>
    <definedName name="SHARED_FORMULA_915">#N/A</definedName>
    <definedName name="SHARED_FORMULA_916">#N/A</definedName>
    <definedName name="SHARED_FORMULA_917">#N/A</definedName>
    <definedName name="SHARED_FORMULA_918">#N/A</definedName>
    <definedName name="SHARED_FORMULA_919">#N/A</definedName>
    <definedName name="SHARED_FORMULA_92">#N/A</definedName>
    <definedName name="SHARED_FORMULA_920">#N/A</definedName>
    <definedName name="SHARED_FORMULA_921">#N/A</definedName>
    <definedName name="SHARED_FORMULA_922">#N/A</definedName>
    <definedName name="SHARED_FORMULA_923">#N/A</definedName>
    <definedName name="SHARED_FORMULA_924">#N/A</definedName>
    <definedName name="SHARED_FORMULA_925">#N/A</definedName>
    <definedName name="SHARED_FORMULA_926">#N/A</definedName>
    <definedName name="SHARED_FORMULA_927">#N/A</definedName>
    <definedName name="SHARED_FORMULA_928">1+(0.15+0.16*0.05)</definedName>
    <definedName name="SHARED_FORMULA_929">#N/A</definedName>
    <definedName name="SHARED_FORMULA_93">#N/A</definedName>
    <definedName name="SHARED_FORMULA_930">1+(0+0.16*0.03)</definedName>
    <definedName name="SHARED_FORMULA_931">#N/A</definedName>
    <definedName name="SHARED_FORMULA_932">1+(0.18+0.16*0.05)</definedName>
    <definedName name="SHARED_FORMULA_933">#N/A</definedName>
    <definedName name="SHARED_FORMULA_934">#N/A</definedName>
    <definedName name="SHARED_FORMULA_935">#N/A</definedName>
    <definedName name="SHARED_FORMULA_936">#N/A</definedName>
    <definedName name="SHARED_FORMULA_937">#N/A</definedName>
    <definedName name="SHARED_FORMULA_938">#N/A</definedName>
    <definedName name="SHARED_FORMULA_939">#N/A</definedName>
    <definedName name="SHARED_FORMULA_94">#N/A</definedName>
    <definedName name="SHARED_FORMULA_940">#N/A</definedName>
    <definedName name="SHARED_FORMULA_941">#N/A</definedName>
    <definedName name="SHARED_FORMULA_942">#N/A</definedName>
    <definedName name="SHARED_FORMULA_943">#N/A</definedName>
    <definedName name="SHARED_FORMULA_944">#N/A</definedName>
    <definedName name="SHARED_FORMULA_945">#N/A</definedName>
    <definedName name="SHARED_FORMULA_946">#N/A</definedName>
    <definedName name="SHARED_FORMULA_947">#N/A</definedName>
    <definedName name="SHARED_FORMULA_948">#N/A</definedName>
    <definedName name="SHARED_FORMULA_949">#N/A</definedName>
    <definedName name="SHARED_FORMULA_95">#N/A</definedName>
    <definedName name="SHARED_FORMULA_950">#N/A</definedName>
    <definedName name="SHARED_FORMULA_951">#N/A</definedName>
    <definedName name="SHARED_FORMULA_952">#N/A</definedName>
    <definedName name="SHARED_FORMULA_953">#N/A</definedName>
    <definedName name="SHARED_FORMULA_954">#N/A</definedName>
    <definedName name="SHARED_FORMULA_955">#N/A</definedName>
    <definedName name="SHARED_FORMULA_956">#N/A</definedName>
    <definedName name="SHARED_FORMULA_957">#N/A</definedName>
    <definedName name="SHARED_FORMULA_958">1+(0.15+0.16*0.05)</definedName>
    <definedName name="SHARED_FORMULA_959">#N/A</definedName>
    <definedName name="SHARED_FORMULA_96">#N/A</definedName>
    <definedName name="SHARED_FORMULA_960">1+(0+0.16*0.03)</definedName>
    <definedName name="SHARED_FORMULA_961">#N/A</definedName>
    <definedName name="SHARED_FORMULA_962">#N/A</definedName>
    <definedName name="SHARED_FORMULA_963">1+(0.18+0.16*0.05)</definedName>
    <definedName name="SHARED_FORMULA_964">#N/A</definedName>
    <definedName name="SHARED_FORMULA_965">#N/A</definedName>
    <definedName name="SHARED_FORMULA_966">#N/A</definedName>
    <definedName name="SHARED_FORMULA_967">#N/A</definedName>
    <definedName name="SHARED_FORMULA_968">#N/A</definedName>
    <definedName name="SHARED_FORMULA_969">#N/A</definedName>
    <definedName name="SHARED_FORMULA_97">#N/A</definedName>
    <definedName name="SHARED_FORMULA_970">#N/A</definedName>
    <definedName name="SHARED_FORMULA_971">#N/A</definedName>
    <definedName name="SHARED_FORMULA_972">#N/A</definedName>
    <definedName name="SHARED_FORMULA_973">#N/A</definedName>
    <definedName name="SHARED_FORMULA_974">#N/A</definedName>
    <definedName name="SHARED_FORMULA_975">#N/A</definedName>
    <definedName name="SHARED_FORMULA_976">#N/A</definedName>
    <definedName name="SHARED_FORMULA_977">#N/A</definedName>
    <definedName name="SHARED_FORMULA_978">#N/A</definedName>
    <definedName name="SHARED_FORMULA_979">#N/A</definedName>
    <definedName name="SHARED_FORMULA_98">#N/A</definedName>
    <definedName name="SHARED_FORMULA_980">1+(0.15+0.16*0.05)</definedName>
    <definedName name="SHARED_FORMULA_981">#N/A</definedName>
    <definedName name="SHARED_FORMULA_982">1+(0+0.16*0.03)</definedName>
    <definedName name="SHARED_FORMULA_983">#N/A</definedName>
    <definedName name="SHARED_FORMULA_984">1+(0.18+0.16*0.05)</definedName>
    <definedName name="SHARED_FORMULA_985">#N/A</definedName>
    <definedName name="SHARED_FORMULA_986">#N/A</definedName>
    <definedName name="SHARED_FORMULA_987">#N/A</definedName>
    <definedName name="SHARED_FORMULA_988">#N/A</definedName>
    <definedName name="SHARED_FORMULA_989">#N/A</definedName>
    <definedName name="SHARED_FORMULA_99">#N/A</definedName>
    <definedName name="SHARED_FORMULA_990">#N/A</definedName>
    <definedName name="SHARED_FORMULA_991">#N/A</definedName>
    <definedName name="SHARED_FORMULA_992">#N/A</definedName>
    <definedName name="SHARED_FORMULA_993">#N/A</definedName>
    <definedName name="SHARED_FORMULA_994">#N/A</definedName>
    <definedName name="SHARED_FORMULA_995">#N/A</definedName>
    <definedName name="SHARED_FORMULA_996">#N/A</definedName>
    <definedName name="SHARED_FORMULA_997">#N/A</definedName>
    <definedName name="SHARED_FORMULA_998">#N/A</definedName>
    <definedName name="SHARED_FORMULA_999">#N/A</definedName>
    <definedName name="SI" localSheetId="1">[1]!ERR</definedName>
    <definedName name="SI" localSheetId="16">[1]!ERR</definedName>
    <definedName name="si" localSheetId="3">#REF!</definedName>
    <definedName name="SI" localSheetId="19">[1]!ERR</definedName>
    <definedName name="SI">[1]!ERR</definedName>
    <definedName name="sin" localSheetId="1">'[15]Gabinetes ctrol, prot. y med. '!#REF!</definedName>
    <definedName name="sin">'[15]Gabinetes ctrol, prot. y med. '!#REF!</definedName>
    <definedName name="SISISIS" localSheetId="1">[1]!ERR</definedName>
    <definedName name="SISISIS" localSheetId="16">[1]!ERR</definedName>
    <definedName name="SISISIS" localSheetId="19">[1]!ERR</definedName>
    <definedName name="SISISIS">[1]!ERR</definedName>
    <definedName name="sk" localSheetId="1">#REF!</definedName>
    <definedName name="sk" localSheetId="16">#REF!</definedName>
    <definedName name="sk" localSheetId="3">#REF!</definedName>
    <definedName name="sk">#REF!</definedName>
    <definedName name="sm" localSheetId="1">#REF!</definedName>
    <definedName name="sm">#REF!</definedName>
    <definedName name="SMMLV" localSheetId="3">'[110]S.M.M.V'!$C$14</definedName>
    <definedName name="SMMLV">#REF!</definedName>
    <definedName name="sn">#REF!</definedName>
    <definedName name="snw">#REF!</definedName>
    <definedName name="sñ">#REF!</definedName>
    <definedName name="so">#REF!</definedName>
    <definedName name="SOFT">#REF!</definedName>
    <definedName name="Soldadura" localSheetId="1">'[20]LISTADO DE MATERIALES Y EQUIPOS'!$B$110</definedName>
    <definedName name="Soldadura" localSheetId="16">'[20]LISTADO DE MATERIALES Y EQUIPOS'!$B$110</definedName>
    <definedName name="Soldadura">'[20]LISTADO DE MATERIALES Y EQUIPOS'!$B$110</definedName>
    <definedName name="sr" localSheetId="16">#REF!</definedName>
    <definedName name="sr" localSheetId="3">#REF!</definedName>
    <definedName name="sr">#REF!</definedName>
    <definedName name="srwrwr" localSheetId="1" hidden="1">{"TAB1",#N/A,TRUE,"GENERAL";"TAB2",#N/A,TRUE,"GENERAL";"TAB3",#N/A,TRUE,"GENERAL";"TAB4",#N/A,TRUE,"GENERAL";"TAB5",#N/A,TRUE,"GENERAL"}</definedName>
    <definedName name="srwrwr" localSheetId="9" hidden="1">{"TAB1",#N/A,TRUE,"GENERAL";"TAB2",#N/A,TRUE,"GENERAL";"TAB3",#N/A,TRUE,"GENERAL";"TAB4",#N/A,TRUE,"GENERAL";"TAB5",#N/A,TRUE,"GENERAL"}</definedName>
    <definedName name="srwrwr" localSheetId="16" hidden="1">{"TAB1",#N/A,TRUE,"GENERAL";"TAB2",#N/A,TRUE,"GENERAL";"TAB3",#N/A,TRUE,"GENERAL";"TAB4",#N/A,TRUE,"GENERAL";"TAB5",#N/A,TRUE,"GENERAL"}</definedName>
    <definedName name="srwrwr" localSheetId="19" hidden="1">{"TAB1",#N/A,TRUE,"GENERAL";"TAB2",#N/A,TRUE,"GENERAL";"TAB3",#N/A,TRUE,"GENERAL";"TAB4",#N/A,TRUE,"GENERAL";"TAB5",#N/A,TRUE,"GENERAL"}</definedName>
    <definedName name="srwrwr" hidden="1">{"TAB1",#N/A,TRUE,"GENERAL";"TAB2",#N/A,TRUE,"GENERAL";"TAB3",#N/A,TRUE,"GENERAL";"TAB4",#N/A,TRUE,"GENERAL";"TAB5",#N/A,TRUE,"GENERAL"}</definedName>
    <definedName name="ss" localSheetId="3">#REF!</definedName>
    <definedName name="ss">#REF!</definedName>
    <definedName name="sss" localSheetId="3">#REF!</definedName>
    <definedName name="sss">#REF!</definedName>
    <definedName name="sssss7" localSheetId="1" hidden="1">{"via1",#N/A,TRUE,"general";"via2",#N/A,TRUE,"general";"via3",#N/A,TRUE,"general"}</definedName>
    <definedName name="sssss7" localSheetId="9" hidden="1">{"via1",#N/A,TRUE,"general";"via2",#N/A,TRUE,"general";"via3",#N/A,TRUE,"general"}</definedName>
    <definedName name="sssss7" localSheetId="16" hidden="1">{"via1",#N/A,TRUE,"general";"via2",#N/A,TRUE,"general";"via3",#N/A,TRUE,"general"}</definedName>
    <definedName name="sssss7" localSheetId="19" hidden="1">{"via1",#N/A,TRUE,"general";"via2",#N/A,TRUE,"general";"via3",#N/A,TRUE,"general"}</definedName>
    <definedName name="sssss7" hidden="1">{"via1",#N/A,TRUE,"general";"via2",#N/A,TRUE,"general";"via3",#N/A,TRUE,"general"}</definedName>
    <definedName name="sssssa" localSheetId="1" hidden="1">{"TAB1",#N/A,TRUE,"GENERAL";"TAB2",#N/A,TRUE,"GENERAL";"TAB3",#N/A,TRUE,"GENERAL";"TAB4",#N/A,TRUE,"GENERAL";"TAB5",#N/A,TRUE,"GENERAL"}</definedName>
    <definedName name="sssssa" localSheetId="9" hidden="1">{"TAB1",#N/A,TRUE,"GENERAL";"TAB2",#N/A,TRUE,"GENERAL";"TAB3",#N/A,TRUE,"GENERAL";"TAB4",#N/A,TRUE,"GENERAL";"TAB5",#N/A,TRUE,"GENERAL"}</definedName>
    <definedName name="sssssa" localSheetId="16" hidden="1">{"TAB1",#N/A,TRUE,"GENERAL";"TAB2",#N/A,TRUE,"GENERAL";"TAB3",#N/A,TRUE,"GENERAL";"TAB4",#N/A,TRUE,"GENERAL";"TAB5",#N/A,TRUE,"GENERAL"}</definedName>
    <definedName name="sssssa" localSheetId="19" hidden="1">{"TAB1",#N/A,TRUE,"GENERAL";"TAB2",#N/A,TRUE,"GENERAL";"TAB3",#N/A,TRUE,"GENERAL";"TAB4",#N/A,TRUE,"GENERAL";"TAB5",#N/A,TRUE,"GENERAL"}</definedName>
    <definedName name="sssssa" hidden="1">{"TAB1",#N/A,TRUE,"GENERAL";"TAB2",#N/A,TRUE,"GENERAL";"TAB3",#N/A,TRUE,"GENERAL";"TAB4",#N/A,TRUE,"GENERAL";"TAB5",#N/A,TRUE,"GENERAL"}</definedName>
    <definedName name="SSSSSSS" localSheetId="3">IF('FM '!Loan_Amount*'FM '!Interest_Rate*Loan_Years*'FM '!Loan_Start&gt;0,1,0)</definedName>
    <definedName name="SSSSSSS">#N/A</definedName>
    <definedName name="sssssy" localSheetId="1" hidden="1">{"via1",#N/A,TRUE,"general";"via2",#N/A,TRUE,"general";"via3",#N/A,TRUE,"general"}</definedName>
    <definedName name="sssssy" localSheetId="9" hidden="1">{"via1",#N/A,TRUE,"general";"via2",#N/A,TRUE,"general";"via3",#N/A,TRUE,"general"}</definedName>
    <definedName name="sssssy" localSheetId="16" hidden="1">{"via1",#N/A,TRUE,"general";"via2",#N/A,TRUE,"general";"via3",#N/A,TRUE,"general"}</definedName>
    <definedName name="sssssy" localSheetId="19" hidden="1">{"via1",#N/A,TRUE,"general";"via2",#N/A,TRUE,"general";"via3",#N/A,TRUE,"general"}</definedName>
    <definedName name="sssssy" hidden="1">{"via1",#N/A,TRUE,"general";"via2",#N/A,TRUE,"general";"via3",#N/A,TRUE,"general"}</definedName>
    <definedName name="st">'[15]Gabinetes ctrol, prot. y med. '!#REF!</definedName>
    <definedName name="stt" localSheetId="1" hidden="1">{"via1",#N/A,TRUE,"general";"via2",#N/A,TRUE,"general";"via3",#N/A,TRUE,"general"}</definedName>
    <definedName name="stt" localSheetId="9" hidden="1">{"via1",#N/A,TRUE,"general";"via2",#N/A,TRUE,"general";"via3",#N/A,TRUE,"general"}</definedName>
    <definedName name="stt" localSheetId="16" hidden="1">{"via1",#N/A,TRUE,"general";"via2",#N/A,TRUE,"general";"via3",#N/A,TRUE,"general"}</definedName>
    <definedName name="stt" localSheetId="19" hidden="1">{"via1",#N/A,TRUE,"general";"via2",#N/A,TRUE,"general";"via3",#N/A,TRUE,"general"}</definedName>
    <definedName name="stt" hidden="1">{"via1",#N/A,TRUE,"general";"via2",#N/A,TRUE,"general";"via3",#N/A,TRUE,"general"}</definedName>
    <definedName name="SUBA">'[111]SUB APU'!$A$1:$D$65536</definedName>
    <definedName name="SUELLEN" localSheetId="16">#REF!</definedName>
    <definedName name="SUELLEN" localSheetId="3">#REF!</definedName>
    <definedName name="SUELLEN">#REF!</definedName>
    <definedName name="sum">'[106]Tabla 1.1'!#REF!</definedName>
    <definedName name="suma" localSheetId="3">[112]Hoja1!$F$60</definedName>
    <definedName name="suma">[50]Hoja1!$F$60</definedName>
    <definedName name="sw" localSheetId="1">[1]!ERR</definedName>
    <definedName name="sw" localSheetId="16">[1]!ERR</definedName>
    <definedName name="sw" localSheetId="19">[1]!ERR</definedName>
    <definedName name="sw">[1]!ERR</definedName>
    <definedName name="swsw" localSheetId="1" hidden="1">{"via1",#N/A,TRUE,"general";"via2",#N/A,TRUE,"general";"via3",#N/A,TRUE,"general"}</definedName>
    <definedName name="swsw" localSheetId="9" hidden="1">{"via1",#N/A,TRUE,"general";"via2",#N/A,TRUE,"general";"via3",#N/A,TRUE,"general"}</definedName>
    <definedName name="swsw" localSheetId="16" hidden="1">{"via1",#N/A,TRUE,"general";"via2",#N/A,TRUE,"general";"via3",#N/A,TRUE,"general"}</definedName>
    <definedName name="swsw" localSheetId="19" hidden="1">{"via1",#N/A,TRUE,"general";"via2",#N/A,TRUE,"general";"via3",#N/A,TRUE,"general"}</definedName>
    <definedName name="swsw" hidden="1">{"via1",#N/A,TRUE,"general";"via2",#N/A,TRUE,"general";"via3",#N/A,TRUE,"general"}</definedName>
    <definedName name="swsw3" localSheetId="1" hidden="1">{"TAB1",#N/A,TRUE,"GENERAL";"TAB2",#N/A,TRUE,"GENERAL";"TAB3",#N/A,TRUE,"GENERAL";"TAB4",#N/A,TRUE,"GENERAL";"TAB5",#N/A,TRUE,"GENERAL"}</definedName>
    <definedName name="swsw3" localSheetId="9" hidden="1">{"TAB1",#N/A,TRUE,"GENERAL";"TAB2",#N/A,TRUE,"GENERAL";"TAB3",#N/A,TRUE,"GENERAL";"TAB4",#N/A,TRUE,"GENERAL";"TAB5",#N/A,TRUE,"GENERAL"}</definedName>
    <definedName name="swsw3" localSheetId="16" hidden="1">{"TAB1",#N/A,TRUE,"GENERAL";"TAB2",#N/A,TRUE,"GENERAL";"TAB3",#N/A,TRUE,"GENERAL";"TAB4",#N/A,TRUE,"GENERAL";"TAB5",#N/A,TRUE,"GENERAL"}</definedName>
    <definedName name="swsw3" localSheetId="19" hidden="1">{"TAB1",#N/A,TRUE,"GENERAL";"TAB2",#N/A,TRUE,"GENERAL";"TAB3",#N/A,TRUE,"GENERAL";"TAB4",#N/A,TRUE,"GENERAL";"TAB5",#N/A,TRUE,"GENERAL"}</definedName>
    <definedName name="swsw3" hidden="1">{"TAB1",#N/A,TRUE,"GENERAL";"TAB2",#N/A,TRUE,"GENERAL";"TAB3",#N/A,TRUE,"GENERAL";"TAB4",#N/A,TRUE,"GENERAL";"TAB5",#N/A,TRUE,"GENERAL"}</definedName>
    <definedName name="Swvu.TAB1." localSheetId="1" hidden="1">[22]Presupuesto_Via_distribuidora!#REF!</definedName>
    <definedName name="Swvu.TAB1." localSheetId="16" hidden="1">[22]Presupuesto_Via_distribuidora!#REF!</definedName>
    <definedName name="Swvu.TAB1." localSheetId="3" hidden="1">[14]Presupuesto_Via_distribuidora!#REF!</definedName>
    <definedName name="Swvu.TAB1." hidden="1">[22]Presupuesto_Via_distribuidora!#REF!</definedName>
    <definedName name="Swvu.TAB2." localSheetId="1" hidden="1">[22]Presupuesto_Via_distribuidora!#REF!</definedName>
    <definedName name="Swvu.TAB2." localSheetId="16" hidden="1">[22]Presupuesto_Via_distribuidora!#REF!</definedName>
    <definedName name="Swvu.TAB2." localSheetId="3" hidden="1">[14]Presupuesto_Via_distribuidora!#REF!</definedName>
    <definedName name="Swvu.TAB2." hidden="1">[22]Presupuesto_Via_distribuidora!#REF!</definedName>
    <definedName name="Swvu.TAB3." localSheetId="1" hidden="1">[22]Presupuesto_Via_distribuidora!#REF!</definedName>
    <definedName name="Swvu.TAB3." localSheetId="16" hidden="1">[22]Presupuesto_Via_distribuidora!#REF!</definedName>
    <definedName name="Swvu.TAB3." localSheetId="3" hidden="1">[14]Presupuesto_Via_distribuidora!#REF!</definedName>
    <definedName name="Swvu.TAB3." hidden="1">[22]Presupuesto_Via_distribuidora!#REF!</definedName>
    <definedName name="Swvu.TAB4." localSheetId="1" hidden="1">[22]Presupuesto_Via_distribuidora!#REF!</definedName>
    <definedName name="Swvu.TAB4." localSheetId="16" hidden="1">[22]Presupuesto_Via_distribuidora!#REF!</definedName>
    <definedName name="Swvu.TAB4." localSheetId="3" hidden="1">[14]Presupuesto_Via_distribuidora!#REF!</definedName>
    <definedName name="Swvu.TAB4." hidden="1">[22]Presupuesto_Via_distribuidora!#REF!</definedName>
    <definedName name="Swvu.TAB5." localSheetId="1" hidden="1">[22]Presupuesto_Via_distribuidora!#REF!</definedName>
    <definedName name="Swvu.TAB5." localSheetId="16" hidden="1">[22]Presupuesto_Via_distribuidora!#REF!</definedName>
    <definedName name="Swvu.TAB5." localSheetId="3" hidden="1">[14]Presupuesto_Via_distribuidora!#REF!</definedName>
    <definedName name="Swvu.TAB5." hidden="1">[22]Presupuesto_Via_distribuidora!#REF!</definedName>
    <definedName name="t" localSheetId="19">[8]!absc</definedName>
    <definedName name="t">[8]!absc</definedName>
    <definedName name="T.1_POZ">[113]TUBERIA!$AB$10:$AB$84</definedName>
    <definedName name="T.3" localSheetId="1">'[66]CANT.5921'!#REF!</definedName>
    <definedName name="T.3" localSheetId="16">'[66]CANT.5921'!#REF!</definedName>
    <definedName name="T.3">'[66]CANT.5921'!#REF!</definedName>
    <definedName name="T.VIA">'[17]factores A.N.'!$H$15:$H$306</definedName>
    <definedName name="T___2_.3_FC_2.2" localSheetId="16">#REF!</definedName>
    <definedName name="T___2_.3_FC_2.2" localSheetId="19">#REF!</definedName>
    <definedName name="T___2_.3_FC_2.2">#REF!</definedName>
    <definedName name="T_RMG">[13]D_AWG!$D$51:$E$54</definedName>
    <definedName name="T1_" localSheetId="16">#REF!</definedName>
    <definedName name="T1_">#REF!</definedName>
    <definedName name="T1__2_FC1_5" localSheetId="16">#REF!</definedName>
    <definedName name="T1__2_FC1_5">#REF!</definedName>
    <definedName name="T1__2_FC1_9" localSheetId="16">#REF!</definedName>
    <definedName name="T1__2_FC1_9">#REF!</definedName>
    <definedName name="T1__3__2_FC1_9">#REF!</definedName>
    <definedName name="T1_FC_1.5__.2">#REF!</definedName>
    <definedName name="T1_FC_1.9__.2">#REF!</definedName>
    <definedName name="T1_FC1_5">'[17]factores A.N.'!$H$8:$H$33</definedName>
    <definedName name="T1_FC1_9">'[17]factores A.N.'!$J$8:$J$33</definedName>
    <definedName name="T1_FC2.2">[114]FACTORES!$M$8:$M$23</definedName>
    <definedName name="T11SF15" localSheetId="16">#REF!</definedName>
    <definedName name="T11SF15" localSheetId="19">#REF!</definedName>
    <definedName name="T11SF15">#REF!</definedName>
    <definedName name="T11SF19" localSheetId="16">#REF!</definedName>
    <definedName name="T11SF19">#REF!</definedName>
    <definedName name="T12SF15">#REF!</definedName>
    <definedName name="T12SF19">#REF!</definedName>
    <definedName name="T1RF15">#REF!</definedName>
    <definedName name="T1RF19">#REF!</definedName>
    <definedName name="T2.PVC">'[17]factores A.N.'!$P$8:$P$19</definedName>
    <definedName name="T2_" localSheetId="16">#REF!</definedName>
    <definedName name="T2_" localSheetId="19">#REF!</definedName>
    <definedName name="T2_">#REF!</definedName>
    <definedName name="T2_.3" localSheetId="16">#REF!</definedName>
    <definedName name="T2_.3">#REF!</definedName>
    <definedName name="T2__2_FC1_5">#REF!</definedName>
    <definedName name="T2__3_FC1_9">#REF!</definedName>
    <definedName name="T2_FC_1.5__.3">#REF!</definedName>
    <definedName name="T2_FC_1.5__.3_.2">#REF!</definedName>
    <definedName name="T2_FC_1.9__.3">#REF!</definedName>
    <definedName name="T2_FC_1.9__.3_.2">#REF!</definedName>
    <definedName name="T2_FC1_5">'[17]factores A.N.'!$I$8:$I$33</definedName>
    <definedName name="T2_FC1_9">'[17]factores A.N.'!$K$8:$K$33</definedName>
    <definedName name="T2_POZ" localSheetId="16">#REF!</definedName>
    <definedName name="T2_POZ" localSheetId="19">#REF!</definedName>
    <definedName name="T2_POZ">#REF!</definedName>
    <definedName name="T2_RAS" localSheetId="16">#REF!</definedName>
    <definedName name="T2_RAS">#REF!</definedName>
    <definedName name="T21SF15">#REF!</definedName>
    <definedName name="T21SF19">#REF!</definedName>
    <definedName name="T22SF15">#REF!</definedName>
    <definedName name="T22SF19">#REF!</definedName>
    <definedName name="T2RF15">#REF!</definedName>
    <definedName name="T2RF19">#REF!</definedName>
    <definedName name="t5t5" localSheetId="1" hidden="1">{"TAB1",#N/A,TRUE,"GENERAL";"TAB2",#N/A,TRUE,"GENERAL";"TAB3",#N/A,TRUE,"GENERAL";"TAB4",#N/A,TRUE,"GENERAL";"TAB5",#N/A,TRUE,"GENERAL"}</definedName>
    <definedName name="t5t5" localSheetId="9" hidden="1">{"TAB1",#N/A,TRUE,"GENERAL";"TAB2",#N/A,TRUE,"GENERAL";"TAB3",#N/A,TRUE,"GENERAL";"TAB4",#N/A,TRUE,"GENERAL";"TAB5",#N/A,TRUE,"GENERAL"}</definedName>
    <definedName name="t5t5" localSheetId="16" hidden="1">{"TAB1",#N/A,TRUE,"GENERAL";"TAB2",#N/A,TRUE,"GENERAL";"TAB3",#N/A,TRUE,"GENERAL";"TAB4",#N/A,TRUE,"GENERAL";"TAB5",#N/A,TRUE,"GENERAL"}</definedName>
    <definedName name="t5t5" localSheetId="19" hidden="1">{"TAB1",#N/A,TRUE,"GENERAL";"TAB2",#N/A,TRUE,"GENERAL";"TAB3",#N/A,TRUE,"GENERAL";"TAB4",#N/A,TRUE,"GENERAL";"TAB5",#N/A,TRUE,"GENERAL"}</definedName>
    <definedName name="t5t5" hidden="1">{"TAB1",#N/A,TRUE,"GENERAL";"TAB2",#N/A,TRUE,"GENERAL";"TAB3",#N/A,TRUE,"GENERAL";"TAB4",#N/A,TRUE,"GENERAL";"TAB5",#N/A,TRUE,"GENERAL"}</definedName>
    <definedName name="TABLA">#REF!</definedName>
    <definedName name="Tablero_de_24_circutos_trsifasico" localSheetId="1">'[20]LISTADO DE MATERIALES Y EQUIPOS'!$B$98</definedName>
    <definedName name="Tablero_de_24_circutos_trsifasico" localSheetId="16">'[20]LISTADO DE MATERIALES Y EQUIPOS'!$B$98</definedName>
    <definedName name="Tablero_de_24_circutos_trsifasico">'[20]LISTADO DE MATERIALES Y EQUIPOS'!$B$98</definedName>
    <definedName name="TABLILLA">[46]BASE!$D$396</definedName>
    <definedName name="TACOM1">[115]BASE!$D$306</definedName>
    <definedName name="Tarifa_km3" localSheetId="1">'[20]LISTADO DE MATERIALES Y EQUIPOS'!$B$47</definedName>
    <definedName name="Tarifa_km3" localSheetId="16">'[20]LISTADO DE MATERIALES Y EQUIPOS'!$B$47</definedName>
    <definedName name="Tarifa_km3">'[20]LISTADO DE MATERIALES Y EQUIPOS'!$B$47</definedName>
    <definedName name="TARIFAS">[116]TARIFAS!$A$1:$F$52</definedName>
    <definedName name="TARIFAS1" localSheetId="1">[117]TARIFAS!$A$1:$F$119</definedName>
    <definedName name="TARIFAS1" localSheetId="16">[117]TARIFAS!$A$1:$F$119</definedName>
    <definedName name="TARIFAS1">[117]TARIFAS!$A$1:$F$119</definedName>
    <definedName name="tb" localSheetId="16">#REF!</definedName>
    <definedName name="tb" localSheetId="3">#REF!</definedName>
    <definedName name="tb">#REF!</definedName>
    <definedName name="TC" hidden="1">{#N/A,#N/A,FALSE,"GRAFICO";#N/A,#N/A,FALSE,"CAJA (2)";#N/A,#N/A,FALSE,"TERCEROS-PROMEDIO";#N/A,#N/A,FALSE,"CAJA";#N/A,#N/A,FALSE,"INGRESOS1995-2003";#N/A,#N/A,FALSE,"GASTOS1995-2003"}</definedName>
    <definedName name="tdy" localSheetId="1" hidden="1">{"TAB1",#N/A,TRUE,"GENERAL";"TAB2",#N/A,TRUE,"GENERAL";"TAB3",#N/A,TRUE,"GENERAL";"TAB4",#N/A,TRUE,"GENERAL";"TAB5",#N/A,TRUE,"GENERAL"}</definedName>
    <definedName name="tdy" localSheetId="9" hidden="1">{"TAB1",#N/A,TRUE,"GENERAL";"TAB2",#N/A,TRUE,"GENERAL";"TAB3",#N/A,TRUE,"GENERAL";"TAB4",#N/A,TRUE,"GENERAL";"TAB5",#N/A,TRUE,"GENERAL"}</definedName>
    <definedName name="tdy" localSheetId="16" hidden="1">{"TAB1",#N/A,TRUE,"GENERAL";"TAB2",#N/A,TRUE,"GENERAL";"TAB3",#N/A,TRUE,"GENERAL";"TAB4",#N/A,TRUE,"GENERAL";"TAB5",#N/A,TRUE,"GENERAL"}</definedName>
    <definedName name="tdy" localSheetId="19" hidden="1">{"TAB1",#N/A,TRUE,"GENERAL";"TAB2",#N/A,TRUE,"GENERAL";"TAB3",#N/A,TRUE,"GENERAL";"TAB4",#N/A,TRUE,"GENERAL";"TAB5",#N/A,TRUE,"GENERAL"}</definedName>
    <definedName name="tdy" hidden="1">{"TAB1",#N/A,TRUE,"GENERAL";"TAB2",#N/A,TRUE,"GENERAL";"TAB3",#N/A,TRUE,"GENERAL";"TAB4",#N/A,TRUE,"GENERAL";"TAB5",#N/A,TRUE,"GENERAL"}</definedName>
    <definedName name="TECHINT_INTERNATIONAL_CONSTRUCTION">"CP03"</definedName>
    <definedName name="TECN" localSheetId="3">DATE(YEAR('FM '!Loan_Start),MONTH('FM '!Loan_Start)+Payment_Number,DAY('FM '!Loan_Start))</definedName>
    <definedName name="TECN">#N/A</definedName>
    <definedName name="Teja_metalica_arquitectonica_trapez__0_73_3_66" localSheetId="1">'[20]LISTADO DE MATERIALES Y EQUIPOS'!$B$57</definedName>
    <definedName name="Teja_metalica_arquitectonica_trapez__0_73_3_66" localSheetId="16">'[20]LISTADO DE MATERIALES Y EQUIPOS'!$B$57</definedName>
    <definedName name="Teja_metalica_arquitectonica_trapez__0_73_3_66">'[20]LISTADO DE MATERIALES Y EQUIPOS'!$B$57</definedName>
    <definedName name="tewst" localSheetId="1" hidden="1">{"TAB1",#N/A,TRUE,"GENERAL";"TAB2",#N/A,TRUE,"GENERAL";"TAB3",#N/A,TRUE,"GENERAL";"TAB4",#N/A,TRUE,"GENERAL";"TAB5",#N/A,TRUE,"GENERAL"}</definedName>
    <definedName name="tewst" localSheetId="9" hidden="1">{"TAB1",#N/A,TRUE,"GENERAL";"TAB2",#N/A,TRUE,"GENERAL";"TAB3",#N/A,TRUE,"GENERAL";"TAB4",#N/A,TRUE,"GENERAL";"TAB5",#N/A,TRUE,"GENERAL"}</definedName>
    <definedName name="tewst" localSheetId="16" hidden="1">{"TAB1",#N/A,TRUE,"GENERAL";"TAB2",#N/A,TRUE,"GENERAL";"TAB3",#N/A,TRUE,"GENERAL";"TAB4",#N/A,TRUE,"GENERAL";"TAB5",#N/A,TRUE,"GENERAL"}</definedName>
    <definedName name="tewst" localSheetId="19" hidden="1">{"TAB1",#N/A,TRUE,"GENERAL";"TAB2",#N/A,TRUE,"GENERAL";"TAB3",#N/A,TRUE,"GENERAL";"TAB4",#N/A,TRUE,"GENERAL";"TAB5",#N/A,TRUE,"GENERAL"}</definedName>
    <definedName name="tewst" hidden="1">{"TAB1",#N/A,TRUE,"GENERAL";"TAB2",#N/A,TRUE,"GENERAL";"TAB3",#N/A,TRUE,"GENERAL";"TAB4",#N/A,TRUE,"GENERAL";"TAB5",#N/A,TRUE,"GENERAL"}</definedName>
    <definedName name="teytrh" localSheetId="1" hidden="1">{"via1",#N/A,TRUE,"general";"via2",#N/A,TRUE,"general";"via3",#N/A,TRUE,"general"}</definedName>
    <definedName name="teytrh" localSheetId="9" hidden="1">{"via1",#N/A,TRUE,"general";"via2",#N/A,TRUE,"general";"via3",#N/A,TRUE,"general"}</definedName>
    <definedName name="teytrh" localSheetId="16" hidden="1">{"via1",#N/A,TRUE,"general";"via2",#N/A,TRUE,"general";"via3",#N/A,TRUE,"general"}</definedName>
    <definedName name="teytrh" localSheetId="19" hidden="1">{"via1",#N/A,TRUE,"general";"via2",#N/A,TRUE,"general";"via3",#N/A,TRUE,"general"}</definedName>
    <definedName name="teytrh" hidden="1">{"via1",#N/A,TRUE,"general";"via2",#N/A,TRUE,"general";"via3",#N/A,TRUE,"general"}</definedName>
    <definedName name="th" localSheetId="3">#REF!</definedName>
    <definedName name="th">#REF!</definedName>
    <definedName name="thdh" localSheetId="1" hidden="1">{"TAB1",#N/A,TRUE,"GENERAL";"TAB2",#N/A,TRUE,"GENERAL";"TAB3",#N/A,TRUE,"GENERAL";"TAB4",#N/A,TRUE,"GENERAL";"TAB5",#N/A,TRUE,"GENERAL"}</definedName>
    <definedName name="thdh" localSheetId="9" hidden="1">{"TAB1",#N/A,TRUE,"GENERAL";"TAB2",#N/A,TRUE,"GENERAL";"TAB3",#N/A,TRUE,"GENERAL";"TAB4",#N/A,TRUE,"GENERAL";"TAB5",#N/A,TRUE,"GENERAL"}</definedName>
    <definedName name="thdh" localSheetId="16" hidden="1">{"TAB1",#N/A,TRUE,"GENERAL";"TAB2",#N/A,TRUE,"GENERAL";"TAB3",#N/A,TRUE,"GENERAL";"TAB4",#N/A,TRUE,"GENERAL";"TAB5",#N/A,TRUE,"GENERAL"}</definedName>
    <definedName name="thdh" localSheetId="19" hidden="1">{"TAB1",#N/A,TRUE,"GENERAL";"TAB2",#N/A,TRUE,"GENERAL";"TAB3",#N/A,TRUE,"GENERAL";"TAB4",#N/A,TRUE,"GENERAL";"TAB5",#N/A,TRUE,"GENERAL"}</definedName>
    <definedName name="thdh" hidden="1">{"TAB1",#N/A,TRUE,"GENERAL";"TAB2",#N/A,TRUE,"GENERAL";"TAB3",#N/A,TRUE,"GENERAL";"TAB4",#N/A,TRUE,"GENERAL";"TAB5",#N/A,TRUE,"GENERAL"}</definedName>
    <definedName name="Thinner" localSheetId="1">'[20]LISTADO DE MATERIALES Y EQUIPOS'!$B$62</definedName>
    <definedName name="Thinner" localSheetId="16">'[20]LISTADO DE MATERIALES Y EQUIPOS'!$B$62</definedName>
    <definedName name="Thinner">'[20]LISTADO DE MATERIALES Y EQUIPOS'!$B$62</definedName>
    <definedName name="thtj" localSheetId="1" hidden="1">{"via1",#N/A,TRUE,"general";"via2",#N/A,TRUE,"general";"via3",#N/A,TRUE,"general"}</definedName>
    <definedName name="thtj" localSheetId="9" hidden="1">{"via1",#N/A,TRUE,"general";"via2",#N/A,TRUE,"general";"via3",#N/A,TRUE,"general"}</definedName>
    <definedName name="thtj" localSheetId="16" hidden="1">{"via1",#N/A,TRUE,"general";"via2",#N/A,TRUE,"general";"via3",#N/A,TRUE,"general"}</definedName>
    <definedName name="thtj" localSheetId="19" hidden="1">{"via1",#N/A,TRUE,"general";"via2",#N/A,TRUE,"general";"via3",#N/A,TRUE,"general"}</definedName>
    <definedName name="thtj" hidden="1">{"via1",#N/A,TRUE,"general";"via2",#N/A,TRUE,"general";"via3",#N/A,TRUE,"general"}</definedName>
    <definedName name="TIEMPO">[35]BASES!$E$27</definedName>
    <definedName name="TIPO" localSheetId="16">#REF!</definedName>
    <definedName name="TIPO" localSheetId="19">#REF!</definedName>
    <definedName name="TIPO">#REF!</definedName>
    <definedName name="tipov" localSheetId="16">#REF!</definedName>
    <definedName name="tipov">#REF!</definedName>
    <definedName name="titi" localSheetId="3">IF('FM '!Loan_Amount*'FM '!Interest_Rate*Loan_Years*'FM '!Loan_Start&gt;0,1,0)</definedName>
    <definedName name="titi">#N/A</definedName>
    <definedName name="TITO">#N/A</definedName>
    <definedName name="TITOF">#N/A</definedName>
    <definedName name="TITULO" localSheetId="3">#REF!</definedName>
    <definedName name="TITULO">#REF!</definedName>
    <definedName name="titulos_a_imprimir">#REF!</definedName>
    <definedName name="_xlnm.Print_Titles" localSheetId="19">'INSUMOS '!#REF!</definedName>
    <definedName name="_xlnm.Print_Titles">#N/A</definedName>
    <definedName name="Títulos_a_imprimir_IM" localSheetId="3">#REF!</definedName>
    <definedName name="Títulos_a_imprimir_IM" localSheetId="19">#REF!</definedName>
    <definedName name="Títulos_a_imprimir_IM">#REF!</definedName>
    <definedName name="tj" localSheetId="3">#REF!</definedName>
    <definedName name="tj">#REF!</definedName>
    <definedName name="tl">#REF!</definedName>
    <definedName name="tn">#REF!</definedName>
    <definedName name="TNOV10" localSheetId="1">[7]BASE!$D$191</definedName>
    <definedName name="TNOV10" localSheetId="16">[7]BASE!$D$191</definedName>
    <definedName name="TNOV10">[7]BASE!$D$191</definedName>
    <definedName name="TNOV4" localSheetId="1">[7]BASE!$D$188</definedName>
    <definedName name="TNOV4" localSheetId="16">[7]BASE!$D$188</definedName>
    <definedName name="TNOV4">[7]BASE!$D$188</definedName>
    <definedName name="TNOV6" localSheetId="1">[7]BASE!$D$189</definedName>
    <definedName name="TNOV6" localSheetId="16">[7]BASE!$D$189</definedName>
    <definedName name="TNOV6">[7]BASE!$D$189</definedName>
    <definedName name="TNOV8" localSheetId="1">[7]BASE!$D$190</definedName>
    <definedName name="TNOV8" localSheetId="16">[7]BASE!$D$190</definedName>
    <definedName name="TNOV8">[7]BASE!$D$190</definedName>
    <definedName name="Tomacorriente_Doble" localSheetId="1">'[20]LISTADO DE MATERIALES Y EQUIPOS'!$B$114</definedName>
    <definedName name="Tomacorriente_Doble" localSheetId="16">'[20]LISTADO DE MATERIALES Y EQUIPOS'!$B$114</definedName>
    <definedName name="Tomacorriente_Doble">'[20]LISTADO DE MATERIALES Y EQUIPOS'!$B$114</definedName>
    <definedName name="TORNILLO_PARA_ESTRUCTURAS_7_X_7_16" localSheetId="1">'[20]LISTADO DE MATERIALES Y EQUIPOS'!$B$104</definedName>
    <definedName name="TORNILLO_PARA_ESTRUCTURAS_7_X_7_16" localSheetId="16">'[20]LISTADO DE MATERIALES Y EQUIPOS'!$B$104</definedName>
    <definedName name="TORNILLO_PARA_ESTRUCTURAS_7_X_7_16">'[20]LISTADO DE MATERIALES Y EQUIPOS'!$B$104</definedName>
    <definedName name="TORNILLO_PARA_LAMINAS_6_X_1" localSheetId="1">'[20]LISTADO DE MATERIALES Y EQUIPOS'!$B$103</definedName>
    <definedName name="TORNILLO_PARA_LAMINAS_6_X_1" localSheetId="16">'[20]LISTADO DE MATERIALES Y EQUIPOS'!$B$103</definedName>
    <definedName name="TORNILLO_PARA_LAMINAS_6_X_1">'[20]LISTADO DE MATERIALES Y EQUIPOS'!$B$103</definedName>
    <definedName name="tortas" localSheetId="1" hidden="1">{"TAB1",#N/A,TRUE,"GENERAL";"TAB2",#N/A,TRUE,"GENERAL";"TAB3",#N/A,TRUE,"GENERAL";"TAB4",#N/A,TRUE,"GENERAL";"TAB5",#N/A,TRUE,"GENERAL"}</definedName>
    <definedName name="tortas" localSheetId="9" hidden="1">{"TAB1",#N/A,TRUE,"GENERAL";"TAB2",#N/A,TRUE,"GENERAL";"TAB3",#N/A,TRUE,"GENERAL";"TAB4",#N/A,TRUE,"GENERAL";"TAB5",#N/A,TRUE,"GENERAL"}</definedName>
    <definedName name="tortas" localSheetId="16" hidden="1">{"TAB1",#N/A,TRUE,"GENERAL";"TAB2",#N/A,TRUE,"GENERAL";"TAB3",#N/A,TRUE,"GENERAL";"TAB4",#N/A,TRUE,"GENERAL";"TAB5",#N/A,TRUE,"GENERAL"}</definedName>
    <definedName name="tortas" localSheetId="19" hidden="1">{"TAB1",#N/A,TRUE,"GENERAL";"TAB2",#N/A,TRUE,"GENERAL";"TAB3",#N/A,TRUE,"GENERAL";"TAB4",#N/A,TRUE,"GENERAL";"TAB5",#N/A,TRUE,"GENERAL"}</definedName>
    <definedName name="tortas" hidden="1">{"TAB1",#N/A,TRUE,"GENERAL";"TAB2",#N/A,TRUE,"GENERAL";"TAB3",#N/A,TRUE,"GENERAL";"TAB4",#N/A,TRUE,"GENERAL";"TAB5",#N/A,TRUE,"GENERAL"}</definedName>
    <definedName name="tortas2" localSheetId="1" hidden="1">{"via1",#N/A,TRUE,"general";"via2",#N/A,TRUE,"general";"via3",#N/A,TRUE,"general"}</definedName>
    <definedName name="tortas2" localSheetId="9" hidden="1">{"via1",#N/A,TRUE,"general";"via2",#N/A,TRUE,"general";"via3",#N/A,TRUE,"general"}</definedName>
    <definedName name="tortas2" localSheetId="16" hidden="1">{"via1",#N/A,TRUE,"general";"via2",#N/A,TRUE,"general";"via3",#N/A,TRUE,"general"}</definedName>
    <definedName name="tortas2" localSheetId="19" hidden="1">{"via1",#N/A,TRUE,"general";"via2",#N/A,TRUE,"general";"via3",#N/A,TRUE,"general"}</definedName>
    <definedName name="tortas2" hidden="1">{"via1",#N/A,TRUE,"general";"via2",#N/A,TRUE,"general";"via3",#N/A,TRUE,"general"}</definedName>
    <definedName name="tot">#REF!</definedName>
    <definedName name="Tot_Act01">#REF!</definedName>
    <definedName name="Tot_Act02">#REF!</definedName>
    <definedName name="Tot_Act03">#REF!</definedName>
    <definedName name="TOTAL" localSheetId="3">IFERROR('[96]CO_Acero '!$I1*'[96]CO_Acero '!$D1,"")</definedName>
    <definedName name="TOTAL">#REF!</definedName>
    <definedName name="Total_Interest">#REF!</definedName>
    <definedName name="Total_Pay">#REF!</definedName>
    <definedName name="Total_Payment" localSheetId="1">Scheduled_Payment+Extra_Payment</definedName>
    <definedName name="Total_Payment" localSheetId="9">Scheduled_Payment+Extra_Payment</definedName>
    <definedName name="Total_Payment" localSheetId="16">Scheduled_Payment+Extra_Payment</definedName>
    <definedName name="Total_Payment" localSheetId="3">Scheduled_Payment+Extra_Payment</definedName>
    <definedName name="Total_Payment" localSheetId="19">Scheduled_Payment+Extra_Payment</definedName>
    <definedName name="Total_Payment">Scheduled_Payment+Extra_Payment</definedName>
    <definedName name="TOTALAFIR4006" localSheetId="1">#REF!</definedName>
    <definedName name="TOTALAFIR4006" localSheetId="9">#REF!</definedName>
    <definedName name="TOTALAFIR4006" localSheetId="16">#REF!</definedName>
    <definedName name="TOTALAFIR4006">#REF!</definedName>
    <definedName name="TOTALAFIR4006A" localSheetId="9">#REF!</definedName>
    <definedName name="TOTALAFIR4006A">#REF!</definedName>
    <definedName name="TOTALAFIR40CN01" localSheetId="9">#REF!</definedName>
    <definedName name="TOTALAFIR40CN01">#REF!</definedName>
    <definedName name="TOTALAFIR55CN01">#REF!</definedName>
    <definedName name="TOTALAFIR55CN03">#REF!</definedName>
    <definedName name="TOTALAFIR5607">#REF!</definedName>
    <definedName name="TotalOpti">#REF!</definedName>
    <definedName name="TOTALOPTIM" localSheetId="1">[118]Hoja2!$E$11:$E$704</definedName>
    <definedName name="TOTALOPTIM" localSheetId="16">[118]Hoja2!$E$11:$E$704</definedName>
    <definedName name="TOTALOPTIM">[118]Hoja2!$E$11:$E$704</definedName>
    <definedName name="TOTALOPTIMIZACION" localSheetId="1">[118]Hoja2!$E$11:$E$704</definedName>
    <definedName name="TOTALOPTIMIZACION" localSheetId="16">[118]Hoja2!$E$11:$E$704</definedName>
    <definedName name="TOTALOPTIMIZACION">[118]Hoja2!$E$11:$E$704</definedName>
    <definedName name="TOTALPAV4006" localSheetId="16">#REF!</definedName>
    <definedName name="TOTALPAV4006" localSheetId="3">#REF!</definedName>
    <definedName name="TOTALPAV4006">#REF!</definedName>
    <definedName name="TOTALPAV4006A" localSheetId="16">#REF!</definedName>
    <definedName name="TOTALPAV4006A">#REF!</definedName>
    <definedName name="TOTALPAV40CN01" localSheetId="16">#REF!</definedName>
    <definedName name="TOTALPAV40CN01">#REF!</definedName>
    <definedName name="TOTALPAV40CNA">#REF!</definedName>
    <definedName name="TOTALPAV40CNB">#REF!</definedName>
    <definedName name="TOTALPAV55CN01">#REF!</definedName>
    <definedName name="TOTALPAV55CN03">#REF!</definedName>
    <definedName name="TOTALPAV55CNO3">#REF!</definedName>
    <definedName name="TOTALPAV5607">#REF!</definedName>
    <definedName name="TOTALREPOS" localSheetId="1">[118]Hoja2!$E$11:$E$704</definedName>
    <definedName name="TOTALREPOS" localSheetId="16">[118]Hoja2!$E$11:$E$704</definedName>
    <definedName name="TOTALREPOS">[118]Hoja2!$E$11:$E$704</definedName>
    <definedName name="TOTALREPOSICION" localSheetId="1">[118]Hoja2!$E$11:$E$704</definedName>
    <definedName name="TOTALREPOSICION" localSheetId="16">[118]Hoja2!$E$11:$E$704</definedName>
    <definedName name="TOTALREPOSICION">[118]Hoja2!$E$11:$E$704</definedName>
    <definedName name="TPVCP1" localSheetId="1">[7]BASE!$D$72</definedName>
    <definedName name="TPVCP1" localSheetId="16">[7]BASE!$D$72</definedName>
    <definedName name="TPVCP1">[7]BASE!$D$72</definedName>
    <definedName name="TPVCS3" localSheetId="1">[7]BASE!#REF!</definedName>
    <definedName name="TPVCS3" localSheetId="16">[7]BASE!#REF!</definedName>
    <definedName name="TPVCS3">[7]BASE!#REF!</definedName>
    <definedName name="tr" localSheetId="1" hidden="1">{"TAB1",#N/A,TRUE,"GENERAL";"TAB2",#N/A,TRUE,"GENERAL";"TAB3",#N/A,TRUE,"GENERAL";"TAB4",#N/A,TRUE,"GENERAL";"TAB5",#N/A,TRUE,"GENERAL"}</definedName>
    <definedName name="tr" localSheetId="9" hidden="1">{"TAB1",#N/A,TRUE,"GENERAL";"TAB2",#N/A,TRUE,"GENERAL";"TAB3",#N/A,TRUE,"GENERAL";"TAB4",#N/A,TRUE,"GENERAL";"TAB5",#N/A,TRUE,"GENERAL"}</definedName>
    <definedName name="tr" localSheetId="16" hidden="1">{"TAB1",#N/A,TRUE,"GENERAL";"TAB2",#N/A,TRUE,"GENERAL";"TAB3",#N/A,TRUE,"GENERAL";"TAB4",#N/A,TRUE,"GENERAL";"TAB5",#N/A,TRUE,"GENERAL"}</definedName>
    <definedName name="tr" localSheetId="19" hidden="1">{"TAB1",#N/A,TRUE,"GENERAL";"TAB2",#N/A,TRUE,"GENERAL";"TAB3",#N/A,TRUE,"GENERAL";"TAB4",#N/A,TRUE,"GENERAL";"TAB5",#N/A,TRUE,"GENERAL"}</definedName>
    <definedName name="tr" hidden="1">{"TAB1",#N/A,TRUE,"GENERAL";"TAB2",#N/A,TRUE,"GENERAL";"TAB3",#N/A,TRUE,"GENERAL";"TAB4",#N/A,TRUE,"GENERAL";"TAB5",#N/A,TRUE,"GENERAL"}</definedName>
    <definedName name="TRAMO">#REF!</definedName>
    <definedName name="TRANA" localSheetId="1">[7]BASE!#REF!</definedName>
    <definedName name="TRANA" localSheetId="16">[7]BASE!#REF!</definedName>
    <definedName name="TRANA">[7]BASE!#REF!</definedName>
    <definedName name="TRANAG" localSheetId="1">[7]BASE!$D$453</definedName>
    <definedName name="TRANAG" localSheetId="16">[7]BASE!$D$453</definedName>
    <definedName name="TRANAG">[7]BASE!$D$453</definedName>
    <definedName name="TRANSPORTE_" localSheetId="16">#REF!</definedName>
    <definedName name="TRANSPORTE_">#REF!</definedName>
    <definedName name="TRANSPORTES" localSheetId="1">'[90]MATRIZ DE PRECIOS'!$G$545:$G$560</definedName>
    <definedName name="TRANSPORTES" localSheetId="16">'[90]MATRIZ DE PRECIOS'!$G$545:$G$560</definedName>
    <definedName name="TRANSPORTES">'[90]MATRIZ DE PRECIOS'!$G$545:$G$560</definedName>
    <definedName name="TRAT">[119]desmonte!$E$48</definedName>
    <definedName name="trest" localSheetId="1" hidden="1">{"TAB1",#N/A,TRUE,"GENERAL";"TAB2",#N/A,TRUE,"GENERAL";"TAB3",#N/A,TRUE,"GENERAL";"TAB4",#N/A,TRUE,"GENERAL";"TAB5",#N/A,TRUE,"GENERAL"}</definedName>
    <definedName name="trest" localSheetId="9" hidden="1">{"TAB1",#N/A,TRUE,"GENERAL";"TAB2",#N/A,TRUE,"GENERAL";"TAB3",#N/A,TRUE,"GENERAL";"TAB4",#N/A,TRUE,"GENERAL";"TAB5",#N/A,TRUE,"GENERAL"}</definedName>
    <definedName name="trest" localSheetId="16" hidden="1">{"TAB1",#N/A,TRUE,"GENERAL";"TAB2",#N/A,TRUE,"GENERAL";"TAB3",#N/A,TRUE,"GENERAL";"TAB4",#N/A,TRUE,"GENERAL";"TAB5",#N/A,TRUE,"GENERAL"}</definedName>
    <definedName name="trest" localSheetId="19" hidden="1">{"TAB1",#N/A,TRUE,"GENERAL";"TAB2",#N/A,TRUE,"GENERAL";"TAB3",#N/A,TRUE,"GENERAL";"TAB4",#N/A,TRUE,"GENERAL";"TAB5",#N/A,TRUE,"GENERAL"}</definedName>
    <definedName name="trest" hidden="1">{"TAB1",#N/A,TRUE,"GENERAL";"TAB2",#N/A,TRUE,"GENERAL";"TAB3",#N/A,TRUE,"GENERAL";"TAB4",#N/A,TRUE,"GENERAL";"TAB5",#N/A,TRUE,"GENERAL"}</definedName>
    <definedName name="tret" localSheetId="1" hidden="1">{"TAB1",#N/A,TRUE,"GENERAL";"TAB2",#N/A,TRUE,"GENERAL";"TAB3",#N/A,TRUE,"GENERAL";"TAB4",#N/A,TRUE,"GENERAL";"TAB5",#N/A,TRUE,"GENERAL"}</definedName>
    <definedName name="tret" localSheetId="9" hidden="1">{"TAB1",#N/A,TRUE,"GENERAL";"TAB2",#N/A,TRUE,"GENERAL";"TAB3",#N/A,TRUE,"GENERAL";"TAB4",#N/A,TRUE,"GENERAL";"TAB5",#N/A,TRUE,"GENERAL"}</definedName>
    <definedName name="tret" localSheetId="16" hidden="1">{"TAB1",#N/A,TRUE,"GENERAL";"TAB2",#N/A,TRUE,"GENERAL";"TAB3",#N/A,TRUE,"GENERAL";"TAB4",#N/A,TRUE,"GENERAL";"TAB5",#N/A,TRUE,"GENERAL"}</definedName>
    <definedName name="tret" localSheetId="19" hidden="1">{"TAB1",#N/A,TRUE,"GENERAL";"TAB2",#N/A,TRUE,"GENERAL";"TAB3",#N/A,TRUE,"GENERAL";"TAB4",#N/A,TRUE,"GENERAL";"TAB5",#N/A,TRUE,"GENERAL"}</definedName>
    <definedName name="tret" hidden="1">{"TAB1",#N/A,TRUE,"GENERAL";"TAB2",#N/A,TRUE,"GENERAL";"TAB3",#N/A,TRUE,"GENERAL";"TAB4",#N/A,TRUE,"GENERAL";"TAB5",#N/A,TRUE,"GENERAL"}</definedName>
    <definedName name="trh" localSheetId="1" hidden="1">{"via1",#N/A,TRUE,"general";"via2",#N/A,TRUE,"general";"via3",#N/A,TRUE,"general"}</definedName>
    <definedName name="trh" localSheetId="9" hidden="1">{"via1",#N/A,TRUE,"general";"via2",#N/A,TRUE,"general";"via3",#N/A,TRUE,"general"}</definedName>
    <definedName name="trh" localSheetId="16" hidden="1">{"via1",#N/A,TRUE,"general";"via2",#N/A,TRUE,"general";"via3",#N/A,TRUE,"general"}</definedName>
    <definedName name="trh" localSheetId="19" hidden="1">{"via1",#N/A,TRUE,"general";"via2",#N/A,TRUE,"general";"via3",#N/A,TRUE,"general"}</definedName>
    <definedName name="trh" hidden="1">{"via1",#N/A,TRUE,"general";"via2",#N/A,TRUE,"general";"via3",#N/A,TRUE,"general"}</definedName>
    <definedName name="trhfh" localSheetId="1" hidden="1">{"via1",#N/A,TRUE,"general";"via2",#N/A,TRUE,"general";"via3",#N/A,TRUE,"general"}</definedName>
    <definedName name="trhfh" localSheetId="9" hidden="1">{"via1",#N/A,TRUE,"general";"via2",#N/A,TRUE,"general";"via3",#N/A,TRUE,"general"}</definedName>
    <definedName name="trhfh" localSheetId="16" hidden="1">{"via1",#N/A,TRUE,"general";"via2",#N/A,TRUE,"general";"via3",#N/A,TRUE,"general"}</definedName>
    <definedName name="trhfh" localSheetId="19" hidden="1">{"via1",#N/A,TRUE,"general";"via2",#N/A,TRUE,"general";"via3",#N/A,TRUE,"general"}</definedName>
    <definedName name="trhfh" hidden="1">{"via1",#N/A,TRUE,"general";"via2",#N/A,TRUE,"general";"via3",#N/A,TRUE,"general"}</definedName>
    <definedName name="TRIANG">#REF!</definedName>
    <definedName name="trimestre1">'[36]ESTADO RED'!$E$8</definedName>
    <definedName name="TRITU" localSheetId="1">[7]BASE!$D$51</definedName>
    <definedName name="TRITU" localSheetId="16">[7]BASE!$D$51</definedName>
    <definedName name="TRITU">[7]BASE!$D$51</definedName>
    <definedName name="trjfgjh" localSheetId="1" hidden="1">{"via1",#N/A,TRUE,"general";"via2",#N/A,TRUE,"general";"via3",#N/A,TRUE,"general"}</definedName>
    <definedName name="trjfgjh" localSheetId="9" hidden="1">{"via1",#N/A,TRUE,"general";"via2",#N/A,TRUE,"general";"via3",#N/A,TRUE,"general"}</definedName>
    <definedName name="trjfgjh" localSheetId="16" hidden="1">{"via1",#N/A,TRUE,"general";"via2",#N/A,TRUE,"general";"via3",#N/A,TRUE,"general"}</definedName>
    <definedName name="trjfgjh" localSheetId="19" hidden="1">{"via1",#N/A,TRUE,"general";"via2",#N/A,TRUE,"general";"via3",#N/A,TRUE,"general"}</definedName>
    <definedName name="trjfgjh" hidden="1">{"via1",#N/A,TRUE,"general";"via2",#N/A,TRUE,"general";"via3",#N/A,TRUE,"general"}</definedName>
    <definedName name="tru" localSheetId="1" hidden="1">{"via1",#N/A,TRUE,"general";"via2",#N/A,TRUE,"general";"via3",#N/A,TRUE,"general"}</definedName>
    <definedName name="tru" localSheetId="9" hidden="1">{"via1",#N/A,TRUE,"general";"via2",#N/A,TRUE,"general";"via3",#N/A,TRUE,"general"}</definedName>
    <definedName name="tru" localSheetId="16" hidden="1">{"via1",#N/A,TRUE,"general";"via2",#N/A,TRUE,"general";"via3",#N/A,TRUE,"general"}</definedName>
    <definedName name="tru" localSheetId="19" hidden="1">{"via1",#N/A,TRUE,"general";"via2",#N/A,TRUE,"general";"via3",#N/A,TRUE,"general"}</definedName>
    <definedName name="tru" hidden="1">{"via1",#N/A,TRUE,"general";"via2",#N/A,TRUE,"general";"via3",#N/A,TRUE,"general"}</definedName>
    <definedName name="truds" localSheetId="1" hidden="1">{"via1",#N/A,TRUE,"general";"via2",#N/A,TRUE,"general";"via3",#N/A,TRUE,"general"}</definedName>
    <definedName name="truds" localSheetId="9" hidden="1">{"via1",#N/A,TRUE,"general";"via2",#N/A,TRUE,"general";"via3",#N/A,TRUE,"general"}</definedName>
    <definedName name="truds" localSheetId="16" hidden="1">{"via1",#N/A,TRUE,"general";"via2",#N/A,TRUE,"general";"via3",#N/A,TRUE,"general"}</definedName>
    <definedName name="truds" localSheetId="19" hidden="1">{"via1",#N/A,TRUE,"general";"via2",#N/A,TRUE,"general";"via3",#N/A,TRUE,"general"}</definedName>
    <definedName name="truds" hidden="1">{"via1",#N/A,TRUE,"general";"via2",#N/A,TRUE,"general";"via3",#N/A,TRUE,"general"}</definedName>
    <definedName name="trutu" localSheetId="1" hidden="1">{"via1",#N/A,TRUE,"general";"via2",#N/A,TRUE,"general";"via3",#N/A,TRUE,"general"}</definedName>
    <definedName name="trutu" localSheetId="9" hidden="1">{"via1",#N/A,TRUE,"general";"via2",#N/A,TRUE,"general";"via3",#N/A,TRUE,"general"}</definedName>
    <definedName name="trutu" localSheetId="16" hidden="1">{"via1",#N/A,TRUE,"general";"via2",#N/A,TRUE,"general";"via3",#N/A,TRUE,"general"}</definedName>
    <definedName name="trutu" localSheetId="19" hidden="1">{"via1",#N/A,TRUE,"general";"via2",#N/A,TRUE,"general";"via3",#N/A,TRUE,"general"}</definedName>
    <definedName name="trutu" hidden="1">{"via1",#N/A,TRUE,"general";"via2",#N/A,TRUE,"general";"via3",#N/A,TRUE,"general"}</definedName>
    <definedName name="trydfg" localSheetId="1" hidden="1">{"via1",#N/A,TRUE,"general";"via2",#N/A,TRUE,"general";"via3",#N/A,TRUE,"general"}</definedName>
    <definedName name="trydfg" localSheetId="9" hidden="1">{"via1",#N/A,TRUE,"general";"via2",#N/A,TRUE,"general";"via3",#N/A,TRUE,"general"}</definedName>
    <definedName name="trydfg" localSheetId="16" hidden="1">{"via1",#N/A,TRUE,"general";"via2",#N/A,TRUE,"general";"via3",#N/A,TRUE,"general"}</definedName>
    <definedName name="trydfg" localSheetId="19" hidden="1">{"via1",#N/A,TRUE,"general";"via2",#N/A,TRUE,"general";"via3",#N/A,TRUE,"general"}</definedName>
    <definedName name="trydfg" hidden="1">{"via1",#N/A,TRUE,"general";"via2",#N/A,TRUE,"general";"via3",#N/A,TRUE,"general"}</definedName>
    <definedName name="trydtrygf" localSheetId="1" hidden="1">{"via1",#N/A,TRUE,"general";"via2",#N/A,TRUE,"general";"via3",#N/A,TRUE,"general"}</definedName>
    <definedName name="trydtrygf" localSheetId="9" hidden="1">{"via1",#N/A,TRUE,"general";"via2",#N/A,TRUE,"general";"via3",#N/A,TRUE,"general"}</definedName>
    <definedName name="trydtrygf" localSheetId="16" hidden="1">{"via1",#N/A,TRUE,"general";"via2",#N/A,TRUE,"general";"via3",#N/A,TRUE,"general"}</definedName>
    <definedName name="trydtrygf" localSheetId="19" hidden="1">{"via1",#N/A,TRUE,"general";"via2",#N/A,TRUE,"general";"via3",#N/A,TRUE,"general"}</definedName>
    <definedName name="trydtrygf" hidden="1">{"via1",#N/A,TRUE,"general";"via2",#N/A,TRUE,"general";"via3",#N/A,TRUE,"general"}</definedName>
    <definedName name="tryery" localSheetId="1" hidden="1">{"TAB1",#N/A,TRUE,"GENERAL";"TAB2",#N/A,TRUE,"GENERAL";"TAB3",#N/A,TRUE,"GENERAL";"TAB4",#N/A,TRUE,"GENERAL";"TAB5",#N/A,TRUE,"GENERAL"}</definedName>
    <definedName name="tryery" localSheetId="9" hidden="1">{"TAB1",#N/A,TRUE,"GENERAL";"TAB2",#N/A,TRUE,"GENERAL";"TAB3",#N/A,TRUE,"GENERAL";"TAB4",#N/A,TRUE,"GENERAL";"TAB5",#N/A,TRUE,"GENERAL"}</definedName>
    <definedName name="tryery" localSheetId="16" hidden="1">{"TAB1",#N/A,TRUE,"GENERAL";"TAB2",#N/A,TRUE,"GENERAL";"TAB3",#N/A,TRUE,"GENERAL";"TAB4",#N/A,TRUE,"GENERAL";"TAB5",#N/A,TRUE,"GENERAL"}</definedName>
    <definedName name="tryery" localSheetId="19" hidden="1">{"TAB1",#N/A,TRUE,"GENERAL";"TAB2",#N/A,TRUE,"GENERAL";"TAB3",#N/A,TRUE,"GENERAL";"TAB4",#N/A,TRUE,"GENERAL";"TAB5",#N/A,TRUE,"GENERAL"}</definedName>
    <definedName name="tryery" hidden="1">{"TAB1",#N/A,TRUE,"GENERAL";"TAB2",#N/A,TRUE,"GENERAL";"TAB3",#N/A,TRUE,"GENERAL";"TAB4",#N/A,TRUE,"GENERAL";"TAB5",#N/A,TRUE,"GENERAL"}</definedName>
    <definedName name="tryi6" localSheetId="1" hidden="1">{"TAB1",#N/A,TRUE,"GENERAL";"TAB2",#N/A,TRUE,"GENERAL";"TAB3",#N/A,TRUE,"GENERAL";"TAB4",#N/A,TRUE,"GENERAL";"TAB5",#N/A,TRUE,"GENERAL"}</definedName>
    <definedName name="tryi6" localSheetId="9" hidden="1">{"TAB1",#N/A,TRUE,"GENERAL";"TAB2",#N/A,TRUE,"GENERAL";"TAB3",#N/A,TRUE,"GENERAL";"TAB4",#N/A,TRUE,"GENERAL";"TAB5",#N/A,TRUE,"GENERAL"}</definedName>
    <definedName name="tryi6" localSheetId="16" hidden="1">{"TAB1",#N/A,TRUE,"GENERAL";"TAB2",#N/A,TRUE,"GENERAL";"TAB3",#N/A,TRUE,"GENERAL";"TAB4",#N/A,TRUE,"GENERAL";"TAB5",#N/A,TRUE,"GENERAL"}</definedName>
    <definedName name="tryi6" localSheetId="19" hidden="1">{"TAB1",#N/A,TRUE,"GENERAL";"TAB2",#N/A,TRUE,"GENERAL";"TAB3",#N/A,TRUE,"GENERAL";"TAB4",#N/A,TRUE,"GENERAL";"TAB5",#N/A,TRUE,"GENERAL"}</definedName>
    <definedName name="tryi6" hidden="1">{"TAB1",#N/A,TRUE,"GENERAL";"TAB2",#N/A,TRUE,"GENERAL";"TAB3",#N/A,TRUE,"GENERAL";"TAB4",#N/A,TRUE,"GENERAL";"TAB5",#N/A,TRUE,"GENERAL"}</definedName>
    <definedName name="tryrth" localSheetId="1" hidden="1">{"via1",#N/A,TRUE,"general";"via2",#N/A,TRUE,"general";"via3",#N/A,TRUE,"general"}</definedName>
    <definedName name="tryrth" localSheetId="9" hidden="1">{"via1",#N/A,TRUE,"general";"via2",#N/A,TRUE,"general";"via3",#N/A,TRUE,"general"}</definedName>
    <definedName name="tryrth" localSheetId="16" hidden="1">{"via1",#N/A,TRUE,"general";"via2",#N/A,TRUE,"general";"via3",#N/A,TRUE,"general"}</definedName>
    <definedName name="tryrth" localSheetId="19" hidden="1">{"via1",#N/A,TRUE,"general";"via2",#N/A,TRUE,"general";"via3",#N/A,TRUE,"general"}</definedName>
    <definedName name="tryrth" hidden="1">{"via1",#N/A,TRUE,"general";"via2",#N/A,TRUE,"general";"via3",#N/A,TRUE,"general"}</definedName>
    <definedName name="tsert" localSheetId="1" hidden="1">{"TAB1",#N/A,TRUE,"GENERAL";"TAB2",#N/A,TRUE,"GENERAL";"TAB3",#N/A,TRUE,"GENERAL";"TAB4",#N/A,TRUE,"GENERAL";"TAB5",#N/A,TRUE,"GENERAL"}</definedName>
    <definedName name="tsert" localSheetId="9" hidden="1">{"TAB1",#N/A,TRUE,"GENERAL";"TAB2",#N/A,TRUE,"GENERAL";"TAB3",#N/A,TRUE,"GENERAL";"TAB4",#N/A,TRUE,"GENERAL";"TAB5",#N/A,TRUE,"GENERAL"}</definedName>
    <definedName name="tsert" localSheetId="16" hidden="1">{"TAB1",#N/A,TRUE,"GENERAL";"TAB2",#N/A,TRUE,"GENERAL";"TAB3",#N/A,TRUE,"GENERAL";"TAB4",#N/A,TRUE,"GENERAL";"TAB5",#N/A,TRUE,"GENERAL"}</definedName>
    <definedName name="tsert" localSheetId="19" hidden="1">{"TAB1",#N/A,TRUE,"GENERAL";"TAB2",#N/A,TRUE,"GENERAL";"TAB3",#N/A,TRUE,"GENERAL";"TAB4",#N/A,TRUE,"GENERAL";"TAB5",#N/A,TRUE,"GENERAL"}</definedName>
    <definedName name="tsert" hidden="1">{"TAB1",#N/A,TRUE,"GENERAL";"TAB2",#N/A,TRUE,"GENERAL";"TAB3",#N/A,TRUE,"GENERAL";"TAB4",#N/A,TRUE,"GENERAL";"TAB5",#N/A,TRUE,"GENERAL"}</definedName>
    <definedName name="tt" localSheetId="3">#REF!</definedName>
    <definedName name="tt">#REF!</definedName>
    <definedName name="TtCD">#REF!</definedName>
    <definedName name="TTR" localSheetId="1" hidden="1">{"via1",#N/A,TRUE,"general";"via2",#N/A,TRUE,"general";"via3",#N/A,TRUE,"general"}</definedName>
    <definedName name="TTR" localSheetId="9" hidden="1">{"via1",#N/A,TRUE,"general";"via2",#N/A,TRUE,"general";"via3",#N/A,TRUE,"general"}</definedName>
    <definedName name="TTR" localSheetId="16" hidden="1">{"via1",#N/A,TRUE,"general";"via2",#N/A,TRUE,"general";"via3",#N/A,TRUE,"general"}</definedName>
    <definedName name="TTR" localSheetId="19" hidden="1">{"via1",#N/A,TRUE,"general";"via2",#N/A,TRUE,"general";"via3",#N/A,TRUE,"general"}</definedName>
    <definedName name="TTR" hidden="1">{"via1",#N/A,TRUE,"general";"via2",#N/A,TRUE,"general";"via3",#N/A,TRUE,"general"}</definedName>
    <definedName name="ttrff" localSheetId="1" hidden="1">{"via1",#N/A,TRUE,"general";"via2",#N/A,TRUE,"general";"via3",#N/A,TRUE,"general"}</definedName>
    <definedName name="ttrff" localSheetId="9" hidden="1">{"via1",#N/A,TRUE,"general";"via2",#N/A,TRUE,"general";"via3",#N/A,TRUE,"general"}</definedName>
    <definedName name="ttrff" localSheetId="16" hidden="1">{"via1",#N/A,TRUE,"general";"via2",#N/A,TRUE,"general";"via3",#N/A,TRUE,"general"}</definedName>
    <definedName name="ttrff" localSheetId="19" hidden="1">{"via1",#N/A,TRUE,"general";"via2",#N/A,TRUE,"general";"via3",#N/A,TRUE,"general"}</definedName>
    <definedName name="ttrff" hidden="1">{"via1",#N/A,TRUE,"general";"via2",#N/A,TRUE,"general";"via3",#N/A,TRUE,"general"}</definedName>
    <definedName name="ttt" localSheetId="1" hidden="1">{"TAB1",#N/A,TRUE,"GENERAL";"TAB2",#N/A,TRUE,"GENERAL";"TAB3",#N/A,TRUE,"GENERAL";"TAB4",#N/A,TRUE,"GENERAL";"TAB5",#N/A,TRUE,"GENERAL"}</definedName>
    <definedName name="ttt" localSheetId="9" hidden="1">{"TAB1",#N/A,TRUE,"GENERAL";"TAB2",#N/A,TRUE,"GENERAL";"TAB3",#N/A,TRUE,"GENERAL";"TAB4",#N/A,TRUE,"GENERAL";"TAB5",#N/A,TRUE,"GENERAL"}</definedName>
    <definedName name="ttt" localSheetId="16" hidden="1">{"TAB1",#N/A,TRUE,"GENERAL";"TAB2",#N/A,TRUE,"GENERAL";"TAB3",#N/A,TRUE,"GENERAL";"TAB4",#N/A,TRUE,"GENERAL";"TAB5",#N/A,TRUE,"GENERAL"}</definedName>
    <definedName name="ttt" localSheetId="19" hidden="1">{"TAB1",#N/A,TRUE,"GENERAL";"TAB2",#N/A,TRUE,"GENERAL";"TAB3",#N/A,TRUE,"GENERAL";"TAB4",#N/A,TRUE,"GENERAL";"TAB5",#N/A,TRUE,"GENERAL"}</definedName>
    <definedName name="ttt" hidden="1">{"TAB1",#N/A,TRUE,"GENERAL";"TAB2",#N/A,TRUE,"GENERAL";"TAB3",#N/A,TRUE,"GENERAL";"TAB4",#N/A,TRUE,"GENERAL";"TAB5",#N/A,TRUE,"GENERAL"}</definedName>
    <definedName name="tttt7" localSheetId="1" hidden="1">{"via1",#N/A,TRUE,"general";"via2",#N/A,TRUE,"general";"via3",#N/A,TRUE,"general"}</definedName>
    <definedName name="tttt7" localSheetId="9" hidden="1">{"via1",#N/A,TRUE,"general";"via2",#N/A,TRUE,"general";"via3",#N/A,TRUE,"general"}</definedName>
    <definedName name="tttt7" localSheetId="16" hidden="1">{"via1",#N/A,TRUE,"general";"via2",#N/A,TRUE,"general";"via3",#N/A,TRUE,"general"}</definedName>
    <definedName name="tttt7" localSheetId="19" hidden="1">{"via1",#N/A,TRUE,"general";"via2",#N/A,TRUE,"general";"via3",#N/A,TRUE,"general"}</definedName>
    <definedName name="tttt7" hidden="1">{"via1",#N/A,TRUE,"general";"via2",#N/A,TRUE,"general";"via3",#N/A,TRUE,"general"}</definedName>
    <definedName name="tttthy" localSheetId="1" hidden="1">{"TAB1",#N/A,TRUE,"GENERAL";"TAB2",#N/A,TRUE,"GENERAL";"TAB3",#N/A,TRUE,"GENERAL";"TAB4",#N/A,TRUE,"GENERAL";"TAB5",#N/A,TRUE,"GENERAL"}</definedName>
    <definedName name="tttthy" localSheetId="9" hidden="1">{"TAB1",#N/A,TRUE,"GENERAL";"TAB2",#N/A,TRUE,"GENERAL";"TAB3",#N/A,TRUE,"GENERAL";"TAB4",#N/A,TRUE,"GENERAL";"TAB5",#N/A,TRUE,"GENERAL"}</definedName>
    <definedName name="tttthy" localSheetId="16" hidden="1">{"TAB1",#N/A,TRUE,"GENERAL";"TAB2",#N/A,TRUE,"GENERAL";"TAB3",#N/A,TRUE,"GENERAL";"TAB4",#N/A,TRUE,"GENERAL";"TAB5",#N/A,TRUE,"GENERAL"}</definedName>
    <definedName name="tttthy" localSheetId="19" hidden="1">{"TAB1",#N/A,TRUE,"GENERAL";"TAB2",#N/A,TRUE,"GENERAL";"TAB3",#N/A,TRUE,"GENERAL";"TAB4",#N/A,TRUE,"GENERAL";"TAB5",#N/A,TRUE,"GENERAL"}</definedName>
    <definedName name="tttthy" hidden="1">{"TAB1",#N/A,TRUE,"GENERAL";"TAB2",#N/A,TRUE,"GENERAL";"TAB3",#N/A,TRUE,"GENERAL";"TAB4",#N/A,TRUE,"GENERAL";"TAB5",#N/A,TRUE,"GENERAL"}</definedName>
    <definedName name="ttttr" localSheetId="1" hidden="1">{"via1",#N/A,TRUE,"general";"via2",#N/A,TRUE,"general";"via3",#N/A,TRUE,"general"}</definedName>
    <definedName name="ttttr" localSheetId="9" hidden="1">{"via1",#N/A,TRUE,"general";"via2",#N/A,TRUE,"general";"via3",#N/A,TRUE,"general"}</definedName>
    <definedName name="ttttr" localSheetId="16" hidden="1">{"via1",#N/A,TRUE,"general";"via2",#N/A,TRUE,"general";"via3",#N/A,TRUE,"general"}</definedName>
    <definedName name="ttttr" localSheetId="19" hidden="1">{"via1",#N/A,TRUE,"general";"via2",#N/A,TRUE,"general";"via3",#N/A,TRUE,"general"}</definedName>
    <definedName name="ttttr" hidden="1">{"via1",#N/A,TRUE,"general";"via2",#N/A,TRUE,"general";"via3",#N/A,TRUE,"general"}</definedName>
    <definedName name="ttttt" localSheetId="1" hidden="1">{"TAB1",#N/A,TRUE,"GENERAL";"TAB2",#N/A,TRUE,"GENERAL";"TAB3",#N/A,TRUE,"GENERAL";"TAB4",#N/A,TRUE,"GENERAL";"TAB5",#N/A,TRUE,"GENERAL"}</definedName>
    <definedName name="ttttt" localSheetId="9" hidden="1">{"TAB1",#N/A,TRUE,"GENERAL";"TAB2",#N/A,TRUE,"GENERAL";"TAB3",#N/A,TRUE,"GENERAL";"TAB4",#N/A,TRUE,"GENERAL";"TAB5",#N/A,TRUE,"GENERAL"}</definedName>
    <definedName name="ttttt" localSheetId="16" hidden="1">{"TAB1",#N/A,TRUE,"GENERAL";"TAB2",#N/A,TRUE,"GENERAL";"TAB3",#N/A,TRUE,"GENERAL";"TAB4",#N/A,TRUE,"GENERAL";"TAB5",#N/A,TRUE,"GENERAL"}</definedName>
    <definedName name="ttttt" localSheetId="19" hidden="1">{"TAB1",#N/A,TRUE,"GENERAL";"TAB2",#N/A,TRUE,"GENERAL";"TAB3",#N/A,TRUE,"GENERAL";"TAB4",#N/A,TRUE,"GENERAL";"TAB5",#N/A,TRUE,"GENERAL"}</definedName>
    <definedName name="ttttt" hidden="1">{"TAB1",#N/A,TRUE,"GENERAL";"TAB2",#N/A,TRUE,"GENERAL";"TAB3",#N/A,TRUE,"GENERAL";"TAB4",#N/A,TRUE,"GENERAL";"TAB5",#N/A,TRUE,"GENERAL"}</definedName>
    <definedName name="tu" localSheetId="1" hidden="1">{"via1",#N/A,TRUE,"general";"via2",#N/A,TRUE,"general";"via3",#N/A,TRUE,"general"}</definedName>
    <definedName name="tu" localSheetId="9" hidden="1">{"via1",#N/A,TRUE,"general";"via2",#N/A,TRUE,"general";"via3",#N/A,TRUE,"general"}</definedName>
    <definedName name="tu" localSheetId="16" hidden="1">{"via1",#N/A,TRUE,"general";"via2",#N/A,TRUE,"general";"via3",#N/A,TRUE,"general"}</definedName>
    <definedName name="tu" localSheetId="19" hidden="1">{"via1",#N/A,TRUE,"general";"via2",#N/A,TRUE,"general";"via3",#N/A,TRUE,"general"}</definedName>
    <definedName name="tu" hidden="1">{"via1",#N/A,TRUE,"general";"via2",#N/A,TRUE,"general";"via3",#N/A,TRUE,"general"}</definedName>
    <definedName name="TUB" localSheetId="1">'[120]SUB APU'!$A:$D</definedName>
    <definedName name="TUB" localSheetId="16">'[120]SUB APU'!$A:$D</definedName>
    <definedName name="TUB">'[120]SUB APU'!$A:$D</definedName>
    <definedName name="Tuberia_Conduit_1_2" localSheetId="1">'[20]LISTADO DE MATERIALES Y EQUIPOS'!$B$72</definedName>
    <definedName name="Tuberia_Conduit_1_2" localSheetId="16">'[20]LISTADO DE MATERIALES Y EQUIPOS'!$B$72</definedName>
    <definedName name="Tuberia_Conduit_1_2">'[20]LISTADO DE MATERIALES Y EQUIPOS'!$B$72</definedName>
    <definedName name="Tuberia_Conduit_1_EMT" localSheetId="1">'[20]LISTADO DE MATERIALES Y EQUIPOS'!$B$79</definedName>
    <definedName name="Tuberia_Conduit_1_EMT" localSheetId="16">'[20]LISTADO DE MATERIALES Y EQUIPOS'!$B$79</definedName>
    <definedName name="Tuberia_Conduit_1_EMT">'[20]LISTADO DE MATERIALES Y EQUIPOS'!$B$79</definedName>
    <definedName name="Tubo_conduit_pvc_1" localSheetId="1">'[20]LISTADO DE MATERIALES Y EQUIPOS'!$B$121</definedName>
    <definedName name="Tubo_conduit_pvc_1" localSheetId="16">'[20]LISTADO DE MATERIALES Y EQUIPOS'!$B$121</definedName>
    <definedName name="Tubo_conduit_pvc_1">'[20]LISTADO DE MATERIALES Y EQUIPOS'!$B$121</definedName>
    <definedName name="TUBS3" localSheetId="1">[7]BASE!$D$168</definedName>
    <definedName name="TUBS3" localSheetId="16">[7]BASE!$D$168</definedName>
    <definedName name="TUBS3">[7]BASE!$D$168</definedName>
    <definedName name="TUPI" localSheetId="3">MATCH(0.01,'FM '!End_Bal,-1)+1</definedName>
    <definedName name="TUPI">#N/A</definedName>
    <definedName name="tur" localSheetId="1" hidden="1">{"TAB1",#N/A,TRUE,"GENERAL";"TAB2",#N/A,TRUE,"GENERAL";"TAB3",#N/A,TRUE,"GENERAL";"TAB4",#N/A,TRUE,"GENERAL";"TAB5",#N/A,TRUE,"GENERAL"}</definedName>
    <definedName name="tur" localSheetId="9" hidden="1">{"TAB1",#N/A,TRUE,"GENERAL";"TAB2",#N/A,TRUE,"GENERAL";"TAB3",#N/A,TRUE,"GENERAL";"TAB4",#N/A,TRUE,"GENERAL";"TAB5",#N/A,TRUE,"GENERAL"}</definedName>
    <definedName name="tur" localSheetId="16" hidden="1">{"TAB1",#N/A,TRUE,"GENERAL";"TAB2",#N/A,TRUE,"GENERAL";"TAB3",#N/A,TRUE,"GENERAL";"TAB4",#N/A,TRUE,"GENERAL";"TAB5",#N/A,TRUE,"GENERAL"}</definedName>
    <definedName name="tur" localSheetId="19" hidden="1">{"TAB1",#N/A,TRUE,"GENERAL";"TAB2",#N/A,TRUE,"GENERAL";"TAB3",#N/A,TRUE,"GENERAL";"TAB4",#N/A,TRUE,"GENERAL";"TAB5",#N/A,TRUE,"GENERAL"}</definedName>
    <definedName name="tur" hidden="1">{"TAB1",#N/A,TRUE,"GENERAL";"TAB2",#N/A,TRUE,"GENERAL";"TAB3",#N/A,TRUE,"GENERAL";"TAB4",#N/A,TRUE,"GENERAL";"TAB5",#N/A,TRUE,"GENERAL"}</definedName>
    <definedName name="turu" localSheetId="1" hidden="1">{"TAB1",#N/A,TRUE,"GENERAL";"TAB2",#N/A,TRUE,"GENERAL";"TAB3",#N/A,TRUE,"GENERAL";"TAB4",#N/A,TRUE,"GENERAL";"TAB5",#N/A,TRUE,"GENERAL"}</definedName>
    <definedName name="turu" localSheetId="9" hidden="1">{"TAB1",#N/A,TRUE,"GENERAL";"TAB2",#N/A,TRUE,"GENERAL";"TAB3",#N/A,TRUE,"GENERAL";"TAB4",#N/A,TRUE,"GENERAL";"TAB5",#N/A,TRUE,"GENERAL"}</definedName>
    <definedName name="turu" localSheetId="16" hidden="1">{"TAB1",#N/A,TRUE,"GENERAL";"TAB2",#N/A,TRUE,"GENERAL";"TAB3",#N/A,TRUE,"GENERAL";"TAB4",#N/A,TRUE,"GENERAL";"TAB5",#N/A,TRUE,"GENERAL"}</definedName>
    <definedName name="turu" localSheetId="19" hidden="1">{"TAB1",#N/A,TRUE,"GENERAL";"TAB2",#N/A,TRUE,"GENERAL";"TAB3",#N/A,TRUE,"GENERAL";"TAB4",#N/A,TRUE,"GENERAL";"TAB5",#N/A,TRUE,"GENERAL"}</definedName>
    <definedName name="turu" hidden="1">{"TAB1",#N/A,TRUE,"GENERAL";"TAB2",#N/A,TRUE,"GENERAL";"TAB3",#N/A,TRUE,"GENERAL";"TAB4",#N/A,TRUE,"GENERAL";"TAB5",#N/A,TRUE,"GENERAL"}</definedName>
    <definedName name="twer" localSheetId="1" hidden="1">{"TAB1",#N/A,TRUE,"GENERAL";"TAB2",#N/A,TRUE,"GENERAL";"TAB3",#N/A,TRUE,"GENERAL";"TAB4",#N/A,TRUE,"GENERAL";"TAB5",#N/A,TRUE,"GENERAL"}</definedName>
    <definedName name="twer" localSheetId="9" hidden="1">{"TAB1",#N/A,TRUE,"GENERAL";"TAB2",#N/A,TRUE,"GENERAL";"TAB3",#N/A,TRUE,"GENERAL";"TAB4",#N/A,TRUE,"GENERAL";"TAB5",#N/A,TRUE,"GENERAL"}</definedName>
    <definedName name="twer" localSheetId="16" hidden="1">{"TAB1",#N/A,TRUE,"GENERAL";"TAB2",#N/A,TRUE,"GENERAL";"TAB3",#N/A,TRUE,"GENERAL";"TAB4",#N/A,TRUE,"GENERAL";"TAB5",#N/A,TRUE,"GENERAL"}</definedName>
    <definedName name="twer" localSheetId="19" hidden="1">{"TAB1",#N/A,TRUE,"GENERAL";"TAB2",#N/A,TRUE,"GENERAL";"TAB3",#N/A,TRUE,"GENERAL";"TAB4",#N/A,TRUE,"GENERAL";"TAB5",#N/A,TRUE,"GENERAL"}</definedName>
    <definedName name="twer" hidden="1">{"TAB1",#N/A,TRUE,"GENERAL";"TAB2",#N/A,TRUE,"GENERAL";"TAB3",#N/A,TRUE,"GENERAL";"TAB4",#N/A,TRUE,"GENERAL";"TAB5",#N/A,TRUE,"GENERAL"}</definedName>
    <definedName name="twet" localSheetId="1" hidden="1">{"TAB1",#N/A,TRUE,"GENERAL";"TAB2",#N/A,TRUE,"GENERAL";"TAB3",#N/A,TRUE,"GENERAL";"TAB4",#N/A,TRUE,"GENERAL";"TAB5",#N/A,TRUE,"GENERAL"}</definedName>
    <definedName name="twet" localSheetId="9" hidden="1">{"TAB1",#N/A,TRUE,"GENERAL";"TAB2",#N/A,TRUE,"GENERAL";"TAB3",#N/A,TRUE,"GENERAL";"TAB4",#N/A,TRUE,"GENERAL";"TAB5",#N/A,TRUE,"GENERAL"}</definedName>
    <definedName name="twet" localSheetId="16" hidden="1">{"TAB1",#N/A,TRUE,"GENERAL";"TAB2",#N/A,TRUE,"GENERAL";"TAB3",#N/A,TRUE,"GENERAL";"TAB4",#N/A,TRUE,"GENERAL";"TAB5",#N/A,TRUE,"GENERAL"}</definedName>
    <definedName name="twet" localSheetId="19" hidden="1">{"TAB1",#N/A,TRUE,"GENERAL";"TAB2",#N/A,TRUE,"GENERAL";"TAB3",#N/A,TRUE,"GENERAL";"TAB4",#N/A,TRUE,"GENERAL";"TAB5",#N/A,TRUE,"GENERAL"}</definedName>
    <definedName name="twet" hidden="1">{"TAB1",#N/A,TRUE,"GENERAL";"TAB2",#N/A,TRUE,"GENERAL";"TAB3",#N/A,TRUE,"GENERAL";"TAB4",#N/A,TRUE,"GENERAL";"TAB5",#N/A,TRUE,"GENERAL"}</definedName>
    <definedName name="ty" localSheetId="1" hidden="1">{"via1",#N/A,TRUE,"general";"via2",#N/A,TRUE,"general";"via3",#N/A,TRUE,"general"}</definedName>
    <definedName name="ty" localSheetId="9" hidden="1">{"via1",#N/A,TRUE,"general";"via2",#N/A,TRUE,"general";"via3",#N/A,TRUE,"general"}</definedName>
    <definedName name="ty" localSheetId="16" hidden="1">{"via1",#N/A,TRUE,"general";"via2",#N/A,TRUE,"general";"via3",#N/A,TRUE,"general"}</definedName>
    <definedName name="ty" localSheetId="3">#REF!</definedName>
    <definedName name="ty" localSheetId="19" hidden="1">{"via1",#N/A,TRUE,"general";"via2",#N/A,TRUE,"general";"via3",#N/A,TRUE,"general"}</definedName>
    <definedName name="ty" hidden="1">{"via1",#N/A,TRUE,"general";"via2",#N/A,TRUE,"general";"via3",#N/A,TRUE,"general"}</definedName>
    <definedName name="tyery" localSheetId="1" hidden="1">{"via1",#N/A,TRUE,"general";"via2",#N/A,TRUE,"general";"via3",#N/A,TRUE,"general"}</definedName>
    <definedName name="tyery" localSheetId="9" hidden="1">{"via1",#N/A,TRUE,"general";"via2",#N/A,TRUE,"general";"via3",#N/A,TRUE,"general"}</definedName>
    <definedName name="tyery" localSheetId="16" hidden="1">{"via1",#N/A,TRUE,"general";"via2",#N/A,TRUE,"general";"via3",#N/A,TRUE,"general"}</definedName>
    <definedName name="tyery" localSheetId="19" hidden="1">{"via1",#N/A,TRUE,"general";"via2",#N/A,TRUE,"general";"via3",#N/A,TRUE,"general"}</definedName>
    <definedName name="tyery" hidden="1">{"via1",#N/A,TRUE,"general";"via2",#N/A,TRUE,"general";"via3",#N/A,TRUE,"general"}</definedName>
    <definedName name="tyj" localSheetId="1" hidden="1">{"TAB1",#N/A,TRUE,"GENERAL";"TAB2",#N/A,TRUE,"GENERAL";"TAB3",#N/A,TRUE,"GENERAL";"TAB4",#N/A,TRUE,"GENERAL";"TAB5",#N/A,TRUE,"GENERAL"}</definedName>
    <definedName name="tyj" localSheetId="9" hidden="1">{"TAB1",#N/A,TRUE,"GENERAL";"TAB2",#N/A,TRUE,"GENERAL";"TAB3",#N/A,TRUE,"GENERAL";"TAB4",#N/A,TRUE,"GENERAL";"TAB5",#N/A,TRUE,"GENERAL"}</definedName>
    <definedName name="tyj" localSheetId="16" hidden="1">{"TAB1",#N/A,TRUE,"GENERAL";"TAB2",#N/A,TRUE,"GENERAL";"TAB3",#N/A,TRUE,"GENERAL";"TAB4",#N/A,TRUE,"GENERAL";"TAB5",#N/A,TRUE,"GENERAL"}</definedName>
    <definedName name="tyj" localSheetId="19" hidden="1">{"TAB1",#N/A,TRUE,"GENERAL";"TAB2",#N/A,TRUE,"GENERAL";"TAB3",#N/A,TRUE,"GENERAL";"TAB4",#N/A,TRUE,"GENERAL";"TAB5",#N/A,TRUE,"GENERAL"}</definedName>
    <definedName name="tyj" hidden="1">{"TAB1",#N/A,TRUE,"GENERAL";"TAB2",#N/A,TRUE,"GENERAL";"TAB3",#N/A,TRUE,"GENERAL";"TAB4",#N/A,TRUE,"GENERAL";"TAB5",#N/A,TRUE,"GENERAL"}</definedName>
    <definedName name="tyjtyj" localSheetId="1" hidden="1">{"TAB1",#N/A,TRUE,"GENERAL";"TAB2",#N/A,TRUE,"GENERAL";"TAB3",#N/A,TRUE,"GENERAL";"TAB4",#N/A,TRUE,"GENERAL";"TAB5",#N/A,TRUE,"GENERAL"}</definedName>
    <definedName name="tyjtyj" localSheetId="9" hidden="1">{"TAB1",#N/A,TRUE,"GENERAL";"TAB2",#N/A,TRUE,"GENERAL";"TAB3",#N/A,TRUE,"GENERAL";"TAB4",#N/A,TRUE,"GENERAL";"TAB5",#N/A,TRUE,"GENERAL"}</definedName>
    <definedName name="tyjtyj" localSheetId="16" hidden="1">{"TAB1",#N/A,TRUE,"GENERAL";"TAB2",#N/A,TRUE,"GENERAL";"TAB3",#N/A,TRUE,"GENERAL";"TAB4",#N/A,TRUE,"GENERAL";"TAB5",#N/A,TRUE,"GENERAL"}</definedName>
    <definedName name="tyjtyj" localSheetId="19" hidden="1">{"TAB1",#N/A,TRUE,"GENERAL";"TAB2",#N/A,TRUE,"GENERAL";"TAB3",#N/A,TRUE,"GENERAL";"TAB4",#N/A,TRUE,"GENERAL";"TAB5",#N/A,TRUE,"GENERAL"}</definedName>
    <definedName name="tyjtyj" hidden="1">{"TAB1",#N/A,TRUE,"GENERAL";"TAB2",#N/A,TRUE,"GENERAL";"TAB3",#N/A,TRUE,"GENERAL";"TAB4",#N/A,TRUE,"GENERAL";"TAB5",#N/A,TRUE,"GENERAL"}</definedName>
    <definedName name="tyjytjuyjuy" localSheetId="1" hidden="1">{"TAB1",#N/A,TRUE,"GENERAL";"TAB2",#N/A,TRUE,"GENERAL";"TAB3",#N/A,TRUE,"GENERAL";"TAB4",#N/A,TRUE,"GENERAL";"TAB5",#N/A,TRUE,"GENERAL"}</definedName>
    <definedName name="tyjytjuyjuy" localSheetId="9" hidden="1">{"TAB1",#N/A,TRUE,"GENERAL";"TAB2",#N/A,TRUE,"GENERAL";"TAB3",#N/A,TRUE,"GENERAL";"TAB4",#N/A,TRUE,"GENERAL";"TAB5",#N/A,TRUE,"GENERAL"}</definedName>
    <definedName name="tyjytjuyjuy" localSheetId="16" hidden="1">{"TAB1",#N/A,TRUE,"GENERAL";"TAB2",#N/A,TRUE,"GENERAL";"TAB3",#N/A,TRUE,"GENERAL";"TAB4",#N/A,TRUE,"GENERAL";"TAB5",#N/A,TRUE,"GENERAL"}</definedName>
    <definedName name="tyjytjuyjuy" localSheetId="19" hidden="1">{"TAB1",#N/A,TRUE,"GENERAL";"TAB2",#N/A,TRUE,"GENERAL";"TAB3",#N/A,TRUE,"GENERAL";"TAB4",#N/A,TRUE,"GENERAL";"TAB5",#N/A,TRUE,"GENERAL"}</definedName>
    <definedName name="tyjytjuyjuy" hidden="1">{"TAB1",#N/A,TRUE,"GENERAL";"TAB2",#N/A,TRUE,"GENERAL";"TAB3",#N/A,TRUE,"GENERAL";"TAB4",#N/A,TRUE,"GENERAL";"TAB5",#N/A,TRUE,"GENERAL"}</definedName>
    <definedName name="tyk" localSheetId="1" hidden="1">{"via1",#N/A,TRUE,"general";"via2",#N/A,TRUE,"general";"via3",#N/A,TRUE,"general"}</definedName>
    <definedName name="tyk" localSheetId="9" hidden="1">{"via1",#N/A,TRUE,"general";"via2",#N/A,TRUE,"general";"via3",#N/A,TRUE,"general"}</definedName>
    <definedName name="tyk" localSheetId="16" hidden="1">{"via1",#N/A,TRUE,"general";"via2",#N/A,TRUE,"general";"via3",#N/A,TRUE,"general"}</definedName>
    <definedName name="tyk" localSheetId="19" hidden="1">{"via1",#N/A,TRUE,"general";"via2",#N/A,TRUE,"general";"via3",#N/A,TRUE,"general"}</definedName>
    <definedName name="tyk" hidden="1">{"via1",#N/A,TRUE,"general";"via2",#N/A,TRUE,"general";"via3",#N/A,TRUE,"general"}</definedName>
    <definedName name="tym" localSheetId="1" hidden="1">{"via1",#N/A,TRUE,"general";"via2",#N/A,TRUE,"general";"via3",#N/A,TRUE,"general"}</definedName>
    <definedName name="tym" localSheetId="9" hidden="1">{"via1",#N/A,TRUE,"general";"via2",#N/A,TRUE,"general";"via3",#N/A,TRUE,"general"}</definedName>
    <definedName name="tym" localSheetId="16" hidden="1">{"via1",#N/A,TRUE,"general";"via2",#N/A,TRUE,"general";"via3",#N/A,TRUE,"general"}</definedName>
    <definedName name="tym" localSheetId="19" hidden="1">{"via1",#N/A,TRUE,"general";"via2",#N/A,TRUE,"general";"via3",#N/A,TRUE,"general"}</definedName>
    <definedName name="tym" hidden="1">{"via1",#N/A,TRUE,"general";"via2",#N/A,TRUE,"general";"via3",#N/A,TRUE,"general"}</definedName>
    <definedName name="tyr" localSheetId="1" hidden="1">{"via1",#N/A,TRUE,"general";"via2",#N/A,TRUE,"general";"via3",#N/A,TRUE,"general"}</definedName>
    <definedName name="tyr" localSheetId="9" hidden="1">{"via1",#N/A,TRUE,"general";"via2",#N/A,TRUE,"general";"via3",#N/A,TRUE,"general"}</definedName>
    <definedName name="tyr" localSheetId="16" hidden="1">{"via1",#N/A,TRUE,"general";"via2",#N/A,TRUE,"general";"via3",#N/A,TRUE,"general"}</definedName>
    <definedName name="tyr" localSheetId="19" hidden="1">{"via1",#N/A,TRUE,"general";"via2",#N/A,TRUE,"general";"via3",#N/A,TRUE,"general"}</definedName>
    <definedName name="tyr" hidden="1">{"via1",#N/A,TRUE,"general";"via2",#N/A,TRUE,"general";"via3",#N/A,TRUE,"general"}</definedName>
    <definedName name="tys">'[15]Gabinetes ctrol, prot. y med. '!#REF!</definedName>
    <definedName name="tytgfhgfh" localSheetId="1" hidden="1">{"TAB1",#N/A,TRUE,"GENERAL";"TAB2",#N/A,TRUE,"GENERAL";"TAB3",#N/A,TRUE,"GENERAL";"TAB4",#N/A,TRUE,"GENERAL";"TAB5",#N/A,TRUE,"GENERAL"}</definedName>
    <definedName name="tytgfhgfh" localSheetId="9" hidden="1">{"TAB1",#N/A,TRUE,"GENERAL";"TAB2",#N/A,TRUE,"GENERAL";"TAB3",#N/A,TRUE,"GENERAL";"TAB4",#N/A,TRUE,"GENERAL";"TAB5",#N/A,TRUE,"GENERAL"}</definedName>
    <definedName name="tytgfhgfh" localSheetId="16" hidden="1">{"TAB1",#N/A,TRUE,"GENERAL";"TAB2",#N/A,TRUE,"GENERAL";"TAB3",#N/A,TRUE,"GENERAL";"TAB4",#N/A,TRUE,"GENERAL";"TAB5",#N/A,TRUE,"GENERAL"}</definedName>
    <definedName name="tytgfhgfh" localSheetId="19" hidden="1">{"TAB1",#N/A,TRUE,"GENERAL";"TAB2",#N/A,TRUE,"GENERAL";"TAB3",#N/A,TRUE,"GENERAL";"TAB4",#N/A,TRUE,"GENERAL";"TAB5",#N/A,TRUE,"GENERAL"}</definedName>
    <definedName name="tytgfhgfh" hidden="1">{"TAB1",#N/A,TRUE,"GENERAL";"TAB2",#N/A,TRUE,"GENERAL";"TAB3",#N/A,TRUE,"GENERAL";"TAB4",#N/A,TRUE,"GENERAL";"TAB5",#N/A,TRUE,"GENERAL"}</definedName>
    <definedName name="tyty" localSheetId="1" hidden="1">{"TAB1",#N/A,TRUE,"GENERAL";"TAB2",#N/A,TRUE,"GENERAL";"TAB3",#N/A,TRUE,"GENERAL";"TAB4",#N/A,TRUE,"GENERAL";"TAB5",#N/A,TRUE,"GENERAL"}</definedName>
    <definedName name="tyty" localSheetId="9" hidden="1">{"TAB1",#N/A,TRUE,"GENERAL";"TAB2",#N/A,TRUE,"GENERAL";"TAB3",#N/A,TRUE,"GENERAL";"TAB4",#N/A,TRUE,"GENERAL";"TAB5",#N/A,TRUE,"GENERAL"}</definedName>
    <definedName name="tyty" localSheetId="16" hidden="1">{"TAB1",#N/A,TRUE,"GENERAL";"TAB2",#N/A,TRUE,"GENERAL";"TAB3",#N/A,TRUE,"GENERAL";"TAB4",#N/A,TRUE,"GENERAL";"TAB5",#N/A,TRUE,"GENERAL"}</definedName>
    <definedName name="tyty" localSheetId="19" hidden="1">{"TAB1",#N/A,TRUE,"GENERAL";"TAB2",#N/A,TRUE,"GENERAL";"TAB3",#N/A,TRUE,"GENERAL";"TAB4",#N/A,TRUE,"GENERAL";"TAB5",#N/A,TRUE,"GENERAL"}</definedName>
    <definedName name="tyty" hidden="1">{"TAB1",#N/A,TRUE,"GENERAL";"TAB2",#N/A,TRUE,"GENERAL";"TAB3",#N/A,TRUE,"GENERAL";"TAB4",#N/A,TRUE,"GENERAL";"TAB5",#N/A,TRUE,"GENERAL"}</definedName>
    <definedName name="tyu" localSheetId="3">#REF!</definedName>
    <definedName name="tyu">#REF!</definedName>
    <definedName name="TYUIYI" localSheetId="1" hidden="1">{"TAB1",#N/A,TRUE,"GENERAL";"TAB2",#N/A,TRUE,"GENERAL";"TAB3",#N/A,TRUE,"GENERAL";"TAB4",#N/A,TRUE,"GENERAL";"TAB5",#N/A,TRUE,"GENERAL"}</definedName>
    <definedName name="TYUIYI" localSheetId="9" hidden="1">{"TAB1",#N/A,TRUE,"GENERAL";"TAB2",#N/A,TRUE,"GENERAL";"TAB3",#N/A,TRUE,"GENERAL";"TAB4",#N/A,TRUE,"GENERAL";"TAB5",#N/A,TRUE,"GENERAL"}</definedName>
    <definedName name="TYUIYI" localSheetId="16" hidden="1">{"TAB1",#N/A,TRUE,"GENERAL";"TAB2",#N/A,TRUE,"GENERAL";"TAB3",#N/A,TRUE,"GENERAL";"TAB4",#N/A,TRUE,"GENERAL";"TAB5",#N/A,TRUE,"GENERAL"}</definedName>
    <definedName name="TYUIYI" localSheetId="19" hidden="1">{"TAB1",#N/A,TRUE,"GENERAL";"TAB2",#N/A,TRUE,"GENERAL";"TAB3",#N/A,TRUE,"GENERAL";"TAB4",#N/A,TRUE,"GENERAL";"TAB5",#N/A,TRUE,"GENERAL"}</definedName>
    <definedName name="TYUIYI" hidden="1">{"TAB1",#N/A,TRUE,"GENERAL";"TAB2",#N/A,TRUE,"GENERAL";"TAB3",#N/A,TRUE,"GENERAL";"TAB4",#N/A,TRUE,"GENERAL";"TAB5",#N/A,TRUE,"GENERAL"}</definedName>
    <definedName name="tyujh" localSheetId="1" hidden="1">{"TAB1",#N/A,TRUE,"GENERAL";"TAB2",#N/A,TRUE,"GENERAL";"TAB3",#N/A,TRUE,"GENERAL";"TAB4",#N/A,TRUE,"GENERAL";"TAB5",#N/A,TRUE,"GENERAL"}</definedName>
    <definedName name="tyujh" localSheetId="9" hidden="1">{"TAB1",#N/A,TRUE,"GENERAL";"TAB2",#N/A,TRUE,"GENERAL";"TAB3",#N/A,TRUE,"GENERAL";"TAB4",#N/A,TRUE,"GENERAL";"TAB5",#N/A,TRUE,"GENERAL"}</definedName>
    <definedName name="tyujh" localSheetId="16" hidden="1">{"TAB1",#N/A,TRUE,"GENERAL";"TAB2",#N/A,TRUE,"GENERAL";"TAB3",#N/A,TRUE,"GENERAL";"TAB4",#N/A,TRUE,"GENERAL";"TAB5",#N/A,TRUE,"GENERAL"}</definedName>
    <definedName name="tyujh" localSheetId="19" hidden="1">{"TAB1",#N/A,TRUE,"GENERAL";"TAB2",#N/A,TRUE,"GENERAL";"TAB3",#N/A,TRUE,"GENERAL";"TAB4",#N/A,TRUE,"GENERAL";"TAB5",#N/A,TRUE,"GENERAL"}</definedName>
    <definedName name="tyujh" hidden="1">{"TAB1",#N/A,TRUE,"GENERAL";"TAB2",#N/A,TRUE,"GENERAL";"TAB3",#N/A,TRUE,"GENERAL";"TAB4",#N/A,TRUE,"GENERAL";"TAB5",#N/A,TRUE,"GENERAL"}</definedName>
    <definedName name="tyuty" localSheetId="1" hidden="1">{"TAB1",#N/A,TRUE,"GENERAL";"TAB2",#N/A,TRUE,"GENERAL";"TAB3",#N/A,TRUE,"GENERAL";"TAB4",#N/A,TRUE,"GENERAL";"TAB5",#N/A,TRUE,"GENERAL"}</definedName>
    <definedName name="tyuty" localSheetId="9" hidden="1">{"TAB1",#N/A,TRUE,"GENERAL";"TAB2",#N/A,TRUE,"GENERAL";"TAB3",#N/A,TRUE,"GENERAL";"TAB4",#N/A,TRUE,"GENERAL";"TAB5",#N/A,TRUE,"GENERAL"}</definedName>
    <definedName name="tyuty" localSheetId="16" hidden="1">{"TAB1",#N/A,TRUE,"GENERAL";"TAB2",#N/A,TRUE,"GENERAL";"TAB3",#N/A,TRUE,"GENERAL";"TAB4",#N/A,TRUE,"GENERAL";"TAB5",#N/A,TRUE,"GENERAL"}</definedName>
    <definedName name="tyuty" localSheetId="19" hidden="1">{"TAB1",#N/A,TRUE,"GENERAL";"TAB2",#N/A,TRUE,"GENERAL";"TAB3",#N/A,TRUE,"GENERAL";"TAB4",#N/A,TRUE,"GENERAL";"TAB5",#N/A,TRUE,"GENERAL"}</definedName>
    <definedName name="tyuty" hidden="1">{"TAB1",#N/A,TRUE,"GENERAL";"TAB2",#N/A,TRUE,"GENERAL";"TAB3",#N/A,TRUE,"GENERAL";"TAB4",#N/A,TRUE,"GENERAL";"TAB5",#N/A,TRUE,"GENERAL"}</definedName>
    <definedName name="tyutyu" localSheetId="1" hidden="1">{"via1",#N/A,TRUE,"general";"via2",#N/A,TRUE,"general";"via3",#N/A,TRUE,"general"}</definedName>
    <definedName name="tyutyu" localSheetId="9" hidden="1">{"via1",#N/A,TRUE,"general";"via2",#N/A,TRUE,"general";"via3",#N/A,TRUE,"general"}</definedName>
    <definedName name="tyutyu" localSheetId="16" hidden="1">{"via1",#N/A,TRUE,"general";"via2",#N/A,TRUE,"general";"via3",#N/A,TRUE,"general"}</definedName>
    <definedName name="tyutyu" localSheetId="19" hidden="1">{"via1",#N/A,TRUE,"general";"via2",#N/A,TRUE,"general";"via3",#N/A,TRUE,"general"}</definedName>
    <definedName name="tyutyu" hidden="1">{"via1",#N/A,TRUE,"general";"via2",#N/A,TRUE,"general";"via3",#N/A,TRUE,"general"}</definedName>
    <definedName name="tyxg" localSheetId="1" hidden="1">{"via1",#N/A,TRUE,"general";"via2",#N/A,TRUE,"general";"via3",#N/A,TRUE,"general"}</definedName>
    <definedName name="tyxg" localSheetId="9" hidden="1">{"via1",#N/A,TRUE,"general";"via2",#N/A,TRUE,"general";"via3",#N/A,TRUE,"general"}</definedName>
    <definedName name="tyxg" localSheetId="16" hidden="1">{"via1",#N/A,TRUE,"general";"via2",#N/A,TRUE,"general";"via3",#N/A,TRUE,"general"}</definedName>
    <definedName name="tyxg" localSheetId="19" hidden="1">{"via1",#N/A,TRUE,"general";"via2",#N/A,TRUE,"general";"via3",#N/A,TRUE,"general"}</definedName>
    <definedName name="tyxg" hidden="1">{"via1",#N/A,TRUE,"general";"via2",#N/A,TRUE,"general";"via3",#N/A,TRUE,"general"}</definedName>
    <definedName name="U">#REF!</definedName>
    <definedName name="u3u" localSheetId="1" hidden="1">{"TAB1",#N/A,TRUE,"GENERAL";"TAB2",#N/A,TRUE,"GENERAL";"TAB3",#N/A,TRUE,"GENERAL";"TAB4",#N/A,TRUE,"GENERAL";"TAB5",#N/A,TRUE,"GENERAL"}</definedName>
    <definedName name="u3u" localSheetId="9" hidden="1">{"TAB1",#N/A,TRUE,"GENERAL";"TAB2",#N/A,TRUE,"GENERAL";"TAB3",#N/A,TRUE,"GENERAL";"TAB4",#N/A,TRUE,"GENERAL";"TAB5",#N/A,TRUE,"GENERAL"}</definedName>
    <definedName name="u3u" localSheetId="16" hidden="1">{"TAB1",#N/A,TRUE,"GENERAL";"TAB2",#N/A,TRUE,"GENERAL";"TAB3",#N/A,TRUE,"GENERAL";"TAB4",#N/A,TRUE,"GENERAL";"TAB5",#N/A,TRUE,"GENERAL"}</definedName>
    <definedName name="u3u" localSheetId="19" hidden="1">{"TAB1",#N/A,TRUE,"GENERAL";"TAB2",#N/A,TRUE,"GENERAL";"TAB3",#N/A,TRUE,"GENERAL";"TAB4",#N/A,TRUE,"GENERAL";"TAB5",#N/A,TRUE,"GENERAL"}</definedName>
    <definedName name="u3u" hidden="1">{"TAB1",#N/A,TRUE,"GENERAL";"TAB2",#N/A,TRUE,"GENERAL";"TAB3",#N/A,TRUE,"GENERAL";"TAB4",#N/A,TRUE,"GENERAL";"TAB5",#N/A,TRUE,"GENERAL"}</definedName>
    <definedName name="u7u7" localSheetId="1" hidden="1">{"TAB1",#N/A,TRUE,"GENERAL";"TAB2",#N/A,TRUE,"GENERAL";"TAB3",#N/A,TRUE,"GENERAL";"TAB4",#N/A,TRUE,"GENERAL";"TAB5",#N/A,TRUE,"GENERAL"}</definedName>
    <definedName name="u7u7" localSheetId="9" hidden="1">{"TAB1",#N/A,TRUE,"GENERAL";"TAB2",#N/A,TRUE,"GENERAL";"TAB3",#N/A,TRUE,"GENERAL";"TAB4",#N/A,TRUE,"GENERAL";"TAB5",#N/A,TRUE,"GENERAL"}</definedName>
    <definedName name="u7u7" localSheetId="16" hidden="1">{"TAB1",#N/A,TRUE,"GENERAL";"TAB2",#N/A,TRUE,"GENERAL";"TAB3",#N/A,TRUE,"GENERAL";"TAB4",#N/A,TRUE,"GENERAL";"TAB5",#N/A,TRUE,"GENERAL"}</definedName>
    <definedName name="u7u7" localSheetId="19" hidden="1">{"TAB1",#N/A,TRUE,"GENERAL";"TAB2",#N/A,TRUE,"GENERAL";"TAB3",#N/A,TRUE,"GENERAL";"TAB4",#N/A,TRUE,"GENERAL";"TAB5",#N/A,TRUE,"GENERAL"}</definedName>
    <definedName name="u7u7" hidden="1">{"TAB1",#N/A,TRUE,"GENERAL";"TAB2",#N/A,TRUE,"GENERAL";"TAB3",#N/A,TRUE,"GENERAL";"TAB4",#N/A,TRUE,"GENERAL";"TAB5",#N/A,TRUE,"GENERAL"}</definedName>
    <definedName name="uat">'[15]Gabinetes ctrol, prot. y med. '!#REF!</definedName>
    <definedName name="UI" localSheetId="1" hidden="1">{"via1",#N/A,TRUE,"general";"via2",#N/A,TRUE,"general";"via3",#N/A,TRUE,"general"}</definedName>
    <definedName name="UI" localSheetId="9" hidden="1">{"via1",#N/A,TRUE,"general";"via2",#N/A,TRUE,"general";"via3",#N/A,TRUE,"general"}</definedName>
    <definedName name="UI" localSheetId="16" hidden="1">{"via1",#N/A,TRUE,"general";"via2",#N/A,TRUE,"general";"via3",#N/A,TRUE,"general"}</definedName>
    <definedName name="ui" localSheetId="3">#REF!</definedName>
    <definedName name="UI" localSheetId="19" hidden="1">{"via1",#N/A,TRUE,"general";"via2",#N/A,TRUE,"general";"via3",#N/A,TRUE,"general"}</definedName>
    <definedName name="UI" hidden="1">{"via1",#N/A,TRUE,"general";"via2",#N/A,TRUE,"general";"via3",#N/A,TRUE,"general"}</definedName>
    <definedName name="uijhj" localSheetId="1" hidden="1">{"via1",#N/A,TRUE,"general";"via2",#N/A,TRUE,"general";"via3",#N/A,TRUE,"general"}</definedName>
    <definedName name="uijhj" localSheetId="9" hidden="1">{"via1",#N/A,TRUE,"general";"via2",#N/A,TRUE,"general";"via3",#N/A,TRUE,"general"}</definedName>
    <definedName name="uijhj" localSheetId="16" hidden="1">{"via1",#N/A,TRUE,"general";"via2",#N/A,TRUE,"general";"via3",#N/A,TRUE,"general"}</definedName>
    <definedName name="uijhj" localSheetId="19" hidden="1">{"via1",#N/A,TRUE,"general";"via2",#N/A,TRUE,"general";"via3",#N/A,TRUE,"general"}</definedName>
    <definedName name="uijhj" hidden="1">{"via1",#N/A,TRUE,"general";"via2",#N/A,TRUE,"general";"via3",#N/A,TRUE,"general"}</definedName>
    <definedName name="uio" localSheetId="1" hidden="1">{"TAB1",#N/A,TRUE,"GENERAL";"TAB2",#N/A,TRUE,"GENERAL";"TAB3",#N/A,TRUE,"GENERAL";"TAB4",#N/A,TRUE,"GENERAL";"TAB5",#N/A,TRUE,"GENERAL"}</definedName>
    <definedName name="uio" localSheetId="9" hidden="1">{"TAB1",#N/A,TRUE,"GENERAL";"TAB2",#N/A,TRUE,"GENERAL";"TAB3",#N/A,TRUE,"GENERAL";"TAB4",#N/A,TRUE,"GENERAL";"TAB5",#N/A,TRUE,"GENERAL"}</definedName>
    <definedName name="uio" localSheetId="16" hidden="1">{"TAB1",#N/A,TRUE,"GENERAL";"TAB2",#N/A,TRUE,"GENERAL";"TAB3",#N/A,TRUE,"GENERAL";"TAB4",#N/A,TRUE,"GENERAL";"TAB5",#N/A,TRUE,"GENERAL"}</definedName>
    <definedName name="uio" localSheetId="19" hidden="1">{"TAB1",#N/A,TRUE,"GENERAL";"TAB2",#N/A,TRUE,"GENERAL";"TAB3",#N/A,TRUE,"GENERAL";"TAB4",#N/A,TRUE,"GENERAL";"TAB5",#N/A,TRUE,"GENERAL"}</definedName>
    <definedName name="uio" hidden="1">{"TAB1",#N/A,TRUE,"GENERAL";"TAB2",#N/A,TRUE,"GENERAL";"TAB3",#N/A,TRUE,"GENERAL";"TAB4",#N/A,TRUE,"GENERAL";"TAB5",#N/A,TRUE,"GENERAL"}</definedName>
    <definedName name="uiou" localSheetId="1" hidden="1">{"TAB1",#N/A,TRUE,"GENERAL";"TAB2",#N/A,TRUE,"GENERAL";"TAB3",#N/A,TRUE,"GENERAL";"TAB4",#N/A,TRUE,"GENERAL";"TAB5",#N/A,TRUE,"GENERAL"}</definedName>
    <definedName name="uiou" localSheetId="9" hidden="1">{"TAB1",#N/A,TRUE,"GENERAL";"TAB2",#N/A,TRUE,"GENERAL";"TAB3",#N/A,TRUE,"GENERAL";"TAB4",#N/A,TRUE,"GENERAL";"TAB5",#N/A,TRUE,"GENERAL"}</definedName>
    <definedName name="uiou" localSheetId="16" hidden="1">{"TAB1",#N/A,TRUE,"GENERAL";"TAB2",#N/A,TRUE,"GENERAL";"TAB3",#N/A,TRUE,"GENERAL";"TAB4",#N/A,TRUE,"GENERAL";"TAB5",#N/A,TRUE,"GENERAL"}</definedName>
    <definedName name="uiou" localSheetId="19" hidden="1">{"TAB1",#N/A,TRUE,"GENERAL";"TAB2",#N/A,TRUE,"GENERAL";"TAB3",#N/A,TRUE,"GENERAL";"TAB4",#N/A,TRUE,"GENERAL";"TAB5",#N/A,TRUE,"GENERAL"}</definedName>
    <definedName name="uiou" hidden="1">{"TAB1",#N/A,TRUE,"GENERAL";"TAB2",#N/A,TRUE,"GENERAL";"TAB3",#N/A,TRUE,"GENERAL";"TAB4",#N/A,TRUE,"GENERAL";"TAB5",#N/A,TRUE,"GENERAL"}</definedName>
    <definedName name="uir" localSheetId="1" hidden="1">{"via1",#N/A,TRUE,"general";"via2",#N/A,TRUE,"general";"via3",#N/A,TRUE,"general"}</definedName>
    <definedName name="uir" localSheetId="9" hidden="1">{"via1",#N/A,TRUE,"general";"via2",#N/A,TRUE,"general";"via3",#N/A,TRUE,"general"}</definedName>
    <definedName name="uir" localSheetId="16" hidden="1">{"via1",#N/A,TRUE,"general";"via2",#N/A,TRUE,"general";"via3",#N/A,TRUE,"general"}</definedName>
    <definedName name="uir" localSheetId="19" hidden="1">{"via1",#N/A,TRUE,"general";"via2",#N/A,TRUE,"general";"via3",#N/A,TRUE,"general"}</definedName>
    <definedName name="uir" hidden="1">{"via1",#N/A,TRUE,"general";"via2",#N/A,TRUE,"general";"via3",#N/A,TRUE,"general"}</definedName>
    <definedName name="uituii" localSheetId="1" hidden="1">{"TAB1",#N/A,TRUE,"GENERAL";"TAB2",#N/A,TRUE,"GENERAL";"TAB3",#N/A,TRUE,"GENERAL";"TAB4",#N/A,TRUE,"GENERAL";"TAB5",#N/A,TRUE,"GENERAL"}</definedName>
    <definedName name="uituii" localSheetId="9" hidden="1">{"TAB1",#N/A,TRUE,"GENERAL";"TAB2",#N/A,TRUE,"GENERAL";"TAB3",#N/A,TRUE,"GENERAL";"TAB4",#N/A,TRUE,"GENERAL";"TAB5",#N/A,TRUE,"GENERAL"}</definedName>
    <definedName name="uituii" localSheetId="16" hidden="1">{"TAB1",#N/A,TRUE,"GENERAL";"TAB2",#N/A,TRUE,"GENERAL";"TAB3",#N/A,TRUE,"GENERAL";"TAB4",#N/A,TRUE,"GENERAL";"TAB5",#N/A,TRUE,"GENERAL"}</definedName>
    <definedName name="uituii" localSheetId="19" hidden="1">{"TAB1",#N/A,TRUE,"GENERAL";"TAB2",#N/A,TRUE,"GENERAL";"TAB3",#N/A,TRUE,"GENERAL";"TAB4",#N/A,TRUE,"GENERAL";"TAB5",#N/A,TRUE,"GENERAL"}</definedName>
    <definedName name="uituii" hidden="1">{"TAB1",#N/A,TRUE,"GENERAL";"TAB2",#N/A,TRUE,"GENERAL";"TAB3",#N/A,TRUE,"GENERAL";"TAB4",#N/A,TRUE,"GENERAL";"TAB5",#N/A,TRUE,"GENERAL"}</definedName>
    <definedName name="uityjj" localSheetId="1" hidden="1">{"via1",#N/A,TRUE,"general";"via2",#N/A,TRUE,"general";"via3",#N/A,TRUE,"general"}</definedName>
    <definedName name="uityjj" localSheetId="9" hidden="1">{"via1",#N/A,TRUE,"general";"via2",#N/A,TRUE,"general";"via3",#N/A,TRUE,"general"}</definedName>
    <definedName name="uityjj" localSheetId="16" hidden="1">{"via1",#N/A,TRUE,"general";"via2",#N/A,TRUE,"general";"via3",#N/A,TRUE,"general"}</definedName>
    <definedName name="uityjj" localSheetId="19" hidden="1">{"via1",#N/A,TRUE,"general";"via2",#N/A,TRUE,"general";"via3",#N/A,TRUE,"general"}</definedName>
    <definedName name="uityjj" hidden="1">{"via1",#N/A,TRUE,"general";"via2",#N/A,TRUE,"general";"via3",#N/A,TRUE,"general"}</definedName>
    <definedName name="uiufgj" localSheetId="1" hidden="1">{"TAB1",#N/A,TRUE,"GENERAL";"TAB2",#N/A,TRUE,"GENERAL";"TAB3",#N/A,TRUE,"GENERAL";"TAB4",#N/A,TRUE,"GENERAL";"TAB5",#N/A,TRUE,"GENERAL"}</definedName>
    <definedName name="uiufgj" localSheetId="9" hidden="1">{"TAB1",#N/A,TRUE,"GENERAL";"TAB2",#N/A,TRUE,"GENERAL";"TAB3",#N/A,TRUE,"GENERAL";"TAB4",#N/A,TRUE,"GENERAL";"TAB5",#N/A,TRUE,"GENERAL"}</definedName>
    <definedName name="uiufgj" localSheetId="16" hidden="1">{"TAB1",#N/A,TRUE,"GENERAL";"TAB2",#N/A,TRUE,"GENERAL";"TAB3",#N/A,TRUE,"GENERAL";"TAB4",#N/A,TRUE,"GENERAL";"TAB5",#N/A,TRUE,"GENERAL"}</definedName>
    <definedName name="uiufgj" localSheetId="19" hidden="1">{"TAB1",#N/A,TRUE,"GENERAL";"TAB2",#N/A,TRUE,"GENERAL";"TAB3",#N/A,TRUE,"GENERAL";"TAB4",#N/A,TRUE,"GENERAL";"TAB5",#N/A,TRUE,"GENERAL"}</definedName>
    <definedName name="uiufgj" hidden="1">{"TAB1",#N/A,TRUE,"GENERAL";"TAB2",#N/A,TRUE,"GENERAL";"TAB3",#N/A,TRUE,"GENERAL";"TAB4",#N/A,TRUE,"GENERAL";"TAB5",#N/A,TRUE,"GENERAL"}</definedName>
    <definedName name="UIUYI" localSheetId="1" hidden="1">{"TAB1",#N/A,TRUE,"GENERAL";"TAB2",#N/A,TRUE,"GENERAL";"TAB3",#N/A,TRUE,"GENERAL";"TAB4",#N/A,TRUE,"GENERAL";"TAB5",#N/A,TRUE,"GENERAL"}</definedName>
    <definedName name="UIUYI" localSheetId="9" hidden="1">{"TAB1",#N/A,TRUE,"GENERAL";"TAB2",#N/A,TRUE,"GENERAL";"TAB3",#N/A,TRUE,"GENERAL";"TAB4",#N/A,TRUE,"GENERAL";"TAB5",#N/A,TRUE,"GENERAL"}</definedName>
    <definedName name="UIUYI" localSheetId="16" hidden="1">{"TAB1",#N/A,TRUE,"GENERAL";"TAB2",#N/A,TRUE,"GENERAL";"TAB3",#N/A,TRUE,"GENERAL";"TAB4",#N/A,TRUE,"GENERAL";"TAB5",#N/A,TRUE,"GENERAL"}</definedName>
    <definedName name="UIUYI" localSheetId="19" hidden="1">{"TAB1",#N/A,TRUE,"GENERAL";"TAB2",#N/A,TRUE,"GENERAL";"TAB3",#N/A,TRUE,"GENERAL";"TAB4",#N/A,TRUE,"GENERAL";"TAB5",#N/A,TRUE,"GENERAL"}</definedName>
    <definedName name="UIUYI" hidden="1">{"TAB1",#N/A,TRUE,"GENERAL";"TAB2",#N/A,TRUE,"GENERAL";"TAB3",#N/A,TRUE,"GENERAL";"TAB4",#N/A,TRUE,"GENERAL";"TAB5",#N/A,TRUE,"GENERAL"}</definedName>
    <definedName name="UNIDAD_TRANSPORTE">#REF!</definedName>
    <definedName name="Unidades">[121]Presup_Cancha!$J$14:$J$18</definedName>
    <definedName name="UNIFICADO" localSheetId="16">#REF!</definedName>
    <definedName name="UNIFICADO" localSheetId="3">#REF!</definedName>
    <definedName name="UNIFICADO">#REF!</definedName>
    <definedName name="UO" localSheetId="1">[1]!ERR</definedName>
    <definedName name="UO" localSheetId="16">[1]!ERR</definedName>
    <definedName name="UO" localSheetId="19">[1]!ERR</definedName>
    <definedName name="UO">[1]!ERR</definedName>
    <definedName name="UOUIV" localSheetId="1" hidden="1">{"TAB1",#N/A,TRUE,"GENERAL";"TAB2",#N/A,TRUE,"GENERAL";"TAB3",#N/A,TRUE,"GENERAL";"TAB4",#N/A,TRUE,"GENERAL";"TAB5",#N/A,TRUE,"GENERAL"}</definedName>
    <definedName name="UOUIV" localSheetId="9" hidden="1">{"TAB1",#N/A,TRUE,"GENERAL";"TAB2",#N/A,TRUE,"GENERAL";"TAB3",#N/A,TRUE,"GENERAL";"TAB4",#N/A,TRUE,"GENERAL";"TAB5",#N/A,TRUE,"GENERAL"}</definedName>
    <definedName name="UOUIV" localSheetId="16" hidden="1">{"TAB1",#N/A,TRUE,"GENERAL";"TAB2",#N/A,TRUE,"GENERAL";"TAB3",#N/A,TRUE,"GENERAL";"TAB4",#N/A,TRUE,"GENERAL";"TAB5",#N/A,TRUE,"GENERAL"}</definedName>
    <definedName name="UOUIV" localSheetId="19" hidden="1">{"TAB1",#N/A,TRUE,"GENERAL";"TAB2",#N/A,TRUE,"GENERAL";"TAB3",#N/A,TRUE,"GENERAL";"TAB4",#N/A,TRUE,"GENERAL";"TAB5",#N/A,TRUE,"GENERAL"}</definedName>
    <definedName name="UOUIV" hidden="1">{"TAB1",#N/A,TRUE,"GENERAL";"TAB2",#N/A,TRUE,"GENERAL";"TAB3",#N/A,TRUE,"GENERAL";"TAB4",#N/A,TRUE,"GENERAL";"TAB5",#N/A,TRUE,"GENERAL"}</definedName>
    <definedName name="uryur" localSheetId="1" hidden="1">{"TAB1",#N/A,TRUE,"GENERAL";"TAB2",#N/A,TRUE,"GENERAL";"TAB3",#N/A,TRUE,"GENERAL";"TAB4",#N/A,TRUE,"GENERAL";"TAB5",#N/A,TRUE,"GENERAL"}</definedName>
    <definedName name="uryur" localSheetId="9" hidden="1">{"TAB1",#N/A,TRUE,"GENERAL";"TAB2",#N/A,TRUE,"GENERAL";"TAB3",#N/A,TRUE,"GENERAL";"TAB4",#N/A,TRUE,"GENERAL";"TAB5",#N/A,TRUE,"GENERAL"}</definedName>
    <definedName name="uryur" localSheetId="16" hidden="1">{"TAB1",#N/A,TRUE,"GENERAL";"TAB2",#N/A,TRUE,"GENERAL";"TAB3",#N/A,TRUE,"GENERAL";"TAB4",#N/A,TRUE,"GENERAL";"TAB5",#N/A,TRUE,"GENERAL"}</definedName>
    <definedName name="uryur" localSheetId="19" hidden="1">{"TAB1",#N/A,TRUE,"GENERAL";"TAB2",#N/A,TRUE,"GENERAL";"TAB3",#N/A,TRUE,"GENERAL";"TAB4",#N/A,TRUE,"GENERAL";"TAB5",#N/A,TRUE,"GENERAL"}</definedName>
    <definedName name="uryur" hidden="1">{"TAB1",#N/A,TRUE,"GENERAL";"TAB2",#N/A,TRUE,"GENERAL";"TAB3",#N/A,TRUE,"GENERAL";"TAB4",#N/A,TRUE,"GENERAL";"TAB5",#N/A,TRUE,"GENERAL"}</definedName>
    <definedName name="ut" localSheetId="3">#REF!</definedName>
    <definedName name="ut">#REF!</definedName>
    <definedName name="UTILIDAD" localSheetId="16">'[26]Formulario N° 4'!$F$131</definedName>
    <definedName name="utilidad" localSheetId="3">[27]DATOS!$B$18</definedName>
    <definedName name="UTILIDAD">'[26]Formulario N° 4'!$F$131</definedName>
    <definedName name="uu" localSheetId="1" hidden="1">{"TAB1",#N/A,TRUE,"GENERAL";"TAB2",#N/A,TRUE,"GENERAL";"TAB3",#N/A,TRUE,"GENERAL";"TAB4",#N/A,TRUE,"GENERAL";"TAB5",#N/A,TRUE,"GENERAL"}</definedName>
    <definedName name="uu" localSheetId="9" hidden="1">{"TAB1",#N/A,TRUE,"GENERAL";"TAB2",#N/A,TRUE,"GENERAL";"TAB3",#N/A,TRUE,"GENERAL";"TAB4",#N/A,TRUE,"GENERAL";"TAB5",#N/A,TRUE,"GENERAL"}</definedName>
    <definedName name="uu" localSheetId="16" hidden="1">{"TAB1",#N/A,TRUE,"GENERAL";"TAB2",#N/A,TRUE,"GENERAL";"TAB3",#N/A,TRUE,"GENERAL";"TAB4",#N/A,TRUE,"GENERAL";"TAB5",#N/A,TRUE,"GENERAL"}</definedName>
    <definedName name="uu" localSheetId="3">#REF!</definedName>
    <definedName name="uu" localSheetId="19" hidden="1">{"TAB1",#N/A,TRUE,"GENERAL";"TAB2",#N/A,TRUE,"GENERAL";"TAB3",#N/A,TRUE,"GENERAL";"TAB4",#N/A,TRUE,"GENERAL";"TAB5",#N/A,TRUE,"GENERAL"}</definedName>
    <definedName name="uu" hidden="1">{"TAB1",#N/A,TRUE,"GENERAL";"TAB2",#N/A,TRUE,"GENERAL";"TAB3",#N/A,TRUE,"GENERAL";"TAB4",#N/A,TRUE,"GENERAL";"TAB5",#N/A,TRUE,"GENERAL"}</definedName>
    <definedName name="uuu" localSheetId="1" hidden="1">{"TAB1",#N/A,TRUE,"GENERAL";"TAB2",#N/A,TRUE,"GENERAL";"TAB3",#N/A,TRUE,"GENERAL";"TAB4",#N/A,TRUE,"GENERAL";"TAB5",#N/A,TRUE,"GENERAL"}</definedName>
    <definedName name="uuu" localSheetId="9" hidden="1">{"TAB1",#N/A,TRUE,"GENERAL";"TAB2",#N/A,TRUE,"GENERAL";"TAB3",#N/A,TRUE,"GENERAL";"TAB4",#N/A,TRUE,"GENERAL";"TAB5",#N/A,TRUE,"GENERAL"}</definedName>
    <definedName name="uuu" localSheetId="16" hidden="1">{"TAB1",#N/A,TRUE,"GENERAL";"TAB2",#N/A,TRUE,"GENERAL";"TAB3",#N/A,TRUE,"GENERAL";"TAB4",#N/A,TRUE,"GENERAL";"TAB5",#N/A,TRUE,"GENERAL"}</definedName>
    <definedName name="uuu" localSheetId="19" hidden="1">{"TAB1",#N/A,TRUE,"GENERAL";"TAB2",#N/A,TRUE,"GENERAL";"TAB3",#N/A,TRUE,"GENERAL";"TAB4",#N/A,TRUE,"GENERAL";"TAB5",#N/A,TRUE,"GENERAL"}</definedName>
    <definedName name="uuu" hidden="1">{"TAB1",#N/A,TRUE,"GENERAL";"TAB2",#N/A,TRUE,"GENERAL";"TAB3",#N/A,TRUE,"GENERAL";"TAB4",#N/A,TRUE,"GENERAL";"TAB5",#N/A,TRUE,"GENERAL"}</definedName>
    <definedName name="uuuuo" localSheetId="1" hidden="1">{"TAB1",#N/A,TRUE,"GENERAL";"TAB2",#N/A,TRUE,"GENERAL";"TAB3",#N/A,TRUE,"GENERAL";"TAB4",#N/A,TRUE,"GENERAL";"TAB5",#N/A,TRUE,"GENERAL"}</definedName>
    <definedName name="uuuuo" localSheetId="9" hidden="1">{"TAB1",#N/A,TRUE,"GENERAL";"TAB2",#N/A,TRUE,"GENERAL";"TAB3",#N/A,TRUE,"GENERAL";"TAB4",#N/A,TRUE,"GENERAL";"TAB5",#N/A,TRUE,"GENERAL"}</definedName>
    <definedName name="uuuuo" localSheetId="16" hidden="1">{"TAB1",#N/A,TRUE,"GENERAL";"TAB2",#N/A,TRUE,"GENERAL";"TAB3",#N/A,TRUE,"GENERAL";"TAB4",#N/A,TRUE,"GENERAL";"TAB5",#N/A,TRUE,"GENERAL"}</definedName>
    <definedName name="uuuuo" localSheetId="19" hidden="1">{"TAB1",#N/A,TRUE,"GENERAL";"TAB2",#N/A,TRUE,"GENERAL";"TAB3",#N/A,TRUE,"GENERAL";"TAB4",#N/A,TRUE,"GENERAL";"TAB5",#N/A,TRUE,"GENERAL"}</definedName>
    <definedName name="uuuuo" hidden="1">{"TAB1",#N/A,TRUE,"GENERAL";"TAB2",#N/A,TRUE,"GENERAL";"TAB3",#N/A,TRUE,"GENERAL";"TAB4",#N/A,TRUE,"GENERAL";"TAB5",#N/A,TRUE,"GENERAL"}</definedName>
    <definedName name="uuuuuj" localSheetId="1" hidden="1">{"via1",#N/A,TRUE,"general";"via2",#N/A,TRUE,"general";"via3",#N/A,TRUE,"general"}</definedName>
    <definedName name="uuuuuj" localSheetId="9" hidden="1">{"via1",#N/A,TRUE,"general";"via2",#N/A,TRUE,"general";"via3",#N/A,TRUE,"general"}</definedName>
    <definedName name="uuuuuj" localSheetId="16" hidden="1">{"via1",#N/A,TRUE,"general";"via2",#N/A,TRUE,"general";"via3",#N/A,TRUE,"general"}</definedName>
    <definedName name="uuuuuj" localSheetId="19" hidden="1">{"via1",#N/A,TRUE,"general";"via2",#N/A,TRUE,"general";"via3",#N/A,TRUE,"general"}</definedName>
    <definedName name="uuuuuj" hidden="1">{"via1",#N/A,TRUE,"general";"via2",#N/A,TRUE,"general";"via3",#N/A,TRUE,"general"}</definedName>
    <definedName name="uwkap" localSheetId="1" hidden="1">{"TAB1",#N/A,TRUE,"GENERAL";"TAB2",#N/A,TRUE,"GENERAL";"TAB3",#N/A,TRUE,"GENERAL";"TAB4",#N/A,TRUE,"GENERAL";"TAB5",#N/A,TRUE,"GENERAL"}</definedName>
    <definedName name="uwkap" localSheetId="9" hidden="1">{"TAB1",#N/A,TRUE,"GENERAL";"TAB2",#N/A,TRUE,"GENERAL";"TAB3",#N/A,TRUE,"GENERAL";"TAB4",#N/A,TRUE,"GENERAL";"TAB5",#N/A,TRUE,"GENERAL"}</definedName>
    <definedName name="uwkap" localSheetId="16" hidden="1">{"TAB1",#N/A,TRUE,"GENERAL";"TAB2",#N/A,TRUE,"GENERAL";"TAB3",#N/A,TRUE,"GENERAL";"TAB4",#N/A,TRUE,"GENERAL";"TAB5",#N/A,TRUE,"GENERAL"}</definedName>
    <definedName name="uwkap" localSheetId="19" hidden="1">{"TAB1",#N/A,TRUE,"GENERAL";"TAB2",#N/A,TRUE,"GENERAL";"TAB3",#N/A,TRUE,"GENERAL";"TAB4",#N/A,TRUE,"GENERAL";"TAB5",#N/A,TRUE,"GENERAL"}</definedName>
    <definedName name="uwkap" hidden="1">{"TAB1",#N/A,TRUE,"GENERAL";"TAB2",#N/A,TRUE,"GENERAL";"TAB3",#N/A,TRUE,"GENERAL";"TAB4",#N/A,TRUE,"GENERAL";"TAB5",#N/A,TRUE,"GENERAL"}</definedName>
    <definedName name="uxd" localSheetId="3">#REF!</definedName>
    <definedName name="uxd">#REF!</definedName>
    <definedName name="uy" localSheetId="3">#REF!</definedName>
    <definedName name="uy">#REF!</definedName>
    <definedName name="uyiyiy" localSheetId="1" hidden="1">{"TAB1",#N/A,TRUE,"GENERAL";"TAB2",#N/A,TRUE,"GENERAL";"TAB3",#N/A,TRUE,"GENERAL";"TAB4",#N/A,TRUE,"GENERAL";"TAB5",#N/A,TRUE,"GENERAL"}</definedName>
    <definedName name="uyiyiy" localSheetId="9" hidden="1">{"TAB1",#N/A,TRUE,"GENERAL";"TAB2",#N/A,TRUE,"GENERAL";"TAB3",#N/A,TRUE,"GENERAL";"TAB4",#N/A,TRUE,"GENERAL";"TAB5",#N/A,TRUE,"GENERAL"}</definedName>
    <definedName name="uyiyiy" localSheetId="16" hidden="1">{"TAB1",#N/A,TRUE,"GENERAL";"TAB2",#N/A,TRUE,"GENERAL";"TAB3",#N/A,TRUE,"GENERAL";"TAB4",#N/A,TRUE,"GENERAL";"TAB5",#N/A,TRUE,"GENERAL"}</definedName>
    <definedName name="uyiyiy" localSheetId="19" hidden="1">{"TAB1",#N/A,TRUE,"GENERAL";"TAB2",#N/A,TRUE,"GENERAL";"TAB3",#N/A,TRUE,"GENERAL";"TAB4",#N/A,TRUE,"GENERAL";"TAB5",#N/A,TRUE,"GENERAL"}</definedName>
    <definedName name="uyiyiy" hidden="1">{"TAB1",#N/A,TRUE,"GENERAL";"TAB2",#N/A,TRUE,"GENERAL";"TAB3",#N/A,TRUE,"GENERAL";"TAB4",#N/A,TRUE,"GENERAL";"TAB5",#N/A,TRUE,"GENERAL"}</definedName>
    <definedName name="uytu" localSheetId="1" hidden="1">{"TAB1",#N/A,TRUE,"GENERAL";"TAB2",#N/A,TRUE,"GENERAL";"TAB3",#N/A,TRUE,"GENERAL";"TAB4",#N/A,TRUE,"GENERAL";"TAB5",#N/A,TRUE,"GENERAL"}</definedName>
    <definedName name="uytu" localSheetId="9" hidden="1">{"TAB1",#N/A,TRUE,"GENERAL";"TAB2",#N/A,TRUE,"GENERAL";"TAB3",#N/A,TRUE,"GENERAL";"TAB4",#N/A,TRUE,"GENERAL";"TAB5",#N/A,TRUE,"GENERAL"}</definedName>
    <definedName name="uytu" localSheetId="16" hidden="1">{"TAB1",#N/A,TRUE,"GENERAL";"TAB2",#N/A,TRUE,"GENERAL";"TAB3",#N/A,TRUE,"GENERAL";"TAB4",#N/A,TRUE,"GENERAL";"TAB5",#N/A,TRUE,"GENERAL"}</definedName>
    <definedName name="uytu" localSheetId="19" hidden="1">{"TAB1",#N/A,TRUE,"GENERAL";"TAB2",#N/A,TRUE,"GENERAL";"TAB3",#N/A,TRUE,"GENERAL";"TAB4",#N/A,TRUE,"GENERAL";"TAB5",#N/A,TRUE,"GENERAL"}</definedName>
    <definedName name="uytu" hidden="1">{"TAB1",#N/A,TRUE,"GENERAL";"TAB2",#N/A,TRUE,"GENERAL";"TAB3",#N/A,TRUE,"GENERAL";"TAB4",#N/A,TRUE,"GENERAL";"TAB5",#N/A,TRUE,"GENERAL"}</definedName>
    <definedName name="uyur" localSheetId="1" hidden="1">{"via1",#N/A,TRUE,"general";"via2",#N/A,TRUE,"general";"via3",#N/A,TRUE,"general"}</definedName>
    <definedName name="uyur" localSheetId="9" hidden="1">{"via1",#N/A,TRUE,"general";"via2",#N/A,TRUE,"general";"via3",#N/A,TRUE,"general"}</definedName>
    <definedName name="uyur" localSheetId="16" hidden="1">{"via1",#N/A,TRUE,"general";"via2",#N/A,TRUE,"general";"via3",#N/A,TRUE,"general"}</definedName>
    <definedName name="uyur" localSheetId="19" hidden="1">{"via1",#N/A,TRUE,"general";"via2",#N/A,TRUE,"general";"via3",#N/A,TRUE,"general"}</definedName>
    <definedName name="uyur" hidden="1">{"via1",#N/A,TRUE,"general";"via2",#N/A,TRUE,"general";"via3",#N/A,TRUE,"general"}</definedName>
    <definedName name="v" localSheetId="16">#REF!</definedName>
    <definedName name="v" localSheetId="19">'INSUMOS '!#REF!</definedName>
    <definedName name="v">#REF!</definedName>
    <definedName name="VA" localSheetId="1">'[122]VIGAS AEREAS'!$B$27:$G$33</definedName>
    <definedName name="VA" localSheetId="16">'[122]VIGAS AEREAS'!$B$27:$G$33</definedName>
    <definedName name="VA">'[122]VIGAS AEREAS'!$B$27:$G$33</definedName>
    <definedName name="VACON" localSheetId="1">'[122]VIGAS AEREAS'!$H$37:$H$60</definedName>
    <definedName name="VACON" localSheetId="16">'[122]VIGAS AEREAS'!$H$37:$H$60</definedName>
    <definedName name="VACON">'[122]VIGAS AEREAS'!$H$37:$H$60</definedName>
    <definedName name="VALNG" localSheetId="1">'[122]VIGAS AEREAS'!$K$37:$K$60</definedName>
    <definedName name="VALNG" localSheetId="16">'[122]VIGAS AEREAS'!$K$37:$K$60</definedName>
    <definedName name="VALNG">'[122]VIGAS AEREAS'!$K$37:$K$60</definedName>
    <definedName name="valor1" localSheetId="16">#REF!</definedName>
    <definedName name="valor1" localSheetId="3">#REF!</definedName>
    <definedName name="valor1">#REF!</definedName>
    <definedName name="valor2" localSheetId="16">#REF!</definedName>
    <definedName name="valor2">#REF!</definedName>
    <definedName name="VALOR3" localSheetId="16">#REF!</definedName>
    <definedName name="VALOR3">#REF!</definedName>
    <definedName name="Values_Entered" localSheetId="1">IF(Loan_Amount*Interest_Rate*Loan_Years*Loan_Start&gt;0,1,0)</definedName>
    <definedName name="Values_Entered" localSheetId="9">IF(Loan_Amount*Interest_Rate*Loan_Years*Loan_Start&gt;0,1,0)</definedName>
    <definedName name="Values_Entered" localSheetId="16">IF(Loan_Amount*'Cap17 '!Interest_Rate*Loan_Years*Loan_Start&gt;0,1,0)</definedName>
    <definedName name="Values_Entered" localSheetId="3">IF('FM '!Loan_Amount*'FM '!Interest_Rate*Loan_Years*'FM '!Loan_Start&gt;0,1,0)</definedName>
    <definedName name="Values_Entered" localSheetId="19">IF(Loan_Amount*Interest_Rate*Loan_Years*Loan_Start&gt;0,1,0)</definedName>
    <definedName name="Values_Entered">IF(Loan_Amount*Interest_Rate*Loan_Years*Loan_Start&gt;0,1,0)</definedName>
    <definedName name="VALVULA" localSheetId="16">'[103]RECT-1,05 x 0,75'!$A$3</definedName>
    <definedName name="VALVULA">'[103]RECT-1,05 x 0,75'!$A$3</definedName>
    <definedName name="VAML" localSheetId="1">'[122]VIGAS AEREAS'!$L$37:$L$60</definedName>
    <definedName name="VAML" localSheetId="16">'[122]VIGAS AEREAS'!$L$37:$L$60</definedName>
    <definedName name="VAML">'[122]VIGAS AEREAS'!$L$37:$L$60</definedName>
    <definedName name="Var">[5]Varios.!$E$1:$E$65536</definedName>
    <definedName name="Var_Inflación" localSheetId="16">'[123]Simulación Inf.'!$A$3</definedName>
    <definedName name="Var_Inflación">'[123]Simulación Inf.'!$A$3</definedName>
    <definedName name="vas" localSheetId="16">#REF!</definedName>
    <definedName name="vas" localSheetId="3">#REF!</definedName>
    <definedName name="vas">#REF!</definedName>
    <definedName name="vb" localSheetId="16">#REF!</definedName>
    <definedName name="vb">#REF!</definedName>
    <definedName name="vbvbvbvb" localSheetId="1" hidden="1">{"TAB1",#N/A,TRUE,"GENERAL";"TAB2",#N/A,TRUE,"GENERAL";"TAB3",#N/A,TRUE,"GENERAL";"TAB4",#N/A,TRUE,"GENERAL";"TAB5",#N/A,TRUE,"GENERAL"}</definedName>
    <definedName name="vbvbvbvb" localSheetId="9" hidden="1">{"TAB1",#N/A,TRUE,"GENERAL";"TAB2",#N/A,TRUE,"GENERAL";"TAB3",#N/A,TRUE,"GENERAL";"TAB4",#N/A,TRUE,"GENERAL";"TAB5",#N/A,TRUE,"GENERAL"}</definedName>
    <definedName name="vbvbvbvb" localSheetId="16" hidden="1">{"TAB1",#N/A,TRUE,"GENERAL";"TAB2",#N/A,TRUE,"GENERAL";"TAB3",#N/A,TRUE,"GENERAL";"TAB4",#N/A,TRUE,"GENERAL";"TAB5",#N/A,TRUE,"GENERAL"}</definedName>
    <definedName name="vbvbvbvb" localSheetId="19" hidden="1">{"TAB1",#N/A,TRUE,"GENERAL";"TAB2",#N/A,TRUE,"GENERAL";"TAB3",#N/A,TRUE,"GENERAL";"TAB4",#N/A,TRUE,"GENERAL";"TAB5",#N/A,TRUE,"GENERAL"}</definedName>
    <definedName name="vbvbvbvb" hidden="1">{"TAB1",#N/A,TRUE,"GENERAL";"TAB2",#N/A,TRUE,"GENERAL";"TAB3",#N/A,TRUE,"GENERAL";"TAB4",#N/A,TRUE,"GENERAL";"TAB5",#N/A,TRUE,"GENERAL"}</definedName>
    <definedName name="vc" localSheetId="3">#REF!</definedName>
    <definedName name="vc">#REF!</definedName>
    <definedName name="VCEL8" localSheetId="1">[7]BASE!#REF!</definedName>
    <definedName name="VCEL8" localSheetId="16">[7]BASE!#REF!</definedName>
    <definedName name="VCEL8">[7]BASE!#REF!</definedName>
    <definedName name="vck" localSheetId="16">#REF!</definedName>
    <definedName name="vck" localSheetId="3">#REF!</definedName>
    <definedName name="vck">#REF!</definedName>
    <definedName name="vd" localSheetId="16">#REF!</definedName>
    <definedName name="vd">#REF!</definedName>
    <definedName name="vdfvuio" localSheetId="1" hidden="1">{"via1",#N/A,TRUE,"general";"via2",#N/A,TRUE,"general";"via3",#N/A,TRUE,"general"}</definedName>
    <definedName name="vdfvuio" localSheetId="9" hidden="1">{"via1",#N/A,TRUE,"general";"via2",#N/A,TRUE,"general";"via3",#N/A,TRUE,"general"}</definedName>
    <definedName name="vdfvuio" localSheetId="16" hidden="1">{"via1",#N/A,TRUE,"general";"via2",#N/A,TRUE,"general";"via3",#N/A,TRUE,"general"}</definedName>
    <definedName name="vdfvuio" localSheetId="19" hidden="1">{"via1",#N/A,TRUE,"general";"via2",#N/A,TRUE,"general";"via3",#N/A,TRUE,"general"}</definedName>
    <definedName name="vdfvuio" hidden="1">{"via1",#N/A,TRUE,"general";"via2",#N/A,TRUE,"general";"via3",#N/A,TRUE,"general"}</definedName>
    <definedName name="vdsvnj" localSheetId="1" hidden="1">{"via1",#N/A,TRUE,"general";"via2",#N/A,TRUE,"general";"via3",#N/A,TRUE,"general"}</definedName>
    <definedName name="vdsvnj" localSheetId="9" hidden="1">{"via1",#N/A,TRUE,"general";"via2",#N/A,TRUE,"general";"via3",#N/A,TRUE,"general"}</definedName>
    <definedName name="vdsvnj" localSheetId="16" hidden="1">{"via1",#N/A,TRUE,"general";"via2",#N/A,TRUE,"general";"via3",#N/A,TRUE,"general"}</definedName>
    <definedName name="vdsvnj" localSheetId="19" hidden="1">{"via1",#N/A,TRUE,"general";"via2",#N/A,TRUE,"general";"via3",#N/A,TRUE,"general"}</definedName>
    <definedName name="vdsvnj" hidden="1">{"via1",#N/A,TRUE,"general";"via2",#N/A,TRUE,"general";"via3",#N/A,TRUE,"general"}</definedName>
    <definedName name="Venta1" localSheetId="16">'[124]Mes a Mes'!$J$95</definedName>
    <definedName name="Venta1">'[124]Mes a Mes'!$J$95</definedName>
    <definedName name="VentaAiu" localSheetId="16">#REF!</definedName>
    <definedName name="VentaAiu" localSheetId="19">#REF!</definedName>
    <definedName name="VentaAiu">#REF!</definedName>
    <definedName name="Ventana_de_aluminio" localSheetId="1">'[20]LISTADO DE MATERIALES Y EQUIPOS'!$B$87</definedName>
    <definedName name="Ventana_de_aluminio" localSheetId="16">'[20]LISTADO DE MATERIALES Y EQUIPOS'!$B$87</definedName>
    <definedName name="Ventana_de_aluminio">'[20]LISTADO DE MATERIALES Y EQUIPOS'!$B$87</definedName>
    <definedName name="VENTANAS" localSheetId="16">#REF!</definedName>
    <definedName name="VENTANAS">#REF!</definedName>
    <definedName name="VENTANAS_ITEM" localSheetId="1">[31]Presupuesto!#REF!</definedName>
    <definedName name="VENTANAS_ITEM" localSheetId="16">[31]Presupuesto!#REF!</definedName>
    <definedName name="VENTANAS_ITEM">[31]Presupuesto!#REF!</definedName>
    <definedName name="vfbgnhyt" localSheetId="1" hidden="1">{"via1",#N/A,TRUE,"general";"via2",#N/A,TRUE,"general";"via3",#N/A,TRUE,"general"}</definedName>
    <definedName name="vfbgnhyt" localSheetId="9" hidden="1">{"via1",#N/A,TRUE,"general";"via2",#N/A,TRUE,"general";"via3",#N/A,TRUE,"general"}</definedName>
    <definedName name="vfbgnhyt" localSheetId="16" hidden="1">{"via1",#N/A,TRUE,"general";"via2",#N/A,TRUE,"general";"via3",#N/A,TRUE,"general"}</definedName>
    <definedName name="vfbgnhyt" localSheetId="19" hidden="1">{"via1",#N/A,TRUE,"general";"via2",#N/A,TRUE,"general";"via3",#N/A,TRUE,"general"}</definedName>
    <definedName name="vfbgnhyt" hidden="1">{"via1",#N/A,TRUE,"general";"via2",#N/A,TRUE,"general";"via3",#N/A,TRUE,"general"}</definedName>
    <definedName name="vfn" localSheetId="3">#REF!</definedName>
    <definedName name="vfn">#REF!</definedName>
    <definedName name="vfvdv" localSheetId="1" hidden="1">{"TAB1",#N/A,TRUE,"GENERAL";"TAB2",#N/A,TRUE,"GENERAL";"TAB3",#N/A,TRUE,"GENERAL";"TAB4",#N/A,TRUE,"GENERAL";"TAB5",#N/A,TRUE,"GENERAL"}</definedName>
    <definedName name="vfvdv" localSheetId="9" hidden="1">{"TAB1",#N/A,TRUE,"GENERAL";"TAB2",#N/A,TRUE,"GENERAL";"TAB3",#N/A,TRUE,"GENERAL";"TAB4",#N/A,TRUE,"GENERAL";"TAB5",#N/A,TRUE,"GENERAL"}</definedName>
    <definedName name="vfvdv" localSheetId="16" hidden="1">{"TAB1",#N/A,TRUE,"GENERAL";"TAB2",#N/A,TRUE,"GENERAL";"TAB3",#N/A,TRUE,"GENERAL";"TAB4",#N/A,TRUE,"GENERAL";"TAB5",#N/A,TRUE,"GENERAL"}</definedName>
    <definedName name="vfvdv" localSheetId="19" hidden="1">{"TAB1",#N/A,TRUE,"GENERAL";"TAB2",#N/A,TRUE,"GENERAL";"TAB3",#N/A,TRUE,"GENERAL";"TAB4",#N/A,TRUE,"GENERAL";"TAB5",#N/A,TRUE,"GENERAL"}</definedName>
    <definedName name="vfvdv" hidden="1">{"TAB1",#N/A,TRUE,"GENERAL";"TAB2",#N/A,TRUE,"GENERAL";"TAB3",#N/A,TRUE,"GENERAL";"TAB4",#N/A,TRUE,"GENERAL";"TAB5",#N/A,TRUE,"GENERAL"}</definedName>
    <definedName name="vfvf" localSheetId="1" hidden="1">{"TAB1",#N/A,TRUE,"GENERAL";"TAB2",#N/A,TRUE,"GENERAL";"TAB3",#N/A,TRUE,"GENERAL";"TAB4",#N/A,TRUE,"GENERAL";"TAB5",#N/A,TRUE,"GENERAL"}</definedName>
    <definedName name="vfvf" localSheetId="9" hidden="1">{"TAB1",#N/A,TRUE,"GENERAL";"TAB2",#N/A,TRUE,"GENERAL";"TAB3",#N/A,TRUE,"GENERAL";"TAB4",#N/A,TRUE,"GENERAL";"TAB5",#N/A,TRUE,"GENERAL"}</definedName>
    <definedName name="vfvf" localSheetId="16" hidden="1">{"TAB1",#N/A,TRUE,"GENERAL";"TAB2",#N/A,TRUE,"GENERAL";"TAB3",#N/A,TRUE,"GENERAL";"TAB4",#N/A,TRUE,"GENERAL";"TAB5",#N/A,TRUE,"GENERAL"}</definedName>
    <definedName name="vfvf" localSheetId="19" hidden="1">{"TAB1",#N/A,TRUE,"GENERAL";"TAB2",#N/A,TRUE,"GENERAL";"TAB3",#N/A,TRUE,"GENERAL";"TAB4",#N/A,TRUE,"GENERAL";"TAB5",#N/A,TRUE,"GENERAL"}</definedName>
    <definedName name="vfvf" hidden="1">{"TAB1",#N/A,TRUE,"GENERAL";"TAB2",#N/A,TRUE,"GENERAL";"TAB3",#N/A,TRUE,"GENERAL";"TAB4",#N/A,TRUE,"GENERAL";"TAB5",#N/A,TRUE,"GENERAL"}</definedName>
    <definedName name="vg" localSheetId="3">#REF!</definedName>
    <definedName name="vg">#REF!</definedName>
    <definedName name="VIA">#REF!</definedName>
    <definedName name="VIAJE" localSheetId="1">[7]BASE!#REF!</definedName>
    <definedName name="VIAJE" localSheetId="16">[7]BASE!#REF!</definedName>
    <definedName name="VIAJE">[7]BASE!#REF!</definedName>
    <definedName name="VIAJE1" localSheetId="1">[7]BASE!#REF!</definedName>
    <definedName name="VIAJE1" localSheetId="16">[7]BASE!#REF!</definedName>
    <definedName name="VIAJE1">[7]BASE!#REF!</definedName>
    <definedName name="VIAJES" localSheetId="1">[7]BASE!$D$450</definedName>
    <definedName name="VIAJES" localSheetId="16">[7]BASE!$D$450</definedName>
    <definedName name="VIAJES">[7]BASE!$D$450</definedName>
    <definedName name="vias">[109]Datos!$H$2:$H$6</definedName>
    <definedName name="VIBGA" localSheetId="1">[7]BASE!$D$421</definedName>
    <definedName name="VIBGA" localSheetId="16">[7]BASE!$D$421</definedName>
    <definedName name="VIBGA">[7]BASE!$D$421</definedName>
    <definedName name="VIBRADOR" localSheetId="16">[26]EQUIPO!$D$27</definedName>
    <definedName name="VIBRADOR">[26]EQUIPO!$D$27</definedName>
    <definedName name="viscosidad" localSheetId="16">#REF!</definedName>
    <definedName name="viscosidad">#REF!</definedName>
    <definedName name="vk" localSheetId="1" hidden="1">{"via1",#N/A,TRUE,"general";"via2",#N/A,TRUE,"general";"via3",#N/A,TRUE,"general"}</definedName>
    <definedName name="vk" localSheetId="9" hidden="1">{"via1",#N/A,TRUE,"general";"via2",#N/A,TRUE,"general";"via3",#N/A,TRUE,"general"}</definedName>
    <definedName name="vk" localSheetId="16" hidden="1">{"via1",#N/A,TRUE,"general";"via2",#N/A,TRUE,"general";"via3",#N/A,TRUE,"general"}</definedName>
    <definedName name="vk" localSheetId="19" hidden="1">{"via1",#N/A,TRUE,"general";"via2",#N/A,TRUE,"general";"via3",#N/A,TRUE,"general"}</definedName>
    <definedName name="vk" hidden="1">{"via1",#N/A,TRUE,"general";"via2",#N/A,TRUE,"general";"via3",#N/A,TRUE,"general"}</definedName>
    <definedName name="vm" localSheetId="3">#REF!</definedName>
    <definedName name="vm">#REF!</definedName>
    <definedName name="vnbvxb" localSheetId="1" hidden="1">{"via1",#N/A,TRUE,"general";"via2",#N/A,TRUE,"general";"via3",#N/A,TRUE,"general"}</definedName>
    <definedName name="vnbvxb" localSheetId="9" hidden="1">{"via1",#N/A,TRUE,"general";"via2",#N/A,TRUE,"general";"via3",#N/A,TRUE,"general"}</definedName>
    <definedName name="vnbvxb" localSheetId="16" hidden="1">{"via1",#N/A,TRUE,"general";"via2",#N/A,TRUE,"general";"via3",#N/A,TRUE,"general"}</definedName>
    <definedName name="vnbvxb" localSheetId="19" hidden="1">{"via1",#N/A,TRUE,"general";"via2",#N/A,TRUE,"general";"via3",#N/A,TRUE,"general"}</definedName>
    <definedName name="vnbvxb" hidden="1">{"via1",#N/A,TRUE,"general";"via2",#N/A,TRUE,"general";"via3",#N/A,TRUE,"general"}</definedName>
    <definedName name="VNVBN" localSheetId="1" hidden="1">{"TAB1",#N/A,TRUE,"GENERAL";"TAB2",#N/A,TRUE,"GENERAL";"TAB3",#N/A,TRUE,"GENERAL";"TAB4",#N/A,TRUE,"GENERAL";"TAB5",#N/A,TRUE,"GENERAL"}</definedName>
    <definedName name="VNVBN" localSheetId="9" hidden="1">{"TAB1",#N/A,TRUE,"GENERAL";"TAB2",#N/A,TRUE,"GENERAL";"TAB3",#N/A,TRUE,"GENERAL";"TAB4",#N/A,TRUE,"GENERAL";"TAB5",#N/A,TRUE,"GENERAL"}</definedName>
    <definedName name="VNVBN" localSheetId="16" hidden="1">{"TAB1",#N/A,TRUE,"GENERAL";"TAB2",#N/A,TRUE,"GENERAL";"TAB3",#N/A,TRUE,"GENERAL";"TAB4",#N/A,TRUE,"GENERAL";"TAB5",#N/A,TRUE,"GENERAL"}</definedName>
    <definedName name="VNVBN" localSheetId="19" hidden="1">{"TAB1",#N/A,TRUE,"GENERAL";"TAB2",#N/A,TRUE,"GENERAL";"TAB3",#N/A,TRUE,"GENERAL";"TAB4",#N/A,TRUE,"GENERAL";"TAB5",#N/A,TRUE,"GENERAL"}</definedName>
    <definedName name="VNVBN" hidden="1">{"TAB1",#N/A,TRUE,"GENERAL";"TAB2",#N/A,TRUE,"GENERAL";"TAB3",#N/A,TRUE,"GENERAL";"TAB4",#N/A,TRUE,"GENERAL";"TAB5",#N/A,TRUE,"GENERAL"}</definedName>
    <definedName name="Volco" localSheetId="1">'[20]LISTADO DE MATERIALES Y EQUIPOS'!$B$42</definedName>
    <definedName name="Volco" localSheetId="16">'[20]LISTADO DE MATERIALES Y EQUIPOS'!$B$42</definedName>
    <definedName name="Volco">'[20]LISTADO DE MATERIALES Y EQUIPOS'!$B$42</definedName>
    <definedName name="vsdfj" localSheetId="1" hidden="1">{"via1",#N/A,TRUE,"general";"via2",#N/A,TRUE,"general";"via3",#N/A,TRUE,"general"}</definedName>
    <definedName name="vsdfj" localSheetId="9" hidden="1">{"via1",#N/A,TRUE,"general";"via2",#N/A,TRUE,"general";"via3",#N/A,TRUE,"general"}</definedName>
    <definedName name="vsdfj" localSheetId="16" hidden="1">{"via1",#N/A,TRUE,"general";"via2",#N/A,TRUE,"general";"via3",#N/A,TRUE,"general"}</definedName>
    <definedName name="vsdfj" localSheetId="19" hidden="1">{"via1",#N/A,TRUE,"general";"via2",#N/A,TRUE,"general";"via3",#N/A,TRUE,"general"}</definedName>
    <definedName name="vsdfj" hidden="1">{"via1",#N/A,TRUE,"general";"via2",#N/A,TRUE,"general";"via3",#N/A,TRUE,"general"}</definedName>
    <definedName name="vt" localSheetId="1" hidden="1">{"via1",#N/A,TRUE,"general";"via2",#N/A,TRUE,"general";"via3",#N/A,TRUE,"general"}</definedName>
    <definedName name="vt" localSheetId="9" hidden="1">{"via1",#N/A,TRUE,"general";"via2",#N/A,TRUE,"general";"via3",#N/A,TRUE,"general"}</definedName>
    <definedName name="vt" localSheetId="16" hidden="1">{"via1",#N/A,TRUE,"general";"via2",#N/A,TRUE,"general";"via3",#N/A,TRUE,"general"}</definedName>
    <definedName name="vt" localSheetId="19" hidden="1">{"via1",#N/A,TRUE,"general";"via2",#N/A,TRUE,"general";"via3",#N/A,TRUE,"general"}</definedName>
    <definedName name="vt" hidden="1">{"via1",#N/A,TRUE,"general";"via2",#N/A,TRUE,"general";"via3",#N/A,TRUE,"general"}</definedName>
    <definedName name="vv" localSheetId="3">#REF!</definedName>
    <definedName name="vv">#REF!</definedName>
    <definedName name="vvcxv" localSheetId="1" hidden="1">{"TAB1",#N/A,TRUE,"GENERAL";"TAB2",#N/A,TRUE,"GENERAL";"TAB3",#N/A,TRUE,"GENERAL";"TAB4",#N/A,TRUE,"GENERAL";"TAB5",#N/A,TRUE,"GENERAL"}</definedName>
    <definedName name="vvcxv" localSheetId="9" hidden="1">{"TAB1",#N/A,TRUE,"GENERAL";"TAB2",#N/A,TRUE,"GENERAL";"TAB3",#N/A,TRUE,"GENERAL";"TAB4",#N/A,TRUE,"GENERAL";"TAB5",#N/A,TRUE,"GENERAL"}</definedName>
    <definedName name="vvcxv" localSheetId="16" hidden="1">{"TAB1",#N/A,TRUE,"GENERAL";"TAB2",#N/A,TRUE,"GENERAL";"TAB3",#N/A,TRUE,"GENERAL";"TAB4",#N/A,TRUE,"GENERAL";"TAB5",#N/A,TRUE,"GENERAL"}</definedName>
    <definedName name="vvcxv" localSheetId="19" hidden="1">{"TAB1",#N/A,TRUE,"GENERAL";"TAB2",#N/A,TRUE,"GENERAL";"TAB3",#N/A,TRUE,"GENERAL";"TAB4",#N/A,TRUE,"GENERAL";"TAB5",#N/A,TRUE,"GENERAL"}</definedName>
    <definedName name="vvcxv" hidden="1">{"TAB1",#N/A,TRUE,"GENERAL";"TAB2",#N/A,TRUE,"GENERAL";"TAB3",#N/A,TRUE,"GENERAL";"TAB4",#N/A,TRUE,"GENERAL";"TAB5",#N/A,TRUE,"GENERAL"}</definedName>
    <definedName name="VVV">#REF!</definedName>
    <definedName name="vvvvt" localSheetId="1" hidden="1">{"via1",#N/A,TRUE,"general";"via2",#N/A,TRUE,"general";"via3",#N/A,TRUE,"general"}</definedName>
    <definedName name="vvvvt" localSheetId="9" hidden="1">{"via1",#N/A,TRUE,"general";"via2",#N/A,TRUE,"general";"via3",#N/A,TRUE,"general"}</definedName>
    <definedName name="vvvvt" localSheetId="16" hidden="1">{"via1",#N/A,TRUE,"general";"via2",#N/A,TRUE,"general";"via3",#N/A,TRUE,"general"}</definedName>
    <definedName name="vvvvt" localSheetId="19" hidden="1">{"via1",#N/A,TRUE,"general";"via2",#N/A,TRUE,"general";"via3",#N/A,TRUE,"general"}</definedName>
    <definedName name="vvvvt" hidden="1">{"via1",#N/A,TRUE,"general";"via2",#N/A,TRUE,"general";"via3",#N/A,TRUE,"general"}</definedName>
    <definedName name="vvvvvvf" localSheetId="1" hidden="1">{"via1",#N/A,TRUE,"general";"via2",#N/A,TRUE,"general";"via3",#N/A,TRUE,"general"}</definedName>
    <definedName name="vvvvvvf" localSheetId="9" hidden="1">{"via1",#N/A,TRUE,"general";"via2",#N/A,TRUE,"general";"via3",#N/A,TRUE,"general"}</definedName>
    <definedName name="vvvvvvf" localSheetId="16" hidden="1">{"via1",#N/A,TRUE,"general";"via2",#N/A,TRUE,"general";"via3",#N/A,TRUE,"general"}</definedName>
    <definedName name="vvvvvvf" localSheetId="19" hidden="1">{"via1",#N/A,TRUE,"general";"via2",#N/A,TRUE,"general";"via3",#N/A,TRUE,"general"}</definedName>
    <definedName name="vvvvvvf" hidden="1">{"via1",#N/A,TRUE,"general";"via2",#N/A,TRUE,"general";"via3",#N/A,TRUE,"general"}</definedName>
    <definedName name="vy" localSheetId="1" hidden="1">{"TAB1",#N/A,TRUE,"GENERAL";"TAB2",#N/A,TRUE,"GENERAL";"TAB3",#N/A,TRUE,"GENERAL";"TAB4",#N/A,TRUE,"GENERAL";"TAB5",#N/A,TRUE,"GENERAL"}</definedName>
    <definedName name="vy" localSheetId="9" hidden="1">{"TAB1",#N/A,TRUE,"GENERAL";"TAB2",#N/A,TRUE,"GENERAL";"TAB3",#N/A,TRUE,"GENERAL";"TAB4",#N/A,TRUE,"GENERAL";"TAB5",#N/A,TRUE,"GENERAL"}</definedName>
    <definedName name="vy" localSheetId="16" hidden="1">{"TAB1",#N/A,TRUE,"GENERAL";"TAB2",#N/A,TRUE,"GENERAL";"TAB3",#N/A,TRUE,"GENERAL";"TAB4",#N/A,TRUE,"GENERAL";"TAB5",#N/A,TRUE,"GENERAL"}</definedName>
    <definedName name="vy" localSheetId="19" hidden="1">{"TAB1",#N/A,TRUE,"GENERAL";"TAB2",#N/A,TRUE,"GENERAL";"TAB3",#N/A,TRUE,"GENERAL";"TAB4",#N/A,TRUE,"GENERAL";"TAB5",#N/A,TRUE,"GENERAL"}</definedName>
    <definedName name="vy" hidden="1">{"TAB1",#N/A,TRUE,"GENERAL";"TAB2",#N/A,TRUE,"GENERAL";"TAB3",#N/A,TRUE,"GENERAL";"TAB4",#N/A,TRUE,"GENERAL";"TAB5",#N/A,TRUE,"GENERAL"}</definedName>
    <definedName name="w" localSheetId="1">Scheduled_Payment+Extra_Payment</definedName>
    <definedName name="w" localSheetId="9">Scheduled_Payment+Extra_Payment</definedName>
    <definedName name="w" localSheetId="16">Scheduled_Payment+Extra_Payment</definedName>
    <definedName name="w" localSheetId="3">Scheduled_Payment+Extra_Payment</definedName>
    <definedName name="w">Scheduled_Payment+Extra_Payment</definedName>
    <definedName name="w2w2w" localSheetId="1" hidden="1">{"via1",#N/A,TRUE,"general";"via2",#N/A,TRUE,"general";"via3",#N/A,TRUE,"general"}</definedName>
    <definedName name="w2w2w" localSheetId="9" hidden="1">{"via1",#N/A,TRUE,"general";"via2",#N/A,TRUE,"general";"via3",#N/A,TRUE,"general"}</definedName>
    <definedName name="w2w2w" localSheetId="16" hidden="1">{"via1",#N/A,TRUE,"general";"via2",#N/A,TRUE,"general";"via3",#N/A,TRUE,"general"}</definedName>
    <definedName name="w2w2w" localSheetId="19" hidden="1">{"via1",#N/A,TRUE,"general";"via2",#N/A,TRUE,"general";"via3",#N/A,TRUE,"general"}</definedName>
    <definedName name="w2w2w" hidden="1">{"via1",#N/A,TRUE,"general";"via2",#N/A,TRUE,"general";"via3",#N/A,TRUE,"general"}</definedName>
    <definedName name="WA" localSheetId="1">[1]!ERR</definedName>
    <definedName name="WA" localSheetId="16">[1]!ERR</definedName>
    <definedName name="WA" localSheetId="19">[1]!ERR</definedName>
    <definedName name="WA">[1]!ERR</definedName>
    <definedName name="we" localSheetId="1">#REF!</definedName>
    <definedName name="we" localSheetId="16">#REF!</definedName>
    <definedName name="we" localSheetId="3">#REF!</definedName>
    <definedName name="we">#REF!</definedName>
    <definedName name="WER">'[37]Res-Accide-10'!$S$2:$S$7</definedName>
    <definedName name="werew" localSheetId="1" hidden="1">{"TAB1",#N/A,TRUE,"GENERAL";"TAB2",#N/A,TRUE,"GENERAL";"TAB3",#N/A,TRUE,"GENERAL";"TAB4",#N/A,TRUE,"GENERAL";"TAB5",#N/A,TRUE,"GENERAL"}</definedName>
    <definedName name="werew" localSheetId="9" hidden="1">{"TAB1",#N/A,TRUE,"GENERAL";"TAB2",#N/A,TRUE,"GENERAL";"TAB3",#N/A,TRUE,"GENERAL";"TAB4",#N/A,TRUE,"GENERAL";"TAB5",#N/A,TRUE,"GENERAL"}</definedName>
    <definedName name="werew" localSheetId="16" hidden="1">{"TAB1",#N/A,TRUE,"GENERAL";"TAB2",#N/A,TRUE,"GENERAL";"TAB3",#N/A,TRUE,"GENERAL";"TAB4",#N/A,TRUE,"GENERAL";"TAB5",#N/A,TRUE,"GENERAL"}</definedName>
    <definedName name="werew" localSheetId="19" hidden="1">{"TAB1",#N/A,TRUE,"GENERAL";"TAB2",#N/A,TRUE,"GENERAL";"TAB3",#N/A,TRUE,"GENERAL";"TAB4",#N/A,TRUE,"GENERAL";"TAB5",#N/A,TRUE,"GENERAL"}</definedName>
    <definedName name="werew" hidden="1">{"TAB1",#N/A,TRUE,"GENERAL";"TAB2",#N/A,TRUE,"GENERAL";"TAB3",#N/A,TRUE,"GENERAL";"TAB4",#N/A,TRUE,"GENERAL";"TAB5",#N/A,TRUE,"GENERAL"}</definedName>
    <definedName name="WEREWR" localSheetId="1" hidden="1">{"via1",#N/A,TRUE,"general";"via2",#N/A,TRUE,"general";"via3",#N/A,TRUE,"general"}</definedName>
    <definedName name="WEREWR" localSheetId="9" hidden="1">{"via1",#N/A,TRUE,"general";"via2",#N/A,TRUE,"general";"via3",#N/A,TRUE,"general"}</definedName>
    <definedName name="WEREWR" localSheetId="16" hidden="1">{"via1",#N/A,TRUE,"general";"via2",#N/A,TRUE,"general";"via3",#N/A,TRUE,"general"}</definedName>
    <definedName name="WEREWR" localSheetId="19" hidden="1">{"via1",#N/A,TRUE,"general";"via2",#N/A,TRUE,"general";"via3",#N/A,TRUE,"general"}</definedName>
    <definedName name="WEREWR" hidden="1">{"via1",#N/A,TRUE,"general";"via2",#N/A,TRUE,"general";"via3",#N/A,TRUE,"general"}</definedName>
    <definedName name="werfdsf" localSheetId="1" hidden="1">{"TAB1",#N/A,TRUE,"GENERAL";"TAB2",#N/A,TRUE,"GENERAL";"TAB3",#N/A,TRUE,"GENERAL";"TAB4",#N/A,TRUE,"GENERAL";"TAB5",#N/A,TRUE,"GENERAL"}</definedName>
    <definedName name="werfdsf" localSheetId="9" hidden="1">{"TAB1",#N/A,TRUE,"GENERAL";"TAB2",#N/A,TRUE,"GENERAL";"TAB3",#N/A,TRUE,"GENERAL";"TAB4",#N/A,TRUE,"GENERAL";"TAB5",#N/A,TRUE,"GENERAL"}</definedName>
    <definedName name="werfdsf" localSheetId="16" hidden="1">{"TAB1",#N/A,TRUE,"GENERAL";"TAB2",#N/A,TRUE,"GENERAL";"TAB3",#N/A,TRUE,"GENERAL";"TAB4",#N/A,TRUE,"GENERAL";"TAB5",#N/A,TRUE,"GENERAL"}</definedName>
    <definedName name="werfdsf" localSheetId="19" hidden="1">{"TAB1",#N/A,TRUE,"GENERAL";"TAB2",#N/A,TRUE,"GENERAL";"TAB3",#N/A,TRUE,"GENERAL";"TAB4",#N/A,TRUE,"GENERAL";"TAB5",#N/A,TRUE,"GENERAL"}</definedName>
    <definedName name="werfdsf" hidden="1">{"TAB1",#N/A,TRUE,"GENERAL";"TAB2",#N/A,TRUE,"GENERAL";"TAB3",#N/A,TRUE,"GENERAL";"TAB4",#N/A,TRUE,"GENERAL";"TAB5",#N/A,TRUE,"GENERAL"}</definedName>
    <definedName name="werh" localSheetId="1" hidden="1">{"via1",#N/A,TRUE,"general";"via2",#N/A,TRUE,"general";"via3",#N/A,TRUE,"general"}</definedName>
    <definedName name="werh" localSheetId="9" hidden="1">{"via1",#N/A,TRUE,"general";"via2",#N/A,TRUE,"general";"via3",#N/A,TRUE,"general"}</definedName>
    <definedName name="werh" localSheetId="16" hidden="1">{"via1",#N/A,TRUE,"general";"via2",#N/A,TRUE,"general";"via3",#N/A,TRUE,"general"}</definedName>
    <definedName name="werh" localSheetId="19" hidden="1">{"via1",#N/A,TRUE,"general";"via2",#N/A,TRUE,"general";"via3",#N/A,TRUE,"general"}</definedName>
    <definedName name="werh" hidden="1">{"via1",#N/A,TRUE,"general";"via2",#N/A,TRUE,"general";"via3",#N/A,TRUE,"general"}</definedName>
    <definedName name="wersfdfrguyo" localSheetId="1" hidden="1">{"via1",#N/A,TRUE,"general";"via2",#N/A,TRUE,"general";"via3",#N/A,TRUE,"general"}</definedName>
    <definedName name="wersfdfrguyo" localSheetId="9" hidden="1">{"via1",#N/A,TRUE,"general";"via2",#N/A,TRUE,"general";"via3",#N/A,TRUE,"general"}</definedName>
    <definedName name="wersfdfrguyo" localSheetId="16" hidden="1">{"via1",#N/A,TRUE,"general";"via2",#N/A,TRUE,"general";"via3",#N/A,TRUE,"general"}</definedName>
    <definedName name="wersfdfrguyo" localSheetId="19" hidden="1">{"via1",#N/A,TRUE,"general";"via2",#N/A,TRUE,"general";"via3",#N/A,TRUE,"general"}</definedName>
    <definedName name="wersfdfrguyo" hidden="1">{"via1",#N/A,TRUE,"general";"via2",#N/A,TRUE,"general";"via3",#N/A,TRUE,"general"}</definedName>
    <definedName name="werwr" localSheetId="1" hidden="1">{"via1",#N/A,TRUE,"general";"via2",#N/A,TRUE,"general";"via3",#N/A,TRUE,"general"}</definedName>
    <definedName name="werwr" localSheetId="9" hidden="1">{"via1",#N/A,TRUE,"general";"via2",#N/A,TRUE,"general";"via3",#N/A,TRUE,"general"}</definedName>
    <definedName name="werwr" localSheetId="16" hidden="1">{"via1",#N/A,TRUE,"general";"via2",#N/A,TRUE,"general";"via3",#N/A,TRUE,"general"}</definedName>
    <definedName name="werwr" localSheetId="19" hidden="1">{"via1",#N/A,TRUE,"general";"via2",#N/A,TRUE,"general";"via3",#N/A,TRUE,"general"}</definedName>
    <definedName name="werwr" hidden="1">{"via1",#N/A,TRUE,"general";"via2",#N/A,TRUE,"general";"via3",#N/A,TRUE,"general"}</definedName>
    <definedName name="WERWVN" localSheetId="1" hidden="1">{"TAB1",#N/A,TRUE,"GENERAL";"TAB2",#N/A,TRUE,"GENERAL";"TAB3",#N/A,TRUE,"GENERAL";"TAB4",#N/A,TRUE,"GENERAL";"TAB5",#N/A,TRUE,"GENERAL"}</definedName>
    <definedName name="WERWVN" localSheetId="9" hidden="1">{"TAB1",#N/A,TRUE,"GENERAL";"TAB2",#N/A,TRUE,"GENERAL";"TAB3",#N/A,TRUE,"GENERAL";"TAB4",#N/A,TRUE,"GENERAL";"TAB5",#N/A,TRUE,"GENERAL"}</definedName>
    <definedName name="WERWVN" localSheetId="16" hidden="1">{"TAB1",#N/A,TRUE,"GENERAL";"TAB2",#N/A,TRUE,"GENERAL";"TAB3",#N/A,TRUE,"GENERAL";"TAB4",#N/A,TRUE,"GENERAL";"TAB5",#N/A,TRUE,"GENERAL"}</definedName>
    <definedName name="WERWVN" localSheetId="19" hidden="1">{"TAB1",#N/A,TRUE,"GENERAL";"TAB2",#N/A,TRUE,"GENERAL";"TAB3",#N/A,TRUE,"GENERAL";"TAB4",#N/A,TRUE,"GENERAL";"TAB5",#N/A,TRUE,"GENERAL"}</definedName>
    <definedName name="WERWVN" hidden="1">{"TAB1",#N/A,TRUE,"GENERAL";"TAB2",#N/A,TRUE,"GENERAL";"TAB3",#N/A,TRUE,"GENERAL";"TAB4",#N/A,TRUE,"GENERAL";"TAB5",#N/A,TRUE,"GENERAL"}</definedName>
    <definedName name="wetrew" localSheetId="1" hidden="1">{"via1",#N/A,TRUE,"general";"via2",#N/A,TRUE,"general";"via3",#N/A,TRUE,"general"}</definedName>
    <definedName name="wetrew" localSheetId="9" hidden="1">{"via1",#N/A,TRUE,"general";"via2",#N/A,TRUE,"general";"via3",#N/A,TRUE,"general"}</definedName>
    <definedName name="wetrew" localSheetId="16" hidden="1">{"via1",#N/A,TRUE,"general";"via2",#N/A,TRUE,"general";"via3",#N/A,TRUE,"general"}</definedName>
    <definedName name="wetrew" localSheetId="19" hidden="1">{"via1",#N/A,TRUE,"general";"via2",#N/A,TRUE,"general";"via3",#N/A,TRUE,"general"}</definedName>
    <definedName name="wetrew" hidden="1">{"via1",#N/A,TRUE,"general";"via2",#N/A,TRUE,"general";"via3",#N/A,TRUE,"general"}</definedName>
    <definedName name="wettt" localSheetId="1" hidden="1">{"via1",#N/A,TRUE,"general";"via2",#N/A,TRUE,"general";"via3",#N/A,TRUE,"general"}</definedName>
    <definedName name="wettt" localSheetId="9" hidden="1">{"via1",#N/A,TRUE,"general";"via2",#N/A,TRUE,"general";"via3",#N/A,TRUE,"general"}</definedName>
    <definedName name="wettt" localSheetId="16" hidden="1">{"via1",#N/A,TRUE,"general";"via2",#N/A,TRUE,"general";"via3",#N/A,TRUE,"general"}</definedName>
    <definedName name="wettt" localSheetId="19" hidden="1">{"via1",#N/A,TRUE,"general";"via2",#N/A,TRUE,"general";"via3",#N/A,TRUE,"general"}</definedName>
    <definedName name="wettt" hidden="1">{"via1",#N/A,TRUE,"general";"via2",#N/A,TRUE,"general";"via3",#N/A,TRUE,"general"}</definedName>
    <definedName name="wetwretd" localSheetId="1" hidden="1">{"via1",#N/A,TRUE,"general";"via2",#N/A,TRUE,"general";"via3",#N/A,TRUE,"general"}</definedName>
    <definedName name="wetwretd" localSheetId="9" hidden="1">{"via1",#N/A,TRUE,"general";"via2",#N/A,TRUE,"general";"via3",#N/A,TRUE,"general"}</definedName>
    <definedName name="wetwretd" localSheetId="16" hidden="1">{"via1",#N/A,TRUE,"general";"via2",#N/A,TRUE,"general";"via3",#N/A,TRUE,"general"}</definedName>
    <definedName name="wetwretd" localSheetId="19" hidden="1">{"via1",#N/A,TRUE,"general";"via2",#N/A,TRUE,"general";"via3",#N/A,TRUE,"general"}</definedName>
    <definedName name="wetwretd" hidden="1">{"via1",#N/A,TRUE,"general";"via2",#N/A,TRUE,"general";"via3",#N/A,TRUE,"general"}</definedName>
    <definedName name="wew" localSheetId="1" hidden="1">{"via1",#N/A,TRUE,"general";"via2",#N/A,TRUE,"general";"via3",#N/A,TRUE,"general"}</definedName>
    <definedName name="wew" localSheetId="9" hidden="1">{"via1",#N/A,TRUE,"general";"via2",#N/A,TRUE,"general";"via3",#N/A,TRUE,"general"}</definedName>
    <definedName name="wew" localSheetId="16" hidden="1">{"via1",#N/A,TRUE,"general";"via2",#N/A,TRUE,"general";"via3",#N/A,TRUE,"general"}</definedName>
    <definedName name="wew" localSheetId="19" hidden="1">{"via1",#N/A,TRUE,"general";"via2",#N/A,TRUE,"general";"via3",#N/A,TRUE,"general"}</definedName>
    <definedName name="wew" hidden="1">{"via1",#N/A,TRUE,"general";"via2",#N/A,TRUE,"general";"via3",#N/A,TRUE,"general"}</definedName>
    <definedName name="wffag" localSheetId="1" hidden="1">{"via1",#N/A,TRUE,"general";"via2",#N/A,TRUE,"general";"via3",#N/A,TRUE,"general"}</definedName>
    <definedName name="wffag" localSheetId="9" hidden="1">{"via1",#N/A,TRUE,"general";"via2",#N/A,TRUE,"general";"via3",#N/A,TRUE,"general"}</definedName>
    <definedName name="wffag" localSheetId="16" hidden="1">{"via1",#N/A,TRUE,"general";"via2",#N/A,TRUE,"general";"via3",#N/A,TRUE,"general"}</definedName>
    <definedName name="wffag" localSheetId="19" hidden="1">{"via1",#N/A,TRUE,"general";"via2",#N/A,TRUE,"general";"via3",#N/A,TRUE,"general"}</definedName>
    <definedName name="wffag" hidden="1">{"via1",#N/A,TRUE,"general";"via2",#N/A,TRUE,"general";"via3",#N/A,TRUE,"general"}</definedName>
    <definedName name="WILSON">'[37]Res-Accide-10'!#REF!</definedName>
    <definedName name="wj" localSheetId="16">#REF!</definedName>
    <definedName name="wj" localSheetId="3">#REF!</definedName>
    <definedName name="wj">#REF!</definedName>
    <definedName name="wl" localSheetId="16">#REF!</definedName>
    <definedName name="wl">#REF!</definedName>
    <definedName name="WQEEWQ" localSheetId="1" hidden="1">{"TAB1",#N/A,TRUE,"GENERAL";"TAB2",#N/A,TRUE,"GENERAL";"TAB3",#N/A,TRUE,"GENERAL";"TAB4",#N/A,TRUE,"GENERAL";"TAB5",#N/A,TRUE,"GENERAL"}</definedName>
    <definedName name="WQEEWQ" localSheetId="9" hidden="1">{"TAB1",#N/A,TRUE,"GENERAL";"TAB2",#N/A,TRUE,"GENERAL";"TAB3",#N/A,TRUE,"GENERAL";"TAB4",#N/A,TRUE,"GENERAL";"TAB5",#N/A,TRUE,"GENERAL"}</definedName>
    <definedName name="WQEEWQ" localSheetId="16" hidden="1">{"TAB1",#N/A,TRUE,"GENERAL";"TAB2",#N/A,TRUE,"GENERAL";"TAB3",#N/A,TRUE,"GENERAL";"TAB4",#N/A,TRUE,"GENERAL";"TAB5",#N/A,TRUE,"GENERAL"}</definedName>
    <definedName name="WQEEWQ" localSheetId="19" hidden="1">{"TAB1",#N/A,TRUE,"GENERAL";"TAB2",#N/A,TRUE,"GENERAL";"TAB3",#N/A,TRUE,"GENERAL";"TAB4",#N/A,TRUE,"GENERAL";"TAB5",#N/A,TRUE,"GENERAL"}</definedName>
    <definedName name="WQEEWQ" hidden="1">{"TAB1",#N/A,TRUE,"GENERAL";"TAB2",#N/A,TRUE,"GENERAL";"TAB3",#N/A,TRUE,"GENERAL";"TAB4",#N/A,TRUE,"GENERAL";"TAB5",#N/A,TRUE,"GENERAL"}</definedName>
    <definedName name="WQEWER" localSheetId="3">#REF!</definedName>
    <definedName name="WQEWER">#REF!</definedName>
    <definedName name="wrn.Aging._.and._.Trend._.Analysis." hidden="1">{#N/A,#N/A,FALSE,"Aging Summary";#N/A,#N/A,FALSE,"Ratio Analysis";#N/A,#N/A,FALSE,"Test 120 Day Accts";#N/A,#N/A,FALSE,"Tickmarks"}</definedName>
    <definedName name="wrn.GENERAL." localSheetId="1" hidden="1">{"TAB1",#N/A,TRUE,"GENERAL";"TAB2",#N/A,TRUE,"GENERAL";"TAB3",#N/A,TRUE,"GENERAL";"TAB4",#N/A,TRUE,"GENERAL";"TAB5",#N/A,TRUE,"GENERAL"}</definedName>
    <definedName name="wrn.GENERAL." localSheetId="9" hidden="1">{"TAB1",#N/A,TRUE,"GENERAL";"TAB2",#N/A,TRUE,"GENERAL";"TAB3",#N/A,TRUE,"GENERAL";"TAB4",#N/A,TRUE,"GENERAL";"TAB5",#N/A,TRUE,"GENERAL"}</definedName>
    <definedName name="wrn.GENERAL." localSheetId="16" hidden="1">{"TAB1",#N/A,TRUE,"GENERAL";"TAB2",#N/A,TRUE,"GENERAL";"TAB3",#N/A,TRUE,"GENERAL";"TAB4",#N/A,TRUE,"GENERAL";"TAB5",#N/A,TRUE,"GENERAL"}</definedName>
    <definedName name="wrn.GENERAL." localSheetId="3" hidden="1">{"TAB1",#N/A,TRUE,"GENERAL";"TAB2",#N/A,TRUE,"GENERAL";"TAB3",#N/A,TRUE,"GENERAL";"TAB4",#N/A,TRUE,"GENERAL";"TAB5",#N/A,TRUE,"GENERAL"}</definedName>
    <definedName name="wrn.GENERAL." localSheetId="19" hidden="1">{"TAB1",#N/A,TRUE,"GENERAL";"TAB2",#N/A,TRUE,"GENERAL";"TAB3",#N/A,TRUE,"GENERAL";"TAB4",#N/A,TRUE,"GENERAL";"TAB5",#N/A,TRUE,"GENERAL"}</definedName>
    <definedName name="wrn.GENERAL." hidden="1">{"TAB1",#N/A,TRUE,"GENERAL";"TAB2",#N/A,TRUE,"GENERAL";"TAB3",#N/A,TRUE,"GENERAL";"TAB4",#N/A,TRUE,"GENERAL";"TAB5",#N/A,TRUE,"GENERAL"}</definedName>
    <definedName name="wrn.items." localSheetId="1" hidden="1">{#N/A,#N/A,FALSE,"Items"}</definedName>
    <definedName name="wrn.items." localSheetId="9" hidden="1">{#N/A,#N/A,FALSE,"Items"}</definedName>
    <definedName name="wrn.items." localSheetId="16" hidden="1">{#N/A,#N/A,FALSE,"Items"}</definedName>
    <definedName name="wrn.items." localSheetId="3" hidden="1">{#N/A,#N/A,FALSE,"Items"}</definedName>
    <definedName name="wrn.items." hidden="1">{#N/A,#N/A,FALSE,"Items"}</definedName>
    <definedName name="wrn.PROYEC." hidden="1">{#N/A,#N/A,FALSE,"GRAFICO";#N/A,#N/A,FALSE,"CAJA (2)";#N/A,#N/A,FALSE,"TERCEROS-PROMEDIO";#N/A,#N/A,FALSE,"CAJA";#N/A,#N/A,FALSE,"INGRESOS1995-2003";#N/A,#N/A,FALSE,"GASTOS1995-2003"}</definedName>
    <definedName name="wrn.SENCILLO." hidden="1">{"PYGS",#N/A,FALSE,"PYG";"ACTIS",#N/A,FALSE,"BCE_GRAL-ACTIVO";"PASIS",#N/A,FALSE,"BCE_GRAL-PASIVO-PATRIM";"CAJAS",#N/A,FALSE,"CAJA"}</definedName>
    <definedName name="wrn.Total." hidden="1">{"Parcial",#N/A,FALSE,"GastFuncionamiento";"Parcial2",#N/A,FALSE,"GastFuncionamiento";"Total",#N/A,FALSE,"GastFuncionamiento"}</definedName>
    <definedName name="wrn.via." localSheetId="1" hidden="1">{"via1",#N/A,TRUE,"general";"via2",#N/A,TRUE,"general";"via3",#N/A,TRUE,"general"}</definedName>
    <definedName name="wrn.via." localSheetId="9" hidden="1">{"via1",#N/A,TRUE,"general";"via2",#N/A,TRUE,"general";"via3",#N/A,TRUE,"general"}</definedName>
    <definedName name="wrn.via." localSheetId="16" hidden="1">{"via1",#N/A,TRUE,"general";"via2",#N/A,TRUE,"general";"via3",#N/A,TRUE,"general"}</definedName>
    <definedName name="wrn.via." localSheetId="3" hidden="1">{"via1",#N/A,TRUE,"general";"via2",#N/A,TRUE,"general";"via3",#N/A,TRUE,"general"}</definedName>
    <definedName name="wrn.via." localSheetId="19" hidden="1">{"via1",#N/A,TRUE,"general";"via2",#N/A,TRUE,"general";"via3",#N/A,TRUE,"general"}</definedName>
    <definedName name="wrn.via." hidden="1">{"via1",#N/A,TRUE,"general";"via2",#N/A,TRUE,"general";"via3",#N/A,TRUE,"general"}</definedName>
    <definedName name="wrn1.items" localSheetId="1" hidden="1">{#N/A,#N/A,FALSE,"Items"}</definedName>
    <definedName name="wrn1.items" localSheetId="9" hidden="1">{#N/A,#N/A,FALSE,"Items"}</definedName>
    <definedName name="wrn1.items" localSheetId="16" hidden="1">{#N/A,#N/A,FALSE,"Items"}</definedName>
    <definedName name="wrn1.items" localSheetId="3" hidden="1">{#N/A,#N/A,FALSE,"Items"}</definedName>
    <definedName name="wrn1.items" hidden="1">{#N/A,#N/A,FALSE,"Items"}</definedName>
    <definedName name="ws" localSheetId="3">#REF!</definedName>
    <definedName name="ws">#REF!</definedName>
    <definedName name="WSERWEER" localSheetId="19">'[72]COSTOS OFICINA'!#REF!</definedName>
    <definedName name="WSERWEER">'[72]COSTOS OFICINA'!#REF!</definedName>
    <definedName name="wsnhed" localSheetId="1" hidden="1">{"via1",#N/A,TRUE,"general";"via2",#N/A,TRUE,"general";"via3",#N/A,TRUE,"general"}</definedName>
    <definedName name="wsnhed" localSheetId="9" hidden="1">{"via1",#N/A,TRUE,"general";"via2",#N/A,TRUE,"general";"via3",#N/A,TRUE,"general"}</definedName>
    <definedName name="wsnhed" localSheetId="16" hidden="1">{"via1",#N/A,TRUE,"general";"via2",#N/A,TRUE,"general";"via3",#N/A,TRUE,"general"}</definedName>
    <definedName name="wsnhed" localSheetId="19" hidden="1">{"via1",#N/A,TRUE,"general";"via2",#N/A,TRUE,"general";"via3",#N/A,TRUE,"general"}</definedName>
    <definedName name="wsnhed" hidden="1">{"via1",#N/A,TRUE,"general";"via2",#N/A,TRUE,"general";"via3",#N/A,TRUE,"general"}</definedName>
    <definedName name="wswswsqa" localSheetId="1" hidden="1">{"via1",#N/A,TRUE,"general";"via2",#N/A,TRUE,"general";"via3",#N/A,TRUE,"general"}</definedName>
    <definedName name="wswswsqa" localSheetId="9" hidden="1">{"via1",#N/A,TRUE,"general";"via2",#N/A,TRUE,"general";"via3",#N/A,TRUE,"general"}</definedName>
    <definedName name="wswswsqa" localSheetId="16" hidden="1">{"via1",#N/A,TRUE,"general";"via2",#N/A,TRUE,"general";"via3",#N/A,TRUE,"general"}</definedName>
    <definedName name="wswswsqa" localSheetId="19" hidden="1">{"via1",#N/A,TRUE,"general";"via2",#N/A,TRUE,"general";"via3",#N/A,TRUE,"general"}</definedName>
    <definedName name="wswswsqa" hidden="1">{"via1",#N/A,TRUE,"general";"via2",#N/A,TRUE,"general";"via3",#N/A,TRUE,"general"}</definedName>
    <definedName name="wtt" localSheetId="1" hidden="1">{"TAB1",#N/A,TRUE,"GENERAL";"TAB2",#N/A,TRUE,"GENERAL";"TAB3",#N/A,TRUE,"GENERAL";"TAB4",#N/A,TRUE,"GENERAL";"TAB5",#N/A,TRUE,"GENERAL"}</definedName>
    <definedName name="wtt" localSheetId="9" hidden="1">{"TAB1",#N/A,TRUE,"GENERAL";"TAB2",#N/A,TRUE,"GENERAL";"TAB3",#N/A,TRUE,"GENERAL";"TAB4",#N/A,TRUE,"GENERAL";"TAB5",#N/A,TRUE,"GENERAL"}</definedName>
    <definedName name="wtt" localSheetId="16" hidden="1">{"TAB1",#N/A,TRUE,"GENERAL";"TAB2",#N/A,TRUE,"GENERAL";"TAB3",#N/A,TRUE,"GENERAL";"TAB4",#N/A,TRUE,"GENERAL";"TAB5",#N/A,TRUE,"GENERAL"}</definedName>
    <definedName name="wtt" localSheetId="19" hidden="1">{"TAB1",#N/A,TRUE,"GENERAL";"TAB2",#N/A,TRUE,"GENERAL";"TAB3",#N/A,TRUE,"GENERAL";"TAB4",#N/A,TRUE,"GENERAL";"TAB5",#N/A,TRUE,"GENERAL"}</definedName>
    <definedName name="wtt" hidden="1">{"TAB1",#N/A,TRUE,"GENERAL";"TAB2",#N/A,TRUE,"GENERAL";"TAB3",#N/A,TRUE,"GENERAL";"TAB4",#N/A,TRUE,"GENERAL";"TAB5",#N/A,TRUE,"GENERAL"}</definedName>
    <definedName name="wvu.TAB1." localSheetId="1"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9"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16"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3"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2." localSheetId="1"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9"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16"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3"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3." localSheetId="1"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9"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16"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3"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4." localSheetId="1" hidden="1">{TRUE,TRUE,-1.25,-16.25,772.5,492.75,FALSE,FALSE,TRUE,FALSE,0,1,#N/A,574,#N/A,15.5208333333333,45.1538461538462,1,FALSE,FALSE,3,TRUE,1,FALSE,75,"Swvu.TAB4.","ACwvu.TAB4.",39,FALSE,FALSE,0.65,0.55,0.5,0.71,2,"","&amp;L&amp;8Adendo No. 6_x000D_&amp;R&amp;8Página 5.&amp;P",TRUE,FALSE,FALSE,FALSE,1,100,#N/A,#N/A,"=R574C1:R842C9","=R564:R573",#N/A,#N/A,FALSE,FALSE,TRUE,1,300,300,FALSE,FALSE,TRUE,TRUE,TRUE}</definedName>
    <definedName name="wvu.TAB4." localSheetId="9" hidden="1">{TRUE,TRUE,-1.25,-16.25,772.5,492.75,FALSE,FALSE,TRUE,FALSE,0,1,#N/A,574,#N/A,15.5208333333333,45.1538461538462,1,FALSE,FALSE,3,TRUE,1,FALSE,75,"Swvu.TAB4.","ACwvu.TAB4.",39,FALSE,FALSE,0.65,0.55,0.5,0.71,2,"","&amp;L&amp;8Adendo No. 6_x000D_&amp;R&amp;8Página 5.&amp;P",TRUE,FALSE,FALSE,FALSE,1,100,#N/A,#N/A,"=R574C1:R842C9","=R564:R573",#N/A,#N/A,FALSE,FALSE,TRUE,1,300,300,FALSE,FALSE,TRUE,TRUE,TRUE}</definedName>
    <definedName name="wvu.TAB4." localSheetId="16" hidden="1">{TRUE,TRUE,-1.25,-16.25,772.5,492.75,FALSE,FALSE,TRUE,FALSE,0,1,#N/A,574,#N/A,15.5208333333333,45.1538461538462,1,FALSE,FALSE,3,TRUE,1,FALSE,75,"Swvu.TAB4.","ACwvu.TAB4.",39,FALSE,FALSE,0.65,0.55,0.5,0.71,2,"","&amp;L&amp;8Adendo No. 6_x000D_&amp;R&amp;8Página 5.&amp;P",TRUE,FALSE,FALSE,FALSE,1,100,#N/A,#N/A,"=R574C1:R842C9","=R564:R573",#N/A,#N/A,FALSE,FALSE,TRUE,1,300,300,FALSE,FALSE,TRUE,TRUE,TRUE}</definedName>
    <definedName name="wvu.TAB4." localSheetId="3" hidden="1">{TRUE,TRUE,-1.25,-16.25,772.5,492.75,FALSE,FALSE,TRUE,FALSE,0,1,#N/A,574,#N/A,15.5208333333333,45.1538461538462,1,FALSE,FALSE,3,TRUE,1,FALSE,75,"Swvu.TAB4.","ACwvu.TAB4.",39,FALSE,FALSE,0.65,0.55,0.5,0.71,2,"","&amp;L&amp;8Adendo No. 6_x000D_&amp;R&amp;8Página 5.&amp;P",TRUE,FALSE,FALSE,FALSE,1,100,#N/A,#N/A,"=R574C1:R842C9","=R564:R573",#N/A,#N/A,FALSE,FALSE,TRUE,1,300,300,FALSE,FALSE,TRUE,TRUE,TRUE}</definedName>
    <definedName name="wvu.TAB4." hidden="1">{TRUE,TRUE,-1.25,-16.25,772.5,492.75,FALSE,FALSE,TRUE,FALSE,0,1,#N/A,574,#N/A,15.5208333333333,45.1538461538462,1,FALSE,FALSE,3,TRUE,1,FALSE,75,"Swvu.TAB4.","ACwvu.TAB4.",39,FALSE,FALSE,0.65,0.55,0.5,0.71,2,"","&amp;L&amp;8Adendo No. 6_x000D_&amp;R&amp;8Página 5.&amp;P",TRUE,FALSE,FALSE,FALSE,1,100,#N/A,#N/A,"=R574C1:R842C9","=R564:R573",#N/A,#N/A,FALSE,FALSE,TRUE,1,300,300,FALSE,FALSE,TRUE,TRUE,TRUE}</definedName>
    <definedName name="wvu.TAB5." localSheetId="1"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9"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16"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3"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W" localSheetId="1">[1]!ERR</definedName>
    <definedName name="WW" localSheetId="16">[1]!ERR</definedName>
    <definedName name="ww" localSheetId="3">#REF!</definedName>
    <definedName name="WW" localSheetId="19">[1]!ERR</definedName>
    <definedName name="WW">[1]!ERR</definedName>
    <definedName name="wwded3" localSheetId="1" hidden="1">{"via1",#N/A,TRUE,"general";"via2",#N/A,TRUE,"general";"via3",#N/A,TRUE,"general"}</definedName>
    <definedName name="wwded3" localSheetId="9" hidden="1">{"via1",#N/A,TRUE,"general";"via2",#N/A,TRUE,"general";"via3",#N/A,TRUE,"general"}</definedName>
    <definedName name="wwded3" localSheetId="16" hidden="1">{"via1",#N/A,TRUE,"general";"via2",#N/A,TRUE,"general";"via3",#N/A,TRUE,"general"}</definedName>
    <definedName name="wwded3" localSheetId="19" hidden="1">{"via1",#N/A,TRUE,"general";"via2",#N/A,TRUE,"general";"via3",#N/A,TRUE,"general"}</definedName>
    <definedName name="wwded3" hidden="1">{"via1",#N/A,TRUE,"general";"via2",#N/A,TRUE,"general";"via3",#N/A,TRUE,"general"}</definedName>
    <definedName name="wwwwe" localSheetId="1" hidden="1">{"TAB1",#N/A,TRUE,"GENERAL";"TAB2",#N/A,TRUE,"GENERAL";"TAB3",#N/A,TRUE,"GENERAL";"TAB4",#N/A,TRUE,"GENERAL";"TAB5",#N/A,TRUE,"GENERAL"}</definedName>
    <definedName name="wwwwe" localSheetId="9" hidden="1">{"TAB1",#N/A,TRUE,"GENERAL";"TAB2",#N/A,TRUE,"GENERAL";"TAB3",#N/A,TRUE,"GENERAL";"TAB4",#N/A,TRUE,"GENERAL";"TAB5",#N/A,TRUE,"GENERAL"}</definedName>
    <definedName name="wwwwe" localSheetId="16" hidden="1">{"TAB1",#N/A,TRUE,"GENERAL";"TAB2",#N/A,TRUE,"GENERAL";"TAB3",#N/A,TRUE,"GENERAL";"TAB4",#N/A,TRUE,"GENERAL";"TAB5",#N/A,TRUE,"GENERAL"}</definedName>
    <definedName name="wwwwe" localSheetId="19" hidden="1">{"TAB1",#N/A,TRUE,"GENERAL";"TAB2",#N/A,TRUE,"GENERAL";"TAB3",#N/A,TRUE,"GENERAL";"TAB4",#N/A,TRUE,"GENERAL";"TAB5",#N/A,TRUE,"GENERAL"}</definedName>
    <definedName name="wwwwe" hidden="1">{"TAB1",#N/A,TRUE,"GENERAL";"TAB2",#N/A,TRUE,"GENERAL";"TAB3",#N/A,TRUE,"GENERAL";"TAB4",#N/A,TRUE,"GENERAL";"TAB5",#N/A,TRUE,"GENERAL"}</definedName>
    <definedName name="wyty" localSheetId="1" hidden="1">{"via1",#N/A,TRUE,"general";"via2",#N/A,TRUE,"general";"via3",#N/A,TRUE,"general"}</definedName>
    <definedName name="wyty" localSheetId="9" hidden="1">{"via1",#N/A,TRUE,"general";"via2",#N/A,TRUE,"general";"via3",#N/A,TRUE,"general"}</definedName>
    <definedName name="wyty" localSheetId="16" hidden="1">{"via1",#N/A,TRUE,"general";"via2",#N/A,TRUE,"general";"via3",#N/A,TRUE,"general"}</definedName>
    <definedName name="wyty" localSheetId="19" hidden="1">{"via1",#N/A,TRUE,"general";"via2",#N/A,TRUE,"general";"via3",#N/A,TRUE,"general"}</definedName>
    <definedName name="wyty" hidden="1">{"via1",#N/A,TRUE,"general";"via2",#N/A,TRUE,"general";"via3",#N/A,TRUE,"general"}</definedName>
    <definedName name="xb" localSheetId="3">#REF!</definedName>
    <definedName name="xb">#REF!</definedName>
    <definedName name="xcbvbs" localSheetId="1" hidden="1">{"TAB1",#N/A,TRUE,"GENERAL";"TAB2",#N/A,TRUE,"GENERAL";"TAB3",#N/A,TRUE,"GENERAL";"TAB4",#N/A,TRUE,"GENERAL";"TAB5",#N/A,TRUE,"GENERAL"}</definedName>
    <definedName name="xcbvbs" localSheetId="9" hidden="1">{"TAB1",#N/A,TRUE,"GENERAL";"TAB2",#N/A,TRUE,"GENERAL";"TAB3",#N/A,TRUE,"GENERAL";"TAB4",#N/A,TRUE,"GENERAL";"TAB5",#N/A,TRUE,"GENERAL"}</definedName>
    <definedName name="xcbvbs" localSheetId="16" hidden="1">{"TAB1",#N/A,TRUE,"GENERAL";"TAB2",#N/A,TRUE,"GENERAL";"TAB3",#N/A,TRUE,"GENERAL";"TAB4",#N/A,TRUE,"GENERAL";"TAB5",#N/A,TRUE,"GENERAL"}</definedName>
    <definedName name="xcbvbs" localSheetId="19" hidden="1">{"TAB1",#N/A,TRUE,"GENERAL";"TAB2",#N/A,TRUE,"GENERAL";"TAB3",#N/A,TRUE,"GENERAL";"TAB4",#N/A,TRUE,"GENERAL";"TAB5",#N/A,TRUE,"GENERAL"}</definedName>
    <definedName name="xcbvbs" hidden="1">{"TAB1",#N/A,TRUE,"GENERAL";"TAB2",#N/A,TRUE,"GENERAL";"TAB3",#N/A,TRUE,"GENERAL";"TAB4",#N/A,TRUE,"GENERAL";"TAB5",#N/A,TRUE,"GENERAL"}</definedName>
    <definedName name="xo" localSheetId="3">#REF!</definedName>
    <definedName name="xo">#REF!</definedName>
    <definedName name="xsxs" localSheetId="1" hidden="1">{"TAB1",#N/A,TRUE,"GENERAL";"TAB2",#N/A,TRUE,"GENERAL";"TAB3",#N/A,TRUE,"GENERAL";"TAB4",#N/A,TRUE,"GENERAL";"TAB5",#N/A,TRUE,"GENERAL"}</definedName>
    <definedName name="xsxs" localSheetId="9" hidden="1">{"TAB1",#N/A,TRUE,"GENERAL";"TAB2",#N/A,TRUE,"GENERAL";"TAB3",#N/A,TRUE,"GENERAL";"TAB4",#N/A,TRUE,"GENERAL";"TAB5",#N/A,TRUE,"GENERAL"}</definedName>
    <definedName name="xsxs" localSheetId="16" hidden="1">{"TAB1",#N/A,TRUE,"GENERAL";"TAB2",#N/A,TRUE,"GENERAL";"TAB3",#N/A,TRUE,"GENERAL";"TAB4",#N/A,TRUE,"GENERAL";"TAB5",#N/A,TRUE,"GENERAL"}</definedName>
    <definedName name="xsxs" localSheetId="19" hidden="1">{"TAB1",#N/A,TRUE,"GENERAL";"TAB2",#N/A,TRUE,"GENERAL";"TAB3",#N/A,TRUE,"GENERAL";"TAB4",#N/A,TRUE,"GENERAL";"TAB5",#N/A,TRUE,"GENERAL"}</definedName>
    <definedName name="xsxs" hidden="1">{"TAB1",#N/A,TRUE,"GENERAL";"TAB2",#N/A,TRUE,"GENERAL";"TAB3",#N/A,TRUE,"GENERAL";"TAB4",#N/A,TRUE,"GENERAL";"TAB5",#N/A,TRUE,"GENERAL"}</definedName>
    <definedName name="xx" localSheetId="3">#REF!</definedName>
    <definedName name="XX">#REF!</definedName>
    <definedName name="xxfg" localSheetId="1" hidden="1">{"via1",#N/A,TRUE,"general";"via2",#N/A,TRUE,"general";"via3",#N/A,TRUE,"general"}</definedName>
    <definedName name="xxfg" localSheetId="9" hidden="1">{"via1",#N/A,TRUE,"general";"via2",#N/A,TRUE,"general";"via3",#N/A,TRUE,"general"}</definedName>
    <definedName name="xxfg" localSheetId="16" hidden="1">{"via1",#N/A,TRUE,"general";"via2",#N/A,TRUE,"general";"via3",#N/A,TRUE,"general"}</definedName>
    <definedName name="xxfg" localSheetId="19" hidden="1">{"via1",#N/A,TRUE,"general";"via2",#N/A,TRUE,"general";"via3",#N/A,TRUE,"general"}</definedName>
    <definedName name="xxfg" hidden="1">{"via1",#N/A,TRUE,"general";"via2",#N/A,TRUE,"general";"via3",#N/A,TRUE,"general"}</definedName>
    <definedName name="XXX" localSheetId="3">#REF!</definedName>
    <definedName name="XXX">'[125]Caida Escalonada Alcant'!$AB$18:$AD$246</definedName>
    <definedName name="xxxxx" localSheetId="19">[126]!absc</definedName>
    <definedName name="xxxxx">[126]!absc</definedName>
    <definedName name="xxxxxds" localSheetId="1" hidden="1">{"via1",#N/A,TRUE,"general";"via2",#N/A,TRUE,"general";"via3",#N/A,TRUE,"general"}</definedName>
    <definedName name="xxxxxds" localSheetId="9" hidden="1">{"via1",#N/A,TRUE,"general";"via2",#N/A,TRUE,"general";"via3",#N/A,TRUE,"general"}</definedName>
    <definedName name="xxxxxds" localSheetId="16" hidden="1">{"via1",#N/A,TRUE,"general";"via2",#N/A,TRUE,"general";"via3",#N/A,TRUE,"general"}</definedName>
    <definedName name="xxxxxds" localSheetId="19" hidden="1">{"via1",#N/A,TRUE,"general";"via2",#N/A,TRUE,"general";"via3",#N/A,TRUE,"general"}</definedName>
    <definedName name="xxxxxds" hidden="1">{"via1",#N/A,TRUE,"general";"via2",#N/A,TRUE,"general";"via3",#N/A,TRUE,"general"}</definedName>
    <definedName name="XXXXXXXXXX">#REF!</definedName>
    <definedName name="xxxxxxxxxx29" localSheetId="1" hidden="1">{"via1",#N/A,TRUE,"general";"via2",#N/A,TRUE,"general";"via3",#N/A,TRUE,"general"}</definedName>
    <definedName name="xxxxxxxxxx29" localSheetId="9" hidden="1">{"via1",#N/A,TRUE,"general";"via2",#N/A,TRUE,"general";"via3",#N/A,TRUE,"general"}</definedName>
    <definedName name="xxxxxxxxxx29" localSheetId="16" hidden="1">{"via1",#N/A,TRUE,"general";"via2",#N/A,TRUE,"general";"via3",#N/A,TRUE,"general"}</definedName>
    <definedName name="xxxxxxxxxx29" localSheetId="19" hidden="1">{"via1",#N/A,TRUE,"general";"via2",#N/A,TRUE,"general";"via3",#N/A,TRUE,"general"}</definedName>
    <definedName name="xxxxxxxxxx29" hidden="1">{"via1",#N/A,TRUE,"general";"via2",#N/A,TRUE,"general";"via3",#N/A,TRUE,"general"}</definedName>
    <definedName name="XXXXXXXXXXXX">#REF!</definedName>
    <definedName name="XZXZV" localSheetId="1" hidden="1">{"via1",#N/A,TRUE,"general";"via2",#N/A,TRUE,"general";"via3",#N/A,TRUE,"general"}</definedName>
    <definedName name="XZXZV" localSheetId="9" hidden="1">{"via1",#N/A,TRUE,"general";"via2",#N/A,TRUE,"general";"via3",#N/A,TRUE,"general"}</definedName>
    <definedName name="XZXZV" localSheetId="16" hidden="1">{"via1",#N/A,TRUE,"general";"via2",#N/A,TRUE,"general";"via3",#N/A,TRUE,"general"}</definedName>
    <definedName name="XZXZV" localSheetId="19" hidden="1">{"via1",#N/A,TRUE,"general";"via2",#N/A,TRUE,"general";"via3",#N/A,TRUE,"general"}</definedName>
    <definedName name="XZXZV" hidden="1">{"via1",#N/A,TRUE,"general";"via2",#N/A,TRUE,"general";"via3",#N/A,TRUE,"general"}</definedName>
    <definedName name="Y" localSheetId="3">'[63]Itemes Renovación'!#REF!</definedName>
    <definedName name="Y" localSheetId="19">[19]!absc</definedName>
    <definedName name="Y">[19]!absc</definedName>
    <definedName name="y6y6" localSheetId="1" hidden="1">{"via1",#N/A,TRUE,"general";"via2",#N/A,TRUE,"general";"via3",#N/A,TRUE,"general"}</definedName>
    <definedName name="y6y6" localSheetId="9" hidden="1">{"via1",#N/A,TRUE,"general";"via2",#N/A,TRUE,"general";"via3",#N/A,TRUE,"general"}</definedName>
    <definedName name="y6y6" localSheetId="16" hidden="1">{"via1",#N/A,TRUE,"general";"via2",#N/A,TRUE,"general";"via3",#N/A,TRUE,"general"}</definedName>
    <definedName name="y6y6" localSheetId="19" hidden="1">{"via1",#N/A,TRUE,"general";"via2",#N/A,TRUE,"general";"via3",#N/A,TRUE,"general"}</definedName>
    <definedName name="y6y6" hidden="1">{"via1",#N/A,TRUE,"general";"via2",#N/A,TRUE,"general";"via3",#N/A,TRUE,"general"}</definedName>
    <definedName name="yery" localSheetId="1" hidden="1">{"via1",#N/A,TRUE,"general";"via2",#N/A,TRUE,"general";"via3",#N/A,TRUE,"general"}</definedName>
    <definedName name="yery" localSheetId="9" hidden="1">{"via1",#N/A,TRUE,"general";"via2",#N/A,TRUE,"general";"via3",#N/A,TRUE,"general"}</definedName>
    <definedName name="yery" localSheetId="16" hidden="1">{"via1",#N/A,TRUE,"general";"via2",#N/A,TRUE,"general";"via3",#N/A,TRUE,"general"}</definedName>
    <definedName name="yery" localSheetId="19" hidden="1">{"via1",#N/A,TRUE,"general";"via2",#N/A,TRUE,"general";"via3",#N/A,TRUE,"general"}</definedName>
    <definedName name="yery" hidden="1">{"via1",#N/A,TRUE,"general";"via2",#N/A,TRUE,"general";"via3",#N/A,TRUE,"general"}</definedName>
    <definedName name="yhy" localSheetId="1" hidden="1">{"TAB1",#N/A,TRUE,"GENERAL";"TAB2",#N/A,TRUE,"GENERAL";"TAB3",#N/A,TRUE,"GENERAL";"TAB4",#N/A,TRUE,"GENERAL";"TAB5",#N/A,TRUE,"GENERAL"}</definedName>
    <definedName name="yhy" localSheetId="9" hidden="1">{"TAB1",#N/A,TRUE,"GENERAL";"TAB2",#N/A,TRUE,"GENERAL";"TAB3",#N/A,TRUE,"GENERAL";"TAB4",#N/A,TRUE,"GENERAL";"TAB5",#N/A,TRUE,"GENERAL"}</definedName>
    <definedName name="yhy" localSheetId="16" hidden="1">{"TAB1",#N/A,TRUE,"GENERAL";"TAB2",#N/A,TRUE,"GENERAL";"TAB3",#N/A,TRUE,"GENERAL";"TAB4",#N/A,TRUE,"GENERAL";"TAB5",#N/A,TRUE,"GENERAL"}</definedName>
    <definedName name="yhy" localSheetId="19" hidden="1">{"TAB1",#N/A,TRUE,"GENERAL";"TAB2",#N/A,TRUE,"GENERAL";"TAB3",#N/A,TRUE,"GENERAL";"TAB4",#N/A,TRUE,"GENERAL";"TAB5",#N/A,TRUE,"GENERAL"}</definedName>
    <definedName name="yhy" hidden="1">{"TAB1",#N/A,TRUE,"GENERAL";"TAB2",#N/A,TRUE,"GENERAL";"TAB3",#N/A,TRUE,"GENERAL";"TAB4",#N/A,TRUE,"GENERAL";"TAB5",#N/A,TRUE,"GENERAL"}</definedName>
    <definedName name="yjyj" localSheetId="1" hidden="1">{"TAB1",#N/A,TRUE,"GENERAL";"TAB2",#N/A,TRUE,"GENERAL";"TAB3",#N/A,TRUE,"GENERAL";"TAB4",#N/A,TRUE,"GENERAL";"TAB5",#N/A,TRUE,"GENERAL"}</definedName>
    <definedName name="yjyj" localSheetId="9" hidden="1">{"TAB1",#N/A,TRUE,"GENERAL";"TAB2",#N/A,TRUE,"GENERAL";"TAB3",#N/A,TRUE,"GENERAL";"TAB4",#N/A,TRUE,"GENERAL";"TAB5",#N/A,TRUE,"GENERAL"}</definedName>
    <definedName name="yjyj" localSheetId="16" hidden="1">{"TAB1",#N/A,TRUE,"GENERAL";"TAB2",#N/A,TRUE,"GENERAL";"TAB3",#N/A,TRUE,"GENERAL";"TAB4",#N/A,TRUE,"GENERAL";"TAB5",#N/A,TRUE,"GENERAL"}</definedName>
    <definedName name="yjyj" localSheetId="19" hidden="1">{"TAB1",#N/A,TRUE,"GENERAL";"TAB2",#N/A,TRUE,"GENERAL";"TAB3",#N/A,TRUE,"GENERAL";"TAB4",#N/A,TRUE,"GENERAL";"TAB5",#N/A,TRUE,"GENERAL"}</definedName>
    <definedName name="yjyj" hidden="1">{"TAB1",#N/A,TRUE,"GENERAL";"TAB2",#N/A,TRUE,"GENERAL";"TAB3",#N/A,TRUE,"GENERAL";"TAB4",#N/A,TRUE,"GENERAL";"TAB5",#N/A,TRUE,"GENERAL"}</definedName>
    <definedName name="yn" localSheetId="3">#REF!</definedName>
    <definedName name="yn">#REF!</definedName>
    <definedName name="YO" hidden="1">{#N/A,#N/A,FALSE,"GRAFICO";#N/A,#N/A,FALSE,"CAJA (2)";#N/A,#N/A,FALSE,"TERCEROS-PROMEDIO";#N/A,#N/A,FALSE,"CAJA";#N/A,#N/A,FALSE,"INGRESOS1995-2003";#N/A,#N/A,FALSE,"GASTOS1995-2003"}</definedName>
    <definedName name="YOLOM" localSheetId="3">#REF!</definedName>
    <definedName name="YOLOM">#REF!</definedName>
    <definedName name="YOLOMB4" localSheetId="3">#REF!</definedName>
    <definedName name="YOLOMB4">#REF!</definedName>
    <definedName name="yrey" localSheetId="1" hidden="1">{"via1",#N/A,TRUE,"general";"via2",#N/A,TRUE,"general";"via3",#N/A,TRUE,"general"}</definedName>
    <definedName name="yrey" localSheetId="9" hidden="1">{"via1",#N/A,TRUE,"general";"via2",#N/A,TRUE,"general";"via3",#N/A,TRUE,"general"}</definedName>
    <definedName name="yrey" localSheetId="16" hidden="1">{"via1",#N/A,TRUE,"general";"via2",#N/A,TRUE,"general";"via3",#N/A,TRUE,"general"}</definedName>
    <definedName name="yrey" localSheetId="19" hidden="1">{"via1",#N/A,TRUE,"general";"via2",#N/A,TRUE,"general";"via3",#N/A,TRUE,"general"}</definedName>
    <definedName name="yrey" hidden="1">{"via1",#N/A,TRUE,"general";"via2",#N/A,TRUE,"general";"via3",#N/A,TRUE,"general"}</definedName>
    <definedName name="yry" localSheetId="1" hidden="1">{"via1",#N/A,TRUE,"general";"via2",#N/A,TRUE,"general";"via3",#N/A,TRUE,"general"}</definedName>
    <definedName name="yry" localSheetId="9" hidden="1">{"via1",#N/A,TRUE,"general";"via2",#N/A,TRUE,"general";"via3",#N/A,TRUE,"general"}</definedName>
    <definedName name="yry" localSheetId="16" hidden="1">{"via1",#N/A,TRUE,"general";"via2",#N/A,TRUE,"general";"via3",#N/A,TRUE,"general"}</definedName>
    <definedName name="yry" localSheetId="19" hidden="1">{"via1",#N/A,TRUE,"general";"via2",#N/A,TRUE,"general";"via3",#N/A,TRUE,"general"}</definedName>
    <definedName name="yry" hidden="1">{"via1",#N/A,TRUE,"general";"via2",#N/A,TRUE,"general";"via3",#N/A,TRUE,"general"}</definedName>
    <definedName name="ytj" localSheetId="1" hidden="1">{"TAB1",#N/A,TRUE,"GENERAL";"TAB2",#N/A,TRUE,"GENERAL";"TAB3",#N/A,TRUE,"GENERAL";"TAB4",#N/A,TRUE,"GENERAL";"TAB5",#N/A,TRUE,"GENERAL"}</definedName>
    <definedName name="ytj" localSheetId="9" hidden="1">{"TAB1",#N/A,TRUE,"GENERAL";"TAB2",#N/A,TRUE,"GENERAL";"TAB3",#N/A,TRUE,"GENERAL";"TAB4",#N/A,TRUE,"GENERAL";"TAB5",#N/A,TRUE,"GENERAL"}</definedName>
    <definedName name="ytj" localSheetId="16" hidden="1">{"TAB1",#N/A,TRUE,"GENERAL";"TAB2",#N/A,TRUE,"GENERAL";"TAB3",#N/A,TRUE,"GENERAL";"TAB4",#N/A,TRUE,"GENERAL";"TAB5",#N/A,TRUE,"GENERAL"}</definedName>
    <definedName name="ytj" localSheetId="19" hidden="1">{"TAB1",#N/A,TRUE,"GENERAL";"TAB2",#N/A,TRUE,"GENERAL";"TAB3",#N/A,TRUE,"GENERAL";"TAB4",#N/A,TRUE,"GENERAL";"TAB5",#N/A,TRUE,"GENERAL"}</definedName>
    <definedName name="ytj" hidden="1">{"TAB1",#N/A,TRUE,"GENERAL";"TAB2",#N/A,TRUE,"GENERAL";"TAB3",#N/A,TRUE,"GENERAL";"TAB4",#N/A,TRUE,"GENERAL";"TAB5",#N/A,TRUE,"GENERAL"}</definedName>
    <definedName name="ytjt6" localSheetId="1" hidden="1">{"via1",#N/A,TRUE,"general";"via2",#N/A,TRUE,"general";"via3",#N/A,TRUE,"general"}</definedName>
    <definedName name="ytjt6" localSheetId="9" hidden="1">{"via1",#N/A,TRUE,"general";"via2",#N/A,TRUE,"general";"via3",#N/A,TRUE,"general"}</definedName>
    <definedName name="ytjt6" localSheetId="16" hidden="1">{"via1",#N/A,TRUE,"general";"via2",#N/A,TRUE,"general";"via3",#N/A,TRUE,"general"}</definedName>
    <definedName name="ytjt6" localSheetId="19" hidden="1">{"via1",#N/A,TRUE,"general";"via2",#N/A,TRUE,"general";"via3",#N/A,TRUE,"general"}</definedName>
    <definedName name="ytjt6" hidden="1">{"via1",#N/A,TRUE,"general";"via2",#N/A,TRUE,"general";"via3",#N/A,TRUE,"general"}</definedName>
    <definedName name="ytrwyr" localSheetId="1" hidden="1">{"TAB1",#N/A,TRUE,"GENERAL";"TAB2",#N/A,TRUE,"GENERAL";"TAB3",#N/A,TRUE,"GENERAL";"TAB4",#N/A,TRUE,"GENERAL";"TAB5",#N/A,TRUE,"GENERAL"}</definedName>
    <definedName name="ytrwyr" localSheetId="9" hidden="1">{"TAB1",#N/A,TRUE,"GENERAL";"TAB2",#N/A,TRUE,"GENERAL";"TAB3",#N/A,TRUE,"GENERAL";"TAB4",#N/A,TRUE,"GENERAL";"TAB5",#N/A,TRUE,"GENERAL"}</definedName>
    <definedName name="ytrwyr" localSheetId="16" hidden="1">{"TAB1",#N/A,TRUE,"GENERAL";"TAB2",#N/A,TRUE,"GENERAL";"TAB3",#N/A,TRUE,"GENERAL";"TAB4",#N/A,TRUE,"GENERAL";"TAB5",#N/A,TRUE,"GENERAL"}</definedName>
    <definedName name="ytrwyr" localSheetId="19" hidden="1">{"TAB1",#N/A,TRUE,"GENERAL";"TAB2",#N/A,TRUE,"GENERAL";"TAB3",#N/A,TRUE,"GENERAL";"TAB4",#N/A,TRUE,"GENERAL";"TAB5",#N/A,TRUE,"GENERAL"}</definedName>
    <definedName name="ytrwyr" hidden="1">{"TAB1",#N/A,TRUE,"GENERAL";"TAB2",#N/A,TRUE,"GENERAL";"TAB3",#N/A,TRUE,"GENERAL";"TAB4",#N/A,TRUE,"GENERAL";"TAB5",#N/A,TRUE,"GENERAL"}</definedName>
    <definedName name="ytry" localSheetId="1" hidden="1">{"via1",#N/A,TRUE,"general";"via2",#N/A,TRUE,"general";"via3",#N/A,TRUE,"general"}</definedName>
    <definedName name="ytry" localSheetId="9" hidden="1">{"via1",#N/A,TRUE,"general";"via2",#N/A,TRUE,"general";"via3",#N/A,TRUE,"general"}</definedName>
    <definedName name="ytry" localSheetId="16" hidden="1">{"via1",#N/A,TRUE,"general";"via2",#N/A,TRUE,"general";"via3",#N/A,TRUE,"general"}</definedName>
    <definedName name="ytry" localSheetId="19" hidden="1">{"via1",#N/A,TRUE,"general";"via2",#N/A,TRUE,"general";"via3",#N/A,TRUE,"general"}</definedName>
    <definedName name="ytry" hidden="1">{"via1",#N/A,TRUE,"general";"via2",#N/A,TRUE,"general";"via3",#N/A,TRUE,"general"}</definedName>
    <definedName name="ytryrty" localSheetId="1" hidden="1">{"via1",#N/A,TRUE,"general";"via2",#N/A,TRUE,"general";"via3",#N/A,TRUE,"general"}</definedName>
    <definedName name="ytryrty" localSheetId="9" hidden="1">{"via1",#N/A,TRUE,"general";"via2",#N/A,TRUE,"general";"via3",#N/A,TRUE,"general"}</definedName>
    <definedName name="ytryrty" localSheetId="16" hidden="1">{"via1",#N/A,TRUE,"general";"via2",#N/A,TRUE,"general";"via3",#N/A,TRUE,"general"}</definedName>
    <definedName name="ytryrty" localSheetId="19" hidden="1">{"via1",#N/A,TRUE,"general";"via2",#N/A,TRUE,"general";"via3",#N/A,TRUE,"general"}</definedName>
    <definedName name="ytryrty" hidden="1">{"via1",#N/A,TRUE,"general";"via2",#N/A,TRUE,"general";"via3",#N/A,TRUE,"general"}</definedName>
    <definedName name="YTRYUYT" localSheetId="1" hidden="1">{"TAB1",#N/A,TRUE,"GENERAL";"TAB2",#N/A,TRUE,"GENERAL";"TAB3",#N/A,TRUE,"GENERAL";"TAB4",#N/A,TRUE,"GENERAL";"TAB5",#N/A,TRUE,"GENERAL"}</definedName>
    <definedName name="YTRYUYT" localSheetId="9" hidden="1">{"TAB1",#N/A,TRUE,"GENERAL";"TAB2",#N/A,TRUE,"GENERAL";"TAB3",#N/A,TRUE,"GENERAL";"TAB4",#N/A,TRUE,"GENERAL";"TAB5",#N/A,TRUE,"GENERAL"}</definedName>
    <definedName name="YTRYUYT" localSheetId="16" hidden="1">{"TAB1",#N/A,TRUE,"GENERAL";"TAB2",#N/A,TRUE,"GENERAL";"TAB3",#N/A,TRUE,"GENERAL";"TAB4",#N/A,TRUE,"GENERAL";"TAB5",#N/A,TRUE,"GENERAL"}</definedName>
    <definedName name="YTRYUYT" localSheetId="19" hidden="1">{"TAB1",#N/A,TRUE,"GENERAL";"TAB2",#N/A,TRUE,"GENERAL";"TAB3",#N/A,TRUE,"GENERAL";"TAB4",#N/A,TRUE,"GENERAL";"TAB5",#N/A,TRUE,"GENERAL"}</definedName>
    <definedName name="YTRYUYT" hidden="1">{"TAB1",#N/A,TRUE,"GENERAL";"TAB2",#N/A,TRUE,"GENERAL";"TAB3",#N/A,TRUE,"GENERAL";"TAB4",#N/A,TRUE,"GENERAL";"TAB5",#N/A,TRUE,"GENERAL"}</definedName>
    <definedName name="ytudfgd" localSheetId="1" hidden="1">{"TAB1",#N/A,TRUE,"GENERAL";"TAB2",#N/A,TRUE,"GENERAL";"TAB3",#N/A,TRUE,"GENERAL";"TAB4",#N/A,TRUE,"GENERAL";"TAB5",#N/A,TRUE,"GENERAL"}</definedName>
    <definedName name="ytudfgd" localSheetId="9" hidden="1">{"TAB1",#N/A,TRUE,"GENERAL";"TAB2",#N/A,TRUE,"GENERAL";"TAB3",#N/A,TRUE,"GENERAL";"TAB4",#N/A,TRUE,"GENERAL";"TAB5",#N/A,TRUE,"GENERAL"}</definedName>
    <definedName name="ytudfgd" localSheetId="16" hidden="1">{"TAB1",#N/A,TRUE,"GENERAL";"TAB2",#N/A,TRUE,"GENERAL";"TAB3",#N/A,TRUE,"GENERAL";"TAB4",#N/A,TRUE,"GENERAL";"TAB5",#N/A,TRUE,"GENERAL"}</definedName>
    <definedName name="ytudfgd" localSheetId="19" hidden="1">{"TAB1",#N/A,TRUE,"GENERAL";"TAB2",#N/A,TRUE,"GENERAL";"TAB3",#N/A,TRUE,"GENERAL";"TAB4",#N/A,TRUE,"GENERAL";"TAB5",#N/A,TRUE,"GENERAL"}</definedName>
    <definedName name="ytudfgd" hidden="1">{"TAB1",#N/A,TRUE,"GENERAL";"TAB2",#N/A,TRUE,"GENERAL";"TAB3",#N/A,TRUE,"GENERAL";"TAB4",#N/A,TRUE,"GENERAL";"TAB5",#N/A,TRUE,"GENERAL"}</definedName>
    <definedName name="yturtu7" localSheetId="1" hidden="1">{"TAB1",#N/A,TRUE,"GENERAL";"TAB2",#N/A,TRUE,"GENERAL";"TAB3",#N/A,TRUE,"GENERAL";"TAB4",#N/A,TRUE,"GENERAL";"TAB5",#N/A,TRUE,"GENERAL"}</definedName>
    <definedName name="yturtu7" localSheetId="9" hidden="1">{"TAB1",#N/A,TRUE,"GENERAL";"TAB2",#N/A,TRUE,"GENERAL";"TAB3",#N/A,TRUE,"GENERAL";"TAB4",#N/A,TRUE,"GENERAL";"TAB5",#N/A,TRUE,"GENERAL"}</definedName>
    <definedName name="yturtu7" localSheetId="16" hidden="1">{"TAB1",#N/A,TRUE,"GENERAL";"TAB2",#N/A,TRUE,"GENERAL";"TAB3",#N/A,TRUE,"GENERAL";"TAB4",#N/A,TRUE,"GENERAL";"TAB5",#N/A,TRUE,"GENERAL"}</definedName>
    <definedName name="yturtu7" localSheetId="19" hidden="1">{"TAB1",#N/A,TRUE,"GENERAL";"TAB2",#N/A,TRUE,"GENERAL";"TAB3",#N/A,TRUE,"GENERAL";"TAB4",#N/A,TRUE,"GENERAL";"TAB5",#N/A,TRUE,"GENERAL"}</definedName>
    <definedName name="yturtu7" hidden="1">{"TAB1",#N/A,TRUE,"GENERAL";"TAB2",#N/A,TRUE,"GENERAL";"TAB3",#N/A,TRUE,"GENERAL";"TAB4",#N/A,TRUE,"GENERAL";"TAB5",#N/A,TRUE,"GENERAL"}</definedName>
    <definedName name="yturu" localSheetId="1" hidden="1">{"TAB1",#N/A,TRUE,"GENERAL";"TAB2",#N/A,TRUE,"GENERAL";"TAB3",#N/A,TRUE,"GENERAL";"TAB4",#N/A,TRUE,"GENERAL";"TAB5",#N/A,TRUE,"GENERAL"}</definedName>
    <definedName name="yturu" localSheetId="9" hidden="1">{"TAB1",#N/A,TRUE,"GENERAL";"TAB2",#N/A,TRUE,"GENERAL";"TAB3",#N/A,TRUE,"GENERAL";"TAB4",#N/A,TRUE,"GENERAL";"TAB5",#N/A,TRUE,"GENERAL"}</definedName>
    <definedName name="yturu" localSheetId="16" hidden="1">{"TAB1",#N/A,TRUE,"GENERAL";"TAB2",#N/A,TRUE,"GENERAL";"TAB3",#N/A,TRUE,"GENERAL";"TAB4",#N/A,TRUE,"GENERAL";"TAB5",#N/A,TRUE,"GENERAL"}</definedName>
    <definedName name="yturu" localSheetId="19" hidden="1">{"TAB1",#N/A,TRUE,"GENERAL";"TAB2",#N/A,TRUE,"GENERAL";"TAB3",#N/A,TRUE,"GENERAL";"TAB4",#N/A,TRUE,"GENERAL";"TAB5",#N/A,TRUE,"GENERAL"}</definedName>
    <definedName name="yturu" hidden="1">{"TAB1",#N/A,TRUE,"GENERAL";"TAB2",#N/A,TRUE,"GENERAL";"TAB3",#N/A,TRUE,"GENERAL";"TAB4",#N/A,TRUE,"GENERAL";"TAB5",#N/A,TRUE,"GENERAL"}</definedName>
    <definedName name="ytuytfgh" localSheetId="1" hidden="1">{"via1",#N/A,TRUE,"general";"via2",#N/A,TRUE,"general";"via3",#N/A,TRUE,"general"}</definedName>
    <definedName name="ytuytfgh" localSheetId="9" hidden="1">{"via1",#N/A,TRUE,"general";"via2",#N/A,TRUE,"general";"via3",#N/A,TRUE,"general"}</definedName>
    <definedName name="ytuytfgh" localSheetId="16" hidden="1">{"via1",#N/A,TRUE,"general";"via2",#N/A,TRUE,"general";"via3",#N/A,TRUE,"general"}</definedName>
    <definedName name="ytuytfgh" localSheetId="19" hidden="1">{"via1",#N/A,TRUE,"general";"via2",#N/A,TRUE,"general";"via3",#N/A,TRUE,"general"}</definedName>
    <definedName name="ytuytfgh" hidden="1">{"via1",#N/A,TRUE,"general";"via2",#N/A,TRUE,"general";"via3",#N/A,TRUE,"general"}</definedName>
    <definedName name="yty" localSheetId="1" hidden="1">{"TAB1",#N/A,TRUE,"GENERAL";"TAB2",#N/A,TRUE,"GENERAL";"TAB3",#N/A,TRUE,"GENERAL";"TAB4",#N/A,TRUE,"GENERAL";"TAB5",#N/A,TRUE,"GENERAL"}</definedName>
    <definedName name="yty" localSheetId="9" hidden="1">{"TAB1",#N/A,TRUE,"GENERAL";"TAB2",#N/A,TRUE,"GENERAL";"TAB3",#N/A,TRUE,"GENERAL";"TAB4",#N/A,TRUE,"GENERAL";"TAB5",#N/A,TRUE,"GENERAL"}</definedName>
    <definedName name="yty" localSheetId="16" hidden="1">{"TAB1",#N/A,TRUE,"GENERAL";"TAB2",#N/A,TRUE,"GENERAL";"TAB3",#N/A,TRUE,"GENERAL";"TAB4",#N/A,TRUE,"GENERAL";"TAB5",#N/A,TRUE,"GENERAL"}</definedName>
    <definedName name="yty" localSheetId="19" hidden="1">{"TAB1",#N/A,TRUE,"GENERAL";"TAB2",#N/A,TRUE,"GENERAL";"TAB3",#N/A,TRUE,"GENERAL";"TAB4",#N/A,TRUE,"GENERAL";"TAB5",#N/A,TRUE,"GENERAL"}</definedName>
    <definedName name="yty" hidden="1">{"TAB1",#N/A,TRUE,"GENERAL";"TAB2",#N/A,TRUE,"GENERAL";"TAB3",#N/A,TRUE,"GENERAL";"TAB4",#N/A,TRUE,"GENERAL";"TAB5",#N/A,TRUE,"GENERAL"}</definedName>
    <definedName name="ytyyh" localSheetId="1" hidden="1">{"via1",#N/A,TRUE,"general";"via2",#N/A,TRUE,"general";"via3",#N/A,TRUE,"general"}</definedName>
    <definedName name="ytyyh" localSheetId="9" hidden="1">{"via1",#N/A,TRUE,"general";"via2",#N/A,TRUE,"general";"via3",#N/A,TRUE,"general"}</definedName>
    <definedName name="ytyyh" localSheetId="16" hidden="1">{"via1",#N/A,TRUE,"general";"via2",#N/A,TRUE,"general";"via3",#N/A,TRUE,"general"}</definedName>
    <definedName name="ytyyh" localSheetId="19" hidden="1">{"via1",#N/A,TRUE,"general";"via2",#N/A,TRUE,"general";"via3",#N/A,TRUE,"general"}</definedName>
    <definedName name="ytyyh" hidden="1">{"via1",#N/A,TRUE,"general";"via2",#N/A,TRUE,"general";"via3",#N/A,TRUE,"general"}</definedName>
    <definedName name="ytzacdfg" localSheetId="1" hidden="1">{"TAB1",#N/A,TRUE,"GENERAL";"TAB2",#N/A,TRUE,"GENERAL";"TAB3",#N/A,TRUE,"GENERAL";"TAB4",#N/A,TRUE,"GENERAL";"TAB5",#N/A,TRUE,"GENERAL"}</definedName>
    <definedName name="ytzacdfg" localSheetId="9" hidden="1">{"TAB1",#N/A,TRUE,"GENERAL";"TAB2",#N/A,TRUE,"GENERAL";"TAB3",#N/A,TRUE,"GENERAL";"TAB4",#N/A,TRUE,"GENERAL";"TAB5",#N/A,TRUE,"GENERAL"}</definedName>
    <definedName name="ytzacdfg" localSheetId="16" hidden="1">{"TAB1",#N/A,TRUE,"GENERAL";"TAB2",#N/A,TRUE,"GENERAL";"TAB3",#N/A,TRUE,"GENERAL";"TAB4",#N/A,TRUE,"GENERAL";"TAB5",#N/A,TRUE,"GENERAL"}</definedName>
    <definedName name="ytzacdfg" localSheetId="19" hidden="1">{"TAB1",#N/A,TRUE,"GENERAL";"TAB2",#N/A,TRUE,"GENERAL";"TAB3",#N/A,TRUE,"GENERAL";"TAB4",#N/A,TRUE,"GENERAL";"TAB5",#N/A,TRUE,"GENERAL"}</definedName>
    <definedName name="ytzacdfg" hidden="1">{"TAB1",#N/A,TRUE,"GENERAL";"TAB2",#N/A,TRUE,"GENERAL";"TAB3",#N/A,TRUE,"GENERAL";"TAB4",#N/A,TRUE,"GENERAL";"TAB5",#N/A,TRUE,"GENERAL"}</definedName>
    <definedName name="yu" localSheetId="1" hidden="1">{"TAB1",#N/A,TRUE,"GENERAL";"TAB2",#N/A,TRUE,"GENERAL";"TAB3",#N/A,TRUE,"GENERAL";"TAB4",#N/A,TRUE,"GENERAL";"TAB5",#N/A,TRUE,"GENERAL"}</definedName>
    <definedName name="yu" localSheetId="9" hidden="1">{"TAB1",#N/A,TRUE,"GENERAL";"TAB2",#N/A,TRUE,"GENERAL";"TAB3",#N/A,TRUE,"GENERAL";"TAB4",#N/A,TRUE,"GENERAL";"TAB5",#N/A,TRUE,"GENERAL"}</definedName>
    <definedName name="yu" localSheetId="16" hidden="1">{"TAB1",#N/A,TRUE,"GENERAL";"TAB2",#N/A,TRUE,"GENERAL";"TAB3",#N/A,TRUE,"GENERAL";"TAB4",#N/A,TRUE,"GENERAL";"TAB5",#N/A,TRUE,"GENERAL"}</definedName>
    <definedName name="yu" localSheetId="3">#REF!</definedName>
    <definedName name="yu" localSheetId="19" hidden="1">{"TAB1",#N/A,TRUE,"GENERAL";"TAB2",#N/A,TRUE,"GENERAL";"TAB3",#N/A,TRUE,"GENERAL";"TAB4",#N/A,TRUE,"GENERAL";"TAB5",#N/A,TRUE,"GENERAL"}</definedName>
    <definedName name="yu" hidden="1">{"TAB1",#N/A,TRUE,"GENERAL";"TAB2",#N/A,TRUE,"GENERAL";"TAB3",#N/A,TRUE,"GENERAL";"TAB4",#N/A,TRUE,"GENERAL";"TAB5",#N/A,TRUE,"GENERAL"}</definedName>
    <definedName name="yudre54" localSheetId="1" hidden="1">{"TAB1",#N/A,TRUE,"GENERAL";"TAB2",#N/A,TRUE,"GENERAL";"TAB3",#N/A,TRUE,"GENERAL";"TAB4",#N/A,TRUE,"GENERAL";"TAB5",#N/A,TRUE,"GENERAL"}</definedName>
    <definedName name="yudre54" localSheetId="9" hidden="1">{"TAB1",#N/A,TRUE,"GENERAL";"TAB2",#N/A,TRUE,"GENERAL";"TAB3",#N/A,TRUE,"GENERAL";"TAB4",#N/A,TRUE,"GENERAL";"TAB5",#N/A,TRUE,"GENERAL"}</definedName>
    <definedName name="yudre54" localSheetId="16" hidden="1">{"TAB1",#N/A,TRUE,"GENERAL";"TAB2",#N/A,TRUE,"GENERAL";"TAB3",#N/A,TRUE,"GENERAL";"TAB4",#N/A,TRUE,"GENERAL";"TAB5",#N/A,TRUE,"GENERAL"}</definedName>
    <definedName name="yudre54" localSheetId="19" hidden="1">{"TAB1",#N/A,TRUE,"GENERAL";"TAB2",#N/A,TRUE,"GENERAL";"TAB3",#N/A,TRUE,"GENERAL";"TAB4",#N/A,TRUE,"GENERAL";"TAB5",#N/A,TRUE,"GENERAL"}</definedName>
    <definedName name="yudre54" hidden="1">{"TAB1",#N/A,TRUE,"GENERAL";"TAB2",#N/A,TRUE,"GENERAL";"TAB3",#N/A,TRUE,"GENERAL";"TAB4",#N/A,TRUE,"GENERAL";"TAB5",#N/A,TRUE,"GENERAL"}</definedName>
    <definedName name="yuhgh" localSheetId="1" hidden="1">{"TAB1",#N/A,TRUE,"GENERAL";"TAB2",#N/A,TRUE,"GENERAL";"TAB3",#N/A,TRUE,"GENERAL";"TAB4",#N/A,TRUE,"GENERAL";"TAB5",#N/A,TRUE,"GENERAL"}</definedName>
    <definedName name="yuhgh" localSheetId="9" hidden="1">{"TAB1",#N/A,TRUE,"GENERAL";"TAB2",#N/A,TRUE,"GENERAL";"TAB3",#N/A,TRUE,"GENERAL";"TAB4",#N/A,TRUE,"GENERAL";"TAB5",#N/A,TRUE,"GENERAL"}</definedName>
    <definedName name="yuhgh" localSheetId="16" hidden="1">{"TAB1",#N/A,TRUE,"GENERAL";"TAB2",#N/A,TRUE,"GENERAL";"TAB3",#N/A,TRUE,"GENERAL";"TAB4",#N/A,TRUE,"GENERAL";"TAB5",#N/A,TRUE,"GENERAL"}</definedName>
    <definedName name="yuhgh" localSheetId="19" hidden="1">{"TAB1",#N/A,TRUE,"GENERAL";"TAB2",#N/A,TRUE,"GENERAL";"TAB3",#N/A,TRUE,"GENERAL";"TAB4",#N/A,TRUE,"GENERAL";"TAB5",#N/A,TRUE,"GENERAL"}</definedName>
    <definedName name="yuhgh" hidden="1">{"TAB1",#N/A,TRUE,"GENERAL";"TAB2",#N/A,TRUE,"GENERAL";"TAB3",#N/A,TRUE,"GENERAL";"TAB4",#N/A,TRUE,"GENERAL";"TAB5",#N/A,TRUE,"GENERAL"}</definedName>
    <definedName name="yui" localSheetId="3">#REF!</definedName>
    <definedName name="yui">#REF!</definedName>
    <definedName name="yutu" localSheetId="1" hidden="1">{"via1",#N/A,TRUE,"general";"via2",#N/A,TRUE,"general";"via3",#N/A,TRUE,"general"}</definedName>
    <definedName name="yutu" localSheetId="9" hidden="1">{"via1",#N/A,TRUE,"general";"via2",#N/A,TRUE,"general";"via3",#N/A,TRUE,"general"}</definedName>
    <definedName name="yutu" localSheetId="16" hidden="1">{"via1",#N/A,TRUE,"general";"via2",#N/A,TRUE,"general";"via3",#N/A,TRUE,"general"}</definedName>
    <definedName name="yutu" localSheetId="19" hidden="1">{"via1",#N/A,TRUE,"general";"via2",#N/A,TRUE,"general";"via3",#N/A,TRUE,"general"}</definedName>
    <definedName name="yutu" hidden="1">{"via1",#N/A,TRUE,"general";"via2",#N/A,TRUE,"general";"via3",#N/A,TRUE,"general"}</definedName>
    <definedName name="yuuiiy" localSheetId="1" hidden="1">{"via1",#N/A,TRUE,"general";"via2",#N/A,TRUE,"general";"via3",#N/A,TRUE,"general"}</definedName>
    <definedName name="yuuiiy" localSheetId="9" hidden="1">{"via1",#N/A,TRUE,"general";"via2",#N/A,TRUE,"general";"via3",#N/A,TRUE,"general"}</definedName>
    <definedName name="yuuiiy" localSheetId="16" hidden="1">{"via1",#N/A,TRUE,"general";"via2",#N/A,TRUE,"general";"via3",#N/A,TRUE,"general"}</definedName>
    <definedName name="yuuiiy" localSheetId="19" hidden="1">{"via1",#N/A,TRUE,"general";"via2",#N/A,TRUE,"general";"via3",#N/A,TRUE,"general"}</definedName>
    <definedName name="yuuiiy" hidden="1">{"via1",#N/A,TRUE,"general";"via2",#N/A,TRUE,"general";"via3",#N/A,TRUE,"general"}</definedName>
    <definedName name="yuuuuuu" localSheetId="1" hidden="1">{"via1",#N/A,TRUE,"general";"via2",#N/A,TRUE,"general";"via3",#N/A,TRUE,"general"}</definedName>
    <definedName name="yuuuuuu" localSheetId="9" hidden="1">{"via1",#N/A,TRUE,"general";"via2",#N/A,TRUE,"general";"via3",#N/A,TRUE,"general"}</definedName>
    <definedName name="yuuuuuu" localSheetId="16" hidden="1">{"via1",#N/A,TRUE,"general";"via2",#N/A,TRUE,"general";"via3",#N/A,TRUE,"general"}</definedName>
    <definedName name="yuuuuuu" localSheetId="19" hidden="1">{"via1",#N/A,TRUE,"general";"via2",#N/A,TRUE,"general";"via3",#N/A,TRUE,"general"}</definedName>
    <definedName name="yuuuuuu" hidden="1">{"via1",#N/A,TRUE,"general";"via2",#N/A,TRUE,"general";"via3",#N/A,TRUE,"general"}</definedName>
    <definedName name="yy" localSheetId="1" hidden="1">{"via1",#N/A,TRUE,"general";"via2",#N/A,TRUE,"general";"via3",#N/A,TRUE,"general"}</definedName>
    <definedName name="yy" localSheetId="9" hidden="1">{"via1",#N/A,TRUE,"general";"via2",#N/A,TRUE,"general";"via3",#N/A,TRUE,"general"}</definedName>
    <definedName name="yy" localSheetId="16" hidden="1">{"via1",#N/A,TRUE,"general";"via2",#N/A,TRUE,"general";"via3",#N/A,TRUE,"general"}</definedName>
    <definedName name="yy" localSheetId="3">#REF!</definedName>
    <definedName name="yy" localSheetId="19" hidden="1">{"via1",#N/A,TRUE,"general";"via2",#N/A,TRUE,"general";"via3",#N/A,TRUE,"general"}</definedName>
    <definedName name="yy" hidden="1">{"via1",#N/A,TRUE,"general";"via2",#N/A,TRUE,"general";"via3",#N/A,TRUE,"general"}</definedName>
    <definedName name="yyy" localSheetId="1" hidden="1">{"TAB1",#N/A,TRUE,"GENERAL";"TAB2",#N/A,TRUE,"GENERAL";"TAB3",#N/A,TRUE,"GENERAL";"TAB4",#N/A,TRUE,"GENERAL";"TAB5",#N/A,TRUE,"GENERAL"}</definedName>
    <definedName name="yyy" localSheetId="9" hidden="1">{"TAB1",#N/A,TRUE,"GENERAL";"TAB2",#N/A,TRUE,"GENERAL";"TAB3",#N/A,TRUE,"GENERAL";"TAB4",#N/A,TRUE,"GENERAL";"TAB5",#N/A,TRUE,"GENERAL"}</definedName>
    <definedName name="yyy" localSheetId="16" hidden="1">{"TAB1",#N/A,TRUE,"GENERAL";"TAB2",#N/A,TRUE,"GENERAL";"TAB3",#N/A,TRUE,"GENERAL";"TAB4",#N/A,TRUE,"GENERAL";"TAB5",#N/A,TRUE,"GENERAL"}</definedName>
    <definedName name="YYY" localSheetId="3">#REF!</definedName>
    <definedName name="yyy" localSheetId="19" hidden="1">{"TAB1",#N/A,TRUE,"GENERAL";"TAB2",#N/A,TRUE,"GENERAL";"TAB3",#N/A,TRUE,"GENERAL";"TAB4",#N/A,TRUE,"GENERAL";"TAB5",#N/A,TRUE,"GENERAL"}</definedName>
    <definedName name="yyy" hidden="1">{"TAB1",#N/A,TRUE,"GENERAL";"TAB2",#N/A,TRUE,"GENERAL";"TAB3",#N/A,TRUE,"GENERAL";"TAB4",#N/A,TRUE,"GENERAL";"TAB5",#N/A,TRUE,"GENERAL"}</definedName>
    <definedName name="yyyuh" localSheetId="1" hidden="1">{"TAB1",#N/A,TRUE,"GENERAL";"TAB2",#N/A,TRUE,"GENERAL";"TAB3",#N/A,TRUE,"GENERAL";"TAB4",#N/A,TRUE,"GENERAL";"TAB5",#N/A,TRUE,"GENERAL"}</definedName>
    <definedName name="yyyuh" localSheetId="9" hidden="1">{"TAB1",#N/A,TRUE,"GENERAL";"TAB2",#N/A,TRUE,"GENERAL";"TAB3",#N/A,TRUE,"GENERAL";"TAB4",#N/A,TRUE,"GENERAL";"TAB5",#N/A,TRUE,"GENERAL"}</definedName>
    <definedName name="yyyuh" localSheetId="16" hidden="1">{"TAB1",#N/A,TRUE,"GENERAL";"TAB2",#N/A,TRUE,"GENERAL";"TAB3",#N/A,TRUE,"GENERAL";"TAB4",#N/A,TRUE,"GENERAL";"TAB5",#N/A,TRUE,"GENERAL"}</definedName>
    <definedName name="yyyuh" localSheetId="19" hidden="1">{"TAB1",#N/A,TRUE,"GENERAL";"TAB2",#N/A,TRUE,"GENERAL";"TAB3",#N/A,TRUE,"GENERAL";"TAB4",#N/A,TRUE,"GENERAL";"TAB5",#N/A,TRUE,"GENERAL"}</definedName>
    <definedName name="yyyuh" hidden="1">{"TAB1",#N/A,TRUE,"GENERAL";"TAB2",#N/A,TRUE,"GENERAL";"TAB3",#N/A,TRUE,"GENERAL";"TAB4",#N/A,TRUE,"GENERAL";"TAB5",#N/A,TRUE,"GENERAL"}</definedName>
    <definedName name="yyyyhhh" localSheetId="1" hidden="1">{"TAB1",#N/A,TRUE,"GENERAL";"TAB2",#N/A,TRUE,"GENERAL";"TAB3",#N/A,TRUE,"GENERAL";"TAB4",#N/A,TRUE,"GENERAL";"TAB5",#N/A,TRUE,"GENERAL"}</definedName>
    <definedName name="yyyyhhh" localSheetId="9" hidden="1">{"TAB1",#N/A,TRUE,"GENERAL";"TAB2",#N/A,TRUE,"GENERAL";"TAB3",#N/A,TRUE,"GENERAL";"TAB4",#N/A,TRUE,"GENERAL";"TAB5",#N/A,TRUE,"GENERAL"}</definedName>
    <definedName name="yyyyhhh" localSheetId="16" hidden="1">{"TAB1",#N/A,TRUE,"GENERAL";"TAB2",#N/A,TRUE,"GENERAL";"TAB3",#N/A,TRUE,"GENERAL";"TAB4",#N/A,TRUE,"GENERAL";"TAB5",#N/A,TRUE,"GENERAL"}</definedName>
    <definedName name="yyyyhhh" localSheetId="19" hidden="1">{"TAB1",#N/A,TRUE,"GENERAL";"TAB2",#N/A,TRUE,"GENERAL";"TAB3",#N/A,TRUE,"GENERAL";"TAB4",#N/A,TRUE,"GENERAL";"TAB5",#N/A,TRUE,"GENERAL"}</definedName>
    <definedName name="yyyyhhh" hidden="1">{"TAB1",#N/A,TRUE,"GENERAL";"TAB2",#N/A,TRUE,"GENERAL";"TAB3",#N/A,TRUE,"GENERAL";"TAB4",#N/A,TRUE,"GENERAL";"TAB5",#N/A,TRUE,"GENERAL"}</definedName>
    <definedName name="yyyyyf" localSheetId="1" hidden="1">{"via1",#N/A,TRUE,"general";"via2",#N/A,TRUE,"general";"via3",#N/A,TRUE,"general"}</definedName>
    <definedName name="yyyyyf" localSheetId="9" hidden="1">{"via1",#N/A,TRUE,"general";"via2",#N/A,TRUE,"general";"via3",#N/A,TRUE,"general"}</definedName>
    <definedName name="yyyyyf" localSheetId="16" hidden="1">{"via1",#N/A,TRUE,"general";"via2",#N/A,TRUE,"general";"via3",#N/A,TRUE,"general"}</definedName>
    <definedName name="yyyyyf" localSheetId="19" hidden="1">{"via1",#N/A,TRUE,"general";"via2",#N/A,TRUE,"general";"via3",#N/A,TRUE,"general"}</definedName>
    <definedName name="yyyyyf" hidden="1">{"via1",#N/A,TRUE,"general";"via2",#N/A,TRUE,"general";"via3",#N/A,TRUE,"general"}</definedName>
    <definedName name="z" localSheetId="16">#REF!</definedName>
    <definedName name="Z" localSheetId="3">'[63]Itemes Renovación'!#REF!</definedName>
    <definedName name="z" localSheetId="19">'INSUMOS '!#REF!</definedName>
    <definedName name="z">#REF!</definedName>
    <definedName name="Z_026CD6D7_F7CA_4BE8_B625_9A1778CFA739_.wvu.FilterData" localSheetId="1" hidden="1">[22]Presupuesto_Via_distribuidora!$A$9:$H$344</definedName>
    <definedName name="Z_026CD6D7_F7CA_4BE8_B625_9A1778CFA739_.wvu.FilterData" localSheetId="16" hidden="1">[22]Presupuesto_Via_distribuidora!$A$9:$H$344</definedName>
    <definedName name="Z_026CD6D7_F7CA_4BE8_B625_9A1778CFA739_.wvu.FilterData" localSheetId="3" hidden="1">[14]Presupuesto_Via_distribuidora!$A$9:$H$344</definedName>
    <definedName name="Z_026CD6D7_F7CA_4BE8_B625_9A1778CFA739_.wvu.FilterData" hidden="1">[22]Presupuesto_Via_distribuidora!$A$9:$H$344</definedName>
    <definedName name="Z_026CD6D7_F7CA_4BE8_B625_9A1778CFA739_.wvu.PrintArea" localSheetId="1" hidden="1">[22]Presupuesto_Via_distribuidora!$A$390:$I$602</definedName>
    <definedName name="Z_026CD6D7_F7CA_4BE8_B625_9A1778CFA739_.wvu.PrintArea" localSheetId="16" hidden="1">[22]Presupuesto_Via_distribuidora!$A$390:$I$602</definedName>
    <definedName name="Z_026CD6D7_F7CA_4BE8_B625_9A1778CFA739_.wvu.PrintArea" localSheetId="3" hidden="1">[14]Presupuesto_Via_distribuidora!$A$390:$I$602</definedName>
    <definedName name="Z_026CD6D7_F7CA_4BE8_B625_9A1778CFA739_.wvu.PrintArea" hidden="1">[22]Presupuesto_Via_distribuidora!$A$390:$I$602</definedName>
    <definedName name="Z_026CD6D7_F7CA_4BE8_B625_9A1778CFA739_.wvu.PrintTitles" localSheetId="1" hidden="1">[22]Presupuesto_Via_distribuidora!$380:$389</definedName>
    <definedName name="Z_026CD6D7_F7CA_4BE8_B625_9A1778CFA739_.wvu.PrintTitles" localSheetId="16" hidden="1">[22]Presupuesto_Via_distribuidora!$380:$389</definedName>
    <definedName name="Z_026CD6D7_F7CA_4BE8_B625_9A1778CFA739_.wvu.PrintTitles" localSheetId="3" hidden="1">[14]Presupuesto_Via_distribuidora!$380:$389</definedName>
    <definedName name="Z_026CD6D7_F7CA_4BE8_B625_9A1778CFA739_.wvu.PrintTitles" hidden="1">[22]Presupuesto_Via_distribuidora!$380:$389</definedName>
    <definedName name="Z_05670E35_1347_49D9_AD91_AA9A31A4EF61_.wvu.FilterData" localSheetId="1" hidden="1">[22]Presupuesto_Via_distribuidora!$A$9:$H$344</definedName>
    <definedName name="Z_05670E35_1347_49D9_AD91_AA9A31A4EF61_.wvu.FilterData" localSheetId="16" hidden="1">[22]Presupuesto_Via_distribuidora!$A$9:$H$344</definedName>
    <definedName name="Z_05670E35_1347_49D9_AD91_AA9A31A4EF61_.wvu.FilterData" localSheetId="3" hidden="1">[14]Presupuesto_Via_distribuidora!$A$9:$H$344</definedName>
    <definedName name="Z_05670E35_1347_49D9_AD91_AA9A31A4EF61_.wvu.FilterData" hidden="1">[22]Presupuesto_Via_distribuidora!$A$9:$H$344</definedName>
    <definedName name="Z_05670E35_1347_49D9_AD91_AA9A31A4EF61_.wvu.PrintArea" localSheetId="1" hidden="1">[22]Presupuesto_Via_distribuidora!$C$1:$H$344</definedName>
    <definedName name="Z_05670E35_1347_49D9_AD91_AA9A31A4EF61_.wvu.PrintArea" localSheetId="16" hidden="1">[22]Presupuesto_Via_distribuidora!$C$1:$H$344</definedName>
    <definedName name="Z_05670E35_1347_49D9_AD91_AA9A31A4EF61_.wvu.PrintArea" localSheetId="3" hidden="1">[14]Presupuesto_Via_distribuidora!$C$1:$H$344</definedName>
    <definedName name="Z_05670E35_1347_49D9_AD91_AA9A31A4EF61_.wvu.PrintArea" hidden="1">[22]Presupuesto_Via_distribuidora!$C$1:$H$344</definedName>
    <definedName name="Z_05670E35_1347_49D9_AD91_AA9A31A4EF61_.wvu.PrintTitles" localSheetId="1" hidden="1">[22]Presupuesto_Via_distribuidora!$2:$8</definedName>
    <definedName name="Z_05670E35_1347_49D9_AD91_AA9A31A4EF61_.wvu.PrintTitles" localSheetId="16" hidden="1">[22]Presupuesto_Via_distribuidora!$2:$8</definedName>
    <definedName name="Z_05670E35_1347_49D9_AD91_AA9A31A4EF61_.wvu.PrintTitles" localSheetId="3" hidden="1">[14]Presupuesto_Via_distribuidora!$2:$8</definedName>
    <definedName name="Z_05670E35_1347_49D9_AD91_AA9A31A4EF61_.wvu.PrintTitles" hidden="1">[22]Presupuesto_Via_distribuidora!$2:$8</definedName>
    <definedName name="Z_086A872D_15DF_436A_8459_CE22F6819FF4_.wvu.Rows" hidden="1">[10]Presentacion!#REF!</definedName>
    <definedName name="Z_0890F28A_A8C8_451C_A3E6_C3AFDD239B64_.wvu.FilterData" localSheetId="1" hidden="1">[22]Presupuesto_Via_distribuidora!$A$9:$H$344</definedName>
    <definedName name="Z_0890F28A_A8C8_451C_A3E6_C3AFDD239B64_.wvu.FilterData" localSheetId="16" hidden="1">[22]Presupuesto_Via_distribuidora!$A$9:$H$344</definedName>
    <definedName name="Z_0890F28A_A8C8_451C_A3E6_C3AFDD239B64_.wvu.FilterData" localSheetId="3" hidden="1">[14]Presupuesto_Via_distribuidora!$A$9:$H$344</definedName>
    <definedName name="Z_0890F28A_A8C8_451C_A3E6_C3AFDD239B64_.wvu.FilterData" hidden="1">[22]Presupuesto_Via_distribuidora!$A$9:$H$344</definedName>
    <definedName name="Z_0890F28A_A8C8_451C_A3E6_C3AFDD239B64_.wvu.PrintArea" localSheetId="1" hidden="1">[22]Presupuesto_Via_distribuidora!$A$392:$I$604</definedName>
    <definedName name="Z_0890F28A_A8C8_451C_A3E6_C3AFDD239B64_.wvu.PrintArea" localSheetId="16" hidden="1">[22]Presupuesto_Via_distribuidora!$A$392:$I$604</definedName>
    <definedName name="Z_0890F28A_A8C8_451C_A3E6_C3AFDD239B64_.wvu.PrintArea" localSheetId="3" hidden="1">[14]Presupuesto_Via_distribuidora!$A$392:$I$604</definedName>
    <definedName name="Z_0890F28A_A8C8_451C_A3E6_C3AFDD239B64_.wvu.PrintArea" hidden="1">[22]Presupuesto_Via_distribuidora!$A$392:$I$604</definedName>
    <definedName name="Z_0890F28A_A8C8_451C_A3E6_C3AFDD239B64_.wvu.PrintTitles" localSheetId="1" hidden="1">[22]Presupuesto_Via_distribuidora!$382:$391</definedName>
    <definedName name="Z_0890F28A_A8C8_451C_A3E6_C3AFDD239B64_.wvu.PrintTitles" localSheetId="16" hidden="1">[22]Presupuesto_Via_distribuidora!$382:$391</definedName>
    <definedName name="Z_0890F28A_A8C8_451C_A3E6_C3AFDD239B64_.wvu.PrintTitles" localSheetId="3" hidden="1">[14]Presupuesto_Via_distribuidora!$382:$391</definedName>
    <definedName name="Z_0890F28A_A8C8_451C_A3E6_C3AFDD239B64_.wvu.PrintTitles" hidden="1">[22]Presupuesto_Via_distribuidora!$382:$391</definedName>
    <definedName name="Z_0A4C2D72_EA87_11DA_B6F6_00609720E0A1_.wvu.FilterData" localSheetId="1" hidden="1">[22]Presupuesto_Via_distribuidora!$A$9:$H$344</definedName>
    <definedName name="Z_0A4C2D72_EA87_11DA_B6F6_00609720E0A1_.wvu.FilterData" localSheetId="16" hidden="1">[22]Presupuesto_Via_distribuidora!$A$9:$H$344</definedName>
    <definedName name="Z_0A4C2D72_EA87_11DA_B6F6_00609720E0A1_.wvu.FilterData" localSheetId="3" hidden="1">[14]Presupuesto_Via_distribuidora!$A$9:$H$344</definedName>
    <definedName name="Z_0A4C2D72_EA87_11DA_B6F6_00609720E0A1_.wvu.FilterData" hidden="1">[22]Presupuesto_Via_distribuidora!$A$9:$H$344</definedName>
    <definedName name="Z_0A4C2D72_EA87_11DA_B6F6_00609720E0A1_.wvu.PrintArea" localSheetId="1" hidden="1">[22]Presupuesto_Via_distribuidora!$A$10:$I$164</definedName>
    <definedName name="Z_0A4C2D72_EA87_11DA_B6F6_00609720E0A1_.wvu.PrintArea" localSheetId="16" hidden="1">[22]Presupuesto_Via_distribuidora!$A$10:$I$164</definedName>
    <definedName name="Z_0A4C2D72_EA87_11DA_B6F6_00609720E0A1_.wvu.PrintArea" localSheetId="3" hidden="1">[14]Presupuesto_Via_distribuidora!$A$10:$I$164</definedName>
    <definedName name="Z_0A4C2D72_EA87_11DA_B6F6_00609720E0A1_.wvu.PrintArea" hidden="1">[22]Presupuesto_Via_distribuidora!$A$10:$I$164</definedName>
    <definedName name="Z_0A4C2D72_EA87_11DA_B6F6_00609720E0A1_.wvu.PrintTitles" localSheetId="1" hidden="1">[22]Presupuesto_Via_distribuidora!$1:$9</definedName>
    <definedName name="Z_0A4C2D72_EA87_11DA_B6F6_00609720E0A1_.wvu.PrintTitles" localSheetId="16" hidden="1">[22]Presupuesto_Via_distribuidora!$1:$9</definedName>
    <definedName name="Z_0A4C2D72_EA87_11DA_B6F6_00609720E0A1_.wvu.PrintTitles" localSheetId="3" hidden="1">[14]Presupuesto_Via_distribuidora!$1:$9</definedName>
    <definedName name="Z_0A4C2D72_EA87_11DA_B6F6_00609720E0A1_.wvu.PrintTitles" hidden="1">[22]Presupuesto_Via_distribuidora!$1:$9</definedName>
    <definedName name="Z_0A4C2D73_EA87_11DA_B6F6_00609720E0A1_.wvu.FilterData" localSheetId="1" hidden="1">[22]Presupuesto_Via_distribuidora!$A$9:$H$344</definedName>
    <definedName name="Z_0A4C2D73_EA87_11DA_B6F6_00609720E0A1_.wvu.FilterData" localSheetId="16" hidden="1">[22]Presupuesto_Via_distribuidora!$A$9:$H$344</definedName>
    <definedName name="Z_0A4C2D73_EA87_11DA_B6F6_00609720E0A1_.wvu.FilterData" localSheetId="3" hidden="1">[14]Presupuesto_Via_distribuidora!$A$9:$H$344</definedName>
    <definedName name="Z_0A4C2D73_EA87_11DA_B6F6_00609720E0A1_.wvu.FilterData" hidden="1">[22]Presupuesto_Via_distribuidora!$A$9:$H$344</definedName>
    <definedName name="Z_0A4C2D73_EA87_11DA_B6F6_00609720E0A1_.wvu.PrintArea" localSheetId="1" hidden="1">[22]Presupuesto_Via_distribuidora!$A$176:$I$193</definedName>
    <definedName name="Z_0A4C2D73_EA87_11DA_B6F6_00609720E0A1_.wvu.PrintArea" localSheetId="16" hidden="1">[22]Presupuesto_Via_distribuidora!$A$176:$I$193</definedName>
    <definedName name="Z_0A4C2D73_EA87_11DA_B6F6_00609720E0A1_.wvu.PrintArea" localSheetId="3" hidden="1">[14]Presupuesto_Via_distribuidora!$A$176:$I$193</definedName>
    <definedName name="Z_0A4C2D73_EA87_11DA_B6F6_00609720E0A1_.wvu.PrintArea" hidden="1">[22]Presupuesto_Via_distribuidora!$A$176:$I$193</definedName>
    <definedName name="Z_0A4C2D73_EA87_11DA_B6F6_00609720E0A1_.wvu.PrintTitles" localSheetId="1" hidden="1">[22]Presupuesto_Via_distribuidora!#REF!</definedName>
    <definedName name="Z_0A4C2D73_EA87_11DA_B6F6_00609720E0A1_.wvu.PrintTitles" localSheetId="16" hidden="1">[22]Presupuesto_Via_distribuidora!#REF!</definedName>
    <definedName name="Z_0A4C2D73_EA87_11DA_B6F6_00609720E0A1_.wvu.PrintTitles" localSheetId="3" hidden="1">[14]Presupuesto_Via_distribuidora!#REF!</definedName>
    <definedName name="Z_0A4C2D73_EA87_11DA_B6F6_00609720E0A1_.wvu.PrintTitles" hidden="1">[22]Presupuesto_Via_distribuidora!#REF!</definedName>
    <definedName name="Z_0A4C2D74_EA87_11DA_B6F6_00609720E0A1_.wvu.FilterData" localSheetId="1" hidden="1">[22]Presupuesto_Via_distribuidora!$A$9:$H$344</definedName>
    <definedName name="Z_0A4C2D74_EA87_11DA_B6F6_00609720E0A1_.wvu.FilterData" localSheetId="16" hidden="1">[22]Presupuesto_Via_distribuidora!$A$9:$H$344</definedName>
    <definedName name="Z_0A4C2D74_EA87_11DA_B6F6_00609720E0A1_.wvu.FilterData" localSheetId="3" hidden="1">[14]Presupuesto_Via_distribuidora!$A$9:$H$344</definedName>
    <definedName name="Z_0A4C2D74_EA87_11DA_B6F6_00609720E0A1_.wvu.FilterData" hidden="1">[22]Presupuesto_Via_distribuidora!$A$9:$H$344</definedName>
    <definedName name="Z_0A4C2D74_EA87_11DA_B6F6_00609720E0A1_.wvu.PrintArea" localSheetId="1" hidden="1">[22]Presupuesto_Via_distribuidora!$A$342:$I$541</definedName>
    <definedName name="Z_0A4C2D74_EA87_11DA_B6F6_00609720E0A1_.wvu.PrintArea" localSheetId="16" hidden="1">[22]Presupuesto_Via_distribuidora!$A$342:$I$541</definedName>
    <definedName name="Z_0A4C2D74_EA87_11DA_B6F6_00609720E0A1_.wvu.PrintArea" localSheetId="3" hidden="1">[14]Presupuesto_Via_distribuidora!$A$342:$I$541</definedName>
    <definedName name="Z_0A4C2D74_EA87_11DA_B6F6_00609720E0A1_.wvu.PrintArea" hidden="1">[22]Presupuesto_Via_distribuidora!$A$342:$I$541</definedName>
    <definedName name="Z_0A4C2D74_EA87_11DA_B6F6_00609720E0A1_.wvu.PrintTitles" localSheetId="1" hidden="1">[22]Presupuesto_Via_distribuidora!#REF!</definedName>
    <definedName name="Z_0A4C2D74_EA87_11DA_B6F6_00609720E0A1_.wvu.PrintTitles" localSheetId="16" hidden="1">[22]Presupuesto_Via_distribuidora!#REF!</definedName>
    <definedName name="Z_0A4C2D74_EA87_11DA_B6F6_00609720E0A1_.wvu.PrintTitles" localSheetId="3" hidden="1">[14]Presupuesto_Via_distribuidora!#REF!</definedName>
    <definedName name="Z_0A4C2D74_EA87_11DA_B6F6_00609720E0A1_.wvu.PrintTitles" hidden="1">[22]Presupuesto_Via_distribuidora!#REF!</definedName>
    <definedName name="Z_0A4C2D75_EA87_11DA_B6F6_00609720E0A1_.wvu.FilterData" localSheetId="1" hidden="1">[22]Presupuesto_Via_distribuidora!$A$9:$H$344</definedName>
    <definedName name="Z_0A4C2D75_EA87_11DA_B6F6_00609720E0A1_.wvu.FilterData" localSheetId="16" hidden="1">[22]Presupuesto_Via_distribuidora!$A$9:$H$344</definedName>
    <definedName name="Z_0A4C2D75_EA87_11DA_B6F6_00609720E0A1_.wvu.FilterData" localSheetId="3" hidden="1">[14]Presupuesto_Via_distribuidora!$A$9:$H$344</definedName>
    <definedName name="Z_0A4C2D75_EA87_11DA_B6F6_00609720E0A1_.wvu.FilterData" hidden="1">[22]Presupuesto_Via_distribuidora!$A$9:$H$344</definedName>
    <definedName name="Z_0A4C2D75_EA87_11DA_B6F6_00609720E0A1_.wvu.PrintArea" localSheetId="1" hidden="1">[22]Presupuesto_Via_distribuidora!$A$557:$I$825</definedName>
    <definedName name="Z_0A4C2D75_EA87_11DA_B6F6_00609720E0A1_.wvu.PrintArea" localSheetId="16" hidden="1">[22]Presupuesto_Via_distribuidora!$A$557:$I$825</definedName>
    <definedName name="Z_0A4C2D75_EA87_11DA_B6F6_00609720E0A1_.wvu.PrintArea" localSheetId="3" hidden="1">[14]Presupuesto_Via_distribuidora!$A$557:$I$825</definedName>
    <definedName name="Z_0A4C2D75_EA87_11DA_B6F6_00609720E0A1_.wvu.PrintArea" hidden="1">[22]Presupuesto_Via_distribuidora!$A$557:$I$825</definedName>
    <definedName name="Z_0A4C2D75_EA87_11DA_B6F6_00609720E0A1_.wvu.PrintTitles" localSheetId="1" hidden="1">[22]Presupuesto_Via_distribuidora!$547:$556</definedName>
    <definedName name="Z_0A4C2D75_EA87_11DA_B6F6_00609720E0A1_.wvu.PrintTitles" localSheetId="16" hidden="1">[22]Presupuesto_Via_distribuidora!$547:$556</definedName>
    <definedName name="Z_0A4C2D75_EA87_11DA_B6F6_00609720E0A1_.wvu.PrintTitles" localSheetId="3" hidden="1">[14]Presupuesto_Via_distribuidora!$547:$556</definedName>
    <definedName name="Z_0A4C2D75_EA87_11DA_B6F6_00609720E0A1_.wvu.PrintTitles" hidden="1">[22]Presupuesto_Via_distribuidora!$547:$556</definedName>
    <definedName name="Z_0A4C2D76_EA87_11DA_B6F6_00609720E0A1_.wvu.FilterData" localSheetId="1" hidden="1">[22]Presupuesto_Via_distribuidora!$A$9:$H$344</definedName>
    <definedName name="Z_0A4C2D76_EA87_11DA_B6F6_00609720E0A1_.wvu.FilterData" localSheetId="16" hidden="1">[22]Presupuesto_Via_distribuidora!$A$9:$H$344</definedName>
    <definedName name="Z_0A4C2D76_EA87_11DA_B6F6_00609720E0A1_.wvu.FilterData" localSheetId="3" hidden="1">[14]Presupuesto_Via_distribuidora!$A$9:$H$344</definedName>
    <definedName name="Z_0A4C2D76_EA87_11DA_B6F6_00609720E0A1_.wvu.FilterData" hidden="1">[22]Presupuesto_Via_distribuidora!$A$9:$H$344</definedName>
    <definedName name="Z_0A4C2D76_EA87_11DA_B6F6_00609720E0A1_.wvu.PrintArea" localSheetId="1" hidden="1">[22]Presupuesto_Via_distribuidora!$A$839:$I$1037</definedName>
    <definedName name="Z_0A4C2D76_EA87_11DA_B6F6_00609720E0A1_.wvu.PrintArea" localSheetId="16" hidden="1">[22]Presupuesto_Via_distribuidora!$A$839:$I$1037</definedName>
    <definedName name="Z_0A4C2D76_EA87_11DA_B6F6_00609720E0A1_.wvu.PrintArea" localSheetId="3" hidden="1">[14]Presupuesto_Via_distribuidora!$A$839:$I$1037</definedName>
    <definedName name="Z_0A4C2D76_EA87_11DA_B6F6_00609720E0A1_.wvu.PrintArea" hidden="1">[22]Presupuesto_Via_distribuidora!$A$839:$I$1037</definedName>
    <definedName name="Z_0A4C2D76_EA87_11DA_B6F6_00609720E0A1_.wvu.PrintTitles" localSheetId="1" hidden="1">[22]Presupuesto_Via_distribuidora!$829:$838</definedName>
    <definedName name="Z_0A4C2D76_EA87_11DA_B6F6_00609720E0A1_.wvu.PrintTitles" localSheetId="16" hidden="1">[22]Presupuesto_Via_distribuidora!$829:$838</definedName>
    <definedName name="Z_0A4C2D76_EA87_11DA_B6F6_00609720E0A1_.wvu.PrintTitles" localSheetId="3" hidden="1">[14]Presupuesto_Via_distribuidora!$829:$838</definedName>
    <definedName name="Z_0A4C2D76_EA87_11DA_B6F6_00609720E0A1_.wvu.PrintTitles" hidden="1">[22]Presupuesto_Via_distribuidora!$829:$838</definedName>
    <definedName name="Z_0E0DE1F8_394A_4093_8E74_B2A631A3A88C_.wvu.FilterData" localSheetId="1" hidden="1">[22]Presupuesto_Via_distribuidora!$A$9:$H$344</definedName>
    <definedName name="Z_0E0DE1F8_394A_4093_8E74_B2A631A3A88C_.wvu.FilterData" localSheetId="16" hidden="1">[22]Presupuesto_Via_distribuidora!$A$9:$H$344</definedName>
    <definedName name="Z_0E0DE1F8_394A_4093_8E74_B2A631A3A88C_.wvu.FilterData" localSheetId="3" hidden="1">[14]Presupuesto_Via_distribuidora!$A$9:$H$344</definedName>
    <definedName name="Z_0E0DE1F8_394A_4093_8E74_B2A631A3A88C_.wvu.FilterData" hidden="1">[22]Presupuesto_Via_distribuidora!$A$9:$H$344</definedName>
    <definedName name="Z_0E0DE1F8_394A_4093_8E74_B2A631A3A88C_.wvu.PrintArea" localSheetId="1" hidden="1">[22]Presupuesto_Via_distribuidora!$A$620:$I$888</definedName>
    <definedName name="Z_0E0DE1F8_394A_4093_8E74_B2A631A3A88C_.wvu.PrintArea" localSheetId="16" hidden="1">[22]Presupuesto_Via_distribuidora!$A$620:$I$888</definedName>
    <definedName name="Z_0E0DE1F8_394A_4093_8E74_B2A631A3A88C_.wvu.PrintArea" localSheetId="3" hidden="1">[14]Presupuesto_Via_distribuidora!$A$620:$I$888</definedName>
    <definedName name="Z_0E0DE1F8_394A_4093_8E74_B2A631A3A88C_.wvu.PrintArea" hidden="1">[22]Presupuesto_Via_distribuidora!$A$620:$I$888</definedName>
    <definedName name="Z_0E0DE1F8_394A_4093_8E74_B2A631A3A88C_.wvu.PrintTitles" localSheetId="1" hidden="1">[22]Presupuesto_Via_distribuidora!$610:$619</definedName>
    <definedName name="Z_0E0DE1F8_394A_4093_8E74_B2A631A3A88C_.wvu.PrintTitles" localSheetId="16" hidden="1">[22]Presupuesto_Via_distribuidora!$610:$619</definedName>
    <definedName name="Z_0E0DE1F8_394A_4093_8E74_B2A631A3A88C_.wvu.PrintTitles" localSheetId="3" hidden="1">[14]Presupuesto_Via_distribuidora!$610:$619</definedName>
    <definedName name="Z_0E0DE1F8_394A_4093_8E74_B2A631A3A88C_.wvu.PrintTitles" hidden="1">[22]Presupuesto_Via_distribuidora!$610:$619</definedName>
    <definedName name="Z_18C710ED_70CF_48D0_92F5_038A88335068_.wvu.FilterData" localSheetId="1" hidden="1">[22]Presupuesto_Via_distribuidora!$A$9:$H$344</definedName>
    <definedName name="Z_18C710ED_70CF_48D0_92F5_038A88335068_.wvu.FilterData" localSheetId="16" hidden="1">[22]Presupuesto_Via_distribuidora!$A$9:$H$344</definedName>
    <definedName name="Z_18C710ED_70CF_48D0_92F5_038A88335068_.wvu.FilterData" localSheetId="3" hidden="1">[14]Presupuesto_Via_distribuidora!$A$9:$H$344</definedName>
    <definedName name="Z_18C710ED_70CF_48D0_92F5_038A88335068_.wvu.FilterData" hidden="1">[22]Presupuesto_Via_distribuidora!$A$9:$H$344</definedName>
    <definedName name="Z_18C710ED_70CF_48D0_92F5_038A88335068_.wvu.PrintArea" localSheetId="1" hidden="1">[22]Presupuesto_Via_distribuidora!$C$1:$H$344</definedName>
    <definedName name="Z_18C710ED_70CF_48D0_92F5_038A88335068_.wvu.PrintArea" localSheetId="16" hidden="1">[22]Presupuesto_Via_distribuidora!$C$1:$H$344</definedName>
    <definedName name="Z_18C710ED_70CF_48D0_92F5_038A88335068_.wvu.PrintArea" localSheetId="3" hidden="1">[14]Presupuesto_Via_distribuidora!$C$1:$H$344</definedName>
    <definedName name="Z_18C710ED_70CF_48D0_92F5_038A88335068_.wvu.PrintArea" hidden="1">[22]Presupuesto_Via_distribuidora!$C$1:$H$344</definedName>
    <definedName name="Z_18C710ED_70CF_48D0_92F5_038A88335068_.wvu.PrintTitles" localSheetId="1" hidden="1">[22]Presupuesto_Via_distribuidora!$2:$8</definedName>
    <definedName name="Z_18C710ED_70CF_48D0_92F5_038A88335068_.wvu.PrintTitles" localSheetId="16" hidden="1">[22]Presupuesto_Via_distribuidora!$2:$8</definedName>
    <definedName name="Z_18C710ED_70CF_48D0_92F5_038A88335068_.wvu.PrintTitles" localSheetId="3" hidden="1">[14]Presupuesto_Via_distribuidora!$2:$8</definedName>
    <definedName name="Z_18C710ED_70CF_48D0_92F5_038A88335068_.wvu.PrintTitles" hidden="1">[22]Presupuesto_Via_distribuidora!$2:$8</definedName>
    <definedName name="Z_378D82E8_FE69_4712_AE73_9D578C4190DE_.wvu.FilterData" localSheetId="1" hidden="1">[22]Presupuesto_Via_distribuidora!$A$9:$H$344</definedName>
    <definedName name="Z_378D82E8_FE69_4712_AE73_9D578C4190DE_.wvu.FilterData" localSheetId="16" hidden="1">[22]Presupuesto_Via_distribuidora!$A$9:$H$344</definedName>
    <definedName name="Z_378D82E8_FE69_4712_AE73_9D578C4190DE_.wvu.FilterData" localSheetId="3" hidden="1">[14]Presupuesto_Via_distribuidora!$A$9:$H$344</definedName>
    <definedName name="Z_378D82E8_FE69_4712_AE73_9D578C4190DE_.wvu.FilterData" hidden="1">[22]Presupuesto_Via_distribuidora!$A$9:$H$344</definedName>
    <definedName name="Z_378D82E8_FE69_4712_AE73_9D578C4190DE_.wvu.PrintArea" localSheetId="1" hidden="1">[22]Presupuesto_Via_distribuidora!$C$1:$H$344</definedName>
    <definedName name="Z_378D82E8_FE69_4712_AE73_9D578C4190DE_.wvu.PrintArea" localSheetId="16" hidden="1">[22]Presupuesto_Via_distribuidora!$C$1:$H$344</definedName>
    <definedName name="Z_378D82E8_FE69_4712_AE73_9D578C4190DE_.wvu.PrintArea" localSheetId="3" hidden="1">[14]Presupuesto_Via_distribuidora!$C$1:$H$344</definedName>
    <definedName name="Z_378D82E8_FE69_4712_AE73_9D578C4190DE_.wvu.PrintArea" hidden="1">[22]Presupuesto_Via_distribuidora!$C$1:$H$344</definedName>
    <definedName name="Z_378D82E8_FE69_4712_AE73_9D578C4190DE_.wvu.PrintTitles" localSheetId="1" hidden="1">[22]Presupuesto_Via_distribuidora!$2:$8</definedName>
    <definedName name="Z_378D82E8_FE69_4712_AE73_9D578C4190DE_.wvu.PrintTitles" localSheetId="16" hidden="1">[22]Presupuesto_Via_distribuidora!$2:$8</definedName>
    <definedName name="Z_378D82E8_FE69_4712_AE73_9D578C4190DE_.wvu.PrintTitles" localSheetId="3" hidden="1">[14]Presupuesto_Via_distribuidora!$2:$8</definedName>
    <definedName name="Z_378D82E8_FE69_4712_AE73_9D578C4190DE_.wvu.PrintTitles" hidden="1">[22]Presupuesto_Via_distribuidora!$2:$8</definedName>
    <definedName name="Z_381FCF61_DF95_4756_B103_A1118DFFDE02_.wvu.FilterData" localSheetId="1" hidden="1">[22]Presupuesto_Via_distribuidora!$A$9:$H$344</definedName>
    <definedName name="Z_381FCF61_DF95_4756_B103_A1118DFFDE02_.wvu.FilterData" localSheetId="16" hidden="1">[22]Presupuesto_Via_distribuidora!$A$9:$H$344</definedName>
    <definedName name="Z_381FCF61_DF95_4756_B103_A1118DFFDE02_.wvu.FilterData" localSheetId="3" hidden="1">[14]Presupuesto_Via_distribuidora!$A$9:$H$344</definedName>
    <definedName name="Z_381FCF61_DF95_4756_B103_A1118DFFDE02_.wvu.FilterData" hidden="1">[22]Presupuesto_Via_distribuidora!$A$9:$H$344</definedName>
    <definedName name="Z_381FCF61_DF95_4756_B103_A1118DFFDE02_.wvu.PrintArea" localSheetId="1" hidden="1">[22]Presupuesto_Via_distribuidora!$C$1:$H$344</definedName>
    <definedName name="Z_381FCF61_DF95_4756_B103_A1118DFFDE02_.wvu.PrintArea" localSheetId="16" hidden="1">[22]Presupuesto_Via_distribuidora!$C$1:$H$344</definedName>
    <definedName name="Z_381FCF61_DF95_4756_B103_A1118DFFDE02_.wvu.PrintArea" localSheetId="3" hidden="1">[14]Presupuesto_Via_distribuidora!$C$1:$H$344</definedName>
    <definedName name="Z_381FCF61_DF95_4756_B103_A1118DFFDE02_.wvu.PrintArea" hidden="1">[22]Presupuesto_Via_distribuidora!$C$1:$H$344</definedName>
    <definedName name="Z_381FCF61_DF95_4756_B103_A1118DFFDE02_.wvu.PrintTitles" localSheetId="1" hidden="1">[22]Presupuesto_Via_distribuidora!$2:$8</definedName>
    <definedName name="Z_381FCF61_DF95_4756_B103_A1118DFFDE02_.wvu.PrintTitles" localSheetId="16" hidden="1">[22]Presupuesto_Via_distribuidora!$2:$8</definedName>
    <definedName name="Z_381FCF61_DF95_4756_B103_A1118DFFDE02_.wvu.PrintTitles" localSheetId="3" hidden="1">[14]Presupuesto_Via_distribuidora!$2:$8</definedName>
    <definedName name="Z_381FCF61_DF95_4756_B103_A1118DFFDE02_.wvu.PrintTitles" hidden="1">[22]Presupuesto_Via_distribuidora!$2:$8</definedName>
    <definedName name="Z_3B3C0CA1_2A9C_45FD_9823_50B200F6C0D1_.wvu.FilterData" localSheetId="1" hidden="1">[22]Presupuesto_Via_distribuidora!$A$9:$H$344</definedName>
    <definedName name="Z_3B3C0CA1_2A9C_45FD_9823_50B200F6C0D1_.wvu.FilterData" localSheetId="16" hidden="1">[22]Presupuesto_Via_distribuidora!$A$9:$H$344</definedName>
    <definedName name="Z_3B3C0CA1_2A9C_45FD_9823_50B200F6C0D1_.wvu.FilterData" localSheetId="3" hidden="1">[14]Presupuesto_Via_distribuidora!$A$9:$H$344</definedName>
    <definedName name="Z_3B3C0CA1_2A9C_45FD_9823_50B200F6C0D1_.wvu.FilterData" hidden="1">[22]Presupuesto_Via_distribuidora!$A$9:$H$344</definedName>
    <definedName name="Z_3B3C0CA1_2A9C_45FD_9823_50B200F6C0D1_.wvu.PrintArea" localSheetId="1" hidden="1">[22]Presupuesto_Via_distribuidora!$C$1:$H$344</definedName>
    <definedName name="Z_3B3C0CA1_2A9C_45FD_9823_50B200F6C0D1_.wvu.PrintArea" localSheetId="16" hidden="1">[22]Presupuesto_Via_distribuidora!$C$1:$H$344</definedName>
    <definedName name="Z_3B3C0CA1_2A9C_45FD_9823_50B200F6C0D1_.wvu.PrintArea" localSheetId="3" hidden="1">[14]Presupuesto_Via_distribuidora!$C$1:$H$344</definedName>
    <definedName name="Z_3B3C0CA1_2A9C_45FD_9823_50B200F6C0D1_.wvu.PrintArea" hidden="1">[22]Presupuesto_Via_distribuidora!$C$1:$H$344</definedName>
    <definedName name="Z_3B3C0CA1_2A9C_45FD_9823_50B200F6C0D1_.wvu.PrintTitles" localSheetId="1" hidden="1">[22]Presupuesto_Via_distribuidora!$2:$8</definedName>
    <definedName name="Z_3B3C0CA1_2A9C_45FD_9823_50B200F6C0D1_.wvu.PrintTitles" localSheetId="16" hidden="1">[22]Presupuesto_Via_distribuidora!$2:$8</definedName>
    <definedName name="Z_3B3C0CA1_2A9C_45FD_9823_50B200F6C0D1_.wvu.PrintTitles" localSheetId="3" hidden="1">[14]Presupuesto_Via_distribuidora!$2:$8</definedName>
    <definedName name="Z_3B3C0CA1_2A9C_45FD_9823_50B200F6C0D1_.wvu.PrintTitles" hidden="1">[22]Presupuesto_Via_distribuidora!$2:$8</definedName>
    <definedName name="Z_3E9430E5_6A83_435B_9E47_1B8F7E18D67C_.wvu.FilterData" localSheetId="1" hidden="1">[22]Presupuesto_Via_distribuidora!$A$9:$H$344</definedName>
    <definedName name="Z_3E9430E5_6A83_435B_9E47_1B8F7E18D67C_.wvu.FilterData" localSheetId="16" hidden="1">[22]Presupuesto_Via_distribuidora!$A$9:$H$344</definedName>
    <definedName name="Z_3E9430E5_6A83_435B_9E47_1B8F7E18D67C_.wvu.FilterData" localSheetId="3" hidden="1">[14]Presupuesto_Via_distribuidora!$A$9:$H$344</definedName>
    <definedName name="Z_3E9430E5_6A83_435B_9E47_1B8F7E18D67C_.wvu.FilterData" hidden="1">[22]Presupuesto_Via_distribuidora!$A$9:$H$344</definedName>
    <definedName name="Z_3E9430E5_6A83_435B_9E47_1B8F7E18D67C_.wvu.PrintArea" localSheetId="1" hidden="1">[22]Presupuesto_Via_distribuidora!$C$1:$H$344</definedName>
    <definedName name="Z_3E9430E5_6A83_435B_9E47_1B8F7E18D67C_.wvu.PrintArea" localSheetId="16" hidden="1">[22]Presupuesto_Via_distribuidora!$C$1:$H$344</definedName>
    <definedName name="Z_3E9430E5_6A83_435B_9E47_1B8F7E18D67C_.wvu.PrintArea" localSheetId="3" hidden="1">[14]Presupuesto_Via_distribuidora!$C$1:$H$344</definedName>
    <definedName name="Z_3E9430E5_6A83_435B_9E47_1B8F7E18D67C_.wvu.PrintArea" hidden="1">[22]Presupuesto_Via_distribuidora!$C$1:$H$344</definedName>
    <definedName name="Z_3E9430E5_6A83_435B_9E47_1B8F7E18D67C_.wvu.PrintTitles" localSheetId="1" hidden="1">[22]Presupuesto_Via_distribuidora!$2:$8</definedName>
    <definedName name="Z_3E9430E5_6A83_435B_9E47_1B8F7E18D67C_.wvu.PrintTitles" localSheetId="16" hidden="1">[22]Presupuesto_Via_distribuidora!$2:$8</definedName>
    <definedName name="Z_3E9430E5_6A83_435B_9E47_1B8F7E18D67C_.wvu.PrintTitles" localSheetId="3" hidden="1">[14]Presupuesto_Via_distribuidora!$2:$8</definedName>
    <definedName name="Z_3E9430E5_6A83_435B_9E47_1B8F7E18D67C_.wvu.PrintTitles" hidden="1">[22]Presupuesto_Via_distribuidora!$2:$8</definedName>
    <definedName name="Z_4A14CB5C_2287_4F6E_9A65_22F0A4D81D81_.wvu.FilterData" localSheetId="1" hidden="1">[22]Presupuesto_Via_distribuidora!$A$9:$H$344</definedName>
    <definedName name="Z_4A14CB5C_2287_4F6E_9A65_22F0A4D81D81_.wvu.FilterData" localSheetId="16" hidden="1">[22]Presupuesto_Via_distribuidora!$A$9:$H$344</definedName>
    <definedName name="Z_4A14CB5C_2287_4F6E_9A65_22F0A4D81D81_.wvu.FilterData" localSheetId="3" hidden="1">[14]Presupuesto_Via_distribuidora!$A$9:$H$344</definedName>
    <definedName name="Z_4A14CB5C_2287_4F6E_9A65_22F0A4D81D81_.wvu.FilterData" hidden="1">[22]Presupuesto_Via_distribuidora!$A$9:$H$344</definedName>
    <definedName name="Z_4A14CB5C_2287_4F6E_9A65_22F0A4D81D81_.wvu.PrintArea" localSheetId="1" hidden="1">[22]Presupuesto_Via_distribuidora!$C$1:$H$344</definedName>
    <definedName name="Z_4A14CB5C_2287_4F6E_9A65_22F0A4D81D81_.wvu.PrintArea" localSheetId="16" hidden="1">[22]Presupuesto_Via_distribuidora!$C$1:$H$344</definedName>
    <definedName name="Z_4A14CB5C_2287_4F6E_9A65_22F0A4D81D81_.wvu.PrintArea" localSheetId="3" hidden="1">[14]Presupuesto_Via_distribuidora!$C$1:$H$344</definedName>
    <definedName name="Z_4A14CB5C_2287_4F6E_9A65_22F0A4D81D81_.wvu.PrintArea" hidden="1">[22]Presupuesto_Via_distribuidora!$C$1:$H$344</definedName>
    <definedName name="Z_4A14CB5C_2287_4F6E_9A65_22F0A4D81D81_.wvu.PrintTitles" localSheetId="1" hidden="1">[22]Presupuesto_Via_distribuidora!$2:$8</definedName>
    <definedName name="Z_4A14CB5C_2287_4F6E_9A65_22F0A4D81D81_.wvu.PrintTitles" localSheetId="16" hidden="1">[22]Presupuesto_Via_distribuidora!$2:$8</definedName>
    <definedName name="Z_4A14CB5C_2287_4F6E_9A65_22F0A4D81D81_.wvu.PrintTitles" localSheetId="3" hidden="1">[14]Presupuesto_Via_distribuidora!$2:$8</definedName>
    <definedName name="Z_4A14CB5C_2287_4F6E_9A65_22F0A4D81D81_.wvu.PrintTitles" hidden="1">[22]Presupuesto_Via_distribuidora!$2:$8</definedName>
    <definedName name="Z_4BBC24C4_A093_4EC9_8AFF_49C6F602CC39_.wvu.FilterData" localSheetId="1" hidden="1">[22]Presupuesto_Via_distribuidora!$A$9:$H$344</definedName>
    <definedName name="Z_4BBC24C4_A093_4EC9_8AFF_49C6F602CC39_.wvu.FilterData" localSheetId="16" hidden="1">[22]Presupuesto_Via_distribuidora!$A$9:$H$344</definedName>
    <definedName name="Z_4BBC24C4_A093_4EC9_8AFF_49C6F602CC39_.wvu.FilterData" localSheetId="3" hidden="1">[14]Presupuesto_Via_distribuidora!$A$9:$H$344</definedName>
    <definedName name="Z_4BBC24C4_A093_4EC9_8AFF_49C6F602CC39_.wvu.FilterData" hidden="1">[22]Presupuesto_Via_distribuidora!$A$9:$H$344</definedName>
    <definedName name="Z_4BBC24C4_A093_4EC9_8AFF_49C6F602CC39_.wvu.PrintArea" localSheetId="1" hidden="1">[22]Presupuesto_Via_distribuidora!$C$1:$H$344</definedName>
    <definedName name="Z_4BBC24C4_A093_4EC9_8AFF_49C6F602CC39_.wvu.PrintArea" localSheetId="16" hidden="1">[22]Presupuesto_Via_distribuidora!$C$1:$H$344</definedName>
    <definedName name="Z_4BBC24C4_A093_4EC9_8AFF_49C6F602CC39_.wvu.PrintArea" localSheetId="3" hidden="1">[14]Presupuesto_Via_distribuidora!$C$1:$H$344</definedName>
    <definedName name="Z_4BBC24C4_A093_4EC9_8AFF_49C6F602CC39_.wvu.PrintArea" hidden="1">[22]Presupuesto_Via_distribuidora!$C$1:$H$344</definedName>
    <definedName name="Z_4BBC24C4_A093_4EC9_8AFF_49C6F602CC39_.wvu.PrintTitles" localSheetId="1" hidden="1">[22]Presupuesto_Via_distribuidora!$2:$8</definedName>
    <definedName name="Z_4BBC24C4_A093_4EC9_8AFF_49C6F602CC39_.wvu.PrintTitles" localSheetId="16" hidden="1">[22]Presupuesto_Via_distribuidora!$2:$8</definedName>
    <definedName name="Z_4BBC24C4_A093_4EC9_8AFF_49C6F602CC39_.wvu.PrintTitles" localSheetId="3" hidden="1">[14]Presupuesto_Via_distribuidora!$2:$8</definedName>
    <definedName name="Z_4BBC24C4_A093_4EC9_8AFF_49C6F602CC39_.wvu.PrintTitles" hidden="1">[22]Presupuesto_Via_distribuidora!$2:$8</definedName>
    <definedName name="Z_504A8F9D_2C46_439E_975A_DF1C1FA56E7B_.wvu.FilterData" localSheetId="1" hidden="1">[22]Presupuesto_Via_distribuidora!$A$9:$H$344</definedName>
    <definedName name="Z_504A8F9D_2C46_439E_975A_DF1C1FA56E7B_.wvu.FilterData" localSheetId="16" hidden="1">[22]Presupuesto_Via_distribuidora!$A$9:$H$344</definedName>
    <definedName name="Z_504A8F9D_2C46_439E_975A_DF1C1FA56E7B_.wvu.FilterData" localSheetId="3" hidden="1">[14]Presupuesto_Via_distribuidora!$A$9:$H$344</definedName>
    <definedName name="Z_504A8F9D_2C46_439E_975A_DF1C1FA56E7B_.wvu.FilterData" hidden="1">[22]Presupuesto_Via_distribuidora!$A$9:$H$344</definedName>
    <definedName name="Z_504A8F9D_2C46_439E_975A_DF1C1FA56E7B_.wvu.PrintArea" localSheetId="1" hidden="1">[22]Presupuesto_Via_distribuidora!$C$1:$H$344</definedName>
    <definedName name="Z_504A8F9D_2C46_439E_975A_DF1C1FA56E7B_.wvu.PrintArea" localSheetId="16" hidden="1">[22]Presupuesto_Via_distribuidora!$C$1:$H$344</definedName>
    <definedName name="Z_504A8F9D_2C46_439E_975A_DF1C1FA56E7B_.wvu.PrintArea" localSheetId="3" hidden="1">[14]Presupuesto_Via_distribuidora!$C$1:$H$344</definedName>
    <definedName name="Z_504A8F9D_2C46_439E_975A_DF1C1FA56E7B_.wvu.PrintArea" hidden="1">[22]Presupuesto_Via_distribuidora!$C$1:$H$344</definedName>
    <definedName name="Z_504A8F9D_2C46_439E_975A_DF1C1FA56E7B_.wvu.PrintTitles" localSheetId="1" hidden="1">[22]Presupuesto_Via_distribuidora!$2:$8</definedName>
    <definedName name="Z_504A8F9D_2C46_439E_975A_DF1C1FA56E7B_.wvu.PrintTitles" localSheetId="16" hidden="1">[22]Presupuesto_Via_distribuidora!$2:$8</definedName>
    <definedName name="Z_504A8F9D_2C46_439E_975A_DF1C1FA56E7B_.wvu.PrintTitles" localSheetId="3" hidden="1">[14]Presupuesto_Via_distribuidora!$2:$8</definedName>
    <definedName name="Z_504A8F9D_2C46_439E_975A_DF1C1FA56E7B_.wvu.PrintTitles" hidden="1">[22]Presupuesto_Via_distribuidora!$2:$8</definedName>
    <definedName name="Z_653348E7_CDAD_4F62_A236_641A4BB6425A_.wvu.FilterData" localSheetId="1" hidden="1">[22]Presupuesto_Via_distribuidora!$A$9:$H$344</definedName>
    <definedName name="Z_653348E7_CDAD_4F62_A236_641A4BB6425A_.wvu.FilterData" localSheetId="16" hidden="1">[22]Presupuesto_Via_distribuidora!$A$9:$H$344</definedName>
    <definedName name="Z_653348E7_CDAD_4F62_A236_641A4BB6425A_.wvu.FilterData" localSheetId="3" hidden="1">[14]Presupuesto_Via_distribuidora!$A$9:$H$344</definedName>
    <definedName name="Z_653348E7_CDAD_4F62_A236_641A4BB6425A_.wvu.FilterData" hidden="1">[22]Presupuesto_Via_distribuidora!$A$9:$H$344</definedName>
    <definedName name="Z_653348E7_CDAD_4F62_A236_641A4BB6425A_.wvu.PrintArea" localSheetId="1" hidden="1">[22]Presupuesto_Via_distribuidora!$A$221:$I$375</definedName>
    <definedName name="Z_653348E7_CDAD_4F62_A236_641A4BB6425A_.wvu.PrintArea" localSheetId="16" hidden="1">[22]Presupuesto_Via_distribuidora!$A$221:$I$375</definedName>
    <definedName name="Z_653348E7_CDAD_4F62_A236_641A4BB6425A_.wvu.PrintArea" localSheetId="3" hidden="1">[14]Presupuesto_Via_distribuidora!$A$221:$I$375</definedName>
    <definedName name="Z_653348E7_CDAD_4F62_A236_641A4BB6425A_.wvu.PrintArea" hidden="1">[22]Presupuesto_Via_distribuidora!$A$221:$I$375</definedName>
    <definedName name="Z_653348E7_CDAD_4F62_A236_641A4BB6425A_.wvu.PrintTitles" localSheetId="1" hidden="1">[22]Presupuesto_Via_distribuidora!$211:$220</definedName>
    <definedName name="Z_653348E7_CDAD_4F62_A236_641A4BB6425A_.wvu.PrintTitles" localSheetId="16" hidden="1">[22]Presupuesto_Via_distribuidora!$211:$220</definedName>
    <definedName name="Z_653348E7_CDAD_4F62_A236_641A4BB6425A_.wvu.PrintTitles" localSheetId="3" hidden="1">[14]Presupuesto_Via_distribuidora!$211:$220</definedName>
    <definedName name="Z_653348E7_CDAD_4F62_A236_641A4BB6425A_.wvu.PrintTitles" hidden="1">[22]Presupuesto_Via_distribuidora!$211:$220</definedName>
    <definedName name="Z_68C48519_C8C2_4287_96F6_0F561F815CE8_.wvu.FilterData" localSheetId="1" hidden="1">[22]Presupuesto_Via_distribuidora!$A$9:$H$344</definedName>
    <definedName name="Z_68C48519_C8C2_4287_96F6_0F561F815CE8_.wvu.FilterData" localSheetId="16" hidden="1">[22]Presupuesto_Via_distribuidora!$A$9:$H$344</definedName>
    <definedName name="Z_68C48519_C8C2_4287_96F6_0F561F815CE8_.wvu.FilterData" localSheetId="3" hidden="1">[14]Presupuesto_Via_distribuidora!$A$9:$H$344</definedName>
    <definedName name="Z_68C48519_C8C2_4287_96F6_0F561F815CE8_.wvu.FilterData" hidden="1">[22]Presupuesto_Via_distribuidora!$A$9:$H$344</definedName>
    <definedName name="Z_68C48519_C8C2_4287_96F6_0F561F815CE8_.wvu.PrintArea" localSheetId="1" hidden="1">[22]Presupuesto_Via_distribuidora!$C$1:$H$344</definedName>
    <definedName name="Z_68C48519_C8C2_4287_96F6_0F561F815CE8_.wvu.PrintArea" localSheetId="16" hidden="1">[22]Presupuesto_Via_distribuidora!$C$1:$H$344</definedName>
    <definedName name="Z_68C48519_C8C2_4287_96F6_0F561F815CE8_.wvu.PrintArea" localSheetId="3" hidden="1">[14]Presupuesto_Via_distribuidora!$C$1:$H$344</definedName>
    <definedName name="Z_68C48519_C8C2_4287_96F6_0F561F815CE8_.wvu.PrintArea" hidden="1">[22]Presupuesto_Via_distribuidora!$C$1:$H$344</definedName>
    <definedName name="Z_68C48519_C8C2_4287_96F6_0F561F815CE8_.wvu.PrintTitles" localSheetId="1" hidden="1">[22]Presupuesto_Via_distribuidora!$2:$8</definedName>
    <definedName name="Z_68C48519_C8C2_4287_96F6_0F561F815CE8_.wvu.PrintTitles" localSheetId="16" hidden="1">[22]Presupuesto_Via_distribuidora!$2:$8</definedName>
    <definedName name="Z_68C48519_C8C2_4287_96F6_0F561F815CE8_.wvu.PrintTitles" localSheetId="3" hidden="1">[14]Presupuesto_Via_distribuidora!$2:$8</definedName>
    <definedName name="Z_68C48519_C8C2_4287_96F6_0F561F815CE8_.wvu.PrintTitles" hidden="1">[22]Presupuesto_Via_distribuidora!$2:$8</definedName>
    <definedName name="Z_6BA141F2_E104_11DA_B6F6_00609720E0A1_.wvu.FilterData" localSheetId="1" hidden="1">[22]Presupuesto_Via_distribuidora!$A$9:$H$344</definedName>
    <definedName name="Z_6BA141F2_E104_11DA_B6F6_00609720E0A1_.wvu.FilterData" localSheetId="16" hidden="1">[22]Presupuesto_Via_distribuidora!$A$9:$H$344</definedName>
    <definedName name="Z_6BA141F2_E104_11DA_B6F6_00609720E0A1_.wvu.FilterData" localSheetId="3" hidden="1">[14]Presupuesto_Via_distribuidora!$A$9:$H$344</definedName>
    <definedName name="Z_6BA141F2_E104_11DA_B6F6_00609720E0A1_.wvu.FilterData" hidden="1">[22]Presupuesto_Via_distribuidora!$A$9:$H$344</definedName>
    <definedName name="Z_6BA141F2_E104_11DA_B6F6_00609720E0A1_.wvu.PrintArea" localSheetId="1" hidden="1">[22]Presupuesto_Via_distribuidora!$A$10:$I$164</definedName>
    <definedName name="Z_6BA141F2_E104_11DA_B6F6_00609720E0A1_.wvu.PrintArea" localSheetId="16" hidden="1">[22]Presupuesto_Via_distribuidora!$A$10:$I$164</definedName>
    <definedName name="Z_6BA141F2_E104_11DA_B6F6_00609720E0A1_.wvu.PrintArea" localSheetId="3" hidden="1">[14]Presupuesto_Via_distribuidora!$A$10:$I$164</definedName>
    <definedName name="Z_6BA141F2_E104_11DA_B6F6_00609720E0A1_.wvu.PrintArea" hidden="1">[22]Presupuesto_Via_distribuidora!$A$10:$I$164</definedName>
    <definedName name="Z_6BA141F2_E104_11DA_B6F6_00609720E0A1_.wvu.PrintTitles" localSheetId="1" hidden="1">[22]Presupuesto_Via_distribuidora!$1:$9</definedName>
    <definedName name="Z_6BA141F2_E104_11DA_B6F6_00609720E0A1_.wvu.PrintTitles" localSheetId="16" hidden="1">[22]Presupuesto_Via_distribuidora!$1:$9</definedName>
    <definedName name="Z_6BA141F2_E104_11DA_B6F6_00609720E0A1_.wvu.PrintTitles" localSheetId="3" hidden="1">[14]Presupuesto_Via_distribuidora!$1:$9</definedName>
    <definedName name="Z_6BA141F2_E104_11DA_B6F6_00609720E0A1_.wvu.PrintTitles" hidden="1">[22]Presupuesto_Via_distribuidora!$1:$9</definedName>
    <definedName name="Z_6BA141F3_E104_11DA_B6F6_00609720E0A1_.wvu.FilterData" localSheetId="1" hidden="1">[22]Presupuesto_Via_distribuidora!$A$9:$H$344</definedName>
    <definedName name="Z_6BA141F3_E104_11DA_B6F6_00609720E0A1_.wvu.FilterData" localSheetId="16" hidden="1">[22]Presupuesto_Via_distribuidora!$A$9:$H$344</definedName>
    <definedName name="Z_6BA141F3_E104_11DA_B6F6_00609720E0A1_.wvu.FilterData" localSheetId="3" hidden="1">[14]Presupuesto_Via_distribuidora!$A$9:$H$344</definedName>
    <definedName name="Z_6BA141F3_E104_11DA_B6F6_00609720E0A1_.wvu.FilterData" hidden="1">[22]Presupuesto_Via_distribuidora!$A$9:$H$344</definedName>
    <definedName name="Z_6BA141F3_E104_11DA_B6F6_00609720E0A1_.wvu.PrintArea" localSheetId="1" hidden="1">[22]Presupuesto_Via_distribuidora!$A$176:$I$193</definedName>
    <definedName name="Z_6BA141F3_E104_11DA_B6F6_00609720E0A1_.wvu.PrintArea" localSheetId="16" hidden="1">[22]Presupuesto_Via_distribuidora!$A$176:$I$193</definedName>
    <definedName name="Z_6BA141F3_E104_11DA_B6F6_00609720E0A1_.wvu.PrintArea" localSheetId="3" hidden="1">[14]Presupuesto_Via_distribuidora!$A$176:$I$193</definedName>
    <definedName name="Z_6BA141F3_E104_11DA_B6F6_00609720E0A1_.wvu.PrintArea" hidden="1">[22]Presupuesto_Via_distribuidora!$A$176:$I$193</definedName>
    <definedName name="Z_6BA141F3_E104_11DA_B6F6_00609720E0A1_.wvu.PrintTitles" localSheetId="1" hidden="1">[22]Presupuesto_Via_distribuidora!#REF!</definedName>
    <definedName name="Z_6BA141F3_E104_11DA_B6F6_00609720E0A1_.wvu.PrintTitles" localSheetId="16" hidden="1">[22]Presupuesto_Via_distribuidora!#REF!</definedName>
    <definedName name="Z_6BA141F3_E104_11DA_B6F6_00609720E0A1_.wvu.PrintTitles" localSheetId="3" hidden="1">[14]Presupuesto_Via_distribuidora!#REF!</definedName>
    <definedName name="Z_6BA141F3_E104_11DA_B6F6_00609720E0A1_.wvu.PrintTitles" hidden="1">[22]Presupuesto_Via_distribuidora!#REF!</definedName>
    <definedName name="Z_6BA141F4_E104_11DA_B6F6_00609720E0A1_.wvu.FilterData" localSheetId="1" hidden="1">[22]Presupuesto_Via_distribuidora!$A$9:$H$344</definedName>
    <definedName name="Z_6BA141F4_E104_11DA_B6F6_00609720E0A1_.wvu.FilterData" localSheetId="16" hidden="1">[22]Presupuesto_Via_distribuidora!$A$9:$H$344</definedName>
    <definedName name="Z_6BA141F4_E104_11DA_B6F6_00609720E0A1_.wvu.FilterData" localSheetId="3" hidden="1">[14]Presupuesto_Via_distribuidora!$A$9:$H$344</definedName>
    <definedName name="Z_6BA141F4_E104_11DA_B6F6_00609720E0A1_.wvu.FilterData" hidden="1">[22]Presupuesto_Via_distribuidora!$A$9:$H$344</definedName>
    <definedName name="Z_6BA141F4_E104_11DA_B6F6_00609720E0A1_.wvu.PrintArea" localSheetId="1" hidden="1">[22]Presupuesto_Via_distribuidora!$A$342:$I$541</definedName>
    <definedName name="Z_6BA141F4_E104_11DA_B6F6_00609720E0A1_.wvu.PrintArea" localSheetId="16" hidden="1">[22]Presupuesto_Via_distribuidora!$A$342:$I$541</definedName>
    <definedName name="Z_6BA141F4_E104_11DA_B6F6_00609720E0A1_.wvu.PrintArea" localSheetId="3" hidden="1">[14]Presupuesto_Via_distribuidora!$A$342:$I$541</definedName>
    <definedName name="Z_6BA141F4_E104_11DA_B6F6_00609720E0A1_.wvu.PrintArea" hidden="1">[22]Presupuesto_Via_distribuidora!$A$342:$I$541</definedName>
    <definedName name="Z_6BA141F4_E104_11DA_B6F6_00609720E0A1_.wvu.PrintTitles" localSheetId="1" hidden="1">[22]Presupuesto_Via_distribuidora!#REF!</definedName>
    <definedName name="Z_6BA141F4_E104_11DA_B6F6_00609720E0A1_.wvu.PrintTitles" localSheetId="16" hidden="1">[22]Presupuesto_Via_distribuidora!#REF!</definedName>
    <definedName name="Z_6BA141F4_E104_11DA_B6F6_00609720E0A1_.wvu.PrintTitles" localSheetId="3" hidden="1">[14]Presupuesto_Via_distribuidora!#REF!</definedName>
    <definedName name="Z_6BA141F4_E104_11DA_B6F6_00609720E0A1_.wvu.PrintTitles" hidden="1">[22]Presupuesto_Via_distribuidora!#REF!</definedName>
    <definedName name="Z_6BA141F5_E104_11DA_B6F6_00609720E0A1_.wvu.FilterData" localSheetId="1" hidden="1">[22]Presupuesto_Via_distribuidora!$A$9:$H$344</definedName>
    <definedName name="Z_6BA141F5_E104_11DA_B6F6_00609720E0A1_.wvu.FilterData" localSheetId="16" hidden="1">[22]Presupuesto_Via_distribuidora!$A$9:$H$344</definedName>
    <definedName name="Z_6BA141F5_E104_11DA_B6F6_00609720E0A1_.wvu.FilterData" localSheetId="3" hidden="1">[14]Presupuesto_Via_distribuidora!$A$9:$H$344</definedName>
    <definedName name="Z_6BA141F5_E104_11DA_B6F6_00609720E0A1_.wvu.FilterData" hidden="1">[22]Presupuesto_Via_distribuidora!$A$9:$H$344</definedName>
    <definedName name="Z_6BA141F5_E104_11DA_B6F6_00609720E0A1_.wvu.PrintArea" localSheetId="1" hidden="1">[22]Presupuesto_Via_distribuidora!$A$557:$I$825</definedName>
    <definedName name="Z_6BA141F5_E104_11DA_B6F6_00609720E0A1_.wvu.PrintArea" localSheetId="16" hidden="1">[22]Presupuesto_Via_distribuidora!$A$557:$I$825</definedName>
    <definedName name="Z_6BA141F5_E104_11DA_B6F6_00609720E0A1_.wvu.PrintArea" localSheetId="3" hidden="1">[14]Presupuesto_Via_distribuidora!$A$557:$I$825</definedName>
    <definedName name="Z_6BA141F5_E104_11DA_B6F6_00609720E0A1_.wvu.PrintArea" hidden="1">[22]Presupuesto_Via_distribuidora!$A$557:$I$825</definedName>
    <definedName name="Z_6BA141F5_E104_11DA_B6F6_00609720E0A1_.wvu.PrintTitles" localSheetId="1" hidden="1">[22]Presupuesto_Via_distribuidora!$547:$556</definedName>
    <definedName name="Z_6BA141F5_E104_11DA_B6F6_00609720E0A1_.wvu.PrintTitles" localSheetId="16" hidden="1">[22]Presupuesto_Via_distribuidora!$547:$556</definedName>
    <definedName name="Z_6BA141F5_E104_11DA_B6F6_00609720E0A1_.wvu.PrintTitles" localSheetId="3" hidden="1">[14]Presupuesto_Via_distribuidora!$547:$556</definedName>
    <definedName name="Z_6BA141F5_E104_11DA_B6F6_00609720E0A1_.wvu.PrintTitles" hidden="1">[22]Presupuesto_Via_distribuidora!$547:$556</definedName>
    <definedName name="Z_6BA141F6_E104_11DA_B6F6_00609720E0A1_.wvu.FilterData" localSheetId="1" hidden="1">[22]Presupuesto_Via_distribuidora!$A$9:$H$344</definedName>
    <definedName name="Z_6BA141F6_E104_11DA_B6F6_00609720E0A1_.wvu.FilterData" localSheetId="16" hidden="1">[22]Presupuesto_Via_distribuidora!$A$9:$H$344</definedName>
    <definedName name="Z_6BA141F6_E104_11DA_B6F6_00609720E0A1_.wvu.FilterData" localSheetId="3" hidden="1">[14]Presupuesto_Via_distribuidora!$A$9:$H$344</definedName>
    <definedName name="Z_6BA141F6_E104_11DA_B6F6_00609720E0A1_.wvu.FilterData" hidden="1">[22]Presupuesto_Via_distribuidora!$A$9:$H$344</definedName>
    <definedName name="Z_6BA141F6_E104_11DA_B6F6_00609720E0A1_.wvu.PrintArea" localSheetId="1" hidden="1">[22]Presupuesto_Via_distribuidora!$A$839:$I$1037</definedName>
    <definedName name="Z_6BA141F6_E104_11DA_B6F6_00609720E0A1_.wvu.PrintArea" localSheetId="16" hidden="1">[22]Presupuesto_Via_distribuidora!$A$839:$I$1037</definedName>
    <definedName name="Z_6BA141F6_E104_11DA_B6F6_00609720E0A1_.wvu.PrintArea" localSheetId="3" hidden="1">[14]Presupuesto_Via_distribuidora!$A$839:$I$1037</definedName>
    <definedName name="Z_6BA141F6_E104_11DA_B6F6_00609720E0A1_.wvu.PrintArea" hidden="1">[22]Presupuesto_Via_distribuidora!$A$839:$I$1037</definedName>
    <definedName name="Z_6BA141F6_E104_11DA_B6F6_00609720E0A1_.wvu.PrintTitles" localSheetId="1" hidden="1">[22]Presupuesto_Via_distribuidora!$829:$838</definedName>
    <definedName name="Z_6BA141F6_E104_11DA_B6F6_00609720E0A1_.wvu.PrintTitles" localSheetId="16" hidden="1">[22]Presupuesto_Via_distribuidora!$829:$838</definedName>
    <definedName name="Z_6BA141F6_E104_11DA_B6F6_00609720E0A1_.wvu.PrintTitles" localSheetId="3" hidden="1">[14]Presupuesto_Via_distribuidora!$829:$838</definedName>
    <definedName name="Z_6BA141F6_E104_11DA_B6F6_00609720E0A1_.wvu.PrintTitles" hidden="1">[22]Presupuesto_Via_distribuidora!$829:$838</definedName>
    <definedName name="Z_726673D2_C579_4EF3_83C7_45DC3792EA6A_.wvu.FilterData" localSheetId="1" hidden="1">[22]Presupuesto_Via_distribuidora!$A$9:$H$344</definedName>
    <definedName name="Z_726673D2_C579_4EF3_83C7_45DC3792EA6A_.wvu.FilterData" localSheetId="16" hidden="1">[22]Presupuesto_Via_distribuidora!$A$9:$H$344</definedName>
    <definedName name="Z_726673D2_C579_4EF3_83C7_45DC3792EA6A_.wvu.FilterData" localSheetId="3" hidden="1">[14]Presupuesto_Via_distribuidora!$A$9:$H$344</definedName>
    <definedName name="Z_726673D2_C579_4EF3_83C7_45DC3792EA6A_.wvu.FilterData" hidden="1">[22]Presupuesto_Via_distribuidora!$A$9:$H$344</definedName>
    <definedName name="Z_726673D2_C579_4EF3_83C7_45DC3792EA6A_.wvu.PrintArea" localSheetId="1" hidden="1">[22]Presupuesto_Via_distribuidora!$A$10:$I$208</definedName>
    <definedName name="Z_726673D2_C579_4EF3_83C7_45DC3792EA6A_.wvu.PrintArea" localSheetId="16" hidden="1">[22]Presupuesto_Via_distribuidora!$A$10:$I$208</definedName>
    <definedName name="Z_726673D2_C579_4EF3_83C7_45DC3792EA6A_.wvu.PrintArea" localSheetId="3" hidden="1">[14]Presupuesto_Via_distribuidora!$A$10:$I$208</definedName>
    <definedName name="Z_726673D2_C579_4EF3_83C7_45DC3792EA6A_.wvu.PrintArea" hidden="1">[22]Presupuesto_Via_distribuidora!$A$10:$I$208</definedName>
    <definedName name="Z_726673D2_C579_4EF3_83C7_45DC3792EA6A_.wvu.PrintTitles" localSheetId="1" hidden="1">[22]Presupuesto_Via_distribuidora!$1:$9</definedName>
    <definedName name="Z_726673D2_C579_4EF3_83C7_45DC3792EA6A_.wvu.PrintTitles" localSheetId="16" hidden="1">[22]Presupuesto_Via_distribuidora!$1:$9</definedName>
    <definedName name="Z_726673D2_C579_4EF3_83C7_45DC3792EA6A_.wvu.PrintTitles" localSheetId="3" hidden="1">[14]Presupuesto_Via_distribuidora!$1:$9</definedName>
    <definedName name="Z_726673D2_C579_4EF3_83C7_45DC3792EA6A_.wvu.PrintTitles" hidden="1">[22]Presupuesto_Via_distribuidora!$1:$9</definedName>
    <definedName name="Z_729969D8_DFDA_47B9_ADA2_E05CF62B3DEF_.wvu.FilterData" localSheetId="1" hidden="1">[22]Presupuesto_Via_distribuidora!$A$9:$H$344</definedName>
    <definedName name="Z_729969D8_DFDA_47B9_ADA2_E05CF62B3DEF_.wvu.FilterData" localSheetId="16" hidden="1">[22]Presupuesto_Via_distribuidora!$A$9:$H$344</definedName>
    <definedName name="Z_729969D8_DFDA_47B9_ADA2_E05CF62B3DEF_.wvu.FilterData" localSheetId="3" hidden="1">[14]Presupuesto_Via_distribuidora!$A$9:$H$344</definedName>
    <definedName name="Z_729969D8_DFDA_47B9_ADA2_E05CF62B3DEF_.wvu.FilterData" hidden="1">[22]Presupuesto_Via_distribuidora!$A$9:$H$344</definedName>
    <definedName name="Z_729969D8_DFDA_47B9_ADA2_E05CF62B3DEF_.wvu.PrintArea" localSheetId="1" hidden="1">[22]Presupuesto_Via_distribuidora!$A$618:$I$886</definedName>
    <definedName name="Z_729969D8_DFDA_47B9_ADA2_E05CF62B3DEF_.wvu.PrintArea" localSheetId="16" hidden="1">[22]Presupuesto_Via_distribuidora!$A$618:$I$886</definedName>
    <definedName name="Z_729969D8_DFDA_47B9_ADA2_E05CF62B3DEF_.wvu.PrintArea" localSheetId="3" hidden="1">[14]Presupuesto_Via_distribuidora!$A$618:$I$886</definedName>
    <definedName name="Z_729969D8_DFDA_47B9_ADA2_E05CF62B3DEF_.wvu.PrintArea" hidden="1">[22]Presupuesto_Via_distribuidora!$A$618:$I$886</definedName>
    <definedName name="Z_729969D8_DFDA_47B9_ADA2_E05CF62B3DEF_.wvu.PrintTitles" localSheetId="1" hidden="1">[22]Presupuesto_Via_distribuidora!$608:$617</definedName>
    <definedName name="Z_729969D8_DFDA_47B9_ADA2_E05CF62B3DEF_.wvu.PrintTitles" localSheetId="16" hidden="1">[22]Presupuesto_Via_distribuidora!$608:$617</definedName>
    <definedName name="Z_729969D8_DFDA_47B9_ADA2_E05CF62B3DEF_.wvu.PrintTitles" localSheetId="3" hidden="1">[14]Presupuesto_Via_distribuidora!$608:$617</definedName>
    <definedName name="Z_729969D8_DFDA_47B9_ADA2_E05CF62B3DEF_.wvu.PrintTitles" hidden="1">[22]Presupuesto_Via_distribuidora!$608:$617</definedName>
    <definedName name="Z_75EDDC88_CA8C_4671_911D_25D74F37EC47_.wvu.FilterData" localSheetId="1" hidden="1">[22]Presupuesto_Via_distribuidora!$A$9:$H$344</definedName>
    <definedName name="Z_75EDDC88_CA8C_4671_911D_25D74F37EC47_.wvu.FilterData" localSheetId="16" hidden="1">[22]Presupuesto_Via_distribuidora!$A$9:$H$344</definedName>
    <definedName name="Z_75EDDC88_CA8C_4671_911D_25D74F37EC47_.wvu.FilterData" localSheetId="3" hidden="1">[14]Presupuesto_Via_distribuidora!$A$9:$H$344</definedName>
    <definedName name="Z_75EDDC88_CA8C_4671_911D_25D74F37EC47_.wvu.FilterData" hidden="1">[22]Presupuesto_Via_distribuidora!$A$9:$H$344</definedName>
    <definedName name="Z_75EDDC88_CA8C_4671_911D_25D74F37EC47_.wvu.PrintArea" localSheetId="1" hidden="1">[22]Presupuesto_Via_distribuidora!$A$902:$I$1100</definedName>
    <definedName name="Z_75EDDC88_CA8C_4671_911D_25D74F37EC47_.wvu.PrintArea" localSheetId="16" hidden="1">[22]Presupuesto_Via_distribuidora!$A$902:$I$1100</definedName>
    <definedName name="Z_75EDDC88_CA8C_4671_911D_25D74F37EC47_.wvu.PrintArea" localSheetId="3" hidden="1">[14]Presupuesto_Via_distribuidora!$A$902:$I$1100</definedName>
    <definedName name="Z_75EDDC88_CA8C_4671_911D_25D74F37EC47_.wvu.PrintArea" hidden="1">[22]Presupuesto_Via_distribuidora!$A$902:$I$1100</definedName>
    <definedName name="Z_75EDDC88_CA8C_4671_911D_25D74F37EC47_.wvu.PrintTitles" localSheetId="1" hidden="1">[22]Presupuesto_Via_distribuidora!$892:$901</definedName>
    <definedName name="Z_75EDDC88_CA8C_4671_911D_25D74F37EC47_.wvu.PrintTitles" localSheetId="16" hidden="1">[22]Presupuesto_Via_distribuidora!$892:$901</definedName>
    <definedName name="Z_75EDDC88_CA8C_4671_911D_25D74F37EC47_.wvu.PrintTitles" localSheetId="3" hidden="1">[14]Presupuesto_Via_distribuidora!$892:$901</definedName>
    <definedName name="Z_75EDDC88_CA8C_4671_911D_25D74F37EC47_.wvu.PrintTitles" hidden="1">[22]Presupuesto_Via_distribuidora!$892:$901</definedName>
    <definedName name="Z_80573755_2D8B_4158_BD3A_CC331B950748_.wvu.FilterData" localSheetId="1" hidden="1">[22]Presupuesto_Via_distribuidora!$A$9:$H$344</definedName>
    <definedName name="Z_80573755_2D8B_4158_BD3A_CC331B950748_.wvu.FilterData" localSheetId="16" hidden="1">[22]Presupuesto_Via_distribuidora!$A$9:$H$344</definedName>
    <definedName name="Z_80573755_2D8B_4158_BD3A_CC331B950748_.wvu.FilterData" localSheetId="3" hidden="1">[14]Presupuesto_Via_distribuidora!$A$9:$H$344</definedName>
    <definedName name="Z_80573755_2D8B_4158_BD3A_CC331B950748_.wvu.FilterData" hidden="1">[22]Presupuesto_Via_distribuidora!$A$9:$H$344</definedName>
    <definedName name="Z_80573755_2D8B_4158_BD3A_CC331B950748_.wvu.PrintArea" localSheetId="1" hidden="1">[22]Presupuesto_Via_distribuidora!$A$221:$I$375</definedName>
    <definedName name="Z_80573755_2D8B_4158_BD3A_CC331B950748_.wvu.PrintArea" localSheetId="16" hidden="1">[22]Presupuesto_Via_distribuidora!$A$221:$I$375</definedName>
    <definedName name="Z_80573755_2D8B_4158_BD3A_CC331B950748_.wvu.PrintArea" localSheetId="3" hidden="1">[14]Presupuesto_Via_distribuidora!$A$221:$I$375</definedName>
    <definedName name="Z_80573755_2D8B_4158_BD3A_CC331B950748_.wvu.PrintArea" hidden="1">[22]Presupuesto_Via_distribuidora!$A$221:$I$375</definedName>
    <definedName name="Z_80573755_2D8B_4158_BD3A_CC331B950748_.wvu.PrintTitles" localSheetId="1" hidden="1">[22]Presupuesto_Via_distribuidora!$211:$220</definedName>
    <definedName name="Z_80573755_2D8B_4158_BD3A_CC331B950748_.wvu.PrintTitles" localSheetId="16" hidden="1">[22]Presupuesto_Via_distribuidora!$211:$220</definedName>
    <definedName name="Z_80573755_2D8B_4158_BD3A_CC331B950748_.wvu.PrintTitles" localSheetId="3" hidden="1">[14]Presupuesto_Via_distribuidora!$211:$220</definedName>
    <definedName name="Z_80573755_2D8B_4158_BD3A_CC331B950748_.wvu.PrintTitles" hidden="1">[22]Presupuesto_Via_distribuidora!$211:$220</definedName>
    <definedName name="Z_9C7B0D6D_4DDE_4C72_B23F_2E183F63ECB1_.wvu.FilterData" localSheetId="1" hidden="1">[22]Presupuesto_Via_distribuidora!$A$9:$H$344</definedName>
    <definedName name="Z_9C7B0D6D_4DDE_4C72_B23F_2E183F63ECB1_.wvu.FilterData" localSheetId="16" hidden="1">[22]Presupuesto_Via_distribuidora!$A$9:$H$344</definedName>
    <definedName name="Z_9C7B0D6D_4DDE_4C72_B23F_2E183F63ECB1_.wvu.FilterData" localSheetId="3" hidden="1">[14]Presupuesto_Via_distribuidora!$A$9:$H$344</definedName>
    <definedName name="Z_9C7B0D6D_4DDE_4C72_B23F_2E183F63ECB1_.wvu.FilterData" hidden="1">[22]Presupuesto_Via_distribuidora!$A$9:$H$344</definedName>
    <definedName name="Z_9C7B0D6D_4DDE_4C72_B23F_2E183F63ECB1_.wvu.PrintArea" localSheetId="1" hidden="1">[22]Presupuesto_Via_distribuidora!$C$1:$H$344</definedName>
    <definedName name="Z_9C7B0D6D_4DDE_4C72_B23F_2E183F63ECB1_.wvu.PrintArea" localSheetId="16" hidden="1">[22]Presupuesto_Via_distribuidora!$C$1:$H$344</definedName>
    <definedName name="Z_9C7B0D6D_4DDE_4C72_B23F_2E183F63ECB1_.wvu.PrintArea" localSheetId="3" hidden="1">[14]Presupuesto_Via_distribuidora!$C$1:$H$344</definedName>
    <definedName name="Z_9C7B0D6D_4DDE_4C72_B23F_2E183F63ECB1_.wvu.PrintArea" hidden="1">[22]Presupuesto_Via_distribuidora!$C$1:$H$344</definedName>
    <definedName name="Z_9C7B0D6D_4DDE_4C72_B23F_2E183F63ECB1_.wvu.PrintTitles" localSheetId="1" hidden="1">[22]Presupuesto_Via_distribuidora!$2:$8</definedName>
    <definedName name="Z_9C7B0D6D_4DDE_4C72_B23F_2E183F63ECB1_.wvu.PrintTitles" localSheetId="16" hidden="1">[22]Presupuesto_Via_distribuidora!$2:$8</definedName>
    <definedName name="Z_9C7B0D6D_4DDE_4C72_B23F_2E183F63ECB1_.wvu.PrintTitles" localSheetId="3" hidden="1">[14]Presupuesto_Via_distribuidora!$2:$8</definedName>
    <definedName name="Z_9C7B0D6D_4DDE_4C72_B23F_2E183F63ECB1_.wvu.PrintTitles" hidden="1">[22]Presupuesto_Via_distribuidora!$2:$8</definedName>
    <definedName name="Z_9C8B6436_249F_426A_96DC_EEE5E7CB7D1B_.wvu.FilterData" localSheetId="1" hidden="1">[22]Presupuesto_Via_distribuidora!$A$9:$H$344</definedName>
    <definedName name="Z_9C8B6436_249F_426A_96DC_EEE5E7CB7D1B_.wvu.FilterData" localSheetId="16" hidden="1">[22]Presupuesto_Via_distribuidora!$A$9:$H$344</definedName>
    <definedName name="Z_9C8B6436_249F_426A_96DC_EEE5E7CB7D1B_.wvu.FilterData" localSheetId="3" hidden="1">[14]Presupuesto_Via_distribuidora!$A$9:$H$344</definedName>
    <definedName name="Z_9C8B6436_249F_426A_96DC_EEE5E7CB7D1B_.wvu.FilterData" hidden="1">[22]Presupuesto_Via_distribuidora!$A$9:$H$344</definedName>
    <definedName name="Z_9C8B6436_249F_426A_96DC_EEE5E7CB7D1B_.wvu.PrintArea" localSheetId="1" hidden="1">[22]Presupuesto_Via_distribuidora!$C$1:$H$344</definedName>
    <definedName name="Z_9C8B6436_249F_426A_96DC_EEE5E7CB7D1B_.wvu.PrintArea" localSheetId="16" hidden="1">[22]Presupuesto_Via_distribuidora!$C$1:$H$344</definedName>
    <definedName name="Z_9C8B6436_249F_426A_96DC_EEE5E7CB7D1B_.wvu.PrintArea" localSheetId="3" hidden="1">[14]Presupuesto_Via_distribuidora!$C$1:$H$344</definedName>
    <definedName name="Z_9C8B6436_249F_426A_96DC_EEE5E7CB7D1B_.wvu.PrintArea" hidden="1">[22]Presupuesto_Via_distribuidora!$C$1:$H$344</definedName>
    <definedName name="Z_9C8B6436_249F_426A_96DC_EEE5E7CB7D1B_.wvu.PrintTitles" localSheetId="1" hidden="1">[22]Presupuesto_Via_distribuidora!$2:$8</definedName>
    <definedName name="Z_9C8B6436_249F_426A_96DC_EEE5E7CB7D1B_.wvu.PrintTitles" localSheetId="16" hidden="1">[22]Presupuesto_Via_distribuidora!$2:$8</definedName>
    <definedName name="Z_9C8B6436_249F_426A_96DC_EEE5E7CB7D1B_.wvu.PrintTitles" localSheetId="3" hidden="1">[14]Presupuesto_Via_distribuidora!$2:$8</definedName>
    <definedName name="Z_9C8B6436_249F_426A_96DC_EEE5E7CB7D1B_.wvu.PrintTitles" hidden="1">[22]Presupuesto_Via_distribuidora!$2:$8</definedName>
    <definedName name="Z_9FCFD0D5_270B_4F36_B422_02EF7A3700B8_.wvu.FilterData" localSheetId="1" hidden="1">[22]Presupuesto_Via_distribuidora!$A$9:$H$344</definedName>
    <definedName name="Z_9FCFD0D5_270B_4F36_B422_02EF7A3700B8_.wvu.FilterData" localSheetId="16" hidden="1">[22]Presupuesto_Via_distribuidora!$A$9:$H$344</definedName>
    <definedName name="Z_9FCFD0D5_270B_4F36_B422_02EF7A3700B8_.wvu.FilterData" localSheetId="3" hidden="1">[14]Presupuesto_Via_distribuidora!$A$9:$H$344</definedName>
    <definedName name="Z_9FCFD0D5_270B_4F36_B422_02EF7A3700B8_.wvu.FilterData" hidden="1">[22]Presupuesto_Via_distribuidora!$A$9:$H$344</definedName>
    <definedName name="Z_9FCFD0D5_270B_4F36_B422_02EF7A3700B8_.wvu.PrintArea" localSheetId="1" hidden="1">[22]Presupuesto_Via_distribuidora!$A$390:$I$602</definedName>
    <definedName name="Z_9FCFD0D5_270B_4F36_B422_02EF7A3700B8_.wvu.PrintArea" localSheetId="16" hidden="1">[22]Presupuesto_Via_distribuidora!$A$390:$I$602</definedName>
    <definedName name="Z_9FCFD0D5_270B_4F36_B422_02EF7A3700B8_.wvu.PrintArea" localSheetId="3" hidden="1">[14]Presupuesto_Via_distribuidora!$A$390:$I$602</definedName>
    <definedName name="Z_9FCFD0D5_270B_4F36_B422_02EF7A3700B8_.wvu.PrintArea" hidden="1">[22]Presupuesto_Via_distribuidora!$A$390:$I$602</definedName>
    <definedName name="Z_9FCFD0D5_270B_4F36_B422_02EF7A3700B8_.wvu.PrintTitles" localSheetId="1" hidden="1">[22]Presupuesto_Via_distribuidora!$380:$389</definedName>
    <definedName name="Z_9FCFD0D5_270B_4F36_B422_02EF7A3700B8_.wvu.PrintTitles" localSheetId="16" hidden="1">[22]Presupuesto_Via_distribuidora!$380:$389</definedName>
    <definedName name="Z_9FCFD0D5_270B_4F36_B422_02EF7A3700B8_.wvu.PrintTitles" localSheetId="3" hidden="1">[14]Presupuesto_Via_distribuidora!$380:$389</definedName>
    <definedName name="Z_9FCFD0D5_270B_4F36_B422_02EF7A3700B8_.wvu.PrintTitles" hidden="1">[22]Presupuesto_Via_distribuidora!$380:$389</definedName>
    <definedName name="Z_9FE8FF3F_4486_44D6_9AFB_43CC5B824BF9_.wvu.FilterData" localSheetId="1" hidden="1">[22]Presupuesto_Via_distribuidora!$A$9:$H$344</definedName>
    <definedName name="Z_9FE8FF3F_4486_44D6_9AFB_43CC5B824BF9_.wvu.FilterData" localSheetId="16" hidden="1">[22]Presupuesto_Via_distribuidora!$A$9:$H$344</definedName>
    <definedName name="Z_9FE8FF3F_4486_44D6_9AFB_43CC5B824BF9_.wvu.FilterData" localSheetId="3" hidden="1">[14]Presupuesto_Via_distribuidora!$A$9:$H$344</definedName>
    <definedName name="Z_9FE8FF3F_4486_44D6_9AFB_43CC5B824BF9_.wvu.FilterData" hidden="1">[22]Presupuesto_Via_distribuidora!$A$9:$H$344</definedName>
    <definedName name="Z_9FE8FF3F_4486_44D6_9AFB_43CC5B824BF9_.wvu.PrintArea" localSheetId="1" hidden="1">[22]Presupuesto_Via_distribuidora!$C$1:$H$344</definedName>
    <definedName name="Z_9FE8FF3F_4486_44D6_9AFB_43CC5B824BF9_.wvu.PrintArea" localSheetId="16" hidden="1">[22]Presupuesto_Via_distribuidora!$C$1:$H$344</definedName>
    <definedName name="Z_9FE8FF3F_4486_44D6_9AFB_43CC5B824BF9_.wvu.PrintArea" localSheetId="3" hidden="1">[14]Presupuesto_Via_distribuidora!$C$1:$H$344</definedName>
    <definedName name="Z_9FE8FF3F_4486_44D6_9AFB_43CC5B824BF9_.wvu.PrintArea" hidden="1">[22]Presupuesto_Via_distribuidora!$C$1:$H$344</definedName>
    <definedName name="Z_9FE8FF3F_4486_44D6_9AFB_43CC5B824BF9_.wvu.PrintTitles" localSheetId="1" hidden="1">[22]Presupuesto_Via_distribuidora!$2:$8</definedName>
    <definedName name="Z_9FE8FF3F_4486_44D6_9AFB_43CC5B824BF9_.wvu.PrintTitles" localSheetId="16" hidden="1">[22]Presupuesto_Via_distribuidora!$2:$8</definedName>
    <definedName name="Z_9FE8FF3F_4486_44D6_9AFB_43CC5B824BF9_.wvu.PrintTitles" localSheetId="3" hidden="1">[14]Presupuesto_Via_distribuidora!$2:$8</definedName>
    <definedName name="Z_9FE8FF3F_4486_44D6_9AFB_43CC5B824BF9_.wvu.PrintTitles" hidden="1">[22]Presupuesto_Via_distribuidora!$2:$8</definedName>
    <definedName name="Z_A3DE26BA_CF48_4654_9BE9_FAEB3C301C95_.wvu.FilterData" localSheetId="1" hidden="1">[22]Presupuesto_Via_distribuidora!$A$9:$H$344</definedName>
    <definedName name="Z_A3DE26BA_CF48_4654_9BE9_FAEB3C301C95_.wvu.FilterData" localSheetId="16" hidden="1">[22]Presupuesto_Via_distribuidora!$A$9:$H$344</definedName>
    <definedName name="Z_A3DE26BA_CF48_4654_9BE9_FAEB3C301C95_.wvu.FilterData" localSheetId="3" hidden="1">[14]Presupuesto_Via_distribuidora!$A$9:$H$344</definedName>
    <definedName name="Z_A3DE26BA_CF48_4654_9BE9_FAEB3C301C95_.wvu.FilterData" hidden="1">[22]Presupuesto_Via_distribuidora!$A$9:$H$344</definedName>
    <definedName name="Z_A3DE26BA_CF48_4654_9BE9_FAEB3C301C95_.wvu.PrintArea" localSheetId="1" hidden="1">[22]Presupuesto_Via_distribuidora!$A$221:$I$377</definedName>
    <definedName name="Z_A3DE26BA_CF48_4654_9BE9_FAEB3C301C95_.wvu.PrintArea" localSheetId="16" hidden="1">[22]Presupuesto_Via_distribuidora!$A$221:$I$377</definedName>
    <definedName name="Z_A3DE26BA_CF48_4654_9BE9_FAEB3C301C95_.wvu.PrintArea" localSheetId="3" hidden="1">[14]Presupuesto_Via_distribuidora!$A$221:$I$377</definedName>
    <definedName name="Z_A3DE26BA_CF48_4654_9BE9_FAEB3C301C95_.wvu.PrintArea" hidden="1">[22]Presupuesto_Via_distribuidora!$A$221:$I$377</definedName>
    <definedName name="Z_A3DE26BA_CF48_4654_9BE9_FAEB3C301C95_.wvu.PrintTitles" localSheetId="1" hidden="1">[22]Presupuesto_Via_distribuidora!$211:$220</definedName>
    <definedName name="Z_A3DE26BA_CF48_4654_9BE9_FAEB3C301C95_.wvu.PrintTitles" localSheetId="16" hidden="1">[22]Presupuesto_Via_distribuidora!$211:$220</definedName>
    <definedName name="Z_A3DE26BA_CF48_4654_9BE9_FAEB3C301C95_.wvu.PrintTitles" localSheetId="3" hidden="1">[14]Presupuesto_Via_distribuidora!$211:$220</definedName>
    <definedName name="Z_A3DE26BA_CF48_4654_9BE9_FAEB3C301C95_.wvu.PrintTitles" hidden="1">[22]Presupuesto_Via_distribuidora!$211:$220</definedName>
    <definedName name="Z_AAA1DD33_F1E3_423A_B1F2_E8567F4D95A5_.wvu.FilterData" localSheetId="1" hidden="1">[22]Presupuesto_Via_distribuidora!$A$9:$H$344</definedName>
    <definedName name="Z_AAA1DD33_F1E3_423A_B1F2_E8567F4D95A5_.wvu.FilterData" localSheetId="16" hidden="1">[22]Presupuesto_Via_distribuidora!$A$9:$H$344</definedName>
    <definedName name="Z_AAA1DD33_F1E3_423A_B1F2_E8567F4D95A5_.wvu.FilterData" localSheetId="3" hidden="1">[14]Presupuesto_Via_distribuidora!$A$9:$H$344</definedName>
    <definedName name="Z_AAA1DD33_F1E3_423A_B1F2_E8567F4D95A5_.wvu.FilterData" hidden="1">[22]Presupuesto_Via_distribuidora!$A$9:$H$344</definedName>
    <definedName name="Z_AAA1DD33_F1E3_423A_B1F2_E8567F4D95A5_.wvu.PrintArea" localSheetId="1" hidden="1">[22]Presupuesto_Via_distribuidora!$A$900:$I$1098</definedName>
    <definedName name="Z_AAA1DD33_F1E3_423A_B1F2_E8567F4D95A5_.wvu.PrintArea" localSheetId="16" hidden="1">[22]Presupuesto_Via_distribuidora!$A$900:$I$1098</definedName>
    <definedName name="Z_AAA1DD33_F1E3_423A_B1F2_E8567F4D95A5_.wvu.PrintArea" localSheetId="3" hidden="1">[14]Presupuesto_Via_distribuidora!$A$900:$I$1098</definedName>
    <definedName name="Z_AAA1DD33_F1E3_423A_B1F2_E8567F4D95A5_.wvu.PrintArea" hidden="1">[22]Presupuesto_Via_distribuidora!$A$900:$I$1098</definedName>
    <definedName name="Z_AAA1DD33_F1E3_423A_B1F2_E8567F4D95A5_.wvu.PrintTitles" localSheetId="1" hidden="1">[22]Presupuesto_Via_distribuidora!$890:$899</definedName>
    <definedName name="Z_AAA1DD33_F1E3_423A_B1F2_E8567F4D95A5_.wvu.PrintTitles" localSheetId="16" hidden="1">[22]Presupuesto_Via_distribuidora!$890:$899</definedName>
    <definedName name="Z_AAA1DD33_F1E3_423A_B1F2_E8567F4D95A5_.wvu.PrintTitles" localSheetId="3" hidden="1">[14]Presupuesto_Via_distribuidora!$890:$899</definedName>
    <definedName name="Z_AAA1DD33_F1E3_423A_B1F2_E8567F4D95A5_.wvu.PrintTitles" hidden="1">[22]Presupuesto_Via_distribuidora!$890:$899</definedName>
    <definedName name="Z_B4899972_EBDC_11DA_B6F6_00609720E0A1_.wvu.FilterData" localSheetId="1" hidden="1">[22]Presupuesto_Via_distribuidora!$A$9:$H$344</definedName>
    <definedName name="Z_B4899972_EBDC_11DA_B6F6_00609720E0A1_.wvu.FilterData" localSheetId="16" hidden="1">[22]Presupuesto_Via_distribuidora!$A$9:$H$344</definedName>
    <definedName name="Z_B4899972_EBDC_11DA_B6F6_00609720E0A1_.wvu.FilterData" localSheetId="3" hidden="1">[14]Presupuesto_Via_distribuidora!$A$9:$H$344</definedName>
    <definedName name="Z_B4899972_EBDC_11DA_B6F6_00609720E0A1_.wvu.FilterData" hidden="1">[22]Presupuesto_Via_distribuidora!$A$9:$H$344</definedName>
    <definedName name="Z_B4899972_EBDC_11DA_B6F6_00609720E0A1_.wvu.PrintArea" localSheetId="1" hidden="1">[22]Presupuesto_Via_distribuidora!$A$10:$I$164</definedName>
    <definedName name="Z_B4899972_EBDC_11DA_B6F6_00609720E0A1_.wvu.PrintArea" localSheetId="16" hidden="1">[22]Presupuesto_Via_distribuidora!$A$10:$I$164</definedName>
    <definedName name="Z_B4899972_EBDC_11DA_B6F6_00609720E0A1_.wvu.PrintArea" localSheetId="3" hidden="1">[14]Presupuesto_Via_distribuidora!$A$10:$I$164</definedName>
    <definedName name="Z_B4899972_EBDC_11DA_B6F6_00609720E0A1_.wvu.PrintArea" hidden="1">[22]Presupuesto_Via_distribuidora!$A$10:$I$164</definedName>
    <definedName name="Z_B4899972_EBDC_11DA_B6F6_00609720E0A1_.wvu.PrintTitles" localSheetId="1" hidden="1">[22]Presupuesto_Via_distribuidora!$1:$9</definedName>
    <definedName name="Z_B4899972_EBDC_11DA_B6F6_00609720E0A1_.wvu.PrintTitles" localSheetId="16" hidden="1">[22]Presupuesto_Via_distribuidora!$1:$9</definedName>
    <definedName name="Z_B4899972_EBDC_11DA_B6F6_00609720E0A1_.wvu.PrintTitles" localSheetId="3" hidden="1">[14]Presupuesto_Via_distribuidora!$1:$9</definedName>
    <definedName name="Z_B4899972_EBDC_11DA_B6F6_00609720E0A1_.wvu.PrintTitles" hidden="1">[22]Presupuesto_Via_distribuidora!$1:$9</definedName>
    <definedName name="Z_B4899973_EBDC_11DA_B6F6_00609720E0A1_.wvu.FilterData" localSheetId="1" hidden="1">[22]Presupuesto_Via_distribuidora!$A$9:$H$344</definedName>
    <definedName name="Z_B4899973_EBDC_11DA_B6F6_00609720E0A1_.wvu.FilterData" localSheetId="16" hidden="1">[22]Presupuesto_Via_distribuidora!$A$9:$H$344</definedName>
    <definedName name="Z_B4899973_EBDC_11DA_B6F6_00609720E0A1_.wvu.FilterData" localSheetId="3" hidden="1">[14]Presupuesto_Via_distribuidora!$A$9:$H$344</definedName>
    <definedName name="Z_B4899973_EBDC_11DA_B6F6_00609720E0A1_.wvu.FilterData" hidden="1">[22]Presupuesto_Via_distribuidora!$A$9:$H$344</definedName>
    <definedName name="Z_B4899973_EBDC_11DA_B6F6_00609720E0A1_.wvu.PrintArea" localSheetId="1" hidden="1">[22]Presupuesto_Via_distribuidora!$A$176:$I$193</definedName>
    <definedName name="Z_B4899973_EBDC_11DA_B6F6_00609720E0A1_.wvu.PrintArea" localSheetId="16" hidden="1">[22]Presupuesto_Via_distribuidora!$A$176:$I$193</definedName>
    <definedName name="Z_B4899973_EBDC_11DA_B6F6_00609720E0A1_.wvu.PrintArea" localSheetId="3" hidden="1">[14]Presupuesto_Via_distribuidora!$A$176:$I$193</definedName>
    <definedName name="Z_B4899973_EBDC_11DA_B6F6_00609720E0A1_.wvu.PrintArea" hidden="1">[22]Presupuesto_Via_distribuidora!$A$176:$I$193</definedName>
    <definedName name="Z_B4899973_EBDC_11DA_B6F6_00609720E0A1_.wvu.PrintTitles" localSheetId="1" hidden="1">[22]Presupuesto_Via_distribuidora!#REF!</definedName>
    <definedName name="Z_B4899973_EBDC_11DA_B6F6_00609720E0A1_.wvu.PrintTitles" localSheetId="16" hidden="1">[22]Presupuesto_Via_distribuidora!#REF!</definedName>
    <definedName name="Z_B4899973_EBDC_11DA_B6F6_00609720E0A1_.wvu.PrintTitles" localSheetId="3" hidden="1">[14]Presupuesto_Via_distribuidora!#REF!</definedName>
    <definedName name="Z_B4899973_EBDC_11DA_B6F6_00609720E0A1_.wvu.PrintTitles" hidden="1">[22]Presupuesto_Via_distribuidora!#REF!</definedName>
    <definedName name="Z_B4899974_EBDC_11DA_B6F6_00609720E0A1_.wvu.FilterData" localSheetId="1" hidden="1">[22]Presupuesto_Via_distribuidora!$A$9:$H$344</definedName>
    <definedName name="Z_B4899974_EBDC_11DA_B6F6_00609720E0A1_.wvu.FilterData" localSheetId="16" hidden="1">[22]Presupuesto_Via_distribuidora!$A$9:$H$344</definedName>
    <definedName name="Z_B4899974_EBDC_11DA_B6F6_00609720E0A1_.wvu.FilterData" localSheetId="3" hidden="1">[14]Presupuesto_Via_distribuidora!$A$9:$H$344</definedName>
    <definedName name="Z_B4899974_EBDC_11DA_B6F6_00609720E0A1_.wvu.FilterData" hidden="1">[22]Presupuesto_Via_distribuidora!$A$9:$H$344</definedName>
    <definedName name="Z_B4899974_EBDC_11DA_B6F6_00609720E0A1_.wvu.PrintArea" localSheetId="1" hidden="1">[22]Presupuesto_Via_distribuidora!$A$342:$I$541</definedName>
    <definedName name="Z_B4899974_EBDC_11DA_B6F6_00609720E0A1_.wvu.PrintArea" localSheetId="16" hidden="1">[22]Presupuesto_Via_distribuidora!$A$342:$I$541</definedName>
    <definedName name="Z_B4899974_EBDC_11DA_B6F6_00609720E0A1_.wvu.PrintArea" localSheetId="3" hidden="1">[14]Presupuesto_Via_distribuidora!$A$342:$I$541</definedName>
    <definedName name="Z_B4899974_EBDC_11DA_B6F6_00609720E0A1_.wvu.PrintArea" hidden="1">[22]Presupuesto_Via_distribuidora!$A$342:$I$541</definedName>
    <definedName name="Z_B4899974_EBDC_11DA_B6F6_00609720E0A1_.wvu.PrintTitles" localSheetId="1" hidden="1">[22]Presupuesto_Via_distribuidora!#REF!</definedName>
    <definedName name="Z_B4899974_EBDC_11DA_B6F6_00609720E0A1_.wvu.PrintTitles" localSheetId="16" hidden="1">[22]Presupuesto_Via_distribuidora!#REF!</definedName>
    <definedName name="Z_B4899974_EBDC_11DA_B6F6_00609720E0A1_.wvu.PrintTitles" localSheetId="3" hidden="1">[14]Presupuesto_Via_distribuidora!#REF!</definedName>
    <definedName name="Z_B4899974_EBDC_11DA_B6F6_00609720E0A1_.wvu.PrintTitles" hidden="1">[22]Presupuesto_Via_distribuidora!#REF!</definedName>
    <definedName name="Z_B4899975_EBDC_11DA_B6F6_00609720E0A1_.wvu.FilterData" localSheetId="1" hidden="1">[22]Presupuesto_Via_distribuidora!$A$9:$H$344</definedName>
    <definedName name="Z_B4899975_EBDC_11DA_B6F6_00609720E0A1_.wvu.FilterData" localSheetId="16" hidden="1">[22]Presupuesto_Via_distribuidora!$A$9:$H$344</definedName>
    <definedName name="Z_B4899975_EBDC_11DA_B6F6_00609720E0A1_.wvu.FilterData" localSheetId="3" hidden="1">[14]Presupuesto_Via_distribuidora!$A$9:$H$344</definedName>
    <definedName name="Z_B4899975_EBDC_11DA_B6F6_00609720E0A1_.wvu.FilterData" hidden="1">[22]Presupuesto_Via_distribuidora!$A$9:$H$344</definedName>
    <definedName name="Z_B4899975_EBDC_11DA_B6F6_00609720E0A1_.wvu.PrintArea" localSheetId="1" hidden="1">[22]Presupuesto_Via_distribuidora!$A$557:$I$825</definedName>
    <definedName name="Z_B4899975_EBDC_11DA_B6F6_00609720E0A1_.wvu.PrintArea" localSheetId="16" hidden="1">[22]Presupuesto_Via_distribuidora!$A$557:$I$825</definedName>
    <definedName name="Z_B4899975_EBDC_11DA_B6F6_00609720E0A1_.wvu.PrintArea" localSheetId="3" hidden="1">[14]Presupuesto_Via_distribuidora!$A$557:$I$825</definedName>
    <definedName name="Z_B4899975_EBDC_11DA_B6F6_00609720E0A1_.wvu.PrintArea" hidden="1">[22]Presupuesto_Via_distribuidora!$A$557:$I$825</definedName>
    <definedName name="Z_B4899975_EBDC_11DA_B6F6_00609720E0A1_.wvu.PrintTitles" localSheetId="1" hidden="1">[22]Presupuesto_Via_distribuidora!$547:$556</definedName>
    <definedName name="Z_B4899975_EBDC_11DA_B6F6_00609720E0A1_.wvu.PrintTitles" localSheetId="16" hidden="1">[22]Presupuesto_Via_distribuidora!$547:$556</definedName>
    <definedName name="Z_B4899975_EBDC_11DA_B6F6_00609720E0A1_.wvu.PrintTitles" localSheetId="3" hidden="1">[14]Presupuesto_Via_distribuidora!$547:$556</definedName>
    <definedName name="Z_B4899975_EBDC_11DA_B6F6_00609720E0A1_.wvu.PrintTitles" hidden="1">[22]Presupuesto_Via_distribuidora!$547:$556</definedName>
    <definedName name="Z_B4899976_EBDC_11DA_B6F6_00609720E0A1_.wvu.FilterData" localSheetId="1" hidden="1">[22]Presupuesto_Via_distribuidora!$A$9:$H$344</definedName>
    <definedName name="Z_B4899976_EBDC_11DA_B6F6_00609720E0A1_.wvu.FilterData" localSheetId="16" hidden="1">[22]Presupuesto_Via_distribuidora!$A$9:$H$344</definedName>
    <definedName name="Z_B4899976_EBDC_11DA_B6F6_00609720E0A1_.wvu.FilterData" localSheetId="3" hidden="1">[14]Presupuesto_Via_distribuidora!$A$9:$H$344</definedName>
    <definedName name="Z_B4899976_EBDC_11DA_B6F6_00609720E0A1_.wvu.FilterData" hidden="1">[22]Presupuesto_Via_distribuidora!$A$9:$H$344</definedName>
    <definedName name="Z_B4899976_EBDC_11DA_B6F6_00609720E0A1_.wvu.PrintArea" localSheetId="1" hidden="1">[22]Presupuesto_Via_distribuidora!$A$839:$I$1037</definedName>
    <definedName name="Z_B4899976_EBDC_11DA_B6F6_00609720E0A1_.wvu.PrintArea" localSheetId="16" hidden="1">[22]Presupuesto_Via_distribuidora!$A$839:$I$1037</definedName>
    <definedName name="Z_B4899976_EBDC_11DA_B6F6_00609720E0A1_.wvu.PrintArea" localSheetId="3" hidden="1">[14]Presupuesto_Via_distribuidora!$A$839:$I$1037</definedName>
    <definedName name="Z_B4899976_EBDC_11DA_B6F6_00609720E0A1_.wvu.PrintArea" hidden="1">[22]Presupuesto_Via_distribuidora!$A$839:$I$1037</definedName>
    <definedName name="Z_B4899976_EBDC_11DA_B6F6_00609720E0A1_.wvu.PrintTitles" localSheetId="1" hidden="1">[22]Presupuesto_Via_distribuidora!$829:$838</definedName>
    <definedName name="Z_B4899976_EBDC_11DA_B6F6_00609720E0A1_.wvu.PrintTitles" localSheetId="16" hidden="1">[22]Presupuesto_Via_distribuidora!$829:$838</definedName>
    <definedName name="Z_B4899976_EBDC_11DA_B6F6_00609720E0A1_.wvu.PrintTitles" localSheetId="3" hidden="1">[14]Presupuesto_Via_distribuidora!$829:$838</definedName>
    <definedName name="Z_B4899976_EBDC_11DA_B6F6_00609720E0A1_.wvu.PrintTitles" hidden="1">[22]Presupuesto_Via_distribuidora!$829:$838</definedName>
    <definedName name="Z_C24E6469_C4CC_430B_8814_72DD019DF2C8_.wvu.FilterData" localSheetId="1" hidden="1">[22]Presupuesto_Via_distribuidora!$A$9:$H$344</definedName>
    <definedName name="Z_C24E6469_C4CC_430B_8814_72DD019DF2C8_.wvu.FilterData" localSheetId="16" hidden="1">[22]Presupuesto_Via_distribuidora!$A$9:$H$344</definedName>
    <definedName name="Z_C24E6469_C4CC_430B_8814_72DD019DF2C8_.wvu.FilterData" localSheetId="3" hidden="1">[14]Presupuesto_Via_distribuidora!$A$9:$H$344</definedName>
    <definedName name="Z_C24E6469_C4CC_430B_8814_72DD019DF2C8_.wvu.FilterData" hidden="1">[22]Presupuesto_Via_distribuidora!$A$9:$H$344</definedName>
    <definedName name="Z_C24E6469_C4CC_430B_8814_72DD019DF2C8_.wvu.PrintArea" localSheetId="1" hidden="1">[22]Presupuesto_Via_distribuidora!$A$900:$I$1098</definedName>
    <definedName name="Z_C24E6469_C4CC_430B_8814_72DD019DF2C8_.wvu.PrintArea" localSheetId="16" hidden="1">[22]Presupuesto_Via_distribuidora!$A$900:$I$1098</definedName>
    <definedName name="Z_C24E6469_C4CC_430B_8814_72DD019DF2C8_.wvu.PrintArea" localSheetId="3" hidden="1">[14]Presupuesto_Via_distribuidora!$A$900:$I$1098</definedName>
    <definedName name="Z_C24E6469_C4CC_430B_8814_72DD019DF2C8_.wvu.PrintArea" hidden="1">[22]Presupuesto_Via_distribuidora!$A$900:$I$1098</definedName>
    <definedName name="Z_C24E6469_C4CC_430B_8814_72DD019DF2C8_.wvu.PrintTitles" localSheetId="1" hidden="1">[22]Presupuesto_Via_distribuidora!$890:$899</definedName>
    <definedName name="Z_C24E6469_C4CC_430B_8814_72DD019DF2C8_.wvu.PrintTitles" localSheetId="16" hidden="1">[22]Presupuesto_Via_distribuidora!$890:$899</definedName>
    <definedName name="Z_C24E6469_C4CC_430B_8814_72DD019DF2C8_.wvu.PrintTitles" localSheetId="3" hidden="1">[14]Presupuesto_Via_distribuidora!$890:$899</definedName>
    <definedName name="Z_C24E6469_C4CC_430B_8814_72DD019DF2C8_.wvu.PrintTitles" hidden="1">[22]Presupuesto_Via_distribuidora!$890:$899</definedName>
    <definedName name="Z_CA61CA57_E7CE_4A4D_974A_F3124BCA2797_.wvu.FilterData" localSheetId="1" hidden="1">[22]Presupuesto_Via_distribuidora!$A$9:$H$344</definedName>
    <definedName name="Z_CA61CA57_E7CE_4A4D_974A_F3124BCA2797_.wvu.FilterData" localSheetId="16" hidden="1">[22]Presupuesto_Via_distribuidora!$A$9:$H$344</definedName>
    <definedName name="Z_CA61CA57_E7CE_4A4D_974A_F3124BCA2797_.wvu.FilterData" localSheetId="3" hidden="1">[14]Presupuesto_Via_distribuidora!$A$9:$H$344</definedName>
    <definedName name="Z_CA61CA57_E7CE_4A4D_974A_F3124BCA2797_.wvu.FilterData" hidden="1">[22]Presupuesto_Via_distribuidora!$A$9:$H$344</definedName>
    <definedName name="Z_CA61CA57_E7CE_4A4D_974A_F3124BCA2797_.wvu.PrintArea" localSheetId="1" hidden="1">[22]Presupuesto_Via_distribuidora!$A$618:$I$886</definedName>
    <definedName name="Z_CA61CA57_E7CE_4A4D_974A_F3124BCA2797_.wvu.PrintArea" localSheetId="16" hidden="1">[22]Presupuesto_Via_distribuidora!$A$618:$I$886</definedName>
    <definedName name="Z_CA61CA57_E7CE_4A4D_974A_F3124BCA2797_.wvu.PrintArea" localSheetId="3" hidden="1">[14]Presupuesto_Via_distribuidora!$A$618:$I$886</definedName>
    <definedName name="Z_CA61CA57_E7CE_4A4D_974A_F3124BCA2797_.wvu.PrintArea" hidden="1">[22]Presupuesto_Via_distribuidora!$A$618:$I$886</definedName>
    <definedName name="Z_CA61CA57_E7CE_4A4D_974A_F3124BCA2797_.wvu.PrintTitles" localSheetId="1" hidden="1">[22]Presupuesto_Via_distribuidora!$608:$617</definedName>
    <definedName name="Z_CA61CA57_E7CE_4A4D_974A_F3124BCA2797_.wvu.PrintTitles" localSheetId="16" hidden="1">[22]Presupuesto_Via_distribuidora!$608:$617</definedName>
    <definedName name="Z_CA61CA57_E7CE_4A4D_974A_F3124BCA2797_.wvu.PrintTitles" localSheetId="3" hidden="1">[14]Presupuesto_Via_distribuidora!$608:$617</definedName>
    <definedName name="Z_CA61CA57_E7CE_4A4D_974A_F3124BCA2797_.wvu.PrintTitles" hidden="1">[22]Presupuesto_Via_distribuidora!$608:$617</definedName>
    <definedName name="Z_D55C8B2E_861A_459E_9D09_3AF38A1DE99E_.wvu.Rows" hidden="1">[10]Presentacion!#REF!</definedName>
    <definedName name="Z_DA4D5A8F_12FA_42F5_A8BB_526600E97433_.wvu.FilterData" localSheetId="1" hidden="1">[22]Presupuesto_Via_distribuidora!$A$9:$H$344</definedName>
    <definedName name="Z_DA4D5A8F_12FA_42F5_A8BB_526600E97433_.wvu.FilterData" localSheetId="16" hidden="1">[22]Presupuesto_Via_distribuidora!$A$9:$H$344</definedName>
    <definedName name="Z_DA4D5A8F_12FA_42F5_A8BB_526600E97433_.wvu.FilterData" localSheetId="3" hidden="1">[14]Presupuesto_Via_distribuidora!$A$9:$H$344</definedName>
    <definedName name="Z_DA4D5A8F_12FA_42F5_A8BB_526600E97433_.wvu.FilterData" hidden="1">[22]Presupuesto_Via_distribuidora!$A$9:$H$344</definedName>
    <definedName name="Z_DA4D5A8F_12FA_42F5_A8BB_526600E97433_.wvu.PrintArea" localSheetId="1" hidden="1">[22]Presupuesto_Via_distribuidora!$C$1:$H$344</definedName>
    <definedName name="Z_DA4D5A8F_12FA_42F5_A8BB_526600E97433_.wvu.PrintArea" localSheetId="16" hidden="1">[22]Presupuesto_Via_distribuidora!$C$1:$H$344</definedName>
    <definedName name="Z_DA4D5A8F_12FA_42F5_A8BB_526600E97433_.wvu.PrintArea" localSheetId="3" hidden="1">[14]Presupuesto_Via_distribuidora!$C$1:$H$344</definedName>
    <definedName name="Z_DA4D5A8F_12FA_42F5_A8BB_526600E97433_.wvu.PrintArea" hidden="1">[22]Presupuesto_Via_distribuidora!$C$1:$H$344</definedName>
    <definedName name="Z_DA4D5A8F_12FA_42F5_A8BB_526600E97433_.wvu.PrintTitles" localSheetId="1" hidden="1">[22]Presupuesto_Via_distribuidora!$2:$8</definedName>
    <definedName name="Z_DA4D5A8F_12FA_42F5_A8BB_526600E97433_.wvu.PrintTitles" localSheetId="16" hidden="1">[22]Presupuesto_Via_distribuidora!$2:$8</definedName>
    <definedName name="Z_DA4D5A8F_12FA_42F5_A8BB_526600E97433_.wvu.PrintTitles" localSheetId="3" hidden="1">[14]Presupuesto_Via_distribuidora!$2:$8</definedName>
    <definedName name="Z_DA4D5A8F_12FA_42F5_A8BB_526600E97433_.wvu.PrintTitles" hidden="1">[22]Presupuesto_Via_distribuidora!$2:$8</definedName>
    <definedName name="Z_DFB4C5EB_A8D3_475E_B627_EA98F95F9220_.wvu.FilterData" localSheetId="1" hidden="1">[22]Presupuesto_Via_distribuidora!$A$9:$H$344</definedName>
    <definedName name="Z_DFB4C5EB_A8D3_475E_B627_EA98F95F9220_.wvu.FilterData" localSheetId="16" hidden="1">[22]Presupuesto_Via_distribuidora!$A$9:$H$344</definedName>
    <definedName name="Z_DFB4C5EB_A8D3_475E_B627_EA98F95F9220_.wvu.FilterData" localSheetId="3" hidden="1">[14]Presupuesto_Via_distribuidora!$A$9:$H$344</definedName>
    <definedName name="Z_DFB4C5EB_A8D3_475E_B627_EA98F95F9220_.wvu.FilterData" hidden="1">[22]Presupuesto_Via_distribuidora!$A$9:$H$344</definedName>
    <definedName name="Z_DFB4C5EB_A8D3_475E_B627_EA98F95F9220_.wvu.PrintArea" localSheetId="1" hidden="1">[22]Presupuesto_Via_distribuidora!$A$10:$I$208</definedName>
    <definedName name="Z_DFB4C5EB_A8D3_475E_B627_EA98F95F9220_.wvu.PrintArea" localSheetId="16" hidden="1">[22]Presupuesto_Via_distribuidora!$A$10:$I$208</definedName>
    <definedName name="Z_DFB4C5EB_A8D3_475E_B627_EA98F95F9220_.wvu.PrintArea" localSheetId="3" hidden="1">[14]Presupuesto_Via_distribuidora!$A$10:$I$208</definedName>
    <definedName name="Z_DFB4C5EB_A8D3_475E_B627_EA98F95F9220_.wvu.PrintArea" hidden="1">[22]Presupuesto_Via_distribuidora!$A$10:$I$208</definedName>
    <definedName name="Z_DFB4C5EB_A8D3_475E_B627_EA98F95F9220_.wvu.PrintTitles" localSheetId="1" hidden="1">[22]Presupuesto_Via_distribuidora!$1:$9</definedName>
    <definedName name="Z_DFB4C5EB_A8D3_475E_B627_EA98F95F9220_.wvu.PrintTitles" localSheetId="16" hidden="1">[22]Presupuesto_Via_distribuidora!$1:$9</definedName>
    <definedName name="Z_DFB4C5EB_A8D3_475E_B627_EA98F95F9220_.wvu.PrintTitles" localSheetId="3" hidden="1">[14]Presupuesto_Via_distribuidora!$1:$9</definedName>
    <definedName name="Z_DFB4C5EB_A8D3_475E_B627_EA98F95F9220_.wvu.PrintTitles" hidden="1">[22]Presupuesto_Via_distribuidora!$1:$9</definedName>
    <definedName name="Z_F2B990A1_57B3_4766_8C3D_4D3A5265BAEF_.wvu.FilterData" localSheetId="1" hidden="1">[22]Presupuesto_Via_distribuidora!$A$9:$H$344</definedName>
    <definedName name="Z_F2B990A1_57B3_4766_8C3D_4D3A5265BAEF_.wvu.FilterData" localSheetId="16" hidden="1">[22]Presupuesto_Via_distribuidora!$A$9:$H$344</definedName>
    <definedName name="Z_F2B990A1_57B3_4766_8C3D_4D3A5265BAEF_.wvu.FilterData" localSheetId="3" hidden="1">[14]Presupuesto_Via_distribuidora!$A$9:$H$344</definedName>
    <definedName name="Z_F2B990A1_57B3_4766_8C3D_4D3A5265BAEF_.wvu.FilterData" hidden="1">[22]Presupuesto_Via_distribuidora!$A$9:$H$344</definedName>
    <definedName name="Z_F2B990A1_57B3_4766_8C3D_4D3A5265BAEF_.wvu.PrintArea" localSheetId="1" hidden="1">[22]Presupuesto_Via_distribuidora!$C$1:$H$344</definedName>
    <definedName name="Z_F2B990A1_57B3_4766_8C3D_4D3A5265BAEF_.wvu.PrintArea" localSheetId="16" hidden="1">[22]Presupuesto_Via_distribuidora!$C$1:$H$344</definedName>
    <definedName name="Z_F2B990A1_57B3_4766_8C3D_4D3A5265BAEF_.wvu.PrintArea" localSheetId="3" hidden="1">[14]Presupuesto_Via_distribuidora!$C$1:$H$344</definedName>
    <definedName name="Z_F2B990A1_57B3_4766_8C3D_4D3A5265BAEF_.wvu.PrintArea" hidden="1">[22]Presupuesto_Via_distribuidora!$C$1:$H$344</definedName>
    <definedName name="Z_F2B990A1_57B3_4766_8C3D_4D3A5265BAEF_.wvu.PrintTitles" localSheetId="1" hidden="1">[22]Presupuesto_Via_distribuidora!$2:$8</definedName>
    <definedName name="Z_F2B990A1_57B3_4766_8C3D_4D3A5265BAEF_.wvu.PrintTitles" localSheetId="16" hidden="1">[22]Presupuesto_Via_distribuidora!$2:$8</definedName>
    <definedName name="Z_F2B990A1_57B3_4766_8C3D_4D3A5265BAEF_.wvu.PrintTitles" localSheetId="3" hidden="1">[14]Presupuesto_Via_distribuidora!$2:$8</definedName>
    <definedName name="Z_F2B990A1_57B3_4766_8C3D_4D3A5265BAEF_.wvu.PrintTitles" hidden="1">[22]Presupuesto_Via_distribuidora!$2:$8</definedName>
    <definedName name="Z_F540D718_D9AA_403F_AE49_60D937FD77E5_.wvu.Rows" hidden="1">[10]Presentacion!#REF!</definedName>
    <definedName name="Z_F9482E1F_92B8_43D8_949A_7DDCF2E63A19_.wvu.FilterData" localSheetId="1" hidden="1">[22]Presupuesto_Via_distribuidora!$A$9:$H$344</definedName>
    <definedName name="Z_F9482E1F_92B8_43D8_949A_7DDCF2E63A19_.wvu.FilterData" localSheetId="16" hidden="1">[22]Presupuesto_Via_distribuidora!$A$9:$H$344</definedName>
    <definedName name="Z_F9482E1F_92B8_43D8_949A_7DDCF2E63A19_.wvu.FilterData" localSheetId="3" hidden="1">[14]Presupuesto_Via_distribuidora!$A$9:$H$344</definedName>
    <definedName name="Z_F9482E1F_92B8_43D8_949A_7DDCF2E63A19_.wvu.FilterData" hidden="1">[22]Presupuesto_Via_distribuidora!$A$9:$H$344</definedName>
    <definedName name="Z_F9482E1F_92B8_43D8_949A_7DDCF2E63A19_.wvu.PrintArea" localSheetId="1" hidden="1">[22]Presupuesto_Via_distribuidora!$A$10:$I$208</definedName>
    <definedName name="Z_F9482E1F_92B8_43D8_949A_7DDCF2E63A19_.wvu.PrintArea" localSheetId="16" hidden="1">[22]Presupuesto_Via_distribuidora!$A$10:$I$208</definedName>
    <definedName name="Z_F9482E1F_92B8_43D8_949A_7DDCF2E63A19_.wvu.PrintArea" localSheetId="3" hidden="1">[14]Presupuesto_Via_distribuidora!$A$10:$I$208</definedName>
    <definedName name="Z_F9482E1F_92B8_43D8_949A_7DDCF2E63A19_.wvu.PrintArea" hidden="1">[22]Presupuesto_Via_distribuidora!$A$10:$I$208</definedName>
    <definedName name="Z_F9482E1F_92B8_43D8_949A_7DDCF2E63A19_.wvu.PrintTitles" localSheetId="1" hidden="1">[22]Presupuesto_Via_distribuidora!$1:$9</definedName>
    <definedName name="Z_F9482E1F_92B8_43D8_949A_7DDCF2E63A19_.wvu.PrintTitles" localSheetId="16" hidden="1">[22]Presupuesto_Via_distribuidora!$1:$9</definedName>
    <definedName name="Z_F9482E1F_92B8_43D8_949A_7DDCF2E63A19_.wvu.PrintTitles" localSheetId="3" hidden="1">[14]Presupuesto_Via_distribuidora!$1:$9</definedName>
    <definedName name="Z_F9482E1F_92B8_43D8_949A_7DDCF2E63A19_.wvu.PrintTitles" hidden="1">[22]Presupuesto_Via_distribuidora!$1:$9</definedName>
    <definedName name="zc" localSheetId="16">#REF!</definedName>
    <definedName name="zc" localSheetId="3">#REF!</definedName>
    <definedName name="zc">#REF!</definedName>
    <definedName name="zd" localSheetId="16">#REF!</definedName>
    <definedName name="zd">#REF!</definedName>
    <definedName name="zdervr" localSheetId="1" hidden="1">{"via1",#N/A,TRUE,"general";"via2",#N/A,TRUE,"general";"via3",#N/A,TRUE,"general"}</definedName>
    <definedName name="zdervr" localSheetId="9" hidden="1">{"via1",#N/A,TRUE,"general";"via2",#N/A,TRUE,"general";"via3",#N/A,TRUE,"general"}</definedName>
    <definedName name="zdervr" localSheetId="16" hidden="1">{"via1",#N/A,TRUE,"general";"via2",#N/A,TRUE,"general";"via3",#N/A,TRUE,"general"}</definedName>
    <definedName name="zdervr" localSheetId="19" hidden="1">{"via1",#N/A,TRUE,"general";"via2",#N/A,TRUE,"general";"via3",#N/A,TRUE,"general"}</definedName>
    <definedName name="zdervr" hidden="1">{"via1",#N/A,TRUE,"general";"via2",#N/A,TRUE,"general";"via3",#N/A,TRUE,"general"}</definedName>
    <definedName name="zdr" localSheetId="3">#REF!</definedName>
    <definedName name="zdr">#REF!</definedName>
    <definedName name="zx" localSheetId="3">#REF!</definedName>
    <definedName name="zx">#REF!</definedName>
    <definedName name="zxczds" localSheetId="1" hidden="1">{"TAB1",#N/A,TRUE,"GENERAL";"TAB2",#N/A,TRUE,"GENERAL";"TAB3",#N/A,TRUE,"GENERAL";"TAB4",#N/A,TRUE,"GENERAL";"TAB5",#N/A,TRUE,"GENERAL"}</definedName>
    <definedName name="zxczds" localSheetId="9" hidden="1">{"TAB1",#N/A,TRUE,"GENERAL";"TAB2",#N/A,TRUE,"GENERAL";"TAB3",#N/A,TRUE,"GENERAL";"TAB4",#N/A,TRUE,"GENERAL";"TAB5",#N/A,TRUE,"GENERAL"}</definedName>
    <definedName name="zxczds" localSheetId="16" hidden="1">{"TAB1",#N/A,TRUE,"GENERAL";"TAB2",#N/A,TRUE,"GENERAL";"TAB3",#N/A,TRUE,"GENERAL";"TAB4",#N/A,TRUE,"GENERAL";"TAB5",#N/A,TRUE,"GENERAL"}</definedName>
    <definedName name="zxczds" localSheetId="19" hidden="1">{"TAB1",#N/A,TRUE,"GENERAL";"TAB2",#N/A,TRUE,"GENERAL";"TAB3",#N/A,TRUE,"GENERAL";"TAB4",#N/A,TRUE,"GENERAL";"TAB5",#N/A,TRUE,"GENERAL"}</definedName>
    <definedName name="zxczds" hidden="1">{"TAB1",#N/A,TRUE,"GENERAL";"TAB2",#N/A,TRUE,"GENERAL";"TAB3",#N/A,TRUE,"GENERAL";"TAB4",#N/A,TRUE,"GENERAL";"TAB5",#N/A,TRUE,"GENERAL"}</definedName>
    <definedName name="zxsdftyu" localSheetId="1" hidden="1">{"via1",#N/A,TRUE,"general";"via2",#N/A,TRUE,"general";"via3",#N/A,TRUE,"general"}</definedName>
    <definedName name="zxsdftyu" localSheetId="9" hidden="1">{"via1",#N/A,TRUE,"general";"via2",#N/A,TRUE,"general";"via3",#N/A,TRUE,"general"}</definedName>
    <definedName name="zxsdftyu" localSheetId="16" hidden="1">{"via1",#N/A,TRUE,"general";"via2",#N/A,TRUE,"general";"via3",#N/A,TRUE,"general"}</definedName>
    <definedName name="zxsdftyu" localSheetId="19" hidden="1">{"via1",#N/A,TRUE,"general";"via2",#N/A,TRUE,"general";"via3",#N/A,TRUE,"general"}</definedName>
    <definedName name="zxsdftyu" hidden="1">{"via1",#N/A,TRUE,"general";"via2",#N/A,TRUE,"general";"via3",#N/A,TRUE,"general"}</definedName>
    <definedName name="zxvxczv" localSheetId="1" hidden="1">{"via1",#N/A,TRUE,"general";"via2",#N/A,TRUE,"general";"via3",#N/A,TRUE,"general"}</definedName>
    <definedName name="zxvxczv" localSheetId="9" hidden="1">{"via1",#N/A,TRUE,"general";"via2",#N/A,TRUE,"general";"via3",#N/A,TRUE,"general"}</definedName>
    <definedName name="zxvxczv" localSheetId="16" hidden="1">{"via1",#N/A,TRUE,"general";"via2",#N/A,TRUE,"general";"via3",#N/A,TRUE,"general"}</definedName>
    <definedName name="zxvxczv" localSheetId="19" hidden="1">{"via1",#N/A,TRUE,"general";"via2",#N/A,TRUE,"general";"via3",#N/A,TRUE,"general"}</definedName>
    <definedName name="zxvxczv" hidden="1">{"via1",#N/A,TRUE,"general";"via2",#N/A,TRUE,"general";"via3",#N/A,TRUE,"general"}</definedName>
    <definedName name="ZYOLOM5" localSheetId="3">#REF!</definedName>
    <definedName name="ZYOLOM5">#REF!</definedName>
    <definedName name="zz" localSheetId="3">#REF!</definedName>
    <definedName name="zz">#REF!</definedName>
    <definedName name="zzz" localSheetId="3">'[79]Itemes Renovación'!#REF!</definedName>
    <definedName name="zzz">'[80]Itemes Renovación'!#REF!</definedName>
    <definedName name="ZZZZZZZZZZZ" localSheetId="16">#REF!</definedName>
    <definedName name="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53" i="19" l="1"/>
  <c r="J13" i="19"/>
  <c r="J14" i="19"/>
  <c r="J16" i="19"/>
  <c r="J18" i="19"/>
  <c r="J21" i="19"/>
  <c r="J23" i="19"/>
  <c r="J25" i="19"/>
  <c r="I11" i="19"/>
  <c r="I12" i="19"/>
  <c r="I15" i="19"/>
  <c r="I17" i="19"/>
  <c r="I19" i="19"/>
  <c r="I20" i="19"/>
  <c r="I22" i="19"/>
  <c r="I24"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I378" i="19"/>
  <c r="I379" i="19"/>
  <c r="I380" i="19"/>
  <c r="I381"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4" i="19"/>
  <c r="I445" i="19"/>
  <c r="I446" i="19"/>
  <c r="I447" i="19"/>
  <c r="I448" i="19"/>
  <c r="I449" i="19"/>
  <c r="I450" i="19"/>
  <c r="I451" i="19"/>
  <c r="I452" i="19"/>
  <c r="I453" i="19"/>
  <c r="I454" i="19"/>
  <c r="I455" i="19"/>
  <c r="I456" i="19"/>
  <c r="I457" i="19"/>
  <c r="I458" i="19"/>
  <c r="I459" i="19"/>
  <c r="I460"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0" i="19"/>
  <c r="I491" i="19"/>
  <c r="I492" i="19"/>
  <c r="I493" i="19"/>
  <c r="I494" i="19"/>
  <c r="I495" i="19"/>
  <c r="I496" i="19"/>
  <c r="I497" i="19"/>
  <c r="I498" i="19"/>
  <c r="I499" i="19"/>
  <c r="I500" i="19"/>
  <c r="I501" i="19"/>
  <c r="I502" i="19"/>
  <c r="I503" i="19"/>
  <c r="I504" i="19"/>
  <c r="I505" i="19"/>
  <c r="I506" i="19"/>
  <c r="I507" i="19"/>
  <c r="I508" i="19"/>
  <c r="I509" i="19"/>
  <c r="I510" i="19"/>
  <c r="I511" i="19"/>
  <c r="I512" i="19"/>
  <c r="I513"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537" i="19"/>
  <c r="I538" i="19"/>
  <c r="I539" i="19"/>
  <c r="I540" i="19"/>
  <c r="I541" i="19"/>
  <c r="I542" i="19"/>
  <c r="I543" i="19"/>
  <c r="I544" i="19"/>
  <c r="I545" i="19"/>
  <c r="I546" i="19"/>
  <c r="I547" i="19"/>
  <c r="I548" i="19"/>
  <c r="I549" i="19"/>
  <c r="I550" i="19"/>
  <c r="I551" i="19"/>
  <c r="I552" i="19"/>
  <c r="I553" i="19"/>
  <c r="I554" i="19"/>
  <c r="I555" i="19"/>
  <c r="I556" i="19"/>
  <c r="I557" i="19"/>
  <c r="I558" i="19"/>
  <c r="I559" i="19"/>
  <c r="I560" i="19"/>
  <c r="I561" i="19"/>
  <c r="I562" i="19"/>
  <c r="I563" i="19"/>
  <c r="I564" i="19"/>
  <c r="I565" i="19"/>
  <c r="I566" i="19"/>
  <c r="I567" i="19"/>
  <c r="I568" i="19"/>
  <c r="I569" i="19"/>
  <c r="I570" i="19"/>
  <c r="I571" i="19"/>
  <c r="I572" i="19"/>
  <c r="I573" i="19"/>
  <c r="I574" i="19"/>
  <c r="I575" i="19"/>
  <c r="I576" i="19"/>
  <c r="I577" i="19"/>
  <c r="I578" i="19"/>
  <c r="I579" i="19"/>
  <c r="I580" i="19"/>
  <c r="I581" i="19"/>
  <c r="I582" i="19"/>
  <c r="I583" i="19"/>
  <c r="I584" i="19"/>
  <c r="I585" i="19"/>
  <c r="I586" i="19"/>
  <c r="I587" i="19"/>
  <c r="I588" i="19"/>
  <c r="I589" i="19"/>
  <c r="I590" i="19"/>
  <c r="I591" i="19"/>
  <c r="I592" i="19"/>
  <c r="I593" i="19"/>
  <c r="I594" i="19"/>
  <c r="I595" i="19"/>
  <c r="I596" i="19"/>
  <c r="I597" i="19"/>
  <c r="I598" i="19"/>
  <c r="I599" i="19"/>
  <c r="I600" i="19"/>
  <c r="I601" i="19"/>
  <c r="I602" i="19"/>
  <c r="I603" i="19"/>
  <c r="I604" i="19"/>
  <c r="I605" i="19"/>
  <c r="I606" i="19"/>
  <c r="I607" i="19"/>
  <c r="I608" i="19"/>
  <c r="I609" i="19"/>
  <c r="I610" i="19"/>
  <c r="I611" i="19"/>
  <c r="I612" i="19"/>
  <c r="I613" i="19"/>
  <c r="I614" i="19"/>
  <c r="I615" i="19"/>
  <c r="I616" i="19"/>
  <c r="I617" i="19"/>
  <c r="I618" i="19"/>
  <c r="I619" i="19"/>
  <c r="I620" i="19"/>
  <c r="I621" i="19"/>
  <c r="I622" i="19"/>
  <c r="I623" i="19"/>
  <c r="I624" i="19"/>
  <c r="I625" i="19"/>
  <c r="I626" i="19"/>
  <c r="I627" i="19"/>
  <c r="I628" i="19"/>
  <c r="I629" i="19"/>
  <c r="I630" i="19"/>
  <c r="I631" i="19"/>
  <c r="I632" i="19"/>
  <c r="I633" i="19"/>
  <c r="I634" i="19"/>
  <c r="I635" i="19"/>
  <c r="I636" i="19"/>
  <c r="I637" i="19"/>
  <c r="I638" i="19"/>
  <c r="I639" i="19"/>
  <c r="I640" i="19"/>
  <c r="I641" i="19"/>
  <c r="I642" i="19"/>
  <c r="I643" i="19"/>
  <c r="I644" i="19"/>
  <c r="I645" i="19"/>
  <c r="I646" i="19"/>
  <c r="I647" i="19"/>
  <c r="I648" i="19"/>
  <c r="I649" i="19"/>
  <c r="I650" i="19"/>
  <c r="I651" i="19"/>
  <c r="I652" i="19"/>
  <c r="I10" i="19"/>
  <c r="J626" i="19" l="1"/>
  <c r="J594" i="19"/>
  <c r="J535" i="19"/>
  <c r="J431" i="19"/>
  <c r="J423" i="19"/>
  <c r="J383" i="19"/>
  <c r="J335" i="19"/>
  <c r="J231" i="19"/>
  <c r="J614" i="19"/>
  <c r="J598" i="19"/>
  <c r="J590" i="19"/>
  <c r="J574" i="19"/>
  <c r="J542" i="19"/>
  <c r="J478" i="19"/>
  <c r="J438" i="19"/>
  <c r="J382" i="19"/>
  <c r="J350" i="19"/>
  <c r="J342" i="19"/>
  <c r="J503" i="19"/>
  <c r="J463" i="19"/>
  <c r="J645" i="19"/>
  <c r="J525" i="19"/>
  <c r="J461" i="19"/>
  <c r="J445" i="19"/>
  <c r="J437" i="19"/>
  <c r="J421" i="19"/>
  <c r="J405" i="19"/>
  <c r="J389" i="19"/>
  <c r="J341" i="19"/>
  <c r="J269" i="19"/>
  <c r="J588" i="19"/>
  <c r="J548" i="19"/>
  <c r="J524" i="19"/>
  <c r="J516" i="19"/>
  <c r="J508" i="19"/>
  <c r="J436" i="19"/>
  <c r="J412" i="19"/>
  <c r="J372" i="19"/>
  <c r="J340" i="19"/>
  <c r="J316" i="19"/>
  <c r="J276" i="19"/>
  <c r="J260" i="19"/>
  <c r="J575" i="19"/>
  <c r="J559" i="19"/>
  <c r="J477" i="19"/>
  <c r="J563" i="19"/>
  <c r="J555" i="19"/>
  <c r="J507" i="19"/>
  <c r="J491" i="19"/>
  <c r="J483" i="19"/>
  <c r="J451" i="19"/>
  <c r="J443" i="19"/>
  <c r="J419" i="19"/>
  <c r="J315" i="19"/>
  <c r="J578" i="19"/>
  <c r="J490" i="19"/>
  <c r="J402" i="19"/>
  <c r="J386" i="19"/>
  <c r="J282" i="19"/>
  <c r="J585" i="19"/>
  <c r="J561" i="19"/>
  <c r="J537" i="19"/>
  <c r="J529" i="19"/>
  <c r="J489" i="19"/>
  <c r="J473" i="19"/>
  <c r="J465" i="19"/>
  <c r="J457" i="19"/>
  <c r="J369" i="19"/>
  <c r="J313" i="19"/>
  <c r="J273" i="19"/>
  <c r="J265" i="19"/>
  <c r="J586" i="19"/>
  <c r="J570" i="19"/>
  <c r="J554" i="19"/>
  <c r="J514" i="19"/>
  <c r="J498" i="19"/>
  <c r="J426" i="19"/>
  <c r="J394" i="19"/>
  <c r="J362" i="19"/>
  <c r="J346" i="19"/>
  <c r="J290" i="19"/>
  <c r="J274" i="19"/>
  <c r="J608" i="19"/>
  <c r="J584" i="19"/>
  <c r="J544" i="19"/>
  <c r="J536" i="19"/>
  <c r="J520" i="19"/>
  <c r="J512" i="19"/>
  <c r="J496" i="19"/>
  <c r="J456" i="19"/>
  <c r="J408" i="19"/>
  <c r="J400" i="19"/>
  <c r="J368" i="19"/>
  <c r="J264" i="19"/>
  <c r="I654" i="19"/>
  <c r="I655" i="19" s="1"/>
  <c r="I656" i="19" s="1"/>
  <c r="I658" i="19" s="1"/>
  <c r="J207" i="19"/>
  <c r="J199" i="19"/>
  <c r="J121" i="19"/>
  <c r="J113" i="19"/>
  <c r="J105" i="19"/>
  <c r="J97" i="19"/>
  <c r="J33" i="19"/>
  <c r="J128" i="19"/>
  <c r="J32" i="19"/>
  <c r="J204" i="19"/>
  <c r="J150" i="19"/>
  <c r="J126" i="19"/>
  <c r="J118" i="19"/>
  <c r="J102" i="19"/>
  <c r="J30" i="19"/>
  <c r="J175" i="19"/>
  <c r="J39" i="19"/>
  <c r="J195" i="19"/>
  <c r="J133" i="19"/>
  <c r="J109" i="19"/>
  <c r="J181" i="19"/>
  <c r="J170" i="19"/>
  <c r="J156" i="19"/>
  <c r="J140" i="19"/>
  <c r="J124" i="19"/>
  <c r="J116" i="19"/>
  <c r="J100" i="19"/>
  <c r="J36" i="19"/>
  <c r="J28" i="19"/>
  <c r="J169" i="19"/>
  <c r="J139" i="19"/>
  <c r="J131" i="19"/>
  <c r="J107" i="19"/>
  <c r="J59" i="19"/>
  <c r="J35" i="19"/>
  <c r="J135" i="19"/>
  <c r="J111" i="19"/>
  <c r="J71" i="19"/>
  <c r="J208" i="19"/>
  <c r="J146" i="19"/>
  <c r="J138" i="19"/>
  <c r="J130" i="19"/>
  <c r="J122" i="19"/>
  <c r="J114" i="19"/>
  <c r="J106" i="19"/>
  <c r="J82" i="19"/>
  <c r="E307" i="4" l="1"/>
  <c r="E308" i="4" s="1"/>
  <c r="H20" i="25" l="1"/>
  <c r="H9" i="25"/>
  <c r="C28" i="28"/>
  <c r="C20" i="28"/>
  <c r="C32" i="28" l="1"/>
  <c r="C34" i="28" s="1"/>
  <c r="H13" i="25" s="1"/>
  <c r="F229" i="19" l="1"/>
  <c r="F230" i="19"/>
  <c r="F233" i="19"/>
  <c r="F234" i="19"/>
  <c r="F235" i="19"/>
  <c r="F236" i="19"/>
  <c r="F237" i="19"/>
  <c r="F238" i="19"/>
  <c r="F239" i="19"/>
  <c r="F240" i="19"/>
  <c r="F241" i="19"/>
  <c r="F242" i="19"/>
  <c r="F243" i="19"/>
  <c r="F244" i="19"/>
  <c r="F245" i="19"/>
  <c r="F247" i="19"/>
  <c r="F248" i="19"/>
  <c r="F249" i="19"/>
  <c r="F250" i="19"/>
  <c r="F251" i="19"/>
  <c r="F252" i="19"/>
  <c r="F254" i="19"/>
  <c r="F255" i="19"/>
  <c r="F256" i="19"/>
  <c r="F257" i="19"/>
  <c r="F261" i="19"/>
  <c r="F263" i="19"/>
  <c r="J242" i="19" l="1"/>
  <c r="J250" i="19"/>
  <c r="J261" i="19"/>
  <c r="J240" i="19"/>
  <c r="J239" i="19"/>
  <c r="J238" i="19"/>
  <c r="J255" i="19"/>
  <c r="J245" i="19"/>
  <c r="J237" i="19"/>
  <c r="J251" i="19"/>
  <c r="J263" i="19"/>
  <c r="J233" i="19"/>
  <c r="J230" i="19"/>
  <c r="J248" i="19"/>
  <c r="J247" i="19"/>
  <c r="J254" i="19"/>
  <c r="J244" i="19"/>
  <c r="J236" i="19"/>
  <c r="J234" i="19"/>
  <c r="J241" i="19"/>
  <c r="J249" i="19"/>
  <c r="J257" i="19"/>
  <c r="J229" i="19"/>
  <c r="J256" i="19"/>
  <c r="J252" i="19"/>
  <c r="J243" i="19"/>
  <c r="J235" i="19"/>
  <c r="E4051" i="26"/>
  <c r="E4049" i="26"/>
  <c r="E4048" i="26"/>
  <c r="E3971" i="26"/>
  <c r="E3968" i="26"/>
  <c r="E3943" i="26"/>
  <c r="E3818" i="26"/>
  <c r="E3820" i="26"/>
  <c r="E3817" i="26"/>
  <c r="E3767" i="26"/>
  <c r="E3766" i="26"/>
  <c r="E3764" i="26"/>
  <c r="E3738" i="26"/>
  <c r="E3736" i="26"/>
  <c r="E3705" i="26"/>
  <c r="E3673" i="26"/>
  <c r="E3625" i="26"/>
  <c r="E3576" i="26"/>
  <c r="E3552" i="26"/>
  <c r="E3398" i="26"/>
  <c r="E3374" i="26"/>
  <c r="E3350" i="26"/>
  <c r="E3251" i="26"/>
  <c r="E3223" i="26"/>
  <c r="E3199" i="26"/>
  <c r="E3198" i="26"/>
  <c r="E3173" i="26"/>
  <c r="E3172" i="26"/>
  <c r="E3145" i="26"/>
  <c r="E3071" i="26"/>
  <c r="E3045" i="26"/>
  <c r="E3044" i="26"/>
  <c r="E3043" i="26"/>
  <c r="E3017" i="26"/>
  <c r="E3016" i="26"/>
  <c r="E2989" i="26"/>
  <c r="E2988" i="26"/>
  <c r="E2987" i="26"/>
  <c r="E2963" i="26"/>
  <c r="E2962" i="26"/>
  <c r="E2960" i="26"/>
  <c r="E2934" i="26"/>
  <c r="E2933" i="26"/>
  <c r="E2931" i="26"/>
  <c r="E2904" i="26"/>
  <c r="E2903" i="26"/>
  <c r="E2901" i="26"/>
  <c r="E2899" i="26"/>
  <c r="E2874" i="26"/>
  <c r="E2871" i="26"/>
  <c r="E2870" i="26"/>
  <c r="E2797" i="26"/>
  <c r="E2770" i="26"/>
  <c r="E2771" i="26"/>
  <c r="E2772" i="26"/>
  <c r="E2773" i="26"/>
  <c r="E2769" i="26"/>
  <c r="E2744" i="26"/>
  <c r="E2743" i="26"/>
  <c r="E2741" i="26"/>
  <c r="E2717" i="26"/>
  <c r="E2667" i="26"/>
  <c r="E2665" i="26"/>
  <c r="E2664" i="26"/>
  <c r="E2663" i="26"/>
  <c r="E2636" i="26"/>
  <c r="E2635" i="26"/>
  <c r="E2634" i="26"/>
  <c r="E2608" i="26"/>
  <c r="E2607" i="26"/>
  <c r="E2606" i="26"/>
  <c r="E2580" i="26"/>
  <c r="E2579" i="26"/>
  <c r="E2578" i="26"/>
  <c r="E2554" i="26"/>
  <c r="E2553" i="26"/>
  <c r="E2551" i="26"/>
  <c r="E2525" i="26"/>
  <c r="E2524" i="26"/>
  <c r="E2522" i="26"/>
  <c r="E2496" i="26"/>
  <c r="E2495" i="26"/>
  <c r="E2493" i="26"/>
  <c r="E2467" i="26"/>
  <c r="E2466" i="26"/>
  <c r="E2464" i="26"/>
  <c r="E2462" i="26"/>
  <c r="E2437" i="26"/>
  <c r="E2435" i="26"/>
  <c r="E2408" i="26"/>
  <c r="E2407" i="26"/>
  <c r="E2405" i="26"/>
  <c r="E2403" i="26"/>
  <c r="E2378" i="26"/>
  <c r="E2375" i="26"/>
  <c r="E2374" i="26"/>
  <c r="E2325" i="26"/>
  <c r="E2277" i="26"/>
  <c r="E2252" i="26"/>
  <c r="E2251" i="26"/>
  <c r="E2250" i="26"/>
  <c r="E2225" i="26"/>
  <c r="F2225" i="26" s="1"/>
  <c r="E2224" i="26"/>
  <c r="F2224" i="26" s="1"/>
  <c r="E2222" i="26"/>
  <c r="F2222" i="26" s="1"/>
  <c r="E2221" i="26"/>
  <c r="F2221" i="26" s="1"/>
  <c r="E2219" i="26"/>
  <c r="F2219" i="26" s="1"/>
  <c r="E2217" i="26"/>
  <c r="F2217" i="26" s="1"/>
  <c r="E2192" i="26"/>
  <c r="E2191" i="26"/>
  <c r="E2189" i="26"/>
  <c r="E2188" i="26"/>
  <c r="E2186" i="26"/>
  <c r="E2184" i="26"/>
  <c r="E2159" i="26"/>
  <c r="E2158" i="26"/>
  <c r="E2156" i="26"/>
  <c r="E2155" i="26"/>
  <c r="E2153" i="26"/>
  <c r="E2151" i="26"/>
  <c r="E2126" i="26"/>
  <c r="E2125" i="26"/>
  <c r="E2123" i="26"/>
  <c r="E2122" i="26"/>
  <c r="E2120" i="26"/>
  <c r="E2118" i="26"/>
  <c r="E2039" i="26"/>
  <c r="E1990" i="26"/>
  <c r="E1966" i="26"/>
  <c r="E1942" i="26"/>
  <c r="E1917" i="26"/>
  <c r="E1868" i="26"/>
  <c r="E1844" i="26"/>
  <c r="E1843" i="26"/>
  <c r="E1842" i="26"/>
  <c r="E1841" i="26"/>
  <c r="E1840" i="26"/>
  <c r="E1815" i="26"/>
  <c r="E1814" i="26"/>
  <c r="E1812" i="26"/>
  <c r="E1788" i="26"/>
  <c r="E1763" i="26"/>
  <c r="E1713" i="26"/>
  <c r="E1711" i="26"/>
  <c r="E1710" i="26"/>
  <c r="E1709" i="26"/>
  <c r="E1682" i="26"/>
  <c r="E1681" i="26"/>
  <c r="E1680" i="26"/>
  <c r="E1654" i="26"/>
  <c r="E1652" i="26"/>
  <c r="E1626" i="26"/>
  <c r="E1624" i="26"/>
  <c r="E1600" i="26"/>
  <c r="E1599" i="26"/>
  <c r="E1597" i="26"/>
  <c r="E1571" i="26"/>
  <c r="E1570" i="26"/>
  <c r="E1568" i="26"/>
  <c r="E1541" i="26"/>
  <c r="E1540" i="26"/>
  <c r="E1538" i="26"/>
  <c r="E1536" i="26"/>
  <c r="E1511" i="26"/>
  <c r="E1508" i="26"/>
  <c r="E1507" i="26"/>
  <c r="E1458" i="26"/>
  <c r="E1410" i="26"/>
  <c r="E1385" i="26"/>
  <c r="E1384" i="26"/>
  <c r="E1383" i="26"/>
  <c r="E1359" i="26"/>
  <c r="E1358" i="26"/>
  <c r="E1356" i="26"/>
  <c r="E1355" i="26"/>
  <c r="E1353" i="26"/>
  <c r="E1351" i="26"/>
  <c r="E1326" i="26"/>
  <c r="E1325" i="26"/>
  <c r="E1323" i="26"/>
  <c r="E1322" i="26"/>
  <c r="E1320" i="26"/>
  <c r="E1318" i="26"/>
  <c r="E1239" i="26"/>
  <c r="E1214" i="26"/>
  <c r="E1211" i="26"/>
  <c r="E1210" i="26"/>
  <c r="E1161" i="26"/>
  <c r="E1137" i="26"/>
  <c r="E1113" i="26"/>
  <c r="E1088" i="26"/>
  <c r="E1039" i="26"/>
  <c r="E1015" i="26"/>
  <c r="E1014" i="26"/>
  <c r="E1013" i="26"/>
  <c r="E1012" i="26"/>
  <c r="E1011" i="26"/>
  <c r="E986" i="26"/>
  <c r="E985" i="26"/>
  <c r="E983" i="26"/>
  <c r="E959" i="26"/>
  <c r="E934" i="26"/>
  <c r="E880" i="26"/>
  <c r="E855" i="26"/>
  <c r="E853" i="26"/>
  <c r="E852" i="26"/>
  <c r="E851" i="26"/>
  <c r="E824" i="26"/>
  <c r="E822" i="26"/>
  <c r="E796" i="26"/>
  <c r="E794" i="26"/>
  <c r="E768" i="26"/>
  <c r="E766" i="26"/>
  <c r="E742" i="26"/>
  <c r="E741" i="26"/>
  <c r="E739" i="26"/>
  <c r="E713" i="26"/>
  <c r="E712" i="26"/>
  <c r="E710" i="26"/>
  <c r="E684" i="26"/>
  <c r="E683" i="26"/>
  <c r="E682" i="26"/>
  <c r="E680" i="26"/>
  <c r="E679" i="26"/>
  <c r="E677" i="26"/>
  <c r="E651" i="26"/>
  <c r="E650" i="26"/>
  <c r="E648" i="26"/>
  <c r="E622" i="26"/>
  <c r="E621" i="26"/>
  <c r="E619" i="26"/>
  <c r="E593" i="26"/>
  <c r="E592" i="26"/>
  <c r="E590" i="26"/>
  <c r="E563" i="26"/>
  <c r="E562" i="26"/>
  <c r="E560" i="26"/>
  <c r="E558" i="26"/>
  <c r="E532" i="26"/>
  <c r="E531" i="26"/>
  <c r="E529" i="26"/>
  <c r="E527" i="26"/>
  <c r="E502" i="26"/>
  <c r="E499" i="26"/>
  <c r="E498" i="26"/>
  <c r="E449" i="26"/>
  <c r="E401" i="26"/>
  <c r="E376" i="26"/>
  <c r="E375" i="26"/>
  <c r="E374" i="26"/>
  <c r="E349" i="26"/>
  <c r="E348" i="26"/>
  <c r="E346" i="26"/>
  <c r="E345" i="26"/>
  <c r="E343" i="26"/>
  <c r="E341" i="26"/>
  <c r="E316" i="26"/>
  <c r="E315" i="26"/>
  <c r="E313" i="26"/>
  <c r="E312" i="26"/>
  <c r="E310" i="26"/>
  <c r="E308" i="26"/>
  <c r="E283" i="26"/>
  <c r="E282" i="26"/>
  <c r="E280" i="26"/>
  <c r="E279" i="26"/>
  <c r="E277" i="26"/>
  <c r="E275" i="26"/>
  <c r="E196" i="26"/>
  <c r="E171" i="26"/>
  <c r="E169" i="26"/>
  <c r="E168" i="26"/>
  <c r="E167" i="26"/>
  <c r="E142" i="26"/>
  <c r="E139" i="26"/>
  <c r="E138" i="26"/>
  <c r="E89" i="26"/>
  <c r="E65" i="26"/>
  <c r="E41" i="26"/>
  <c r="E16" i="26"/>
  <c r="E152" i="18" l="1"/>
  <c r="E3969" i="26" s="1"/>
  <c r="E151" i="18"/>
  <c r="E149" i="18"/>
  <c r="E3712" i="26" s="1"/>
  <c r="E136" i="18"/>
  <c r="E134" i="18"/>
  <c r="E133" i="18"/>
  <c r="E3302" i="26" s="1"/>
  <c r="E126" i="18"/>
  <c r="E125" i="18"/>
  <c r="E119" i="18"/>
  <c r="E42" i="18"/>
  <c r="E113" i="18"/>
  <c r="E3970" i="26" s="1"/>
  <c r="E112" i="18"/>
  <c r="E106" i="18"/>
  <c r="E105" i="18"/>
  <c r="E102" i="18"/>
  <c r="E3703" i="26" s="1"/>
  <c r="E97" i="18"/>
  <c r="E3700" i="26" s="1"/>
  <c r="E90" i="18"/>
  <c r="E89" i="18"/>
  <c r="E85" i="18"/>
  <c r="E82" i="18"/>
  <c r="E79" i="18"/>
  <c r="E78" i="18"/>
  <c r="E67" i="18"/>
  <c r="E66" i="18"/>
  <c r="E60" i="18"/>
  <c r="E50" i="18"/>
  <c r="E3502" i="26" l="1"/>
  <c r="E3449" i="26"/>
  <c r="E3425" i="26"/>
  <c r="E3845" i="26"/>
  <c r="E3792" i="26"/>
  <c r="E1787" i="26"/>
  <c r="E3551" i="26"/>
  <c r="E2716" i="26"/>
  <c r="E958" i="26"/>
  <c r="E3501" i="26"/>
  <c r="E3424" i="26"/>
  <c r="E3015" i="26"/>
  <c r="E2582" i="26"/>
  <c r="E2216" i="26"/>
  <c r="F2216" i="26" s="1"/>
  <c r="E2067" i="26"/>
  <c r="E2038" i="26"/>
  <c r="E1813" i="26"/>
  <c r="E1628" i="26"/>
  <c r="E1350" i="26"/>
  <c r="E557" i="26"/>
  <c r="E3019" i="26"/>
  <c r="E2898" i="26"/>
  <c r="E2869" i="26"/>
  <c r="E2742" i="26"/>
  <c r="E2638" i="26"/>
  <c r="E2183" i="26"/>
  <c r="E2117" i="26"/>
  <c r="E1684" i="26"/>
  <c r="E908" i="26"/>
  <c r="E879" i="26"/>
  <c r="E850" i="26"/>
  <c r="E798" i="26"/>
  <c r="E307" i="26"/>
  <c r="E3224" i="26"/>
  <c r="E2991" i="26"/>
  <c r="E2691" i="26"/>
  <c r="E2662" i="26"/>
  <c r="E2610" i="26"/>
  <c r="E2402" i="26"/>
  <c r="E2373" i="26"/>
  <c r="E1737" i="26"/>
  <c r="E1708" i="26"/>
  <c r="E1656" i="26"/>
  <c r="E1535" i="26"/>
  <c r="E1506" i="26"/>
  <c r="E1267" i="26"/>
  <c r="E1238" i="26"/>
  <c r="E1209" i="26"/>
  <c r="E984" i="26"/>
  <c r="E770" i="26"/>
  <c r="E526" i="26"/>
  <c r="E497" i="26"/>
  <c r="E249" i="26"/>
  <c r="E3047" i="26"/>
  <c r="E1317" i="26"/>
  <c r="E826" i="26"/>
  <c r="E224" i="26"/>
  <c r="E195" i="26"/>
  <c r="E166" i="26"/>
  <c r="E137" i="26"/>
  <c r="E2092" i="26"/>
  <c r="E3147" i="26"/>
  <c r="E675" i="26"/>
  <c r="E2150" i="26"/>
  <c r="E1762" i="26"/>
  <c r="E340" i="26"/>
  <c r="E3399" i="26"/>
  <c r="E274" i="26"/>
  <c r="E1292" i="26"/>
  <c r="E933" i="26"/>
  <c r="E373" i="4"/>
  <c r="E348" i="4"/>
  <c r="E187" i="4"/>
  <c r="E186" i="4"/>
  <c r="E185" i="4"/>
  <c r="E214" i="4"/>
  <c r="E212" i="4"/>
  <c r="E210" i="4"/>
  <c r="E207" i="4"/>
  <c r="E206" i="4"/>
  <c r="E205" i="4"/>
  <c r="E204" i="4"/>
  <c r="E203" i="4"/>
  <c r="E202" i="4"/>
  <c r="E191" i="4"/>
  <c r="E190" i="4"/>
  <c r="E189" i="4"/>
  <c r="E188" i="4"/>
  <c r="E184" i="4"/>
  <c r="E183" i="4"/>
  <c r="E46" i="4"/>
  <c r="E45" i="4"/>
  <c r="E44" i="4"/>
  <c r="E146" i="4"/>
  <c r="I18" i="24"/>
  <c r="E112" i="4"/>
  <c r="E111" i="4"/>
  <c r="E144" i="18"/>
  <c r="E142" i="18"/>
  <c r="E3649" i="26" s="1"/>
  <c r="E137" i="18"/>
  <c r="E135" i="18"/>
  <c r="E103" i="18"/>
  <c r="E3704" i="26" s="1"/>
  <c r="E80" i="18"/>
  <c r="E3450" i="26" s="1"/>
  <c r="E73" i="18"/>
  <c r="E48" i="18"/>
  <c r="E45" i="18"/>
  <c r="E3278" i="26" s="1"/>
  <c r="E41" i="18"/>
  <c r="E37" i="18"/>
  <c r="E36" i="18"/>
  <c r="E32" i="18"/>
  <c r="E28" i="18"/>
  <c r="F35" i="16"/>
  <c r="F31" i="16"/>
  <c r="F23" i="16"/>
  <c r="F21" i="16"/>
  <c r="F20" i="16"/>
  <c r="F19" i="16"/>
  <c r="F18" i="16"/>
  <c r="F17" i="16"/>
  <c r="F15" i="16"/>
  <c r="F14" i="16"/>
  <c r="F13" i="16"/>
  <c r="F10" i="16"/>
  <c r="F8" i="16"/>
  <c r="F7" i="16"/>
  <c r="F6" i="16"/>
  <c r="F5" i="16"/>
  <c r="E2666" i="26" l="1"/>
  <c r="E1712" i="26"/>
  <c r="E170" i="26"/>
  <c r="E854" i="26"/>
  <c r="E823" i="26"/>
  <c r="E1653" i="26"/>
  <c r="E1625" i="26"/>
  <c r="E795" i="26"/>
  <c r="E767" i="26"/>
  <c r="E1243" i="26"/>
  <c r="E2043" i="26"/>
  <c r="E884" i="26"/>
  <c r="E199" i="26"/>
  <c r="E200" i="26"/>
  <c r="E2520" i="26"/>
  <c r="E2433" i="26"/>
  <c r="E1566" i="26"/>
  <c r="E617" i="26"/>
  <c r="E2549" i="26"/>
  <c r="E2220" i="26"/>
  <c r="F2220" i="26" s="1"/>
  <c r="E1595" i="26"/>
  <c r="E1354" i="26"/>
  <c r="E646" i="26"/>
  <c r="E561" i="26"/>
  <c r="E2929" i="26"/>
  <c r="E2154" i="26"/>
  <c r="E708" i="26"/>
  <c r="E678" i="26"/>
  <c r="E344" i="26"/>
  <c r="E278" i="26"/>
  <c r="E2958" i="26"/>
  <c r="E2406" i="26"/>
  <c r="E2377" i="26"/>
  <c r="E1539" i="26"/>
  <c r="E1510" i="26"/>
  <c r="E1213" i="26"/>
  <c r="E737" i="26"/>
  <c r="E530" i="26"/>
  <c r="E501" i="26"/>
  <c r="E2902" i="26"/>
  <c r="E2873" i="26"/>
  <c r="E2187" i="26"/>
  <c r="E2491" i="26"/>
  <c r="E2121" i="26"/>
  <c r="E1321" i="26"/>
  <c r="E311" i="26"/>
  <c r="E141" i="26"/>
  <c r="E588" i="26"/>
  <c r="E198" i="26"/>
  <c r="E2041" i="26"/>
  <c r="E1241" i="26"/>
  <c r="E882" i="26"/>
  <c r="E305" i="4"/>
  <c r="E306" i="4" s="1"/>
  <c r="E299" i="4"/>
  <c r="E297" i="4"/>
  <c r="E287" i="4"/>
  <c r="E285" i="4"/>
  <c r="E281" i="4"/>
  <c r="E277" i="4"/>
  <c r="E271" i="4"/>
  <c r="E269" i="4"/>
  <c r="E265" i="4"/>
  <c r="E263" i="4"/>
  <c r="E261" i="4"/>
  <c r="E255" i="4"/>
  <c r="E241" i="4"/>
  <c r="E242" i="4"/>
  <c r="E236" i="4"/>
  <c r="E235" i="4"/>
  <c r="E219" i="4"/>
  <c r="E216" i="4"/>
  <c r="E150" i="18"/>
  <c r="E3737" i="26" s="1"/>
  <c r="E138" i="18"/>
  <c r="E110" i="18"/>
  <c r="E108" i="18"/>
  <c r="E3711" i="26" s="1"/>
  <c r="E107" i="18"/>
  <c r="E101" i="18"/>
  <c r="E3702" i="26" s="1"/>
  <c r="E98" i="18"/>
  <c r="E3701" i="26" s="1"/>
  <c r="E96" i="18"/>
  <c r="E94" i="18"/>
  <c r="E93" i="18"/>
  <c r="E88" i="18"/>
  <c r="E87" i="18"/>
  <c r="E4163" i="26" s="1"/>
  <c r="E86" i="18"/>
  <c r="E3121" i="26" s="1"/>
  <c r="E84" i="18"/>
  <c r="E81" i="18"/>
  <c r="E3526" i="26" s="1"/>
  <c r="E77" i="18"/>
  <c r="E76" i="18"/>
  <c r="E75" i="18"/>
  <c r="E156" i="18"/>
  <c r="E4188" i="26" s="1"/>
  <c r="E157" i="18"/>
  <c r="E4076" i="26" s="1"/>
  <c r="E170" i="18"/>
  <c r="E4132" i="26" s="1"/>
  <c r="E164" i="18"/>
  <c r="E4104" i="26" s="1"/>
  <c r="E47" i="18"/>
  <c r="E38" i="18"/>
  <c r="E35" i="18"/>
  <c r="E26" i="18"/>
  <c r="E17" i="18"/>
  <c r="E16" i="18"/>
  <c r="E15" i="18"/>
  <c r="E14" i="18"/>
  <c r="E2301" i="26" s="1"/>
  <c r="E11" i="18"/>
  <c r="E10" i="18"/>
  <c r="F9" i="16"/>
  <c r="F4" i="16"/>
  <c r="E881" i="26" l="1"/>
  <c r="E2040" i="26"/>
  <c r="E1240" i="26"/>
  <c r="E197" i="26"/>
  <c r="E4022" i="26"/>
  <c r="E3475" i="26"/>
  <c r="E3996" i="26"/>
  <c r="E1434" i="26"/>
  <c r="E425" i="26"/>
  <c r="E3995" i="26"/>
  <c r="E4021" i="26"/>
  <c r="E3474" i="26"/>
  <c r="E3197" i="26"/>
  <c r="E3171" i="26"/>
  <c r="E2276" i="26"/>
  <c r="E40" i="26"/>
  <c r="E1916" i="26"/>
  <c r="E1941" i="26"/>
  <c r="E15" i="26"/>
  <c r="E3476" i="26"/>
  <c r="E3423" i="26"/>
  <c r="E2349" i="26"/>
  <c r="E1482" i="26"/>
  <c r="E1185" i="26"/>
  <c r="E473" i="26"/>
  <c r="E2014" i="26"/>
  <c r="E2845" i="26"/>
  <c r="E113" i="26"/>
  <c r="E1816" i="26"/>
  <c r="E2745" i="26"/>
  <c r="E987" i="26"/>
  <c r="E1409" i="26"/>
  <c r="E1112" i="26"/>
  <c r="E1087" i="26"/>
  <c r="E2042" i="26"/>
  <c r="E1242" i="26"/>
  <c r="E883" i="26"/>
  <c r="E2900" i="26"/>
  <c r="E2185" i="26"/>
  <c r="E2119" i="26"/>
  <c r="E309" i="26"/>
  <c r="E140" i="26"/>
  <c r="E1509" i="26"/>
  <c r="E1352" i="26"/>
  <c r="E1319" i="26"/>
  <c r="E2152" i="26"/>
  <c r="E676" i="26"/>
  <c r="E342" i="26"/>
  <c r="E276" i="26"/>
  <c r="E2376" i="26"/>
  <c r="E2218" i="26"/>
  <c r="F2218" i="26" s="1"/>
  <c r="E2872" i="26"/>
  <c r="E528" i="26"/>
  <c r="E559" i="26"/>
  <c r="E1212" i="26"/>
  <c r="E2404" i="26"/>
  <c r="E1537" i="26"/>
  <c r="E500" i="26"/>
  <c r="E3092" i="26"/>
  <c r="E3698" i="26"/>
  <c r="D154" i="17"/>
  <c r="D39" i="17"/>
  <c r="D153" i="17"/>
  <c r="D38" i="17"/>
  <c r="H8" i="15"/>
  <c r="E227" i="4" l="1"/>
  <c r="E226" i="4" s="1"/>
  <c r="E225" i="4"/>
  <c r="E224" i="4" s="1"/>
  <c r="E223" i="4"/>
  <c r="E218" i="4"/>
  <c r="F3286" i="26"/>
  <c r="G3287" i="26" s="1"/>
  <c r="E3274" i="26" s="1"/>
  <c r="F3274" i="26" s="1"/>
  <c r="G3275" i="26" s="1"/>
  <c r="F3279" i="26"/>
  <c r="F3738" i="26"/>
  <c r="F3027" i="26"/>
  <c r="G3028" i="26" s="1"/>
  <c r="F3019" i="26"/>
  <c r="F3017" i="26"/>
  <c r="F3016" i="26"/>
  <c r="F3015" i="26"/>
  <c r="F1608" i="26"/>
  <c r="G1609" i="26" s="1"/>
  <c r="F1600" i="26"/>
  <c r="F1599" i="26"/>
  <c r="F1598" i="26"/>
  <c r="F1597" i="26"/>
  <c r="F1596" i="26"/>
  <c r="F1595" i="26"/>
  <c r="E3765" i="26"/>
  <c r="F3765" i="26" s="1"/>
  <c r="F3576" i="26"/>
  <c r="F2971" i="26"/>
  <c r="G2972" i="26" s="1"/>
  <c r="E2954" i="26" s="1"/>
  <c r="F2954" i="26" s="1"/>
  <c r="G2955" i="26" s="1"/>
  <c r="F2963" i="26"/>
  <c r="F2962" i="26"/>
  <c r="F2961" i="26"/>
  <c r="F2960" i="26"/>
  <c r="F2959" i="26"/>
  <c r="F2958" i="26"/>
  <c r="F1579" i="26"/>
  <c r="G1580" i="26" s="1"/>
  <c r="E1562" i="26" s="1"/>
  <c r="F1562" i="26" s="1"/>
  <c r="G1563" i="26" s="1"/>
  <c r="F1571" i="26"/>
  <c r="F1570" i="26"/>
  <c r="F1569" i="26"/>
  <c r="F1568" i="26"/>
  <c r="F1567" i="26"/>
  <c r="F1566" i="26"/>
  <c r="F2942" i="26"/>
  <c r="G2943" i="26" s="1"/>
  <c r="E2925" i="26" s="1"/>
  <c r="F2925" i="26" s="1"/>
  <c r="G2926" i="26" s="1"/>
  <c r="F2934" i="26"/>
  <c r="F2933" i="26"/>
  <c r="F2932" i="26"/>
  <c r="F2931" i="26"/>
  <c r="F2930" i="26"/>
  <c r="F2929" i="26"/>
  <c r="F601" i="26"/>
  <c r="G602" i="26" s="1"/>
  <c r="E584" i="26" s="1"/>
  <c r="F584" i="26" s="1"/>
  <c r="G585" i="26" s="1"/>
  <c r="F593" i="26"/>
  <c r="F592" i="26"/>
  <c r="F591" i="26"/>
  <c r="F590" i="26"/>
  <c r="F589" i="26"/>
  <c r="F588" i="26"/>
  <c r="F1466" i="26"/>
  <c r="G1467" i="26" s="1"/>
  <c r="E1454" i="26" s="1"/>
  <c r="F1454" i="26" s="1"/>
  <c r="G1455" i="26" s="1"/>
  <c r="F1458" i="26"/>
  <c r="G1459" i="26" s="1"/>
  <c r="E1462" i="26" s="1"/>
  <c r="F1462" i="26" s="1"/>
  <c r="G1463" i="26" s="1"/>
  <c r="F2913" i="26"/>
  <c r="G2914" i="26" s="1"/>
  <c r="E2894" i="26" s="1"/>
  <c r="F2894" i="26" s="1"/>
  <c r="G2895" i="26" s="1"/>
  <c r="F2905" i="26"/>
  <c r="F2904" i="26"/>
  <c r="F2903" i="26"/>
  <c r="F2902" i="26"/>
  <c r="F2901" i="26"/>
  <c r="F2900" i="26"/>
  <c r="F2899" i="26"/>
  <c r="F2898" i="26"/>
  <c r="F2417" i="26"/>
  <c r="G2418" i="26" s="1"/>
  <c r="F2409" i="26"/>
  <c r="F2408" i="26"/>
  <c r="F2407" i="26"/>
  <c r="F2406" i="26"/>
  <c r="F2405" i="26"/>
  <c r="F2404" i="26"/>
  <c r="F2403" i="26"/>
  <c r="F2402" i="26"/>
  <c r="F1550" i="26"/>
  <c r="G1551" i="26" s="1"/>
  <c r="E1531" i="26" s="1"/>
  <c r="F1531" i="26" s="1"/>
  <c r="G1532" i="26" s="1"/>
  <c r="F1542" i="26"/>
  <c r="F1541" i="26"/>
  <c r="F1540" i="26"/>
  <c r="F1539" i="26"/>
  <c r="F1538" i="26"/>
  <c r="F1537" i="26"/>
  <c r="F1536" i="26"/>
  <c r="F1535" i="26"/>
  <c r="F572" i="26"/>
  <c r="G573" i="26" s="1"/>
  <c r="E553" i="26" s="1"/>
  <c r="F553" i="26" s="1"/>
  <c r="G554" i="26" s="1"/>
  <c r="F564" i="26"/>
  <c r="F563" i="26"/>
  <c r="F562" i="26"/>
  <c r="F561" i="26"/>
  <c r="F560" i="26"/>
  <c r="F559" i="26"/>
  <c r="F558" i="26"/>
  <c r="F557" i="26"/>
  <c r="F2882" i="26"/>
  <c r="G2883" i="26" s="1"/>
  <c r="F2874" i="26"/>
  <c r="F2873" i="26"/>
  <c r="F2872" i="26"/>
  <c r="F2871" i="26"/>
  <c r="F2870" i="26"/>
  <c r="F2869" i="26"/>
  <c r="F2865" i="26"/>
  <c r="G2866" i="26" s="1"/>
  <c r="F510" i="26"/>
  <c r="G511" i="26" s="1"/>
  <c r="F502" i="26"/>
  <c r="F501" i="26"/>
  <c r="F500" i="26"/>
  <c r="F499" i="26"/>
  <c r="F498" i="26"/>
  <c r="F497" i="26"/>
  <c r="F493" i="26"/>
  <c r="G494" i="26" s="1"/>
  <c r="F2829" i="26"/>
  <c r="G2830" i="26" s="1"/>
  <c r="F1900" i="26"/>
  <c r="G1901" i="26" s="1"/>
  <c r="E1888" i="26" s="1"/>
  <c r="F1888" i="26" s="1"/>
  <c r="G1889" i="26" s="1"/>
  <c r="F2805" i="26"/>
  <c r="G2806" i="26" s="1"/>
  <c r="F2797" i="26"/>
  <c r="G2798" i="26" s="1"/>
  <c r="E2801" i="26" s="1"/>
  <c r="F2801" i="26" s="1"/>
  <c r="G2802" i="26" s="1"/>
  <c r="F1876" i="26"/>
  <c r="G1877" i="26" s="1"/>
  <c r="E1864" i="26" s="1"/>
  <c r="F1864" i="26" s="1"/>
  <c r="G1865" i="26" s="1"/>
  <c r="F1868" i="26"/>
  <c r="G1869" i="26" s="1"/>
  <c r="E1872" i="26" s="1"/>
  <c r="F1872" i="26" s="1"/>
  <c r="G1873" i="26" s="1"/>
  <c r="F2781" i="26"/>
  <c r="G2782" i="26" s="1"/>
  <c r="E2765" i="26" s="1"/>
  <c r="F2765" i="26" s="1"/>
  <c r="G2766" i="26" s="1"/>
  <c r="F2773" i="26"/>
  <c r="F2772" i="26"/>
  <c r="F2771" i="26"/>
  <c r="F2770" i="26"/>
  <c r="F2769" i="26"/>
  <c r="F1852" i="26"/>
  <c r="G1853" i="26" s="1"/>
  <c r="E1836" i="26" s="1"/>
  <c r="F1836" i="26" s="1"/>
  <c r="G1837" i="26" s="1"/>
  <c r="F1844" i="26"/>
  <c r="F1843" i="26"/>
  <c r="F1842" i="26"/>
  <c r="F1841" i="26"/>
  <c r="F1840" i="26"/>
  <c r="F1121" i="26"/>
  <c r="G1122" i="26" s="1"/>
  <c r="E1108" i="26" s="1"/>
  <c r="F1108" i="26" s="1"/>
  <c r="G1109" i="26" s="1"/>
  <c r="F1113" i="26"/>
  <c r="F1112" i="26"/>
  <c r="F1096" i="26"/>
  <c r="G1097" i="26" s="1"/>
  <c r="E1083" i="26" s="1"/>
  <c r="F1083" i="26" s="1"/>
  <c r="G1084" i="26" s="1"/>
  <c r="F1088" i="26"/>
  <c r="F1087" i="26"/>
  <c r="F1418" i="26"/>
  <c r="G1419" i="26" s="1"/>
  <c r="E1405" i="26" s="1"/>
  <c r="F1405" i="26" s="1"/>
  <c r="G1406" i="26" s="1"/>
  <c r="F1410" i="26"/>
  <c r="F1409" i="26"/>
  <c r="E501" i="21"/>
  <c r="F501" i="21" s="1"/>
  <c r="E24" i="21"/>
  <c r="F24" i="21" s="1"/>
  <c r="E23" i="21"/>
  <c r="F23" i="21" s="1"/>
  <c r="E22" i="21"/>
  <c r="F22" i="21" s="1"/>
  <c r="E21" i="21"/>
  <c r="F21" i="21" s="1"/>
  <c r="E20" i="21"/>
  <c r="F20" i="21" s="1"/>
  <c r="E19" i="21"/>
  <c r="F19" i="21" s="1"/>
  <c r="F2496" i="26"/>
  <c r="F2525" i="26"/>
  <c r="F2554" i="26"/>
  <c r="F2446" i="26"/>
  <c r="G2447" i="26" s="1"/>
  <c r="E2429" i="26" s="1"/>
  <c r="F2429" i="26" s="1"/>
  <c r="G2430" i="26" s="1"/>
  <c r="F2438" i="26"/>
  <c r="F2437" i="26"/>
  <c r="F2436" i="26"/>
  <c r="F2435" i="26"/>
  <c r="F2434" i="26"/>
  <c r="F2433" i="26"/>
  <c r="F2462" i="26"/>
  <c r="F2463" i="26"/>
  <c r="F2464" i="26"/>
  <c r="F2465" i="26"/>
  <c r="F2466" i="26"/>
  <c r="F2467" i="26"/>
  <c r="F2475" i="26"/>
  <c r="G2476" i="26" s="1"/>
  <c r="E2458" i="26" s="1"/>
  <c r="F2458" i="26" s="1"/>
  <c r="G2459" i="26" s="1"/>
  <c r="F2491" i="26"/>
  <c r="F2492" i="26"/>
  <c r="F2493" i="26"/>
  <c r="F2494" i="26"/>
  <c r="F2495" i="26"/>
  <c r="F2504" i="26"/>
  <c r="G2505" i="26" s="1"/>
  <c r="E2487" i="26" s="1"/>
  <c r="F2487" i="26" s="1"/>
  <c r="G2488" i="26" s="1"/>
  <c r="F2233" i="26"/>
  <c r="G2234" i="26" s="1"/>
  <c r="E2212" i="26" s="1"/>
  <c r="F2212" i="26" s="1"/>
  <c r="G2213" i="26" s="1"/>
  <c r="F2200" i="26"/>
  <c r="G2201" i="26" s="1"/>
  <c r="E2179" i="26" s="1"/>
  <c r="F2179" i="26" s="1"/>
  <c r="G2180" i="26" s="1"/>
  <c r="F2192" i="26"/>
  <c r="F2191" i="26"/>
  <c r="F2189" i="26"/>
  <c r="F2188" i="26"/>
  <c r="F2187" i="26"/>
  <c r="F2186" i="26"/>
  <c r="F2185" i="26"/>
  <c r="F2184" i="26"/>
  <c r="F2183" i="26"/>
  <c r="F1367" i="26"/>
  <c r="G1368" i="26" s="1"/>
  <c r="E1346" i="26" s="1"/>
  <c r="F1346" i="26" s="1"/>
  <c r="G1347" i="26" s="1"/>
  <c r="F1359" i="26"/>
  <c r="F1358" i="26"/>
  <c r="F1357" i="26"/>
  <c r="F1356" i="26"/>
  <c r="F1355" i="26"/>
  <c r="F1354" i="26"/>
  <c r="F1353" i="26"/>
  <c r="F1352" i="26"/>
  <c r="F1351" i="26"/>
  <c r="F1350" i="26"/>
  <c r="F3055" i="26"/>
  <c r="G3056" i="26" s="1"/>
  <c r="E3039" i="26" s="1"/>
  <c r="F3039" i="26" s="1"/>
  <c r="G3040" i="26" s="1"/>
  <c r="F3047" i="26"/>
  <c r="F3045" i="26"/>
  <c r="F3044" i="26"/>
  <c r="F3043" i="26"/>
  <c r="F3560" i="26"/>
  <c r="G3561" i="26" s="1"/>
  <c r="E3547" i="26" s="1"/>
  <c r="F3547" i="26" s="1"/>
  <c r="G3548" i="26" s="1"/>
  <c r="F3552" i="26"/>
  <c r="F3551" i="26"/>
  <c r="F2725" i="26"/>
  <c r="G2726" i="26" s="1"/>
  <c r="E2712" i="26" s="1"/>
  <c r="F2712" i="26" s="1"/>
  <c r="G2713" i="26" s="1"/>
  <c r="F2717" i="26"/>
  <c r="F2716" i="26"/>
  <c r="F1796" i="26"/>
  <c r="G1797" i="26" s="1"/>
  <c r="E1783" i="26" s="1"/>
  <c r="F1783" i="26" s="1"/>
  <c r="G1784" i="26" s="1"/>
  <c r="F1788" i="26"/>
  <c r="F1787" i="26"/>
  <c r="F2675" i="26"/>
  <c r="G2676" i="26" s="1"/>
  <c r="E2658" i="26" s="1"/>
  <c r="F2658" i="26" s="1"/>
  <c r="G2659" i="26" s="1"/>
  <c r="F2667" i="26"/>
  <c r="F2666" i="26"/>
  <c r="F2665" i="26"/>
  <c r="F2664" i="26"/>
  <c r="F2663" i="26"/>
  <c r="F2662" i="26"/>
  <c r="F2646" i="26"/>
  <c r="G2647" i="26" s="1"/>
  <c r="E2630" i="26" s="1"/>
  <c r="F2630" i="26" s="1"/>
  <c r="G2631" i="26" s="1"/>
  <c r="F2638" i="26"/>
  <c r="F2636" i="26"/>
  <c r="F2635" i="26"/>
  <c r="F2634" i="26"/>
  <c r="F2618" i="26"/>
  <c r="G2619" i="26" s="1"/>
  <c r="E2602" i="26" s="1"/>
  <c r="F2602" i="26" s="1"/>
  <c r="G2603" i="26" s="1"/>
  <c r="F2610" i="26"/>
  <c r="F2608" i="26"/>
  <c r="F2607" i="26"/>
  <c r="F2606" i="26"/>
  <c r="F1664" i="26"/>
  <c r="G1665" i="26" s="1"/>
  <c r="E1648" i="26" s="1"/>
  <c r="F1648" i="26" s="1"/>
  <c r="G1649" i="26" s="1"/>
  <c r="F1656" i="26"/>
  <c r="F1654" i="26"/>
  <c r="F1653" i="26"/>
  <c r="F1652" i="26"/>
  <c r="F834" i="26"/>
  <c r="G835" i="26" s="1"/>
  <c r="E818" i="26" s="1"/>
  <c r="F818" i="26" s="1"/>
  <c r="G819" i="26" s="1"/>
  <c r="F826" i="26"/>
  <c r="F824" i="26"/>
  <c r="F823" i="26"/>
  <c r="F822" i="26"/>
  <c r="E578" i="21"/>
  <c r="F578" i="21" s="1"/>
  <c r="E585" i="21"/>
  <c r="E584" i="21"/>
  <c r="F584" i="21" s="1"/>
  <c r="F2999" i="26"/>
  <c r="G3000" i="26" s="1"/>
  <c r="E2983" i="26" s="1"/>
  <c r="F2983" i="26" s="1"/>
  <c r="G2984" i="26" s="1"/>
  <c r="F2991" i="26"/>
  <c r="F2989" i="26"/>
  <c r="F2988" i="26"/>
  <c r="F2987" i="26"/>
  <c r="F2590" i="26"/>
  <c r="G2591" i="26" s="1"/>
  <c r="E2574" i="26" s="1"/>
  <c r="F2574" i="26" s="1"/>
  <c r="G2575" i="26" s="1"/>
  <c r="F2582" i="26"/>
  <c r="F2580" i="26"/>
  <c r="F2579" i="26"/>
  <c r="F2578" i="26"/>
  <c r="F1636" i="26"/>
  <c r="G1637" i="26" s="1"/>
  <c r="E1620" i="26" s="1"/>
  <c r="F1620" i="26" s="1"/>
  <c r="G1621" i="26" s="1"/>
  <c r="F1628" i="26"/>
  <c r="F1626" i="26"/>
  <c r="F1625" i="26"/>
  <c r="F1624" i="26"/>
  <c r="F2533" i="26"/>
  <c r="G2534" i="26" s="1"/>
  <c r="E2516" i="26" s="1"/>
  <c r="F2516" i="26" s="1"/>
  <c r="G2517" i="26" s="1"/>
  <c r="F2524" i="26"/>
  <c r="F2523" i="26"/>
  <c r="F2522" i="26"/>
  <c r="F2521" i="26"/>
  <c r="F2520" i="26"/>
  <c r="F2260" i="26"/>
  <c r="G2261" i="26" s="1"/>
  <c r="E2245" i="26" s="1"/>
  <c r="F2245" i="26" s="1"/>
  <c r="G2246" i="26" s="1"/>
  <c r="F2252" i="26"/>
  <c r="F2251" i="26"/>
  <c r="F2250" i="26"/>
  <c r="F2249" i="26"/>
  <c r="F1393" i="26"/>
  <c r="G1394" i="26" s="1"/>
  <c r="E1378" i="26" s="1"/>
  <c r="F1378" i="26" s="1"/>
  <c r="G1379" i="26" s="1"/>
  <c r="F1385" i="26"/>
  <c r="F1384" i="26"/>
  <c r="F1383" i="26"/>
  <c r="F1382" i="26"/>
  <c r="F2167" i="26"/>
  <c r="G2168" i="26" s="1"/>
  <c r="E2146" i="26" s="1"/>
  <c r="F2146" i="26" s="1"/>
  <c r="G2147" i="26" s="1"/>
  <c r="F2159" i="26"/>
  <c r="F2158" i="26"/>
  <c r="F2157" i="26"/>
  <c r="F2156" i="26"/>
  <c r="F2155" i="26"/>
  <c r="F2154" i="26"/>
  <c r="F2153" i="26"/>
  <c r="F2152" i="26"/>
  <c r="F2151" i="26"/>
  <c r="F2150" i="26"/>
  <c r="F2134" i="26"/>
  <c r="G2135" i="26" s="1"/>
  <c r="E2113" i="26" s="1"/>
  <c r="F2113" i="26" s="1"/>
  <c r="G2114" i="26" s="1"/>
  <c r="F2126" i="26"/>
  <c r="F2125" i="26"/>
  <c r="F2124" i="26"/>
  <c r="F2123" i="26"/>
  <c r="F2122" i="26"/>
  <c r="F2121" i="26"/>
  <c r="F2120" i="26"/>
  <c r="F2119" i="26"/>
  <c r="F2118" i="26"/>
  <c r="F2117" i="26"/>
  <c r="F1334" i="26"/>
  <c r="G1335" i="26" s="1"/>
  <c r="F1326" i="26"/>
  <c r="F1325" i="26"/>
  <c r="F1324" i="26"/>
  <c r="F1323" i="26"/>
  <c r="F1322" i="26"/>
  <c r="F1321" i="26"/>
  <c r="F1320" i="26"/>
  <c r="F1319" i="26"/>
  <c r="F1318" i="26"/>
  <c r="F1317" i="26"/>
  <c r="F721" i="26"/>
  <c r="G722" i="26" s="1"/>
  <c r="E704" i="26" s="1"/>
  <c r="F704" i="26" s="1"/>
  <c r="G705" i="26" s="1"/>
  <c r="F713" i="26"/>
  <c r="F712" i="26"/>
  <c r="F711" i="26"/>
  <c r="F710" i="26"/>
  <c r="F709" i="26"/>
  <c r="F708" i="26"/>
  <c r="F2562" i="26"/>
  <c r="G2563" i="26" s="1"/>
  <c r="E2545" i="26" s="1"/>
  <c r="F2545" i="26" s="1"/>
  <c r="G2546" i="26" s="1"/>
  <c r="F2553" i="26"/>
  <c r="F2552" i="26"/>
  <c r="F2551" i="26"/>
  <c r="F2550" i="26"/>
  <c r="F2549" i="26"/>
  <c r="F750" i="26"/>
  <c r="G751" i="26" s="1"/>
  <c r="F742" i="26"/>
  <c r="F741" i="26"/>
  <c r="F740" i="26"/>
  <c r="F739" i="26"/>
  <c r="F738" i="26"/>
  <c r="F737" i="26"/>
  <c r="F659" i="26"/>
  <c r="G660" i="26" s="1"/>
  <c r="F651" i="26"/>
  <c r="F650" i="26"/>
  <c r="F649" i="26"/>
  <c r="F648" i="26"/>
  <c r="F647" i="26"/>
  <c r="F646" i="26"/>
  <c r="F3943" i="26"/>
  <c r="F3968" i="26"/>
  <c r="F4196" i="26"/>
  <c r="G4197" i="26" s="1"/>
  <c r="E4184" i="26" s="1"/>
  <c r="F4184" i="26" s="1"/>
  <c r="G4185" i="26" s="1"/>
  <c r="F4189" i="26"/>
  <c r="F4188" i="26"/>
  <c r="F4171" i="26"/>
  <c r="G4173" i="26" s="1"/>
  <c r="E4159" i="26" s="1"/>
  <c r="F4159" i="26" s="1"/>
  <c r="G4160" i="26" s="1"/>
  <c r="F4164" i="26"/>
  <c r="F4163" i="26"/>
  <c r="G4164" i="26" s="1"/>
  <c r="E4167" i="26" s="1"/>
  <c r="F4167" i="26" s="1"/>
  <c r="G4168" i="26" s="1"/>
  <c r="F4147" i="26"/>
  <c r="G4148" i="26" s="1"/>
  <c r="E4128" i="26" s="1"/>
  <c r="F4128" i="26" s="1"/>
  <c r="G4129" i="26" s="1"/>
  <c r="F4140" i="26"/>
  <c r="F4132" i="26"/>
  <c r="F4116" i="26"/>
  <c r="G4117" i="26" s="1"/>
  <c r="E4100" i="26" s="1"/>
  <c r="F4100" i="26" s="1"/>
  <c r="G4101" i="26" s="1"/>
  <c r="F4104" i="26"/>
  <c r="G4109" i="26" s="1"/>
  <c r="E4112" i="26" s="1"/>
  <c r="F4112" i="26" s="1"/>
  <c r="G4113" i="26" s="1"/>
  <c r="F4088" i="26"/>
  <c r="G4089" i="26" s="1"/>
  <c r="E4072" i="26" s="1"/>
  <c r="F4072" i="26" s="1"/>
  <c r="G4073" i="26" s="1"/>
  <c r="F4081" i="26"/>
  <c r="F4060" i="26"/>
  <c r="G4061" i="26" s="1"/>
  <c r="F4053" i="26"/>
  <c r="F4051" i="26"/>
  <c r="F4050" i="26"/>
  <c r="F4049" i="26"/>
  <c r="F4048" i="26"/>
  <c r="F4044" i="26"/>
  <c r="F4043" i="26"/>
  <c r="F4030" i="26"/>
  <c r="G4032" i="26" s="1"/>
  <c r="E4017" i="26" s="1"/>
  <c r="F4017" i="26" s="1"/>
  <c r="G4018" i="26" s="1"/>
  <c r="F4023" i="26"/>
  <c r="F4022" i="26"/>
  <c r="F4021" i="26"/>
  <c r="F4004" i="26"/>
  <c r="G4006" i="26" s="1"/>
  <c r="E3991" i="26" s="1"/>
  <c r="F3991" i="26" s="1"/>
  <c r="G3992" i="26" s="1"/>
  <c r="F3997" i="26"/>
  <c r="F3996" i="26"/>
  <c r="F3995" i="26"/>
  <c r="F3979" i="26"/>
  <c r="G3980" i="26" s="1"/>
  <c r="E3964" i="26" s="1"/>
  <c r="F3964" i="26" s="1"/>
  <c r="G3965" i="26" s="1"/>
  <c r="F3972" i="26"/>
  <c r="F3971" i="26"/>
  <c r="F3969" i="26"/>
  <c r="F3952" i="26"/>
  <c r="G3953" i="26" s="1"/>
  <c r="E3939" i="26" s="1"/>
  <c r="F3939" i="26" s="1"/>
  <c r="G3940" i="26" s="1"/>
  <c r="F3945" i="26"/>
  <c r="F3944" i="26"/>
  <c r="F3927" i="26"/>
  <c r="G3928" i="26" s="1"/>
  <c r="F3923" i="26"/>
  <c r="G3924" i="26" s="1"/>
  <c r="F3920" i="26"/>
  <c r="E3919" i="26"/>
  <c r="F3919" i="26" s="1"/>
  <c r="E3918" i="26"/>
  <c r="F3918" i="26" s="1"/>
  <c r="E3917" i="26"/>
  <c r="F3917" i="26" s="1"/>
  <c r="G3914" i="26"/>
  <c r="G3902" i="26"/>
  <c r="G3898" i="26"/>
  <c r="F3893" i="26"/>
  <c r="G3894" i="26" s="1"/>
  <c r="G3890" i="26"/>
  <c r="G3878" i="26"/>
  <c r="G3874" i="26"/>
  <c r="F3869" i="26"/>
  <c r="G3870" i="26" s="1"/>
  <c r="G3866" i="26"/>
  <c r="F3853" i="26"/>
  <c r="G3854" i="26" s="1"/>
  <c r="E3841" i="26" s="1"/>
  <c r="F3841" i="26" s="1"/>
  <c r="G3842" i="26" s="1"/>
  <c r="F3846" i="26"/>
  <c r="G3846" i="26" s="1"/>
  <c r="E3849" i="26" s="1"/>
  <c r="F3849" i="26" s="1"/>
  <c r="G3850" i="26" s="1"/>
  <c r="F3829" i="26"/>
  <c r="G3830" i="26" s="1"/>
  <c r="E3812" i="26" s="1"/>
  <c r="F3812" i="26" s="1"/>
  <c r="F3822" i="26"/>
  <c r="F3821" i="26"/>
  <c r="F3820" i="26"/>
  <c r="F3819" i="26"/>
  <c r="F3818" i="26"/>
  <c r="F3817" i="26"/>
  <c r="F3813" i="26"/>
  <c r="F3800" i="26"/>
  <c r="G3801" i="26" s="1"/>
  <c r="E3788" i="26" s="1"/>
  <c r="F3788" i="26" s="1"/>
  <c r="G3789" i="26" s="1"/>
  <c r="F3793" i="26"/>
  <c r="F3792" i="26"/>
  <c r="G3793" i="26" s="1"/>
  <c r="E3796" i="26" s="1"/>
  <c r="F3796" i="26" s="1"/>
  <c r="G3797" i="26" s="1"/>
  <c r="F3776" i="26"/>
  <c r="G3777" i="26" s="1"/>
  <c r="F3772" i="26"/>
  <c r="G3773" i="26" s="1"/>
  <c r="F3769" i="26"/>
  <c r="F3767" i="26"/>
  <c r="F3766" i="26"/>
  <c r="F3764" i="26"/>
  <c r="F3760" i="26"/>
  <c r="F3759" i="26"/>
  <c r="F3746" i="26"/>
  <c r="G3748" i="26" s="1"/>
  <c r="E3732" i="26" s="1"/>
  <c r="F3732" i="26" s="1"/>
  <c r="G3733" i="26" s="1"/>
  <c r="F3739" i="26"/>
  <c r="F3737" i="26"/>
  <c r="F3736" i="26"/>
  <c r="F3720" i="26"/>
  <c r="G3721" i="26" s="1"/>
  <c r="E3694" i="26" s="1"/>
  <c r="F3694" i="26" s="1"/>
  <c r="G3695" i="26" s="1"/>
  <c r="F3713" i="26"/>
  <c r="F3712" i="26"/>
  <c r="F3711" i="26"/>
  <c r="F3706" i="26"/>
  <c r="F3705" i="26"/>
  <c r="F3704" i="26"/>
  <c r="F3703" i="26"/>
  <c r="F3702" i="26"/>
  <c r="F3701" i="26"/>
  <c r="F3700" i="26"/>
  <c r="F3698" i="26"/>
  <c r="F3681" i="26"/>
  <c r="G3682" i="26" s="1"/>
  <c r="E3669" i="26" s="1"/>
  <c r="F3669" i="26" s="1"/>
  <c r="G3670" i="26" s="1"/>
  <c r="F3674" i="26"/>
  <c r="F3673" i="26"/>
  <c r="F3657" i="26"/>
  <c r="G3658" i="26" s="1"/>
  <c r="E3645" i="26" s="1"/>
  <c r="F3645" i="26" s="1"/>
  <c r="G3646" i="26" s="1"/>
  <c r="F3650" i="26"/>
  <c r="F3649" i="26"/>
  <c r="F3633" i="26"/>
  <c r="G3634" i="26" s="1"/>
  <c r="F3626" i="26"/>
  <c r="F3625" i="26"/>
  <c r="F3621" i="26"/>
  <c r="G3622" i="26" s="1"/>
  <c r="F3609" i="26"/>
  <c r="G3610" i="26" s="1"/>
  <c r="E3597" i="26" s="1"/>
  <c r="F3597" i="26" s="1"/>
  <c r="G3598" i="26" s="1"/>
  <c r="F3602" i="26"/>
  <c r="F3584" i="26"/>
  <c r="G3585" i="26" s="1"/>
  <c r="E3572" i="26" s="1"/>
  <c r="F3572" i="26" s="1"/>
  <c r="G3573" i="26" s="1"/>
  <c r="F3577" i="26"/>
  <c r="F3534" i="26"/>
  <c r="G3535" i="26" s="1"/>
  <c r="E3522" i="26" s="1"/>
  <c r="F3522" i="26" s="1"/>
  <c r="G3523" i="26" s="1"/>
  <c r="F3527" i="26"/>
  <c r="F3526" i="26"/>
  <c r="F3510" i="26"/>
  <c r="G3511" i="26" s="1"/>
  <c r="E3497" i="26" s="1"/>
  <c r="F3497" i="26" s="1"/>
  <c r="G3498" i="26" s="1"/>
  <c r="F3503" i="26"/>
  <c r="F3502" i="26"/>
  <c r="F3501" i="26"/>
  <c r="F3484" i="26"/>
  <c r="G3486" i="26" s="1"/>
  <c r="E3470" i="26" s="1"/>
  <c r="F3470" i="26" s="1"/>
  <c r="G3471" i="26" s="1"/>
  <c r="F3476" i="26"/>
  <c r="F3475" i="26"/>
  <c r="F3474" i="26"/>
  <c r="F3458" i="26"/>
  <c r="G3459" i="26" s="1"/>
  <c r="E3445" i="26" s="1"/>
  <c r="F3445" i="26" s="1"/>
  <c r="G3446" i="26" s="1"/>
  <c r="F3450" i="26"/>
  <c r="F3449" i="26"/>
  <c r="F3433" i="26"/>
  <c r="G3434" i="26" s="1"/>
  <c r="E3419" i="26" s="1"/>
  <c r="F3419" i="26" s="1"/>
  <c r="G3420" i="26" s="1"/>
  <c r="F3425" i="26"/>
  <c r="F3424" i="26"/>
  <c r="F3423" i="26"/>
  <c r="F3407" i="26"/>
  <c r="G3408" i="26" s="1"/>
  <c r="E3394" i="26" s="1"/>
  <c r="F3394" i="26" s="1"/>
  <c r="G3395" i="26" s="1"/>
  <c r="F3399" i="26"/>
  <c r="F3398" i="26"/>
  <c r="F3382" i="26"/>
  <c r="G3383" i="26" s="1"/>
  <c r="E3370" i="26" s="1"/>
  <c r="F3370" i="26" s="1"/>
  <c r="G3371" i="26" s="1"/>
  <c r="F3374" i="26"/>
  <c r="G3375" i="26" s="1"/>
  <c r="E3378" i="26" s="1"/>
  <c r="F3378" i="26" s="1"/>
  <c r="G3379" i="26" s="1"/>
  <c r="F3358" i="26"/>
  <c r="G3359" i="26" s="1"/>
  <c r="F3350" i="26"/>
  <c r="G3351" i="26" s="1"/>
  <c r="E3354" i="26" s="1"/>
  <c r="F3354" i="26" s="1"/>
  <c r="G3355" i="26" s="1"/>
  <c r="F3346" i="26"/>
  <c r="G3347" i="26" s="1"/>
  <c r="F3334" i="26"/>
  <c r="G3335" i="26" s="1"/>
  <c r="E3322" i="26" s="1"/>
  <c r="F3322" i="26" s="1"/>
  <c r="G3323" i="26" s="1"/>
  <c r="F3310" i="26"/>
  <c r="G3311" i="26" s="1"/>
  <c r="E3298" i="26" s="1"/>
  <c r="F3298" i="26" s="1"/>
  <c r="G3299" i="26" s="1"/>
  <c r="F3303" i="26"/>
  <c r="F3302" i="26"/>
  <c r="F3262" i="26"/>
  <c r="G3263" i="26" s="1"/>
  <c r="E3246" i="26" s="1"/>
  <c r="F3246" i="26" s="1"/>
  <c r="G3247" i="26" s="1"/>
  <c r="E3258" i="26"/>
  <c r="F3258" i="26" s="1"/>
  <c r="E3256" i="26"/>
  <c r="F3256" i="26" s="1"/>
  <c r="F3255" i="26"/>
  <c r="F3252" i="26"/>
  <c r="F3251" i="26"/>
  <c r="F3250" i="26"/>
  <c r="F3233" i="26"/>
  <c r="G3235" i="26" s="1"/>
  <c r="E3219" i="26" s="1"/>
  <c r="F3219" i="26" s="1"/>
  <c r="G3220" i="26" s="1"/>
  <c r="F3225" i="26"/>
  <c r="F3224" i="26"/>
  <c r="F3223" i="26"/>
  <c r="F3207" i="26"/>
  <c r="G3208" i="26" s="1"/>
  <c r="E3193" i="26" s="1"/>
  <c r="F3193" i="26" s="1"/>
  <c r="G3194" i="26" s="1"/>
  <c r="F3199" i="26"/>
  <c r="F3198" i="26"/>
  <c r="F3197" i="26"/>
  <c r="F3181" i="26"/>
  <c r="G3182" i="26" s="1"/>
  <c r="E3167" i="26" s="1"/>
  <c r="F3167" i="26" s="1"/>
  <c r="G3168" i="26" s="1"/>
  <c r="F3173" i="26"/>
  <c r="F3172" i="26"/>
  <c r="F3171" i="26"/>
  <c r="F3155" i="26"/>
  <c r="G3156" i="26" s="1"/>
  <c r="E3141" i="26" s="1"/>
  <c r="F3141" i="26" s="1"/>
  <c r="G3142" i="26" s="1"/>
  <c r="F3148" i="26"/>
  <c r="F3147" i="26"/>
  <c r="F3146" i="26"/>
  <c r="F3145" i="26"/>
  <c r="F3129" i="26"/>
  <c r="G3130" i="26" s="1"/>
  <c r="E3117" i="26" s="1"/>
  <c r="F3117" i="26" s="1"/>
  <c r="G3118" i="26" s="1"/>
  <c r="F3121" i="26"/>
  <c r="G3122" i="26" s="1"/>
  <c r="E3125" i="26" s="1"/>
  <c r="F3125" i="26" s="1"/>
  <c r="G3126" i="26" s="1"/>
  <c r="F3105" i="26"/>
  <c r="G3106" i="26" s="1"/>
  <c r="F3097" i="26"/>
  <c r="G3098" i="26" s="1"/>
  <c r="F3093" i="26"/>
  <c r="F3092" i="26"/>
  <c r="F3079" i="26"/>
  <c r="G3081" i="26" s="1"/>
  <c r="E3067" i="26" s="1"/>
  <c r="F3067" i="26" s="1"/>
  <c r="G3068" i="26" s="1"/>
  <c r="F3072" i="26"/>
  <c r="F3071" i="26"/>
  <c r="F2853" i="26"/>
  <c r="G2854" i="26" s="1"/>
  <c r="E2841" i="26" s="1"/>
  <c r="F2841" i="26" s="1"/>
  <c r="G2842" i="26" s="1"/>
  <c r="F2845" i="26"/>
  <c r="G2846" i="26" s="1"/>
  <c r="E2849" i="26" s="1"/>
  <c r="F2849" i="26" s="1"/>
  <c r="G2850" i="26" s="1"/>
  <c r="F2753" i="26"/>
  <c r="G2754" i="26" s="1"/>
  <c r="E2737" i="26" s="1"/>
  <c r="F2737" i="26" s="1"/>
  <c r="G2738" i="26" s="1"/>
  <c r="F2745" i="26"/>
  <c r="F2744" i="26"/>
  <c r="F2743" i="26"/>
  <c r="F2742" i="26"/>
  <c r="F2741" i="26"/>
  <c r="F2700" i="26"/>
  <c r="G2701" i="26" s="1"/>
  <c r="E2687" i="26" s="1"/>
  <c r="F2687" i="26" s="1"/>
  <c r="G2688" i="26" s="1"/>
  <c r="F2691" i="26"/>
  <c r="F2386" i="26"/>
  <c r="G2387" i="26" s="1"/>
  <c r="F2378" i="26"/>
  <c r="F2377" i="26"/>
  <c r="F2376" i="26"/>
  <c r="F2375" i="26"/>
  <c r="F2374" i="26"/>
  <c r="F2373" i="26"/>
  <c r="F2369" i="26"/>
  <c r="G2370" i="26" s="1"/>
  <c r="F2357" i="26"/>
  <c r="G2358" i="26" s="1"/>
  <c r="E2345" i="26" s="1"/>
  <c r="F2345" i="26" s="1"/>
  <c r="G2346" i="26" s="1"/>
  <c r="F2349" i="26"/>
  <c r="G2350" i="26" s="1"/>
  <c r="E2353" i="26" s="1"/>
  <c r="F2353" i="26" s="1"/>
  <c r="G2354" i="26" s="1"/>
  <c r="F2333" i="26"/>
  <c r="G2334" i="26" s="1"/>
  <c r="F2325" i="26"/>
  <c r="G2326" i="26" s="1"/>
  <c r="E2329" i="26" s="1"/>
  <c r="F2329" i="26" s="1"/>
  <c r="G2330" i="26" s="1"/>
  <c r="F2309" i="26"/>
  <c r="G2310" i="26" s="1"/>
  <c r="E2297" i="26" s="1"/>
  <c r="F2297" i="26" s="1"/>
  <c r="G2298" i="26" s="1"/>
  <c r="F2301" i="26"/>
  <c r="G2302" i="26" s="1"/>
  <c r="E2305" i="26" s="1"/>
  <c r="F2305" i="26" s="1"/>
  <c r="G2306" i="26" s="1"/>
  <c r="F2285" i="26"/>
  <c r="G2286" i="26" s="1"/>
  <c r="E2272" i="26" s="1"/>
  <c r="F2272" i="26" s="1"/>
  <c r="G2273" i="26" s="1"/>
  <c r="F2277" i="26"/>
  <c r="F2276" i="26"/>
  <c r="F2101" i="26"/>
  <c r="G2102" i="26" s="1"/>
  <c r="E2088" i="26" s="1"/>
  <c r="F2088" i="26" s="1"/>
  <c r="G2089" i="26" s="1"/>
  <c r="F2092" i="26"/>
  <c r="F2076" i="26"/>
  <c r="G2077" i="26" s="1"/>
  <c r="E2063" i="26" s="1"/>
  <c r="F2063" i="26" s="1"/>
  <c r="G2064" i="26" s="1"/>
  <c r="F2067" i="26"/>
  <c r="F2051" i="26"/>
  <c r="G2052" i="26" s="1"/>
  <c r="F2043" i="26"/>
  <c r="F2042" i="26"/>
  <c r="F2041" i="26"/>
  <c r="F2040" i="26"/>
  <c r="F2039" i="26"/>
  <c r="F2038" i="26"/>
  <c r="F2034" i="26"/>
  <c r="G2035" i="26" s="1"/>
  <c r="F2022" i="26"/>
  <c r="G2023" i="26" s="1"/>
  <c r="E2010" i="26" s="1"/>
  <c r="F2010" i="26" s="1"/>
  <c r="G2011" i="26" s="1"/>
  <c r="F2014" i="26"/>
  <c r="G2015" i="26" s="1"/>
  <c r="E2018" i="26" s="1"/>
  <c r="F2018" i="26" s="1"/>
  <c r="G2019" i="26" s="1"/>
  <c r="F1998" i="26"/>
  <c r="G1999" i="26" s="1"/>
  <c r="F1990" i="26"/>
  <c r="G1991" i="26" s="1"/>
  <c r="E1994" i="26" s="1"/>
  <c r="F1994" i="26" s="1"/>
  <c r="G1995" i="26" s="1"/>
  <c r="F1974" i="26"/>
  <c r="G1975" i="26" s="1"/>
  <c r="E1962" i="26" s="1"/>
  <c r="F1962" i="26" s="1"/>
  <c r="G1963" i="26" s="1"/>
  <c r="F1966" i="26"/>
  <c r="G1967" i="26" s="1"/>
  <c r="E1970" i="26" s="1"/>
  <c r="F1970" i="26" s="1"/>
  <c r="G1971" i="26" s="1"/>
  <c r="F1950" i="26"/>
  <c r="G1951" i="26" s="1"/>
  <c r="F1942" i="26"/>
  <c r="F1941" i="26"/>
  <c r="F1925" i="26"/>
  <c r="G1926" i="26" s="1"/>
  <c r="F1917" i="26"/>
  <c r="F1916" i="26"/>
  <c r="F1824" i="26"/>
  <c r="G1825" i="26" s="1"/>
  <c r="E1808" i="26" s="1"/>
  <c r="F1808" i="26" s="1"/>
  <c r="G1809" i="26" s="1"/>
  <c r="F1816" i="26"/>
  <c r="F1815" i="26"/>
  <c r="F1814" i="26"/>
  <c r="F1813" i="26"/>
  <c r="F1812" i="26"/>
  <c r="F1771" i="26"/>
  <c r="G1772" i="26" s="1"/>
  <c r="E1758" i="26" s="1"/>
  <c r="F1758" i="26" s="1"/>
  <c r="G1759" i="26" s="1"/>
  <c r="F1763" i="26"/>
  <c r="F1762" i="26"/>
  <c r="F1746" i="26"/>
  <c r="G1747" i="26" s="1"/>
  <c r="E1733" i="26" s="1"/>
  <c r="F1733" i="26" s="1"/>
  <c r="G1734" i="26" s="1"/>
  <c r="F1737" i="26"/>
  <c r="F1721" i="26"/>
  <c r="G1722" i="26" s="1"/>
  <c r="F1713" i="26"/>
  <c r="F1712" i="26"/>
  <c r="F1711" i="26"/>
  <c r="F1710" i="26"/>
  <c r="F1709" i="26"/>
  <c r="F1708" i="26"/>
  <c r="F1692" i="26"/>
  <c r="G1693" i="26" s="1"/>
  <c r="E1676" i="26" s="1"/>
  <c r="F1676" i="26" s="1"/>
  <c r="G1677" i="26" s="1"/>
  <c r="F1684" i="26"/>
  <c r="F1682" i="26"/>
  <c r="F1681" i="26"/>
  <c r="F1680" i="26"/>
  <c r="F1519" i="26"/>
  <c r="G1520" i="26" s="1"/>
  <c r="F1511" i="26"/>
  <c r="F1510" i="26"/>
  <c r="F1509" i="26"/>
  <c r="F1508" i="26"/>
  <c r="F1507" i="26"/>
  <c r="F1506" i="26"/>
  <c r="F1502" i="26"/>
  <c r="G1503" i="26" s="1"/>
  <c r="F1490" i="26"/>
  <c r="G1491" i="26" s="1"/>
  <c r="F1482" i="26"/>
  <c r="G1483" i="26" s="1"/>
  <c r="E1486" i="26" s="1"/>
  <c r="F1486" i="26" s="1"/>
  <c r="G1487" i="26" s="1"/>
  <c r="F1442" i="26"/>
  <c r="G1443" i="26" s="1"/>
  <c r="E1430" i="26" s="1"/>
  <c r="F1430" i="26" s="1"/>
  <c r="G1431" i="26" s="1"/>
  <c r="F1434" i="26"/>
  <c r="G1435" i="26" s="1"/>
  <c r="E1438" i="26" s="1"/>
  <c r="F1438" i="26" s="1"/>
  <c r="G1439" i="26" s="1"/>
  <c r="F1301" i="26"/>
  <c r="G1302" i="26" s="1"/>
  <c r="E1288" i="26" s="1"/>
  <c r="F1288" i="26" s="1"/>
  <c r="G1289" i="26" s="1"/>
  <c r="F1292" i="26"/>
  <c r="F1276" i="26"/>
  <c r="G1277" i="26" s="1"/>
  <c r="E1263" i="26" s="1"/>
  <c r="F1263" i="26" s="1"/>
  <c r="G1264" i="26" s="1"/>
  <c r="F1267" i="26"/>
  <c r="F1251" i="26"/>
  <c r="G1252" i="26" s="1"/>
  <c r="F1243" i="26"/>
  <c r="F1242" i="26"/>
  <c r="F1241" i="26"/>
  <c r="F1240" i="26"/>
  <c r="F1239" i="26"/>
  <c r="F1238" i="26"/>
  <c r="F1234" i="26"/>
  <c r="G1235" i="26" s="1"/>
  <c r="F1222" i="26"/>
  <c r="G1223" i="26" s="1"/>
  <c r="F1214" i="26"/>
  <c r="F1213" i="26"/>
  <c r="F1212" i="26"/>
  <c r="F1211" i="26"/>
  <c r="F1210" i="26"/>
  <c r="F1209" i="26"/>
  <c r="F1205" i="26"/>
  <c r="G1206" i="26" s="1"/>
  <c r="F1193" i="26"/>
  <c r="G1194" i="26" s="1"/>
  <c r="F1185" i="26"/>
  <c r="G1186" i="26" s="1"/>
  <c r="E1189" i="26" s="1"/>
  <c r="F1189" i="26" s="1"/>
  <c r="G1190" i="26" s="1"/>
  <c r="F1169" i="26"/>
  <c r="G1170" i="26" s="1"/>
  <c r="F1161" i="26"/>
  <c r="G1162" i="26" s="1"/>
  <c r="E1165" i="26" s="1"/>
  <c r="F1165" i="26" s="1"/>
  <c r="G1166" i="26" s="1"/>
  <c r="F1145" i="26"/>
  <c r="G1146" i="26" s="1"/>
  <c r="F1137" i="26"/>
  <c r="G1138" i="26" s="1"/>
  <c r="E1141" i="26" s="1"/>
  <c r="F1141" i="26" s="1"/>
  <c r="G1142" i="26" s="1"/>
  <c r="F1071" i="26"/>
  <c r="G1072" i="26" s="1"/>
  <c r="E1059" i="26" s="1"/>
  <c r="F1059" i="26" s="1"/>
  <c r="G1060" i="26" s="1"/>
  <c r="F1047" i="26"/>
  <c r="G1048" i="26" s="1"/>
  <c r="F1039" i="26"/>
  <c r="G1040" i="26" s="1"/>
  <c r="E1043" i="26" s="1"/>
  <c r="F1043" i="26" s="1"/>
  <c r="G1044" i="26" s="1"/>
  <c r="F1023" i="26"/>
  <c r="G1024" i="26" s="1"/>
  <c r="E1007" i="26" s="1"/>
  <c r="F1007" i="26" s="1"/>
  <c r="G1008" i="26" s="1"/>
  <c r="F1015" i="26"/>
  <c r="F1014" i="26"/>
  <c r="F1013" i="26"/>
  <c r="F1012" i="26"/>
  <c r="F1011" i="26"/>
  <c r="F995" i="26"/>
  <c r="G996" i="26" s="1"/>
  <c r="F987" i="26"/>
  <c r="F986" i="26"/>
  <c r="F985" i="26"/>
  <c r="F984" i="26"/>
  <c r="F983" i="26"/>
  <c r="F967" i="26"/>
  <c r="G968" i="26" s="1"/>
  <c r="E954" i="26" s="1"/>
  <c r="F954" i="26" s="1"/>
  <c r="G955" i="26" s="1"/>
  <c r="F959" i="26"/>
  <c r="F958" i="26"/>
  <c r="F942" i="26"/>
  <c r="G943" i="26" s="1"/>
  <c r="E929" i="26" s="1"/>
  <c r="F929" i="26" s="1"/>
  <c r="G930" i="26" s="1"/>
  <c r="F934" i="26"/>
  <c r="F933" i="26"/>
  <c r="F917" i="26"/>
  <c r="G918" i="26" s="1"/>
  <c r="E904" i="26" s="1"/>
  <c r="F904" i="26" s="1"/>
  <c r="G905" i="26" s="1"/>
  <c r="F908" i="26"/>
  <c r="F892" i="26"/>
  <c r="G893" i="26" s="1"/>
  <c r="F884" i="26"/>
  <c r="F883" i="26"/>
  <c r="F882" i="26"/>
  <c r="F881" i="26"/>
  <c r="F880" i="26"/>
  <c r="F879" i="26"/>
  <c r="F875" i="26"/>
  <c r="G876" i="26" s="1"/>
  <c r="F863" i="26"/>
  <c r="G864" i="26" s="1"/>
  <c r="E846" i="26" s="1"/>
  <c r="F846" i="26" s="1"/>
  <c r="G847" i="26" s="1"/>
  <c r="F855" i="26"/>
  <c r="F854" i="26"/>
  <c r="F853" i="26"/>
  <c r="F852" i="26"/>
  <c r="F851" i="26"/>
  <c r="F850" i="26"/>
  <c r="F806" i="26"/>
  <c r="G807" i="26" s="1"/>
  <c r="E790" i="26" s="1"/>
  <c r="F790" i="26" s="1"/>
  <c r="G791" i="26" s="1"/>
  <c r="F798" i="26"/>
  <c r="F796" i="26"/>
  <c r="F795" i="26"/>
  <c r="F794" i="26"/>
  <c r="F778" i="26"/>
  <c r="G779" i="26" s="1"/>
  <c r="E762" i="26" s="1"/>
  <c r="F762" i="26" s="1"/>
  <c r="G763" i="26" s="1"/>
  <c r="F770" i="26"/>
  <c r="F768" i="26"/>
  <c r="F767" i="26"/>
  <c r="F766" i="26"/>
  <c r="F688" i="26"/>
  <c r="G689" i="26" s="1"/>
  <c r="F684" i="26"/>
  <c r="F683" i="26"/>
  <c r="F682" i="26"/>
  <c r="F681" i="26"/>
  <c r="F680" i="26"/>
  <c r="F679" i="26"/>
  <c r="F678" i="26"/>
  <c r="F677" i="26"/>
  <c r="F676" i="26"/>
  <c r="F675" i="26"/>
  <c r="F671" i="26"/>
  <c r="G672" i="26" s="1"/>
  <c r="F630" i="26"/>
  <c r="G631" i="26" s="1"/>
  <c r="F622" i="26"/>
  <c r="F621" i="26"/>
  <c r="F620" i="26"/>
  <c r="F619" i="26"/>
  <c r="F618" i="26"/>
  <c r="F617" i="26"/>
  <c r="F541" i="26"/>
  <c r="G542" i="26" s="1"/>
  <c r="E522" i="26" s="1"/>
  <c r="F522" i="26" s="1"/>
  <c r="G523" i="26" s="1"/>
  <c r="F533" i="26"/>
  <c r="F532" i="26"/>
  <c r="F531" i="26"/>
  <c r="F530" i="26"/>
  <c r="F529" i="26"/>
  <c r="F528" i="26"/>
  <c r="F527" i="26"/>
  <c r="F526" i="26"/>
  <c r="F481" i="26"/>
  <c r="G482" i="26" s="1"/>
  <c r="E469" i="26" s="1"/>
  <c r="F469" i="26" s="1"/>
  <c r="G470" i="26" s="1"/>
  <c r="F473" i="26"/>
  <c r="G474" i="26" s="1"/>
  <c r="E477" i="26" s="1"/>
  <c r="F477" i="26" s="1"/>
  <c r="G478" i="26" s="1"/>
  <c r="F457" i="26"/>
  <c r="G458" i="26" s="1"/>
  <c r="F449" i="26"/>
  <c r="G450" i="26" s="1"/>
  <c r="E453" i="26" s="1"/>
  <c r="F453" i="26" s="1"/>
  <c r="G454" i="26" s="1"/>
  <c r="F433" i="26"/>
  <c r="G434" i="26" s="1"/>
  <c r="E421" i="26" s="1"/>
  <c r="F421" i="26" s="1"/>
  <c r="G422" i="26" s="1"/>
  <c r="F425" i="26"/>
  <c r="G426" i="26" s="1"/>
  <c r="E429" i="26" s="1"/>
  <c r="F429" i="26" s="1"/>
  <c r="G430" i="26" s="1"/>
  <c r="F409" i="26"/>
  <c r="G410" i="26" s="1"/>
  <c r="E396" i="26" s="1"/>
  <c r="F396" i="26" s="1"/>
  <c r="G397" i="26" s="1"/>
  <c r="F401" i="26"/>
  <c r="F400" i="26"/>
  <c r="F384" i="26"/>
  <c r="G385" i="26" s="1"/>
  <c r="E369" i="26" s="1"/>
  <c r="F369" i="26" s="1"/>
  <c r="G370" i="26" s="1"/>
  <c r="F376" i="26"/>
  <c r="F375" i="26"/>
  <c r="F374" i="26"/>
  <c r="F373" i="26"/>
  <c r="F357" i="26"/>
  <c r="G358" i="26" s="1"/>
  <c r="E336" i="26" s="1"/>
  <c r="F336" i="26" s="1"/>
  <c r="G337" i="26" s="1"/>
  <c r="F349" i="26"/>
  <c r="F348" i="26"/>
  <c r="F347" i="26"/>
  <c r="F346" i="26"/>
  <c r="F345" i="26"/>
  <c r="F344" i="26"/>
  <c r="F343" i="26"/>
  <c r="F342" i="26"/>
  <c r="F341" i="26"/>
  <c r="F340" i="26"/>
  <c r="F324" i="26"/>
  <c r="G325" i="26" s="1"/>
  <c r="E303" i="26" s="1"/>
  <c r="F303" i="26" s="1"/>
  <c r="G304" i="26" s="1"/>
  <c r="F316" i="26"/>
  <c r="F315" i="26"/>
  <c r="F314" i="26"/>
  <c r="F313" i="26"/>
  <c r="F312" i="26"/>
  <c r="F311" i="26"/>
  <c r="F310" i="26"/>
  <c r="F309" i="26"/>
  <c r="F308" i="26"/>
  <c r="F307" i="26"/>
  <c r="F291" i="26"/>
  <c r="G292" i="26" s="1"/>
  <c r="E270" i="26" s="1"/>
  <c r="F270" i="26" s="1"/>
  <c r="G271" i="26" s="1"/>
  <c r="F283" i="26"/>
  <c r="F282" i="26"/>
  <c r="F281" i="26"/>
  <c r="F280" i="26"/>
  <c r="F279" i="26"/>
  <c r="F278" i="26"/>
  <c r="F277" i="26"/>
  <c r="F276" i="26"/>
  <c r="F275" i="26"/>
  <c r="F274" i="26"/>
  <c r="F258" i="26"/>
  <c r="G259" i="26" s="1"/>
  <c r="F249" i="26"/>
  <c r="F233" i="26"/>
  <c r="G234" i="26" s="1"/>
  <c r="F224" i="26"/>
  <c r="F208" i="26"/>
  <c r="G209" i="26" s="1"/>
  <c r="F200" i="26"/>
  <c r="F199" i="26"/>
  <c r="F198" i="26"/>
  <c r="F197" i="26"/>
  <c r="F196" i="26"/>
  <c r="F195" i="26"/>
  <c r="F191" i="26"/>
  <c r="G192" i="26" s="1"/>
  <c r="F179" i="26"/>
  <c r="G180" i="26" s="1"/>
  <c r="E162" i="26" s="1"/>
  <c r="F162" i="26" s="1"/>
  <c r="G163" i="26" s="1"/>
  <c r="F171" i="26"/>
  <c r="F170" i="26"/>
  <c r="F169" i="26"/>
  <c r="F168" i="26"/>
  <c r="F167" i="26"/>
  <c r="F166" i="26"/>
  <c r="F150" i="26"/>
  <c r="G151" i="26" s="1"/>
  <c r="F142" i="26"/>
  <c r="F141" i="26"/>
  <c r="F140" i="26"/>
  <c r="F139" i="26"/>
  <c r="F138" i="26"/>
  <c r="F137" i="26"/>
  <c r="F133" i="26"/>
  <c r="G134" i="26" s="1"/>
  <c r="F121" i="26"/>
  <c r="G122" i="26" s="1"/>
  <c r="E109" i="26" s="1"/>
  <c r="F109" i="26" s="1"/>
  <c r="G110" i="26" s="1"/>
  <c r="F113" i="26"/>
  <c r="G114" i="26" s="1"/>
  <c r="E117" i="26" s="1"/>
  <c r="F117" i="26" s="1"/>
  <c r="G118" i="26" s="1"/>
  <c r="F97" i="26"/>
  <c r="G98" i="26" s="1"/>
  <c r="E85" i="26" s="1"/>
  <c r="F85" i="26" s="1"/>
  <c r="G86" i="26" s="1"/>
  <c r="F89" i="26"/>
  <c r="G90" i="26" s="1"/>
  <c r="E93" i="26" s="1"/>
  <c r="F93" i="26" s="1"/>
  <c r="G94" i="26" s="1"/>
  <c r="F73" i="26"/>
  <c r="G74" i="26" s="1"/>
  <c r="E61" i="26" s="1"/>
  <c r="F61" i="26" s="1"/>
  <c r="G62" i="26" s="1"/>
  <c r="F65" i="26"/>
  <c r="G66" i="26" s="1"/>
  <c r="E69" i="26" s="1"/>
  <c r="F69" i="26" s="1"/>
  <c r="G70" i="26" s="1"/>
  <c r="F49" i="26"/>
  <c r="G50" i="26" s="1"/>
  <c r="E36" i="26" s="1"/>
  <c r="F36" i="26" s="1"/>
  <c r="G37" i="26" s="1"/>
  <c r="F41" i="26"/>
  <c r="F40" i="26"/>
  <c r="F24" i="26"/>
  <c r="G25" i="26" s="1"/>
  <c r="F16" i="26"/>
  <c r="F15" i="26"/>
  <c r="D692" i="26"/>
  <c r="F692" i="26" s="1"/>
  <c r="G693" i="26" s="1"/>
  <c r="E1946" i="23"/>
  <c r="F1946" i="23" s="1"/>
  <c r="A1754" i="23"/>
  <c r="F1751" i="23"/>
  <c r="G1751" i="23" s="1"/>
  <c r="E1747" i="23"/>
  <c r="F1747" i="23" s="1"/>
  <c r="E1746" i="23"/>
  <c r="F1746" i="23" s="1"/>
  <c r="E1745" i="23"/>
  <c r="F1745" i="23" s="1"/>
  <c r="E1744" i="23"/>
  <c r="F1744" i="23" s="1"/>
  <c r="F1740" i="23"/>
  <c r="E1554" i="23"/>
  <c r="F1554" i="23" s="1"/>
  <c r="E1189" i="23"/>
  <c r="E80" i="23"/>
  <c r="F80" i="23" s="1"/>
  <c r="E617" i="22"/>
  <c r="F617" i="22" s="1"/>
  <c r="I25" i="24"/>
  <c r="A239" i="5"/>
  <c r="E232" i="5"/>
  <c r="F232" i="5" s="1"/>
  <c r="E230" i="5"/>
  <c r="F230" i="5" s="1"/>
  <c r="A1237" i="5"/>
  <c r="E1228" i="5"/>
  <c r="F1228" i="5" s="1"/>
  <c r="A1211" i="5"/>
  <c r="E1202" i="5"/>
  <c r="F1202" i="5" s="1"/>
  <c r="E642" i="5"/>
  <c r="F642" i="5" s="1"/>
  <c r="A543" i="5"/>
  <c r="E534" i="5"/>
  <c r="F534" i="5" s="1"/>
  <c r="E531" i="5"/>
  <c r="F531" i="5" s="1"/>
  <c r="A1476" i="5"/>
  <c r="E1467" i="5"/>
  <c r="F1467" i="5" s="1"/>
  <c r="E1464" i="5"/>
  <c r="F1464" i="5" s="1"/>
  <c r="A1103" i="5"/>
  <c r="E1094" i="5"/>
  <c r="F1094" i="5" s="1"/>
  <c r="E1091" i="5"/>
  <c r="F1091" i="5" s="1"/>
  <c r="E826" i="5"/>
  <c r="F826" i="5" s="1"/>
  <c r="E823" i="5"/>
  <c r="F823" i="5" s="1"/>
  <c r="A808" i="5"/>
  <c r="A516" i="5"/>
  <c r="A1076" i="5"/>
  <c r="E1069" i="5"/>
  <c r="F1069" i="5" s="1"/>
  <c r="E1068" i="5"/>
  <c r="D1068" i="5"/>
  <c r="A782" i="5"/>
  <c r="E775" i="5"/>
  <c r="F775" i="5" s="1"/>
  <c r="E774" i="5"/>
  <c r="D774" i="5"/>
  <c r="A490" i="5"/>
  <c r="E483" i="5"/>
  <c r="F483" i="5" s="1"/>
  <c r="E482" i="5"/>
  <c r="D482" i="5"/>
  <c r="E1387" i="5"/>
  <c r="F1387" i="5" s="1"/>
  <c r="E1386" i="5"/>
  <c r="A437" i="5"/>
  <c r="E430" i="5"/>
  <c r="F430" i="5" s="1"/>
  <c r="E429" i="5"/>
  <c r="F429" i="5" s="1"/>
  <c r="E423" i="5"/>
  <c r="F423" i="5" s="1"/>
  <c r="E1334" i="5"/>
  <c r="F1334" i="5" s="1"/>
  <c r="E1333" i="5"/>
  <c r="F1333" i="5" s="1"/>
  <c r="E1327" i="5"/>
  <c r="F1327" i="5" s="1"/>
  <c r="D1159" i="5"/>
  <c r="A1159" i="5"/>
  <c r="E1152" i="5"/>
  <c r="F1152" i="5" s="1"/>
  <c r="E1149" i="5"/>
  <c r="F1149" i="5" s="1"/>
  <c r="E1148" i="5"/>
  <c r="F1148" i="5" s="1"/>
  <c r="E1147" i="5"/>
  <c r="F1147" i="5" s="1"/>
  <c r="E1146" i="5"/>
  <c r="F1146" i="5" s="1"/>
  <c r="D995" i="5"/>
  <c r="A995" i="5"/>
  <c r="E988" i="5"/>
  <c r="F988" i="5" s="1"/>
  <c r="E985" i="5"/>
  <c r="F985" i="5" s="1"/>
  <c r="E984" i="5"/>
  <c r="F984" i="5" s="1"/>
  <c r="E983" i="5"/>
  <c r="F983" i="5" s="1"/>
  <c r="E982" i="5"/>
  <c r="F982" i="5" s="1"/>
  <c r="D572" i="5"/>
  <c r="A572" i="5"/>
  <c r="E565" i="5"/>
  <c r="F565" i="5" s="1"/>
  <c r="E562" i="5"/>
  <c r="F562" i="5" s="1"/>
  <c r="E561" i="5"/>
  <c r="F561" i="5" s="1"/>
  <c r="E560" i="5"/>
  <c r="F560" i="5" s="1"/>
  <c r="E559" i="5"/>
  <c r="F559" i="5" s="1"/>
  <c r="A133" i="5"/>
  <c r="E126" i="5"/>
  <c r="F126" i="5" s="1"/>
  <c r="E123" i="5"/>
  <c r="F123" i="5" s="1"/>
  <c r="E122" i="5"/>
  <c r="F122" i="5" s="1"/>
  <c r="E121" i="5"/>
  <c r="F121" i="5" s="1"/>
  <c r="E120" i="5"/>
  <c r="F120" i="5" s="1"/>
  <c r="A1185" i="5"/>
  <c r="E1178" i="5"/>
  <c r="D1178" i="5"/>
  <c r="E1176" i="5"/>
  <c r="F1176" i="5" s="1"/>
  <c r="E618" i="5"/>
  <c r="E616" i="5"/>
  <c r="F616" i="5" s="1"/>
  <c r="C1130" i="5"/>
  <c r="A1130" i="5"/>
  <c r="E1123" i="5"/>
  <c r="F1123" i="5" s="1"/>
  <c r="E1121" i="5"/>
  <c r="F1121" i="5" s="1"/>
  <c r="E1120" i="5"/>
  <c r="F1120" i="5" s="1"/>
  <c r="E1119" i="5"/>
  <c r="F1119" i="5" s="1"/>
  <c r="C966" i="5"/>
  <c r="A966" i="5"/>
  <c r="E959" i="5"/>
  <c r="F959" i="5" s="1"/>
  <c r="E957" i="5"/>
  <c r="F957" i="5" s="1"/>
  <c r="E956" i="5"/>
  <c r="F956" i="5" s="1"/>
  <c r="E955" i="5"/>
  <c r="F955" i="5" s="1"/>
  <c r="C599" i="5"/>
  <c r="A599" i="5"/>
  <c r="E592" i="5"/>
  <c r="F592" i="5" s="1"/>
  <c r="E590" i="5"/>
  <c r="F590" i="5" s="1"/>
  <c r="E589" i="5"/>
  <c r="F589" i="5" s="1"/>
  <c r="E588" i="5"/>
  <c r="F588" i="5" s="1"/>
  <c r="E97" i="5"/>
  <c r="F97" i="5" s="1"/>
  <c r="E95" i="5"/>
  <c r="F95" i="5" s="1"/>
  <c r="E94" i="5"/>
  <c r="F94" i="5" s="1"/>
  <c r="E93" i="5"/>
  <c r="F93" i="5" s="1"/>
  <c r="A1315" i="5"/>
  <c r="E1308" i="5"/>
  <c r="F1308" i="5" s="1"/>
  <c r="E1306" i="5"/>
  <c r="F1306" i="5" s="1"/>
  <c r="A939" i="5"/>
  <c r="E932" i="5"/>
  <c r="F932" i="5" s="1"/>
  <c r="E930" i="5"/>
  <c r="F930" i="5" s="1"/>
  <c r="E258" i="5"/>
  <c r="F258" i="5" s="1"/>
  <c r="E256" i="5"/>
  <c r="F256" i="5" s="1"/>
  <c r="A51" i="5"/>
  <c r="E44" i="5"/>
  <c r="F44" i="5" s="1"/>
  <c r="E42" i="5"/>
  <c r="F42" i="5" s="1"/>
  <c r="A887" i="5"/>
  <c r="E880" i="5"/>
  <c r="F880" i="5" s="1"/>
  <c r="E878" i="5"/>
  <c r="F878" i="5" s="1"/>
  <c r="A703" i="5"/>
  <c r="E696" i="5"/>
  <c r="F696" i="5" s="1"/>
  <c r="E694" i="5"/>
  <c r="F694" i="5" s="1"/>
  <c r="E206" i="5"/>
  <c r="F206" i="5" s="1"/>
  <c r="E204" i="5"/>
  <c r="F204" i="5" s="1"/>
  <c r="A1557" i="5"/>
  <c r="E1550" i="5"/>
  <c r="F1550" i="5" s="1"/>
  <c r="E1548" i="5"/>
  <c r="F1548" i="5" s="1"/>
  <c r="A1502" i="5"/>
  <c r="E1495" i="5"/>
  <c r="F1495" i="5" s="1"/>
  <c r="E1493" i="5"/>
  <c r="F1493" i="5" s="1"/>
  <c r="A1263" i="5"/>
  <c r="E1256" i="5"/>
  <c r="F1256" i="5" s="1"/>
  <c r="E1254" i="5"/>
  <c r="F1254" i="5" s="1"/>
  <c r="A913" i="5"/>
  <c r="E906" i="5"/>
  <c r="F906" i="5" s="1"/>
  <c r="E904" i="5"/>
  <c r="F904" i="5" s="1"/>
  <c r="E722" i="5"/>
  <c r="F722" i="5" s="1"/>
  <c r="E720" i="5"/>
  <c r="F720" i="5" s="1"/>
  <c r="A465" i="5"/>
  <c r="E457" i="5"/>
  <c r="F457" i="5" s="1"/>
  <c r="E455" i="5"/>
  <c r="F455" i="5" s="1"/>
  <c r="E452" i="5"/>
  <c r="D452" i="5"/>
  <c r="A1369" i="5"/>
  <c r="E1361" i="5"/>
  <c r="F1361" i="5" s="1"/>
  <c r="E1359" i="5"/>
  <c r="F1359" i="5" s="1"/>
  <c r="E1356" i="5"/>
  <c r="D1356" i="5"/>
  <c r="A1051" i="5"/>
  <c r="E1043" i="5"/>
  <c r="F1043" i="5" s="1"/>
  <c r="E1041" i="5"/>
  <c r="F1041" i="5" s="1"/>
  <c r="E1038" i="5"/>
  <c r="D1038" i="5"/>
  <c r="E749" i="5"/>
  <c r="F749" i="5" s="1"/>
  <c r="E747" i="5"/>
  <c r="F747" i="5" s="1"/>
  <c r="E744" i="5"/>
  <c r="E11" i="5"/>
  <c r="F11" i="5" s="1"/>
  <c r="A25" i="5"/>
  <c r="E69" i="5"/>
  <c r="F69" i="5" s="1"/>
  <c r="A77" i="5"/>
  <c r="C77" i="5"/>
  <c r="A104" i="5"/>
  <c r="C104" i="5"/>
  <c r="D133" i="5"/>
  <c r="E151" i="5"/>
  <c r="F151" i="5" s="1"/>
  <c r="A160" i="5"/>
  <c r="E177" i="5"/>
  <c r="F177" i="5" s="1"/>
  <c r="A187" i="5"/>
  <c r="A213" i="5"/>
  <c r="A265" i="5"/>
  <c r="A286" i="5"/>
  <c r="A306" i="5"/>
  <c r="A327" i="5"/>
  <c r="A348" i="5"/>
  <c r="A369" i="5"/>
  <c r="A390" i="5"/>
  <c r="E404" i="5"/>
  <c r="F404" i="5" s="1"/>
  <c r="G405" i="5" s="1"/>
  <c r="A411" i="5"/>
  <c r="D618" i="5"/>
  <c r="A625" i="5"/>
  <c r="A651" i="5"/>
  <c r="E668" i="5"/>
  <c r="F668" i="5" s="1"/>
  <c r="A677" i="5"/>
  <c r="A729" i="5"/>
  <c r="D744" i="5"/>
  <c r="A757" i="5"/>
  <c r="A835" i="5"/>
  <c r="E853" i="5"/>
  <c r="F853" i="5" s="1"/>
  <c r="A861" i="5"/>
  <c r="E1007" i="5"/>
  <c r="F1007" i="5" s="1"/>
  <c r="E1008" i="5"/>
  <c r="F1008" i="5" s="1"/>
  <c r="E1009" i="5"/>
  <c r="F1009" i="5" s="1"/>
  <c r="E1011" i="5"/>
  <c r="F1011" i="5" s="1"/>
  <c r="E1014" i="5"/>
  <c r="F1014" i="5" s="1"/>
  <c r="A1023" i="5"/>
  <c r="E1280" i="5"/>
  <c r="F1280" i="5" s="1"/>
  <c r="E1281" i="5"/>
  <c r="F1281" i="5" s="1"/>
  <c r="A1289" i="5"/>
  <c r="A1341" i="5"/>
  <c r="D1386" i="5"/>
  <c r="A1394" i="5"/>
  <c r="E1406" i="5"/>
  <c r="F1406" i="5" s="1"/>
  <c r="E1408" i="5"/>
  <c r="F1408" i="5" s="1"/>
  <c r="E1413" i="5"/>
  <c r="F1413" i="5" s="1"/>
  <c r="E1414" i="5"/>
  <c r="F1414" i="5" s="1"/>
  <c r="F1416" i="5"/>
  <c r="F1420" i="5"/>
  <c r="A1423" i="5"/>
  <c r="E1435" i="5"/>
  <c r="F1435" i="5" s="1"/>
  <c r="D1438" i="5"/>
  <c r="D1446" i="5" s="1"/>
  <c r="E1438" i="5"/>
  <c r="F1438" i="5" s="1"/>
  <c r="E1441" i="5"/>
  <c r="F1441" i="5" s="1"/>
  <c r="F1445" i="5"/>
  <c r="A1449" i="5"/>
  <c r="E1522" i="5"/>
  <c r="F1522" i="5" s="1"/>
  <c r="F1523" i="5"/>
  <c r="A1531" i="5"/>
  <c r="A174" i="17"/>
  <c r="D152" i="17"/>
  <c r="F152" i="17" s="1"/>
  <c r="D161" i="17"/>
  <c r="F161" i="17" s="1"/>
  <c r="F155" i="17"/>
  <c r="F154" i="17"/>
  <c r="B169" i="17"/>
  <c r="D169" i="17" s="1"/>
  <c r="F169" i="17" s="1"/>
  <c r="E61" i="3"/>
  <c r="D61" i="3"/>
  <c r="F467" i="19"/>
  <c r="F153" i="17"/>
  <c r="B168" i="17"/>
  <c r="D168" i="17" s="1"/>
  <c r="F168" i="17" s="1"/>
  <c r="I34" i="24"/>
  <c r="I30" i="24"/>
  <c r="I32" i="24"/>
  <c r="I31" i="24"/>
  <c r="I29" i="24"/>
  <c r="I28" i="24"/>
  <c r="I27" i="24"/>
  <c r="I26" i="24"/>
  <c r="I24" i="24"/>
  <c r="I33" i="24"/>
  <c r="E330" i="4"/>
  <c r="D124" i="17" s="1"/>
  <c r="F124" i="17" s="1"/>
  <c r="E328" i="4"/>
  <c r="D125" i="17" s="1"/>
  <c r="F125" i="17" s="1"/>
  <c r="E326" i="4"/>
  <c r="E324" i="4"/>
  <c r="E240" i="3" s="1"/>
  <c r="F240" i="3" s="1"/>
  <c r="E321" i="4"/>
  <c r="E16" i="5" s="1"/>
  <c r="F16" i="5" s="1"/>
  <c r="E311" i="4"/>
  <c r="E180" i="13" s="1"/>
  <c r="F180" i="13" s="1"/>
  <c r="E1102" i="10"/>
  <c r="F1102" i="10" s="1"/>
  <c r="G1103" i="10" s="1"/>
  <c r="E1106" i="10" s="1"/>
  <c r="F1106" i="10" s="1"/>
  <c r="G1107" i="10" s="1"/>
  <c r="E1080" i="10"/>
  <c r="F1080" i="10" s="1"/>
  <c r="G1081" i="10" s="1"/>
  <c r="E1084" i="10" s="1"/>
  <c r="F1084" i="10" s="1"/>
  <c r="G1085" i="10" s="1"/>
  <c r="E303" i="4"/>
  <c r="E304" i="4" s="1"/>
  <c r="E1058" i="10" s="1"/>
  <c r="F1058" i="10" s="1"/>
  <c r="G1059" i="10" s="1"/>
  <c r="E1062" i="10" s="1"/>
  <c r="F1062" i="10" s="1"/>
  <c r="G1063" i="10" s="1"/>
  <c r="E301" i="4"/>
  <c r="E302" i="4" s="1"/>
  <c r="E1036" i="10" s="1"/>
  <c r="F1036" i="10" s="1"/>
  <c r="G1037" i="10" s="1"/>
  <c r="E1040" i="10" s="1"/>
  <c r="F1040" i="10" s="1"/>
  <c r="G1041" i="10" s="1"/>
  <c r="E300" i="4"/>
  <c r="E1014" i="10" s="1"/>
  <c r="F1014" i="10" s="1"/>
  <c r="G1015" i="10" s="1"/>
  <c r="E1018" i="10" s="1"/>
  <c r="F1018" i="10" s="1"/>
  <c r="G1019" i="10" s="1"/>
  <c r="E298" i="4"/>
  <c r="E992" i="10" s="1"/>
  <c r="F992" i="10" s="1"/>
  <c r="G993" i="10" s="1"/>
  <c r="E996" i="10" s="1"/>
  <c r="F996" i="10" s="1"/>
  <c r="G997" i="10" s="1"/>
  <c r="E295" i="4"/>
  <c r="E296" i="4" s="1"/>
  <c r="E970" i="10" s="1"/>
  <c r="F970" i="10" s="1"/>
  <c r="G971" i="10" s="1"/>
  <c r="E974" i="10" s="1"/>
  <c r="F974" i="10" s="1"/>
  <c r="G975" i="10" s="1"/>
  <c r="E293" i="4"/>
  <c r="E294" i="4" s="1"/>
  <c r="E948" i="10" s="1"/>
  <c r="F948" i="10" s="1"/>
  <c r="G949" i="10" s="1"/>
  <c r="E952" i="10" s="1"/>
  <c r="F952" i="10" s="1"/>
  <c r="G953" i="10" s="1"/>
  <c r="E291" i="4"/>
  <c r="E292" i="4" s="1"/>
  <c r="E926" i="10" s="1"/>
  <c r="F926" i="10" s="1"/>
  <c r="G927" i="10" s="1"/>
  <c r="E930" i="10" s="1"/>
  <c r="F930" i="10" s="1"/>
  <c r="G931" i="10" s="1"/>
  <c r="E289" i="4"/>
  <c r="E290" i="4" s="1"/>
  <c r="E904" i="10" s="1"/>
  <c r="F904" i="10" s="1"/>
  <c r="G905" i="10" s="1"/>
  <c r="E908" i="10" s="1"/>
  <c r="F908" i="10" s="1"/>
  <c r="G909" i="10" s="1"/>
  <c r="E288" i="4"/>
  <c r="E286" i="4"/>
  <c r="E860" i="10" s="1"/>
  <c r="F860" i="10" s="1"/>
  <c r="G861" i="10" s="1"/>
  <c r="E864" i="10" s="1"/>
  <c r="F864" i="10" s="1"/>
  <c r="G865" i="10" s="1"/>
  <c r="E283" i="4"/>
  <c r="E284" i="4" s="1"/>
  <c r="E838" i="10" s="1"/>
  <c r="F838" i="10" s="1"/>
  <c r="G839" i="10" s="1"/>
  <c r="E842" i="10" s="1"/>
  <c r="F842" i="10" s="1"/>
  <c r="G843" i="10" s="1"/>
  <c r="E282" i="4"/>
  <c r="E816" i="10" s="1"/>
  <c r="F816" i="10" s="1"/>
  <c r="G817" i="10" s="1"/>
  <c r="E820" i="10" s="1"/>
  <c r="F820" i="10" s="1"/>
  <c r="G821" i="10" s="1"/>
  <c r="E279" i="4"/>
  <c r="E280" i="4" s="1"/>
  <c r="E794" i="10" s="1"/>
  <c r="F794" i="10" s="1"/>
  <c r="G795" i="10" s="1"/>
  <c r="E798" i="10" s="1"/>
  <c r="F798" i="10" s="1"/>
  <c r="G799" i="10" s="1"/>
  <c r="E278" i="4"/>
  <c r="E772" i="10" s="1"/>
  <c r="F772" i="10" s="1"/>
  <c r="G773" i="10" s="1"/>
  <c r="E776" i="10" s="1"/>
  <c r="F776" i="10" s="1"/>
  <c r="G777" i="10" s="1"/>
  <c r="E275" i="4"/>
  <c r="E276" i="4" s="1"/>
  <c r="E750" i="10" s="1"/>
  <c r="F750" i="10" s="1"/>
  <c r="G751" i="10" s="1"/>
  <c r="E754" i="10" s="1"/>
  <c r="F754" i="10" s="1"/>
  <c r="G755" i="10" s="1"/>
  <c r="E273" i="4"/>
  <c r="E274" i="4" s="1"/>
  <c r="E728" i="10" s="1"/>
  <c r="F728" i="10" s="1"/>
  <c r="G729" i="10" s="1"/>
  <c r="E732" i="10" s="1"/>
  <c r="F732" i="10" s="1"/>
  <c r="G733" i="10" s="1"/>
  <c r="E272" i="4"/>
  <c r="E706" i="10" s="1"/>
  <c r="F706" i="10" s="1"/>
  <c r="G707" i="10" s="1"/>
  <c r="E710" i="10" s="1"/>
  <c r="F710" i="10" s="1"/>
  <c r="G711" i="10" s="1"/>
  <c r="E270" i="4"/>
  <c r="E684" i="10" s="1"/>
  <c r="F684" i="10" s="1"/>
  <c r="G685" i="10" s="1"/>
  <c r="E688" i="10" s="1"/>
  <c r="F688" i="10" s="1"/>
  <c r="G689" i="10" s="1"/>
  <c r="E267" i="4"/>
  <c r="E268" i="4" s="1"/>
  <c r="E662" i="10" s="1"/>
  <c r="F662" i="10" s="1"/>
  <c r="G663" i="10" s="1"/>
  <c r="E666" i="10" s="1"/>
  <c r="F666" i="10" s="1"/>
  <c r="G667" i="10" s="1"/>
  <c r="E266" i="4"/>
  <c r="E264" i="4"/>
  <c r="E618" i="10" s="1"/>
  <c r="F618" i="10" s="1"/>
  <c r="G619" i="10" s="1"/>
  <c r="E622" i="10" s="1"/>
  <c r="F622" i="10" s="1"/>
  <c r="G623" i="10" s="1"/>
  <c r="E262" i="4"/>
  <c r="E596" i="10" s="1"/>
  <c r="F596" i="10" s="1"/>
  <c r="G597" i="10" s="1"/>
  <c r="E600" i="10" s="1"/>
  <c r="F600" i="10" s="1"/>
  <c r="G601" i="10" s="1"/>
  <c r="E259" i="4"/>
  <c r="E260" i="4" s="1"/>
  <c r="E574" i="10" s="1"/>
  <c r="F574" i="10" s="1"/>
  <c r="G575" i="10" s="1"/>
  <c r="E578" i="10" s="1"/>
  <c r="F578" i="10" s="1"/>
  <c r="G579" i="10" s="1"/>
  <c r="E257" i="4"/>
  <c r="E258" i="4" s="1"/>
  <c r="E552" i="10" s="1"/>
  <c r="F552" i="10" s="1"/>
  <c r="G553" i="10" s="1"/>
  <c r="E556" i="10" s="1"/>
  <c r="F556" i="10" s="1"/>
  <c r="G557" i="10" s="1"/>
  <c r="E256" i="4"/>
  <c r="E530" i="10" s="1"/>
  <c r="F530" i="10" s="1"/>
  <c r="E253" i="4"/>
  <c r="E254" i="4" s="1"/>
  <c r="E252" i="4"/>
  <c r="E250" i="4"/>
  <c r="E248" i="4"/>
  <c r="E247" i="4"/>
  <c r="E246" i="4" s="1"/>
  <c r="E244" i="4"/>
  <c r="E245" i="4" s="1"/>
  <c r="F388" i="10" s="1"/>
  <c r="G389" i="10" s="1"/>
  <c r="E392" i="10" s="1"/>
  <c r="F392" i="10" s="1"/>
  <c r="G393" i="10" s="1"/>
  <c r="E243" i="4"/>
  <c r="E240" i="4"/>
  <c r="E239" i="4"/>
  <c r="E238" i="4" s="1"/>
  <c r="E237" i="4"/>
  <c r="F300" i="10" s="1"/>
  <c r="G301" i="10" s="1"/>
  <c r="E304" i="10" s="1"/>
  <c r="F304" i="10" s="1"/>
  <c r="G305" i="10" s="1"/>
  <c r="E234" i="4"/>
  <c r="E233" i="4"/>
  <c r="E232" i="4"/>
  <c r="E231" i="4" s="1"/>
  <c r="E230" i="4"/>
  <c r="F190" i="10" s="1"/>
  <c r="G191" i="10" s="1"/>
  <c r="E194" i="10" s="1"/>
  <c r="F194" i="10" s="1"/>
  <c r="G195" i="10" s="1"/>
  <c r="E229" i="4"/>
  <c r="E228" i="4" s="1"/>
  <c r="E222" i="4"/>
  <c r="E221" i="4"/>
  <c r="E220" i="4" s="1"/>
  <c r="E217" i="4"/>
  <c r="E213" i="4"/>
  <c r="E211" i="4"/>
  <c r="E209" i="4"/>
  <c r="E208" i="4"/>
  <c r="E383" i="5" s="1"/>
  <c r="F383" i="5" s="1"/>
  <c r="G384" i="5" s="1"/>
  <c r="E362" i="5"/>
  <c r="F362" i="5" s="1"/>
  <c r="G363" i="5" s="1"/>
  <c r="E341" i="5"/>
  <c r="F341" i="5" s="1"/>
  <c r="G342" i="5" s="1"/>
  <c r="E320" i="5"/>
  <c r="F320" i="5" s="1"/>
  <c r="G321" i="5" s="1"/>
  <c r="E300" i="5"/>
  <c r="F300" i="5" s="1"/>
  <c r="G300" i="5" s="1"/>
  <c r="E279" i="5"/>
  <c r="F279" i="5" s="1"/>
  <c r="G280" i="5" s="1"/>
  <c r="E201" i="4"/>
  <c r="E1168" i="10" s="1"/>
  <c r="F1168" i="10" s="1"/>
  <c r="G1169" i="10" s="1"/>
  <c r="E1172" i="10" s="1"/>
  <c r="F1172" i="10" s="1"/>
  <c r="G1173" i="10" s="1"/>
  <c r="E193" i="4"/>
  <c r="E195" i="4"/>
  <c r="E508" i="9" s="1"/>
  <c r="F508" i="9" s="1"/>
  <c r="E182" i="4"/>
  <c r="E108" i="11" s="1"/>
  <c r="F108" i="11" s="1"/>
  <c r="E180" i="4"/>
  <c r="E124" i="13" s="1"/>
  <c r="F124" i="13" s="1"/>
  <c r="E178" i="4"/>
  <c r="E125" i="13" s="1"/>
  <c r="F125" i="13" s="1"/>
  <c r="E175" i="4"/>
  <c r="E148" i="13" s="1"/>
  <c r="F148" i="13" s="1"/>
  <c r="E173" i="4"/>
  <c r="E171" i="4"/>
  <c r="E75" i="13" s="1"/>
  <c r="F75" i="13" s="1"/>
  <c r="E169" i="4"/>
  <c r="E47" i="13" s="1"/>
  <c r="F47" i="13" s="1"/>
  <c r="E167" i="4"/>
  <c r="E48" i="13" s="1"/>
  <c r="F48" i="13" s="1"/>
  <c r="E165" i="4"/>
  <c r="E164" i="4"/>
  <c r="E47" i="11" s="1"/>
  <c r="F47" i="11" s="1"/>
  <c r="E161" i="4"/>
  <c r="E18" i="11" s="1"/>
  <c r="F18" i="11" s="1"/>
  <c r="E159" i="4"/>
  <c r="E17" i="11" s="1"/>
  <c r="F17" i="11" s="1"/>
  <c r="E157" i="4"/>
  <c r="E155" i="4"/>
  <c r="E107" i="11" s="1"/>
  <c r="F107" i="11" s="1"/>
  <c r="E153" i="4"/>
  <c r="E151" i="4"/>
  <c r="E455" i="10" s="1"/>
  <c r="F455" i="10" s="1"/>
  <c r="E127" i="4"/>
  <c r="E54" i="20" s="1"/>
  <c r="F54" i="20" s="1"/>
  <c r="E123" i="4"/>
  <c r="E131" i="11" s="1"/>
  <c r="F131" i="11" s="1"/>
  <c r="E110" i="4"/>
  <c r="E256" i="20" s="1"/>
  <c r="F256" i="20" s="1"/>
  <c r="E90" i="4"/>
  <c r="E78" i="4"/>
  <c r="E73" i="4"/>
  <c r="E24" i="3" s="1"/>
  <c r="F24" i="3" s="1"/>
  <c r="E68" i="4"/>
  <c r="E177" i="3" s="1"/>
  <c r="F177" i="3" s="1"/>
  <c r="E62" i="4"/>
  <c r="E75" i="1" s="1"/>
  <c r="F75" i="1" s="1"/>
  <c r="E59" i="4"/>
  <c r="E210" i="3" s="1"/>
  <c r="F210" i="3" s="1"/>
  <c r="E58" i="4"/>
  <c r="E1412" i="5" s="1"/>
  <c r="F1412" i="5" s="1"/>
  <c r="E54" i="4"/>
  <c r="E67" i="7" s="1"/>
  <c r="F67" i="7" s="1"/>
  <c r="E52" i="4"/>
  <c r="E38" i="4"/>
  <c r="E96" i="5" s="1"/>
  <c r="F96" i="5" s="1"/>
  <c r="E36" i="4"/>
  <c r="E587" i="5" s="1"/>
  <c r="F587" i="5" s="1"/>
  <c r="E26" i="4"/>
  <c r="E1521" i="5" s="1"/>
  <c r="F1521" i="5" s="1"/>
  <c r="E24" i="4"/>
  <c r="E1520" i="5" s="1"/>
  <c r="F1520" i="5" s="1"/>
  <c r="E23" i="4"/>
  <c r="E22" i="13" s="1"/>
  <c r="F22" i="13" s="1"/>
  <c r="E21" i="4"/>
  <c r="E21" i="20" s="1"/>
  <c r="F21" i="20" s="1"/>
  <c r="E19" i="4"/>
  <c r="E85" i="3" s="1"/>
  <c r="F85" i="3" s="1"/>
  <c r="E17" i="4"/>
  <c r="E180" i="3" s="1"/>
  <c r="F180" i="3" s="1"/>
  <c r="E14" i="4"/>
  <c r="E1020" i="5"/>
  <c r="F1020" i="5" s="1"/>
  <c r="H19" i="25"/>
  <c r="H18" i="25"/>
  <c r="H21" i="25" s="1"/>
  <c r="H11" i="25"/>
  <c r="H10" i="25"/>
  <c r="H8" i="25"/>
  <c r="H7" i="25"/>
  <c r="I42" i="24"/>
  <c r="I40" i="24"/>
  <c r="I39" i="24"/>
  <c r="I37" i="24"/>
  <c r="I35" i="24"/>
  <c r="I22" i="24"/>
  <c r="I15" i="24"/>
  <c r="I17" i="24"/>
  <c r="I16" i="24"/>
  <c r="I20" i="24"/>
  <c r="I13" i="24"/>
  <c r="I12" i="24"/>
  <c r="I11" i="24"/>
  <c r="D123" i="17"/>
  <c r="F123" i="17" s="1"/>
  <c r="D95" i="17"/>
  <c r="F95" i="17" s="1"/>
  <c r="D67" i="17"/>
  <c r="F67" i="17" s="1"/>
  <c r="D37" i="17"/>
  <c r="D7" i="17"/>
  <c r="F7" i="17" s="1"/>
  <c r="E92" i="5"/>
  <c r="F92" i="5" s="1"/>
  <c r="E1150" i="5"/>
  <c r="F1150" i="5" s="1"/>
  <c r="E180" i="5"/>
  <c r="F180" i="5" s="1"/>
  <c r="E1044" i="5"/>
  <c r="F1044" i="5" s="1"/>
  <c r="E750" i="5"/>
  <c r="F750" i="5" s="1"/>
  <c r="E854" i="5"/>
  <c r="F854" i="5" s="1"/>
  <c r="E458" i="5"/>
  <c r="F458" i="5" s="1"/>
  <c r="E70" i="5"/>
  <c r="F70" i="5" s="1"/>
  <c r="E1362" i="5"/>
  <c r="F1362" i="5"/>
  <c r="E670" i="5"/>
  <c r="F670" i="5" s="1"/>
  <c r="D13" i="15"/>
  <c r="F13" i="15" s="1"/>
  <c r="H13" i="15" s="1"/>
  <c r="J13" i="15" s="1"/>
  <c r="J19" i="15"/>
  <c r="H19" i="15"/>
  <c r="F19" i="15"/>
  <c r="D19" i="15"/>
  <c r="J11" i="15"/>
  <c r="J18" i="15" s="1"/>
  <c r="J31" i="15" s="1"/>
  <c r="K31" i="15" s="1"/>
  <c r="D11" i="15"/>
  <c r="D27" i="15" s="1"/>
  <c r="A912" i="23"/>
  <c r="F904" i="23"/>
  <c r="E903" i="23"/>
  <c r="F903" i="23" s="1"/>
  <c r="E902" i="23"/>
  <c r="F902" i="23" s="1"/>
  <c r="F898" i="23"/>
  <c r="F897" i="23"/>
  <c r="F896" i="23"/>
  <c r="A940" i="23"/>
  <c r="F932" i="23"/>
  <c r="E931" i="23"/>
  <c r="F931" i="23" s="1"/>
  <c r="E930" i="23"/>
  <c r="F930" i="23" s="1"/>
  <c r="F926" i="23"/>
  <c r="F925" i="23"/>
  <c r="F924" i="23"/>
  <c r="E959" i="23"/>
  <c r="F959" i="23" s="1"/>
  <c r="E958" i="23"/>
  <c r="F958" i="23" s="1"/>
  <c r="A968" i="23"/>
  <c r="A2009" i="23"/>
  <c r="E1969" i="23"/>
  <c r="F1969" i="23" s="1"/>
  <c r="E1241" i="23"/>
  <c r="F1241" i="23" s="1"/>
  <c r="A1979" i="23"/>
  <c r="F1971" i="23"/>
  <c r="F1970" i="23"/>
  <c r="F1965" i="23"/>
  <c r="F1964" i="23"/>
  <c r="F1963" i="23"/>
  <c r="A1922" i="23"/>
  <c r="F1914" i="23"/>
  <c r="E1913" i="23"/>
  <c r="F1913" i="23" s="1"/>
  <c r="E1912" i="23"/>
  <c r="F1912" i="23" s="1"/>
  <c r="F1908" i="23"/>
  <c r="F1907" i="23"/>
  <c r="E1156" i="23"/>
  <c r="F1156" i="23" s="1"/>
  <c r="E1155" i="23"/>
  <c r="F1155" i="23" s="1"/>
  <c r="A1728" i="23"/>
  <c r="A1700" i="23"/>
  <c r="A1279" i="23"/>
  <c r="A1307" i="23"/>
  <c r="A1616" i="23"/>
  <c r="A1656" i="23"/>
  <c r="A1672" i="23"/>
  <c r="A2037" i="23"/>
  <c r="F2029" i="23"/>
  <c r="F2028" i="23"/>
  <c r="F2023" i="23"/>
  <c r="F2022" i="23"/>
  <c r="F2021" i="23"/>
  <c r="A1644" i="23"/>
  <c r="F1636" i="23"/>
  <c r="F1635" i="23"/>
  <c r="F1630" i="23"/>
  <c r="F1629" i="23"/>
  <c r="F1628" i="23"/>
  <c r="F1602" i="23"/>
  <c r="A1335" i="23"/>
  <c r="F1293" i="23"/>
  <c r="A1251" i="23"/>
  <c r="A1223" i="23"/>
  <c r="D1212" i="23"/>
  <c r="A1361" i="23"/>
  <c r="F1358" i="23"/>
  <c r="G1358" i="23" s="1"/>
  <c r="E1354" i="23"/>
  <c r="F1354" i="23" s="1"/>
  <c r="E1353" i="23"/>
  <c r="F1353" i="23" s="1"/>
  <c r="E1352" i="23"/>
  <c r="F1352" i="23" s="1"/>
  <c r="E1351" i="23"/>
  <c r="F1351" i="23" s="1"/>
  <c r="F1347" i="23"/>
  <c r="A26" i="1"/>
  <c r="E19" i="1"/>
  <c r="F19" i="1" s="1"/>
  <c r="E18" i="1"/>
  <c r="F18" i="1" s="1"/>
  <c r="E17" i="1"/>
  <c r="F17" i="1" s="1"/>
  <c r="E16" i="1"/>
  <c r="F16" i="1" s="1"/>
  <c r="A56" i="23"/>
  <c r="E52" i="23"/>
  <c r="F52" i="23" s="1"/>
  <c r="F47" i="23"/>
  <c r="F46" i="23"/>
  <c r="E45" i="23"/>
  <c r="F45" i="23" s="1"/>
  <c r="F41" i="23"/>
  <c r="E40" i="23"/>
  <c r="F40" i="23" s="1"/>
  <c r="A40" i="23"/>
  <c r="A1894" i="23"/>
  <c r="F1890" i="23"/>
  <c r="F1885" i="23"/>
  <c r="F1884" i="23"/>
  <c r="E1883" i="23"/>
  <c r="F1883" i="23" s="1"/>
  <c r="F1879" i="23"/>
  <c r="E1878" i="23"/>
  <c r="F1878" i="23" s="1"/>
  <c r="A1878" i="23"/>
  <c r="A1530" i="23"/>
  <c r="F1526" i="23"/>
  <c r="F1521" i="23"/>
  <c r="F1520" i="23"/>
  <c r="E1519" i="23"/>
  <c r="F1519" i="23" s="1"/>
  <c r="F1515" i="23"/>
  <c r="F1514" i="23"/>
  <c r="E1513" i="23"/>
  <c r="F1513" i="23" s="1"/>
  <c r="A1513" i="23"/>
  <c r="A1137" i="23"/>
  <c r="F1133" i="23"/>
  <c r="F1128" i="23"/>
  <c r="F1127" i="23"/>
  <c r="E1126" i="23"/>
  <c r="F1126" i="23" s="1"/>
  <c r="F1122" i="23"/>
  <c r="F1121" i="23"/>
  <c r="E1120" i="23"/>
  <c r="F1120" i="23" s="1"/>
  <c r="A1120" i="23"/>
  <c r="A593" i="22"/>
  <c r="E589" i="22"/>
  <c r="F589" i="22" s="1"/>
  <c r="F584" i="22"/>
  <c r="F583" i="22"/>
  <c r="E582" i="22"/>
  <c r="F582" i="22" s="1"/>
  <c r="F578" i="22"/>
  <c r="F577" i="22"/>
  <c r="E576" i="22"/>
  <c r="F576" i="22" s="1"/>
  <c r="A576" i="22"/>
  <c r="A715" i="23"/>
  <c r="F711" i="23"/>
  <c r="G712" i="23" s="1"/>
  <c r="F707" i="23"/>
  <c r="F706" i="23"/>
  <c r="F705" i="23"/>
  <c r="F701" i="23"/>
  <c r="F700" i="23"/>
  <c r="E699" i="23"/>
  <c r="F699" i="23" s="1"/>
  <c r="A699" i="23"/>
  <c r="A1866" i="23"/>
  <c r="F1862" i="23"/>
  <c r="G1863" i="23" s="1"/>
  <c r="F1858" i="23"/>
  <c r="F1857" i="23"/>
  <c r="F1856" i="23"/>
  <c r="F1852" i="23"/>
  <c r="F1851" i="23"/>
  <c r="E1850" i="23"/>
  <c r="F1850" i="23" s="1"/>
  <c r="A1850" i="23"/>
  <c r="A1501" i="23"/>
  <c r="F1497" i="23"/>
  <c r="G1498" i="23" s="1"/>
  <c r="F1493" i="23"/>
  <c r="F1492" i="23"/>
  <c r="F1491" i="23"/>
  <c r="F1487" i="23"/>
  <c r="F1486" i="23"/>
  <c r="E1485" i="23"/>
  <c r="F1485" i="23" s="1"/>
  <c r="A1485" i="23"/>
  <c r="A1108" i="23"/>
  <c r="F1104" i="23"/>
  <c r="G1105" i="23" s="1"/>
  <c r="F1100" i="23"/>
  <c r="F1099" i="23"/>
  <c r="F1098" i="23"/>
  <c r="F1094" i="23"/>
  <c r="F1093" i="23"/>
  <c r="E1092" i="23"/>
  <c r="F1092" i="23" s="1"/>
  <c r="A1092" i="23"/>
  <c r="A564" i="22"/>
  <c r="E560" i="22"/>
  <c r="F560" i="22" s="1"/>
  <c r="G561" i="22" s="1"/>
  <c r="F556" i="22"/>
  <c r="F555" i="22"/>
  <c r="F554" i="22"/>
  <c r="F550" i="22"/>
  <c r="F549" i="22"/>
  <c r="E548" i="22"/>
  <c r="F548" i="22" s="1"/>
  <c r="A548" i="22"/>
  <c r="A1838" i="23"/>
  <c r="F1830" i="23"/>
  <c r="E1829" i="23"/>
  <c r="F1829" i="23" s="1"/>
  <c r="E1828" i="23"/>
  <c r="F1828" i="23" s="1"/>
  <c r="F1824" i="23"/>
  <c r="F1823" i="23"/>
  <c r="F1822" i="23"/>
  <c r="A1473" i="23"/>
  <c r="F1465" i="23"/>
  <c r="E1464" i="23"/>
  <c r="F1464" i="23" s="1"/>
  <c r="E1463" i="23"/>
  <c r="F1463" i="23" s="1"/>
  <c r="F1459" i="23"/>
  <c r="F1458" i="23"/>
  <c r="F1457" i="23"/>
  <c r="A1810" i="23"/>
  <c r="F1802" i="23"/>
  <c r="E1801" i="23"/>
  <c r="F1801" i="23" s="1"/>
  <c r="E1800" i="23"/>
  <c r="F1800" i="23" s="1"/>
  <c r="F1796" i="23"/>
  <c r="F1795" i="23"/>
  <c r="F1794" i="23"/>
  <c r="A1445" i="23"/>
  <c r="F1437" i="23"/>
  <c r="E1436" i="23"/>
  <c r="F1436" i="23" s="1"/>
  <c r="E1435" i="23"/>
  <c r="F1435" i="23" s="1"/>
  <c r="F1431" i="23"/>
  <c r="F1430" i="23"/>
  <c r="F1429" i="23"/>
  <c r="A1080" i="23"/>
  <c r="E1071" i="23"/>
  <c r="F1071" i="23" s="1"/>
  <c r="E1070" i="23"/>
  <c r="F1070" i="23" s="1"/>
  <c r="A1052" i="23"/>
  <c r="E1043" i="23"/>
  <c r="F1043" i="23" s="1"/>
  <c r="E1042" i="23"/>
  <c r="F1042" i="23" s="1"/>
  <c r="A687" i="23"/>
  <c r="F683" i="23"/>
  <c r="G684" i="23" s="1"/>
  <c r="F679" i="23"/>
  <c r="F678" i="23"/>
  <c r="F677" i="23"/>
  <c r="F673" i="23"/>
  <c r="F672" i="23"/>
  <c r="E671" i="23"/>
  <c r="F671" i="23" s="1"/>
  <c r="A671" i="23"/>
  <c r="A1782" i="23"/>
  <c r="F1778" i="23"/>
  <c r="G1779" i="23" s="1"/>
  <c r="F1774" i="23"/>
  <c r="F1773" i="23"/>
  <c r="F1772" i="23"/>
  <c r="F1768" i="23"/>
  <c r="F1767" i="23"/>
  <c r="E1766" i="23"/>
  <c r="F1766" i="23" s="1"/>
  <c r="A1766" i="23"/>
  <c r="A1417" i="23"/>
  <c r="F1413" i="23"/>
  <c r="G1414" i="23" s="1"/>
  <c r="F1409" i="23"/>
  <c r="F1408" i="23"/>
  <c r="F1407" i="23"/>
  <c r="F1403" i="23"/>
  <c r="F1402" i="23"/>
  <c r="E1401" i="23"/>
  <c r="F1401" i="23" s="1"/>
  <c r="A1401" i="23"/>
  <c r="A1389" i="23"/>
  <c r="F1385" i="23"/>
  <c r="G1386" i="23" s="1"/>
  <c r="F1381" i="23"/>
  <c r="F1380" i="23"/>
  <c r="F1379" i="23"/>
  <c r="F1375" i="23"/>
  <c r="F1374" i="23"/>
  <c r="E1373" i="23"/>
  <c r="F1373" i="23" s="1"/>
  <c r="A1373" i="23"/>
  <c r="A1024" i="23"/>
  <c r="F1020" i="23"/>
  <c r="G1021" i="23" s="1"/>
  <c r="F1016" i="23"/>
  <c r="F1015" i="23"/>
  <c r="F1014" i="23"/>
  <c r="F1010" i="23"/>
  <c r="F1009" i="23"/>
  <c r="E1008" i="23"/>
  <c r="F1008" i="23" s="1"/>
  <c r="A1008" i="23"/>
  <c r="A996" i="23"/>
  <c r="F992" i="23"/>
  <c r="G993" i="23" s="1"/>
  <c r="F988" i="23"/>
  <c r="F987" i="23"/>
  <c r="F986" i="23"/>
  <c r="F982" i="23"/>
  <c r="F981" i="23"/>
  <c r="E980" i="23"/>
  <c r="F980" i="23" s="1"/>
  <c r="A980" i="23"/>
  <c r="A536" i="22"/>
  <c r="A885" i="23"/>
  <c r="E877" i="23"/>
  <c r="F877" i="23" s="1"/>
  <c r="A870" i="23"/>
  <c r="A857" i="23"/>
  <c r="A829" i="23"/>
  <c r="A801" i="23"/>
  <c r="A772" i="23"/>
  <c r="A743" i="23"/>
  <c r="E819" i="23"/>
  <c r="F819" i="23" s="1"/>
  <c r="E792" i="23"/>
  <c r="F792" i="23" s="1"/>
  <c r="E791" i="23"/>
  <c r="F791" i="23" s="1"/>
  <c r="E733" i="23"/>
  <c r="F733" i="23" s="1"/>
  <c r="E24" i="23"/>
  <c r="F24" i="23" s="1"/>
  <c r="G25" i="23" s="1"/>
  <c r="A28" i="23"/>
  <c r="F20" i="23"/>
  <c r="F19" i="23"/>
  <c r="F18" i="23"/>
  <c r="F14" i="23"/>
  <c r="F13" i="23"/>
  <c r="E12" i="23"/>
  <c r="F12" i="23" s="1"/>
  <c r="A12" i="23"/>
  <c r="A649" i="23"/>
  <c r="A621" i="23"/>
  <c r="A603" i="23"/>
  <c r="A595" i="23"/>
  <c r="A594" i="23"/>
  <c r="A593" i="23"/>
  <c r="A592" i="23"/>
  <c r="A566" i="23"/>
  <c r="A565" i="23"/>
  <c r="A564" i="23"/>
  <c r="A563" i="23"/>
  <c r="A562" i="23"/>
  <c r="A561" i="23"/>
  <c r="A574" i="23"/>
  <c r="A543" i="23"/>
  <c r="A535" i="23"/>
  <c r="A534" i="23"/>
  <c r="A533" i="23"/>
  <c r="A532" i="23"/>
  <c r="A531" i="23"/>
  <c r="A530" i="23"/>
  <c r="A512" i="23"/>
  <c r="A502" i="23"/>
  <c r="A484" i="23"/>
  <c r="A475" i="23"/>
  <c r="A474" i="23"/>
  <c r="A456" i="23"/>
  <c r="A448" i="23"/>
  <c r="A447" i="23"/>
  <c r="A446" i="23"/>
  <c r="A428" i="23"/>
  <c r="A420" i="23"/>
  <c r="A419" i="23"/>
  <c r="A418" i="23"/>
  <c r="A400" i="23"/>
  <c r="A392" i="23"/>
  <c r="A391" i="23"/>
  <c r="A390" i="23"/>
  <c r="A364" i="23"/>
  <c r="A363" i="23"/>
  <c r="A362" i="23"/>
  <c r="A372" i="23"/>
  <c r="A336" i="23"/>
  <c r="A335" i="23"/>
  <c r="A334" i="23"/>
  <c r="A344" i="23"/>
  <c r="A316" i="23"/>
  <c r="A308" i="23"/>
  <c r="A307" i="23"/>
  <c r="A306" i="23"/>
  <c r="A288" i="23"/>
  <c r="E279" i="23"/>
  <c r="F279" i="23" s="1"/>
  <c r="A279" i="23"/>
  <c r="A278" i="23"/>
  <c r="A277" i="23"/>
  <c r="A276" i="23"/>
  <c r="A275" i="23"/>
  <c r="A274" i="23"/>
  <c r="A273" i="23"/>
  <c r="A272" i="23"/>
  <c r="E266" i="23"/>
  <c r="F266" i="23" s="1"/>
  <c r="A266" i="23"/>
  <c r="A254" i="23"/>
  <c r="E244" i="23"/>
  <c r="F244" i="23" s="1"/>
  <c r="A246" i="23"/>
  <c r="A245" i="23"/>
  <c r="A244" i="23"/>
  <c r="A243" i="23"/>
  <c r="A242" i="23"/>
  <c r="A241" i="23"/>
  <c r="A240" i="23"/>
  <c r="A239" i="23"/>
  <c r="A238" i="23"/>
  <c r="A220" i="23"/>
  <c r="E207" i="23"/>
  <c r="F207" i="23" s="1"/>
  <c r="A212" i="23"/>
  <c r="A211" i="23"/>
  <c r="A210" i="23"/>
  <c r="A209" i="23"/>
  <c r="A208" i="23"/>
  <c r="A207" i="23"/>
  <c r="A206" i="23"/>
  <c r="A205" i="23"/>
  <c r="A204" i="23"/>
  <c r="A178" i="23"/>
  <c r="A177" i="23"/>
  <c r="A176" i="23"/>
  <c r="A175" i="23"/>
  <c r="A174" i="23"/>
  <c r="A173" i="23"/>
  <c r="A172" i="23"/>
  <c r="A171" i="23"/>
  <c r="A170" i="23"/>
  <c r="A169" i="23"/>
  <c r="A186" i="23"/>
  <c r="A151" i="23"/>
  <c r="A118" i="23"/>
  <c r="A143" i="23"/>
  <c r="A142" i="23"/>
  <c r="A141" i="23"/>
  <c r="A140" i="23"/>
  <c r="A139" i="23"/>
  <c r="A138" i="23"/>
  <c r="A137" i="23"/>
  <c r="A136" i="23"/>
  <c r="E108" i="23"/>
  <c r="F108" i="23" s="1"/>
  <c r="A110" i="23"/>
  <c r="A109" i="23"/>
  <c r="A108" i="23"/>
  <c r="A107" i="23"/>
  <c r="A106" i="23"/>
  <c r="A105" i="23"/>
  <c r="A104" i="23"/>
  <c r="A103" i="23"/>
  <c r="A1951" i="23"/>
  <c r="E1947" i="23"/>
  <c r="F1947" i="23" s="1"/>
  <c r="A1947" i="23"/>
  <c r="F1942" i="23"/>
  <c r="F1941" i="23"/>
  <c r="F1940" i="23"/>
  <c r="F1936" i="23"/>
  <c r="F1935" i="23"/>
  <c r="F1934" i="23"/>
  <c r="A1559" i="23"/>
  <c r="E1555" i="23"/>
  <c r="F1555" i="23" s="1"/>
  <c r="A1555" i="23"/>
  <c r="F1550" i="23"/>
  <c r="F1549" i="23"/>
  <c r="F1548" i="23"/>
  <c r="F1544" i="23"/>
  <c r="F1543" i="23"/>
  <c r="F1542" i="23"/>
  <c r="E1190" i="23"/>
  <c r="F1190" i="23" s="1"/>
  <c r="A1190" i="23"/>
  <c r="E618" i="22"/>
  <c r="F618" i="22" s="1"/>
  <c r="A618" i="22"/>
  <c r="A1194" i="23"/>
  <c r="F1189" i="23"/>
  <c r="F1185" i="23"/>
  <c r="F1184" i="23"/>
  <c r="F1183" i="23"/>
  <c r="F1179" i="23"/>
  <c r="F1178" i="23"/>
  <c r="F1177" i="23"/>
  <c r="A85" i="23"/>
  <c r="E81" i="23"/>
  <c r="F81" i="23" s="1"/>
  <c r="A81" i="23"/>
  <c r="E363" i="23"/>
  <c r="F363" i="23" s="1"/>
  <c r="E336" i="23"/>
  <c r="E335" i="23"/>
  <c r="F335" i="23" s="1"/>
  <c r="E308" i="23"/>
  <c r="F308" i="23" s="1"/>
  <c r="E446" i="23"/>
  <c r="F446" i="23" s="1"/>
  <c r="E306" i="23"/>
  <c r="F306" i="23" s="1"/>
  <c r="E246" i="23"/>
  <c r="F246" i="23" s="1"/>
  <c r="E245" i="23"/>
  <c r="F245" i="23" s="1"/>
  <c r="E243" i="23"/>
  <c r="F243" i="23" s="1"/>
  <c r="E242" i="23"/>
  <c r="F242" i="23" s="1"/>
  <c r="E241" i="23"/>
  <c r="F241" i="23" s="1"/>
  <c r="E274" i="23"/>
  <c r="F274" i="23" s="1"/>
  <c r="E275" i="23"/>
  <c r="F275" i="23" s="1"/>
  <c r="E210" i="23"/>
  <c r="F210" i="23" s="1"/>
  <c r="E278" i="23"/>
  <c r="F278" i="23" s="1"/>
  <c r="E208" i="23"/>
  <c r="F208" i="23" s="1"/>
  <c r="E276" i="23"/>
  <c r="F276" i="23" s="1"/>
  <c r="E206" i="23"/>
  <c r="F206" i="23" s="1"/>
  <c r="E734" i="23"/>
  <c r="F734" i="23" s="1"/>
  <c r="E178" i="23"/>
  <c r="F178" i="23" s="1"/>
  <c r="E176" i="23"/>
  <c r="F176" i="23" s="1"/>
  <c r="E175" i="23"/>
  <c r="F175" i="23" s="1"/>
  <c r="E174" i="23"/>
  <c r="F174" i="23" s="1"/>
  <c r="E173" i="23"/>
  <c r="F173" i="23" s="1"/>
  <c r="E107" i="23"/>
  <c r="F107" i="23" s="1"/>
  <c r="E171" i="23"/>
  <c r="F171" i="23" s="1"/>
  <c r="E143" i="23"/>
  <c r="F143" i="23" s="1"/>
  <c r="E142" i="23"/>
  <c r="F142" i="23" s="1"/>
  <c r="E141" i="23"/>
  <c r="F141" i="23" s="1"/>
  <c r="E140" i="23"/>
  <c r="F140" i="23" s="1"/>
  <c r="E139" i="23"/>
  <c r="F139" i="23" s="1"/>
  <c r="E138" i="23"/>
  <c r="F138" i="23" s="1"/>
  <c r="E106" i="23"/>
  <c r="F106" i="23" s="1"/>
  <c r="E105" i="23"/>
  <c r="F105" i="23" s="1"/>
  <c r="E103" i="23"/>
  <c r="F103" i="23" s="1"/>
  <c r="E110" i="23"/>
  <c r="F110" i="23" s="1"/>
  <c r="E137" i="23"/>
  <c r="F137" i="23" s="1"/>
  <c r="E211" i="23"/>
  <c r="F211" i="23" s="1"/>
  <c r="E212" i="23"/>
  <c r="F212" i="23" s="1"/>
  <c r="E273" i="23"/>
  <c r="F273" i="23" s="1"/>
  <c r="E172" i="23"/>
  <c r="F172" i="23" s="1"/>
  <c r="E240" i="23"/>
  <c r="F240" i="23" s="1"/>
  <c r="E177" i="23"/>
  <c r="F177" i="23" s="1"/>
  <c r="E209" i="23"/>
  <c r="F209" i="23" s="1"/>
  <c r="E109" i="23"/>
  <c r="F109" i="23" s="1"/>
  <c r="E170" i="23"/>
  <c r="F170" i="23" s="1"/>
  <c r="E239" i="23"/>
  <c r="F239" i="23" s="1"/>
  <c r="E362" i="23"/>
  <c r="F362" i="23" s="1"/>
  <c r="E205" i="23"/>
  <c r="F205" i="23" s="1"/>
  <c r="E277" i="23"/>
  <c r="F277" i="23" s="1"/>
  <c r="E307" i="23"/>
  <c r="F307" i="23" s="1"/>
  <c r="E1998" i="23"/>
  <c r="F1998" i="23" s="1"/>
  <c r="E1271" i="23"/>
  <c r="F1271" i="23" s="1"/>
  <c r="E820" i="23"/>
  <c r="F820" i="23" s="1"/>
  <c r="E793" i="23"/>
  <c r="F793" i="23" s="1"/>
  <c r="E790" i="23"/>
  <c r="F790" i="23" s="1"/>
  <c r="E334" i="23"/>
  <c r="F334" i="23" s="1"/>
  <c r="E390" i="23"/>
  <c r="F390" i="23" s="1"/>
  <c r="E418" i="23"/>
  <c r="F418" i="23" s="1"/>
  <c r="E1999" i="23"/>
  <c r="F1999" i="23" s="1"/>
  <c r="E419" i="23"/>
  <c r="F419" i="23" s="1"/>
  <c r="E649" i="23"/>
  <c r="F649" i="23" s="1"/>
  <c r="E474" i="23"/>
  <c r="F474" i="23" s="1"/>
  <c r="E763" i="23"/>
  <c r="F763" i="23" s="1"/>
  <c r="E848" i="23"/>
  <c r="F848" i="23" s="1"/>
  <c r="E364" i="23"/>
  <c r="F364" i="23" s="1"/>
  <c r="E420" i="23"/>
  <c r="F420" i="23" s="1"/>
  <c r="E475" i="23"/>
  <c r="F475" i="23" s="1"/>
  <c r="E594" i="23"/>
  <c r="F594" i="23" s="1"/>
  <c r="E735" i="23"/>
  <c r="F735" i="23" s="1"/>
  <c r="E764" i="23"/>
  <c r="F764" i="23" s="1"/>
  <c r="E1214" i="23"/>
  <c r="F1214" i="23" s="1"/>
  <c r="E1663" i="23"/>
  <c r="F1663" i="23" s="1"/>
  <c r="E391" i="23"/>
  <c r="F391" i="23" s="1"/>
  <c r="E447" i="23"/>
  <c r="F447" i="23" s="1"/>
  <c r="E502" i="23"/>
  <c r="F502" i="23" s="1"/>
  <c r="E595" i="23"/>
  <c r="E761" i="23"/>
  <c r="F761" i="23" s="1"/>
  <c r="E1215" i="23"/>
  <c r="F1215" i="23" s="1"/>
  <c r="E1579" i="23"/>
  <c r="F1579" i="23" s="1"/>
  <c r="E1690" i="23"/>
  <c r="F1690" i="23" s="1"/>
  <c r="E2000" i="23"/>
  <c r="F2000" i="23" s="1"/>
  <c r="E392" i="23"/>
  <c r="F392" i="23" s="1"/>
  <c r="E448" i="23"/>
  <c r="F448" i="23" s="1"/>
  <c r="E621" i="23"/>
  <c r="F621" i="23" s="1"/>
  <c r="E762" i="23"/>
  <c r="F762" i="23" s="1"/>
  <c r="E847" i="23"/>
  <c r="E1580" i="23"/>
  <c r="F1580" i="23" s="1"/>
  <c r="E1997" i="23"/>
  <c r="F1997" i="23" s="1"/>
  <c r="E1634" i="23"/>
  <c r="F1634" i="23" s="1"/>
  <c r="E1325" i="23"/>
  <c r="F1325" i="23" s="1"/>
  <c r="E2027" i="23"/>
  <c r="F2027" i="23" s="1"/>
  <c r="E564" i="23"/>
  <c r="F564" i="23" s="1"/>
  <c r="E533" i="23"/>
  <c r="F533" i="23" s="1"/>
  <c r="E562" i="23"/>
  <c r="F562" i="23" s="1"/>
  <c r="E531" i="23"/>
  <c r="F531" i="23" s="1"/>
  <c r="E1213" i="23"/>
  <c r="F1213" i="23" s="1"/>
  <c r="E1578" i="23"/>
  <c r="F1578" i="23" s="1"/>
  <c r="E593" i="23"/>
  <c r="F593" i="23" s="1"/>
  <c r="E565" i="23"/>
  <c r="F565" i="23" s="1"/>
  <c r="E534" i="23"/>
  <c r="F534" i="23" s="1"/>
  <c r="E1212" i="23"/>
  <c r="E1577" i="23"/>
  <c r="F1577" i="23" s="1"/>
  <c r="E1608" i="23"/>
  <c r="F1608" i="23" s="1"/>
  <c r="E1299" i="23"/>
  <c r="F1299" i="23" s="1"/>
  <c r="E566" i="23"/>
  <c r="F566" i="23" s="1"/>
  <c r="E535" i="23"/>
  <c r="F535" i="23" s="1"/>
  <c r="E592" i="23"/>
  <c r="F592" i="23" s="1"/>
  <c r="E561" i="23"/>
  <c r="F561" i="23" s="1"/>
  <c r="E530" i="23"/>
  <c r="F530" i="23" s="1"/>
  <c r="E1600" i="23"/>
  <c r="F1600" i="23" s="1"/>
  <c r="E1263" i="23"/>
  <c r="F1263" i="23" s="1"/>
  <c r="E1291" i="23"/>
  <c r="F1291" i="23" s="1"/>
  <c r="E869" i="23"/>
  <c r="F869" i="23" s="1"/>
  <c r="E563" i="23"/>
  <c r="F563" i="23" s="1"/>
  <c r="E532" i="23"/>
  <c r="F532" i="23" s="1"/>
  <c r="A622" i="22"/>
  <c r="E520" i="22"/>
  <c r="F520" i="22" s="1"/>
  <c r="A520" i="22"/>
  <c r="A498" i="22"/>
  <c r="A508" i="22"/>
  <c r="A480" i="22"/>
  <c r="A472" i="22"/>
  <c r="A471" i="22"/>
  <c r="A470" i="22"/>
  <c r="A469" i="22"/>
  <c r="A468" i="22"/>
  <c r="A450" i="22"/>
  <c r="A442" i="22"/>
  <c r="A441" i="22"/>
  <c r="A440" i="22"/>
  <c r="A439" i="22"/>
  <c r="A438" i="22"/>
  <c r="A420" i="22"/>
  <c r="A392" i="22"/>
  <c r="A411" i="22"/>
  <c r="A410" i="22"/>
  <c r="A383" i="22"/>
  <c r="A382" i="22"/>
  <c r="A364" i="22"/>
  <c r="A355" i="22"/>
  <c r="A354" i="22"/>
  <c r="A336" i="22"/>
  <c r="A327" i="22"/>
  <c r="A326" i="22"/>
  <c r="A308" i="22"/>
  <c r="A299" i="22"/>
  <c r="A298" i="22"/>
  <c r="A280" i="22"/>
  <c r="A271" i="22"/>
  <c r="A270" i="22"/>
  <c r="A252" i="22"/>
  <c r="A243" i="22"/>
  <c r="A242" i="22"/>
  <c r="A224" i="22"/>
  <c r="A215" i="22"/>
  <c r="A214" i="22"/>
  <c r="A187" i="22"/>
  <c r="A186" i="22"/>
  <c r="A196" i="22"/>
  <c r="A168" i="22"/>
  <c r="A159" i="22"/>
  <c r="A158" i="22"/>
  <c r="A140" i="22"/>
  <c r="A131" i="22"/>
  <c r="A130" i="22"/>
  <c r="A112" i="22"/>
  <c r="A104" i="22"/>
  <c r="A103" i="22"/>
  <c r="A102" i="22"/>
  <c r="A76" i="22"/>
  <c r="A75" i="22"/>
  <c r="A74" i="22"/>
  <c r="A84" i="22"/>
  <c r="A48" i="22"/>
  <c r="A47" i="22"/>
  <c r="A46" i="22"/>
  <c r="A20" i="22"/>
  <c r="A19" i="22"/>
  <c r="A18" i="22"/>
  <c r="A56" i="22"/>
  <c r="A28" i="22"/>
  <c r="E1004" i="21"/>
  <c r="F1004" i="21" s="1"/>
  <c r="A1004" i="21"/>
  <c r="A976" i="21"/>
  <c r="A948" i="21"/>
  <c r="A920" i="21"/>
  <c r="A892" i="21"/>
  <c r="A866" i="21"/>
  <c r="A865" i="21"/>
  <c r="A864" i="21"/>
  <c r="A838" i="21"/>
  <c r="A837" i="21"/>
  <c r="A836" i="21"/>
  <c r="A808" i="21"/>
  <c r="A781" i="21"/>
  <c r="A780" i="21"/>
  <c r="E774" i="21"/>
  <c r="F774" i="21" s="1"/>
  <c r="A774" i="21"/>
  <c r="A753" i="21"/>
  <c r="A752" i="21"/>
  <c r="F746" i="21"/>
  <c r="A725" i="21"/>
  <c r="A724" i="21"/>
  <c r="F718" i="21"/>
  <c r="A697" i="21"/>
  <c r="A696" i="21"/>
  <c r="E690" i="21"/>
  <c r="F690" i="21" s="1"/>
  <c r="A690" i="21"/>
  <c r="A670" i="21"/>
  <c r="A669" i="21"/>
  <c r="A668" i="21"/>
  <c r="E662" i="21"/>
  <c r="F662" i="21" s="1"/>
  <c r="A662" i="21"/>
  <c r="A641" i="21"/>
  <c r="A640" i="21"/>
  <c r="E634" i="21"/>
  <c r="F634" i="21" s="1"/>
  <c r="A634" i="21"/>
  <c r="A613" i="21"/>
  <c r="A612" i="21"/>
  <c r="E606" i="21"/>
  <c r="F606" i="21" s="1"/>
  <c r="A606" i="21"/>
  <c r="A557" i="21"/>
  <c r="A556" i="21"/>
  <c r="E550" i="21"/>
  <c r="F550" i="21" s="1"/>
  <c r="A550" i="21"/>
  <c r="A529" i="21"/>
  <c r="A528" i="21"/>
  <c r="E522" i="21"/>
  <c r="F522" i="21" s="1"/>
  <c r="A522" i="21"/>
  <c r="A502" i="21"/>
  <c r="A501" i="21"/>
  <c r="A500" i="21"/>
  <c r="E494" i="21"/>
  <c r="F494" i="21" s="1"/>
  <c r="A494" i="21"/>
  <c r="A474" i="21"/>
  <c r="A473" i="21"/>
  <c r="A472" i="21"/>
  <c r="E466" i="21"/>
  <c r="F466" i="21" s="1"/>
  <c r="A466" i="21"/>
  <c r="A446" i="21"/>
  <c r="A445" i="21"/>
  <c r="A444" i="21"/>
  <c r="E438" i="21"/>
  <c r="F438" i="21" s="1"/>
  <c r="A438" i="21"/>
  <c r="A417" i="21"/>
  <c r="A416" i="21"/>
  <c r="E410" i="21"/>
  <c r="F410" i="21" s="1"/>
  <c r="A410" i="21"/>
  <c r="A389" i="21"/>
  <c r="A388" i="21"/>
  <c r="E382" i="21"/>
  <c r="F382" i="21" s="1"/>
  <c r="A382" i="21"/>
  <c r="A334" i="21"/>
  <c r="A333" i="21"/>
  <c r="A332" i="21"/>
  <c r="A331" i="21"/>
  <c r="A330" i="21"/>
  <c r="A329" i="21"/>
  <c r="A328" i="21"/>
  <c r="A300" i="21"/>
  <c r="A272" i="21"/>
  <c r="A244" i="21"/>
  <c r="A216" i="21"/>
  <c r="A188" i="21"/>
  <c r="A160" i="21"/>
  <c r="A132" i="21"/>
  <c r="A360" i="21"/>
  <c r="A48" i="21"/>
  <c r="A104" i="21"/>
  <c r="C104" i="21"/>
  <c r="A76" i="21"/>
  <c r="C76" i="21"/>
  <c r="A58" i="21"/>
  <c r="E498" i="22"/>
  <c r="F498" i="22" s="1"/>
  <c r="E472" i="22"/>
  <c r="F472" i="22" s="1"/>
  <c r="E441" i="22"/>
  <c r="F441" i="22" s="1"/>
  <c r="E411" i="22"/>
  <c r="F411" i="22" s="1"/>
  <c r="E410" i="22"/>
  <c r="E383" i="22"/>
  <c r="F383" i="22" s="1"/>
  <c r="E382" i="22"/>
  <c r="F382" i="22" s="1"/>
  <c r="E355" i="22"/>
  <c r="F355" i="22" s="1"/>
  <c r="E327" i="22"/>
  <c r="F327" i="22" s="1"/>
  <c r="E299" i="22"/>
  <c r="F299" i="22" s="1"/>
  <c r="E271" i="22"/>
  <c r="F271" i="22" s="1"/>
  <c r="E243" i="22"/>
  <c r="F243" i="22" s="1"/>
  <c r="E215" i="22"/>
  <c r="F215" i="22" s="1"/>
  <c r="E187" i="22"/>
  <c r="F187" i="22" s="1"/>
  <c r="E159" i="22"/>
  <c r="F159" i="22" s="1"/>
  <c r="E131" i="22"/>
  <c r="F131" i="22" s="1"/>
  <c r="E104" i="22"/>
  <c r="F104" i="22" s="1"/>
  <c r="E76" i="22"/>
  <c r="F76" i="22" s="1"/>
  <c r="E48" i="22"/>
  <c r="F48" i="22" s="1"/>
  <c r="E18" i="22"/>
  <c r="F18" i="22" s="1"/>
  <c r="E976" i="21"/>
  <c r="F976" i="21" s="1"/>
  <c r="E948" i="21"/>
  <c r="F948" i="21" s="1"/>
  <c r="E920" i="21"/>
  <c r="F920" i="21" s="1"/>
  <c r="E892" i="21"/>
  <c r="F892" i="21" s="1"/>
  <c r="E865" i="21"/>
  <c r="F865" i="21" s="1"/>
  <c r="E836" i="21"/>
  <c r="F836" i="21" s="1"/>
  <c r="E808" i="21"/>
  <c r="F808" i="21" s="1"/>
  <c r="E780" i="21"/>
  <c r="F780" i="21" s="1"/>
  <c r="E696" i="21"/>
  <c r="F696" i="21" s="1"/>
  <c r="E668" i="21"/>
  <c r="F668" i="21" s="1"/>
  <c r="E640" i="21"/>
  <c r="F640" i="21" s="1"/>
  <c r="E612" i="21"/>
  <c r="F612" i="21" s="1"/>
  <c r="E556" i="21"/>
  <c r="F556" i="21" s="1"/>
  <c r="E529" i="21"/>
  <c r="F529" i="21" s="1"/>
  <c r="E473" i="21"/>
  <c r="F473" i="21" s="1"/>
  <c r="E444" i="21"/>
  <c r="F444" i="21" s="1"/>
  <c r="E416" i="21"/>
  <c r="F416" i="21" s="1"/>
  <c r="E388" i="21"/>
  <c r="F388" i="21" s="1"/>
  <c r="E360" i="21"/>
  <c r="F360" i="21" s="1"/>
  <c r="E334" i="21"/>
  <c r="F334" i="21" s="1"/>
  <c r="E333" i="21"/>
  <c r="F333" i="21" s="1"/>
  <c r="E332" i="21"/>
  <c r="F332" i="21" s="1"/>
  <c r="E331" i="21"/>
  <c r="F331" i="21" s="1"/>
  <c r="E330" i="21"/>
  <c r="F330" i="21" s="1"/>
  <c r="E329" i="21"/>
  <c r="F329" i="21" s="1"/>
  <c r="E328" i="21"/>
  <c r="F328" i="21" s="1"/>
  <c r="E300" i="21"/>
  <c r="F300" i="21" s="1"/>
  <c r="E272" i="21"/>
  <c r="F272" i="21" s="1"/>
  <c r="E244" i="21"/>
  <c r="F244" i="21" s="1"/>
  <c r="E216" i="21"/>
  <c r="F216" i="21" s="1"/>
  <c r="E188" i="21"/>
  <c r="F188" i="21" s="1"/>
  <c r="E160" i="21"/>
  <c r="F160" i="21" s="1"/>
  <c r="E132" i="21"/>
  <c r="F132" i="21" s="1"/>
  <c r="E104" i="21"/>
  <c r="F104" i="21" s="1"/>
  <c r="E76" i="21"/>
  <c r="F76" i="21" s="1"/>
  <c r="E48" i="21"/>
  <c r="F48" i="21" s="1"/>
  <c r="F50" i="21"/>
  <c r="F49" i="21"/>
  <c r="F44" i="21"/>
  <c r="E440" i="22"/>
  <c r="F440" i="22" s="1"/>
  <c r="E470" i="22"/>
  <c r="F470" i="22" s="1"/>
  <c r="E442" i="22"/>
  <c r="F442" i="22" s="1"/>
  <c r="E471" i="22"/>
  <c r="F471" i="22" s="1"/>
  <c r="E446" i="21"/>
  <c r="F446" i="21" s="1"/>
  <c r="E389" i="21"/>
  <c r="F389" i="21" s="1"/>
  <c r="E641" i="21"/>
  <c r="F641" i="21" s="1"/>
  <c r="E557" i="21"/>
  <c r="F557" i="21" s="1"/>
  <c r="E298" i="22"/>
  <c r="F298" i="22" s="1"/>
  <c r="E130" i="22"/>
  <c r="F130" i="22" s="1"/>
  <c r="E158" i="22"/>
  <c r="F158" i="22" s="1"/>
  <c r="E74" i="22"/>
  <c r="F74" i="22" s="1"/>
  <c r="E46" i="22"/>
  <c r="F46" i="22" s="1"/>
  <c r="E326" i="22"/>
  <c r="F326" i="22" s="1"/>
  <c r="E214" i="22"/>
  <c r="F214" i="22" s="1"/>
  <c r="E102" i="22"/>
  <c r="F102" i="22" s="1"/>
  <c r="E354" i="22"/>
  <c r="F354" i="22" s="1"/>
  <c r="E242" i="22"/>
  <c r="E270" i="22"/>
  <c r="F270" i="22" s="1"/>
  <c r="E19" i="22"/>
  <c r="F19" i="22" s="1"/>
  <c r="E186" i="22"/>
  <c r="F186" i="22" s="1"/>
  <c r="E670" i="21"/>
  <c r="F670" i="21" s="1"/>
  <c r="E500" i="21"/>
  <c r="F500" i="21" s="1"/>
  <c r="E445" i="21"/>
  <c r="F445" i="21" s="1"/>
  <c r="E528" i="21"/>
  <c r="F528" i="21" s="1"/>
  <c r="E472" i="21"/>
  <c r="E469" i="22"/>
  <c r="F469" i="22" s="1"/>
  <c r="E439" i="22"/>
  <c r="F439" i="22" s="1"/>
  <c r="E752" i="21"/>
  <c r="F752" i="21" s="1"/>
  <c r="E724" i="21"/>
  <c r="F724" i="21" s="1"/>
  <c r="E753" i="21"/>
  <c r="F753" i="21" s="1"/>
  <c r="E725" i="21"/>
  <c r="F725" i="21" s="1"/>
  <c r="E697" i="21"/>
  <c r="F697" i="21" s="1"/>
  <c r="E781" i="21"/>
  <c r="F781" i="21" s="1"/>
  <c r="E613" i="21"/>
  <c r="F613" i="21" s="1"/>
  <c r="E474" i="21"/>
  <c r="F474" i="21" s="1"/>
  <c r="E838" i="21"/>
  <c r="F838" i="21" s="1"/>
  <c r="E669" i="21"/>
  <c r="F669" i="21" s="1"/>
  <c r="E502" i="21"/>
  <c r="F502" i="21" s="1"/>
  <c r="E866" i="21"/>
  <c r="F866" i="21" s="1"/>
  <c r="E417" i="21"/>
  <c r="F417" i="21" s="1"/>
  <c r="E272" i="23"/>
  <c r="F272" i="23" s="1"/>
  <c r="E136" i="23"/>
  <c r="F136" i="23" s="1"/>
  <c r="E204" i="23"/>
  <c r="F204" i="23" s="1"/>
  <c r="E104" i="23"/>
  <c r="F104" i="23" s="1"/>
  <c r="E238" i="23"/>
  <c r="F238" i="23" s="1"/>
  <c r="E169" i="23"/>
  <c r="F169" i="23" s="1"/>
  <c r="E837" i="21"/>
  <c r="F837" i="21" s="1"/>
  <c r="E864" i="21"/>
  <c r="F864" i="21" s="1"/>
  <c r="E75" i="22"/>
  <c r="F75" i="22" s="1"/>
  <c r="E47" i="22"/>
  <c r="F47" i="22" s="1"/>
  <c r="E20" i="22"/>
  <c r="F20" i="22" s="1"/>
  <c r="E103" i="22"/>
  <c r="F103" i="22" s="1"/>
  <c r="E468" i="22"/>
  <c r="F468" i="22" s="1"/>
  <c r="E438" i="22"/>
  <c r="F438" i="22" s="1"/>
  <c r="A32" i="21"/>
  <c r="F40" i="16"/>
  <c r="E3710" i="26" s="1"/>
  <c r="F3710" i="26" s="1"/>
  <c r="F38" i="16"/>
  <c r="E46" i="18"/>
  <c r="E51" i="18"/>
  <c r="A176" i="11"/>
  <c r="A555" i="20"/>
  <c r="A451" i="20"/>
  <c r="D414" i="20"/>
  <c r="E404" i="20"/>
  <c r="F404" i="20" s="1"/>
  <c r="D385" i="20"/>
  <c r="A385" i="20"/>
  <c r="A330" i="20"/>
  <c r="A213" i="20"/>
  <c r="E318" i="7"/>
  <c r="F318" i="7" s="1"/>
  <c r="A326" i="7"/>
  <c r="A300" i="7"/>
  <c r="A224" i="7"/>
  <c r="A198" i="7"/>
  <c r="A150" i="7"/>
  <c r="D124" i="7"/>
  <c r="A124" i="7"/>
  <c r="D98" i="7"/>
  <c r="A98" i="7"/>
  <c r="A49" i="7"/>
  <c r="A23" i="7"/>
  <c r="F2065" i="23"/>
  <c r="G2065" i="23" s="1"/>
  <c r="F2057" i="23"/>
  <c r="F2056" i="23"/>
  <c r="F2055" i="23"/>
  <c r="F2051" i="23"/>
  <c r="F2050" i="23"/>
  <c r="F2049" i="23"/>
  <c r="F1993" i="23"/>
  <c r="F1992" i="23"/>
  <c r="F1991" i="23"/>
  <c r="F1720" i="23"/>
  <c r="F1719" i="23"/>
  <c r="F1714" i="23"/>
  <c r="F1713" i="23"/>
  <c r="F1712" i="23"/>
  <c r="F1692" i="23"/>
  <c r="F1691" i="23"/>
  <c r="F1686" i="23"/>
  <c r="F1685" i="23"/>
  <c r="F1684" i="23"/>
  <c r="F1664" i="23"/>
  <c r="F1658" i="23"/>
  <c r="F1657" i="23"/>
  <c r="A1588" i="23"/>
  <c r="F1573" i="23"/>
  <c r="F1572" i="23"/>
  <c r="F1571" i="23"/>
  <c r="F1327" i="23"/>
  <c r="F1326" i="23"/>
  <c r="F1321" i="23"/>
  <c r="F1320" i="23"/>
  <c r="F1319" i="23"/>
  <c r="F1265" i="23"/>
  <c r="F1243" i="23"/>
  <c r="F1242" i="23"/>
  <c r="F1237" i="23"/>
  <c r="F1236" i="23"/>
  <c r="F1235" i="23"/>
  <c r="F1208" i="23"/>
  <c r="F1207" i="23"/>
  <c r="F1206" i="23"/>
  <c r="A1165" i="23"/>
  <c r="F1157" i="23"/>
  <c r="F1151" i="23"/>
  <c r="F1150" i="23"/>
  <c r="F1072" i="23"/>
  <c r="F1066" i="23"/>
  <c r="F1065" i="23"/>
  <c r="F1064" i="23"/>
  <c r="F1044" i="23"/>
  <c r="F1038" i="23"/>
  <c r="F1037" i="23"/>
  <c r="F1036" i="23"/>
  <c r="F960" i="23"/>
  <c r="F954" i="23"/>
  <c r="F953" i="23"/>
  <c r="F952" i="23"/>
  <c r="F871" i="23"/>
  <c r="F849" i="23"/>
  <c r="F847" i="23"/>
  <c r="F843" i="23"/>
  <c r="F842" i="23"/>
  <c r="F841" i="23"/>
  <c r="F821" i="23"/>
  <c r="F815" i="23"/>
  <c r="F814" i="23"/>
  <c r="F813" i="23"/>
  <c r="F786" i="23"/>
  <c r="F785" i="23"/>
  <c r="F784" i="23"/>
  <c r="F757" i="23"/>
  <c r="F756" i="23"/>
  <c r="F755" i="23"/>
  <c r="F729" i="23"/>
  <c r="F728" i="23"/>
  <c r="F727" i="23"/>
  <c r="A659" i="23"/>
  <c r="F651" i="23"/>
  <c r="F650" i="23"/>
  <c r="F645" i="23"/>
  <c r="F644" i="23"/>
  <c r="F643" i="23"/>
  <c r="A631" i="23"/>
  <c r="F623" i="23"/>
  <c r="F622" i="23"/>
  <c r="F617" i="23"/>
  <c r="F616" i="23"/>
  <c r="F615" i="23"/>
  <c r="F595" i="23"/>
  <c r="F588" i="23"/>
  <c r="F587" i="23"/>
  <c r="F586" i="23"/>
  <c r="F557" i="23"/>
  <c r="F556" i="23"/>
  <c r="F555" i="23"/>
  <c r="F526" i="23"/>
  <c r="F525" i="23"/>
  <c r="F524" i="23"/>
  <c r="F504" i="23"/>
  <c r="F503" i="23"/>
  <c r="F498" i="23"/>
  <c r="F497" i="23"/>
  <c r="F496" i="23"/>
  <c r="F476" i="23"/>
  <c r="F470" i="23"/>
  <c r="F469" i="23"/>
  <c r="F468" i="23"/>
  <c r="F442" i="23"/>
  <c r="F441" i="23"/>
  <c r="F440" i="23"/>
  <c r="F414" i="23"/>
  <c r="F413" i="23"/>
  <c r="F412" i="23"/>
  <c r="F386" i="23"/>
  <c r="F385" i="23"/>
  <c r="F384" i="23"/>
  <c r="F358" i="23"/>
  <c r="F357" i="23"/>
  <c r="F356" i="23"/>
  <c r="F336" i="23"/>
  <c r="F330" i="23"/>
  <c r="F329" i="23"/>
  <c r="F328" i="23"/>
  <c r="F302" i="23"/>
  <c r="F301" i="23"/>
  <c r="F300" i="23"/>
  <c r="F280" i="23"/>
  <c r="F268" i="23"/>
  <c r="F267" i="23"/>
  <c r="F234" i="23"/>
  <c r="F233" i="23"/>
  <c r="F232" i="23"/>
  <c r="F200" i="23"/>
  <c r="F199" i="23"/>
  <c r="F198" i="23"/>
  <c r="F165" i="23"/>
  <c r="F164" i="23"/>
  <c r="F163" i="23"/>
  <c r="F132" i="23"/>
  <c r="F131" i="23"/>
  <c r="F130" i="23"/>
  <c r="F99" i="23"/>
  <c r="F98" i="23"/>
  <c r="F97" i="23"/>
  <c r="F76" i="23"/>
  <c r="F75" i="23"/>
  <c r="F74" i="23"/>
  <c r="F70" i="23"/>
  <c r="F69" i="23"/>
  <c r="F68" i="23"/>
  <c r="F2061" i="23"/>
  <c r="G2062" i="23" s="1"/>
  <c r="F2048" i="23"/>
  <c r="F613" i="22"/>
  <c r="F612" i="22"/>
  <c r="F611" i="22"/>
  <c r="F607" i="22"/>
  <c r="F606" i="22"/>
  <c r="F605" i="22"/>
  <c r="F528" i="22"/>
  <c r="F527" i="22"/>
  <c r="F526" i="22"/>
  <c r="F522" i="22"/>
  <c r="F521" i="22"/>
  <c r="F500" i="22"/>
  <c r="F499" i="22"/>
  <c r="F494" i="22"/>
  <c r="F493" i="22"/>
  <c r="F492" i="22"/>
  <c r="F464" i="22"/>
  <c r="F463" i="22"/>
  <c r="F462" i="22"/>
  <c r="F434" i="22"/>
  <c r="F433" i="22"/>
  <c r="F432" i="22"/>
  <c r="F412" i="22"/>
  <c r="F410" i="22"/>
  <c r="F406" i="22"/>
  <c r="F405" i="22"/>
  <c r="F404" i="22"/>
  <c r="F384" i="22"/>
  <c r="F378" i="22"/>
  <c r="F377" i="22"/>
  <c r="F376" i="22"/>
  <c r="F356" i="22"/>
  <c r="F350" i="22"/>
  <c r="F349" i="22"/>
  <c r="F348" i="22"/>
  <c r="F328" i="22"/>
  <c r="F322" i="22"/>
  <c r="F321" i="22"/>
  <c r="F320" i="22"/>
  <c r="F300" i="22"/>
  <c r="F294" i="22"/>
  <c r="F293" i="22"/>
  <c r="F292" i="22"/>
  <c r="F272" i="22"/>
  <c r="F266" i="22"/>
  <c r="F265" i="22"/>
  <c r="F264" i="22"/>
  <c r="F244" i="22"/>
  <c r="F242" i="22"/>
  <c r="F238" i="22"/>
  <c r="F237" i="22"/>
  <c r="F236" i="22"/>
  <c r="F216" i="22"/>
  <c r="F210" i="22"/>
  <c r="F209" i="22"/>
  <c r="F208" i="22"/>
  <c r="F188" i="22"/>
  <c r="F182" i="22"/>
  <c r="F181" i="22"/>
  <c r="F180" i="22"/>
  <c r="F160" i="22"/>
  <c r="F154" i="22"/>
  <c r="F153" i="22"/>
  <c r="F152" i="22"/>
  <c r="F132" i="22"/>
  <c r="F126" i="22"/>
  <c r="F125" i="22"/>
  <c r="F124" i="22"/>
  <c r="F98" i="22"/>
  <c r="F97" i="22"/>
  <c r="F96" i="22"/>
  <c r="F70" i="22"/>
  <c r="F69" i="22"/>
  <c r="F68" i="22"/>
  <c r="F42" i="22"/>
  <c r="F41" i="22"/>
  <c r="F40" i="22"/>
  <c r="F14" i="22"/>
  <c r="F13" i="22"/>
  <c r="F12" i="22"/>
  <c r="F532" i="22"/>
  <c r="G533" i="22" s="1"/>
  <c r="A538" i="21"/>
  <c r="F530" i="21"/>
  <c r="F524" i="21"/>
  <c r="F523" i="21"/>
  <c r="A1014" i="21"/>
  <c r="F1006" i="21"/>
  <c r="F1005" i="21"/>
  <c r="F1000" i="21"/>
  <c r="F999" i="21"/>
  <c r="F998" i="21"/>
  <c r="A986" i="21"/>
  <c r="F978" i="21"/>
  <c r="F977" i="21"/>
  <c r="F972" i="21"/>
  <c r="F971" i="21"/>
  <c r="F970" i="21"/>
  <c r="A958" i="21"/>
  <c r="F950" i="21"/>
  <c r="F949" i="21"/>
  <c r="F944" i="21"/>
  <c r="F943" i="21"/>
  <c r="F942" i="21"/>
  <c r="A930" i="21"/>
  <c r="F922" i="21"/>
  <c r="F921" i="21"/>
  <c r="F916" i="21"/>
  <c r="F915" i="21"/>
  <c r="F914" i="21"/>
  <c r="A902" i="21"/>
  <c r="F894" i="21"/>
  <c r="F893" i="21"/>
  <c r="F888" i="21"/>
  <c r="F887" i="21"/>
  <c r="F886" i="21"/>
  <c r="A874" i="21"/>
  <c r="F860" i="21"/>
  <c r="F859" i="21"/>
  <c r="F858" i="21"/>
  <c r="A846" i="21"/>
  <c r="F832" i="21"/>
  <c r="F831" i="21"/>
  <c r="F830" i="21"/>
  <c r="A818" i="21"/>
  <c r="F810" i="21"/>
  <c r="F809" i="21"/>
  <c r="F804" i="21"/>
  <c r="F803" i="21"/>
  <c r="F802" i="21"/>
  <c r="A790" i="21"/>
  <c r="F782" i="21"/>
  <c r="F776" i="21"/>
  <c r="F775" i="21"/>
  <c r="A762" i="21"/>
  <c r="F754" i="21"/>
  <c r="F748" i="21"/>
  <c r="F747" i="21"/>
  <c r="A734" i="21"/>
  <c r="F726" i="21"/>
  <c r="F720" i="21"/>
  <c r="F719" i="21"/>
  <c r="A706" i="21"/>
  <c r="F698" i="21"/>
  <c r="F692" i="21"/>
  <c r="F691" i="21"/>
  <c r="A678" i="21"/>
  <c r="F664" i="21"/>
  <c r="F663" i="21"/>
  <c r="A650" i="21"/>
  <c r="F642" i="21"/>
  <c r="F636" i="21"/>
  <c r="F635" i="21"/>
  <c r="A622" i="21"/>
  <c r="F614" i="21"/>
  <c r="F608" i="21"/>
  <c r="F607" i="21"/>
  <c r="A594" i="21"/>
  <c r="F586" i="21"/>
  <c r="F585" i="21"/>
  <c r="F580" i="21"/>
  <c r="F579" i="21"/>
  <c r="A566" i="21"/>
  <c r="F558" i="21"/>
  <c r="F552" i="21"/>
  <c r="F551" i="21"/>
  <c r="A510" i="21"/>
  <c r="F496" i="21"/>
  <c r="F495" i="21"/>
  <c r="A482" i="21"/>
  <c r="F472" i="21"/>
  <c r="F468" i="21"/>
  <c r="F467" i="21"/>
  <c r="A454" i="21"/>
  <c r="F440" i="21"/>
  <c r="F439" i="21"/>
  <c r="A426" i="21"/>
  <c r="F418" i="21"/>
  <c r="F412" i="21"/>
  <c r="F411" i="21"/>
  <c r="A398" i="21"/>
  <c r="F390" i="21"/>
  <c r="F384" i="21"/>
  <c r="F383" i="21"/>
  <c r="A370" i="21"/>
  <c r="F362" i="21"/>
  <c r="F361" i="21"/>
  <c r="F356" i="21"/>
  <c r="F355" i="21"/>
  <c r="F354" i="21"/>
  <c r="A342" i="21"/>
  <c r="F324" i="21"/>
  <c r="F323" i="21"/>
  <c r="F322" i="21"/>
  <c r="A310" i="21"/>
  <c r="F302" i="21"/>
  <c r="F301" i="21"/>
  <c r="F296" i="21"/>
  <c r="F295" i="21"/>
  <c r="F294" i="21"/>
  <c r="A282" i="21"/>
  <c r="F274" i="21"/>
  <c r="F273" i="21"/>
  <c r="F268" i="21"/>
  <c r="F267" i="21"/>
  <c r="F266" i="21"/>
  <c r="A254" i="21"/>
  <c r="F246" i="21"/>
  <c r="F245" i="21"/>
  <c r="F240" i="21"/>
  <c r="F239" i="21"/>
  <c r="F238" i="21"/>
  <c r="A226" i="21"/>
  <c r="F218" i="21"/>
  <c r="F217" i="21"/>
  <c r="F212" i="21"/>
  <c r="F211" i="21"/>
  <c r="F210" i="21"/>
  <c r="A198" i="21"/>
  <c r="F190" i="21"/>
  <c r="F189" i="21"/>
  <c r="F184" i="21"/>
  <c r="F183" i="21"/>
  <c r="F182" i="21"/>
  <c r="A170" i="21"/>
  <c r="F162" i="21"/>
  <c r="F161" i="21"/>
  <c r="F156" i="21"/>
  <c r="F155" i="21"/>
  <c r="F154" i="21"/>
  <c r="A142" i="21"/>
  <c r="F134" i="21"/>
  <c r="F133" i="21"/>
  <c r="F128" i="21"/>
  <c r="F127" i="21"/>
  <c r="F126" i="21"/>
  <c r="A114" i="21"/>
  <c r="F106" i="21"/>
  <c r="F105" i="21"/>
  <c r="F100" i="21"/>
  <c r="F99" i="21"/>
  <c r="F98" i="21"/>
  <c r="A86" i="21"/>
  <c r="F78" i="21"/>
  <c r="F77" i="21"/>
  <c r="F72" i="21"/>
  <c r="F71" i="21"/>
  <c r="F70" i="21"/>
  <c r="F18" i="21"/>
  <c r="F14" i="21"/>
  <c r="F13" i="21"/>
  <c r="F12" i="21"/>
  <c r="E243" i="9"/>
  <c r="F243" i="9" s="1"/>
  <c r="E242" i="9"/>
  <c r="F242" i="9" s="1"/>
  <c r="E241" i="9"/>
  <c r="F241" i="9" s="1"/>
  <c r="E240" i="9"/>
  <c r="F240" i="9" s="1"/>
  <c r="A252" i="9"/>
  <c r="E95" i="9"/>
  <c r="F95" i="9" s="1"/>
  <c r="E92" i="9"/>
  <c r="F92" i="9" s="1"/>
  <c r="E66" i="9"/>
  <c r="F66" i="9" s="1"/>
  <c r="E94" i="9"/>
  <c r="F94" i="9" s="1"/>
  <c r="E93" i="9"/>
  <c r="F93" i="9" s="1"/>
  <c r="E71" i="9"/>
  <c r="F71" i="9" s="1"/>
  <c r="E70" i="9"/>
  <c r="F70" i="9" s="1"/>
  <c r="E69" i="9"/>
  <c r="F69" i="9" s="1"/>
  <c r="E68" i="9"/>
  <c r="F68" i="9" s="1"/>
  <c r="E67" i="9"/>
  <c r="F67" i="9" s="1"/>
  <c r="E45" i="9"/>
  <c r="F45" i="9" s="1"/>
  <c r="E44" i="9"/>
  <c r="F44" i="9" s="1"/>
  <c r="E43" i="9"/>
  <c r="F43" i="9" s="1"/>
  <c r="E42" i="9"/>
  <c r="F42" i="9" s="1"/>
  <c r="E41" i="9"/>
  <c r="F41" i="9" s="1"/>
  <c r="E40" i="9"/>
  <c r="F40" i="9" s="1"/>
  <c r="E14" i="9"/>
  <c r="F14" i="9" s="1"/>
  <c r="E19" i="9"/>
  <c r="F19" i="9" s="1"/>
  <c r="E18" i="9"/>
  <c r="F18" i="9" s="1"/>
  <c r="E17" i="9"/>
  <c r="F17" i="9" s="1"/>
  <c r="E16" i="9"/>
  <c r="F16" i="9" s="1"/>
  <c r="E15" i="9"/>
  <c r="F15" i="9" s="1"/>
  <c r="A102" i="9"/>
  <c r="A78" i="9"/>
  <c r="A52" i="9"/>
  <c r="A26" i="9"/>
  <c r="A174" i="9"/>
  <c r="A528" i="20"/>
  <c r="A503" i="20"/>
  <c r="A477" i="20"/>
  <c r="A414" i="20"/>
  <c r="A358" i="20"/>
  <c r="A293" i="20"/>
  <c r="F264" i="20"/>
  <c r="G264" i="20" s="1"/>
  <c r="E250" i="20" s="1"/>
  <c r="F250" i="20" s="1"/>
  <c r="F239" i="20"/>
  <c r="G239" i="20" s="1"/>
  <c r="E224" i="20" s="1"/>
  <c r="F224" i="20" s="1"/>
  <c r="A186" i="20"/>
  <c r="F155" i="20"/>
  <c r="G155" i="20" s="1"/>
  <c r="E130" i="20" s="1"/>
  <c r="F130" i="20" s="1"/>
  <c r="A119" i="20"/>
  <c r="F93" i="20"/>
  <c r="G93" i="20" s="1"/>
  <c r="E75" i="20" s="1"/>
  <c r="A64" i="20"/>
  <c r="A37" i="20"/>
  <c r="A377" i="7"/>
  <c r="A352" i="7"/>
  <c r="D326" i="7"/>
  <c r="D300" i="7"/>
  <c r="A277" i="7"/>
  <c r="A250" i="7"/>
  <c r="D224" i="7"/>
  <c r="D198" i="7"/>
  <c r="D175" i="7"/>
  <c r="A175" i="7"/>
  <c r="D150" i="7"/>
  <c r="A75" i="7"/>
  <c r="D23" i="7"/>
  <c r="D49" i="6"/>
  <c r="A49" i="6"/>
  <c r="A25" i="6"/>
  <c r="A314" i="3"/>
  <c r="A285" i="3"/>
  <c r="A251" i="3"/>
  <c r="A222" i="3"/>
  <c r="A160" i="3"/>
  <c r="A132" i="3"/>
  <c r="A99" i="3"/>
  <c r="A64" i="3"/>
  <c r="A34" i="3"/>
  <c r="A85" i="1"/>
  <c r="A60" i="1"/>
  <c r="E148" i="18"/>
  <c r="E3708" i="26" s="1"/>
  <c r="F3708" i="26" s="1"/>
  <c r="E147" i="18"/>
  <c r="E3707" i="26" s="1"/>
  <c r="F3707" i="26" s="1"/>
  <c r="E145" i="18"/>
  <c r="E140" i="18"/>
  <c r="E132" i="18"/>
  <c r="E131" i="18"/>
  <c r="E130" i="18"/>
  <c r="E129" i="18"/>
  <c r="E124" i="18"/>
  <c r="E70" i="18"/>
  <c r="E54" i="18"/>
  <c r="A189" i="13"/>
  <c r="A157" i="13"/>
  <c r="A133" i="13"/>
  <c r="A109" i="13"/>
  <c r="A84" i="13"/>
  <c r="A59" i="13"/>
  <c r="A31" i="13"/>
  <c r="A147" i="11"/>
  <c r="A115" i="11"/>
  <c r="A84" i="11"/>
  <c r="A56" i="11"/>
  <c r="A28" i="11"/>
  <c r="A1176" i="10"/>
  <c r="A1154" i="10"/>
  <c r="A1132" i="10"/>
  <c r="A1110" i="10"/>
  <c r="A1088" i="10"/>
  <c r="A1066" i="10"/>
  <c r="A1044" i="10"/>
  <c r="A1022" i="10"/>
  <c r="A1000" i="10"/>
  <c r="A978" i="10"/>
  <c r="A956" i="10"/>
  <c r="A934" i="10"/>
  <c r="A912" i="10"/>
  <c r="A890" i="10"/>
  <c r="A868" i="10"/>
  <c r="A846" i="10"/>
  <c r="A824" i="10"/>
  <c r="A802" i="10"/>
  <c r="A780" i="10"/>
  <c r="A758" i="10"/>
  <c r="A736" i="10"/>
  <c r="A714" i="10"/>
  <c r="A692" i="10"/>
  <c r="A670" i="10"/>
  <c r="A648" i="10"/>
  <c r="A626" i="10"/>
  <c r="A604" i="10"/>
  <c r="A582" i="10"/>
  <c r="A560" i="10"/>
  <c r="A538" i="10"/>
  <c r="A516" i="10"/>
  <c r="A494" i="10"/>
  <c r="A467" i="10"/>
  <c r="A440" i="10"/>
  <c r="A418" i="10"/>
  <c r="A396" i="10"/>
  <c r="A374" i="10"/>
  <c r="A352" i="10"/>
  <c r="A330" i="10"/>
  <c r="A308" i="10"/>
  <c r="A286" i="10"/>
  <c r="A264" i="10"/>
  <c r="A242" i="10"/>
  <c r="A220" i="10"/>
  <c r="A198" i="10"/>
  <c r="A176" i="10"/>
  <c r="A154" i="10"/>
  <c r="A132" i="10"/>
  <c r="A110" i="10"/>
  <c r="A88" i="10"/>
  <c r="A66" i="10"/>
  <c r="A44" i="10"/>
  <c r="A22" i="10"/>
  <c r="A728" i="9"/>
  <c r="E719" i="9"/>
  <c r="F719" i="9" s="1"/>
  <c r="G720" i="9" s="1"/>
  <c r="E723" i="9" s="1"/>
  <c r="F723" i="9" s="1"/>
  <c r="E695" i="9"/>
  <c r="F695" i="9" s="1"/>
  <c r="E693" i="9"/>
  <c r="F693" i="9" s="1"/>
  <c r="E692" i="9"/>
  <c r="F692" i="9" s="1"/>
  <c r="A704" i="9"/>
  <c r="A677" i="9"/>
  <c r="E668" i="9"/>
  <c r="F668" i="9" s="1"/>
  <c r="G669" i="9" s="1"/>
  <c r="E672" i="9" s="1"/>
  <c r="F672" i="9" s="1"/>
  <c r="E645" i="9"/>
  <c r="F645" i="9" s="1"/>
  <c r="A653" i="9"/>
  <c r="A630" i="9"/>
  <c r="E622" i="9"/>
  <c r="F622" i="9" s="1"/>
  <c r="E598" i="9"/>
  <c r="F598" i="9" s="1"/>
  <c r="A606" i="9"/>
  <c r="A582" i="9"/>
  <c r="E574" i="9"/>
  <c r="F574" i="9" s="1"/>
  <c r="G575" i="9" s="1"/>
  <c r="E578" i="9" s="1"/>
  <c r="F578" i="9" s="1"/>
  <c r="G579" i="9" s="1"/>
  <c r="A560" i="9"/>
  <c r="E552" i="9"/>
  <c r="F552" i="9" s="1"/>
  <c r="G553" i="9" s="1"/>
  <c r="E556" i="9" s="1"/>
  <c r="F556" i="9" s="1"/>
  <c r="G557" i="9" s="1"/>
  <c r="A538" i="9"/>
  <c r="E530" i="9"/>
  <c r="F530" i="9" s="1"/>
  <c r="G531" i="9" s="1"/>
  <c r="E534" i="9" s="1"/>
  <c r="F534" i="9" s="1"/>
  <c r="G535" i="9" s="1"/>
  <c r="A516" i="9"/>
  <c r="A494" i="9"/>
  <c r="A472" i="9"/>
  <c r="A450" i="9"/>
  <c r="E442" i="9"/>
  <c r="F442" i="9" s="1"/>
  <c r="G443" i="9" s="1"/>
  <c r="E446" i="9" s="1"/>
  <c r="F446" i="9" s="1"/>
  <c r="G447" i="9" s="1"/>
  <c r="A428" i="9"/>
  <c r="E420" i="9"/>
  <c r="F420" i="9" s="1"/>
  <c r="G421" i="9" s="1"/>
  <c r="E424" i="9" s="1"/>
  <c r="F424" i="9" s="1"/>
  <c r="G425" i="9" s="1"/>
  <c r="A406" i="9"/>
  <c r="E398" i="9"/>
  <c r="F398" i="9" s="1"/>
  <c r="G399" i="9" s="1"/>
  <c r="E402" i="9" s="1"/>
  <c r="F402" i="9" s="1"/>
  <c r="G403" i="9" s="1"/>
  <c r="E376" i="9"/>
  <c r="F376" i="9" s="1"/>
  <c r="G377" i="9" s="1"/>
  <c r="E380" i="9" s="1"/>
  <c r="F380" i="9" s="1"/>
  <c r="G381" i="9" s="1"/>
  <c r="A384" i="9"/>
  <c r="E354" i="9"/>
  <c r="F354" i="9" s="1"/>
  <c r="G355" i="9" s="1"/>
  <c r="E358" i="9" s="1"/>
  <c r="F358" i="9" s="1"/>
  <c r="G359" i="9" s="1"/>
  <c r="A362" i="9"/>
  <c r="A340" i="9"/>
  <c r="E332" i="9"/>
  <c r="F332" i="9" s="1"/>
  <c r="G333" i="9" s="1"/>
  <c r="E336" i="9" s="1"/>
  <c r="F336" i="9" s="1"/>
  <c r="G337" i="9" s="1"/>
  <c r="A318" i="9"/>
  <c r="E310" i="9"/>
  <c r="F310" i="9" s="1"/>
  <c r="G311" i="9" s="1"/>
  <c r="E314" i="9" s="1"/>
  <c r="F314" i="9" s="1"/>
  <c r="G315" i="9" s="1"/>
  <c r="E288" i="9"/>
  <c r="F288" i="9" s="1"/>
  <c r="G289" i="9" s="1"/>
  <c r="E292" i="9" s="1"/>
  <c r="F292" i="9" s="1"/>
  <c r="G293" i="9" s="1"/>
  <c r="A296" i="9"/>
  <c r="A274" i="9"/>
  <c r="E266" i="9"/>
  <c r="F266" i="9" s="1"/>
  <c r="G267" i="9" s="1"/>
  <c r="E270" i="9" s="1"/>
  <c r="F270" i="9" s="1"/>
  <c r="G271" i="9" s="1"/>
  <c r="A226" i="9"/>
  <c r="E218" i="9"/>
  <c r="F218" i="9" s="1"/>
  <c r="E217" i="9"/>
  <c r="F217" i="9" s="1"/>
  <c r="E216" i="9"/>
  <c r="F216" i="9" s="1"/>
  <c r="F4076" i="26"/>
  <c r="E215" i="9"/>
  <c r="F215" i="9" s="1"/>
  <c r="E213" i="9"/>
  <c r="F213" i="9" s="1"/>
  <c r="E214" i="9"/>
  <c r="F214" i="9" s="1"/>
  <c r="A198" i="9"/>
  <c r="A151" i="9"/>
  <c r="E144" i="9"/>
  <c r="F144" i="9" s="1"/>
  <c r="E143" i="9"/>
  <c r="F143" i="9" s="1"/>
  <c r="E142" i="9"/>
  <c r="F142" i="9" s="1"/>
  <c r="E141" i="9"/>
  <c r="F141" i="9" s="1"/>
  <c r="A127" i="9"/>
  <c r="E120" i="9"/>
  <c r="F120" i="9" s="1"/>
  <c r="E119" i="9"/>
  <c r="F119" i="9" s="1"/>
  <c r="E118" i="9"/>
  <c r="F118" i="9" s="1"/>
  <c r="E117" i="9"/>
  <c r="F117" i="9" s="1"/>
  <c r="E116" i="9"/>
  <c r="F116" i="9" s="1"/>
  <c r="E547" i="20"/>
  <c r="F547" i="20" s="1"/>
  <c r="E545" i="20"/>
  <c r="F545" i="20" s="1"/>
  <c r="E540" i="20"/>
  <c r="F540" i="20" s="1"/>
  <c r="E519" i="20"/>
  <c r="F519" i="20" s="1"/>
  <c r="E518" i="20"/>
  <c r="F518" i="20" s="1"/>
  <c r="E494" i="20"/>
  <c r="F494" i="20" s="1"/>
  <c r="E493" i="20"/>
  <c r="F493" i="20" s="1"/>
  <c r="E492" i="20"/>
  <c r="F492" i="20" s="1"/>
  <c r="E468" i="20"/>
  <c r="F468" i="20" s="1"/>
  <c r="E467" i="20"/>
  <c r="F467" i="20" s="1"/>
  <c r="E443" i="20"/>
  <c r="F443" i="20" s="1"/>
  <c r="E442" i="20"/>
  <c r="F442" i="20" s="1"/>
  <c r="E441" i="20"/>
  <c r="F441" i="20" s="1"/>
  <c r="E439" i="20"/>
  <c r="F439" i="20" s="1"/>
  <c r="E433" i="20"/>
  <c r="F433" i="20" s="1"/>
  <c r="E434" i="20"/>
  <c r="F434" i="20" s="1"/>
  <c r="E406" i="20"/>
  <c r="F406" i="20" s="1"/>
  <c r="E405" i="20"/>
  <c r="F405" i="20" s="1"/>
  <c r="E403" i="20"/>
  <c r="F403" i="20" s="1"/>
  <c r="E402" i="20"/>
  <c r="F402" i="20" s="1"/>
  <c r="E401" i="20"/>
  <c r="F401" i="20" s="1"/>
  <c r="E377" i="20"/>
  <c r="F377" i="20" s="1"/>
  <c r="E375" i="20"/>
  <c r="F375" i="20" s="1"/>
  <c r="E370" i="20"/>
  <c r="F370" i="20" s="1"/>
  <c r="E349" i="20"/>
  <c r="F349" i="20" s="1"/>
  <c r="E347" i="20"/>
  <c r="F347" i="20" s="1"/>
  <c r="E346" i="20"/>
  <c r="F346" i="20" s="1"/>
  <c r="E345" i="20"/>
  <c r="F345" i="20" s="1"/>
  <c r="E322" i="20"/>
  <c r="F322" i="20" s="1"/>
  <c r="E321" i="20"/>
  <c r="F321" i="20" s="1"/>
  <c r="E320" i="20"/>
  <c r="F320" i="20" s="1"/>
  <c r="E318" i="20"/>
  <c r="F318" i="20" s="1"/>
  <c r="E313" i="20"/>
  <c r="F313" i="20" s="1"/>
  <c r="E312" i="20"/>
  <c r="F312" i="20" s="1"/>
  <c r="E20" i="20"/>
  <c r="E283" i="20"/>
  <c r="F283" i="20" s="1"/>
  <c r="E285" i="20"/>
  <c r="F285" i="20" s="1"/>
  <c r="E284" i="20"/>
  <c r="F284" i="20" s="1"/>
  <c r="E282" i="20"/>
  <c r="F282" i="20" s="1"/>
  <c r="E281" i="20"/>
  <c r="F281" i="20" s="1"/>
  <c r="E280" i="20"/>
  <c r="F280" i="20" s="1"/>
  <c r="E255" i="20"/>
  <c r="F255" i="20" s="1"/>
  <c r="E254" i="20"/>
  <c r="F254" i="20" s="1"/>
  <c r="E230" i="20"/>
  <c r="F230" i="20" s="1"/>
  <c r="E229" i="20"/>
  <c r="F229" i="20" s="1"/>
  <c r="E205" i="20"/>
  <c r="F205" i="20" s="1"/>
  <c r="E204" i="20"/>
  <c r="F204" i="20" s="1"/>
  <c r="E198" i="20"/>
  <c r="F198" i="20" s="1"/>
  <c r="E175" i="20"/>
  <c r="F175" i="20" s="1"/>
  <c r="E174" i="20"/>
  <c r="F174" i="20" s="1"/>
  <c r="E167" i="20"/>
  <c r="F167" i="20" s="1"/>
  <c r="E143" i="20"/>
  <c r="F143" i="20" s="1"/>
  <c r="E141" i="20"/>
  <c r="F141" i="20" s="1"/>
  <c r="E140" i="20"/>
  <c r="F140" i="20" s="1"/>
  <c r="E137" i="20"/>
  <c r="F137" i="20" s="1"/>
  <c r="E110" i="20"/>
  <c r="F110" i="20" s="1"/>
  <c r="E109" i="20"/>
  <c r="F109" i="20" s="1"/>
  <c r="E84" i="20"/>
  <c r="F84" i="20" s="1"/>
  <c r="E83" i="20"/>
  <c r="F83" i="20" s="1"/>
  <c r="E82" i="20"/>
  <c r="F82" i="20" s="1"/>
  <c r="E56" i="20"/>
  <c r="F56" i="20" s="1"/>
  <c r="E55" i="20"/>
  <c r="F55" i="20" s="1"/>
  <c r="E49" i="20"/>
  <c r="F49" i="20" s="1"/>
  <c r="E29" i="20"/>
  <c r="F29" i="20" s="1"/>
  <c r="E28" i="20"/>
  <c r="E27" i="20"/>
  <c r="F27" i="20" s="1"/>
  <c r="E25" i="20"/>
  <c r="F25" i="20" s="1"/>
  <c r="E19" i="20"/>
  <c r="F19" i="20" s="1"/>
  <c r="F470" i="20"/>
  <c r="F350" i="20"/>
  <c r="F178" i="20"/>
  <c r="F139" i="20"/>
  <c r="D75" i="20"/>
  <c r="F28" i="20"/>
  <c r="F20" i="20"/>
  <c r="E485" i="10"/>
  <c r="F485" i="10" s="1"/>
  <c r="E484" i="10"/>
  <c r="F484" i="10" s="1"/>
  <c r="E483" i="10"/>
  <c r="F483" i="10" s="1"/>
  <c r="E482" i="10"/>
  <c r="F482" i="10" s="1"/>
  <c r="E458" i="10"/>
  <c r="F458" i="10" s="1"/>
  <c r="E457" i="10"/>
  <c r="F457" i="10" s="1"/>
  <c r="E456" i="10"/>
  <c r="F456" i="10" s="1"/>
  <c r="F432" i="10"/>
  <c r="G433" i="10" s="1"/>
  <c r="E436" i="10" s="1"/>
  <c r="F436" i="10" s="1"/>
  <c r="G437" i="10" s="1"/>
  <c r="F278" i="10"/>
  <c r="G279" i="10" s="1"/>
  <c r="E282" i="10" s="1"/>
  <c r="F282" i="10" s="1"/>
  <c r="G283" i="10" s="1"/>
  <c r="F234" i="10"/>
  <c r="G235" i="10" s="1"/>
  <c r="E238" i="10" s="1"/>
  <c r="F238" i="10" s="1"/>
  <c r="G239" i="10" s="1"/>
  <c r="F58" i="10"/>
  <c r="G59" i="10" s="1"/>
  <c r="E62" i="10" s="1"/>
  <c r="F62" i="10" s="1"/>
  <c r="G63" i="10" s="1"/>
  <c r="E149" i="13"/>
  <c r="F149" i="13" s="1"/>
  <c r="E100" i="13"/>
  <c r="F100" i="13" s="1"/>
  <c r="E49" i="13"/>
  <c r="F49" i="13" s="1"/>
  <c r="E20" i="13"/>
  <c r="F20" i="13" s="1"/>
  <c r="E19" i="13"/>
  <c r="F19" i="13" s="1"/>
  <c r="E12" i="13"/>
  <c r="F12" i="13" s="1"/>
  <c r="E167" i="11"/>
  <c r="F167" i="11" s="1"/>
  <c r="E161" i="11"/>
  <c r="E159" i="11"/>
  <c r="F159" i="11" s="1"/>
  <c r="E136" i="11"/>
  <c r="F136" i="11" s="1"/>
  <c r="E134" i="11"/>
  <c r="F134" i="11" s="1"/>
  <c r="E133" i="11"/>
  <c r="F133" i="11" s="1"/>
  <c r="E132" i="11"/>
  <c r="F132" i="11" s="1"/>
  <c r="E128" i="11"/>
  <c r="F128" i="11" s="1"/>
  <c r="E106" i="11"/>
  <c r="F106" i="11" s="1"/>
  <c r="E104" i="11"/>
  <c r="F104" i="11" s="1"/>
  <c r="E103" i="11"/>
  <c r="F103" i="11" s="1"/>
  <c r="E102" i="11"/>
  <c r="F102" i="11" s="1"/>
  <c r="E101" i="11"/>
  <c r="F101" i="11" s="1"/>
  <c r="E97" i="11"/>
  <c r="F97" i="11" s="1"/>
  <c r="E77" i="11"/>
  <c r="F77" i="11" s="1"/>
  <c r="E49" i="11"/>
  <c r="F49" i="11" s="1"/>
  <c r="E21" i="11"/>
  <c r="F21" i="11" s="1"/>
  <c r="E369" i="7"/>
  <c r="F369" i="7" s="1"/>
  <c r="G370" i="7" s="1"/>
  <c r="E373" i="7" s="1"/>
  <c r="F373" i="7" s="1"/>
  <c r="E345" i="7"/>
  <c r="F345" i="7" s="1"/>
  <c r="E343" i="7"/>
  <c r="F343" i="7" s="1"/>
  <c r="E342" i="7"/>
  <c r="F342" i="7" s="1"/>
  <c r="E317" i="7"/>
  <c r="F317" i="7" s="1"/>
  <c r="E270" i="7"/>
  <c r="F270" i="7" s="1"/>
  <c r="E269" i="7"/>
  <c r="F269" i="7" s="1"/>
  <c r="E268" i="7"/>
  <c r="F268" i="7" s="1"/>
  <c r="E267" i="7"/>
  <c r="F267" i="7" s="1"/>
  <c r="E266" i="7"/>
  <c r="F266" i="7" s="1"/>
  <c r="E243" i="7"/>
  <c r="F243" i="7" s="1"/>
  <c r="E241" i="7"/>
  <c r="F241" i="7" s="1"/>
  <c r="E240" i="7"/>
  <c r="F240" i="7" s="1"/>
  <c r="E216" i="7"/>
  <c r="F216" i="7" s="1"/>
  <c r="E215" i="7"/>
  <c r="F215" i="7" s="1"/>
  <c r="E167" i="7"/>
  <c r="F167" i="7" s="1"/>
  <c r="G168" i="7" s="1"/>
  <c r="E171" i="7" s="1"/>
  <c r="F171" i="7" s="1"/>
  <c r="E143" i="7"/>
  <c r="F143" i="7" s="1"/>
  <c r="E141" i="7"/>
  <c r="E140" i="7"/>
  <c r="F140" i="7" s="1"/>
  <c r="E116" i="7"/>
  <c r="E115" i="7"/>
  <c r="F115" i="7" s="1"/>
  <c r="E68" i="7"/>
  <c r="F68" i="7" s="1"/>
  <c r="E66" i="7"/>
  <c r="F66" i="7" s="1"/>
  <c r="E65" i="7"/>
  <c r="F65" i="7" s="1"/>
  <c r="E41" i="7"/>
  <c r="F41" i="7" s="1"/>
  <c r="E40" i="7"/>
  <c r="F40" i="7" s="1"/>
  <c r="E37" i="6"/>
  <c r="F37" i="6" s="1"/>
  <c r="E12" i="6"/>
  <c r="F12" i="6" s="1"/>
  <c r="E42" i="6"/>
  <c r="F42" i="6" s="1"/>
  <c r="G42" i="6" s="1"/>
  <c r="E46" i="6" s="1"/>
  <c r="F46" i="6" s="1"/>
  <c r="E18" i="6"/>
  <c r="F18" i="6" s="1"/>
  <c r="E17" i="6"/>
  <c r="F17" i="6" s="1"/>
  <c r="A144" i="17"/>
  <c r="G140" i="17"/>
  <c r="F126" i="17"/>
  <c r="F25" i="16"/>
  <c r="E116" i="5" s="1"/>
  <c r="F116" i="5" s="1"/>
  <c r="A115" i="17"/>
  <c r="G111" i="17"/>
  <c r="F97" i="17"/>
  <c r="F96" i="17"/>
  <c r="E296" i="3"/>
  <c r="F296" i="3" s="1"/>
  <c r="E264" i="3"/>
  <c r="F264" i="3" s="1"/>
  <c r="E277" i="3"/>
  <c r="F277" i="3" s="1"/>
  <c r="E276" i="3"/>
  <c r="E275" i="3"/>
  <c r="F275" i="3" s="1"/>
  <c r="E274" i="3"/>
  <c r="F274" i="3" s="1"/>
  <c r="E265" i="3"/>
  <c r="F265" i="3" s="1"/>
  <c r="E245" i="3"/>
  <c r="F245" i="3" s="1"/>
  <c r="E244" i="3"/>
  <c r="F244" i="3" s="1"/>
  <c r="E242" i="3"/>
  <c r="F242" i="3" s="1"/>
  <c r="E234" i="3"/>
  <c r="F234" i="3" s="1"/>
  <c r="E211" i="3"/>
  <c r="F211" i="3" s="1"/>
  <c r="E215" i="3"/>
  <c r="F215" i="3" s="1"/>
  <c r="E214" i="3"/>
  <c r="F214" i="3" s="1"/>
  <c r="E213" i="3"/>
  <c r="F213" i="3" s="1"/>
  <c r="E209" i="3"/>
  <c r="F209" i="3" s="1"/>
  <c r="E202" i="3"/>
  <c r="F202" i="3" s="1"/>
  <c r="E182" i="3"/>
  <c r="F182" i="3" s="1"/>
  <c r="E183" i="3"/>
  <c r="F183" i="3" s="1"/>
  <c r="E178" i="3"/>
  <c r="F178" i="3" s="1"/>
  <c r="E172" i="3"/>
  <c r="F172" i="3" s="1"/>
  <c r="E151" i="3"/>
  <c r="E145" i="3"/>
  <c r="F145" i="3" s="1"/>
  <c r="E119" i="3"/>
  <c r="F119" i="3" s="1"/>
  <c r="E112" i="3"/>
  <c r="D112" i="3"/>
  <c r="D111" i="3"/>
  <c r="E89" i="3"/>
  <c r="F89" i="3" s="1"/>
  <c r="E88" i="3"/>
  <c r="F88" i="3" s="1"/>
  <c r="E25" i="3"/>
  <c r="F25" i="3" s="1"/>
  <c r="E87" i="3"/>
  <c r="F87" i="3" s="1"/>
  <c r="E86" i="3"/>
  <c r="F86" i="3" s="1"/>
  <c r="E84" i="3"/>
  <c r="F84" i="3" s="1"/>
  <c r="E83" i="3"/>
  <c r="F83" i="3" s="1"/>
  <c r="E77" i="3"/>
  <c r="A87" i="17"/>
  <c r="G83" i="17"/>
  <c r="F68" i="17"/>
  <c r="F69" i="17"/>
  <c r="E55" i="3"/>
  <c r="F55" i="3" s="1"/>
  <c r="E50" i="3"/>
  <c r="F50" i="3" s="1"/>
  <c r="E13" i="3"/>
  <c r="F13" i="3" s="1"/>
  <c r="A59" i="17"/>
  <c r="A29" i="17"/>
  <c r="B53" i="17"/>
  <c r="D53" i="17" s="1"/>
  <c r="F53" i="17" s="1"/>
  <c r="F40" i="17"/>
  <c r="F39" i="17"/>
  <c r="F38" i="17"/>
  <c r="E37" i="17"/>
  <c r="F10" i="17"/>
  <c r="E9" i="17"/>
  <c r="E8" i="17"/>
  <c r="B24" i="17" s="1"/>
  <c r="D24" i="17" s="1"/>
  <c r="F24" i="17" s="1"/>
  <c r="B54" i="17"/>
  <c r="D54" i="17" s="1"/>
  <c r="F54" i="17" s="1"/>
  <c r="E49" i="3"/>
  <c r="F49" i="3" s="1"/>
  <c r="E48" i="3"/>
  <c r="F48" i="3" s="1"/>
  <c r="E47" i="3"/>
  <c r="F47" i="3" s="1"/>
  <c r="E46" i="3"/>
  <c r="F46" i="3" s="1"/>
  <c r="E1436" i="5"/>
  <c r="F1436" i="5" s="1"/>
  <c r="E663" i="5"/>
  <c r="F663" i="5" s="1"/>
  <c r="E133" i="20"/>
  <c r="F133" i="20" s="1"/>
  <c r="E227" i="5"/>
  <c r="F227" i="5" s="1"/>
  <c r="E743" i="5"/>
  <c r="F743" i="5" s="1"/>
  <c r="E639" i="5"/>
  <c r="F639" i="5" s="1"/>
  <c r="E1173" i="5"/>
  <c r="F1173" i="5" s="1"/>
  <c r="E174" i="5"/>
  <c r="F174" i="5" s="1"/>
  <c r="E875" i="5"/>
  <c r="F875" i="5" s="1"/>
  <c r="E691" i="5"/>
  <c r="F691" i="5" s="1"/>
  <c r="E146" i="5"/>
  <c r="F146" i="5" s="1"/>
  <c r="E612" i="5"/>
  <c r="F612" i="5" s="1"/>
  <c r="E64" i="5"/>
  <c r="F64" i="5" s="1"/>
  <c r="E690" i="5"/>
  <c r="F690" i="5" s="1"/>
  <c r="E1544" i="5"/>
  <c r="F1544" i="5" s="1"/>
  <c r="E900" i="5"/>
  <c r="F900" i="5" s="1"/>
  <c r="E1198" i="5"/>
  <c r="F1198" i="5" s="1"/>
  <c r="E1172" i="5"/>
  <c r="F1172" i="5" s="1"/>
  <c r="E926" i="5"/>
  <c r="F926" i="5" s="1"/>
  <c r="E1063" i="5"/>
  <c r="F1063" i="5" s="1"/>
  <c r="E874" i="5"/>
  <c r="F874" i="5" s="1"/>
  <c r="E848" i="5"/>
  <c r="F848" i="5" s="1"/>
  <c r="E1035" i="5"/>
  <c r="F1035" i="5" s="1"/>
  <c r="E1437" i="5"/>
  <c r="F1437" i="5" s="1"/>
  <c r="E1353" i="5"/>
  <c r="F1353" i="5" s="1"/>
  <c r="E68" i="11"/>
  <c r="F68" i="11" s="1"/>
  <c r="E12" i="11"/>
  <c r="F12" i="11" s="1"/>
  <c r="E338" i="7"/>
  <c r="F338" i="7" s="1"/>
  <c r="E160" i="11"/>
  <c r="E187" i="7"/>
  <c r="F187" i="7" s="1"/>
  <c r="E289" i="7"/>
  <c r="F289" i="7" s="1"/>
  <c r="E96" i="11"/>
  <c r="F96" i="11" s="1"/>
  <c r="E210" i="7"/>
  <c r="F210" i="7" s="1"/>
  <c r="E110" i="7"/>
  <c r="F110" i="7" s="1"/>
  <c r="E12" i="7"/>
  <c r="F12" i="7" s="1"/>
  <c r="E87" i="7"/>
  <c r="F87" i="7" s="1"/>
  <c r="E61" i="7"/>
  <c r="F61" i="7" s="1"/>
  <c r="E12" i="20"/>
  <c r="F12" i="20" s="1"/>
  <c r="E169" i="13"/>
  <c r="F169" i="13" s="1"/>
  <c r="E168" i="20"/>
  <c r="F168" i="20" s="1"/>
  <c r="E365" i="7"/>
  <c r="F365" i="7" s="1"/>
  <c r="E290" i="7"/>
  <c r="F290" i="7" s="1"/>
  <c r="E41" i="11"/>
  <c r="F41" i="11" s="1"/>
  <c r="E339" i="7"/>
  <c r="F339" i="7" s="1"/>
  <c r="E188" i="7"/>
  <c r="F188" i="7" s="1"/>
  <c r="E62" i="7"/>
  <c r="F62" i="7" s="1"/>
  <c r="E163" i="7"/>
  <c r="F163" i="7" s="1"/>
  <c r="E111" i="7"/>
  <c r="F111" i="7" s="1"/>
  <c r="E267" i="3"/>
  <c r="F267" i="3" s="1"/>
  <c r="E203" i="3"/>
  <c r="F203" i="3" s="1"/>
  <c r="E173" i="3"/>
  <c r="F173" i="3" s="1"/>
  <c r="E113" i="3"/>
  <c r="F113" i="3" s="1"/>
  <c r="E11" i="3"/>
  <c r="F11" i="3" s="1"/>
  <c r="E75" i="3"/>
  <c r="F75" i="3" s="1"/>
  <c r="E14" i="3"/>
  <c r="F14" i="3" s="1"/>
  <c r="E79" i="3"/>
  <c r="F79" i="3" s="1"/>
  <c r="E146" i="3"/>
  <c r="F146" i="3" s="1"/>
  <c r="F12" i="16"/>
  <c r="E171" i="13"/>
  <c r="F171" i="13" s="1"/>
  <c r="E795" i="5"/>
  <c r="F795" i="5" s="1"/>
  <c r="E263" i="3"/>
  <c r="F263" i="3" s="1"/>
  <c r="E76" i="3"/>
  <c r="E111" i="3"/>
  <c r="E621" i="9"/>
  <c r="F621" i="9" s="1"/>
  <c r="E597" i="9"/>
  <c r="F597" i="9" s="1"/>
  <c r="E546" i="20"/>
  <c r="F546" i="20" s="1"/>
  <c r="E44" i="11"/>
  <c r="F44" i="11" s="1"/>
  <c r="E16" i="11"/>
  <c r="F16" i="11" s="1"/>
  <c r="E72" i="11"/>
  <c r="F72" i="11" s="1"/>
  <c r="E19" i="3"/>
  <c r="F19" i="3" s="1"/>
  <c r="E20" i="3"/>
  <c r="F20" i="3" s="1"/>
  <c r="E435" i="20"/>
  <c r="F435" i="20" s="1"/>
  <c r="E176" i="20"/>
  <c r="F176" i="20" s="1"/>
  <c r="E144" i="20"/>
  <c r="F144" i="20" s="1"/>
  <c r="E314" i="20"/>
  <c r="F314" i="20" s="1"/>
  <c r="E105" i="11"/>
  <c r="F105" i="11" s="1"/>
  <c r="E135" i="11"/>
  <c r="F135" i="11" s="1"/>
  <c r="E79" i="1"/>
  <c r="F79" i="1" s="1"/>
  <c r="E78" i="1"/>
  <c r="F78" i="1" s="1"/>
  <c r="E77" i="1"/>
  <c r="F77" i="1" s="1"/>
  <c r="E76" i="1"/>
  <c r="F76" i="1" s="1"/>
  <c r="E54" i="1"/>
  <c r="F54" i="1" s="1"/>
  <c r="E53" i="1"/>
  <c r="F53" i="1" s="1"/>
  <c r="E52" i="1"/>
  <c r="F52" i="1" s="1"/>
  <c r="E51" i="1"/>
  <c r="F51" i="1" s="1"/>
  <c r="E50" i="1"/>
  <c r="F50" i="1" s="1"/>
  <c r="E49" i="1"/>
  <c r="F49" i="1" s="1"/>
  <c r="E48" i="1"/>
  <c r="F48" i="1" s="1"/>
  <c r="E46" i="1"/>
  <c r="F46" i="1" s="1"/>
  <c r="E45" i="1"/>
  <c r="F45" i="1" s="1"/>
  <c r="E44" i="1"/>
  <c r="F44" i="1" s="1"/>
  <c r="E43" i="1"/>
  <c r="F43" i="1" s="1"/>
  <c r="E42" i="1"/>
  <c r="F42" i="1" s="1"/>
  <c r="E41" i="1"/>
  <c r="F41" i="1" s="1"/>
  <c r="F12" i="1"/>
  <c r="N42" i="15"/>
  <c r="B28" i="15" s="1"/>
  <c r="J35" i="15"/>
  <c r="H35" i="15"/>
  <c r="F35" i="15"/>
  <c r="D35" i="15"/>
  <c r="N32" i="15"/>
  <c r="B26" i="15" s="1"/>
  <c r="J23" i="15"/>
  <c r="D23" i="15"/>
  <c r="D10" i="15"/>
  <c r="D24" i="15" s="1"/>
  <c r="H9" i="15"/>
  <c r="F9" i="15"/>
  <c r="J9" i="15" s="1"/>
  <c r="F8" i="15"/>
  <c r="H23" i="15"/>
  <c r="D34" i="15"/>
  <c r="D38" i="15"/>
  <c r="F51" i="13"/>
  <c r="F23" i="13"/>
  <c r="D161" i="11"/>
  <c r="D160" i="11"/>
  <c r="F531" i="10"/>
  <c r="F694" i="9"/>
  <c r="F646" i="9"/>
  <c r="F509" i="9"/>
  <c r="F487" i="9"/>
  <c r="F465" i="9"/>
  <c r="F191" i="9"/>
  <c r="F190" i="9"/>
  <c r="F189" i="9"/>
  <c r="F188" i="9"/>
  <c r="F167" i="9"/>
  <c r="F166" i="9"/>
  <c r="F165" i="9"/>
  <c r="F141" i="7"/>
  <c r="F116" i="7"/>
  <c r="F306" i="3"/>
  <c r="F304" i="3"/>
  <c r="F303" i="3"/>
  <c r="D302" i="3"/>
  <c r="F301" i="3"/>
  <c r="F298" i="3"/>
  <c r="D276" i="3"/>
  <c r="D179" i="3"/>
  <c r="F151" i="3"/>
  <c r="F122" i="3"/>
  <c r="D77" i="3"/>
  <c r="D76" i="3"/>
  <c r="F57" i="3"/>
  <c r="E882" i="10"/>
  <c r="F882" i="10" s="1"/>
  <c r="G883" i="10" s="1"/>
  <c r="E886" i="10" s="1"/>
  <c r="F886" i="10" s="1"/>
  <c r="G887" i="10" s="1"/>
  <c r="F366" i="10"/>
  <c r="G367" i="10" s="1"/>
  <c r="E370" i="10" s="1"/>
  <c r="F370" i="10" s="1"/>
  <c r="G371" i="10" s="1"/>
  <c r="F168" i="10"/>
  <c r="G169" i="10" s="1"/>
  <c r="E172" i="10" s="1"/>
  <c r="F172" i="10" s="1"/>
  <c r="G173" i="10" s="1"/>
  <c r="F146" i="10"/>
  <c r="G147" i="10" s="1"/>
  <c r="E150" i="10" s="1"/>
  <c r="F150" i="10" s="1"/>
  <c r="G151" i="10" s="1"/>
  <c r="F124" i="10"/>
  <c r="G125" i="10" s="1"/>
  <c r="E128" i="10" s="1"/>
  <c r="F128" i="10" s="1"/>
  <c r="G129" i="10" s="1"/>
  <c r="F102" i="10"/>
  <c r="G103" i="10" s="1"/>
  <c r="E106" i="10" s="1"/>
  <c r="F106" i="10" s="1"/>
  <c r="G107" i="10" s="1"/>
  <c r="F36" i="10"/>
  <c r="G37" i="10" s="1"/>
  <c r="E40" i="10" s="1"/>
  <c r="F40" i="10" s="1"/>
  <c r="G41" i="10" s="1"/>
  <c r="F14" i="10"/>
  <c r="G15" i="10" s="1"/>
  <c r="E18" i="10" s="1"/>
  <c r="F18" i="10" s="1"/>
  <c r="G19" i="10" s="1"/>
  <c r="E1146" i="10"/>
  <c r="F1146" i="10" s="1"/>
  <c r="G1147" i="10" s="1"/>
  <c r="E1150" i="10" s="1"/>
  <c r="F1150" i="10" s="1"/>
  <c r="G1151" i="10" s="1"/>
  <c r="E1124" i="10"/>
  <c r="F1124" i="10" s="1"/>
  <c r="G1125" i="10" s="1"/>
  <c r="E1128" i="10" s="1"/>
  <c r="F1128" i="10" s="1"/>
  <c r="G1129" i="10" s="1"/>
  <c r="E80" i="20"/>
  <c r="F80" i="20" s="1"/>
  <c r="F23" i="1"/>
  <c r="G23" i="1" s="1"/>
  <c r="F57" i="1"/>
  <c r="G57" i="1" s="1"/>
  <c r="F212" i="10"/>
  <c r="G213" i="10" s="1"/>
  <c r="E216" i="10" s="1"/>
  <c r="F216" i="10" s="1"/>
  <c r="G217" i="10" s="1"/>
  <c r="F256" i="10"/>
  <c r="G257" i="10" s="1"/>
  <c r="E260" i="10" s="1"/>
  <c r="F260" i="10" s="1"/>
  <c r="G261" i="10" s="1"/>
  <c r="F322" i="10"/>
  <c r="G323" i="10" s="1"/>
  <c r="E326" i="10" s="1"/>
  <c r="F326" i="10" s="1"/>
  <c r="G327" i="10" s="1"/>
  <c r="F344" i="10"/>
  <c r="G345" i="10" s="1"/>
  <c r="E348" i="10" s="1"/>
  <c r="F348" i="10" s="1"/>
  <c r="G349" i="10" s="1"/>
  <c r="F410" i="10"/>
  <c r="G411" i="10" s="1"/>
  <c r="E414" i="10" s="1"/>
  <c r="F414" i="10" s="1"/>
  <c r="G415" i="10" s="1"/>
  <c r="F508" i="10"/>
  <c r="G509" i="10" s="1"/>
  <c r="E512" i="10" s="1"/>
  <c r="F512" i="10" s="1"/>
  <c r="G513" i="10" s="1"/>
  <c r="E640" i="10"/>
  <c r="F640" i="10" s="1"/>
  <c r="G641" i="10" s="1"/>
  <c r="E644" i="10" s="1"/>
  <c r="F644" i="10" s="1"/>
  <c r="G645" i="10" s="1"/>
  <c r="E137" i="11" l="1"/>
  <c r="F137" i="11" s="1"/>
  <c r="E954" i="5"/>
  <c r="F954" i="5" s="1"/>
  <c r="E469" i="20"/>
  <c r="F469" i="20" s="1"/>
  <c r="E1118" i="5"/>
  <c r="F1118" i="5" s="1"/>
  <c r="E981" i="5"/>
  <c r="F981" i="5" s="1"/>
  <c r="E241" i="3"/>
  <c r="F241" i="3" s="1"/>
  <c r="E119" i="5"/>
  <c r="F119" i="5" s="1"/>
  <c r="E1145" i="5"/>
  <c r="F1145" i="5" s="1"/>
  <c r="J467" i="19"/>
  <c r="G3997" i="26"/>
  <c r="E4000" i="26" s="1"/>
  <c r="F4000" i="26" s="1"/>
  <c r="G4001" i="26" s="1"/>
  <c r="F8" i="17"/>
  <c r="G3945" i="26"/>
  <c r="E3948" i="26" s="1"/>
  <c r="F3948" i="26" s="1"/>
  <c r="G3949" i="26" s="1"/>
  <c r="G624" i="23"/>
  <c r="E627" i="23" s="1"/>
  <c r="F627" i="23" s="1"/>
  <c r="G628" i="23" s="1"/>
  <c r="D12" i="15"/>
  <c r="D21" i="15" s="1"/>
  <c r="E45" i="11"/>
  <c r="F45" i="11" s="1"/>
  <c r="E76" i="11"/>
  <c r="F76" i="11" s="1"/>
  <c r="G4081" i="26"/>
  <c r="E4084" i="26" s="1"/>
  <c r="F4084" i="26" s="1"/>
  <c r="G4085" i="26" s="1"/>
  <c r="G4091" i="26" s="1"/>
  <c r="E73" i="11"/>
  <c r="F73" i="11" s="1"/>
  <c r="E203" i="20"/>
  <c r="F203" i="20" s="1"/>
  <c r="E48" i="11"/>
  <c r="F48" i="11" s="1"/>
  <c r="E20" i="11"/>
  <c r="F20" i="11" s="1"/>
  <c r="E376" i="20"/>
  <c r="F376" i="20" s="1"/>
  <c r="G4140" i="26"/>
  <c r="E4143" i="26" s="1"/>
  <c r="F4143" i="26" s="1"/>
  <c r="G4144" i="26" s="1"/>
  <c r="G4150" i="26" s="1"/>
  <c r="F744" i="5"/>
  <c r="E26" i="20"/>
  <c r="F26" i="20" s="1"/>
  <c r="E21" i="13"/>
  <c r="F21" i="13" s="1"/>
  <c r="E316" i="20"/>
  <c r="F316" i="20" s="1"/>
  <c r="G1879" i="26"/>
  <c r="F533" i="19" s="1"/>
  <c r="E123" i="3"/>
  <c r="F123" i="3" s="1"/>
  <c r="E118" i="3"/>
  <c r="F118" i="3" s="1"/>
  <c r="E75" i="11"/>
  <c r="F75" i="11" s="1"/>
  <c r="E18" i="3"/>
  <c r="F18" i="3" s="1"/>
  <c r="E121" i="3"/>
  <c r="F121" i="3" s="1"/>
  <c r="E99" i="13"/>
  <c r="F99" i="13" s="1"/>
  <c r="G101" i="13" s="1"/>
  <c r="E104" i="13" s="1"/>
  <c r="F104" i="13" s="1"/>
  <c r="E138" i="11"/>
  <c r="F138" i="11" s="1"/>
  <c r="G139" i="11" s="1"/>
  <c r="E142" i="11" s="1"/>
  <c r="F142" i="11" s="1"/>
  <c r="E150" i="3"/>
  <c r="F150" i="3" s="1"/>
  <c r="E243" i="3"/>
  <c r="F243" i="3" s="1"/>
  <c r="E273" i="3"/>
  <c r="F273" i="3" s="1"/>
  <c r="E120" i="3"/>
  <c r="F120" i="3" s="1"/>
  <c r="E437" i="20"/>
  <c r="F437" i="20" s="1"/>
  <c r="E986" i="5"/>
  <c r="F986" i="5" s="1"/>
  <c r="G4189" i="26"/>
  <c r="E4192" i="26" s="1"/>
  <c r="F4192" i="26" s="1"/>
  <c r="G4193" i="26" s="1"/>
  <c r="G4199" i="26" s="1"/>
  <c r="E47" i="1"/>
  <c r="F47" i="1" s="1"/>
  <c r="G54" i="1" s="1"/>
  <c r="E22" i="3"/>
  <c r="F22" i="3" s="1"/>
  <c r="E305" i="3"/>
  <c r="F305" i="3" s="1"/>
  <c r="E178" i="13"/>
  <c r="F178" i="13" s="1"/>
  <c r="G3577" i="26"/>
  <c r="E3580" i="26" s="1"/>
  <c r="F3580" i="26" s="1"/>
  <c r="G3581" i="26" s="1"/>
  <c r="G3587" i="26" s="1"/>
  <c r="E166" i="11"/>
  <c r="F166" i="11" s="1"/>
  <c r="G419" i="21"/>
  <c r="E422" i="21" s="1"/>
  <c r="F422" i="21" s="1"/>
  <c r="G423" i="21" s="1"/>
  <c r="E558" i="5"/>
  <c r="F558" i="5" s="1"/>
  <c r="F61" i="3"/>
  <c r="F2190" i="26"/>
  <c r="G2193" i="26" s="1"/>
  <c r="E2196" i="26" s="1"/>
  <c r="F2196" i="26" s="1"/>
  <c r="G2197" i="26" s="1"/>
  <c r="G2203" i="26" s="1"/>
  <c r="E2223" i="26"/>
  <c r="F2223" i="26" s="1"/>
  <c r="G2226" i="26" s="1"/>
  <c r="E2229" i="26" s="1"/>
  <c r="F2229" i="26" s="1"/>
  <c r="G2230" i="26" s="1"/>
  <c r="G2236" i="26" s="1"/>
  <c r="E1268" i="26"/>
  <c r="F1268" i="26" s="1"/>
  <c r="G1269" i="26" s="1"/>
  <c r="E1272" i="26" s="1"/>
  <c r="F1272" i="26" s="1"/>
  <c r="G1273" i="26" s="1"/>
  <c r="G1279" i="26" s="1"/>
  <c r="E225" i="26"/>
  <c r="F225" i="26" s="1"/>
  <c r="G226" i="26" s="1"/>
  <c r="E229" i="26" s="1"/>
  <c r="F229" i="26" s="1"/>
  <c r="G230" i="26" s="1"/>
  <c r="E2068" i="26"/>
  <c r="F2068" i="26" s="1"/>
  <c r="G2069" i="26" s="1"/>
  <c r="E2072" i="26" s="1"/>
  <c r="F2072" i="26" s="1"/>
  <c r="G2073" i="26" s="1"/>
  <c r="G2079" i="26" s="1"/>
  <c r="E2990" i="26"/>
  <c r="F2990" i="26" s="1"/>
  <c r="G2992" i="26" s="1"/>
  <c r="E2995" i="26" s="1"/>
  <c r="F2995" i="26" s="1"/>
  <c r="G2996" i="26" s="1"/>
  <c r="G3002" i="26" s="1"/>
  <c r="E2609" i="26"/>
  <c r="F2609" i="26" s="1"/>
  <c r="E1655" i="26"/>
  <c r="F1655" i="26" s="1"/>
  <c r="G1657" i="26" s="1"/>
  <c r="E1660" i="26" s="1"/>
  <c r="F1660" i="26" s="1"/>
  <c r="G1661" i="26" s="1"/>
  <c r="G1667" i="26" s="1"/>
  <c r="E769" i="26"/>
  <c r="F769" i="26" s="1"/>
  <c r="G771" i="26" s="1"/>
  <c r="E774" i="26" s="1"/>
  <c r="F774" i="26" s="1"/>
  <c r="G775" i="26" s="1"/>
  <c r="G781" i="26" s="1"/>
  <c r="E2581" i="26"/>
  <c r="F2581" i="26" s="1"/>
  <c r="E1627" i="26"/>
  <c r="F1627" i="26" s="1"/>
  <c r="G1629" i="26" s="1"/>
  <c r="E1632" i="26" s="1"/>
  <c r="F1632" i="26" s="1"/>
  <c r="G1633" i="26" s="1"/>
  <c r="G1639" i="26" s="1"/>
  <c r="E3018" i="26"/>
  <c r="F3018" i="26" s="1"/>
  <c r="G3020" i="26" s="1"/>
  <c r="E3023" i="26" s="1"/>
  <c r="F3023" i="26" s="1"/>
  <c r="G3024" i="26" s="1"/>
  <c r="E2637" i="26"/>
  <c r="F2637" i="26" s="1"/>
  <c r="G2639" i="26" s="1"/>
  <c r="E2642" i="26" s="1"/>
  <c r="F2642" i="26" s="1"/>
  <c r="G2643" i="26" s="1"/>
  <c r="G2649" i="26" s="1"/>
  <c r="E1683" i="26"/>
  <c r="F1683" i="26" s="1"/>
  <c r="G1685" i="26" s="1"/>
  <c r="E1688" i="26" s="1"/>
  <c r="F1688" i="26" s="1"/>
  <c r="G1689" i="26" s="1"/>
  <c r="G1695" i="26" s="1"/>
  <c r="E797" i="26"/>
  <c r="F797" i="26" s="1"/>
  <c r="G799" i="26" s="1"/>
  <c r="E802" i="26" s="1"/>
  <c r="F802" i="26" s="1"/>
  <c r="G803" i="26" s="1"/>
  <c r="G809" i="26" s="1"/>
  <c r="E3046" i="26"/>
  <c r="F3046" i="26" s="1"/>
  <c r="G3048" i="26" s="1"/>
  <c r="E3051" i="26" s="1"/>
  <c r="F3051" i="26" s="1"/>
  <c r="G3052" i="26" s="1"/>
  <c r="G3058" i="26" s="1"/>
  <c r="E825" i="26"/>
  <c r="F825" i="26" s="1"/>
  <c r="G827" i="26" s="1"/>
  <c r="E830" i="26" s="1"/>
  <c r="F830" i="26" s="1"/>
  <c r="G831" i="26" s="1"/>
  <c r="G837" i="26" s="1"/>
  <c r="D30" i="15"/>
  <c r="E3601" i="26"/>
  <c r="F3601" i="26" s="1"/>
  <c r="G3602" i="26" s="1"/>
  <c r="E3605" i="26" s="1"/>
  <c r="F3605" i="26" s="1"/>
  <c r="G3606" i="26" s="1"/>
  <c r="G3612" i="26" s="1"/>
  <c r="G708" i="23"/>
  <c r="D18" i="15"/>
  <c r="D31" i="15" s="1"/>
  <c r="E23" i="3"/>
  <c r="F23" i="3" s="1"/>
  <c r="E149" i="3"/>
  <c r="F149" i="3" s="1"/>
  <c r="F75" i="20"/>
  <c r="E319" i="20"/>
  <c r="F319" i="20" s="1"/>
  <c r="E19" i="11"/>
  <c r="F19" i="11" s="1"/>
  <c r="F161" i="11"/>
  <c r="E177" i="13"/>
  <c r="F177" i="13" s="1"/>
  <c r="E142" i="20"/>
  <c r="F142" i="20" s="1"/>
  <c r="E440" i="20"/>
  <c r="F440" i="20" s="1"/>
  <c r="E2692" i="26"/>
  <c r="F2692" i="26" s="1"/>
  <c r="G2693" i="26" s="1"/>
  <c r="E2696" i="26" s="1"/>
  <c r="F2696" i="26" s="1"/>
  <c r="G2697" i="26" s="1"/>
  <c r="G2703" i="26" s="1"/>
  <c r="E1738" i="26"/>
  <c r="F1738" i="26" s="1"/>
  <c r="G1739" i="26" s="1"/>
  <c r="E1742" i="26" s="1"/>
  <c r="F1742" i="26" s="1"/>
  <c r="G1743" i="26" s="1"/>
  <c r="G1749" i="26" s="1"/>
  <c r="E250" i="26"/>
  <c r="F250" i="26" s="1"/>
  <c r="G251" i="26" s="1"/>
  <c r="E254" i="26" s="1"/>
  <c r="F254" i="26" s="1"/>
  <c r="G255" i="26" s="1"/>
  <c r="E909" i="26"/>
  <c r="F909" i="26" s="1"/>
  <c r="G910" i="26" s="1"/>
  <c r="E913" i="26" s="1"/>
  <c r="F913" i="26" s="1"/>
  <c r="G914" i="26" s="1"/>
  <c r="G920" i="26" s="1"/>
  <c r="E2093" i="26"/>
  <c r="F2093" i="26" s="1"/>
  <c r="E1293" i="26"/>
  <c r="F1293" i="26" s="1"/>
  <c r="G1294" i="26" s="1"/>
  <c r="E1297" i="26" s="1"/>
  <c r="F1297" i="26" s="1"/>
  <c r="G1298" i="26" s="1"/>
  <c r="G1304" i="26" s="1"/>
  <c r="E3326" i="26"/>
  <c r="F3326" i="26" s="1"/>
  <c r="G3327" i="26" s="1"/>
  <c r="E3330" i="26" s="1"/>
  <c r="F3330" i="26" s="1"/>
  <c r="G3331" i="26" s="1"/>
  <c r="G3337" i="26" s="1"/>
  <c r="F618" i="5"/>
  <c r="G3072" i="26"/>
  <c r="E3075" i="26" s="1"/>
  <c r="F3075" i="26" s="1"/>
  <c r="G3076" i="26" s="1"/>
  <c r="G3083" i="26" s="1"/>
  <c r="G3880" i="26"/>
  <c r="F632" i="19" s="1"/>
  <c r="E3699" i="26"/>
  <c r="F3699" i="26" s="1"/>
  <c r="E175" i="13"/>
  <c r="F175" i="13" s="1"/>
  <c r="F452" i="5"/>
  <c r="E74" i="13"/>
  <c r="F74" i="13" s="1"/>
  <c r="G76" i="13" s="1"/>
  <c r="E79" i="13" s="1"/>
  <c r="F79" i="13" s="1"/>
  <c r="E181" i="3"/>
  <c r="F181" i="3" s="1"/>
  <c r="E146" i="20"/>
  <c r="F146" i="20" s="1"/>
  <c r="E212" i="3"/>
  <c r="F212" i="3" s="1"/>
  <c r="E23" i="20"/>
  <c r="F23" i="20" s="1"/>
  <c r="E1892" i="26"/>
  <c r="F1892" i="26" s="1"/>
  <c r="G1893" i="26" s="1"/>
  <c r="E1896" i="26" s="1"/>
  <c r="F1896" i="26" s="1"/>
  <c r="G1897" i="26" s="1"/>
  <c r="G1903" i="26" s="1"/>
  <c r="E1063" i="26"/>
  <c r="F1063" i="26" s="1"/>
  <c r="G1064" i="26" s="1"/>
  <c r="E1067" i="26" s="1"/>
  <c r="F1067" i="26" s="1"/>
  <c r="G1068" i="26" s="1"/>
  <c r="G1074" i="26" s="1"/>
  <c r="E2821" i="26"/>
  <c r="F2821" i="26" s="1"/>
  <c r="G2822" i="26" s="1"/>
  <c r="E2825" i="26" s="1"/>
  <c r="F2825" i="26" s="1"/>
  <c r="G2826" i="26" s="1"/>
  <c r="G3674" i="26"/>
  <c r="E3677" i="26" s="1"/>
  <c r="F3677" i="26" s="1"/>
  <c r="G3678" i="26" s="1"/>
  <c r="G3684" i="26" s="1"/>
  <c r="F634" i="19"/>
  <c r="F640" i="19"/>
  <c r="F472" i="19"/>
  <c r="G2278" i="26"/>
  <c r="E2281" i="26" s="1"/>
  <c r="F2281" i="26" s="1"/>
  <c r="G2282" i="26" s="1"/>
  <c r="G2288" i="26" s="1"/>
  <c r="G402" i="26"/>
  <c r="E405" i="26" s="1"/>
  <c r="F405" i="26" s="1"/>
  <c r="G406" i="26" s="1"/>
  <c r="G412" i="26" s="1"/>
  <c r="G1943" i="26"/>
  <c r="E1946" i="26" s="1"/>
  <c r="F1946" i="26" s="1"/>
  <c r="G1947" i="26" s="1"/>
  <c r="E90" i="3"/>
  <c r="F90" i="3" s="1"/>
  <c r="E179" i="13"/>
  <c r="F179" i="13" s="1"/>
  <c r="E46" i="11"/>
  <c r="F46" i="11" s="1"/>
  <c r="F80" i="10"/>
  <c r="G81" i="10" s="1"/>
  <c r="E84" i="10" s="1"/>
  <c r="F84" i="10" s="1"/>
  <c r="G85" i="10" s="1"/>
  <c r="E348" i="20"/>
  <c r="F348" i="20" s="1"/>
  <c r="G350" i="20" s="1"/>
  <c r="E353" i="20" s="1"/>
  <c r="F353" i="20" s="1"/>
  <c r="E242" i="7"/>
  <c r="F242" i="7" s="1"/>
  <c r="G243" i="7" s="1"/>
  <c r="E247" i="7" s="1"/>
  <c r="F247" i="7" s="1"/>
  <c r="E208" i="3"/>
  <c r="F208" i="3" s="1"/>
  <c r="E74" i="11"/>
  <c r="F74" i="11" s="1"/>
  <c r="E272" i="3"/>
  <c r="F272" i="3" s="1"/>
  <c r="E39" i="7"/>
  <c r="F39" i="7" s="1"/>
  <c r="G895" i="21"/>
  <c r="E898" i="21" s="1"/>
  <c r="F898" i="21" s="1"/>
  <c r="G899" i="21" s="1"/>
  <c r="G150" i="13"/>
  <c r="E153" i="13" s="1"/>
  <c r="F153" i="13" s="1"/>
  <c r="G154" i="13" s="1"/>
  <c r="F37" i="17"/>
  <c r="G42" i="17" s="1"/>
  <c r="G1073" i="23"/>
  <c r="E1076" i="23" s="1"/>
  <c r="F1076" i="23" s="1"/>
  <c r="G1077" i="23" s="1"/>
  <c r="G365" i="23"/>
  <c r="E368" i="23" s="1"/>
  <c r="F368" i="23" s="1"/>
  <c r="G369" i="23" s="1"/>
  <c r="E397" i="20"/>
  <c r="F397" i="20" s="1"/>
  <c r="E14" i="20"/>
  <c r="F14" i="20" s="1"/>
  <c r="G520" i="20"/>
  <c r="E524" i="20" s="1"/>
  <c r="F524" i="20" s="1"/>
  <c r="G231" i="20"/>
  <c r="E235" i="20" s="1"/>
  <c r="F235" i="20" s="1"/>
  <c r="G811" i="21"/>
  <c r="E814" i="21" s="1"/>
  <c r="F814" i="21" s="1"/>
  <c r="G815" i="21" s="1"/>
  <c r="G245" i="22"/>
  <c r="E248" i="22" s="1"/>
  <c r="F248" i="22" s="1"/>
  <c r="G249" i="22" s="1"/>
  <c r="E235" i="3"/>
  <c r="F235" i="3" s="1"/>
  <c r="E110" i="3"/>
  <c r="F110" i="3" s="1"/>
  <c r="E741" i="5"/>
  <c r="F741" i="5" s="1"/>
  <c r="E463" i="20"/>
  <c r="F463" i="20" s="1"/>
  <c r="E51" i="3"/>
  <c r="F51" i="3" s="1"/>
  <c r="G18" i="6"/>
  <c r="E22" i="6" s="1"/>
  <c r="F22" i="6" s="1"/>
  <c r="G82" i="23"/>
  <c r="G167" i="9"/>
  <c r="E170" i="9" s="1"/>
  <c r="F170" i="9" s="1"/>
  <c r="G509" i="9"/>
  <c r="E512" i="9" s="1"/>
  <c r="F512" i="9" s="1"/>
  <c r="G513" i="9" s="1"/>
  <c r="E13" i="13"/>
  <c r="F13" i="13" s="1"/>
  <c r="F160" i="11"/>
  <c r="E1292" i="23"/>
  <c r="F1292" i="23" s="1"/>
  <c r="E1407" i="5"/>
  <c r="F1407" i="5" s="1"/>
  <c r="G79" i="21"/>
  <c r="E82" i="21" s="1"/>
  <c r="F82" i="21" s="1"/>
  <c r="G83" i="21" s="1"/>
  <c r="G699" i="21"/>
  <c r="E702" i="21" s="1"/>
  <c r="F702" i="21" s="1"/>
  <c r="G703" i="21" s="1"/>
  <c r="D32" i="15"/>
  <c r="D37" i="15"/>
  <c r="G99" i="17"/>
  <c r="G3361" i="26"/>
  <c r="G3400" i="26"/>
  <c r="E3403" i="26" s="1"/>
  <c r="F3403" i="26" s="1"/>
  <c r="G3404" i="26" s="1"/>
  <c r="G3426" i="26"/>
  <c r="E3429" i="26" s="1"/>
  <c r="F3429" i="26" s="1"/>
  <c r="G3430" i="26" s="1"/>
  <c r="G3436" i="26" s="1"/>
  <c r="G357" i="22"/>
  <c r="E360" i="22" s="1"/>
  <c r="F360" i="22" s="1"/>
  <c r="G361" i="22" s="1"/>
  <c r="G951" i="21"/>
  <c r="E954" i="21" s="1"/>
  <c r="F954" i="21" s="1"/>
  <c r="G955" i="21" s="1"/>
  <c r="G1551" i="23"/>
  <c r="G1522" i="23"/>
  <c r="E1525" i="23" s="1"/>
  <c r="F1525" i="23" s="1"/>
  <c r="G1527" i="23" s="1"/>
  <c r="F774" i="5"/>
  <c r="G775" i="5" s="1"/>
  <c r="E779" i="5" s="1"/>
  <c r="F779" i="5" s="1"/>
  <c r="G3451" i="26"/>
  <c r="E3454" i="26" s="1"/>
  <c r="F3454" i="26" s="1"/>
  <c r="G3455" i="26" s="1"/>
  <c r="G3461" i="26" s="1"/>
  <c r="G2410" i="26"/>
  <c r="E2413" i="26" s="1"/>
  <c r="F2413" i="26" s="1"/>
  <c r="G2414" i="26" s="1"/>
  <c r="E21" i="3"/>
  <c r="F21" i="3" s="1"/>
  <c r="E214" i="7"/>
  <c r="F214" i="7" s="1"/>
  <c r="G216" i="7" s="1"/>
  <c r="E219" i="7" s="1"/>
  <c r="F219" i="7" s="1"/>
  <c r="E114" i="7"/>
  <c r="F114" i="7" s="1"/>
  <c r="G116" i="7" s="1"/>
  <c r="E119" i="7" s="1"/>
  <c r="F119" i="7" s="1"/>
  <c r="E316" i="7"/>
  <c r="F316" i="7" s="1"/>
  <c r="G318" i="7" s="1"/>
  <c r="E321" i="7" s="1"/>
  <c r="F321" i="7" s="1"/>
  <c r="E142" i="7"/>
  <c r="F142" i="7" s="1"/>
  <c r="G143" i="7" s="1"/>
  <c r="E147" i="7" s="1"/>
  <c r="F147" i="7" s="1"/>
  <c r="E344" i="7"/>
  <c r="F344" i="7" s="1"/>
  <c r="G345" i="7" s="1"/>
  <c r="E349" i="7" s="1"/>
  <c r="F349" i="7" s="1"/>
  <c r="E177" i="20"/>
  <c r="F177" i="20" s="1"/>
  <c r="E315" i="20"/>
  <c r="F315" i="20" s="1"/>
  <c r="G3955" i="26"/>
  <c r="G1191" i="23"/>
  <c r="F111" i="3"/>
  <c r="G97" i="5"/>
  <c r="E101" i="5" s="1"/>
  <c r="F101" i="5" s="1"/>
  <c r="F77" i="3"/>
  <c r="G696" i="9"/>
  <c r="E700" i="9" s="1"/>
  <c r="F700" i="9" s="1"/>
  <c r="G270" i="7"/>
  <c r="E273" i="7" s="1"/>
  <c r="F273" i="7" s="1"/>
  <c r="G839" i="21"/>
  <c r="E842" i="21" s="1"/>
  <c r="F842" i="21" s="1"/>
  <c r="G843" i="21" s="1"/>
  <c r="E436" i="20"/>
  <c r="F436" i="20" s="1"/>
  <c r="E22" i="20"/>
  <c r="F22" i="20" s="1"/>
  <c r="E145" i="20"/>
  <c r="F145" i="20" s="1"/>
  <c r="E50" i="13"/>
  <c r="F50" i="13" s="1"/>
  <c r="G51" i="13" s="1"/>
  <c r="E54" i="13" s="1"/>
  <c r="F54" i="13" s="1"/>
  <c r="G4119" i="26"/>
  <c r="G599" i="9"/>
  <c r="E602" i="9" s="1"/>
  <c r="F602" i="9" s="1"/>
  <c r="G603" i="9" s="1"/>
  <c r="F76" i="3"/>
  <c r="G144" i="9"/>
  <c r="E148" i="9" s="1"/>
  <c r="F148" i="9" s="1"/>
  <c r="E555" i="5"/>
  <c r="F555" i="5" s="1"/>
  <c r="E978" i="5"/>
  <c r="F978" i="5" s="1"/>
  <c r="E76" i="20"/>
  <c r="F76" i="20" s="1"/>
  <c r="G77" i="20" s="1"/>
  <c r="E88" i="20" s="1"/>
  <c r="F88" i="20" s="1"/>
  <c r="E1142" i="5"/>
  <c r="F1142" i="5" s="1"/>
  <c r="E1115" i="5"/>
  <c r="F1115" i="5" s="1"/>
  <c r="E89" i="5"/>
  <c r="F89" i="5" s="1"/>
  <c r="E584" i="5"/>
  <c r="F584" i="5" s="1"/>
  <c r="E951" i="5"/>
  <c r="F951" i="5" s="1"/>
  <c r="G68" i="7"/>
  <c r="E72" i="7" s="1"/>
  <c r="F72" i="7" s="1"/>
  <c r="G671" i="21"/>
  <c r="E674" i="21" s="1"/>
  <c r="F674" i="21" s="1"/>
  <c r="G675" i="21" s="1"/>
  <c r="G470" i="20"/>
  <c r="E474" i="20" s="1"/>
  <c r="F474" i="20" s="1"/>
  <c r="G191" i="9"/>
  <c r="E195" i="9" s="1"/>
  <c r="F195" i="9" s="1"/>
  <c r="E1037" i="5"/>
  <c r="F1037" i="5" s="1"/>
  <c r="E1251" i="5"/>
  <c r="F1251" i="5" s="1"/>
  <c r="E1277" i="5"/>
  <c r="F1277" i="5" s="1"/>
  <c r="F3970" i="26"/>
  <c r="G3972" i="26" s="1"/>
  <c r="E3975" i="26" s="1"/>
  <c r="F3975" i="26" s="1"/>
  <c r="G3976" i="26" s="1"/>
  <c r="G3982" i="26" s="1"/>
  <c r="G329" i="22"/>
  <c r="E332" i="22" s="1"/>
  <c r="F332" i="22" s="1"/>
  <c r="G333" i="22" s="1"/>
  <c r="F3278" i="26"/>
  <c r="G3279" i="26" s="1"/>
  <c r="E3282" i="26" s="1"/>
  <c r="F3282" i="26" s="1"/>
  <c r="G3283" i="26" s="1"/>
  <c r="G3289" i="26" s="1"/>
  <c r="G303" i="21"/>
  <c r="E306" i="21" s="1"/>
  <c r="F306" i="21" s="1"/>
  <c r="G307" i="21" s="1"/>
  <c r="G559" i="21"/>
  <c r="E562" i="21" s="1"/>
  <c r="F562" i="21" s="1"/>
  <c r="G563" i="21" s="1"/>
  <c r="G623" i="9"/>
  <c r="E626" i="9" s="1"/>
  <c r="F626" i="9" s="1"/>
  <c r="G627" i="9" s="1"/>
  <c r="G3904" i="26"/>
  <c r="E225" i="20"/>
  <c r="F225" i="20" s="1"/>
  <c r="G226" i="20" s="1"/>
  <c r="E234" i="20" s="1"/>
  <c r="F234" i="20" s="1"/>
  <c r="E39" i="6"/>
  <c r="F39" i="6" s="1"/>
  <c r="E211" i="7"/>
  <c r="F211" i="7" s="1"/>
  <c r="E1064" i="5"/>
  <c r="F1064" i="5" s="1"/>
  <c r="E1545" i="5"/>
  <c r="F1545" i="5" s="1"/>
  <c r="E1264" i="23"/>
  <c r="F1264" i="23" s="1"/>
  <c r="E796" i="5"/>
  <c r="F796" i="5" s="1"/>
  <c r="E1301" i="5"/>
  <c r="F1301" i="5" s="1"/>
  <c r="E1197" i="5"/>
  <c r="F1197" i="5" s="1"/>
  <c r="G25" i="21"/>
  <c r="E28" i="21" s="1"/>
  <c r="F28" i="21" s="1"/>
  <c r="G29" i="21" s="1"/>
  <c r="G923" i="21"/>
  <c r="E926" i="21" s="1"/>
  <c r="F926" i="21" s="1"/>
  <c r="G927" i="21" s="1"/>
  <c r="G619" i="22"/>
  <c r="G133" i="22"/>
  <c r="E136" i="22" s="1"/>
  <c r="F136" i="22" s="1"/>
  <c r="G137" i="22" s="1"/>
  <c r="G531" i="10"/>
  <c r="E534" i="10" s="1"/>
  <c r="F534" i="10" s="1"/>
  <c r="G535" i="10" s="1"/>
  <c r="G2746" i="26"/>
  <c r="E2749" i="26" s="1"/>
  <c r="F2749" i="26" s="1"/>
  <c r="G2750" i="26" s="1"/>
  <c r="G2856" i="26"/>
  <c r="G421" i="23"/>
  <c r="E424" i="23" s="1"/>
  <c r="F424" i="23" s="1"/>
  <c r="G425" i="23" s="1"/>
  <c r="G652" i="23"/>
  <c r="E655" i="23" s="1"/>
  <c r="F655" i="23" s="1"/>
  <c r="G656" i="23" s="1"/>
  <c r="G1831" i="23"/>
  <c r="E1834" i="23" s="1"/>
  <c r="F1834" i="23" s="1"/>
  <c r="G1835" i="23" s="1"/>
  <c r="G557" i="22"/>
  <c r="E1122" i="5"/>
  <c r="F1122" i="5" s="1"/>
  <c r="G1123" i="5" s="1"/>
  <c r="E1127" i="5" s="1"/>
  <c r="F1127" i="5" s="1"/>
  <c r="E591" i="5"/>
  <c r="F591" i="5" s="1"/>
  <c r="G592" i="5" s="1"/>
  <c r="E596" i="5" s="1"/>
  <c r="F596" i="5" s="1"/>
  <c r="E958" i="5"/>
  <c r="F958" i="5" s="1"/>
  <c r="G959" i="5" s="1"/>
  <c r="E963" i="5" s="1"/>
  <c r="F963" i="5" s="1"/>
  <c r="E563" i="5"/>
  <c r="F563" i="5" s="1"/>
  <c r="E124" i="5"/>
  <c r="F124" i="5" s="1"/>
  <c r="E427" i="5"/>
  <c r="F427" i="5" s="1"/>
  <c r="E1331" i="5"/>
  <c r="F1331" i="5" s="1"/>
  <c r="G3814" i="26"/>
  <c r="G3856" i="26"/>
  <c r="G2058" i="23"/>
  <c r="G443" i="22"/>
  <c r="E446" i="22" s="1"/>
  <c r="F446" i="22" s="1"/>
  <c r="G447" i="22" s="1"/>
  <c r="G531" i="21"/>
  <c r="E534" i="21" s="1"/>
  <c r="F534" i="21" s="1"/>
  <c r="G535" i="21" s="1"/>
  <c r="G189" i="22"/>
  <c r="E192" i="22" s="1"/>
  <c r="F192" i="22" s="1"/>
  <c r="G193" i="22" s="1"/>
  <c r="G301" i="22"/>
  <c r="E304" i="22" s="1"/>
  <c r="F304" i="22" s="1"/>
  <c r="G305" i="22" s="1"/>
  <c r="G1007" i="21"/>
  <c r="E1010" i="21" s="1"/>
  <c r="F1010" i="21" s="1"/>
  <c r="G1011" i="21" s="1"/>
  <c r="G1328" i="23"/>
  <c r="E1331" i="23" s="1"/>
  <c r="F1331" i="23" s="1"/>
  <c r="G1332" i="23" s="1"/>
  <c r="G1556" i="23"/>
  <c r="G1438" i="23"/>
  <c r="E1441" i="23" s="1"/>
  <c r="F1441" i="23" s="1"/>
  <c r="G1442" i="23" s="1"/>
  <c r="G1859" i="23"/>
  <c r="G961" i="23"/>
  <c r="E964" i="23" s="1"/>
  <c r="F964" i="23" s="1"/>
  <c r="G965" i="23" s="1"/>
  <c r="F1068" i="5"/>
  <c r="G1069" i="5" s="1"/>
  <c r="E1073" i="5" s="1"/>
  <c r="F1073" i="5" s="1"/>
  <c r="G2094" i="26"/>
  <c r="E2097" i="26" s="1"/>
  <c r="F2097" i="26" s="1"/>
  <c r="G2098" i="26" s="1"/>
  <c r="G2104" i="26" s="1"/>
  <c r="G3200" i="26"/>
  <c r="E3203" i="26" s="1"/>
  <c r="F3203" i="26" s="1"/>
  <c r="G3204" i="26" s="1"/>
  <c r="G3210" i="26" s="1"/>
  <c r="G3761" i="26"/>
  <c r="G3822" i="26"/>
  <c r="G3920" i="26"/>
  <c r="G4045" i="26"/>
  <c r="G1469" i="26"/>
  <c r="F1178" i="5"/>
  <c r="G885" i="26"/>
  <c r="E888" i="26" s="1"/>
  <c r="F888" i="26" s="1"/>
  <c r="G889" i="26" s="1"/>
  <c r="G895" i="26" s="1"/>
  <c r="G3148" i="26"/>
  <c r="E3151" i="26" s="1"/>
  <c r="F3151" i="26" s="1"/>
  <c r="G3152" i="26" s="1"/>
  <c r="G3158" i="26" s="1"/>
  <c r="G3477" i="26"/>
  <c r="E3480" i="26" s="1"/>
  <c r="F3480" i="26" s="1"/>
  <c r="G3481" i="26" s="1"/>
  <c r="G3488" i="26" s="1"/>
  <c r="G3553" i="26"/>
  <c r="E3556" i="26" s="1"/>
  <c r="F3556" i="26" s="1"/>
  <c r="G3557" i="26" s="1"/>
  <c r="G3563" i="26" s="1"/>
  <c r="G3739" i="26"/>
  <c r="E3742" i="26" s="1"/>
  <c r="F3742" i="26" s="1"/>
  <c r="G3743" i="26" s="1"/>
  <c r="G3750" i="26" s="1"/>
  <c r="G565" i="26"/>
  <c r="E568" i="26" s="1"/>
  <c r="F568" i="26" s="1"/>
  <c r="G569" i="26" s="1"/>
  <c r="G575" i="26" s="1"/>
  <c r="G989" i="23"/>
  <c r="F1446" i="5"/>
  <c r="G1446" i="5" s="1"/>
  <c r="G1977" i="26"/>
  <c r="G3094" i="26"/>
  <c r="E3101" i="26" s="1"/>
  <c r="F3101" i="26" s="1"/>
  <c r="G3102" i="26" s="1"/>
  <c r="G3108" i="26" s="1"/>
  <c r="G120" i="9"/>
  <c r="E123" i="9" s="1"/>
  <c r="F123" i="9" s="1"/>
  <c r="G218" i="9"/>
  <c r="E221" i="9" s="1"/>
  <c r="F221" i="9" s="1"/>
  <c r="G108" i="11"/>
  <c r="E111" i="11" s="1"/>
  <c r="F111" i="11" s="1"/>
  <c r="G55" i="17"/>
  <c r="G406" i="20"/>
  <c r="E410" i="20" s="1"/>
  <c r="F410" i="20" s="1"/>
  <c r="G867" i="21"/>
  <c r="E870" i="21" s="1"/>
  <c r="F870" i="21" s="1"/>
  <c r="G871" i="21" s="1"/>
  <c r="G49" i="22"/>
  <c r="E52" i="22" s="1"/>
  <c r="F52" i="22" s="1"/>
  <c r="G53" i="22" s="1"/>
  <c r="E3709" i="26"/>
  <c r="F3709" i="26" s="1"/>
  <c r="G447" i="21"/>
  <c r="E450" i="21" s="1"/>
  <c r="F450" i="21" s="1"/>
  <c r="G451" i="21" s="1"/>
  <c r="G501" i="22"/>
  <c r="E504" i="22" s="1"/>
  <c r="F504" i="22" s="1"/>
  <c r="G505" i="22" s="1"/>
  <c r="G536" i="23"/>
  <c r="E539" i="23" s="1"/>
  <c r="F539" i="23" s="1"/>
  <c r="G540" i="23" s="1"/>
  <c r="G1355" i="23"/>
  <c r="G905" i="23"/>
  <c r="E908" i="23" s="1"/>
  <c r="F908" i="23" s="1"/>
  <c r="G909" i="23" s="1"/>
  <c r="G126" i="13"/>
  <c r="E129" i="13" s="1"/>
  <c r="F129" i="13" s="1"/>
  <c r="G130" i="13" s="1"/>
  <c r="G41" i="7"/>
  <c r="E44" i="7" s="1"/>
  <c r="F44" i="7" s="1"/>
  <c r="G646" i="9"/>
  <c r="E649" i="9" s="1"/>
  <c r="F649" i="9" s="1"/>
  <c r="G650" i="9" s="1"/>
  <c r="E78" i="3"/>
  <c r="F78" i="3" s="1"/>
  <c r="E266" i="3"/>
  <c r="F266" i="3" s="1"/>
  <c r="E105" i="20"/>
  <c r="F105" i="20" s="1"/>
  <c r="E13" i="7"/>
  <c r="F13" i="7" s="1"/>
  <c r="E137" i="7"/>
  <c r="F137" i="7" s="1"/>
  <c r="E36" i="7"/>
  <c r="F36" i="7" s="1"/>
  <c r="E14" i="6"/>
  <c r="F14" i="6" s="1"/>
  <c r="E88" i="7"/>
  <c r="F88" i="7" s="1"/>
  <c r="E237" i="7"/>
  <c r="F237" i="7" s="1"/>
  <c r="E13" i="11"/>
  <c r="F13" i="11" s="1"/>
  <c r="E69" i="11"/>
  <c r="F69" i="11" s="1"/>
  <c r="E263" i="7"/>
  <c r="F263" i="7" s="1"/>
  <c r="E313" i="7"/>
  <c r="F313" i="7" s="1"/>
  <c r="E717" i="5"/>
  <c r="F717" i="5" s="1"/>
  <c r="E927" i="5"/>
  <c r="F927" i="5" s="1"/>
  <c r="E253" i="5"/>
  <c r="F253" i="5" s="1"/>
  <c r="E1225" i="5"/>
  <c r="F1225" i="5" s="1"/>
  <c r="E201" i="5"/>
  <c r="F201" i="5" s="1"/>
  <c r="E451" i="5"/>
  <c r="F451" i="5" s="1"/>
  <c r="E1303" i="5"/>
  <c r="F1303" i="5" s="1"/>
  <c r="E901" i="5"/>
  <c r="F901" i="5" s="1"/>
  <c r="E1199" i="5"/>
  <c r="F1199" i="5" s="1"/>
  <c r="E849" i="5"/>
  <c r="F849" i="5" s="1"/>
  <c r="E613" i="5"/>
  <c r="F613" i="5" s="1"/>
  <c r="G161" i="22"/>
  <c r="E164" i="22" s="1"/>
  <c r="F164" i="22" s="1"/>
  <c r="G165" i="22" s="1"/>
  <c r="G473" i="22"/>
  <c r="E476" i="22" s="1"/>
  <c r="F476" i="22" s="1"/>
  <c r="G477" i="22" s="1"/>
  <c r="G107" i="21"/>
  <c r="E110" i="21" s="1"/>
  <c r="F110" i="21" s="1"/>
  <c r="G111" i="21" s="1"/>
  <c r="G219" i="21"/>
  <c r="E222" i="21" s="1"/>
  <c r="F222" i="21" s="1"/>
  <c r="G223" i="21" s="1"/>
  <c r="G475" i="21"/>
  <c r="E478" i="21" s="1"/>
  <c r="F478" i="21" s="1"/>
  <c r="G479" i="21" s="1"/>
  <c r="G587" i="21"/>
  <c r="E590" i="21" s="1"/>
  <c r="F590" i="21" s="1"/>
  <c r="G591" i="21" s="1"/>
  <c r="G643" i="21"/>
  <c r="E646" i="21" s="1"/>
  <c r="F646" i="21" s="1"/>
  <c r="G647" i="21" s="1"/>
  <c r="G2052" i="23"/>
  <c r="G596" i="23"/>
  <c r="E599" i="23" s="1"/>
  <c r="F599" i="23" s="1"/>
  <c r="G600" i="23" s="1"/>
  <c r="G309" i="23"/>
  <c r="E312" i="23" s="1"/>
  <c r="F312" i="23" s="1"/>
  <c r="G313" i="23" s="1"/>
  <c r="G337" i="23"/>
  <c r="E340" i="23" s="1"/>
  <c r="F340" i="23" s="1"/>
  <c r="G341" i="23" s="1"/>
  <c r="G477" i="23"/>
  <c r="E480" i="23" s="1"/>
  <c r="F480" i="23" s="1"/>
  <c r="G481" i="23" s="1"/>
  <c r="G850" i="23"/>
  <c r="E853" i="23" s="1"/>
  <c r="F853" i="23" s="1"/>
  <c r="G854" i="23" s="1"/>
  <c r="G783" i="21"/>
  <c r="E786" i="21" s="1"/>
  <c r="F786" i="21" s="1"/>
  <c r="G787" i="21" s="1"/>
  <c r="F1212" i="23"/>
  <c r="G1216" i="23" s="1"/>
  <c r="E1219" i="23" s="1"/>
  <c r="F1219" i="23" s="1"/>
  <c r="G1220" i="23" s="1"/>
  <c r="G2030" i="23"/>
  <c r="E2033" i="23" s="1"/>
  <c r="F2033" i="23" s="1"/>
  <c r="G2034" i="23" s="1"/>
  <c r="G1948" i="23"/>
  <c r="G736" i="23"/>
  <c r="E739" i="23" s="1"/>
  <c r="F739" i="23" s="1"/>
  <c r="G740" i="23" s="1"/>
  <c r="G1101" i="23"/>
  <c r="G1886" i="23"/>
  <c r="E1889" i="23" s="1"/>
  <c r="F1889" i="23" s="1"/>
  <c r="G1891" i="23" s="1"/>
  <c r="G1748" i="23"/>
  <c r="E1181" i="26"/>
  <c r="F1181" i="26" s="1"/>
  <c r="G1182" i="26" s="1"/>
  <c r="G1196" i="26" s="1"/>
  <c r="G2439" i="26"/>
  <c r="E2442" i="26" s="1"/>
  <c r="F2442" i="26" s="1"/>
  <c r="G2443" i="26" s="1"/>
  <c r="G2449" i="26" s="1"/>
  <c r="F1386" i="5"/>
  <c r="G1387" i="5" s="1"/>
  <c r="E1391" i="5" s="1"/>
  <c r="F1391" i="5" s="1"/>
  <c r="F1038" i="5"/>
  <c r="F1356" i="5"/>
  <c r="F482" i="5"/>
  <c r="G483" i="5" s="1"/>
  <c r="E487" i="5" s="1"/>
  <c r="F487" i="5" s="1"/>
  <c r="G685" i="26"/>
  <c r="G695" i="26" s="1"/>
  <c r="G1244" i="26"/>
  <c r="E1247" i="26" s="1"/>
  <c r="F1247" i="26" s="1"/>
  <c r="G1248" i="26" s="1"/>
  <c r="G1254" i="26" s="1"/>
  <c r="G3132" i="26"/>
  <c r="G3226" i="26"/>
  <c r="E3229" i="26" s="1"/>
  <c r="F3229" i="26" s="1"/>
  <c r="G3230" i="26" s="1"/>
  <c r="G3237" i="26" s="1"/>
  <c r="G3503" i="26"/>
  <c r="E3506" i="26" s="1"/>
  <c r="F3506" i="26" s="1"/>
  <c r="G3507" i="26" s="1"/>
  <c r="G3513" i="26" s="1"/>
  <c r="E2817" i="26"/>
  <c r="F2817" i="26" s="1"/>
  <c r="G2818" i="26" s="1"/>
  <c r="G2906" i="26"/>
  <c r="E2909" i="26" s="1"/>
  <c r="F2909" i="26" s="1"/>
  <c r="G2910" i="26" s="1"/>
  <c r="G2916" i="26" s="1"/>
  <c r="G42" i="26"/>
  <c r="E45" i="26" s="1"/>
  <c r="F45" i="26" s="1"/>
  <c r="G46" i="26" s="1"/>
  <c r="G52" i="26" s="1"/>
  <c r="F440" i="19" s="1"/>
  <c r="G960" i="26"/>
  <c r="E963" i="26" s="1"/>
  <c r="F963" i="26" s="1"/>
  <c r="G964" i="26" s="1"/>
  <c r="G970" i="26" s="1"/>
  <c r="G988" i="26"/>
  <c r="E991" i="26" s="1"/>
  <c r="F991" i="26" s="1"/>
  <c r="G992" i="26" s="1"/>
  <c r="G1445" i="26"/>
  <c r="G1764" i="26"/>
  <c r="E1767" i="26" s="1"/>
  <c r="F1767" i="26" s="1"/>
  <c r="G1768" i="26" s="1"/>
  <c r="G1774" i="26" s="1"/>
  <c r="G1918" i="26"/>
  <c r="E1921" i="26" s="1"/>
  <c r="F1921" i="26" s="1"/>
  <c r="G1922" i="26" s="1"/>
  <c r="G3174" i="26"/>
  <c r="E3177" i="26" s="1"/>
  <c r="F3177" i="26" s="1"/>
  <c r="G3178" i="26" s="1"/>
  <c r="G3184" i="26" s="1"/>
  <c r="G3252" i="26"/>
  <c r="E3257" i="26" s="1"/>
  <c r="F3257" i="26" s="1"/>
  <c r="G3259" i="26" s="1"/>
  <c r="G3265" i="26" s="1"/>
  <c r="G3410" i="26"/>
  <c r="G3527" i="26"/>
  <c r="E3530" i="26" s="1"/>
  <c r="F3530" i="26" s="1"/>
  <c r="G3531" i="26" s="1"/>
  <c r="G3537" i="26" s="1"/>
  <c r="G3626" i="26"/>
  <c r="E3629" i="26" s="1"/>
  <c r="F3629" i="26" s="1"/>
  <c r="G3630" i="26" s="1"/>
  <c r="G3636" i="26" s="1"/>
  <c r="G3650" i="26"/>
  <c r="E3653" i="26" s="1"/>
  <c r="F3653" i="26" s="1"/>
  <c r="G3654" i="26" s="1"/>
  <c r="G3660" i="26" s="1"/>
  <c r="G4023" i="26"/>
  <c r="E4026" i="26" s="1"/>
  <c r="F4026" i="26" s="1"/>
  <c r="G4027" i="26" s="1"/>
  <c r="G4034" i="26" s="1"/>
  <c r="G2611" i="26"/>
  <c r="E2614" i="26" s="1"/>
  <c r="F2614" i="26" s="1"/>
  <c r="G2615" i="26" s="1"/>
  <c r="G2621" i="26" s="1"/>
  <c r="G2668" i="26"/>
  <c r="E2671" i="26" s="1"/>
  <c r="F2671" i="26" s="1"/>
  <c r="G2672" i="26" s="1"/>
  <c r="G2678" i="26" s="1"/>
  <c r="G1789" i="26"/>
  <c r="E1792" i="26" s="1"/>
  <c r="F1792" i="26" s="1"/>
  <c r="G1793" i="26" s="1"/>
  <c r="G1799" i="26" s="1"/>
  <c r="F276" i="3"/>
  <c r="F112" i="3"/>
  <c r="G20" i="1"/>
  <c r="G79" i="1"/>
  <c r="E82" i="1" s="1"/>
  <c r="F82" i="1" s="1"/>
  <c r="G82" i="1" s="1"/>
  <c r="F302" i="3"/>
  <c r="H26" i="15"/>
  <c r="J26" i="15"/>
  <c r="K26" i="15" s="1"/>
  <c r="E427" i="20"/>
  <c r="F427" i="20" s="1"/>
  <c r="E132" i="20"/>
  <c r="F132" i="20" s="1"/>
  <c r="E170" i="13"/>
  <c r="F170" i="13" s="1"/>
  <c r="E43" i="13"/>
  <c r="F43" i="13" s="1"/>
  <c r="F23" i="15"/>
  <c r="F11" i="15"/>
  <c r="F18" i="15" s="1"/>
  <c r="E11" i="26"/>
  <c r="F11" i="26" s="1"/>
  <c r="G12" i="26" s="1"/>
  <c r="G71" i="17"/>
  <c r="G19" i="9"/>
  <c r="E22" i="9" s="1"/>
  <c r="F22" i="9" s="1"/>
  <c r="G217" i="22"/>
  <c r="E220" i="22" s="1"/>
  <c r="F220" i="22" s="1"/>
  <c r="G221" i="22" s="1"/>
  <c r="G529" i="22"/>
  <c r="K23" i="15"/>
  <c r="E503" i="5"/>
  <c r="F503" i="5" s="1"/>
  <c r="G335" i="21"/>
  <c r="E338" i="21" s="1"/>
  <c r="F338" i="21" s="1"/>
  <c r="G339" i="21" s="1"/>
  <c r="G1581" i="23"/>
  <c r="E1584" i="23" s="1"/>
  <c r="F1584" i="23" s="1"/>
  <c r="G1585" i="23" s="1"/>
  <c r="G213" i="23"/>
  <c r="E216" i="23" s="1"/>
  <c r="F216" i="23" s="1"/>
  <c r="G217" i="23" s="1"/>
  <c r="G128" i="17"/>
  <c r="G363" i="21"/>
  <c r="E366" i="21" s="1"/>
  <c r="F366" i="21" s="1"/>
  <c r="G367" i="21" s="1"/>
  <c r="G391" i="21"/>
  <c r="E394" i="21" s="1"/>
  <c r="F394" i="21" s="1"/>
  <c r="G395" i="21" s="1"/>
  <c r="G95" i="9"/>
  <c r="E98" i="9" s="1"/>
  <c r="F98" i="9" s="1"/>
  <c r="G727" i="21"/>
  <c r="E730" i="21" s="1"/>
  <c r="F730" i="21" s="1"/>
  <c r="G731" i="21" s="1"/>
  <c r="G163" i="21"/>
  <c r="E166" i="21" s="1"/>
  <c r="F166" i="21" s="1"/>
  <c r="G167" i="21" s="1"/>
  <c r="G191" i="21"/>
  <c r="E194" i="21" s="1"/>
  <c r="F194" i="21" s="1"/>
  <c r="G195" i="21" s="1"/>
  <c r="G275" i="21"/>
  <c r="E278" i="21" s="1"/>
  <c r="F278" i="21" s="1"/>
  <c r="G279" i="21" s="1"/>
  <c r="G503" i="21"/>
  <c r="E506" i="21" s="1"/>
  <c r="F506" i="21" s="1"/>
  <c r="G507" i="21" s="1"/>
  <c r="G979" i="21"/>
  <c r="E982" i="21" s="1"/>
  <c r="F982" i="21" s="1"/>
  <c r="G983" i="21" s="1"/>
  <c r="G614" i="22"/>
  <c r="G144" i="23"/>
  <c r="E147" i="23" s="1"/>
  <c r="F147" i="23" s="1"/>
  <c r="G148" i="23" s="1"/>
  <c r="G505" i="23"/>
  <c r="E508" i="23" s="1"/>
  <c r="F508" i="23" s="1"/>
  <c r="G509" i="23" s="1"/>
  <c r="G794" i="23"/>
  <c r="E797" i="23" s="1"/>
  <c r="F797" i="23" s="1"/>
  <c r="G798" i="23" s="1"/>
  <c r="G21" i="23"/>
  <c r="G1382" i="23"/>
  <c r="G135" i="21"/>
  <c r="E138" i="21" s="1"/>
  <c r="F138" i="21" s="1"/>
  <c r="G139" i="21" s="1"/>
  <c r="G247" i="21"/>
  <c r="E250" i="21" s="1"/>
  <c r="F250" i="21" s="1"/>
  <c r="G251" i="21" s="1"/>
  <c r="G615" i="21"/>
  <c r="E618" i="21" s="1"/>
  <c r="F618" i="21" s="1"/>
  <c r="G619" i="21" s="1"/>
  <c r="G755" i="21"/>
  <c r="E758" i="21" s="1"/>
  <c r="F758" i="21" s="1"/>
  <c r="G759" i="21" s="1"/>
  <c r="G21" i="22"/>
  <c r="E24" i="22" s="1"/>
  <c r="F24" i="22" s="1"/>
  <c r="G25" i="22" s="1"/>
  <c r="G77" i="22"/>
  <c r="E80" i="22" s="1"/>
  <c r="F80" i="22" s="1"/>
  <c r="G81" i="22" s="1"/>
  <c r="G77" i="23"/>
  <c r="G393" i="23"/>
  <c r="E396" i="23" s="1"/>
  <c r="F396" i="23" s="1"/>
  <c r="G397" i="23" s="1"/>
  <c r="G449" i="23"/>
  <c r="E452" i="23" s="1"/>
  <c r="F452" i="23" s="1"/>
  <c r="G453" i="23" s="1"/>
  <c r="G765" i="23"/>
  <c r="E768" i="23" s="1"/>
  <c r="F768" i="23" s="1"/>
  <c r="G769" i="23" s="1"/>
  <c r="G1775" i="23"/>
  <c r="H12" i="25"/>
  <c r="H14" i="25" s="1"/>
  <c r="H15" i="25" s="1"/>
  <c r="G3803" i="26"/>
  <c r="G172" i="26"/>
  <c r="E175" i="26" s="1"/>
  <c r="F175" i="26" s="1"/>
  <c r="G176" i="26" s="1"/>
  <c r="G182" i="26" s="1"/>
  <c r="F447" i="19" s="1"/>
  <c r="G1693" i="23"/>
  <c r="E1696" i="23" s="1"/>
  <c r="F1696" i="23" s="1"/>
  <c r="G1697" i="23" s="1"/>
  <c r="G1186" i="23"/>
  <c r="G1410" i="23"/>
  <c r="G1494" i="23"/>
  <c r="G585" i="22"/>
  <c r="E588" i="22" s="1"/>
  <c r="F588" i="22" s="1"/>
  <c r="G590" i="22" s="1"/>
  <c r="G157" i="17"/>
  <c r="G76" i="26"/>
  <c r="F441" i="19" s="1"/>
  <c r="G4008" i="26"/>
  <c r="G100" i="26"/>
  <c r="F442" i="19" s="1"/>
  <c r="G350" i="26"/>
  <c r="E353" i="26" s="1"/>
  <c r="F353" i="26" s="1"/>
  <c r="G354" i="26" s="1"/>
  <c r="G360" i="26" s="1"/>
  <c r="G436" i="26"/>
  <c r="G1016" i="26"/>
  <c r="E1019" i="26" s="1"/>
  <c r="F1019" i="26" s="1"/>
  <c r="G1020" i="26" s="1"/>
  <c r="G1026" i="26" s="1"/>
  <c r="G2497" i="26"/>
  <c r="E2500" i="26" s="1"/>
  <c r="F2500" i="26" s="1"/>
  <c r="G2501" i="26" s="1"/>
  <c r="G2507" i="26" s="1"/>
  <c r="G2774" i="26"/>
  <c r="E2777" i="26" s="1"/>
  <c r="F2777" i="26" s="1"/>
  <c r="G2778" i="26" s="1"/>
  <c r="G2784" i="26" s="1"/>
  <c r="G48" i="23"/>
  <c r="E51" i="23" s="1"/>
  <c r="F51" i="23" s="1"/>
  <c r="G53" i="23" s="1"/>
  <c r="G933" i="23"/>
  <c r="E936" i="23" s="1"/>
  <c r="F936" i="23" s="1"/>
  <c r="G937" i="23" s="1"/>
  <c r="E192" i="4"/>
  <c r="G4175" i="26"/>
  <c r="G1714" i="26"/>
  <c r="E1717" i="26" s="1"/>
  <c r="F1717" i="26" s="1"/>
  <c r="G1718" i="26" s="1"/>
  <c r="G51" i="21"/>
  <c r="E54" i="21" s="1"/>
  <c r="F54" i="21" s="1"/>
  <c r="G55" i="21" s="1"/>
  <c r="G1943" i="23"/>
  <c r="G822" i="23"/>
  <c r="E825" i="23" s="1"/>
  <c r="F825" i="23" s="1"/>
  <c r="G826" i="23" s="1"/>
  <c r="G1017" i="23"/>
  <c r="G680" i="23"/>
  <c r="G1129" i="23"/>
  <c r="E1132" i="23" s="1"/>
  <c r="F1132" i="23" s="1"/>
  <c r="G1134" i="23" s="1"/>
  <c r="G1915" i="23"/>
  <c r="E1918" i="23" s="1"/>
  <c r="F1918" i="23" s="1"/>
  <c r="G1919" i="23" s="1"/>
  <c r="G1972" i="23"/>
  <c r="E1975" i="23" s="1"/>
  <c r="F1975" i="23" s="1"/>
  <c r="G1976" i="23" s="1"/>
  <c r="E194" i="4"/>
  <c r="G17" i="26"/>
  <c r="E20" i="26" s="1"/>
  <c r="F20" i="26" s="1"/>
  <c r="G21" i="26" s="1"/>
  <c r="G2025" i="26"/>
  <c r="G2127" i="26"/>
  <c r="E2130" i="26" s="1"/>
  <c r="F2130" i="26" s="1"/>
  <c r="G2131" i="26" s="1"/>
  <c r="G2137" i="26" s="1"/>
  <c r="G2253" i="26"/>
  <c r="E2256" i="26" s="1"/>
  <c r="F2256" i="26" s="1"/>
  <c r="G2257" i="26" s="1"/>
  <c r="G2263" i="26" s="1"/>
  <c r="G3303" i="26"/>
  <c r="E3306" i="26" s="1"/>
  <c r="F3306" i="26" s="1"/>
  <c r="G3307" i="26" s="1"/>
  <c r="G3313" i="26" s="1"/>
  <c r="G1386" i="26"/>
  <c r="E1389" i="26" s="1"/>
  <c r="F1389" i="26" s="1"/>
  <c r="G1390" i="26" s="1"/>
  <c r="G1396" i="26" s="1"/>
  <c r="G1411" i="26"/>
  <c r="E1414" i="26" s="1"/>
  <c r="F1414" i="26" s="1"/>
  <c r="G1415" i="26" s="1"/>
  <c r="G1421" i="26" s="1"/>
  <c r="G1114" i="26"/>
  <c r="E1117" i="26" s="1"/>
  <c r="F1117" i="26" s="1"/>
  <c r="G1118" i="26" s="1"/>
  <c r="G1124" i="26" s="1"/>
  <c r="G2964" i="26"/>
  <c r="E2967" i="26" s="1"/>
  <c r="F2967" i="26" s="1"/>
  <c r="G2968" i="26" s="1"/>
  <c r="G2974" i="26" s="1"/>
  <c r="G935" i="26"/>
  <c r="E938" i="26" s="1"/>
  <c r="F938" i="26" s="1"/>
  <c r="G939" i="26" s="1"/>
  <c r="G945" i="26" s="1"/>
  <c r="G1512" i="26"/>
  <c r="E1515" i="26" s="1"/>
  <c r="F1515" i="26" s="1"/>
  <c r="G1516" i="26" s="1"/>
  <c r="G1522" i="26" s="1"/>
  <c r="G2044" i="26"/>
  <c r="E2047" i="26" s="1"/>
  <c r="F2047" i="26" s="1"/>
  <c r="G2048" i="26" s="1"/>
  <c r="G2054" i="26" s="1"/>
  <c r="G2360" i="26"/>
  <c r="G652" i="26"/>
  <c r="E655" i="26" s="1"/>
  <c r="F655" i="26" s="1"/>
  <c r="G656" i="26" s="1"/>
  <c r="G2526" i="26"/>
  <c r="E2529" i="26" s="1"/>
  <c r="F2529" i="26" s="1"/>
  <c r="G2530" i="26" s="1"/>
  <c r="G2536" i="26" s="1"/>
  <c r="G2583" i="26"/>
  <c r="E2586" i="26" s="1"/>
  <c r="F2586" i="26" s="1"/>
  <c r="G2587" i="26" s="1"/>
  <c r="G2593" i="26" s="1"/>
  <c r="G1215" i="26"/>
  <c r="E1218" i="26" s="1"/>
  <c r="F1218" i="26" s="1"/>
  <c r="G1219" i="26" s="1"/>
  <c r="G1225" i="26" s="1"/>
  <c r="G714" i="26"/>
  <c r="E717" i="26" s="1"/>
  <c r="F717" i="26" s="1"/>
  <c r="G718" i="26" s="1"/>
  <c r="G724" i="26" s="1"/>
  <c r="G2718" i="26"/>
  <c r="E2721" i="26" s="1"/>
  <c r="F2721" i="26" s="1"/>
  <c r="G2722" i="26" s="1"/>
  <c r="G2728" i="26" s="1"/>
  <c r="F579" i="19" s="1"/>
  <c r="G2468" i="26"/>
  <c r="E2471" i="26" s="1"/>
  <c r="F2471" i="26" s="1"/>
  <c r="G2472" i="26" s="1"/>
  <c r="G2478" i="26" s="1"/>
  <c r="G1089" i="26"/>
  <c r="E1092" i="26" s="1"/>
  <c r="F1092" i="26" s="1"/>
  <c r="G1093" i="26" s="1"/>
  <c r="G1099" i="26" s="1"/>
  <c r="J10" i="15"/>
  <c r="J24" i="15" s="1"/>
  <c r="K24" i="15" s="1"/>
  <c r="J12" i="15"/>
  <c r="J21" i="15" s="1"/>
  <c r="H28" i="15"/>
  <c r="D28" i="15"/>
  <c r="F28" i="15"/>
  <c r="J28" i="15"/>
  <c r="K28" i="15" s="1"/>
  <c r="D22" i="15"/>
  <c r="F26" i="15"/>
  <c r="E13" i="20"/>
  <c r="F13" i="20" s="1"/>
  <c r="E1906" i="23"/>
  <c r="F1906" i="23" s="1"/>
  <c r="F10" i="15"/>
  <c r="F24" i="15" s="1"/>
  <c r="E174" i="3"/>
  <c r="F174" i="3" s="1"/>
  <c r="E307" i="20"/>
  <c r="F307" i="20" s="1"/>
  <c r="E426" i="20"/>
  <c r="F426" i="20" s="1"/>
  <c r="D46" i="17"/>
  <c r="F46" i="17" s="1"/>
  <c r="D16" i="17"/>
  <c r="F16" i="17" s="1"/>
  <c r="E38" i="5"/>
  <c r="F38" i="5" s="1"/>
  <c r="E1036" i="5"/>
  <c r="F1036" i="5" s="1"/>
  <c r="E173" i="5"/>
  <c r="F173" i="5" s="1"/>
  <c r="E1354" i="5"/>
  <c r="F1354" i="5" s="1"/>
  <c r="E1489" i="5"/>
  <c r="F1489" i="5" s="1"/>
  <c r="E200" i="5"/>
  <c r="F200" i="5" s="1"/>
  <c r="E638" i="5"/>
  <c r="F638" i="5" s="1"/>
  <c r="E450" i="5"/>
  <c r="F450" i="5" s="1"/>
  <c r="E769" i="5"/>
  <c r="F769" i="5" s="1"/>
  <c r="E716" i="5"/>
  <c r="F716" i="5" s="1"/>
  <c r="E226" i="5"/>
  <c r="F226" i="5" s="1"/>
  <c r="E742" i="5"/>
  <c r="F742" i="5" s="1"/>
  <c r="E1276" i="5"/>
  <c r="F1276" i="5" s="1"/>
  <c r="E1224" i="5"/>
  <c r="F1224" i="5" s="1"/>
  <c r="E1250" i="5"/>
  <c r="F1250" i="5" s="1"/>
  <c r="E1381" i="5"/>
  <c r="F1381" i="5" s="1"/>
  <c r="E477" i="5"/>
  <c r="F477" i="5" s="1"/>
  <c r="E664" i="5"/>
  <c r="F664" i="5" s="1"/>
  <c r="E252" i="5"/>
  <c r="F252" i="5" s="1"/>
  <c r="E1302" i="5"/>
  <c r="F1302" i="5" s="1"/>
  <c r="E40" i="11"/>
  <c r="F40" i="11" s="1"/>
  <c r="E312" i="7"/>
  <c r="F312" i="7" s="1"/>
  <c r="E162" i="7"/>
  <c r="F162" i="7" s="1"/>
  <c r="E13" i="6"/>
  <c r="F13" i="6" s="1"/>
  <c r="E114" i="3"/>
  <c r="F114" i="3" s="1"/>
  <c r="E127" i="11"/>
  <c r="F127" i="11" s="1"/>
  <c r="E364" i="7"/>
  <c r="F364" i="7" s="1"/>
  <c r="E136" i="7"/>
  <c r="F136" i="7" s="1"/>
  <c r="E35" i="7"/>
  <c r="F35" i="7" s="1"/>
  <c r="E236" i="7"/>
  <c r="F236" i="7" s="1"/>
  <c r="E262" i="7"/>
  <c r="F262" i="7" s="1"/>
  <c r="E38" i="6"/>
  <c r="F38" i="6" s="1"/>
  <c r="H11" i="15"/>
  <c r="H10" i="15"/>
  <c r="H24" i="15" s="1"/>
  <c r="D26" i="15"/>
  <c r="E1514" i="5"/>
  <c r="F1514" i="5" s="1"/>
  <c r="E1149" i="23"/>
  <c r="F1149" i="23" s="1"/>
  <c r="E306" i="20"/>
  <c r="F306" i="20" s="1"/>
  <c r="E12" i="3"/>
  <c r="F12" i="3" s="1"/>
  <c r="E251" i="20"/>
  <c r="F251" i="20" s="1"/>
  <c r="G251" i="20" s="1"/>
  <c r="E260" i="20" s="1"/>
  <c r="F260" i="20" s="1"/>
  <c r="E428" i="20"/>
  <c r="F428" i="20" s="1"/>
  <c r="E925" i="5"/>
  <c r="F925" i="5" s="1"/>
  <c r="E1275" i="5"/>
  <c r="F1275" i="5" s="1"/>
  <c r="E199" i="5"/>
  <c r="F199" i="5" s="1"/>
  <c r="E225" i="5"/>
  <c r="F225" i="5" s="1"/>
  <c r="E1249" i="5"/>
  <c r="F1249" i="5" s="1"/>
  <c r="E637" i="5"/>
  <c r="F637" i="5" s="1"/>
  <c r="E37" i="5"/>
  <c r="F37" i="5" s="1"/>
  <c r="E689" i="5"/>
  <c r="F689" i="5" s="1"/>
  <c r="E63" i="5"/>
  <c r="F63" i="5" s="1"/>
  <c r="E1223" i="5"/>
  <c r="F1223" i="5" s="1"/>
  <c r="E611" i="5"/>
  <c r="F611" i="5" s="1"/>
  <c r="E1543" i="5"/>
  <c r="F1543" i="5" s="1"/>
  <c r="E899" i="5"/>
  <c r="F899" i="5" s="1"/>
  <c r="E1171" i="5"/>
  <c r="F1171" i="5" s="1"/>
  <c r="E251" i="5"/>
  <c r="F251" i="5" s="1"/>
  <c r="E145" i="5"/>
  <c r="F145" i="5" s="1"/>
  <c r="E172" i="5"/>
  <c r="F172" i="5" s="1"/>
  <c r="E1488" i="5"/>
  <c r="F1488" i="5" s="1"/>
  <c r="E873" i="5"/>
  <c r="F873" i="5" s="1"/>
  <c r="E715" i="5"/>
  <c r="F715" i="5" s="1"/>
  <c r="E847" i="5"/>
  <c r="F847" i="5" s="1"/>
  <c r="F9" i="17"/>
  <c r="G12" i="17" s="1"/>
  <c r="B23" i="17"/>
  <c r="D23" i="17" s="1"/>
  <c r="F23" i="17" s="1"/>
  <c r="G25" i="17" s="1"/>
  <c r="E276" i="20"/>
  <c r="F276" i="20" s="1"/>
  <c r="E1515" i="5"/>
  <c r="F1515" i="5" s="1"/>
  <c r="E504" i="5"/>
  <c r="F504" i="5" s="1"/>
  <c r="E1656" i="23"/>
  <c r="F1656" i="23" s="1"/>
  <c r="E1601" i="23"/>
  <c r="F1601" i="23" s="1"/>
  <c r="E262" i="3"/>
  <c r="F262" i="3" s="1"/>
  <c r="E144" i="3"/>
  <c r="F144" i="3" s="1"/>
  <c r="E131" i="20"/>
  <c r="F131" i="20" s="1"/>
  <c r="E870" i="23"/>
  <c r="F870" i="23" s="1"/>
  <c r="E305" i="20"/>
  <c r="F305" i="20" s="1"/>
  <c r="E1010" i="5"/>
  <c r="F1010" i="5" s="1"/>
  <c r="E449" i="5"/>
  <c r="F449" i="5" s="1"/>
  <c r="E502" i="5"/>
  <c r="F502" i="5" s="1"/>
  <c r="E794" i="5"/>
  <c r="F794" i="5" s="1"/>
  <c r="G111" i="20"/>
  <c r="E115" i="20" s="1"/>
  <c r="F115" i="20" s="1"/>
  <c r="G285" i="20"/>
  <c r="E289" i="20" s="1"/>
  <c r="F289" i="20" s="1"/>
  <c r="G495" i="20"/>
  <c r="E499" i="20" s="1"/>
  <c r="F499" i="20" s="1"/>
  <c r="E1355" i="5"/>
  <c r="F1355" i="5" s="1"/>
  <c r="E39" i="5"/>
  <c r="F39" i="5" s="1"/>
  <c r="E665" i="5"/>
  <c r="F665" i="5" s="1"/>
  <c r="E770" i="5"/>
  <c r="F770" i="5" s="1"/>
  <c r="E65" i="5"/>
  <c r="F65" i="5" s="1"/>
  <c r="E478" i="5"/>
  <c r="F478" i="5" s="1"/>
  <c r="E147" i="5"/>
  <c r="F147" i="5" s="1"/>
  <c r="E1490" i="5"/>
  <c r="F1490" i="5" s="1"/>
  <c r="E1382" i="5"/>
  <c r="F1382" i="5" s="1"/>
  <c r="G71" i="9"/>
  <c r="E74" i="9" s="1"/>
  <c r="F74" i="9" s="1"/>
  <c r="G45" i="9"/>
  <c r="E48" i="9" s="1"/>
  <c r="F48" i="9" s="1"/>
  <c r="G273" i="22"/>
  <c r="E276" i="22" s="1"/>
  <c r="F276" i="22" s="1"/>
  <c r="G277" i="22" s="1"/>
  <c r="G385" i="22"/>
  <c r="E388" i="22" s="1"/>
  <c r="F388" i="22" s="1"/>
  <c r="G389" i="22" s="1"/>
  <c r="G413" i="22"/>
  <c r="E416" i="22" s="1"/>
  <c r="F416" i="22" s="1"/>
  <c r="G417" i="22" s="1"/>
  <c r="G1045" i="23"/>
  <c r="E1048" i="23" s="1"/>
  <c r="F1048" i="23" s="1"/>
  <c r="G1049" i="23" s="1"/>
  <c r="G1158" i="23"/>
  <c r="E1161" i="23" s="1"/>
  <c r="F1161" i="23" s="1"/>
  <c r="G1162" i="23" s="1"/>
  <c r="G1244" i="23"/>
  <c r="E1247" i="23" s="1"/>
  <c r="F1247" i="23" s="1"/>
  <c r="G1248" i="23" s="1"/>
  <c r="G1637" i="23"/>
  <c r="E1640" i="23" s="1"/>
  <c r="F1640" i="23" s="1"/>
  <c r="G1641" i="23" s="1"/>
  <c r="G111" i="23"/>
  <c r="E114" i="23" s="1"/>
  <c r="F114" i="23" s="1"/>
  <c r="G115" i="23" s="1"/>
  <c r="E1313" i="26"/>
  <c r="F1313" i="26" s="1"/>
  <c r="G1314" i="26" s="1"/>
  <c r="G105" i="22"/>
  <c r="E108" i="22" s="1"/>
  <c r="F108" i="22" s="1"/>
  <c r="G109" i="22" s="1"/>
  <c r="G1466" i="23"/>
  <c r="E1469" i="23" s="1"/>
  <c r="F1469" i="23" s="1"/>
  <c r="G1470" i="23" s="1"/>
  <c r="E2321" i="26"/>
  <c r="F2321" i="26" s="1"/>
  <c r="G2322" i="26" s="1"/>
  <c r="G2336" i="26" s="1"/>
  <c r="G567" i="23"/>
  <c r="E570" i="23" s="1"/>
  <c r="F570" i="23" s="1"/>
  <c r="G571" i="23" s="1"/>
  <c r="E979" i="26"/>
  <c r="F979" i="26" s="1"/>
  <c r="G980" i="26" s="1"/>
  <c r="E1035" i="26"/>
  <c r="F1035" i="26" s="1"/>
  <c r="G1036" i="26" s="1"/>
  <c r="G1050" i="26" s="1"/>
  <c r="E1704" i="26"/>
  <c r="F1704" i="26" s="1"/>
  <c r="G1705" i="26" s="1"/>
  <c r="G247" i="23"/>
  <c r="E250" i="23" s="1"/>
  <c r="F250" i="23" s="1"/>
  <c r="G251" i="23" s="1"/>
  <c r="E1466" i="5"/>
  <c r="F1466" i="5" s="1"/>
  <c r="E533" i="5"/>
  <c r="F533" i="5" s="1"/>
  <c r="E825" i="5"/>
  <c r="F825" i="5" s="1"/>
  <c r="E1093" i="5"/>
  <c r="F1093" i="5" s="1"/>
  <c r="E220" i="26"/>
  <c r="F220" i="26" s="1"/>
  <c r="G221" i="26" s="1"/>
  <c r="E245" i="26"/>
  <c r="F245" i="26" s="1"/>
  <c r="G246" i="26" s="1"/>
  <c r="G281" i="23"/>
  <c r="E284" i="23" s="1"/>
  <c r="F284" i="23" s="1"/>
  <c r="G285" i="23" s="1"/>
  <c r="E1204" i="5"/>
  <c r="F1204" i="5" s="1"/>
  <c r="E644" i="5"/>
  <c r="F644" i="5" s="1"/>
  <c r="E153" i="5"/>
  <c r="F153" i="5" s="1"/>
  <c r="E1230" i="5"/>
  <c r="F1230" i="5" s="1"/>
  <c r="E179" i="5"/>
  <c r="F179" i="5" s="1"/>
  <c r="E152" i="5"/>
  <c r="F152" i="5" s="1"/>
  <c r="G2312" i="26"/>
  <c r="G179" i="23"/>
  <c r="E182" i="23" s="1"/>
  <c r="F182" i="23" s="1"/>
  <c r="G183" i="23" s="1"/>
  <c r="G1803" i="23"/>
  <c r="E1806" i="23" s="1"/>
  <c r="F1806" i="23" s="1"/>
  <c r="G1807" i="23" s="1"/>
  <c r="G170" i="17"/>
  <c r="G143" i="26"/>
  <c r="E146" i="26" s="1"/>
  <c r="F146" i="26" s="1"/>
  <c r="G147" i="26" s="1"/>
  <c r="G153" i="26" s="1"/>
  <c r="F446" i="19" s="1"/>
  <c r="G201" i="26"/>
  <c r="E204" i="26" s="1"/>
  <c r="F204" i="26" s="1"/>
  <c r="G205" i="26" s="1"/>
  <c r="G211" i="26" s="1"/>
  <c r="F448" i="19" s="1"/>
  <c r="G317" i="26"/>
  <c r="E320" i="26" s="1"/>
  <c r="F320" i="26" s="1"/>
  <c r="G321" i="26" s="1"/>
  <c r="G327" i="26" s="1"/>
  <c r="G623" i="26"/>
  <c r="E626" i="26" s="1"/>
  <c r="F626" i="26" s="1"/>
  <c r="G627" i="26" s="1"/>
  <c r="G1817" i="26"/>
  <c r="E1820" i="26" s="1"/>
  <c r="F1820" i="26" s="1"/>
  <c r="G1821" i="26" s="1"/>
  <c r="G1827" i="26" s="1"/>
  <c r="G284" i="26"/>
  <c r="E287" i="26" s="1"/>
  <c r="F287" i="26" s="1"/>
  <c r="G288" i="26" s="1"/>
  <c r="G294" i="26" s="1"/>
  <c r="F452" i="19" s="1"/>
  <c r="E613" i="26"/>
  <c r="F613" i="26" s="1"/>
  <c r="G614" i="26" s="1"/>
  <c r="E1937" i="26"/>
  <c r="F1937" i="26" s="1"/>
  <c r="G1938" i="26" s="1"/>
  <c r="G856" i="26"/>
  <c r="E859" i="26" s="1"/>
  <c r="F859" i="26" s="1"/>
  <c r="G860" i="26" s="1"/>
  <c r="G866" i="26" s="1"/>
  <c r="E1478" i="26"/>
  <c r="F1478" i="26" s="1"/>
  <c r="G1479" i="26" s="1"/>
  <c r="G1493" i="26" s="1"/>
  <c r="G124" i="26"/>
  <c r="F444" i="19" s="1"/>
  <c r="E445" i="26"/>
  <c r="F445" i="26" s="1"/>
  <c r="G446" i="26" s="1"/>
  <c r="G460" i="26" s="1"/>
  <c r="E1157" i="26"/>
  <c r="F1157" i="26" s="1"/>
  <c r="G1158" i="26" s="1"/>
  <c r="G1172" i="26" s="1"/>
  <c r="E1912" i="26"/>
  <c r="F1912" i="26" s="1"/>
  <c r="G1913" i="26" s="1"/>
  <c r="G3385" i="26"/>
  <c r="G377" i="26"/>
  <c r="E380" i="26" s="1"/>
  <c r="F380" i="26" s="1"/>
  <c r="G381" i="26" s="1"/>
  <c r="G387" i="26" s="1"/>
  <c r="G484" i="26"/>
  <c r="G534" i="26"/>
  <c r="E537" i="26" s="1"/>
  <c r="F537" i="26" s="1"/>
  <c r="G538" i="26" s="1"/>
  <c r="G544" i="26" s="1"/>
  <c r="E1986" i="26"/>
  <c r="F1986" i="26" s="1"/>
  <c r="G1987" i="26" s="1"/>
  <c r="G2001" i="26" s="1"/>
  <c r="E1133" i="26"/>
  <c r="F1133" i="26" s="1"/>
  <c r="G1134" i="26" s="1"/>
  <c r="G1148" i="26" s="1"/>
  <c r="G2379" i="26"/>
  <c r="E2382" i="26" s="1"/>
  <c r="F2382" i="26" s="1"/>
  <c r="G2383" i="26" s="1"/>
  <c r="G2389" i="26" s="1"/>
  <c r="E642" i="26"/>
  <c r="F642" i="26" s="1"/>
  <c r="G643" i="26" s="1"/>
  <c r="G2555" i="26"/>
  <c r="G743" i="26"/>
  <c r="E746" i="26" s="1"/>
  <c r="F746" i="26" s="1"/>
  <c r="G747" i="26" s="1"/>
  <c r="G1327" i="26"/>
  <c r="E1330" i="26" s="1"/>
  <c r="F1330" i="26" s="1"/>
  <c r="G1331" i="26" s="1"/>
  <c r="E2398" i="26"/>
  <c r="F2398" i="26" s="1"/>
  <c r="G2399" i="26" s="1"/>
  <c r="G2935" i="26"/>
  <c r="E2938" i="26" s="1"/>
  <c r="F2938" i="26" s="1"/>
  <c r="G2939" i="26" s="1"/>
  <c r="G2945" i="26" s="1"/>
  <c r="E1591" i="26"/>
  <c r="F1591" i="26" s="1"/>
  <c r="G1592" i="26" s="1"/>
  <c r="E733" i="26"/>
  <c r="F733" i="26" s="1"/>
  <c r="G734" i="26" s="1"/>
  <c r="E2793" i="26"/>
  <c r="F2793" i="26" s="1"/>
  <c r="G2794" i="26" s="1"/>
  <c r="G2808" i="26" s="1"/>
  <c r="G2160" i="26"/>
  <c r="E2163" i="26" s="1"/>
  <c r="F2163" i="26" s="1"/>
  <c r="G2164" i="26" s="1"/>
  <c r="G2170" i="26" s="1"/>
  <c r="G1360" i="26"/>
  <c r="E1363" i="26" s="1"/>
  <c r="F1363" i="26" s="1"/>
  <c r="G1364" i="26" s="1"/>
  <c r="G1369" i="26" s="1"/>
  <c r="G1601" i="26"/>
  <c r="E1604" i="26" s="1"/>
  <c r="F1604" i="26" s="1"/>
  <c r="G1605" i="26" s="1"/>
  <c r="G1845" i="26"/>
  <c r="E1848" i="26" s="1"/>
  <c r="F1848" i="26" s="1"/>
  <c r="G1849" i="26" s="1"/>
  <c r="G1855" i="26" s="1"/>
  <c r="G594" i="26"/>
  <c r="G503" i="26"/>
  <c r="E506" i="26" s="1"/>
  <c r="F506" i="26" s="1"/>
  <c r="G507" i="26" s="1"/>
  <c r="G513" i="26" s="1"/>
  <c r="G2875" i="26"/>
  <c r="E2878" i="26" s="1"/>
  <c r="F2878" i="26" s="1"/>
  <c r="G2879" i="26" s="1"/>
  <c r="G2885" i="26" s="1"/>
  <c r="E3011" i="26"/>
  <c r="F3011" i="26" s="1"/>
  <c r="G3012" i="26" s="1"/>
  <c r="G1543" i="26"/>
  <c r="E1546" i="26" s="1"/>
  <c r="F1546" i="26" s="1"/>
  <c r="G1547" i="26" s="1"/>
  <c r="G1553" i="26" s="1"/>
  <c r="G1572" i="26"/>
  <c r="E1575" i="26" s="1"/>
  <c r="F1575" i="26" s="1"/>
  <c r="G1576" i="26" s="1"/>
  <c r="G1582" i="26" s="1"/>
  <c r="G27" i="26" l="1"/>
  <c r="F439" i="19" s="1"/>
  <c r="E24" i="15"/>
  <c r="E37" i="15"/>
  <c r="J446" i="19"/>
  <c r="J447" i="19"/>
  <c r="J579" i="19"/>
  <c r="J441" i="19"/>
  <c r="J452" i="19"/>
  <c r="J439" i="19"/>
  <c r="J533" i="19"/>
  <c r="J440" i="19"/>
  <c r="J632" i="19"/>
  <c r="J472" i="19"/>
  <c r="J444" i="19"/>
  <c r="J640" i="19"/>
  <c r="J448" i="19"/>
  <c r="J442" i="19"/>
  <c r="J634" i="19"/>
  <c r="G236" i="26"/>
  <c r="F449" i="19" s="1"/>
  <c r="E38" i="15"/>
  <c r="G77" i="11"/>
  <c r="E80" i="11" s="1"/>
  <c r="F80" i="11" s="1"/>
  <c r="G2420" i="26"/>
  <c r="F564" i="19" s="1"/>
  <c r="G3713" i="26"/>
  <c r="E3716" i="26" s="1"/>
  <c r="F3716" i="26" s="1"/>
  <c r="G3717" i="26" s="1"/>
  <c r="G3723" i="26" s="1"/>
  <c r="E35" i="15"/>
  <c r="E23" i="15"/>
  <c r="G49" i="11"/>
  <c r="E52" i="11" s="1"/>
  <c r="F52" i="11" s="1"/>
  <c r="E26" i="15"/>
  <c r="E19" i="15"/>
  <c r="E28" i="15"/>
  <c r="E27" i="15"/>
  <c r="G21" i="11"/>
  <c r="E24" i="11" s="1"/>
  <c r="F24" i="11" s="1"/>
  <c r="E22" i="15"/>
  <c r="G1928" i="26"/>
  <c r="F538" i="19" s="1"/>
  <c r="G236" i="20"/>
  <c r="G241" i="20" s="1"/>
  <c r="F149" i="19" s="1"/>
  <c r="G1953" i="26"/>
  <c r="F539" i="19" s="1"/>
  <c r="E32" i="15"/>
  <c r="J32" i="15" s="1"/>
  <c r="K32" i="15" s="1"/>
  <c r="E30" i="15"/>
  <c r="J30" i="15" s="1"/>
  <c r="K30" i="15" s="1"/>
  <c r="G2832" i="26"/>
  <c r="F583" i="19" s="1"/>
  <c r="E21" i="15"/>
  <c r="E34" i="15"/>
  <c r="J34" i="15" s="1"/>
  <c r="G1337" i="26"/>
  <c r="F504" i="19" s="1"/>
  <c r="G2067" i="23"/>
  <c r="F435" i="19" s="1"/>
  <c r="G3030" i="26"/>
  <c r="F596" i="19" s="1"/>
  <c r="F589" i="19"/>
  <c r="F558" i="19"/>
  <c r="F571" i="19"/>
  <c r="F543" i="19"/>
  <c r="F600" i="19"/>
  <c r="F595" i="19"/>
  <c r="F573" i="19"/>
  <c r="F602" i="19"/>
  <c r="F587" i="19"/>
  <c r="F636" i="19"/>
  <c r="F532" i="19"/>
  <c r="F505" i="19"/>
  <c r="F562" i="19"/>
  <c r="F541" i="19"/>
  <c r="F612" i="19"/>
  <c r="F480" i="19"/>
  <c r="F531" i="19"/>
  <c r="F557" i="19"/>
  <c r="F499" i="19"/>
  <c r="F560" i="19"/>
  <c r="F593" i="19"/>
  <c r="F622" i="19"/>
  <c r="F549" i="19"/>
  <c r="F476" i="19"/>
  <c r="F567" i="19"/>
  <c r="F486" i="19"/>
  <c r="F637" i="19"/>
  <c r="F572" i="19"/>
  <c r="F619" i="19"/>
  <c r="F546" i="19"/>
  <c r="F597" i="19"/>
  <c r="F500" i="19"/>
  <c r="F621" i="19"/>
  <c r="F565" i="19"/>
  <c r="F627" i="19"/>
  <c r="F540" i="19"/>
  <c r="F617" i="19"/>
  <c r="F631" i="19"/>
  <c r="F556" i="19"/>
  <c r="F641" i="19"/>
  <c r="F615" i="19"/>
  <c r="F466" i="19"/>
  <c r="F493" i="19"/>
  <c r="F521" i="19"/>
  <c r="F613" i="19"/>
  <c r="F644" i="19"/>
  <c r="F577" i="19"/>
  <c r="F464" i="19"/>
  <c r="F550" i="19"/>
  <c r="F592" i="19"/>
  <c r="F618" i="19"/>
  <c r="F462" i="19"/>
  <c r="F495" i="19"/>
  <c r="F479" i="19"/>
  <c r="F453" i="19"/>
  <c r="F487" i="19"/>
  <c r="F545" i="19"/>
  <c r="F625" i="19"/>
  <c r="F566" i="19"/>
  <c r="F604" i="19"/>
  <c r="F568" i="19"/>
  <c r="F515" i="19"/>
  <c r="F509" i="19"/>
  <c r="F522" i="19"/>
  <c r="F643" i="19"/>
  <c r="F599" i="19"/>
  <c r="F454" i="19"/>
  <c r="F530" i="19"/>
  <c r="F624" i="19"/>
  <c r="F528" i="19"/>
  <c r="F475" i="19"/>
  <c r="F605" i="19"/>
  <c r="F497" i="19"/>
  <c r="F620" i="19"/>
  <c r="F527" i="19"/>
  <c r="F547" i="19"/>
  <c r="F635" i="19"/>
  <c r="F481" i="19"/>
  <c r="F611" i="19"/>
  <c r="F492" i="19"/>
  <c r="F513" i="19"/>
  <c r="F471" i="19"/>
  <c r="F609" i="19"/>
  <c r="F459" i="19"/>
  <c r="F484" i="19"/>
  <c r="F610" i="19"/>
  <c r="F628" i="19"/>
  <c r="F518" i="19"/>
  <c r="F517" i="19"/>
  <c r="F591" i="19"/>
  <c r="F582" i="19"/>
  <c r="F494" i="19"/>
  <c r="F455" i="19"/>
  <c r="F460" i="19"/>
  <c r="F488" i="19"/>
  <c r="F458" i="19"/>
  <c r="F551" i="19"/>
  <c r="F501" i="19"/>
  <c r="F482" i="19"/>
  <c r="F506" i="19"/>
  <c r="F553" i="19"/>
  <c r="F534" i="19"/>
  <c r="F581" i="19"/>
  <c r="F502" i="19"/>
  <c r="F638" i="19"/>
  <c r="F629" i="19"/>
  <c r="F642" i="19"/>
  <c r="F576" i="19"/>
  <c r="F623" i="19"/>
  <c r="F603" i="19"/>
  <c r="F510" i="19"/>
  <c r="F474" i="19"/>
  <c r="F552" i="19"/>
  <c r="F601" i="19"/>
  <c r="F616" i="19"/>
  <c r="F523" i="19"/>
  <c r="F511" i="19"/>
  <c r="F633" i="19"/>
  <c r="F607" i="19"/>
  <c r="F606" i="19"/>
  <c r="E3825" i="26"/>
  <c r="F3825" i="26" s="1"/>
  <c r="G3826" i="26" s="1"/>
  <c r="G3832" i="26" s="1"/>
  <c r="G633" i="26"/>
  <c r="G134" i="20"/>
  <c r="E151" i="20" s="1"/>
  <c r="F151" i="20" s="1"/>
  <c r="G261" i="26"/>
  <c r="F450" i="19" s="1"/>
  <c r="G1724" i="26"/>
  <c r="G2756" i="26"/>
  <c r="G662" i="26"/>
  <c r="G1611" i="26"/>
  <c r="G998" i="26"/>
  <c r="H22" i="25"/>
  <c r="H23" i="25" s="1"/>
  <c r="H24" i="25" s="1"/>
  <c r="F657" i="19" s="1"/>
  <c r="J657" i="19" s="1"/>
  <c r="G23" i="15"/>
  <c r="E486" i="9"/>
  <c r="F486" i="9" s="1"/>
  <c r="G487" i="9" s="1"/>
  <c r="E490" i="9" s="1"/>
  <c r="F490" i="9" s="1"/>
  <c r="G491" i="9" s="1"/>
  <c r="E464" i="9"/>
  <c r="F464" i="9" s="1"/>
  <c r="G465" i="9" s="1"/>
  <c r="E468" i="9" s="1"/>
  <c r="F468" i="9" s="1"/>
  <c r="G469" i="9" s="1"/>
  <c r="F12" i="15"/>
  <c r="F21" i="15" s="1"/>
  <c r="F22" i="15" s="1"/>
  <c r="G22" i="15" s="1"/>
  <c r="F37" i="15"/>
  <c r="G37" i="15" s="1"/>
  <c r="F34" i="15"/>
  <c r="G34" i="15" s="1"/>
  <c r="F32" i="15"/>
  <c r="G32" i="15" s="1"/>
  <c r="F38" i="15"/>
  <c r="G38" i="15" s="1"/>
  <c r="F30" i="15"/>
  <c r="G30" i="15" s="1"/>
  <c r="F27" i="15"/>
  <c r="G27" i="15" s="1"/>
  <c r="G753" i="26"/>
  <c r="G26" i="15"/>
  <c r="G24" i="15"/>
  <c r="J22" i="15"/>
  <c r="K22" i="15" s="1"/>
  <c r="K21" i="15"/>
  <c r="E2558" i="26"/>
  <c r="F2558" i="26" s="1"/>
  <c r="G2559" i="26" s="1"/>
  <c r="G2565" i="26" s="1"/>
  <c r="F31" i="15"/>
  <c r="G19" i="15"/>
  <c r="G35" i="15"/>
  <c r="H27" i="15"/>
  <c r="H12" i="15"/>
  <c r="H21" i="15" s="1"/>
  <c r="J27" i="15"/>
  <c r="K27" i="15" s="1"/>
  <c r="H38" i="15"/>
  <c r="J38" i="15"/>
  <c r="H30" i="15"/>
  <c r="H37" i="15"/>
  <c r="H18" i="15"/>
  <c r="I28" i="15" s="1"/>
  <c r="H34" i="15"/>
  <c r="J37" i="15"/>
  <c r="H32" i="15"/>
  <c r="D39" i="15"/>
  <c r="D41" i="15" s="1"/>
  <c r="D43" i="15" s="1"/>
  <c r="D45" i="15" s="1"/>
  <c r="E597" i="26"/>
  <c r="F597" i="26" s="1"/>
  <c r="G598" i="26" s="1"/>
  <c r="G604" i="26" s="1"/>
  <c r="G28" i="15"/>
  <c r="J450" i="19" l="1"/>
  <c r="J642" i="19"/>
  <c r="J609" i="19"/>
  <c r="J566" i="19"/>
  <c r="J493" i="19"/>
  <c r="J532" i="19"/>
  <c r="J601" i="19"/>
  <c r="J629" i="19"/>
  <c r="J591" i="19"/>
  <c r="J471" i="19"/>
  <c r="J620" i="19"/>
  <c r="J599" i="19"/>
  <c r="J625" i="19"/>
  <c r="J592" i="19"/>
  <c r="J466" i="19"/>
  <c r="J565" i="19"/>
  <c r="J486" i="19"/>
  <c r="J557" i="19"/>
  <c r="J636" i="19"/>
  <c r="J558" i="19"/>
  <c r="J552" i="19"/>
  <c r="J638" i="19"/>
  <c r="J551" i="19"/>
  <c r="J517" i="19"/>
  <c r="J513" i="19"/>
  <c r="J497" i="19"/>
  <c r="J643" i="19"/>
  <c r="J545" i="19"/>
  <c r="J550" i="19"/>
  <c r="J615" i="19"/>
  <c r="J621" i="19"/>
  <c r="J567" i="19"/>
  <c r="J531" i="19"/>
  <c r="J587" i="19"/>
  <c r="J589" i="19"/>
  <c r="J502" i="19"/>
  <c r="J458" i="19"/>
  <c r="J518" i="19"/>
  <c r="J492" i="19"/>
  <c r="J605" i="19"/>
  <c r="J522" i="19"/>
  <c r="J487" i="19"/>
  <c r="J464" i="19"/>
  <c r="J641" i="19"/>
  <c r="J500" i="19"/>
  <c r="J476" i="19"/>
  <c r="J480" i="19"/>
  <c r="J602" i="19"/>
  <c r="J596" i="19"/>
  <c r="J539" i="19"/>
  <c r="J449" i="19"/>
  <c r="J488" i="19"/>
  <c r="J475" i="19"/>
  <c r="J453" i="19"/>
  <c r="J597" i="19"/>
  <c r="J612" i="19"/>
  <c r="J573" i="19"/>
  <c r="J474" i="19"/>
  <c r="J510" i="19"/>
  <c r="J611" i="19"/>
  <c r="J556" i="19"/>
  <c r="J528" i="19"/>
  <c r="J606" i="19"/>
  <c r="J607" i="19"/>
  <c r="J581" i="19"/>
  <c r="J628" i="19"/>
  <c r="J509" i="19"/>
  <c r="J577" i="19"/>
  <c r="J549" i="19"/>
  <c r="J435" i="19"/>
  <c r="J633" i="19"/>
  <c r="J603" i="19"/>
  <c r="J534" i="19"/>
  <c r="J460" i="19"/>
  <c r="J610" i="19"/>
  <c r="J481" i="19"/>
  <c r="J515" i="19"/>
  <c r="J479" i="19"/>
  <c r="J644" i="19"/>
  <c r="J631" i="19"/>
  <c r="J546" i="19"/>
  <c r="J622" i="19"/>
  <c r="J541" i="19"/>
  <c r="J595" i="19"/>
  <c r="J504" i="19"/>
  <c r="J538" i="19"/>
  <c r="J511" i="19"/>
  <c r="J623" i="19"/>
  <c r="J553" i="19"/>
  <c r="J455" i="19"/>
  <c r="J484" i="19"/>
  <c r="J635" i="19"/>
  <c r="J624" i="19"/>
  <c r="J568" i="19"/>
  <c r="J495" i="19"/>
  <c r="J613" i="19"/>
  <c r="J617" i="19"/>
  <c r="J619" i="19"/>
  <c r="J593" i="19"/>
  <c r="J562" i="19"/>
  <c r="J600" i="19"/>
  <c r="J576" i="19"/>
  <c r="J506" i="19"/>
  <c r="J494" i="19"/>
  <c r="J459" i="19"/>
  <c r="J547" i="19"/>
  <c r="J530" i="19"/>
  <c r="J604" i="19"/>
  <c r="J462" i="19"/>
  <c r="J521" i="19"/>
  <c r="J540" i="19"/>
  <c r="J572" i="19"/>
  <c r="J560" i="19"/>
  <c r="J505" i="19"/>
  <c r="J543" i="19"/>
  <c r="J616" i="19"/>
  <c r="J582" i="19"/>
  <c r="J454" i="19"/>
  <c r="J618" i="19"/>
  <c r="J637" i="19"/>
  <c r="J499" i="19"/>
  <c r="J571" i="19"/>
  <c r="J583" i="19"/>
  <c r="J564" i="19"/>
  <c r="J523" i="19"/>
  <c r="J482" i="19"/>
  <c r="J527" i="19"/>
  <c r="J627" i="19"/>
  <c r="J501" i="19"/>
  <c r="J149" i="19"/>
  <c r="E39" i="15"/>
  <c r="F469" i="19"/>
  <c r="F569" i="19"/>
  <c r="F485" i="19"/>
  <c r="F470" i="19"/>
  <c r="F630" i="19"/>
  <c r="F580" i="19"/>
  <c r="F468" i="19"/>
  <c r="F519" i="19"/>
  <c r="F526" i="19"/>
  <c r="G21" i="15"/>
  <c r="G39" i="15" s="1"/>
  <c r="F39" i="15"/>
  <c r="F41" i="15" s="1"/>
  <c r="F43" i="15" s="1"/>
  <c r="F45" i="15" s="1"/>
  <c r="I37" i="15"/>
  <c r="I21" i="15"/>
  <c r="H22" i="15"/>
  <c r="I22" i="15" s="1"/>
  <c r="I30" i="15"/>
  <c r="K34" i="15"/>
  <c r="I24" i="15"/>
  <c r="J39" i="15"/>
  <c r="J41" i="15" s="1"/>
  <c r="J43" i="15" s="1"/>
  <c r="J45" i="15" s="1"/>
  <c r="I32" i="15"/>
  <c r="K38" i="15"/>
  <c r="I27" i="15"/>
  <c r="K37" i="15"/>
  <c r="I38" i="15"/>
  <c r="I34" i="15"/>
  <c r="K19" i="15"/>
  <c r="I23" i="15"/>
  <c r="I35" i="15"/>
  <c r="I19" i="15"/>
  <c r="H31" i="15"/>
  <c r="K35" i="15"/>
  <c r="I26" i="15"/>
  <c r="J630" i="19" l="1"/>
  <c r="J470" i="19"/>
  <c r="J485" i="19"/>
  <c r="J569" i="19"/>
  <c r="J526" i="19"/>
  <c r="J469" i="19"/>
  <c r="J519" i="19"/>
  <c r="J468" i="19"/>
  <c r="J580" i="19"/>
  <c r="K39" i="15"/>
  <c r="I39" i="15"/>
  <c r="H39" i="15"/>
  <c r="H41" i="15" s="1"/>
  <c r="H43" i="15" s="1"/>
  <c r="H45" i="15" s="1"/>
  <c r="D51" i="15" l="1"/>
  <c r="P48" i="15"/>
  <c r="C99" i="15" s="1"/>
  <c r="P51" i="15"/>
  <c r="C102" i="15" s="1"/>
  <c r="P54" i="15"/>
  <c r="C105" i="15" s="1"/>
  <c r="P55" i="15"/>
  <c r="C106" i="15" s="1"/>
  <c r="E190" i="3" s="1"/>
  <c r="F190" i="3" s="1"/>
  <c r="G190" i="3" s="1"/>
  <c r="D48" i="15"/>
  <c r="P49" i="15"/>
  <c r="C100" i="15" s="1"/>
  <c r="D50" i="15"/>
  <c r="N50" i="15"/>
  <c r="C93" i="15" s="1"/>
  <c r="N51" i="15"/>
  <c r="C94" i="15" s="1"/>
  <c r="N54" i="15"/>
  <c r="C97" i="15" s="1"/>
  <c r="P50" i="15"/>
  <c r="C101" i="15" s="1"/>
  <c r="N49" i="15"/>
  <c r="C92" i="15" s="1"/>
  <c r="D52" i="15"/>
  <c r="N55" i="15"/>
  <c r="C98" i="15" s="1"/>
  <c r="P52" i="15"/>
  <c r="C103" i="15" s="1"/>
  <c r="N53" i="15"/>
  <c r="C96" i="15" s="1"/>
  <c r="D54" i="15"/>
  <c r="D49" i="15"/>
  <c r="D53" i="15"/>
  <c r="D55" i="15"/>
  <c r="N52" i="15"/>
  <c r="C95" i="15" s="1"/>
  <c r="P53" i="15"/>
  <c r="C104" i="15" s="1"/>
  <c r="N48" i="15"/>
  <c r="C91" i="15" s="1"/>
  <c r="E160" i="3" l="1"/>
  <c r="F160" i="3" s="1"/>
  <c r="G160" i="3" s="1"/>
  <c r="E314" i="3"/>
  <c r="F314" i="3" s="1"/>
  <c r="G314" i="3" s="1"/>
  <c r="E285" i="3"/>
  <c r="F285" i="3" s="1"/>
  <c r="G285" i="3" s="1"/>
  <c r="E34" i="3"/>
  <c r="F34" i="3" s="1"/>
  <c r="G34" i="3" s="1"/>
  <c r="E1531" i="5"/>
  <c r="F1531" i="5" s="1"/>
  <c r="G1531" i="5" s="1"/>
  <c r="E1513" i="5" s="1"/>
  <c r="F1513" i="5" s="1"/>
  <c r="G1516" i="5" s="1"/>
  <c r="E1527" i="5" s="1"/>
  <c r="F1527" i="5" s="1"/>
  <c r="G1528" i="5" s="1"/>
  <c r="E330" i="20"/>
  <c r="F330" i="20" s="1"/>
  <c r="G330" i="20" s="1"/>
  <c r="E132" i="3"/>
  <c r="F132" i="3" s="1"/>
  <c r="G132" i="3" s="1"/>
  <c r="E37" i="20"/>
  <c r="F37" i="20" s="1"/>
  <c r="G37" i="20" s="1"/>
  <c r="E99" i="3"/>
  <c r="F99" i="3" s="1"/>
  <c r="G99" i="3" s="1"/>
  <c r="E516" i="5"/>
  <c r="F516" i="5" s="1"/>
  <c r="G516" i="5" s="1"/>
  <c r="E808" i="5"/>
  <c r="F808" i="5" s="1"/>
  <c r="G808" i="5" s="1"/>
  <c r="E451" i="20"/>
  <c r="F451" i="20" s="1"/>
  <c r="G451" i="20" s="1"/>
  <c r="E222" i="3"/>
  <c r="F222" i="3" s="1"/>
  <c r="G222" i="3" s="1"/>
  <c r="E251" i="3"/>
  <c r="F251" i="3" s="1"/>
  <c r="G251" i="3" s="1"/>
  <c r="D59" i="17"/>
  <c r="F59" i="17" s="1"/>
  <c r="G60" i="17" s="1"/>
  <c r="F48" i="17" s="1"/>
  <c r="G49" i="17" s="1"/>
  <c r="G61" i="17" s="1"/>
  <c r="H54" i="15"/>
  <c r="C80" i="15" s="1"/>
  <c r="D29" i="17"/>
  <c r="F29" i="17" s="1"/>
  <c r="G30" i="17" s="1"/>
  <c r="F18" i="17" s="1"/>
  <c r="G19" i="17" s="1"/>
  <c r="G31" i="17" s="1"/>
  <c r="D144" i="17"/>
  <c r="F144" i="17" s="1"/>
  <c r="G145" i="17" s="1"/>
  <c r="F132" i="17" s="1"/>
  <c r="F134" i="17" s="1"/>
  <c r="G135" i="17" s="1"/>
  <c r="G146" i="17" s="1"/>
  <c r="D174" i="17"/>
  <c r="F174" i="17" s="1"/>
  <c r="G175" i="17" s="1"/>
  <c r="F163" i="17" s="1"/>
  <c r="G164" i="17" s="1"/>
  <c r="G176" i="17" s="1"/>
  <c r="E17" i="5" s="1"/>
  <c r="F17" i="5" s="1"/>
  <c r="G18" i="5" s="1"/>
  <c r="E22" i="5" s="1"/>
  <c r="F22" i="5" s="1"/>
  <c r="C64" i="15"/>
  <c r="E60" i="1" s="1"/>
  <c r="F60" i="1" s="1"/>
  <c r="G60" i="1" s="1"/>
  <c r="J54" i="15"/>
  <c r="C88" i="15" s="1"/>
  <c r="D115" i="17"/>
  <c r="F115" i="17" s="1"/>
  <c r="G116" i="17" s="1"/>
  <c r="F103" i="17" s="1"/>
  <c r="F105" i="17" s="1"/>
  <c r="G106" i="17" s="1"/>
  <c r="G117" i="17" s="1"/>
  <c r="F54" i="15"/>
  <c r="C72" i="15" s="1"/>
  <c r="D87" i="17"/>
  <c r="F87" i="17" s="1"/>
  <c r="G88" i="17" s="1"/>
  <c r="F75" i="17" s="1"/>
  <c r="F77" i="17" s="1"/>
  <c r="G78" i="17" s="1"/>
  <c r="G89" i="17" s="1"/>
  <c r="C58" i="15"/>
  <c r="E119" i="20" s="1"/>
  <c r="F119" i="20" s="1"/>
  <c r="G119" i="20" s="1"/>
  <c r="H48" i="15"/>
  <c r="C74" i="15" s="1"/>
  <c r="J48" i="15"/>
  <c r="C82" i="15" s="1"/>
  <c r="F48" i="15"/>
  <c r="C66" i="15" s="1"/>
  <c r="E171" i="3"/>
  <c r="F171" i="3" s="1"/>
  <c r="G174" i="3" s="1"/>
  <c r="E186" i="3" s="1"/>
  <c r="F186" i="3" s="1"/>
  <c r="H55" i="15"/>
  <c r="C81" i="15" s="1"/>
  <c r="J55" i="15"/>
  <c r="C89" i="15" s="1"/>
  <c r="F55" i="15"/>
  <c r="C73" i="15" s="1"/>
  <c r="C65" i="15"/>
  <c r="C63" i="15"/>
  <c r="J53" i="15"/>
  <c r="C87" i="15" s="1"/>
  <c r="F53" i="15"/>
  <c r="C71" i="15" s="1"/>
  <c r="H53" i="15"/>
  <c r="C79" i="15" s="1"/>
  <c r="F52" i="15"/>
  <c r="C70" i="15" s="1"/>
  <c r="J52" i="15"/>
  <c r="C86" i="15" s="1"/>
  <c r="E358" i="20" s="1"/>
  <c r="F358" i="20" s="1"/>
  <c r="G358" i="20" s="1"/>
  <c r="C62" i="15"/>
  <c r="H52" i="15"/>
  <c r="C78" i="15" s="1"/>
  <c r="J50" i="15"/>
  <c r="C84" i="15" s="1"/>
  <c r="F50" i="15"/>
  <c r="C68" i="15" s="1"/>
  <c r="H50" i="15"/>
  <c r="C76" i="15" s="1"/>
  <c r="C60" i="15"/>
  <c r="E85" i="1"/>
  <c r="F85" i="1" s="1"/>
  <c r="G85" i="1" s="1"/>
  <c r="F49" i="15"/>
  <c r="C67" i="15" s="1"/>
  <c r="J49" i="15"/>
  <c r="C83" i="15" s="1"/>
  <c r="H49" i="15"/>
  <c r="C75" i="15" s="1"/>
  <c r="C59" i="15"/>
  <c r="L48" i="15"/>
  <c r="C90" i="15" s="1"/>
  <c r="H51" i="15"/>
  <c r="C77" i="15" s="1"/>
  <c r="F51" i="15"/>
  <c r="C69" i="15" s="1"/>
  <c r="C61" i="15"/>
  <c r="J51" i="15"/>
  <c r="C85" i="15" s="1"/>
  <c r="E1423" i="5" l="1"/>
  <c r="F1423" i="5" s="1"/>
  <c r="G1423" i="5" s="1"/>
  <c r="E1951" i="23"/>
  <c r="F1951" i="23" s="1"/>
  <c r="G1951" i="23" s="1"/>
  <c r="E85" i="23"/>
  <c r="F85" i="23" s="1"/>
  <c r="G85" i="23" s="1"/>
  <c r="E1194" i="23"/>
  <c r="F1194" i="23" s="1"/>
  <c r="G1194" i="23" s="1"/>
  <c r="E1559" i="23"/>
  <c r="F1559" i="23" s="1"/>
  <c r="G1559" i="23" s="1"/>
  <c r="E622" i="22"/>
  <c r="F622" i="22" s="1"/>
  <c r="G622" i="22" s="1"/>
  <c r="E912" i="23"/>
  <c r="F912" i="23" s="1"/>
  <c r="G912" i="23" s="1"/>
  <c r="E566" i="21"/>
  <c r="F566" i="21" s="1"/>
  <c r="G566" i="21" s="1"/>
  <c r="E958" i="21"/>
  <c r="F958" i="21" s="1"/>
  <c r="G958" i="21" s="1"/>
  <c r="E282" i="21"/>
  <c r="F282" i="21" s="1"/>
  <c r="G282" i="21" s="1"/>
  <c r="E968" i="23"/>
  <c r="F968" i="23" s="1"/>
  <c r="G968" i="23" s="1"/>
  <c r="E631" i="23"/>
  <c r="F631" i="23" s="1"/>
  <c r="G631" i="23" s="1"/>
  <c r="E734" i="21"/>
  <c r="F734" i="21" s="1"/>
  <c r="G734" i="21" s="1"/>
  <c r="E454" i="21"/>
  <c r="F454" i="21" s="1"/>
  <c r="G454" i="21" s="1"/>
  <c r="E482" i="21"/>
  <c r="F482" i="21" s="1"/>
  <c r="G482" i="21" s="1"/>
  <c r="E254" i="21"/>
  <c r="F254" i="21" s="1"/>
  <c r="G254" i="21" s="1"/>
  <c r="E762" i="21"/>
  <c r="F762" i="21" s="1"/>
  <c r="G762" i="21" s="1"/>
  <c r="E1588" i="23"/>
  <c r="F1588" i="23" s="1"/>
  <c r="G1588" i="23" s="1"/>
  <c r="E426" i="21"/>
  <c r="F426" i="21" s="1"/>
  <c r="G426" i="21" s="1"/>
  <c r="E902" i="21"/>
  <c r="F902" i="21" s="1"/>
  <c r="G902" i="21" s="1"/>
  <c r="E706" i="21"/>
  <c r="F706" i="21" s="1"/>
  <c r="G706" i="21" s="1"/>
  <c r="E142" i="21"/>
  <c r="F142" i="21" s="1"/>
  <c r="G142" i="21" s="1"/>
  <c r="E198" i="21"/>
  <c r="F198" i="21" s="1"/>
  <c r="G198" i="21" s="1"/>
  <c r="E59" i="13"/>
  <c r="F59" i="13" s="1"/>
  <c r="G59" i="13" s="1"/>
  <c r="E594" i="21"/>
  <c r="F594" i="21" s="1"/>
  <c r="G594" i="21" s="1"/>
  <c r="E86" i="21"/>
  <c r="F86" i="21" s="1"/>
  <c r="G86" i="21" s="1"/>
  <c r="E494" i="10"/>
  <c r="F494" i="10" s="1"/>
  <c r="G494" i="10" s="1"/>
  <c r="E622" i="21"/>
  <c r="F622" i="21" s="1"/>
  <c r="G622" i="21" s="1"/>
  <c r="E1014" i="21"/>
  <c r="F1014" i="21" s="1"/>
  <c r="G1014" i="21" s="1"/>
  <c r="E538" i="21"/>
  <c r="F538" i="21" s="1"/>
  <c r="G538" i="21" s="1"/>
  <c r="E510" i="21"/>
  <c r="F510" i="21" s="1"/>
  <c r="G510" i="21" s="1"/>
  <c r="E986" i="21"/>
  <c r="F986" i="21" s="1"/>
  <c r="G986" i="21" s="1"/>
  <c r="E1165" i="23"/>
  <c r="F1165" i="23" s="1"/>
  <c r="G1165" i="23" s="1"/>
  <c r="E790" i="21"/>
  <c r="F790" i="21" s="1"/>
  <c r="G790" i="21" s="1"/>
  <c r="E930" i="21"/>
  <c r="F930" i="21" s="1"/>
  <c r="G930" i="21" s="1"/>
  <c r="E342" i="21"/>
  <c r="F342" i="21" s="1"/>
  <c r="G342" i="21" s="1"/>
  <c r="E818" i="21"/>
  <c r="F818" i="21" s="1"/>
  <c r="G818" i="21" s="1"/>
  <c r="E659" i="23"/>
  <c r="F659" i="23" s="1"/>
  <c r="G659" i="23" s="1"/>
  <c r="E370" i="21"/>
  <c r="F370" i="21" s="1"/>
  <c r="G370" i="21" s="1"/>
  <c r="E846" i="21"/>
  <c r="F846" i="21" s="1"/>
  <c r="G846" i="21" s="1"/>
  <c r="E1922" i="23"/>
  <c r="F1922" i="23" s="1"/>
  <c r="G1922" i="23" s="1"/>
  <c r="E398" i="21"/>
  <c r="F398" i="21" s="1"/>
  <c r="G398" i="21" s="1"/>
  <c r="E874" i="21"/>
  <c r="F874" i="21" s="1"/>
  <c r="G874" i="21" s="1"/>
  <c r="E940" i="23"/>
  <c r="F940" i="23" s="1"/>
  <c r="G940" i="23" s="1"/>
  <c r="E650" i="21"/>
  <c r="F650" i="21" s="1"/>
  <c r="G650" i="21" s="1"/>
  <c r="E170" i="21"/>
  <c r="F170" i="21" s="1"/>
  <c r="G170" i="21" s="1"/>
  <c r="E678" i="21"/>
  <c r="F678" i="21" s="1"/>
  <c r="G678" i="21" s="1"/>
  <c r="E467" i="10"/>
  <c r="F467" i="10" s="1"/>
  <c r="G467" i="10" s="1"/>
  <c r="E226" i="21"/>
  <c r="F226" i="21" s="1"/>
  <c r="G226" i="21" s="1"/>
  <c r="E310" i="21"/>
  <c r="F310" i="21" s="1"/>
  <c r="G310" i="21" s="1"/>
  <c r="E114" i="21"/>
  <c r="F114" i="21" s="1"/>
  <c r="G114" i="21" s="1"/>
  <c r="E80" i="3"/>
  <c r="F80" i="3" s="1"/>
  <c r="G80" i="3" s="1"/>
  <c r="E95" i="3" s="1"/>
  <c r="F95" i="3" s="1"/>
  <c r="E286" i="5"/>
  <c r="F286" i="5" s="1"/>
  <c r="G286" i="5" s="1"/>
  <c r="G288" i="5" s="1"/>
  <c r="F47" i="19" s="1"/>
  <c r="E1335" i="23"/>
  <c r="F1335" i="23" s="1"/>
  <c r="G1335" i="23" s="1"/>
  <c r="E2037" i="23"/>
  <c r="F2037" i="23" s="1"/>
  <c r="G2037" i="23" s="1"/>
  <c r="E857" i="23"/>
  <c r="F857" i="23" s="1"/>
  <c r="G857" i="23" s="1"/>
  <c r="E829" i="23"/>
  <c r="F829" i="23" s="1"/>
  <c r="G829" i="23" s="1"/>
  <c r="E801" i="23"/>
  <c r="F801" i="23" s="1"/>
  <c r="G801" i="23" s="1"/>
  <c r="E254" i="23"/>
  <c r="F254" i="23" s="1"/>
  <c r="G254" i="23" s="1"/>
  <c r="E372" i="23"/>
  <c r="F372" i="23" s="1"/>
  <c r="G372" i="23" s="1"/>
  <c r="E220" i="23"/>
  <c r="F220" i="23" s="1"/>
  <c r="G220" i="23" s="1"/>
  <c r="E428" i="23"/>
  <c r="F428" i="23" s="1"/>
  <c r="G428" i="23" s="1"/>
  <c r="E186" i="23"/>
  <c r="F186" i="23" s="1"/>
  <c r="G186" i="23" s="1"/>
  <c r="E316" i="23"/>
  <c r="F316" i="23" s="1"/>
  <c r="G316" i="23" s="1"/>
  <c r="E118" i="23"/>
  <c r="F118" i="23" s="1"/>
  <c r="G118" i="23" s="1"/>
  <c r="E450" i="22"/>
  <c r="F450" i="22" s="1"/>
  <c r="G450" i="22" s="1"/>
  <c r="E224" i="22"/>
  <c r="F224" i="22" s="1"/>
  <c r="G224" i="22" s="1"/>
  <c r="E420" i="22"/>
  <c r="F420" i="22" s="1"/>
  <c r="G420" i="22" s="1"/>
  <c r="E508" i="22"/>
  <c r="F508" i="22" s="1"/>
  <c r="G508" i="22" s="1"/>
  <c r="E364" i="22"/>
  <c r="F364" i="22" s="1"/>
  <c r="G364" i="22" s="1"/>
  <c r="E196" i="22"/>
  <c r="F196" i="22" s="1"/>
  <c r="G196" i="22" s="1"/>
  <c r="E280" i="22"/>
  <c r="F280" i="22" s="1"/>
  <c r="G280" i="22" s="1"/>
  <c r="E308" i="22"/>
  <c r="F308" i="22" s="1"/>
  <c r="G308" i="22" s="1"/>
  <c r="E392" i="22"/>
  <c r="F392" i="22" s="1"/>
  <c r="G392" i="22" s="1"/>
  <c r="E58" i="21"/>
  <c r="F58" i="21" s="1"/>
  <c r="G58" i="21" s="1"/>
  <c r="E348" i="5"/>
  <c r="F348" i="5" s="1"/>
  <c r="G348" i="5" s="1"/>
  <c r="G350" i="5" s="1"/>
  <c r="F50" i="19" s="1"/>
  <c r="E306" i="5"/>
  <c r="F306" i="5" s="1"/>
  <c r="G306" i="5" s="1"/>
  <c r="G308" i="5" s="1"/>
  <c r="F48" i="19" s="1"/>
  <c r="E369" i="5"/>
  <c r="F369" i="5" s="1"/>
  <c r="G369" i="5" s="1"/>
  <c r="G371" i="5" s="1"/>
  <c r="F51" i="19" s="1"/>
  <c r="E411" i="5"/>
  <c r="F411" i="5" s="1"/>
  <c r="G411" i="5" s="1"/>
  <c r="G413" i="5" s="1"/>
  <c r="F53" i="19" s="1"/>
  <c r="E912" i="10"/>
  <c r="F912" i="10" s="1"/>
  <c r="G912" i="10" s="1"/>
  <c r="E28" i="11"/>
  <c r="F28" i="11" s="1"/>
  <c r="G28" i="11" s="1"/>
  <c r="E115" i="11"/>
  <c r="F115" i="11" s="1"/>
  <c r="G115" i="11" s="1"/>
  <c r="E846" i="10"/>
  <c r="F846" i="10" s="1"/>
  <c r="G846" i="10" s="1"/>
  <c r="E606" i="9"/>
  <c r="F606" i="9" s="1"/>
  <c r="G606" i="9" s="1"/>
  <c r="E516" i="9"/>
  <c r="F516" i="9" s="1"/>
  <c r="G516" i="9" s="1"/>
  <c r="E384" i="9"/>
  <c r="F384" i="9" s="1"/>
  <c r="G384" i="9" s="1"/>
  <c r="E318" i="9"/>
  <c r="F318" i="9" s="1"/>
  <c r="G318" i="9" s="1"/>
  <c r="E147" i="11"/>
  <c r="F147" i="11" s="1"/>
  <c r="G147" i="11" s="1"/>
  <c r="E226" i="9"/>
  <c r="F226" i="9" s="1"/>
  <c r="G226" i="9" s="1"/>
  <c r="E934" i="10"/>
  <c r="F934" i="10" s="1"/>
  <c r="G934" i="10" s="1"/>
  <c r="E582" i="10"/>
  <c r="F582" i="10" s="1"/>
  <c r="G582" i="10" s="1"/>
  <c r="E242" i="10"/>
  <c r="F242" i="10" s="1"/>
  <c r="G242" i="10" s="1"/>
  <c r="E31" i="13"/>
  <c r="F31" i="13" s="1"/>
  <c r="G31" i="13" s="1"/>
  <c r="E127" i="9"/>
  <c r="F127" i="9" s="1"/>
  <c r="G127" i="9" s="1"/>
  <c r="E390" i="5"/>
  <c r="F390" i="5" s="1"/>
  <c r="G390" i="5" s="1"/>
  <c r="G392" i="5" s="1"/>
  <c r="F52" i="19" s="1"/>
  <c r="E480" i="22"/>
  <c r="F480" i="22" s="1"/>
  <c r="G480" i="22" s="1"/>
  <c r="E168" i="22"/>
  <c r="F168" i="22" s="1"/>
  <c r="G168" i="22" s="1"/>
  <c r="E28" i="22"/>
  <c r="F28" i="22" s="1"/>
  <c r="G28" i="22" s="1"/>
  <c r="E52" i="9"/>
  <c r="F52" i="9" s="1"/>
  <c r="G52" i="9" s="1"/>
  <c r="E56" i="11"/>
  <c r="F56" i="11" s="1"/>
  <c r="G56" i="11" s="1"/>
  <c r="E1000" i="10"/>
  <c r="F1000" i="10" s="1"/>
  <c r="G1000" i="10" s="1"/>
  <c r="E1223" i="23"/>
  <c r="F1223" i="23" s="1"/>
  <c r="G1223" i="23" s="1"/>
  <c r="E772" i="23"/>
  <c r="F772" i="23" s="1"/>
  <c r="G772" i="23" s="1"/>
  <c r="E151" i="23"/>
  <c r="F151" i="23" s="1"/>
  <c r="G151" i="23" s="1"/>
  <c r="E456" i="23"/>
  <c r="F456" i="23" s="1"/>
  <c r="G456" i="23" s="1"/>
  <c r="E174" i="9"/>
  <c r="F174" i="9" s="1"/>
  <c r="G174" i="9" s="1"/>
  <c r="E1088" i="10"/>
  <c r="F1088" i="10" s="1"/>
  <c r="G1088" i="10" s="1"/>
  <c r="E582" i="9"/>
  <c r="F582" i="9" s="1"/>
  <c r="G582" i="9" s="1"/>
  <c r="E484" i="23"/>
  <c r="F484" i="23" s="1"/>
  <c r="G484" i="23" s="1"/>
  <c r="E336" i="22"/>
  <c r="F336" i="22" s="1"/>
  <c r="G336" i="22" s="1"/>
  <c r="E84" i="22"/>
  <c r="F84" i="22" s="1"/>
  <c r="G84" i="22" s="1"/>
  <c r="E140" i="22"/>
  <c r="F140" i="22" s="1"/>
  <c r="G140" i="22" s="1"/>
  <c r="E252" i="9"/>
  <c r="F252" i="9" s="1"/>
  <c r="G252" i="9" s="1"/>
  <c r="E78" i="9"/>
  <c r="F78" i="9" s="1"/>
  <c r="G78" i="9" s="1"/>
  <c r="E1176" i="10"/>
  <c r="F1176" i="10" s="1"/>
  <c r="G1176" i="10" s="1"/>
  <c r="E1066" i="10"/>
  <c r="F1066" i="10" s="1"/>
  <c r="G1066" i="10" s="1"/>
  <c r="E890" i="10"/>
  <c r="F890" i="10" s="1"/>
  <c r="G890" i="10" s="1"/>
  <c r="E714" i="10"/>
  <c r="F714" i="10" s="1"/>
  <c r="G714" i="10" s="1"/>
  <c r="E626" i="10"/>
  <c r="F626" i="10" s="1"/>
  <c r="G626" i="10" s="1"/>
  <c r="E198" i="10"/>
  <c r="F198" i="10" s="1"/>
  <c r="G198" i="10" s="1"/>
  <c r="E428" i="9"/>
  <c r="F428" i="9" s="1"/>
  <c r="G428" i="9" s="1"/>
  <c r="E1132" i="10"/>
  <c r="F1132" i="10" s="1"/>
  <c r="G1132" i="10" s="1"/>
  <c r="E1044" i="10"/>
  <c r="F1044" i="10" s="1"/>
  <c r="G1044" i="10" s="1"/>
  <c r="E956" i="10"/>
  <c r="F956" i="10" s="1"/>
  <c r="G956" i="10" s="1"/>
  <c r="E780" i="10"/>
  <c r="F780" i="10" s="1"/>
  <c r="G780" i="10" s="1"/>
  <c r="E692" i="10"/>
  <c r="F692" i="10" s="1"/>
  <c r="G692" i="10" s="1"/>
  <c r="E516" i="10"/>
  <c r="F516" i="10" s="1"/>
  <c r="G516" i="10" s="1"/>
  <c r="E264" i="10"/>
  <c r="F264" i="10" s="1"/>
  <c r="G264" i="10" s="1"/>
  <c r="E176" i="10"/>
  <c r="F176" i="10" s="1"/>
  <c r="G176" i="10" s="1"/>
  <c r="E362" i="9"/>
  <c r="F362" i="9" s="1"/>
  <c r="G362" i="9" s="1"/>
  <c r="E133" i="13"/>
  <c r="F133" i="13" s="1"/>
  <c r="G133" i="13" s="1"/>
  <c r="E340" i="9"/>
  <c r="F340" i="9" s="1"/>
  <c r="G340" i="9" s="1"/>
  <c r="E189" i="13"/>
  <c r="F189" i="13" s="1"/>
  <c r="G189" i="13" s="1"/>
  <c r="E1154" i="10"/>
  <c r="F1154" i="10" s="1"/>
  <c r="G1154" i="10" s="1"/>
  <c r="E978" i="10"/>
  <c r="F978" i="10" s="1"/>
  <c r="G978" i="10" s="1"/>
  <c r="E802" i="10"/>
  <c r="F802" i="10" s="1"/>
  <c r="G802" i="10" s="1"/>
  <c r="E538" i="10"/>
  <c r="F538" i="10" s="1"/>
  <c r="G538" i="10" s="1"/>
  <c r="E374" i="10"/>
  <c r="F374" i="10" s="1"/>
  <c r="G374" i="10" s="1"/>
  <c r="E286" i="10"/>
  <c r="F286" i="10" s="1"/>
  <c r="G286" i="10" s="1"/>
  <c r="E110" i="10"/>
  <c r="F110" i="10" s="1"/>
  <c r="G110" i="10" s="1"/>
  <c r="E22" i="10"/>
  <c r="F22" i="10" s="1"/>
  <c r="G22" i="10" s="1"/>
  <c r="E630" i="9"/>
  <c r="F630" i="9" s="1"/>
  <c r="G630" i="9" s="1"/>
  <c r="E560" i="9"/>
  <c r="F560" i="9" s="1"/>
  <c r="G560" i="9" s="1"/>
  <c r="E494" i="9"/>
  <c r="F494" i="9" s="1"/>
  <c r="G494" i="9" s="1"/>
  <c r="E868" i="10"/>
  <c r="F868" i="10" s="1"/>
  <c r="G868" i="10" s="1"/>
  <c r="E604" i="10"/>
  <c r="F604" i="10" s="1"/>
  <c r="G604" i="10" s="1"/>
  <c r="E352" i="10"/>
  <c r="F352" i="10" s="1"/>
  <c r="G352" i="10" s="1"/>
  <c r="E327" i="5"/>
  <c r="F327" i="5" s="1"/>
  <c r="G327" i="5" s="1"/>
  <c r="G329" i="5" s="1"/>
  <c r="F49" i="19" s="1"/>
  <c r="E1644" i="23"/>
  <c r="F1644" i="23" s="1"/>
  <c r="G1644" i="23" s="1"/>
  <c r="E885" i="23"/>
  <c r="F885" i="23" s="1"/>
  <c r="G885" i="23" s="1"/>
  <c r="E743" i="23"/>
  <c r="F743" i="23" s="1"/>
  <c r="G743" i="23" s="1"/>
  <c r="E512" i="23"/>
  <c r="F512" i="23" s="1"/>
  <c r="G512" i="23" s="1"/>
  <c r="E344" i="23"/>
  <c r="F344" i="23" s="1"/>
  <c r="G344" i="23" s="1"/>
  <c r="E400" i="23"/>
  <c r="F400" i="23" s="1"/>
  <c r="G400" i="23" s="1"/>
  <c r="E288" i="23"/>
  <c r="F288" i="23" s="1"/>
  <c r="G288" i="23" s="1"/>
  <c r="E112" i="22"/>
  <c r="F112" i="22" s="1"/>
  <c r="G112" i="22" s="1"/>
  <c r="E252" i="22"/>
  <c r="F252" i="22" s="1"/>
  <c r="G252" i="22" s="1"/>
  <c r="E56" i="22"/>
  <c r="F56" i="22" s="1"/>
  <c r="G56" i="22" s="1"/>
  <c r="E176" i="11"/>
  <c r="F176" i="11" s="1"/>
  <c r="G176" i="11" s="1"/>
  <c r="E102" i="9"/>
  <c r="F102" i="9" s="1"/>
  <c r="G102" i="9" s="1"/>
  <c r="E26" i="9"/>
  <c r="F26" i="9" s="1"/>
  <c r="G26" i="9" s="1"/>
  <c r="E824" i="10"/>
  <c r="F824" i="10" s="1"/>
  <c r="G824" i="10" s="1"/>
  <c r="E736" i="10"/>
  <c r="F736" i="10" s="1"/>
  <c r="G736" i="10" s="1"/>
  <c r="E648" i="10"/>
  <c r="F648" i="10" s="1"/>
  <c r="G648" i="10" s="1"/>
  <c r="E560" i="10"/>
  <c r="F560" i="10" s="1"/>
  <c r="G560" i="10" s="1"/>
  <c r="E396" i="10"/>
  <c r="F396" i="10" s="1"/>
  <c r="G396" i="10" s="1"/>
  <c r="E308" i="10"/>
  <c r="F308" i="10" s="1"/>
  <c r="G308" i="10" s="1"/>
  <c r="E220" i="10"/>
  <c r="F220" i="10" s="1"/>
  <c r="G220" i="10" s="1"/>
  <c r="E132" i="10"/>
  <c r="F132" i="10" s="1"/>
  <c r="G132" i="10" s="1"/>
  <c r="E44" i="10"/>
  <c r="F44" i="10" s="1"/>
  <c r="G44" i="10" s="1"/>
  <c r="E653" i="9"/>
  <c r="F653" i="9" s="1"/>
  <c r="G653" i="9" s="1"/>
  <c r="E88" i="10"/>
  <c r="F88" i="10" s="1"/>
  <c r="G88" i="10" s="1"/>
  <c r="E1110" i="10"/>
  <c r="F1110" i="10" s="1"/>
  <c r="G1110" i="10" s="1"/>
  <c r="E758" i="10"/>
  <c r="F758" i="10" s="1"/>
  <c r="G758" i="10" s="1"/>
  <c r="E418" i="10"/>
  <c r="F418" i="10" s="1"/>
  <c r="G418" i="10" s="1"/>
  <c r="E66" i="10"/>
  <c r="F66" i="10" s="1"/>
  <c r="G66" i="10" s="1"/>
  <c r="E274" i="9"/>
  <c r="F274" i="9" s="1"/>
  <c r="G274" i="9" s="1"/>
  <c r="E440" i="10"/>
  <c r="F440" i="10" s="1"/>
  <c r="G440" i="10" s="1"/>
  <c r="E296" i="9"/>
  <c r="F296" i="9" s="1"/>
  <c r="G296" i="9" s="1"/>
  <c r="E198" i="9"/>
  <c r="F198" i="9" s="1"/>
  <c r="G198" i="9" s="1"/>
  <c r="E406" i="9"/>
  <c r="F406" i="9" s="1"/>
  <c r="G406" i="9" s="1"/>
  <c r="E1022" i="10"/>
  <c r="F1022" i="10" s="1"/>
  <c r="G1022" i="10" s="1"/>
  <c r="E670" i="10"/>
  <c r="F670" i="10" s="1"/>
  <c r="G670" i="10" s="1"/>
  <c r="E154" i="10"/>
  <c r="F154" i="10" s="1"/>
  <c r="G154" i="10" s="1"/>
  <c r="E538" i="9"/>
  <c r="F538" i="9" s="1"/>
  <c r="G538" i="9" s="1"/>
  <c r="E330" i="10"/>
  <c r="F330" i="10" s="1"/>
  <c r="G330" i="10" s="1"/>
  <c r="E472" i="9"/>
  <c r="F472" i="9" s="1"/>
  <c r="G472" i="9" s="1"/>
  <c r="E84" i="11"/>
  <c r="F84" i="11" s="1"/>
  <c r="G84" i="11" s="1"/>
  <c r="E450" i="9"/>
  <c r="F450" i="9" s="1"/>
  <c r="G450" i="9" s="1"/>
  <c r="E151" i="9"/>
  <c r="F151" i="9" s="1"/>
  <c r="G151" i="9" s="1"/>
  <c r="E75" i="7"/>
  <c r="F75" i="7" s="1"/>
  <c r="G75" i="7" s="1"/>
  <c r="E352" i="7"/>
  <c r="F352" i="7" s="1"/>
  <c r="G352" i="7" s="1"/>
  <c r="E277" i="7"/>
  <c r="F277" i="7" s="1"/>
  <c r="G277" i="7" s="1"/>
  <c r="E250" i="7"/>
  <c r="F250" i="7" s="1"/>
  <c r="G250" i="7" s="1"/>
  <c r="E150" i="7"/>
  <c r="F150" i="7" s="1"/>
  <c r="G150" i="7" s="1"/>
  <c r="E1442" i="5"/>
  <c r="F1442" i="5" s="1"/>
  <c r="G1442" i="5" s="1"/>
  <c r="E879" i="5"/>
  <c r="F879" i="5" s="1"/>
  <c r="G880" i="5" s="1"/>
  <c r="E884" i="5" s="1"/>
  <c r="F884" i="5" s="1"/>
  <c r="E1298" i="23"/>
  <c r="F1298" i="23" s="1"/>
  <c r="E1270" i="23"/>
  <c r="F1270" i="23" s="1"/>
  <c r="E695" i="5"/>
  <c r="F695" i="5" s="1"/>
  <c r="G696" i="5" s="1"/>
  <c r="E700" i="5" s="1"/>
  <c r="F700" i="5" s="1"/>
  <c r="E125" i="5"/>
  <c r="F125" i="5" s="1"/>
  <c r="G126" i="5" s="1"/>
  <c r="E130" i="5" s="1"/>
  <c r="F130" i="5" s="1"/>
  <c r="E53" i="20"/>
  <c r="F53" i="20" s="1"/>
  <c r="G57" i="20" s="1"/>
  <c r="E60" i="20" s="1"/>
  <c r="F60" i="20" s="1"/>
  <c r="G61" i="20" s="1"/>
  <c r="E16" i="7"/>
  <c r="F16" i="7" s="1"/>
  <c r="G16" i="7" s="1"/>
  <c r="E20" i="7" s="1"/>
  <c r="F20" i="7" s="1"/>
  <c r="E1607" i="23"/>
  <c r="F1607" i="23" s="1"/>
  <c r="E2001" i="23"/>
  <c r="F2001" i="23" s="1"/>
  <c r="G2002" i="23" s="1"/>
  <c r="E2005" i="23" s="1"/>
  <c r="F2005" i="23" s="1"/>
  <c r="G2006" i="23" s="1"/>
  <c r="E293" i="7"/>
  <c r="F293" i="7" s="1"/>
  <c r="G293" i="7" s="1"/>
  <c r="E296" i="7" s="1"/>
  <c r="F296" i="7" s="1"/>
  <c r="E244" i="9"/>
  <c r="F244" i="9" s="1"/>
  <c r="G245" i="9" s="1"/>
  <c r="E248" i="9" s="1"/>
  <c r="F248" i="9" s="1"/>
  <c r="G249" i="9" s="1"/>
  <c r="E1151" i="5"/>
  <c r="F1151" i="5" s="1"/>
  <c r="G1152" i="5" s="1"/>
  <c r="E1156" i="5" s="1"/>
  <c r="F1156" i="5" s="1"/>
  <c r="E205" i="5"/>
  <c r="F205" i="5" s="1"/>
  <c r="G206" i="5" s="1"/>
  <c r="E210" i="5" s="1"/>
  <c r="F210" i="5" s="1"/>
  <c r="E1307" i="5"/>
  <c r="F1307" i="5" s="1"/>
  <c r="G1308" i="5" s="1"/>
  <c r="E1312" i="5" s="1"/>
  <c r="F1312" i="5" s="1"/>
  <c r="E178" i="5"/>
  <c r="F178" i="5" s="1"/>
  <c r="G180" i="5" s="1"/>
  <c r="E184" i="5" s="1"/>
  <c r="F184" i="5" s="1"/>
  <c r="E56" i="3"/>
  <c r="F56" i="3" s="1"/>
  <c r="G57" i="3" s="1"/>
  <c r="E1415" i="5"/>
  <c r="F1415" i="5" s="1"/>
  <c r="G1416" i="5" s="1"/>
  <c r="E18" i="13"/>
  <c r="F18" i="13" s="1"/>
  <c r="E876" i="23"/>
  <c r="F876" i="23" s="1"/>
  <c r="E257" i="5"/>
  <c r="F257" i="5" s="1"/>
  <c r="G258" i="5" s="1"/>
  <c r="E262" i="5" s="1"/>
  <c r="F262" i="5" s="1"/>
  <c r="E544" i="20"/>
  <c r="F544" i="20" s="1"/>
  <c r="G548" i="20" s="1"/>
  <c r="E551" i="20" s="1"/>
  <c r="F551" i="20" s="1"/>
  <c r="G552" i="20" s="1"/>
  <c r="E564" i="5"/>
  <c r="F564" i="5" s="1"/>
  <c r="G565" i="5" s="1"/>
  <c r="E569" i="5" s="1"/>
  <c r="F569" i="5" s="1"/>
  <c r="E150" i="5"/>
  <c r="F150" i="5" s="1"/>
  <c r="G153" i="5" s="1"/>
  <c r="E157" i="5" s="1"/>
  <c r="F157" i="5" s="1"/>
  <c r="E931" i="5"/>
  <c r="F931" i="5" s="1"/>
  <c r="G932" i="5" s="1"/>
  <c r="E936" i="5" s="1"/>
  <c r="F936" i="5" s="1"/>
  <c r="E191" i="7"/>
  <c r="F191" i="7" s="1"/>
  <c r="G191" i="7" s="1"/>
  <c r="E194" i="7" s="1"/>
  <c r="F194" i="7" s="1"/>
  <c r="E202" i="20"/>
  <c r="F202" i="20" s="1"/>
  <c r="G206" i="20" s="1"/>
  <c r="E209" i="20" s="1"/>
  <c r="F209" i="20" s="1"/>
  <c r="G210" i="20" s="1"/>
  <c r="E68" i="5"/>
  <c r="F68" i="5" s="1"/>
  <c r="G70" i="5" s="1"/>
  <c r="E74" i="5" s="1"/>
  <c r="F74" i="5" s="1"/>
  <c r="E987" i="5"/>
  <c r="F987" i="5" s="1"/>
  <c r="G988" i="5" s="1"/>
  <c r="E992" i="5" s="1"/>
  <c r="F992" i="5" s="1"/>
  <c r="E91" i="7"/>
  <c r="F91" i="7" s="1"/>
  <c r="G91" i="7" s="1"/>
  <c r="E94" i="7" s="1"/>
  <c r="F94" i="7" s="1"/>
  <c r="E173" i="20"/>
  <c r="F173" i="20" s="1"/>
  <c r="E257" i="20"/>
  <c r="F257" i="20" s="1"/>
  <c r="G257" i="20" s="1"/>
  <c r="E261" i="20" s="1"/>
  <c r="F261" i="20" s="1"/>
  <c r="G261" i="20" s="1"/>
  <c r="G266" i="20" s="1"/>
  <c r="F151" i="19" s="1"/>
  <c r="E374" i="20"/>
  <c r="F374" i="20" s="1"/>
  <c r="G378" i="20" s="1"/>
  <c r="E381" i="20" s="1"/>
  <c r="F381" i="20" s="1"/>
  <c r="G382" i="20" s="1"/>
  <c r="E165" i="11"/>
  <c r="F165" i="11" s="1"/>
  <c r="G168" i="11" s="1"/>
  <c r="E171" i="11" s="1"/>
  <c r="F171" i="11" s="1"/>
  <c r="E81" i="20"/>
  <c r="F81" i="20" s="1"/>
  <c r="G85" i="20" s="1"/>
  <c r="E89" i="20" s="1"/>
  <c r="F89" i="20" s="1"/>
  <c r="G90" i="20" s="1"/>
  <c r="G95" i="20" s="1"/>
  <c r="F143" i="19" s="1"/>
  <c r="E43" i="5"/>
  <c r="F43" i="5" s="1"/>
  <c r="G44" i="5" s="1"/>
  <c r="E48" i="5" s="1"/>
  <c r="F48" i="5" s="1"/>
  <c r="E1015" i="5"/>
  <c r="F1015" i="5" s="1"/>
  <c r="G1016" i="5" s="1"/>
  <c r="E438" i="20"/>
  <c r="F438" i="20" s="1"/>
  <c r="E317" i="20"/>
  <c r="F317" i="20" s="1"/>
  <c r="E643" i="5"/>
  <c r="F643" i="5" s="1"/>
  <c r="G644" i="5" s="1"/>
  <c r="E648" i="5" s="1"/>
  <c r="F648" i="5" s="1"/>
  <c r="E617" i="5"/>
  <c r="F617" i="5" s="1"/>
  <c r="G618" i="5" s="1"/>
  <c r="E622" i="5" s="1"/>
  <c r="F622" i="5" s="1"/>
  <c r="E1494" i="5"/>
  <c r="F1494" i="5" s="1"/>
  <c r="G1495" i="5" s="1"/>
  <c r="E1499" i="5" s="1"/>
  <c r="F1499" i="5" s="1"/>
  <c r="E24" i="20"/>
  <c r="F24" i="20" s="1"/>
  <c r="E905" i="5"/>
  <c r="F905" i="5" s="1"/>
  <c r="G906" i="5" s="1"/>
  <c r="E910" i="5" s="1"/>
  <c r="F910" i="5" s="1"/>
  <c r="E1177" i="5"/>
  <c r="F1177" i="5" s="1"/>
  <c r="G1178" i="5" s="1"/>
  <c r="E1182" i="5" s="1"/>
  <c r="F1182" i="5" s="1"/>
  <c r="E1203" i="5"/>
  <c r="F1203" i="5" s="1"/>
  <c r="G1204" i="5" s="1"/>
  <c r="E1208" i="5" s="1"/>
  <c r="F1208" i="5" s="1"/>
  <c r="E1229" i="5"/>
  <c r="F1229" i="5" s="1"/>
  <c r="G1230" i="5" s="1"/>
  <c r="E1234" i="5" s="1"/>
  <c r="F1234" i="5" s="1"/>
  <c r="E231" i="5"/>
  <c r="F231" i="5" s="1"/>
  <c r="G232" i="5" s="1"/>
  <c r="E236" i="5" s="1"/>
  <c r="F236" i="5" s="1"/>
  <c r="E138" i="20"/>
  <c r="F138" i="20" s="1"/>
  <c r="G147" i="20" s="1"/>
  <c r="E150" i="20" s="1"/>
  <c r="F150" i="20" s="1"/>
  <c r="G152" i="20" s="1"/>
  <c r="G157" i="20" s="1"/>
  <c r="F145" i="19" s="1"/>
  <c r="E1465" i="5"/>
  <c r="F1465" i="5" s="1"/>
  <c r="G1468" i="5" s="1"/>
  <c r="E1472" i="5" s="1"/>
  <c r="F1472" i="5" s="1"/>
  <c r="E1360" i="5"/>
  <c r="F1360" i="5" s="1"/>
  <c r="G1362" i="5" s="1"/>
  <c r="E1366" i="5" s="1"/>
  <c r="F1366" i="5" s="1"/>
  <c r="E1092" i="5"/>
  <c r="F1092" i="5" s="1"/>
  <c r="G1095" i="5" s="1"/>
  <c r="E1099" i="5" s="1"/>
  <c r="F1099" i="5" s="1"/>
  <c r="E532" i="5"/>
  <c r="F532" i="5" s="1"/>
  <c r="G535" i="5" s="1"/>
  <c r="E539" i="5" s="1"/>
  <c r="F539" i="5" s="1"/>
  <c r="E1282" i="5"/>
  <c r="F1282" i="5" s="1"/>
  <c r="G1282" i="5" s="1"/>
  <c r="E1285" i="5" s="1"/>
  <c r="F1285" i="5" s="1"/>
  <c r="E721" i="5"/>
  <c r="F721" i="5" s="1"/>
  <c r="G722" i="5" s="1"/>
  <c r="E726" i="5" s="1"/>
  <c r="F726" i="5" s="1"/>
  <c r="E1549" i="5"/>
  <c r="F1549" i="5" s="1"/>
  <c r="G1550" i="5" s="1"/>
  <c r="E1554" i="5" s="1"/>
  <c r="F1554" i="5" s="1"/>
  <c r="E669" i="5"/>
  <c r="F669" i="5" s="1"/>
  <c r="G670" i="5" s="1"/>
  <c r="E674" i="5" s="1"/>
  <c r="F674" i="5" s="1"/>
  <c r="E456" i="5"/>
  <c r="F456" i="5" s="1"/>
  <c r="G458" i="5" s="1"/>
  <c r="E462" i="5" s="1"/>
  <c r="F462" i="5" s="1"/>
  <c r="E824" i="5"/>
  <c r="F824" i="5" s="1"/>
  <c r="G827" i="5" s="1"/>
  <c r="E831" i="5" s="1"/>
  <c r="F831" i="5" s="1"/>
  <c r="E852" i="5"/>
  <c r="F852" i="5" s="1"/>
  <c r="G854" i="5" s="1"/>
  <c r="E858" i="5" s="1"/>
  <c r="F858" i="5" s="1"/>
  <c r="E1042" i="5"/>
  <c r="F1042" i="5" s="1"/>
  <c r="G1044" i="5" s="1"/>
  <c r="E1048" i="5" s="1"/>
  <c r="F1048" i="5" s="1"/>
  <c r="E748" i="5"/>
  <c r="F748" i="5" s="1"/>
  <c r="G750" i="5" s="1"/>
  <c r="E754" i="5" s="1"/>
  <c r="F754" i="5" s="1"/>
  <c r="E1255" i="5"/>
  <c r="F1255" i="5" s="1"/>
  <c r="G1256" i="5" s="1"/>
  <c r="E1260" i="5" s="1"/>
  <c r="F1260" i="5" s="1"/>
  <c r="E425" i="20"/>
  <c r="F425" i="20" s="1"/>
  <c r="G429" i="20" s="1"/>
  <c r="E446" i="20" s="1"/>
  <c r="F446" i="20" s="1"/>
  <c r="E304" i="20"/>
  <c r="F304" i="20" s="1"/>
  <c r="G308" i="20" s="1"/>
  <c r="E325" i="20" s="1"/>
  <c r="F325" i="20" s="1"/>
  <c r="E49" i="7"/>
  <c r="F49" i="7" s="1"/>
  <c r="G49" i="7" s="1"/>
  <c r="E224" i="7"/>
  <c r="F224" i="7" s="1"/>
  <c r="G224" i="7" s="1"/>
  <c r="E25" i="6"/>
  <c r="F25" i="6" s="1"/>
  <c r="G25" i="6" s="1"/>
  <c r="E326" i="7"/>
  <c r="F326" i="7" s="1"/>
  <c r="G326" i="7" s="1"/>
  <c r="E49" i="6"/>
  <c r="F49" i="6" s="1"/>
  <c r="G49" i="6" s="1"/>
  <c r="E124" i="7"/>
  <c r="F124" i="7" s="1"/>
  <c r="G124" i="7" s="1"/>
  <c r="E71" i="1"/>
  <c r="F71" i="1" s="1"/>
  <c r="E77" i="5"/>
  <c r="F77" i="5" s="1"/>
  <c r="G77" i="5" s="1"/>
  <c r="E187" i="5"/>
  <c r="F187" i="5" s="1"/>
  <c r="G187" i="5" s="1"/>
  <c r="E160" i="5"/>
  <c r="F160" i="5" s="1"/>
  <c r="G160" i="5" s="1"/>
  <c r="E1838" i="23"/>
  <c r="F1838" i="23" s="1"/>
  <c r="G1838" i="23" s="1"/>
  <c r="E1894" i="23"/>
  <c r="F1894" i="23" s="1"/>
  <c r="G1894" i="23" s="1"/>
  <c r="E1473" i="23"/>
  <c r="F1473" i="23" s="1"/>
  <c r="G1473" i="23" s="1"/>
  <c r="E1700" i="23"/>
  <c r="F1700" i="23" s="1"/>
  <c r="G1700" i="23" s="1"/>
  <c r="E1672" i="23"/>
  <c r="F1672" i="23" s="1"/>
  <c r="G1672" i="23" s="1"/>
  <c r="E1810" i="23"/>
  <c r="F1810" i="23" s="1"/>
  <c r="G1810" i="23" s="1"/>
  <c r="E593" i="22"/>
  <c r="F593" i="22" s="1"/>
  <c r="G593" i="22" s="1"/>
  <c r="E1137" i="23"/>
  <c r="F1137" i="23" s="1"/>
  <c r="G1137" i="23" s="1"/>
  <c r="E555" i="20"/>
  <c r="F555" i="20" s="1"/>
  <c r="G555" i="20" s="1"/>
  <c r="E385" i="20"/>
  <c r="F385" i="20" s="1"/>
  <c r="G385" i="20" s="1"/>
  <c r="E300" i="7"/>
  <c r="F300" i="7" s="1"/>
  <c r="G300" i="7" s="1"/>
  <c r="E213" i="20"/>
  <c r="F213" i="20" s="1"/>
  <c r="G213" i="20" s="1"/>
  <c r="E198" i="7"/>
  <c r="F198" i="7" s="1"/>
  <c r="G198" i="7" s="1"/>
  <c r="E64" i="3"/>
  <c r="F64" i="3" s="1"/>
  <c r="G64" i="3" s="1"/>
  <c r="E1445" i="23"/>
  <c r="F1445" i="23" s="1"/>
  <c r="G1445" i="23" s="1"/>
  <c r="E1080" i="23"/>
  <c r="F1080" i="23" s="1"/>
  <c r="G1080" i="23" s="1"/>
  <c r="E1530" i="23"/>
  <c r="F1530" i="23" s="1"/>
  <c r="G1530" i="23" s="1"/>
  <c r="E1052" i="23"/>
  <c r="F1052" i="23" s="1"/>
  <c r="G1052" i="23" s="1"/>
  <c r="E64" i="20"/>
  <c r="F64" i="20" s="1"/>
  <c r="G64" i="20" s="1"/>
  <c r="E56" i="23"/>
  <c r="F56" i="23" s="1"/>
  <c r="G56" i="23" s="1"/>
  <c r="E1728" i="23"/>
  <c r="F1728" i="23" s="1"/>
  <c r="G1728" i="23" s="1"/>
  <c r="E1279" i="23"/>
  <c r="F1279" i="23" s="1"/>
  <c r="G1279" i="23" s="1"/>
  <c r="E1616" i="23"/>
  <c r="F1616" i="23" s="1"/>
  <c r="G1616" i="23" s="1"/>
  <c r="E1307" i="23"/>
  <c r="F1307" i="23" s="1"/>
  <c r="G1307" i="23" s="1"/>
  <c r="E23" i="7"/>
  <c r="F23" i="7" s="1"/>
  <c r="G23" i="7" s="1"/>
  <c r="E98" i="7"/>
  <c r="F98" i="7" s="1"/>
  <c r="G98" i="7" s="1"/>
  <c r="E414" i="20"/>
  <c r="F414" i="20" s="1"/>
  <c r="G414" i="20" s="1"/>
  <c r="E293" i="20"/>
  <c r="F293" i="20" s="1"/>
  <c r="G293" i="20" s="1"/>
  <c r="E996" i="23"/>
  <c r="F996" i="23" s="1"/>
  <c r="G996" i="23" s="1"/>
  <c r="E2009" i="23"/>
  <c r="F2009" i="23" s="1"/>
  <c r="G2009" i="23" s="1"/>
  <c r="E1417" i="23"/>
  <c r="F1417" i="23" s="1"/>
  <c r="G1417" i="23" s="1"/>
  <c r="E536" i="22"/>
  <c r="F536" i="22" s="1"/>
  <c r="G536" i="22" s="1"/>
  <c r="E1782" i="23"/>
  <c r="F1782" i="23" s="1"/>
  <c r="G1782" i="23" s="1"/>
  <c r="E1024" i="23"/>
  <c r="F1024" i="23" s="1"/>
  <c r="G1024" i="23" s="1"/>
  <c r="E703" i="5"/>
  <c r="F703" i="5" s="1"/>
  <c r="G703" i="5" s="1"/>
  <c r="E995" i="5"/>
  <c r="F995" i="5" s="1"/>
  <c r="G995" i="5" s="1"/>
  <c r="E265" i="5"/>
  <c r="F265" i="5" s="1"/>
  <c r="G265" i="5" s="1"/>
  <c r="E1557" i="5"/>
  <c r="F1557" i="5" s="1"/>
  <c r="G1557" i="5" s="1"/>
  <c r="E913" i="5"/>
  <c r="F913" i="5" s="1"/>
  <c r="G913" i="5" s="1"/>
  <c r="E25" i="5"/>
  <c r="F25" i="5" s="1"/>
  <c r="G25" i="5" s="1"/>
  <c r="E1289" i="5"/>
  <c r="F1289" i="5" s="1"/>
  <c r="G1289" i="5" s="1"/>
  <c r="E51" i="5"/>
  <c r="F51" i="5" s="1"/>
  <c r="G51" i="5" s="1"/>
  <c r="E213" i="5"/>
  <c r="F213" i="5" s="1"/>
  <c r="G213" i="5" s="1"/>
  <c r="E1315" i="5"/>
  <c r="F1315" i="5" s="1"/>
  <c r="G1315" i="5" s="1"/>
  <c r="E133" i="5"/>
  <c r="F133" i="5" s="1"/>
  <c r="G133" i="5" s="1"/>
  <c r="E1502" i="5"/>
  <c r="F1502" i="5" s="1"/>
  <c r="G1502" i="5" s="1"/>
  <c r="E1159" i="5"/>
  <c r="F1159" i="5" s="1"/>
  <c r="G1159" i="5" s="1"/>
  <c r="E687" i="23"/>
  <c r="F687" i="23" s="1"/>
  <c r="G687" i="23" s="1"/>
  <c r="E1389" i="23"/>
  <c r="F1389" i="23" s="1"/>
  <c r="G1389" i="23" s="1"/>
  <c r="E239" i="5"/>
  <c r="F239" i="5" s="1"/>
  <c r="G239" i="5" s="1"/>
  <c r="E1263" i="5"/>
  <c r="F1263" i="5" s="1"/>
  <c r="G1263" i="5" s="1"/>
  <c r="E887" i="5"/>
  <c r="F887" i="5" s="1"/>
  <c r="G887" i="5" s="1"/>
  <c r="E729" i="5"/>
  <c r="F729" i="5" s="1"/>
  <c r="G729" i="5" s="1"/>
  <c r="E939" i="5"/>
  <c r="F939" i="5" s="1"/>
  <c r="G939" i="5" s="1"/>
  <c r="E572" i="5"/>
  <c r="F572" i="5" s="1"/>
  <c r="G572" i="5" s="1"/>
  <c r="E574" i="23"/>
  <c r="F574" i="23" s="1"/>
  <c r="G574" i="23" s="1"/>
  <c r="E603" i="23"/>
  <c r="F603" i="23" s="1"/>
  <c r="G603" i="23" s="1"/>
  <c r="E32" i="21"/>
  <c r="F32" i="21" s="1"/>
  <c r="G32" i="21" s="1"/>
  <c r="E543" i="23"/>
  <c r="F543" i="23" s="1"/>
  <c r="G543" i="23" s="1"/>
  <c r="E508" i="5"/>
  <c r="F508" i="5" s="1"/>
  <c r="G509" i="5" s="1"/>
  <c r="F4052" i="26"/>
  <c r="G4053" i="26" s="1"/>
  <c r="E4056" i="26" s="1"/>
  <c r="F4056" i="26" s="1"/>
  <c r="G4057" i="26" s="1"/>
  <c r="G4063" i="26" s="1"/>
  <c r="F639" i="19" s="1"/>
  <c r="F3768" i="26"/>
  <c r="G3769" i="26" s="1"/>
  <c r="G3779" i="26" s="1"/>
  <c r="E800" i="5"/>
  <c r="F800" i="5" s="1"/>
  <c r="G801" i="5" s="1"/>
  <c r="E172" i="20"/>
  <c r="F172" i="20" s="1"/>
  <c r="E486" i="10"/>
  <c r="F486" i="10" s="1"/>
  <c r="G487" i="10" s="1"/>
  <c r="E490" i="10" s="1"/>
  <c r="F490" i="10" s="1"/>
  <c r="G491" i="10" s="1"/>
  <c r="E17" i="13"/>
  <c r="F17" i="13" s="1"/>
  <c r="E179" i="3"/>
  <c r="F179" i="3" s="1"/>
  <c r="G183" i="3" s="1"/>
  <c r="E187" i="3" s="1"/>
  <c r="F187" i="3" s="1"/>
  <c r="G187" i="3" s="1"/>
  <c r="G192" i="3" s="1"/>
  <c r="F24" i="19" s="1"/>
  <c r="E432" i="20"/>
  <c r="F432" i="20" s="1"/>
  <c r="E18" i="20"/>
  <c r="F18" i="20" s="1"/>
  <c r="E459" i="10"/>
  <c r="F459" i="10" s="1"/>
  <c r="G460" i="10" s="1"/>
  <c r="E463" i="10" s="1"/>
  <c r="F463" i="10" s="1"/>
  <c r="G464" i="10" s="1"/>
  <c r="E271" i="3"/>
  <c r="F271" i="3" s="1"/>
  <c r="G278" i="3" s="1"/>
  <c r="E282" i="3" s="1"/>
  <c r="F282" i="3" s="1"/>
  <c r="E1297" i="23"/>
  <c r="F1297" i="23" s="1"/>
  <c r="E207" i="3"/>
  <c r="F207" i="3" s="1"/>
  <c r="G215" i="3" s="1"/>
  <c r="E219" i="3" s="1"/>
  <c r="F219" i="3" s="1"/>
  <c r="E1662" i="23"/>
  <c r="F1662" i="23" s="1"/>
  <c r="G1665" i="23" s="1"/>
  <c r="E1668" i="23" s="1"/>
  <c r="F1668" i="23" s="1"/>
  <c r="G1669" i="23" s="1"/>
  <c r="E91" i="3"/>
  <c r="F91" i="3" s="1"/>
  <c r="G92" i="3" s="1"/>
  <c r="E96" i="3" s="1"/>
  <c r="F96" i="3" s="1"/>
  <c r="E1606" i="23"/>
  <c r="F1606" i="23" s="1"/>
  <c r="E311" i="20"/>
  <c r="F311" i="20" s="1"/>
  <c r="E26" i="3"/>
  <c r="F26" i="3" s="1"/>
  <c r="G27" i="3" s="1"/>
  <c r="E31" i="3" s="1"/>
  <c r="F31" i="3" s="1"/>
  <c r="E1269" i="23"/>
  <c r="F1269" i="23" s="1"/>
  <c r="E875" i="23"/>
  <c r="F875" i="23" s="1"/>
  <c r="E239" i="3"/>
  <c r="F239" i="3" s="1"/>
  <c r="G245" i="3" s="1"/>
  <c r="E1718" i="23"/>
  <c r="F1718" i="23" s="1"/>
  <c r="G1721" i="23" s="1"/>
  <c r="E1724" i="23" s="1"/>
  <c r="F1724" i="23" s="1"/>
  <c r="G1725" i="23" s="1"/>
  <c r="E152" i="3"/>
  <c r="F152" i="3" s="1"/>
  <c r="G152" i="3" s="1"/>
  <c r="E155" i="3" s="1"/>
  <c r="F155" i="3" s="1"/>
  <c r="E176" i="13"/>
  <c r="F176" i="13" s="1"/>
  <c r="G181" i="13" s="1"/>
  <c r="E184" i="13" s="1"/>
  <c r="F184" i="13" s="1"/>
  <c r="E124" i="3"/>
  <c r="F124" i="3" s="1"/>
  <c r="G125" i="3" s="1"/>
  <c r="E129" i="3" s="1"/>
  <c r="F129" i="3" s="1"/>
  <c r="E793" i="5"/>
  <c r="F793" i="5" s="1"/>
  <c r="G797" i="5" s="1"/>
  <c r="E804" i="5" s="1"/>
  <c r="F804" i="5" s="1"/>
  <c r="G805" i="5" s="1"/>
  <c r="E1754" i="23"/>
  <c r="F1754" i="23" s="1"/>
  <c r="G1754" i="23" s="1"/>
  <c r="E1739" i="23" s="1"/>
  <c r="F1739" i="23" s="1"/>
  <c r="G1741" i="23" s="1"/>
  <c r="G1756" i="23" s="1"/>
  <c r="F420" i="19" s="1"/>
  <c r="E1361" i="23"/>
  <c r="F1361" i="23" s="1"/>
  <c r="G1361" i="23" s="1"/>
  <c r="E1346" i="23" s="1"/>
  <c r="F1346" i="23" s="1"/>
  <c r="G1348" i="23" s="1"/>
  <c r="G1363" i="23" s="1"/>
  <c r="F401" i="19" s="1"/>
  <c r="E26" i="1"/>
  <c r="F26" i="1" s="1"/>
  <c r="G26" i="1" s="1"/>
  <c r="E341" i="20"/>
  <c r="F341" i="20" s="1"/>
  <c r="G342" i="20" s="1"/>
  <c r="E354" i="20" s="1"/>
  <c r="F354" i="20" s="1"/>
  <c r="G355" i="20" s="1"/>
  <c r="G360" i="20" s="1"/>
  <c r="F154" i="19" s="1"/>
  <c r="E84" i="13"/>
  <c r="F84" i="13" s="1"/>
  <c r="G84" i="13" s="1"/>
  <c r="E1979" i="23"/>
  <c r="F1979" i="23" s="1"/>
  <c r="G1979" i="23" s="1"/>
  <c r="E109" i="13"/>
  <c r="F109" i="13" s="1"/>
  <c r="G109" i="13" s="1"/>
  <c r="E1251" i="23"/>
  <c r="F1251" i="23" s="1"/>
  <c r="G1251" i="23" s="1"/>
  <c r="E157" i="13"/>
  <c r="F157" i="13" s="1"/>
  <c r="G157" i="13" s="1"/>
  <c r="E307" i="3"/>
  <c r="F307" i="3" s="1"/>
  <c r="G307" i="3" s="1"/>
  <c r="E311" i="3" s="1"/>
  <c r="F311" i="3" s="1"/>
  <c r="E428" i="5"/>
  <c r="F428" i="5" s="1"/>
  <c r="G431" i="5" s="1"/>
  <c r="E434" i="5" s="1"/>
  <c r="F434" i="5" s="1"/>
  <c r="G434" i="5" s="1"/>
  <c r="E1332" i="5"/>
  <c r="F1332" i="5" s="1"/>
  <c r="G1335" i="5" s="1"/>
  <c r="E1338" i="5" s="1"/>
  <c r="F1338" i="5" s="1"/>
  <c r="G1338" i="5" s="1"/>
  <c r="E501" i="5"/>
  <c r="F501" i="5" s="1"/>
  <c r="G505" i="5" s="1"/>
  <c r="E512" i="5" s="1"/>
  <c r="F512" i="5" s="1"/>
  <c r="G513" i="5" s="1"/>
  <c r="E15" i="3"/>
  <c r="F15" i="3" s="1"/>
  <c r="G15" i="3" s="1"/>
  <c r="E30" i="3" s="1"/>
  <c r="F30" i="3" s="1"/>
  <c r="E268" i="3"/>
  <c r="F268" i="3" s="1"/>
  <c r="G268" i="3" s="1"/>
  <c r="E281" i="3" s="1"/>
  <c r="F281" i="3" s="1"/>
  <c r="E704" i="9"/>
  <c r="F704" i="9" s="1"/>
  <c r="G704" i="9" s="1"/>
  <c r="E677" i="9"/>
  <c r="F677" i="9" s="1"/>
  <c r="G677" i="9" s="1"/>
  <c r="E728" i="9"/>
  <c r="F728" i="9" s="1"/>
  <c r="G728" i="9" s="1"/>
  <c r="E37" i="1"/>
  <c r="F37" i="1" s="1"/>
  <c r="G38" i="1" s="1"/>
  <c r="G62" i="1" s="1"/>
  <c r="F11" i="19" s="1"/>
  <c r="E233" i="3"/>
  <c r="F233" i="3" s="1"/>
  <c r="G236" i="3" s="1"/>
  <c r="E11" i="20"/>
  <c r="F11" i="20" s="1"/>
  <c r="G15" i="20" s="1"/>
  <c r="E32" i="20" s="1"/>
  <c r="F32" i="20" s="1"/>
  <c r="E297" i="3"/>
  <c r="F297" i="3" s="1"/>
  <c r="G298" i="3" s="1"/>
  <c r="E310" i="3" s="1"/>
  <c r="F310" i="3" s="1"/>
  <c r="E1519" i="5"/>
  <c r="F1519" i="5" s="1"/>
  <c r="G1523" i="5" s="1"/>
  <c r="E1526" i="5" s="1"/>
  <c r="F1526" i="5" s="1"/>
  <c r="E9" i="4"/>
  <c r="E175" i="7"/>
  <c r="F175" i="7" s="1"/>
  <c r="G175" i="7" s="1"/>
  <c r="E377" i="7"/>
  <c r="F377" i="7" s="1"/>
  <c r="G377" i="7" s="1"/>
  <c r="E465" i="5"/>
  <c r="F465" i="5" s="1"/>
  <c r="G465" i="5" s="1"/>
  <c r="E625" i="5"/>
  <c r="F625" i="5" s="1"/>
  <c r="G625" i="5" s="1"/>
  <c r="E1237" i="5"/>
  <c r="F1237" i="5" s="1"/>
  <c r="G1237" i="5" s="1"/>
  <c r="E1476" i="5"/>
  <c r="F1476" i="5" s="1"/>
  <c r="G1476" i="5" s="1"/>
  <c r="E543" i="5"/>
  <c r="F543" i="5" s="1"/>
  <c r="G543" i="5" s="1"/>
  <c r="E1369" i="5"/>
  <c r="F1369" i="5" s="1"/>
  <c r="G1369" i="5" s="1"/>
  <c r="E1394" i="5"/>
  <c r="F1394" i="5" s="1"/>
  <c r="G1394" i="5" s="1"/>
  <c r="E1185" i="5"/>
  <c r="F1185" i="5" s="1"/>
  <c r="G1185" i="5" s="1"/>
  <c r="E782" i="5"/>
  <c r="F782" i="5" s="1"/>
  <c r="G782" i="5" s="1"/>
  <c r="E490" i="5"/>
  <c r="F490" i="5" s="1"/>
  <c r="G490" i="5" s="1"/>
  <c r="E1051" i="5"/>
  <c r="F1051" i="5" s="1"/>
  <c r="G1051" i="5" s="1"/>
  <c r="E1103" i="5"/>
  <c r="F1103" i="5" s="1"/>
  <c r="G1103" i="5" s="1"/>
  <c r="E1130" i="5"/>
  <c r="F1130" i="5" s="1"/>
  <c r="G1130" i="5" s="1"/>
  <c r="E677" i="5"/>
  <c r="F677" i="5" s="1"/>
  <c r="G677" i="5" s="1"/>
  <c r="E1076" i="5"/>
  <c r="F1076" i="5" s="1"/>
  <c r="G1076" i="5" s="1"/>
  <c r="E599" i="5"/>
  <c r="F599" i="5" s="1"/>
  <c r="G599" i="5" s="1"/>
  <c r="E651" i="5"/>
  <c r="F651" i="5" s="1"/>
  <c r="G651" i="5" s="1"/>
  <c r="E861" i="5"/>
  <c r="F861" i="5" s="1"/>
  <c r="G861" i="5" s="1"/>
  <c r="E757" i="5"/>
  <c r="F757" i="5" s="1"/>
  <c r="G757" i="5" s="1"/>
  <c r="E437" i="5"/>
  <c r="F437" i="5" s="1"/>
  <c r="G437" i="5" s="1"/>
  <c r="E1449" i="5"/>
  <c r="F1449" i="5" s="1"/>
  <c r="G1449" i="5" s="1"/>
  <c r="E1023" i="5"/>
  <c r="F1023" i="5" s="1"/>
  <c r="G1023" i="5" s="1"/>
  <c r="E715" i="23"/>
  <c r="F715" i="23" s="1"/>
  <c r="G715" i="23" s="1"/>
  <c r="E1866" i="23"/>
  <c r="F1866" i="23" s="1"/>
  <c r="G1866" i="23" s="1"/>
  <c r="E28" i="23"/>
  <c r="F28" i="23" s="1"/>
  <c r="G28" i="23" s="1"/>
  <c r="E1211" i="5"/>
  <c r="F1211" i="5" s="1"/>
  <c r="G1211" i="5" s="1"/>
  <c r="E835" i="5"/>
  <c r="F835" i="5" s="1"/>
  <c r="G835" i="5" s="1"/>
  <c r="E104" i="5"/>
  <c r="F104" i="5" s="1"/>
  <c r="G104" i="5" s="1"/>
  <c r="E1341" i="5"/>
  <c r="F1341" i="5" s="1"/>
  <c r="G1341" i="5" s="1"/>
  <c r="E966" i="5"/>
  <c r="F966" i="5" s="1"/>
  <c r="G966" i="5" s="1"/>
  <c r="E186" i="20"/>
  <c r="F186" i="20" s="1"/>
  <c r="G186" i="20" s="1"/>
  <c r="E564" i="22"/>
  <c r="F564" i="22" s="1"/>
  <c r="G564" i="22" s="1"/>
  <c r="E528" i="20"/>
  <c r="F528" i="20" s="1"/>
  <c r="G528" i="20" s="1"/>
  <c r="E503" i="20"/>
  <c r="F503" i="20" s="1"/>
  <c r="G503" i="20" s="1"/>
  <c r="E477" i="20"/>
  <c r="F477" i="20" s="1"/>
  <c r="G477" i="20" s="1"/>
  <c r="E1108" i="23"/>
  <c r="F1108" i="23" s="1"/>
  <c r="G1108" i="23" s="1"/>
  <c r="E1501" i="23"/>
  <c r="F1501" i="23" s="1"/>
  <c r="G1501" i="23" s="1"/>
  <c r="E104" i="20"/>
  <c r="F104" i="20" s="1"/>
  <c r="G106" i="20" s="1"/>
  <c r="E114" i="20" s="1"/>
  <c r="F114" i="20" s="1"/>
  <c r="G116" i="20" s="1"/>
  <c r="G121" i="20" s="1"/>
  <c r="F144" i="19" s="1"/>
  <c r="E201" i="3"/>
  <c r="F201" i="3" s="1"/>
  <c r="G204" i="3" s="1"/>
  <c r="E218" i="3" s="1"/>
  <c r="F218" i="3" s="1"/>
  <c r="E115" i="3"/>
  <c r="F115" i="3" s="1"/>
  <c r="G115" i="3" s="1"/>
  <c r="E128" i="3" s="1"/>
  <c r="F128" i="3" s="1"/>
  <c r="E143" i="3"/>
  <c r="F143" i="3" s="1"/>
  <c r="G146" i="3" s="1"/>
  <c r="E156" i="3" s="1"/>
  <c r="F156" i="3" s="1"/>
  <c r="G72" i="1" l="1"/>
  <c r="G87" i="1" s="1"/>
  <c r="F12" i="19" s="1"/>
  <c r="J12" i="19" s="1"/>
  <c r="J639" i="19"/>
  <c r="J401" i="19"/>
  <c r="J420" i="19"/>
  <c r="J154" i="19"/>
  <c r="J52" i="19"/>
  <c r="J53" i="19"/>
  <c r="J143" i="19"/>
  <c r="J51" i="19"/>
  <c r="J151" i="19"/>
  <c r="J11" i="19"/>
  <c r="J48" i="19"/>
  <c r="J47" i="19"/>
  <c r="J144" i="19"/>
  <c r="J145" i="19"/>
  <c r="J49" i="19"/>
  <c r="J50" i="19"/>
  <c r="J24" i="19"/>
  <c r="G322" i="20"/>
  <c r="E326" i="20" s="1"/>
  <c r="F326" i="20" s="1"/>
  <c r="G23" i="13"/>
  <c r="E26" i="13" s="1"/>
  <c r="F26" i="13" s="1"/>
  <c r="G518" i="5"/>
  <c r="F57" i="19" s="1"/>
  <c r="G1609" i="23"/>
  <c r="E1612" i="23" s="1"/>
  <c r="F1612" i="23" s="1"/>
  <c r="G1613" i="23" s="1"/>
  <c r="G29" i="20"/>
  <c r="E33" i="20" s="1"/>
  <c r="F33" i="20" s="1"/>
  <c r="G34" i="20" s="1"/>
  <c r="G39" i="20" s="1"/>
  <c r="F141" i="19" s="1"/>
  <c r="G810" i="5"/>
  <c r="F69" i="19" s="1"/>
  <c r="G282" i="3"/>
  <c r="G287" i="3" s="1"/>
  <c r="F29" i="19" s="1"/>
  <c r="G878" i="23"/>
  <c r="E881" i="23" s="1"/>
  <c r="F881" i="23" s="1"/>
  <c r="G882" i="23" s="1"/>
  <c r="G219" i="3"/>
  <c r="G224" i="3" s="1"/>
  <c r="F26" i="19" s="1"/>
  <c r="G311" i="3"/>
  <c r="G316" i="3" s="1"/>
  <c r="F31" i="19" s="1"/>
  <c r="G1272" i="23"/>
  <c r="E1275" i="23" s="1"/>
  <c r="F1275" i="23" s="1"/>
  <c r="G1276" i="23" s="1"/>
  <c r="G1300" i="23"/>
  <c r="E1303" i="23" s="1"/>
  <c r="F1303" i="23" s="1"/>
  <c r="G1304" i="23" s="1"/>
  <c r="E636" i="5"/>
  <c r="F636" i="5" s="1"/>
  <c r="G639" i="5" s="1"/>
  <c r="E647" i="5" s="1"/>
  <c r="F647" i="5" s="1"/>
  <c r="G648" i="5" s="1"/>
  <c r="G653" i="5" s="1"/>
  <c r="F63" i="19" s="1"/>
  <c r="E1234" i="23"/>
  <c r="F1234" i="23" s="1"/>
  <c r="G1238" i="23" s="1"/>
  <c r="G1253" i="23" s="1"/>
  <c r="F396" i="19" s="1"/>
  <c r="E1487" i="5"/>
  <c r="F1487" i="5" s="1"/>
  <c r="G1490" i="5" s="1"/>
  <c r="E1498" i="5" s="1"/>
  <c r="F1498" i="5" s="1"/>
  <c r="G1499" i="5" s="1"/>
  <c r="G1504" i="5" s="1"/>
  <c r="F98" i="19" s="1"/>
  <c r="E439" i="9"/>
  <c r="F439" i="9" s="1"/>
  <c r="G439" i="9" s="1"/>
  <c r="G452" i="9" s="1"/>
  <c r="F191" i="19" s="1"/>
  <c r="E641" i="9"/>
  <c r="F641" i="9" s="1"/>
  <c r="G642" i="9" s="1"/>
  <c r="G655" i="9" s="1"/>
  <c r="F202" i="19" s="1"/>
  <c r="E158" i="11"/>
  <c r="F158" i="11" s="1"/>
  <c r="G162" i="11" s="1"/>
  <c r="E172" i="11" s="1"/>
  <c r="F172" i="11" s="1"/>
  <c r="G173" i="11" s="1"/>
  <c r="G178" i="11" s="1"/>
  <c r="F272" i="19" s="1"/>
  <c r="E327" i="23"/>
  <c r="F327" i="23" s="1"/>
  <c r="G331" i="23" s="1"/>
  <c r="G346" i="23" s="1"/>
  <c r="F355" i="19" s="1"/>
  <c r="E341" i="10"/>
  <c r="F341" i="10" s="1"/>
  <c r="G341" i="10" s="1"/>
  <c r="G354" i="10" s="1"/>
  <c r="F224" i="19" s="1"/>
  <c r="E967" i="10"/>
  <c r="F967" i="10" s="1"/>
  <c r="G967" i="10" s="1"/>
  <c r="G980" i="10" s="1"/>
  <c r="E165" i="10"/>
  <c r="F165" i="10" s="1"/>
  <c r="G165" i="10" s="1"/>
  <c r="G178" i="10" s="1"/>
  <c r="E879" i="10"/>
  <c r="F879" i="10" s="1"/>
  <c r="G879" i="10" s="1"/>
  <c r="G892" i="10" s="1"/>
  <c r="E571" i="9"/>
  <c r="F571" i="9" s="1"/>
  <c r="G571" i="9" s="1"/>
  <c r="G584" i="9" s="1"/>
  <c r="F198" i="19" s="1"/>
  <c r="E129" i="23"/>
  <c r="F129" i="23" s="1"/>
  <c r="G133" i="23" s="1"/>
  <c r="G153" i="23" s="1"/>
  <c r="F348" i="19" s="1"/>
  <c r="E11" i="22"/>
  <c r="F11" i="22" s="1"/>
  <c r="G15" i="22" s="1"/>
  <c r="G30" i="22" s="1"/>
  <c r="F317" i="19" s="1"/>
  <c r="E231" i="10"/>
  <c r="F231" i="10" s="1"/>
  <c r="G231" i="10" s="1"/>
  <c r="G244" i="10" s="1"/>
  <c r="F219" i="19" s="1"/>
  <c r="E901" i="10"/>
  <c r="F901" i="10" s="1"/>
  <c r="G901" i="10" s="1"/>
  <c r="G914" i="10" s="1"/>
  <c r="E43" i="21"/>
  <c r="F43" i="21" s="1"/>
  <c r="G45" i="21" s="1"/>
  <c r="G60" i="21" s="1"/>
  <c r="F277" i="19" s="1"/>
  <c r="E491" i="22"/>
  <c r="F491" i="22" s="1"/>
  <c r="G495" i="22" s="1"/>
  <c r="G510" i="22" s="1"/>
  <c r="F334" i="19" s="1"/>
  <c r="E299" i="23"/>
  <c r="F299" i="23" s="1"/>
  <c r="G303" i="23" s="1"/>
  <c r="G318" i="23" s="1"/>
  <c r="F354" i="19" s="1"/>
  <c r="E783" i="23"/>
  <c r="F783" i="23" s="1"/>
  <c r="G787" i="23" s="1"/>
  <c r="G803" i="23" s="1"/>
  <c r="E451" i="10"/>
  <c r="F451" i="10" s="1"/>
  <c r="G452" i="10" s="1"/>
  <c r="G469" i="10" s="1"/>
  <c r="E381" i="21"/>
  <c r="F381" i="21" s="1"/>
  <c r="G385" i="21" s="1"/>
  <c r="G400" i="21" s="1"/>
  <c r="F291" i="19" s="1"/>
  <c r="E321" i="21"/>
  <c r="F321" i="21" s="1"/>
  <c r="G325" i="21" s="1"/>
  <c r="G344" i="21" s="1"/>
  <c r="F288" i="19" s="1"/>
  <c r="E521" i="21"/>
  <c r="F521" i="21" s="1"/>
  <c r="G525" i="21" s="1"/>
  <c r="G540" i="21" s="1"/>
  <c r="F296" i="19" s="1"/>
  <c r="E42" i="13"/>
  <c r="F42" i="13" s="1"/>
  <c r="G44" i="13" s="1"/>
  <c r="E55" i="13" s="1"/>
  <c r="F55" i="13" s="1"/>
  <c r="G56" i="13" s="1"/>
  <c r="G61" i="13" s="1"/>
  <c r="F647" i="19" s="1"/>
  <c r="E1570" i="23"/>
  <c r="F1570" i="23" s="1"/>
  <c r="G1574" i="23" s="1"/>
  <c r="G1590" i="23" s="1"/>
  <c r="F413" i="19" s="1"/>
  <c r="E614" i="23"/>
  <c r="F614" i="23" s="1"/>
  <c r="G618" i="23" s="1"/>
  <c r="G633" i="23" s="1"/>
  <c r="E604" i="22"/>
  <c r="F604" i="22" s="1"/>
  <c r="G608" i="22" s="1"/>
  <c r="G624" i="22" s="1"/>
  <c r="F339" i="19" s="1"/>
  <c r="E462" i="20"/>
  <c r="F462" i="20" s="1"/>
  <c r="G464" i="20" s="1"/>
  <c r="E473" i="20" s="1"/>
  <c r="F473" i="20" s="1"/>
  <c r="G474" i="20" s="1"/>
  <c r="G479" i="20" s="1"/>
  <c r="F159" i="19" s="1"/>
  <c r="E527" i="5"/>
  <c r="F527" i="5" s="1"/>
  <c r="G528" i="5" s="1"/>
  <c r="E538" i="5" s="1"/>
  <c r="F538" i="5" s="1"/>
  <c r="G540" i="5" s="1"/>
  <c r="G545" i="5" s="1"/>
  <c r="F58" i="19" s="1"/>
  <c r="E872" i="5"/>
  <c r="F872" i="5" s="1"/>
  <c r="G875" i="5" s="1"/>
  <c r="E883" i="5" s="1"/>
  <c r="F883" i="5" s="1"/>
  <c r="G884" i="5" s="1"/>
  <c r="G889" i="5" s="1"/>
  <c r="F73" i="19" s="1"/>
  <c r="E1655" i="23"/>
  <c r="F1655" i="23" s="1"/>
  <c r="G1659" i="23" s="1"/>
  <c r="G1674" i="23" s="1"/>
  <c r="F416" i="19" s="1"/>
  <c r="E135" i="7"/>
  <c r="F135" i="7" s="1"/>
  <c r="G137" i="7" s="1"/>
  <c r="E146" i="7" s="1"/>
  <c r="F146" i="7" s="1"/>
  <c r="G147" i="7" s="1"/>
  <c r="G152" i="7" s="1"/>
  <c r="F119" i="19" s="1"/>
  <c r="E659" i="10"/>
  <c r="F659" i="10" s="1"/>
  <c r="G659" i="10" s="1"/>
  <c r="G672" i="10" s="1"/>
  <c r="E263" i="9"/>
  <c r="F263" i="9" s="1"/>
  <c r="G263" i="9" s="1"/>
  <c r="G276" i="9" s="1"/>
  <c r="F183" i="19" s="1"/>
  <c r="E549" i="10"/>
  <c r="F549" i="10" s="1"/>
  <c r="G549" i="10" s="1"/>
  <c r="G562" i="10" s="1"/>
  <c r="E39" i="22"/>
  <c r="F39" i="22" s="1"/>
  <c r="G43" i="22" s="1"/>
  <c r="G58" i="22" s="1"/>
  <c r="F318" i="19" s="1"/>
  <c r="E373" i="9"/>
  <c r="F373" i="9" s="1"/>
  <c r="G373" i="9" s="1"/>
  <c r="G386" i="9" s="1"/>
  <c r="F188" i="19" s="1"/>
  <c r="E488" i="20"/>
  <c r="F488" i="20" s="1"/>
  <c r="G489" i="20" s="1"/>
  <c r="E498" i="20" s="1"/>
  <c r="F498" i="20" s="1"/>
  <c r="G500" i="20" s="1"/>
  <c r="G505" i="20" s="1"/>
  <c r="F160" i="19" s="1"/>
  <c r="E88" i="5"/>
  <c r="F88" i="5" s="1"/>
  <c r="G89" i="5" s="1"/>
  <c r="E100" i="5" s="1"/>
  <c r="F100" i="5" s="1"/>
  <c r="G101" i="5" s="1"/>
  <c r="G106" i="5" s="1"/>
  <c r="F40" i="19" s="1"/>
  <c r="E1006" i="5"/>
  <c r="F1006" i="5" s="1"/>
  <c r="G1011" i="5" s="1"/>
  <c r="E1019" i="5" s="1"/>
  <c r="F1019" i="5" s="1"/>
  <c r="G1020" i="5" s="1"/>
  <c r="G1025" i="5" s="1"/>
  <c r="F78" i="19" s="1"/>
  <c r="E583" i="5"/>
  <c r="F583" i="5" s="1"/>
  <c r="G584" i="5" s="1"/>
  <c r="E595" i="5" s="1"/>
  <c r="F595" i="5" s="1"/>
  <c r="G596" i="5" s="1"/>
  <c r="G601" i="5" s="1"/>
  <c r="F61" i="19" s="1"/>
  <c r="E476" i="5"/>
  <c r="F476" i="5" s="1"/>
  <c r="G479" i="5" s="1"/>
  <c r="E486" i="5" s="1"/>
  <c r="F486" i="5" s="1"/>
  <c r="G487" i="5" s="1"/>
  <c r="G492" i="5" s="1"/>
  <c r="F56" i="19" s="1"/>
  <c r="E1460" i="5"/>
  <c r="F1460" i="5" s="1"/>
  <c r="G1461" i="5" s="1"/>
  <c r="E1471" i="5" s="1"/>
  <c r="F1471" i="5" s="1"/>
  <c r="G1473" i="5" s="1"/>
  <c r="G1478" i="5" s="1"/>
  <c r="F96" i="19" s="1"/>
  <c r="E688" i="9"/>
  <c r="F688" i="9" s="1"/>
  <c r="G689" i="9" s="1"/>
  <c r="E699" i="9" s="1"/>
  <c r="F699" i="9" s="1"/>
  <c r="G701" i="9" s="1"/>
  <c r="G706" i="9" s="1"/>
  <c r="F205" i="19" s="1"/>
  <c r="E95" i="13"/>
  <c r="F95" i="13" s="1"/>
  <c r="G96" i="13" s="1"/>
  <c r="E105" i="13" s="1"/>
  <c r="F105" i="13" s="1"/>
  <c r="G106" i="13" s="1"/>
  <c r="G111" i="13" s="1"/>
  <c r="F649" i="19" s="1"/>
  <c r="G443" i="20"/>
  <c r="E447" i="20" s="1"/>
  <c r="F447" i="20" s="1"/>
  <c r="G448" i="20" s="1"/>
  <c r="G453" i="20" s="1"/>
  <c r="F158" i="19" s="1"/>
  <c r="E585" i="23"/>
  <c r="F585" i="23" s="1"/>
  <c r="G589" i="23" s="1"/>
  <c r="G605" i="23" s="1"/>
  <c r="F365" i="19" s="1"/>
  <c r="E1248" i="5"/>
  <c r="F1248" i="5" s="1"/>
  <c r="G1251" i="5" s="1"/>
  <c r="E1259" i="5" s="1"/>
  <c r="F1259" i="5" s="1"/>
  <c r="G1260" i="5" s="1"/>
  <c r="G1265" i="5" s="1"/>
  <c r="F88" i="19" s="1"/>
  <c r="E115" i="5"/>
  <c r="F115" i="5" s="1"/>
  <c r="G116" i="5" s="1"/>
  <c r="E129" i="5" s="1"/>
  <c r="F129" i="5" s="1"/>
  <c r="G130" i="5" s="1"/>
  <c r="G135" i="5" s="1"/>
  <c r="F41" i="19" s="1"/>
  <c r="E898" i="5"/>
  <c r="F898" i="5" s="1"/>
  <c r="G901" i="5" s="1"/>
  <c r="E909" i="5" s="1"/>
  <c r="F909" i="5" s="1"/>
  <c r="G910" i="5" s="1"/>
  <c r="G915" i="5" s="1"/>
  <c r="F74" i="19" s="1"/>
  <c r="E1765" i="23"/>
  <c r="F1765" i="23" s="1"/>
  <c r="G1769" i="23" s="1"/>
  <c r="G1784" i="23" s="1"/>
  <c r="F422" i="19" s="1"/>
  <c r="E396" i="20"/>
  <c r="F396" i="20" s="1"/>
  <c r="G398" i="20" s="1"/>
  <c r="E409" i="20" s="1"/>
  <c r="F409" i="20" s="1"/>
  <c r="G411" i="20" s="1"/>
  <c r="G416" i="20" s="1"/>
  <c r="F157" i="19" s="1"/>
  <c r="E1711" i="23"/>
  <c r="F1711" i="23" s="1"/>
  <c r="G1715" i="23" s="1"/>
  <c r="G1730" i="23" s="1"/>
  <c r="F418" i="19" s="1"/>
  <c r="E1428" i="23"/>
  <c r="F1428" i="23" s="1"/>
  <c r="G1432" i="23" s="1"/>
  <c r="G1447" i="23" s="1"/>
  <c r="F406" i="19" s="1"/>
  <c r="E539" i="20"/>
  <c r="F539" i="20" s="1"/>
  <c r="G541" i="20" s="1"/>
  <c r="G557" i="20" s="1"/>
  <c r="F162" i="19" s="1"/>
  <c r="E1683" i="23"/>
  <c r="F1683" i="23" s="1"/>
  <c r="G1687" i="23" s="1"/>
  <c r="G1702" i="23" s="1"/>
  <c r="F417" i="19" s="1"/>
  <c r="E62" i="5"/>
  <c r="F62" i="5" s="1"/>
  <c r="G65" i="5" s="1"/>
  <c r="E73" i="5" s="1"/>
  <c r="F73" i="5" s="1"/>
  <c r="G74" i="5" s="1"/>
  <c r="G79" i="5" s="1"/>
  <c r="F38" i="19" s="1"/>
  <c r="E11" i="6"/>
  <c r="F11" i="6" s="1"/>
  <c r="G14" i="6" s="1"/>
  <c r="E21" i="6" s="1"/>
  <c r="F21" i="6" s="1"/>
  <c r="G22" i="6" s="1"/>
  <c r="G27" i="6" s="1"/>
  <c r="F103" i="19" s="1"/>
  <c r="E235" i="7"/>
  <c r="F235" i="7" s="1"/>
  <c r="G237" i="7" s="1"/>
  <c r="E246" i="7" s="1"/>
  <c r="F246" i="7" s="1"/>
  <c r="G247" i="7" s="1"/>
  <c r="G252" i="7" s="1"/>
  <c r="F127" i="19" s="1"/>
  <c r="E67" i="11"/>
  <c r="F67" i="11" s="1"/>
  <c r="G69" i="11" s="1"/>
  <c r="E81" i="11" s="1"/>
  <c r="F81" i="11" s="1"/>
  <c r="G81" i="11" s="1"/>
  <c r="G86" i="11" s="1"/>
  <c r="F268" i="19" s="1"/>
  <c r="E1011" i="10"/>
  <c r="F1011" i="10" s="1"/>
  <c r="G1011" i="10" s="1"/>
  <c r="G1024" i="10" s="1"/>
  <c r="E55" i="10"/>
  <c r="F55" i="10" s="1"/>
  <c r="G55" i="10" s="1"/>
  <c r="G68" i="10" s="1"/>
  <c r="E33" i="10"/>
  <c r="F33" i="10" s="1"/>
  <c r="G33" i="10" s="1"/>
  <c r="G46" i="10" s="1"/>
  <c r="F210" i="19" s="1"/>
  <c r="E637" i="10"/>
  <c r="F637" i="10" s="1"/>
  <c r="G637" i="10" s="1"/>
  <c r="G650" i="10" s="1"/>
  <c r="E235" i="22"/>
  <c r="F235" i="22" s="1"/>
  <c r="G239" i="22" s="1"/>
  <c r="G254" i="22" s="1"/>
  <c r="F325" i="19" s="1"/>
  <c r="E495" i="23"/>
  <c r="F495" i="23" s="1"/>
  <c r="G499" i="23" s="1"/>
  <c r="G514" i="23" s="1"/>
  <c r="F361" i="19" s="1"/>
  <c r="E593" i="10"/>
  <c r="F593" i="10" s="1"/>
  <c r="G593" i="10" s="1"/>
  <c r="G606" i="10" s="1"/>
  <c r="E99" i="10"/>
  <c r="F99" i="10" s="1"/>
  <c r="G99" i="10" s="1"/>
  <c r="G112" i="10" s="1"/>
  <c r="F213" i="19" s="1"/>
  <c r="E1143" i="10"/>
  <c r="F1143" i="10" s="1"/>
  <c r="G1143" i="10" s="1"/>
  <c r="G1156" i="10" s="1"/>
  <c r="F262" i="19" s="1"/>
  <c r="E253" i="10"/>
  <c r="F253" i="10" s="1"/>
  <c r="G253" i="10" s="1"/>
  <c r="G266" i="10" s="1"/>
  <c r="F220" i="19" s="1"/>
  <c r="E1121" i="10"/>
  <c r="F1121" i="10" s="1"/>
  <c r="G1121" i="10" s="1"/>
  <c r="G1134" i="10" s="1"/>
  <c r="E1055" i="10"/>
  <c r="F1055" i="10" s="1"/>
  <c r="G1055" i="10" s="1"/>
  <c r="G1068" i="10" s="1"/>
  <c r="E123" i="22"/>
  <c r="F123" i="22" s="1"/>
  <c r="G127" i="22" s="1"/>
  <c r="G142" i="22" s="1"/>
  <c r="F321" i="19" s="1"/>
  <c r="E1077" i="10"/>
  <c r="F1077" i="10" s="1"/>
  <c r="G1077" i="10" s="1"/>
  <c r="G1090" i="10" s="1"/>
  <c r="E754" i="23"/>
  <c r="F754" i="23" s="1"/>
  <c r="G758" i="23" s="1"/>
  <c r="G774" i="23" s="1"/>
  <c r="E151" i="22"/>
  <c r="F151" i="22" s="1"/>
  <c r="G155" i="22" s="1"/>
  <c r="G170" i="22" s="1"/>
  <c r="F322" i="19" s="1"/>
  <c r="E571" i="10"/>
  <c r="F571" i="10" s="1"/>
  <c r="G571" i="10" s="1"/>
  <c r="G584" i="10" s="1"/>
  <c r="E505" i="9"/>
  <c r="F505" i="9" s="1"/>
  <c r="G505" i="9" s="1"/>
  <c r="G518" i="9" s="1"/>
  <c r="F194" i="19" s="1"/>
  <c r="E375" i="22"/>
  <c r="F375" i="22" s="1"/>
  <c r="G379" i="22" s="1"/>
  <c r="G394" i="22" s="1"/>
  <c r="F330" i="19" s="1"/>
  <c r="E403" i="22"/>
  <c r="F403" i="22" s="1"/>
  <c r="G407" i="22" s="1"/>
  <c r="G422" i="22" s="1"/>
  <c r="F331" i="19" s="1"/>
  <c r="E162" i="23"/>
  <c r="F162" i="23" s="1"/>
  <c r="G166" i="23" s="1"/>
  <c r="G188" i="23" s="1"/>
  <c r="F349" i="19" s="1"/>
  <c r="E812" i="23"/>
  <c r="F812" i="23" s="1"/>
  <c r="G816" i="23" s="1"/>
  <c r="G831" i="23" s="1"/>
  <c r="F376" i="19" s="1"/>
  <c r="E661" i="21"/>
  <c r="F661" i="21" s="1"/>
  <c r="G665" i="21" s="1"/>
  <c r="G680" i="21" s="1"/>
  <c r="F301" i="19" s="1"/>
  <c r="E1905" i="23"/>
  <c r="F1905" i="23" s="1"/>
  <c r="G1909" i="23" s="1"/>
  <c r="G1924" i="23" s="1"/>
  <c r="F429" i="19" s="1"/>
  <c r="E913" i="21"/>
  <c r="F913" i="21" s="1"/>
  <c r="G917" i="21" s="1"/>
  <c r="G932" i="21" s="1"/>
  <c r="F310" i="19" s="1"/>
  <c r="E997" i="21"/>
  <c r="F997" i="21" s="1"/>
  <c r="G1001" i="21" s="1"/>
  <c r="G1016" i="21" s="1"/>
  <c r="F314" i="19" s="1"/>
  <c r="E181" i="21"/>
  <c r="F181" i="21" s="1"/>
  <c r="G185" i="21" s="1"/>
  <c r="G200" i="21" s="1"/>
  <c r="F283" i="19" s="1"/>
  <c r="E745" i="21"/>
  <c r="F745" i="21" s="1"/>
  <c r="G749" i="21" s="1"/>
  <c r="G764" i="21" s="1"/>
  <c r="F304" i="19" s="1"/>
  <c r="E951" i="23"/>
  <c r="F951" i="23" s="1"/>
  <c r="G955" i="23" s="1"/>
  <c r="G970" i="23" s="1"/>
  <c r="F381" i="19" s="1"/>
  <c r="E1541" i="23"/>
  <c r="F1541" i="23" s="1"/>
  <c r="G1545" i="23" s="1"/>
  <c r="G1561" i="23" s="1"/>
  <c r="F411" i="19" s="1"/>
  <c r="E1326" i="5"/>
  <c r="F1326" i="5" s="1"/>
  <c r="G1328" i="5" s="1"/>
  <c r="G1343" i="5" s="1"/>
  <c r="F91" i="19" s="1"/>
  <c r="E1007" i="23"/>
  <c r="F1007" i="23" s="1"/>
  <c r="G1011" i="23" s="1"/>
  <c r="G1026" i="23" s="1"/>
  <c r="F385" i="19" s="1"/>
  <c r="E1262" i="23"/>
  <c r="F1262" i="23" s="1"/>
  <c r="G1266" i="23" s="1"/>
  <c r="E311" i="7"/>
  <c r="F311" i="7" s="1"/>
  <c r="G313" i="7" s="1"/>
  <c r="E322" i="7" s="1"/>
  <c r="F322" i="7" s="1"/>
  <c r="G323" i="7" s="1"/>
  <c r="G328" i="7" s="1"/>
  <c r="F134" i="19" s="1"/>
  <c r="E11" i="10"/>
  <c r="F11" i="10" s="1"/>
  <c r="G11" i="10" s="1"/>
  <c r="G24" i="10" s="1"/>
  <c r="F209" i="19" s="1"/>
  <c r="E514" i="20"/>
  <c r="F514" i="20" s="1"/>
  <c r="G515" i="20" s="1"/>
  <c r="E523" i="20" s="1"/>
  <c r="F523" i="20" s="1"/>
  <c r="G525" i="20" s="1"/>
  <c r="G530" i="20" s="1"/>
  <c r="F161" i="19" s="1"/>
  <c r="E819" i="5"/>
  <c r="F819" i="5" s="1"/>
  <c r="G820" i="5" s="1"/>
  <c r="E830" i="5" s="1"/>
  <c r="F830" i="5" s="1"/>
  <c r="G832" i="5" s="1"/>
  <c r="G837" i="5" s="1"/>
  <c r="F70" i="19" s="1"/>
  <c r="E1434" i="5"/>
  <c r="F1434" i="5" s="1"/>
  <c r="G1438" i="5" s="1"/>
  <c r="G1451" i="5" s="1"/>
  <c r="F95" i="19" s="1"/>
  <c r="E1062" i="5"/>
  <c r="F1062" i="5" s="1"/>
  <c r="G1065" i="5" s="1"/>
  <c r="E1072" i="5" s="1"/>
  <c r="F1072" i="5" s="1"/>
  <c r="G1073" i="5" s="1"/>
  <c r="G1078" i="5" s="1"/>
  <c r="F80" i="19" s="1"/>
  <c r="E768" i="5"/>
  <c r="F768" i="5" s="1"/>
  <c r="G771" i="5" s="1"/>
  <c r="E778" i="5" s="1"/>
  <c r="F778" i="5" s="1"/>
  <c r="G779" i="5" s="1"/>
  <c r="G784" i="5" s="1"/>
  <c r="F68" i="19" s="1"/>
  <c r="E1222" i="5"/>
  <c r="F1222" i="5" s="1"/>
  <c r="G1225" i="5" s="1"/>
  <c r="E1233" i="5" s="1"/>
  <c r="F1233" i="5" s="1"/>
  <c r="G1234" i="5" s="1"/>
  <c r="G1239" i="5" s="1"/>
  <c r="F87" i="19" s="1"/>
  <c r="E1962" i="23"/>
  <c r="F1962" i="23" s="1"/>
  <c r="G1966" i="23" s="1"/>
  <c r="G1981" i="23" s="1"/>
  <c r="F432" i="19" s="1"/>
  <c r="E554" i="23"/>
  <c r="F554" i="23" s="1"/>
  <c r="G558" i="23" s="1"/>
  <c r="G576" i="23" s="1"/>
  <c r="F364" i="19" s="1"/>
  <c r="E224" i="5"/>
  <c r="F224" i="5" s="1"/>
  <c r="G227" i="5" s="1"/>
  <c r="E235" i="5" s="1"/>
  <c r="F235" i="5" s="1"/>
  <c r="G236" i="5" s="1"/>
  <c r="G241" i="5" s="1"/>
  <c r="F45" i="19" s="1"/>
  <c r="E1300" i="5"/>
  <c r="F1300" i="5" s="1"/>
  <c r="G1303" i="5" s="1"/>
  <c r="E1311" i="5" s="1"/>
  <c r="F1311" i="5" s="1"/>
  <c r="G1312" i="5" s="1"/>
  <c r="G1317" i="5" s="1"/>
  <c r="F90" i="19" s="1"/>
  <c r="E1542" i="5"/>
  <c r="F1542" i="5" s="1"/>
  <c r="G1545" i="5" s="1"/>
  <c r="E1553" i="5" s="1"/>
  <c r="F1553" i="5" s="1"/>
  <c r="G1554" i="5" s="1"/>
  <c r="G1559" i="5" s="1"/>
  <c r="F101" i="19" s="1"/>
  <c r="E519" i="22"/>
  <c r="F519" i="22" s="1"/>
  <c r="G523" i="22" s="1"/>
  <c r="G538" i="22" s="1"/>
  <c r="F336" i="19" s="1"/>
  <c r="E86" i="7"/>
  <c r="F86" i="7" s="1"/>
  <c r="G88" i="7" s="1"/>
  <c r="E95" i="7" s="1"/>
  <c r="F95" i="7" s="1"/>
  <c r="G95" i="7" s="1"/>
  <c r="G100" i="7" s="1"/>
  <c r="F115" i="19" s="1"/>
  <c r="E39" i="23"/>
  <c r="F39" i="23" s="1"/>
  <c r="G42" i="23" s="1"/>
  <c r="G58" i="23" s="1"/>
  <c r="F344" i="19" s="1"/>
  <c r="E45" i="3"/>
  <c r="F45" i="3" s="1"/>
  <c r="G52" i="3" s="1"/>
  <c r="E60" i="3" s="1"/>
  <c r="F60" i="3" s="1"/>
  <c r="G61" i="3" s="1"/>
  <c r="G66" i="3" s="1"/>
  <c r="F17" i="19" s="1"/>
  <c r="E1456" i="23"/>
  <c r="F1456" i="23" s="1"/>
  <c r="G1460" i="23" s="1"/>
  <c r="G1475" i="23" s="1"/>
  <c r="F407" i="19" s="1"/>
  <c r="E209" i="7"/>
  <c r="F209" i="7" s="1"/>
  <c r="G211" i="7" s="1"/>
  <c r="E220" i="7" s="1"/>
  <c r="F220" i="7" s="1"/>
  <c r="G221" i="7" s="1"/>
  <c r="G226" i="7" s="1"/>
  <c r="F125" i="19" s="1"/>
  <c r="E261" i="7"/>
  <c r="F261" i="7" s="1"/>
  <c r="G263" i="7" s="1"/>
  <c r="E274" i="7" s="1"/>
  <c r="F274" i="7" s="1"/>
  <c r="G274" i="7" s="1"/>
  <c r="G279" i="7" s="1"/>
  <c r="F129" i="19" s="1"/>
  <c r="E461" i="9"/>
  <c r="F461" i="9" s="1"/>
  <c r="G461" i="9" s="1"/>
  <c r="G474" i="9" s="1"/>
  <c r="F192" i="19" s="1"/>
  <c r="E395" i="9"/>
  <c r="F395" i="9" s="1"/>
  <c r="G395" i="9" s="1"/>
  <c r="G408" i="9" s="1"/>
  <c r="F189" i="19" s="1"/>
  <c r="E407" i="10"/>
  <c r="F407" i="10" s="1"/>
  <c r="G407" i="10" s="1"/>
  <c r="G420" i="10" s="1"/>
  <c r="F227" i="19" s="1"/>
  <c r="E121" i="10"/>
  <c r="F121" i="10" s="1"/>
  <c r="G121" i="10" s="1"/>
  <c r="G134" i="10" s="1"/>
  <c r="F214" i="19" s="1"/>
  <c r="E725" i="10"/>
  <c r="F725" i="10" s="1"/>
  <c r="G725" i="10" s="1"/>
  <c r="G738" i="10" s="1"/>
  <c r="E95" i="22"/>
  <c r="F95" i="22" s="1"/>
  <c r="G99" i="22" s="1"/>
  <c r="G114" i="22" s="1"/>
  <c r="F320" i="19" s="1"/>
  <c r="E726" i="23"/>
  <c r="F726" i="23" s="1"/>
  <c r="G730" i="23" s="1"/>
  <c r="G745" i="23" s="1"/>
  <c r="F373" i="19" s="1"/>
  <c r="E857" i="10"/>
  <c r="F857" i="10" s="1"/>
  <c r="G857" i="10" s="1"/>
  <c r="G870" i="10" s="1"/>
  <c r="E275" i="10"/>
  <c r="F275" i="10" s="1"/>
  <c r="G275" i="10" s="1"/>
  <c r="G288" i="10" s="1"/>
  <c r="F221" i="19" s="1"/>
  <c r="E168" i="13"/>
  <c r="F168" i="13" s="1"/>
  <c r="G172" i="13" s="1"/>
  <c r="E185" i="13" s="1"/>
  <c r="F185" i="13" s="1"/>
  <c r="G186" i="13" s="1"/>
  <c r="G191" i="13" s="1"/>
  <c r="F652" i="19" s="1"/>
  <c r="E505" i="10"/>
  <c r="F505" i="10" s="1"/>
  <c r="G505" i="10" s="1"/>
  <c r="G518" i="10" s="1"/>
  <c r="F232" i="19" s="1"/>
  <c r="E417" i="9"/>
  <c r="F417" i="9" s="1"/>
  <c r="G417" i="9" s="1"/>
  <c r="G430" i="9" s="1"/>
  <c r="F190" i="19" s="1"/>
  <c r="E1165" i="10"/>
  <c r="F1165" i="10" s="1"/>
  <c r="G1165" i="10" s="1"/>
  <c r="G1178" i="10" s="1"/>
  <c r="E67" i="22"/>
  <c r="F67" i="22" s="1"/>
  <c r="G71" i="22" s="1"/>
  <c r="G86" i="22" s="1"/>
  <c r="F319" i="19" s="1"/>
  <c r="E162" i="9"/>
  <c r="F162" i="9" s="1"/>
  <c r="G162" i="9" s="1"/>
  <c r="E171" i="9" s="1"/>
  <c r="F171" i="9" s="1"/>
  <c r="G171" i="9" s="1"/>
  <c r="G176" i="9" s="1"/>
  <c r="F178" i="19" s="1"/>
  <c r="E1205" i="23"/>
  <c r="F1205" i="23" s="1"/>
  <c r="G1209" i="23" s="1"/>
  <c r="G1225" i="23" s="1"/>
  <c r="F395" i="19" s="1"/>
  <c r="E461" i="22"/>
  <c r="F461" i="22" s="1"/>
  <c r="G465" i="22" s="1"/>
  <c r="G482" i="22" s="1"/>
  <c r="F333" i="19" s="1"/>
  <c r="E923" i="10"/>
  <c r="F923" i="10" s="1"/>
  <c r="G923" i="10" s="1"/>
  <c r="G936" i="10" s="1"/>
  <c r="E593" i="9"/>
  <c r="F593" i="9" s="1"/>
  <c r="G594" i="9" s="1"/>
  <c r="G608" i="9" s="1"/>
  <c r="F200" i="19" s="1"/>
  <c r="E291" i="22"/>
  <c r="F291" i="22" s="1"/>
  <c r="G295" i="22" s="1"/>
  <c r="G310" i="22" s="1"/>
  <c r="F327" i="19" s="1"/>
  <c r="E207" i="22"/>
  <c r="F207" i="22" s="1"/>
  <c r="G211" i="22" s="1"/>
  <c r="G226" i="22" s="1"/>
  <c r="F324" i="19" s="1"/>
  <c r="E411" i="23"/>
  <c r="F411" i="23" s="1"/>
  <c r="G415" i="23" s="1"/>
  <c r="G430" i="23" s="1"/>
  <c r="F358" i="19" s="1"/>
  <c r="E840" i="23"/>
  <c r="F840" i="23" s="1"/>
  <c r="G844" i="23" s="1"/>
  <c r="G859" i="23" s="1"/>
  <c r="F377" i="19" s="1"/>
  <c r="G96" i="3"/>
  <c r="G101" i="3" s="1"/>
  <c r="F19" i="19" s="1"/>
  <c r="E153" i="21"/>
  <c r="F153" i="21" s="1"/>
  <c r="G157" i="21" s="1"/>
  <c r="G172" i="21" s="1"/>
  <c r="F281" i="19" s="1"/>
  <c r="E829" i="21"/>
  <c r="F829" i="21" s="1"/>
  <c r="G833" i="21" s="1"/>
  <c r="G848" i="21" s="1"/>
  <c r="F307" i="19" s="1"/>
  <c r="E773" i="21"/>
  <c r="F773" i="21" s="1"/>
  <c r="G777" i="21" s="1"/>
  <c r="G792" i="21" s="1"/>
  <c r="F305" i="19" s="1"/>
  <c r="E605" i="21"/>
  <c r="F605" i="21" s="1"/>
  <c r="G609" i="21" s="1"/>
  <c r="G624" i="21" s="1"/>
  <c r="F299" i="19" s="1"/>
  <c r="E125" i="21"/>
  <c r="F125" i="21" s="1"/>
  <c r="G129" i="21" s="1"/>
  <c r="G144" i="21" s="1"/>
  <c r="F280" i="19" s="1"/>
  <c r="E237" i="21"/>
  <c r="F237" i="21" s="1"/>
  <c r="G241" i="21" s="1"/>
  <c r="G256" i="21" s="1"/>
  <c r="F285" i="19" s="1"/>
  <c r="E265" i="21"/>
  <c r="F265" i="21" s="1"/>
  <c r="G269" i="21" s="1"/>
  <c r="G284" i="21" s="1"/>
  <c r="F286" i="19" s="1"/>
  <c r="E1176" i="23"/>
  <c r="F1176" i="23" s="1"/>
  <c r="G1180" i="23" s="1"/>
  <c r="G1196" i="23" s="1"/>
  <c r="F393" i="19" s="1"/>
  <c r="E161" i="7"/>
  <c r="F161" i="7" s="1"/>
  <c r="G164" i="7" s="1"/>
  <c r="E172" i="7" s="1"/>
  <c r="F172" i="7" s="1"/>
  <c r="G172" i="7" s="1"/>
  <c r="G177" i="7" s="1"/>
  <c r="F120" i="19" s="1"/>
  <c r="E11" i="1"/>
  <c r="F11" i="1" s="1"/>
  <c r="G13" i="1" s="1"/>
  <c r="G28" i="1" s="1"/>
  <c r="F10" i="19" s="1"/>
  <c r="E369" i="20"/>
  <c r="F369" i="20" s="1"/>
  <c r="G371" i="20" s="1"/>
  <c r="G387" i="20" s="1"/>
  <c r="F155" i="19" s="1"/>
  <c r="E547" i="22"/>
  <c r="F547" i="22" s="1"/>
  <c r="G551" i="22" s="1"/>
  <c r="G566" i="22" s="1"/>
  <c r="F337" i="19" s="1"/>
  <c r="E1196" i="5"/>
  <c r="F1196" i="5" s="1"/>
  <c r="G1199" i="5" s="1"/>
  <c r="E1207" i="5" s="1"/>
  <c r="F1207" i="5" s="1"/>
  <c r="G1208" i="5" s="1"/>
  <c r="G1213" i="5" s="1"/>
  <c r="F86" i="19" s="1"/>
  <c r="E422" i="5"/>
  <c r="F422" i="5" s="1"/>
  <c r="G424" i="5" s="1"/>
  <c r="G439" i="5" s="1"/>
  <c r="F54" i="19" s="1"/>
  <c r="E662" i="5"/>
  <c r="F662" i="5" s="1"/>
  <c r="G665" i="5" s="1"/>
  <c r="E673" i="5" s="1"/>
  <c r="F673" i="5" s="1"/>
  <c r="G674" i="5" s="1"/>
  <c r="G679" i="5" s="1"/>
  <c r="F64" i="19" s="1"/>
  <c r="E1170" i="5"/>
  <c r="F1170" i="5" s="1"/>
  <c r="G1173" i="5" s="1"/>
  <c r="E1181" i="5" s="1"/>
  <c r="F1181" i="5" s="1"/>
  <c r="G1182" i="5" s="1"/>
  <c r="G1187" i="5" s="1"/>
  <c r="F85" i="19" s="1"/>
  <c r="E610" i="5"/>
  <c r="F610" i="5" s="1"/>
  <c r="G613" i="5" s="1"/>
  <c r="E621" i="5" s="1"/>
  <c r="F621" i="5" s="1"/>
  <c r="G622" i="5" s="1"/>
  <c r="G627" i="5" s="1"/>
  <c r="F62" i="19" s="1"/>
  <c r="E70" i="13"/>
  <c r="F70" i="13" s="1"/>
  <c r="G71" i="13" s="1"/>
  <c r="E80" i="13" s="1"/>
  <c r="F80" i="13" s="1"/>
  <c r="G81" i="13" s="1"/>
  <c r="G86" i="13" s="1"/>
  <c r="F648" i="19" s="1"/>
  <c r="G1533" i="5"/>
  <c r="F99" i="19" s="1"/>
  <c r="G157" i="3"/>
  <c r="G162" i="3" s="1"/>
  <c r="F22" i="19" s="1"/>
  <c r="E554" i="5"/>
  <c r="F554" i="5" s="1"/>
  <c r="G555" i="5" s="1"/>
  <c r="E568" i="5" s="1"/>
  <c r="F568" i="5" s="1"/>
  <c r="G569" i="5" s="1"/>
  <c r="G574" i="5" s="1"/>
  <c r="F60" i="19" s="1"/>
  <c r="E1372" i="23"/>
  <c r="F1372" i="23" s="1"/>
  <c r="G1376" i="23" s="1"/>
  <c r="G1391" i="23" s="1"/>
  <c r="F403" i="19" s="1"/>
  <c r="E198" i="5"/>
  <c r="F198" i="5" s="1"/>
  <c r="G201" i="5" s="1"/>
  <c r="E209" i="5" s="1"/>
  <c r="F209" i="5" s="1"/>
  <c r="G210" i="5" s="1"/>
  <c r="G215" i="5" s="1"/>
  <c r="F44" i="19" s="1"/>
  <c r="E250" i="5"/>
  <c r="F250" i="5" s="1"/>
  <c r="G253" i="5" s="1"/>
  <c r="E261" i="5" s="1"/>
  <c r="F261" i="5" s="1"/>
  <c r="G262" i="5" s="1"/>
  <c r="G267" i="5" s="1"/>
  <c r="F46" i="19" s="1"/>
  <c r="E1400" i="23"/>
  <c r="F1400" i="23" s="1"/>
  <c r="G1404" i="23" s="1"/>
  <c r="G1419" i="23" s="1"/>
  <c r="F404" i="19" s="1"/>
  <c r="E11" i="7"/>
  <c r="F11" i="7" s="1"/>
  <c r="G13" i="7" s="1"/>
  <c r="E19" i="7" s="1"/>
  <c r="F19" i="7" s="1"/>
  <c r="G20" i="7" s="1"/>
  <c r="G25" i="7" s="1"/>
  <c r="F108" i="19" s="1"/>
  <c r="E48" i="20"/>
  <c r="F48" i="20" s="1"/>
  <c r="G50" i="20" s="1"/>
  <c r="G66" i="20" s="1"/>
  <c r="F142" i="19" s="1"/>
  <c r="E186" i="7"/>
  <c r="F186" i="7" s="1"/>
  <c r="G188" i="7" s="1"/>
  <c r="E195" i="7" s="1"/>
  <c r="F195" i="7" s="1"/>
  <c r="G195" i="7" s="1"/>
  <c r="G200" i="7" s="1"/>
  <c r="F123" i="19" s="1"/>
  <c r="E1119" i="23"/>
  <c r="F1119" i="23" s="1"/>
  <c r="G1123" i="23" s="1"/>
  <c r="G1139" i="23" s="1"/>
  <c r="F391" i="19" s="1"/>
  <c r="E1877" i="23"/>
  <c r="F1877" i="23" s="1"/>
  <c r="G1880" i="23" s="1"/>
  <c r="G1896" i="23" s="1"/>
  <c r="F428" i="19" s="1"/>
  <c r="E34" i="7"/>
  <c r="F34" i="7" s="1"/>
  <c r="G36" i="7" s="1"/>
  <c r="E45" i="7" s="1"/>
  <c r="F45" i="7" s="1"/>
  <c r="G46" i="7" s="1"/>
  <c r="G51" i="7" s="1"/>
  <c r="F110" i="19" s="1"/>
  <c r="E337" i="7"/>
  <c r="F337" i="7" s="1"/>
  <c r="G339" i="7" s="1"/>
  <c r="E348" i="7" s="1"/>
  <c r="F348" i="7" s="1"/>
  <c r="G349" i="7" s="1"/>
  <c r="G354" i="7" s="1"/>
  <c r="F136" i="19" s="1"/>
  <c r="E319" i="10"/>
  <c r="F319" i="10" s="1"/>
  <c r="G319" i="10" s="1"/>
  <c r="G332" i="10" s="1"/>
  <c r="F223" i="19" s="1"/>
  <c r="E185" i="9"/>
  <c r="F185" i="9" s="1"/>
  <c r="G185" i="9" s="1"/>
  <c r="E194" i="9" s="1"/>
  <c r="F194" i="9" s="1"/>
  <c r="G195" i="9" s="1"/>
  <c r="G200" i="9" s="1"/>
  <c r="F179" i="19" s="1"/>
  <c r="E747" i="10"/>
  <c r="F747" i="10" s="1"/>
  <c r="G747" i="10" s="1"/>
  <c r="G760" i="10" s="1"/>
  <c r="E209" i="10"/>
  <c r="F209" i="10" s="1"/>
  <c r="G209" i="10" s="1"/>
  <c r="G222" i="10" s="1"/>
  <c r="F218" i="19" s="1"/>
  <c r="E813" i="10"/>
  <c r="F813" i="10" s="1"/>
  <c r="G813" i="10" s="1"/>
  <c r="G826" i="10" s="1"/>
  <c r="E868" i="23"/>
  <c r="F868" i="23" s="1"/>
  <c r="G872" i="23" s="1"/>
  <c r="E483" i="9"/>
  <c r="F483" i="9" s="1"/>
  <c r="G483" i="9" s="1"/>
  <c r="G496" i="9" s="1"/>
  <c r="F193" i="19" s="1"/>
  <c r="E363" i="10"/>
  <c r="F363" i="10" s="1"/>
  <c r="G363" i="10" s="1"/>
  <c r="G376" i="10" s="1"/>
  <c r="F225" i="19" s="1"/>
  <c r="E329" i="9"/>
  <c r="F329" i="9" s="1"/>
  <c r="G329" i="9" s="1"/>
  <c r="G342" i="9" s="1"/>
  <c r="F186" i="19" s="1"/>
  <c r="E681" i="10"/>
  <c r="F681" i="10" s="1"/>
  <c r="G681" i="10" s="1"/>
  <c r="G694" i="10" s="1"/>
  <c r="E187" i="10"/>
  <c r="F187" i="10" s="1"/>
  <c r="G187" i="10" s="1"/>
  <c r="G200" i="10" s="1"/>
  <c r="F217" i="19" s="1"/>
  <c r="E63" i="9"/>
  <c r="F63" i="9" s="1"/>
  <c r="G63" i="9" s="1"/>
  <c r="E75" i="9" s="1"/>
  <c r="F75" i="9" s="1"/>
  <c r="G75" i="9" s="1"/>
  <c r="G80" i="9" s="1"/>
  <c r="F173" i="19" s="1"/>
  <c r="E319" i="22"/>
  <c r="F319" i="22" s="1"/>
  <c r="G323" i="22" s="1"/>
  <c r="G338" i="22" s="1"/>
  <c r="F328" i="19" s="1"/>
  <c r="E989" i="10"/>
  <c r="F989" i="10" s="1"/>
  <c r="G989" i="10" s="1"/>
  <c r="G1002" i="10" s="1"/>
  <c r="E209" i="9"/>
  <c r="F209" i="9" s="1"/>
  <c r="G210" i="9" s="1"/>
  <c r="E222" i="9" s="1"/>
  <c r="F222" i="9" s="1"/>
  <c r="G223" i="9" s="1"/>
  <c r="G228" i="9" s="1"/>
  <c r="F180" i="19" s="1"/>
  <c r="E835" i="10"/>
  <c r="F835" i="10" s="1"/>
  <c r="G835" i="10" s="1"/>
  <c r="G848" i="10" s="1"/>
  <c r="E263" i="22"/>
  <c r="F263" i="22" s="1"/>
  <c r="G267" i="22" s="1"/>
  <c r="G282" i="22" s="1"/>
  <c r="F326" i="19" s="1"/>
  <c r="E431" i="22"/>
  <c r="F431" i="22" s="1"/>
  <c r="G435" i="22" s="1"/>
  <c r="G452" i="22" s="1"/>
  <c r="F332" i="19" s="1"/>
  <c r="E197" i="23"/>
  <c r="F197" i="23" s="1"/>
  <c r="G201" i="23" s="1"/>
  <c r="G222" i="23" s="1"/>
  <c r="F351" i="19" s="1"/>
  <c r="E2020" i="23"/>
  <c r="F2020" i="23" s="1"/>
  <c r="G2024" i="23" s="1"/>
  <c r="G2039" i="23" s="1"/>
  <c r="F434" i="19" s="1"/>
  <c r="E97" i="21"/>
  <c r="F97" i="21" s="1"/>
  <c r="G101" i="21" s="1"/>
  <c r="G116" i="21" s="1"/>
  <c r="F279" i="19" s="1"/>
  <c r="E633" i="21"/>
  <c r="F633" i="21" s="1"/>
  <c r="G637" i="21" s="1"/>
  <c r="G652" i="21" s="1"/>
  <c r="F300" i="19" s="1"/>
  <c r="E353" i="21"/>
  <c r="F353" i="21" s="1"/>
  <c r="G357" i="21" s="1"/>
  <c r="G372" i="21" s="1"/>
  <c r="F289" i="19" s="1"/>
  <c r="E1148" i="23"/>
  <c r="F1148" i="23" s="1"/>
  <c r="G1152" i="23" s="1"/>
  <c r="G1167" i="23" s="1"/>
  <c r="F392" i="19" s="1"/>
  <c r="E478" i="10"/>
  <c r="F478" i="10" s="1"/>
  <c r="G479" i="10" s="1"/>
  <c r="G496" i="10" s="1"/>
  <c r="E689" i="21"/>
  <c r="F689" i="21" s="1"/>
  <c r="G693" i="21" s="1"/>
  <c r="G708" i="21" s="1"/>
  <c r="F302" i="19" s="1"/>
  <c r="E465" i="21"/>
  <c r="F465" i="21" s="1"/>
  <c r="G469" i="21" s="1"/>
  <c r="G484" i="21" s="1"/>
  <c r="F294" i="19" s="1"/>
  <c r="E941" i="21"/>
  <c r="F941" i="21" s="1"/>
  <c r="G945" i="21" s="1"/>
  <c r="G960" i="21" s="1"/>
  <c r="F311" i="19" s="1"/>
  <c r="E67" i="23"/>
  <c r="F67" i="23" s="1"/>
  <c r="G71" i="23" s="1"/>
  <c r="G87" i="23" s="1"/>
  <c r="F345" i="19" s="1"/>
  <c r="E11" i="21"/>
  <c r="F11" i="21" s="1"/>
  <c r="G15" i="21" s="1"/>
  <c r="G34" i="21" s="1"/>
  <c r="F275" i="19" s="1"/>
  <c r="E275" i="20"/>
  <c r="F275" i="20" s="1"/>
  <c r="G277" i="20" s="1"/>
  <c r="E288" i="20" s="1"/>
  <c r="F288" i="20" s="1"/>
  <c r="G290" i="20" s="1"/>
  <c r="G295" i="20" s="1"/>
  <c r="F152" i="19" s="1"/>
  <c r="E171" i="5"/>
  <c r="F171" i="5" s="1"/>
  <c r="G174" i="5" s="1"/>
  <c r="E183" i="5" s="1"/>
  <c r="F183" i="5" s="1"/>
  <c r="G184" i="5" s="1"/>
  <c r="G189" i="5" s="1"/>
  <c r="F43" i="19" s="1"/>
  <c r="E1033" i="10"/>
  <c r="F1033" i="10" s="1"/>
  <c r="G1033" i="10" s="1"/>
  <c r="G1046" i="10" s="1"/>
  <c r="E11" i="23"/>
  <c r="F11" i="23" s="1"/>
  <c r="G15" i="23" s="1"/>
  <c r="G30" i="23" s="1"/>
  <c r="F343" i="19" s="1"/>
  <c r="E1380" i="5"/>
  <c r="F1380" i="5" s="1"/>
  <c r="G1383" i="5" s="1"/>
  <c r="E1390" i="5" s="1"/>
  <c r="F1390" i="5" s="1"/>
  <c r="G1391" i="5" s="1"/>
  <c r="G1396" i="5" s="1"/>
  <c r="F93" i="19" s="1"/>
  <c r="E924" i="5"/>
  <c r="F924" i="5" s="1"/>
  <c r="G927" i="5" s="1"/>
  <c r="E935" i="5" s="1"/>
  <c r="F935" i="5" s="1"/>
  <c r="G936" i="5" s="1"/>
  <c r="G941" i="5" s="1"/>
  <c r="F75" i="19" s="1"/>
  <c r="E36" i="5"/>
  <c r="F36" i="5" s="1"/>
  <c r="G39" i="5" s="1"/>
  <c r="E47" i="5" s="1"/>
  <c r="F47" i="5" s="1"/>
  <c r="G48" i="5" s="1"/>
  <c r="G53" i="5" s="1"/>
  <c r="F37" i="19" s="1"/>
  <c r="E977" i="5"/>
  <c r="F977" i="5" s="1"/>
  <c r="G978" i="5" s="1"/>
  <c r="E991" i="5" s="1"/>
  <c r="F991" i="5" s="1"/>
  <c r="G992" i="5" s="1"/>
  <c r="G997" i="5" s="1"/>
  <c r="F77" i="19" s="1"/>
  <c r="E1990" i="23"/>
  <c r="F1990" i="23" s="1"/>
  <c r="G1994" i="23" s="1"/>
  <c r="G2011" i="23" s="1"/>
  <c r="F433" i="19" s="1"/>
  <c r="E1290" i="23"/>
  <c r="F1290" i="23" s="1"/>
  <c r="G1294" i="23" s="1"/>
  <c r="E1035" i="23"/>
  <c r="F1035" i="23" s="1"/>
  <c r="G1039" i="23" s="1"/>
  <c r="G1054" i="23" s="1"/>
  <c r="F387" i="19" s="1"/>
  <c r="E197" i="20"/>
  <c r="F197" i="20" s="1"/>
  <c r="G199" i="20" s="1"/>
  <c r="G215" i="20" s="1"/>
  <c r="F148" i="19" s="1"/>
  <c r="E575" i="22"/>
  <c r="F575" i="22" s="1"/>
  <c r="G579" i="22" s="1"/>
  <c r="G595" i="22" s="1"/>
  <c r="F338" i="19" s="1"/>
  <c r="E1821" i="23"/>
  <c r="F1821" i="23" s="1"/>
  <c r="G1825" i="23" s="1"/>
  <c r="G1840" i="23" s="1"/>
  <c r="F425" i="19" s="1"/>
  <c r="E109" i="7"/>
  <c r="F109" i="7" s="1"/>
  <c r="G111" i="7" s="1"/>
  <c r="E120" i="7" s="1"/>
  <c r="F120" i="7" s="1"/>
  <c r="G121" i="7" s="1"/>
  <c r="G126" i="7" s="1"/>
  <c r="F117" i="19" s="1"/>
  <c r="E60" i="7"/>
  <c r="F60" i="7" s="1"/>
  <c r="G62" i="7" s="1"/>
  <c r="E71" i="7" s="1"/>
  <c r="F71" i="7" s="1"/>
  <c r="G72" i="7" s="1"/>
  <c r="G77" i="7" s="1"/>
  <c r="F112" i="19" s="1"/>
  <c r="E527" i="9"/>
  <c r="F527" i="9" s="1"/>
  <c r="G527" i="9" s="1"/>
  <c r="G540" i="9" s="1"/>
  <c r="F196" i="19" s="1"/>
  <c r="E285" i="9"/>
  <c r="F285" i="9" s="1"/>
  <c r="G285" i="9" s="1"/>
  <c r="G298" i="9" s="1"/>
  <c r="F184" i="19" s="1"/>
  <c r="E1099" i="10"/>
  <c r="F1099" i="10" s="1"/>
  <c r="G1099" i="10" s="1"/>
  <c r="G1112" i="10" s="1"/>
  <c r="E297" i="10"/>
  <c r="F297" i="10" s="1"/>
  <c r="G297" i="10" s="1"/>
  <c r="G310" i="10" s="1"/>
  <c r="F222" i="19" s="1"/>
  <c r="E11" i="9"/>
  <c r="F11" i="9" s="1"/>
  <c r="G11" i="9" s="1"/>
  <c r="E23" i="9" s="1"/>
  <c r="F23" i="9" s="1"/>
  <c r="G23" i="9" s="1"/>
  <c r="G28" i="9" s="1"/>
  <c r="F171" i="19" s="1"/>
  <c r="E265" i="23"/>
  <c r="F265" i="23" s="1"/>
  <c r="G269" i="23" s="1"/>
  <c r="G290" i="23" s="1"/>
  <c r="F353" i="19" s="1"/>
  <c r="E1627" i="23"/>
  <c r="F1627" i="23" s="1"/>
  <c r="G1631" i="23" s="1"/>
  <c r="G1646" i="23" s="1"/>
  <c r="F415" i="19" s="1"/>
  <c r="E549" i="9"/>
  <c r="F549" i="9" s="1"/>
  <c r="G549" i="9" s="1"/>
  <c r="G562" i="9" s="1"/>
  <c r="F197" i="19" s="1"/>
  <c r="E527" i="10"/>
  <c r="F527" i="10" s="1"/>
  <c r="G527" i="10" s="1"/>
  <c r="G540" i="10" s="1"/>
  <c r="E120" i="13"/>
  <c r="F120" i="13" s="1"/>
  <c r="G121" i="13" s="1"/>
  <c r="G135" i="13" s="1"/>
  <c r="F650" i="19" s="1"/>
  <c r="E769" i="10"/>
  <c r="F769" i="10" s="1"/>
  <c r="G769" i="10" s="1"/>
  <c r="G782" i="10" s="1"/>
  <c r="E615" i="10"/>
  <c r="F615" i="10" s="1"/>
  <c r="G615" i="10" s="1"/>
  <c r="G628" i="10" s="1"/>
  <c r="E237" i="9"/>
  <c r="F237" i="9" s="1"/>
  <c r="G237" i="9" s="1"/>
  <c r="G254" i="9" s="1"/>
  <c r="F182" i="19" s="1"/>
  <c r="E39" i="11"/>
  <c r="F39" i="11" s="1"/>
  <c r="G41" i="11" s="1"/>
  <c r="E53" i="11" s="1"/>
  <c r="F53" i="11" s="1"/>
  <c r="G53" i="11" s="1"/>
  <c r="G58" i="11" s="1"/>
  <c r="F267" i="19" s="1"/>
  <c r="E113" i="9"/>
  <c r="F113" i="9" s="1"/>
  <c r="G113" i="9" s="1"/>
  <c r="E124" i="9" s="1"/>
  <c r="F124" i="9" s="1"/>
  <c r="G124" i="9" s="1"/>
  <c r="G129" i="9" s="1"/>
  <c r="F176" i="19" s="1"/>
  <c r="E126" i="11"/>
  <c r="F126" i="11" s="1"/>
  <c r="G128" i="11" s="1"/>
  <c r="E143" i="11" s="1"/>
  <c r="F143" i="11" s="1"/>
  <c r="G144" i="11" s="1"/>
  <c r="G149" i="11" s="1"/>
  <c r="F271" i="19" s="1"/>
  <c r="E95" i="11"/>
  <c r="F95" i="11" s="1"/>
  <c r="G98" i="11" s="1"/>
  <c r="E112" i="11" s="1"/>
  <c r="F112" i="11" s="1"/>
  <c r="G112" i="11" s="1"/>
  <c r="G117" i="11" s="1"/>
  <c r="F270" i="19" s="1"/>
  <c r="E179" i="22"/>
  <c r="F179" i="22" s="1"/>
  <c r="G183" i="22" s="1"/>
  <c r="G198" i="22" s="1"/>
  <c r="F323" i="19" s="1"/>
  <c r="E355" i="23"/>
  <c r="F355" i="23" s="1"/>
  <c r="G359" i="23" s="1"/>
  <c r="G374" i="23" s="1"/>
  <c r="F356" i="19" s="1"/>
  <c r="E1318" i="23"/>
  <c r="F1318" i="23" s="1"/>
  <c r="G1322" i="23" s="1"/>
  <c r="G1337" i="23" s="1"/>
  <c r="F399" i="19" s="1"/>
  <c r="E293" i="21"/>
  <c r="F293" i="21" s="1"/>
  <c r="G297" i="21" s="1"/>
  <c r="G312" i="21" s="1"/>
  <c r="F287" i="19" s="1"/>
  <c r="E923" i="23"/>
  <c r="F923" i="23" s="1"/>
  <c r="G927" i="23" s="1"/>
  <c r="G942" i="23" s="1"/>
  <c r="F380" i="19" s="1"/>
  <c r="E642" i="23"/>
  <c r="F642" i="23" s="1"/>
  <c r="G646" i="23" s="1"/>
  <c r="G661" i="23" s="1"/>
  <c r="F367" i="19" s="1"/>
  <c r="E969" i="21"/>
  <c r="F969" i="21" s="1"/>
  <c r="G973" i="21" s="1"/>
  <c r="G988" i="21" s="1"/>
  <c r="F312" i="19" s="1"/>
  <c r="E69" i="21"/>
  <c r="F69" i="21" s="1"/>
  <c r="G73" i="21" s="1"/>
  <c r="G88" i="21" s="1"/>
  <c r="F278" i="19" s="1"/>
  <c r="E885" i="21"/>
  <c r="F885" i="21" s="1"/>
  <c r="G889" i="21" s="1"/>
  <c r="G904" i="21" s="1"/>
  <c r="F309" i="19" s="1"/>
  <c r="E437" i="21"/>
  <c r="F437" i="21" s="1"/>
  <c r="G441" i="21" s="1"/>
  <c r="G456" i="21" s="1"/>
  <c r="F293" i="19" s="1"/>
  <c r="E549" i="21"/>
  <c r="F549" i="21" s="1"/>
  <c r="G553" i="21" s="1"/>
  <c r="G568" i="21" s="1"/>
  <c r="F297" i="19" s="1"/>
  <c r="E1933" i="23"/>
  <c r="F1933" i="23" s="1"/>
  <c r="G1937" i="23" s="1"/>
  <c r="G1953" i="23" s="1"/>
  <c r="F430" i="19" s="1"/>
  <c r="E698" i="23"/>
  <c r="F698" i="23" s="1"/>
  <c r="G702" i="23" s="1"/>
  <c r="G717" i="23" s="1"/>
  <c r="F371" i="19" s="1"/>
  <c r="E664" i="9"/>
  <c r="F664" i="9" s="1"/>
  <c r="G665" i="9" s="1"/>
  <c r="E673" i="9" s="1"/>
  <c r="F673" i="9" s="1"/>
  <c r="G674" i="9" s="1"/>
  <c r="G679" i="9" s="1"/>
  <c r="F203" i="19" s="1"/>
  <c r="E12" i="5"/>
  <c r="F12" i="5" s="1"/>
  <c r="G13" i="5" s="1"/>
  <c r="E21" i="5" s="1"/>
  <c r="F21" i="5" s="1"/>
  <c r="G22" i="5" s="1"/>
  <c r="G27" i="5" s="1"/>
  <c r="F34" i="19" s="1"/>
  <c r="E1063" i="23"/>
  <c r="F1063" i="23" s="1"/>
  <c r="G1067" i="23" s="1"/>
  <c r="G1082" i="23" s="1"/>
  <c r="F388" i="19" s="1"/>
  <c r="E1484" i="23"/>
  <c r="F1484" i="23" s="1"/>
  <c r="G1488" i="23" s="1"/>
  <c r="G1503" i="23" s="1"/>
  <c r="F409" i="19" s="1"/>
  <c r="E166" i="20"/>
  <c r="F166" i="20" s="1"/>
  <c r="G169" i="20" s="1"/>
  <c r="E182" i="20" s="1"/>
  <c r="F182" i="20" s="1"/>
  <c r="E448" i="5"/>
  <c r="F448" i="5" s="1"/>
  <c r="G452" i="5" s="1"/>
  <c r="E461" i="5" s="1"/>
  <c r="F461" i="5" s="1"/>
  <c r="G462" i="5" s="1"/>
  <c r="G467" i="5" s="1"/>
  <c r="F55" i="19" s="1"/>
  <c r="E1352" i="5"/>
  <c r="F1352" i="5" s="1"/>
  <c r="G1356" i="5" s="1"/>
  <c r="E1365" i="5" s="1"/>
  <c r="F1365" i="5" s="1"/>
  <c r="G1366" i="5" s="1"/>
  <c r="G1371" i="5" s="1"/>
  <c r="F92" i="19" s="1"/>
  <c r="E1034" i="5"/>
  <c r="F1034" i="5" s="1"/>
  <c r="G1038" i="5" s="1"/>
  <c r="E1047" i="5" s="1"/>
  <c r="F1047" i="5" s="1"/>
  <c r="G1048" i="5" s="1"/>
  <c r="G1053" i="5" s="1"/>
  <c r="F79" i="19" s="1"/>
  <c r="E740" i="5"/>
  <c r="F740" i="5" s="1"/>
  <c r="G744" i="5" s="1"/>
  <c r="E753" i="5" s="1"/>
  <c r="F753" i="5" s="1"/>
  <c r="G754" i="5" s="1"/>
  <c r="G759" i="5" s="1"/>
  <c r="F67" i="19" s="1"/>
  <c r="E1114" i="5"/>
  <c r="F1114" i="5" s="1"/>
  <c r="G1115" i="5" s="1"/>
  <c r="E1126" i="5" s="1"/>
  <c r="F1126" i="5" s="1"/>
  <c r="G1127" i="5" s="1"/>
  <c r="G1132" i="5" s="1"/>
  <c r="F83" i="19" s="1"/>
  <c r="E670" i="23"/>
  <c r="F670" i="23" s="1"/>
  <c r="G674" i="23" s="1"/>
  <c r="G689" i="23" s="1"/>
  <c r="F370" i="19" s="1"/>
  <c r="G129" i="3"/>
  <c r="G134" i="3" s="1"/>
  <c r="F20" i="19" s="1"/>
  <c r="E1091" i="23"/>
  <c r="F1091" i="23" s="1"/>
  <c r="G1095" i="23" s="1"/>
  <c r="G1110" i="23" s="1"/>
  <c r="F390" i="19" s="1"/>
  <c r="E950" i="5"/>
  <c r="F950" i="5" s="1"/>
  <c r="G951" i="5" s="1"/>
  <c r="E962" i="5" s="1"/>
  <c r="F962" i="5" s="1"/>
  <c r="G963" i="5" s="1"/>
  <c r="G968" i="5" s="1"/>
  <c r="F76" i="19" s="1"/>
  <c r="E1849" i="23"/>
  <c r="F1849" i="23" s="1"/>
  <c r="G1853" i="23" s="1"/>
  <c r="G1868" i="23" s="1"/>
  <c r="F427" i="19" s="1"/>
  <c r="E846" i="5"/>
  <c r="F846" i="5" s="1"/>
  <c r="G849" i="5" s="1"/>
  <c r="E857" i="5" s="1"/>
  <c r="F857" i="5" s="1"/>
  <c r="G858" i="5" s="1"/>
  <c r="G863" i="5" s="1"/>
  <c r="F72" i="19" s="1"/>
  <c r="E1087" i="5"/>
  <c r="F1087" i="5" s="1"/>
  <c r="G1088" i="5" s="1"/>
  <c r="E1098" i="5" s="1"/>
  <c r="F1098" i="5" s="1"/>
  <c r="G1100" i="5" s="1"/>
  <c r="G1105" i="5" s="1"/>
  <c r="F81" i="19" s="1"/>
  <c r="E363" i="7"/>
  <c r="F363" i="7" s="1"/>
  <c r="G366" i="7" s="1"/>
  <c r="E374" i="7" s="1"/>
  <c r="F374" i="7" s="1"/>
  <c r="G374" i="7" s="1"/>
  <c r="G379" i="7" s="1"/>
  <c r="F137" i="19" s="1"/>
  <c r="E715" i="9"/>
  <c r="F715" i="9" s="1"/>
  <c r="G716" i="9" s="1"/>
  <c r="E724" i="9" s="1"/>
  <c r="F724" i="9" s="1"/>
  <c r="G725" i="9" s="1"/>
  <c r="G730" i="9" s="1"/>
  <c r="F206" i="19" s="1"/>
  <c r="G31" i="3"/>
  <c r="G36" i="3" s="1"/>
  <c r="F15" i="19" s="1"/>
  <c r="E144" i="13"/>
  <c r="F144" i="13" s="1"/>
  <c r="G145" i="13" s="1"/>
  <c r="G159" i="13" s="1"/>
  <c r="F651" i="19" s="1"/>
  <c r="E248" i="3"/>
  <c r="F248" i="3" s="1"/>
  <c r="G248" i="3" s="1"/>
  <c r="G253" i="3" s="1"/>
  <c r="F27" i="19" s="1"/>
  <c r="G178" i="20"/>
  <c r="E181" i="20" s="1"/>
  <c r="F181" i="20" s="1"/>
  <c r="E523" i="23"/>
  <c r="F523" i="23" s="1"/>
  <c r="G527" i="23" s="1"/>
  <c r="G545" i="23" s="1"/>
  <c r="F363" i="19" s="1"/>
  <c r="E714" i="5"/>
  <c r="F714" i="5" s="1"/>
  <c r="G717" i="5" s="1"/>
  <c r="E725" i="5" s="1"/>
  <c r="F725" i="5" s="1"/>
  <c r="G726" i="5" s="1"/>
  <c r="G731" i="5" s="1"/>
  <c r="F66" i="19" s="1"/>
  <c r="E1141" i="5"/>
  <c r="F1141" i="5" s="1"/>
  <c r="G1142" i="5" s="1"/>
  <c r="E1155" i="5" s="1"/>
  <c r="F1155" i="5" s="1"/>
  <c r="G1156" i="5" s="1"/>
  <c r="G1161" i="5" s="1"/>
  <c r="F84" i="19" s="1"/>
  <c r="E1274" i="5"/>
  <c r="F1274" i="5" s="1"/>
  <c r="G1277" i="5" s="1"/>
  <c r="E1286" i="5" s="1"/>
  <c r="F1286" i="5" s="1"/>
  <c r="G1286" i="5" s="1"/>
  <c r="G1291" i="5" s="1"/>
  <c r="F89" i="19" s="1"/>
  <c r="E688" i="5"/>
  <c r="F688" i="5" s="1"/>
  <c r="G691" i="5" s="1"/>
  <c r="E699" i="5" s="1"/>
  <c r="F699" i="5" s="1"/>
  <c r="G700" i="5" s="1"/>
  <c r="G705" i="5" s="1"/>
  <c r="F65" i="19" s="1"/>
  <c r="E979" i="23"/>
  <c r="F979" i="23" s="1"/>
  <c r="G983" i="23" s="1"/>
  <c r="G998" i="23" s="1"/>
  <c r="F384" i="19" s="1"/>
  <c r="E1599" i="23"/>
  <c r="F1599" i="23" s="1"/>
  <c r="G1603" i="23" s="1"/>
  <c r="E1512" i="23"/>
  <c r="F1512" i="23" s="1"/>
  <c r="G1516" i="23" s="1"/>
  <c r="G1532" i="23" s="1"/>
  <c r="F410" i="19" s="1"/>
  <c r="E288" i="7"/>
  <c r="F288" i="7" s="1"/>
  <c r="G290" i="7" s="1"/>
  <c r="E297" i="7" s="1"/>
  <c r="F297" i="7" s="1"/>
  <c r="G297" i="7" s="1"/>
  <c r="G302" i="7" s="1"/>
  <c r="F132" i="19" s="1"/>
  <c r="E1793" i="23"/>
  <c r="F1793" i="23" s="1"/>
  <c r="G1797" i="23" s="1"/>
  <c r="G1812" i="23" s="1"/>
  <c r="F424" i="19" s="1"/>
  <c r="E144" i="5"/>
  <c r="F144" i="5" s="1"/>
  <c r="G147" i="5" s="1"/>
  <c r="E156" i="5" s="1"/>
  <c r="F156" i="5" s="1"/>
  <c r="G157" i="5" s="1"/>
  <c r="G162" i="5" s="1"/>
  <c r="F42" i="19" s="1"/>
  <c r="E36" i="6"/>
  <c r="F36" i="6" s="1"/>
  <c r="G39" i="6" s="1"/>
  <c r="E45" i="6" s="1"/>
  <c r="F45" i="6" s="1"/>
  <c r="G46" i="6" s="1"/>
  <c r="G51" i="6" s="1"/>
  <c r="F104" i="19" s="1"/>
  <c r="G327" i="20"/>
  <c r="G332" i="20" s="1"/>
  <c r="F153" i="19" s="1"/>
  <c r="E138" i="9"/>
  <c r="F138" i="9" s="1"/>
  <c r="G138" i="9" s="1"/>
  <c r="E147" i="9" s="1"/>
  <c r="F147" i="9" s="1"/>
  <c r="G148" i="9" s="1"/>
  <c r="G153" i="9" s="1"/>
  <c r="F177" i="19" s="1"/>
  <c r="E143" i="10"/>
  <c r="F143" i="10" s="1"/>
  <c r="G143" i="10" s="1"/>
  <c r="G156" i="10" s="1"/>
  <c r="F215" i="19" s="1"/>
  <c r="E429" i="10"/>
  <c r="F429" i="10" s="1"/>
  <c r="G429" i="10" s="1"/>
  <c r="G442" i="10" s="1"/>
  <c r="F228" i="19" s="1"/>
  <c r="E77" i="10"/>
  <c r="F77" i="10" s="1"/>
  <c r="G77" i="10" s="1"/>
  <c r="G90" i="10" s="1"/>
  <c r="F212" i="19" s="1"/>
  <c r="E385" i="10"/>
  <c r="F385" i="10" s="1"/>
  <c r="G385" i="10" s="1"/>
  <c r="G398" i="10" s="1"/>
  <c r="F226" i="19" s="1"/>
  <c r="E89" i="9"/>
  <c r="F89" i="9" s="1"/>
  <c r="G89" i="9" s="1"/>
  <c r="E99" i="9" s="1"/>
  <c r="F99" i="9" s="1"/>
  <c r="G99" i="9" s="1"/>
  <c r="G104" i="9" s="1"/>
  <c r="F174" i="19" s="1"/>
  <c r="E383" i="23"/>
  <c r="F383" i="23" s="1"/>
  <c r="G387" i="23" s="1"/>
  <c r="G402" i="23" s="1"/>
  <c r="F357" i="19" s="1"/>
  <c r="E617" i="9"/>
  <c r="F617" i="9" s="1"/>
  <c r="G618" i="9" s="1"/>
  <c r="G632" i="9" s="1"/>
  <c r="F201" i="19" s="1"/>
  <c r="E791" i="10"/>
  <c r="F791" i="10" s="1"/>
  <c r="G791" i="10" s="1"/>
  <c r="G804" i="10" s="1"/>
  <c r="E351" i="9"/>
  <c r="F351" i="9" s="1"/>
  <c r="G351" i="9" s="1"/>
  <c r="G364" i="9" s="1"/>
  <c r="F187" i="19" s="1"/>
  <c r="E945" i="10"/>
  <c r="F945" i="10" s="1"/>
  <c r="G945" i="10" s="1"/>
  <c r="G958" i="10" s="1"/>
  <c r="E703" i="10"/>
  <c r="F703" i="10" s="1"/>
  <c r="G703" i="10" s="1"/>
  <c r="G716" i="10" s="1"/>
  <c r="E467" i="23"/>
  <c r="F467" i="23" s="1"/>
  <c r="G471" i="23" s="1"/>
  <c r="G486" i="23" s="1"/>
  <c r="F360" i="19" s="1"/>
  <c r="E439" i="23"/>
  <c r="F439" i="23" s="1"/>
  <c r="G443" i="23" s="1"/>
  <c r="G458" i="23" s="1"/>
  <c r="F359" i="19" s="1"/>
  <c r="E37" i="9"/>
  <c r="F37" i="9" s="1"/>
  <c r="G37" i="9" s="1"/>
  <c r="E49" i="9" s="1"/>
  <c r="F49" i="9" s="1"/>
  <c r="G49" i="9" s="1"/>
  <c r="G54" i="9" s="1"/>
  <c r="F172" i="19" s="1"/>
  <c r="E11" i="13"/>
  <c r="F11" i="13" s="1"/>
  <c r="G14" i="13" s="1"/>
  <c r="E27" i="13" s="1"/>
  <c r="F27" i="13" s="1"/>
  <c r="G28" i="13" s="1"/>
  <c r="G33" i="13" s="1"/>
  <c r="F646" i="19" s="1"/>
  <c r="E307" i="9"/>
  <c r="F307" i="9" s="1"/>
  <c r="G307" i="9" s="1"/>
  <c r="G320" i="9" s="1"/>
  <c r="F185" i="19" s="1"/>
  <c r="E11" i="11"/>
  <c r="F11" i="11" s="1"/>
  <c r="G13" i="11" s="1"/>
  <c r="E25" i="11" s="1"/>
  <c r="F25" i="11" s="1"/>
  <c r="G25" i="11" s="1"/>
  <c r="G30" i="11" s="1"/>
  <c r="F266" i="19" s="1"/>
  <c r="E347" i="22"/>
  <c r="F347" i="22" s="1"/>
  <c r="G351" i="22" s="1"/>
  <c r="G366" i="22" s="1"/>
  <c r="F329" i="19" s="1"/>
  <c r="E96" i="23"/>
  <c r="F96" i="23" s="1"/>
  <c r="G100" i="23" s="1"/>
  <c r="G120" i="23" s="1"/>
  <c r="F347" i="19" s="1"/>
  <c r="E231" i="23"/>
  <c r="F231" i="23" s="1"/>
  <c r="G235" i="23" s="1"/>
  <c r="G256" i="23" s="1"/>
  <c r="F352" i="19" s="1"/>
  <c r="E209" i="21"/>
  <c r="F209" i="21" s="1"/>
  <c r="G213" i="21" s="1"/>
  <c r="G228" i="21" s="1"/>
  <c r="F284" i="19" s="1"/>
  <c r="E857" i="21"/>
  <c r="F857" i="21" s="1"/>
  <c r="G861" i="21" s="1"/>
  <c r="G876" i="21" s="1"/>
  <c r="F308" i="19" s="1"/>
  <c r="E801" i="21"/>
  <c r="F801" i="21" s="1"/>
  <c r="G805" i="21" s="1"/>
  <c r="G820" i="21" s="1"/>
  <c r="F306" i="19" s="1"/>
  <c r="E493" i="21"/>
  <c r="F493" i="21" s="1"/>
  <c r="G497" i="21" s="1"/>
  <c r="G512" i="21" s="1"/>
  <c r="F295" i="19" s="1"/>
  <c r="E577" i="21"/>
  <c r="F577" i="21" s="1"/>
  <c r="G581" i="21" s="1"/>
  <c r="G596" i="21" s="1"/>
  <c r="F298" i="19" s="1"/>
  <c r="E409" i="21"/>
  <c r="F409" i="21" s="1"/>
  <c r="G413" i="21" s="1"/>
  <c r="G428" i="21" s="1"/>
  <c r="F292" i="19" s="1"/>
  <c r="E717" i="21"/>
  <c r="F717" i="21" s="1"/>
  <c r="G721" i="21" s="1"/>
  <c r="G736" i="21" s="1"/>
  <c r="F303" i="19" s="1"/>
  <c r="E895" i="23"/>
  <c r="F895" i="23" s="1"/>
  <c r="G899" i="23" s="1"/>
  <c r="G914" i="23" s="1"/>
  <c r="F379" i="19" s="1"/>
  <c r="E1405" i="5"/>
  <c r="F1405" i="5" s="1"/>
  <c r="G1409" i="5" s="1"/>
  <c r="E1419" i="5" s="1"/>
  <c r="F1419" i="5" s="1"/>
  <c r="G1420" i="5" s="1"/>
  <c r="G1425" i="5" s="1"/>
  <c r="F94" i="19" s="1"/>
  <c r="G1618" i="23" l="1"/>
  <c r="F414" i="19" s="1"/>
  <c r="J370" i="19"/>
  <c r="J289" i="19"/>
  <c r="J377" i="19"/>
  <c r="J359" i="19"/>
  <c r="J271" i="19"/>
  <c r="J428" i="19"/>
  <c r="J285" i="19"/>
  <c r="J319" i="19"/>
  <c r="J364" i="19"/>
  <c r="J283" i="19"/>
  <c r="J277" i="19"/>
  <c r="J379" i="19"/>
  <c r="J352" i="19"/>
  <c r="J360" i="19"/>
  <c r="J226" i="19"/>
  <c r="J424" i="19"/>
  <c r="J367" i="19"/>
  <c r="J415" i="19"/>
  <c r="J345" i="19"/>
  <c r="J279" i="19"/>
  <c r="J328" i="19"/>
  <c r="J391" i="19"/>
  <c r="J280" i="19"/>
  <c r="J324" i="19"/>
  <c r="J432" i="19"/>
  <c r="J314" i="19"/>
  <c r="J220" i="19"/>
  <c r="J365" i="19"/>
  <c r="J416" i="19"/>
  <c r="J296" i="19"/>
  <c r="J224" i="19"/>
  <c r="J308" i="19"/>
  <c r="J278" i="19"/>
  <c r="J433" i="19"/>
  <c r="J373" i="19"/>
  <c r="J284" i="19"/>
  <c r="J312" i="19"/>
  <c r="J275" i="19"/>
  <c r="J403" i="19"/>
  <c r="J358" i="19"/>
  <c r="J320" i="19"/>
  <c r="J330" i="19"/>
  <c r="J417" i="19"/>
  <c r="J303" i="19"/>
  <c r="J347" i="19"/>
  <c r="J363" i="19"/>
  <c r="J371" i="19"/>
  <c r="J380" i="19"/>
  <c r="J267" i="19"/>
  <c r="J353" i="19"/>
  <c r="J425" i="19"/>
  <c r="J311" i="19"/>
  <c r="J434" i="19"/>
  <c r="J218" i="19"/>
  <c r="J337" i="19"/>
  <c r="J299" i="19"/>
  <c r="J327" i="19"/>
  <c r="J344" i="19"/>
  <c r="J310" i="19"/>
  <c r="J262" i="19"/>
  <c r="J406" i="19"/>
  <c r="J288" i="19"/>
  <c r="J219" i="19"/>
  <c r="J355" i="19"/>
  <c r="J329" i="19"/>
  <c r="J232" i="19"/>
  <c r="J385" i="19"/>
  <c r="J322" i="19"/>
  <c r="J649" i="19"/>
  <c r="J291" i="19"/>
  <c r="J317" i="19"/>
  <c r="J410" i="19"/>
  <c r="J430" i="19"/>
  <c r="J351" i="19"/>
  <c r="J305" i="19"/>
  <c r="J298" i="19"/>
  <c r="J215" i="19"/>
  <c r="J302" i="19"/>
  <c r="J10" i="19"/>
  <c r="J228" i="19"/>
  <c r="J287" i="19"/>
  <c r="J338" i="19"/>
  <c r="J217" i="19"/>
  <c r="J227" i="19"/>
  <c r="J429" i="19"/>
  <c r="J418" i="19"/>
  <c r="J414" i="19"/>
  <c r="J399" i="19"/>
  <c r="J332" i="19"/>
  <c r="J307" i="19"/>
  <c r="J301" i="19"/>
  <c r="J318" i="19"/>
  <c r="J295" i="19"/>
  <c r="J384" i="19"/>
  <c r="J651" i="19"/>
  <c r="J390" i="19"/>
  <c r="J293" i="19"/>
  <c r="J356" i="19"/>
  <c r="J387" i="19"/>
  <c r="J326" i="19"/>
  <c r="J223" i="19"/>
  <c r="J404" i="19"/>
  <c r="J281" i="19"/>
  <c r="J333" i="19"/>
  <c r="J221" i="19"/>
  <c r="J411" i="19"/>
  <c r="J376" i="19"/>
  <c r="J361" i="19"/>
  <c r="J272" i="19"/>
  <c r="J422" i="19"/>
  <c r="J339" i="19"/>
  <c r="J292" i="19"/>
  <c r="J427" i="19"/>
  <c r="J294" i="19"/>
  <c r="J268" i="19"/>
  <c r="J266" i="19"/>
  <c r="J297" i="19"/>
  <c r="J222" i="19"/>
  <c r="J343" i="19"/>
  <c r="J648" i="19"/>
  <c r="J652" i="19"/>
  <c r="J336" i="19"/>
  <c r="J348" i="19"/>
  <c r="J306" i="19"/>
  <c r="J646" i="19"/>
  <c r="J15" i="19"/>
  <c r="J409" i="19"/>
  <c r="J309" i="19"/>
  <c r="J323" i="19"/>
  <c r="J650" i="19"/>
  <c r="J392" i="19"/>
  <c r="J225" i="19"/>
  <c r="J393" i="19"/>
  <c r="J395" i="19"/>
  <c r="J381" i="19"/>
  <c r="J349" i="19"/>
  <c r="J321" i="19"/>
  <c r="J325" i="19"/>
  <c r="J354" i="19"/>
  <c r="J357" i="19"/>
  <c r="J388" i="19"/>
  <c r="J286" i="19"/>
  <c r="J331" i="19"/>
  <c r="J413" i="19"/>
  <c r="J334" i="19"/>
  <c r="J396" i="19"/>
  <c r="J270" i="19"/>
  <c r="J304" i="19"/>
  <c r="J300" i="19"/>
  <c r="J407" i="19"/>
  <c r="J647" i="19"/>
  <c r="J171" i="19"/>
  <c r="J115" i="19"/>
  <c r="J187" i="19"/>
  <c r="J27" i="19"/>
  <c r="J76" i="19"/>
  <c r="J55" i="19"/>
  <c r="J148" i="19"/>
  <c r="J179" i="19"/>
  <c r="J108" i="19"/>
  <c r="J189" i="19"/>
  <c r="J80" i="19"/>
  <c r="J91" i="19"/>
  <c r="J127" i="19"/>
  <c r="J157" i="19"/>
  <c r="J205" i="19"/>
  <c r="J159" i="19"/>
  <c r="J202" i="19"/>
  <c r="J26" i="19"/>
  <c r="J92" i="19"/>
  <c r="J68" i="19"/>
  <c r="J177" i="19"/>
  <c r="J186" i="19"/>
  <c r="J62" i="19"/>
  <c r="J120" i="19"/>
  <c r="J192" i="19"/>
  <c r="J101" i="19"/>
  <c r="J95" i="19"/>
  <c r="J96" i="19"/>
  <c r="J198" i="19"/>
  <c r="J191" i="19"/>
  <c r="J182" i="19"/>
  <c r="J142" i="19"/>
  <c r="J201" i="19"/>
  <c r="J153" i="19"/>
  <c r="J65" i="19"/>
  <c r="J20" i="19"/>
  <c r="J184" i="19"/>
  <c r="J43" i="19"/>
  <c r="J136" i="19"/>
  <c r="J46" i="19"/>
  <c r="J85" i="19"/>
  <c r="J19" i="19"/>
  <c r="J129" i="19"/>
  <c r="J90" i="19"/>
  <c r="J70" i="19"/>
  <c r="J103" i="19"/>
  <c r="J74" i="19"/>
  <c r="J56" i="19"/>
  <c r="J183" i="19"/>
  <c r="J98" i="19"/>
  <c r="J29" i="19"/>
  <c r="J155" i="19"/>
  <c r="J213" i="19"/>
  <c r="J58" i="19"/>
  <c r="J172" i="19"/>
  <c r="J89" i="19"/>
  <c r="J206" i="19"/>
  <c r="J196" i="19"/>
  <c r="J152" i="19"/>
  <c r="J180" i="19"/>
  <c r="J193" i="19"/>
  <c r="J110" i="19"/>
  <c r="J44" i="19"/>
  <c r="J64" i="19"/>
  <c r="J178" i="19"/>
  <c r="J125" i="19"/>
  <c r="J45" i="19"/>
  <c r="J161" i="19"/>
  <c r="J38" i="19"/>
  <c r="J41" i="19"/>
  <c r="J61" i="19"/>
  <c r="J69" i="19"/>
  <c r="J188" i="19"/>
  <c r="J185" i="19"/>
  <c r="J94" i="19"/>
  <c r="J174" i="19"/>
  <c r="J42" i="19"/>
  <c r="J84" i="19"/>
  <c r="J137" i="19"/>
  <c r="J83" i="19"/>
  <c r="J34" i="19"/>
  <c r="J197" i="19"/>
  <c r="J112" i="19"/>
  <c r="J77" i="19"/>
  <c r="J54" i="19"/>
  <c r="J209" i="19"/>
  <c r="J210" i="19"/>
  <c r="J88" i="19"/>
  <c r="J78" i="19"/>
  <c r="J119" i="19"/>
  <c r="J63" i="19"/>
  <c r="J141" i="19"/>
  <c r="J99" i="19"/>
  <c r="J31" i="19"/>
  <c r="J104" i="19"/>
  <c r="J66" i="19"/>
  <c r="J81" i="19"/>
  <c r="J67" i="19"/>
  <c r="J203" i="19"/>
  <c r="J176" i="19"/>
  <c r="J117" i="19"/>
  <c r="J37" i="19"/>
  <c r="J60" i="19"/>
  <c r="J86" i="19"/>
  <c r="J17" i="19"/>
  <c r="J134" i="19"/>
  <c r="J194" i="19"/>
  <c r="J162" i="19"/>
  <c r="J40" i="19"/>
  <c r="J93" i="19"/>
  <c r="J200" i="19"/>
  <c r="J212" i="19"/>
  <c r="J132" i="19"/>
  <c r="J72" i="19"/>
  <c r="J79" i="19"/>
  <c r="J75" i="19"/>
  <c r="J173" i="19"/>
  <c r="J123" i="19"/>
  <c r="J22" i="19"/>
  <c r="J190" i="19"/>
  <c r="J214" i="19"/>
  <c r="J87" i="19"/>
  <c r="J158" i="19"/>
  <c r="J160" i="19"/>
  <c r="J73" i="19"/>
  <c r="J57" i="19"/>
  <c r="F216" i="19"/>
  <c r="F211" i="19"/>
  <c r="F374" i="19"/>
  <c r="F375" i="19"/>
  <c r="F366" i="19"/>
  <c r="F259" i="19"/>
  <c r="F246" i="19"/>
  <c r="F253" i="19"/>
  <c r="F258" i="19"/>
  <c r="G1309" i="23"/>
  <c r="G887" i="23"/>
  <c r="G183" i="20"/>
  <c r="G188" i="20" s="1"/>
  <c r="G1281" i="23"/>
  <c r="F397" i="19" s="1"/>
  <c r="J258" i="19" l="1"/>
  <c r="J253" i="19"/>
  <c r="J246" i="19"/>
  <c r="J259" i="19"/>
  <c r="J216" i="19"/>
  <c r="J397" i="19"/>
  <c r="J366" i="19"/>
  <c r="J375" i="19"/>
  <c r="J374" i="19"/>
  <c r="J211" i="19"/>
  <c r="F378" i="19"/>
  <c r="F398" i="19"/>
  <c r="F147" i="19"/>
  <c r="J378" i="19" l="1"/>
  <c r="J398" i="19"/>
  <c r="F654" i="19"/>
  <c r="J147" i="19"/>
  <c r="I50" i="24" l="1"/>
  <c r="I48" i="24" s="1"/>
  <c r="J654" i="19"/>
  <c r="E44" i="24" l="1"/>
  <c r="I44" i="24" s="1"/>
  <c r="I46" i="24"/>
  <c r="I47" i="24"/>
  <c r="H47" i="24" s="1"/>
  <c r="H49" i="24" l="1"/>
  <c r="I49" i="24"/>
  <c r="I51" i="24" s="1"/>
  <c r="F655" i="19" l="1"/>
  <c r="J655" i="19" l="1"/>
  <c r="F656" i="19"/>
  <c r="J656" i="19" s="1"/>
  <c r="F658" i="19" l="1"/>
  <c r="J658" i="19" s="1"/>
  <c r="F662" i="19" l="1"/>
  <c r="F66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58" authorId="0" shapeId="0" xr:uid="{00000000-0006-0000-00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La descripcion de este item en las condiciones iniciales del acta N° 19 es diferente.
La descripcion del acta N°19 se encuentra en la fila a continuación.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35" authorId="0" shapeId="0" xr:uid="{00000000-0006-0000-1300-000001000000}">
      <text>
        <r>
          <rPr>
            <b/>
            <sz val="9"/>
            <color indexed="81"/>
            <rFont val="Tahoma"/>
            <family val="2"/>
          </rPr>
          <t>Autor:</t>
        </r>
        <r>
          <rPr>
            <sz val="9"/>
            <color indexed="81"/>
            <rFont val="Tahoma"/>
            <family val="2"/>
          </rPr>
          <t xml:space="preserve">
se creó el Fondo Nacional de Formaciòn
Profesional de la Industria de la Construcciòn -FIC, al cual los empleadores de este ramo
deben contribuir mensualmente con una suma igual a un (1) salario mìnimo legal mesual
vigente por cada cuarenta (40) trabajadores que laboren bajo sus órdenes y
proporcionalmente por fracción de cuarenta (40).</t>
        </r>
      </text>
    </comment>
    <comment ref="F35" authorId="0" shapeId="0" xr:uid="{00000000-0006-0000-1300-000002000000}">
      <text>
        <r>
          <rPr>
            <b/>
            <sz val="9"/>
            <color indexed="81"/>
            <rFont val="Tahoma"/>
            <family val="2"/>
          </rPr>
          <t>Autor:</t>
        </r>
        <r>
          <rPr>
            <sz val="9"/>
            <color indexed="81"/>
            <rFont val="Tahoma"/>
            <family val="2"/>
          </rPr>
          <t xml:space="preserve">
se creó el Fondo Nacional de Formaciòn
Profesional de la Industria de la Construcciòn -FIC, al cual los empleadores de este ramo
deben contribuir mensualmente con una suma igual a un (1) salario mìnimo legal mesual
vigente por cada cuarenta (40) trabajadores que laboren bajo sus órdenes y
proporcionalmente por fracción de cuarenta (40).</t>
        </r>
      </text>
    </comment>
    <comment ref="H35" authorId="0" shapeId="0" xr:uid="{00000000-0006-0000-1300-000003000000}">
      <text>
        <r>
          <rPr>
            <b/>
            <sz val="9"/>
            <color indexed="81"/>
            <rFont val="Tahoma"/>
            <family val="2"/>
          </rPr>
          <t>Autor:</t>
        </r>
        <r>
          <rPr>
            <sz val="9"/>
            <color indexed="81"/>
            <rFont val="Tahoma"/>
            <family val="2"/>
          </rPr>
          <t xml:space="preserve">
se creó el Fondo Nacional de Formaciòn
Profesional de la Industria de la Construcciòn -FIC, al cual los empleadores de este ramo
deben contribuir mensualmente con una suma igual a un (1) salario mìnimo legal mesual
vigente por cada cuarenta (40) trabajadores que laboren bajo sus órdenes y
proporcionalmente por fracción de cuarenta (40).</t>
        </r>
      </text>
    </comment>
    <comment ref="J35" authorId="0" shapeId="0" xr:uid="{00000000-0006-0000-1300-000004000000}">
      <text>
        <r>
          <rPr>
            <b/>
            <sz val="9"/>
            <color indexed="81"/>
            <rFont val="Tahoma"/>
            <family val="2"/>
          </rPr>
          <t>Autor:</t>
        </r>
        <r>
          <rPr>
            <sz val="9"/>
            <color indexed="81"/>
            <rFont val="Tahoma"/>
            <family val="2"/>
          </rPr>
          <t xml:space="preserve">
se creó el Fondo Nacional de Formaciòn
Profesional de la Industria de la Construcciòn -FIC, al cual los empleadores de este ramo
deben contribuir mensualmente con una suma igual a un (1) salario mìnimo legal mesual
vigente por cada cuarenta (40) trabajadores que laboren bajo sus órdenes y
proporcionalmente por fracción de cuarenta (40).</t>
        </r>
      </text>
    </comment>
  </commentList>
</comments>
</file>

<file path=xl/sharedStrings.xml><?xml version="1.0" encoding="utf-8"?>
<sst xmlns="http://schemas.openxmlformats.org/spreadsheetml/2006/main" count="33782" uniqueCount="2888">
  <si>
    <t>ANALISIS DE PRECIOS UNITARIOS PRESUPUESTO INSTITUCION EDUCATIVA NORMAL SUPERIOR EN LA ZONA URBANA DEL MUNICIPIO DE SAN PEDRO DE LOS MILAGROS-ANTIOQUIA</t>
  </si>
  <si>
    <t>ITEM</t>
  </si>
  <si>
    <t>DESCRIPCIÓN</t>
  </si>
  <si>
    <t>UNIDAD</t>
  </si>
  <si>
    <t>CANTIDAD</t>
  </si>
  <si>
    <t>EQUIPO</t>
  </si>
  <si>
    <t>PRECIO UNITARIO</t>
  </si>
  <si>
    <t>VALOR TOTAL</t>
  </si>
  <si>
    <t>TOTAL</t>
  </si>
  <si>
    <t>Herramienta  menor</t>
  </si>
  <si>
    <t>MATERIALES EN OBRA</t>
  </si>
  <si>
    <t>VALOR UNITARIO</t>
  </si>
  <si>
    <t>tablones de madera para marcación de 3 m</t>
  </si>
  <si>
    <t>Pintura de demarcacion X Galon</t>
  </si>
  <si>
    <t>Hilo de Nylon resistencia 90 lb, e:1mm carretex 100m</t>
  </si>
  <si>
    <t xml:space="preserve">TRANSPORTE </t>
  </si>
  <si>
    <t>TARIFA VIAJE/FLETE</t>
  </si>
  <si>
    <t>Transporte de materiales</t>
  </si>
  <si>
    <t>gl</t>
  </si>
  <si>
    <t xml:space="preserve">MANO DE OBRA </t>
  </si>
  <si>
    <t>TRABAJADOR</t>
  </si>
  <si>
    <t>DIA</t>
  </si>
  <si>
    <t>PRESTACIONES</t>
  </si>
  <si>
    <t>VALOR DÍA</t>
  </si>
  <si>
    <t>RENDIMIENTO</t>
  </si>
  <si>
    <t>TOTAL COSTO DIRECTO</t>
  </si>
  <si>
    <t>1.1.2</t>
  </si>
  <si>
    <t>Construccion, instalacion y desmonte de campamento provisional, incluye piso en concreto y cubierta en eternit, energia y servicios, dos baños, oficina independiente, cerramiento en madera o similar</t>
  </si>
  <si>
    <t>und</t>
  </si>
  <si>
    <t>Hoja de super board de 6mm</t>
  </si>
  <si>
    <t>Puerta en lámina metálcia</t>
  </si>
  <si>
    <t>Telera madera 0.90 x 1.35</t>
  </si>
  <si>
    <t>Combo sanitario</t>
  </si>
  <si>
    <t>Alambre Negro</t>
  </si>
  <si>
    <t>kg</t>
  </si>
  <si>
    <t>Ventana de 1 x1m</t>
  </si>
  <si>
    <t>Malla electrosoldada d-84</t>
  </si>
  <si>
    <t>m2</t>
  </si>
  <si>
    <t>Concreto 1500 PSI (GRIS)</t>
  </si>
  <si>
    <t>m3</t>
  </si>
  <si>
    <t>Plástico Negro</t>
  </si>
  <si>
    <t>clavos de acero 3"   x 500g</t>
  </si>
  <si>
    <t xml:space="preserve">g </t>
  </si>
  <si>
    <t>Toma corriente doble</t>
  </si>
  <si>
    <t>Cable eléctrico rígido N°12</t>
  </si>
  <si>
    <t>ml</t>
  </si>
  <si>
    <t>Interruptor sencilla</t>
  </si>
  <si>
    <t>Larguero madera común 4cmx8cmx2.80m. Incluye
transporte.</t>
  </si>
  <si>
    <t>1.1.3</t>
  </si>
  <si>
    <t>Cerramiento en tela verde, o malla de lona(polisombra), con altura minoma de 2mts, base para fijacion de estacones de 0.2*0.2*0.5m en concreto de 1500 psi. Estacones de madera de 2*2", apuntillada y amarrada con alambre</t>
  </si>
  <si>
    <t>Tela PP Verde/amarilla 100mlx 2.1 m ancho</t>
  </si>
  <si>
    <t>Concreto gris 1500 psi</t>
  </si>
  <si>
    <t>Alambre negro recocido cal 17</t>
  </si>
  <si>
    <t>Clavo comun 3"</t>
  </si>
  <si>
    <t>g</t>
  </si>
  <si>
    <t>Estacon 2X2</t>
  </si>
  <si>
    <t>3.3.1.1</t>
  </si>
  <si>
    <t>Vibrador electrico</t>
  </si>
  <si>
    <t>dia</t>
  </si>
  <si>
    <t>Canguro con motor de 4 tiempos</t>
  </si>
  <si>
    <t>día</t>
  </si>
  <si>
    <t>Seccion completa de andamio 12.m-1.5m X1.5m</t>
  </si>
  <si>
    <t>Can zunchado en madera comun 5 cmX20cmX3 m</t>
  </si>
  <si>
    <t>Larguero madera plástica de tope L=0.35</t>
  </si>
  <si>
    <t>Formaleta de Borde de losa h=0.25</t>
  </si>
  <si>
    <t>desmoldante</t>
  </si>
  <si>
    <t>Lleno de arena especial e=0.2m</t>
  </si>
  <si>
    <t>Alambre negro recocido</t>
  </si>
  <si>
    <t>Transporte de equipo de alquiler</t>
  </si>
  <si>
    <t>3.3.5.2</t>
  </si>
  <si>
    <t xml:space="preserve">Corte y demolición controlada  de losa maciza en concreto con un espesor maximo a demoler de e:0.35m para pase de campana extractora de  0.8*1.1m incluye marcación y localización exacta del punto o vano a ser extruido en demolición. Ademas se incluye el corte pulido del vacío y emparejamiento de las caras de la extrucción, se incluye el corte de varillas de refuerzo de cualquier diametro, el uso de martillo mediano minero demoledor o machín de potencia media. Además el resane del contorno del vacÍo generado en procura de las medidas nominales necesarias para la campana extractora. Se incluye recolección de escombros con acarreo hasta sitio de acopio. Finalmente incluye todos los elementos necesarios para su correcta ejecución. </t>
  </si>
  <si>
    <t>Martillo demoledor de pisos a 110 volt</t>
  </si>
  <si>
    <t>Cincel punta o pala para martillo de pisos</t>
  </si>
  <si>
    <t>Barra para martillo de pisos</t>
  </si>
  <si>
    <t>Disco punta diamante 14"</t>
  </si>
  <si>
    <t>pulidora manual electrica</t>
  </si>
  <si>
    <t>Cargue de material sobrante (2 paleros)</t>
  </si>
  <si>
    <t>Mortero 1:4</t>
  </si>
  <si>
    <t>Transporte y disposicion de material en botadero</t>
  </si>
  <si>
    <t>3.3.7.1</t>
  </si>
  <si>
    <t>Taco Metálico hasta 3.30 m</t>
  </si>
  <si>
    <t>h</t>
  </si>
  <si>
    <t>Cerchas 3m</t>
  </si>
  <si>
    <t>Telera 0.9x1.35</t>
  </si>
  <si>
    <t>Acero de refuerzo 1/2"</t>
  </si>
  <si>
    <t>Acero de refuerzo 1/4"</t>
  </si>
  <si>
    <t>3.3.7.2</t>
  </si>
  <si>
    <t>Malla electrosoldada D-106</t>
  </si>
  <si>
    <t>3.3.8.1</t>
  </si>
  <si>
    <t>Herramienta menor</t>
  </si>
  <si>
    <t>Madera</t>
  </si>
  <si>
    <t>Concreto premezclado de 21 Mpa</t>
  </si>
  <si>
    <t>3.4.1</t>
  </si>
  <si>
    <t>Vibrador Eléctrico</t>
  </si>
  <si>
    <t>Desmoldante</t>
  </si>
  <si>
    <t>Acero de refuerzo d=1/2" a 0.20</t>
  </si>
  <si>
    <t>Kg</t>
  </si>
  <si>
    <t>Malla electrosoldada D84</t>
  </si>
  <si>
    <t xml:space="preserve"> formaleta de primera calidad en súper "T" de 19 mm</t>
  </si>
  <si>
    <t>3.5.1</t>
  </si>
  <si>
    <t>m</t>
  </si>
  <si>
    <t>Vibrador eléctrico</t>
  </si>
  <si>
    <t xml:space="preserve"> formaleta en súper T de 19 mm.</t>
  </si>
  <si>
    <t>Larguero madera comun 4x8.5x3</t>
  </si>
  <si>
    <t>Transporte</t>
  </si>
  <si>
    <t>3.5.2</t>
  </si>
  <si>
    <t>3.6.3</t>
  </si>
  <si>
    <t>Larguero carra 4cmX8.5cmx3m</t>
  </si>
  <si>
    <t>3.7.1</t>
  </si>
  <si>
    <t>Can zunchado en madera comun 5 cm x20cmx 3 m</t>
  </si>
  <si>
    <t>5.2.1.4</t>
  </si>
  <si>
    <t>Suministro, transporte y colocación de  BLOQUE de concreto a la vista   DE 12x10x40 cm. color ARENA,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t>
  </si>
  <si>
    <t>Cortadora de ladrillo</t>
  </si>
  <si>
    <t>Can zunchado en madera  comun 5cmx 20 cm x 3m</t>
  </si>
  <si>
    <t>Mortero de pega 1:4</t>
  </si>
  <si>
    <t>Disco diamantado 7"</t>
  </si>
  <si>
    <t>5.2.1.5</t>
  </si>
  <si>
    <t xml:space="preserve">Suministro, transporte y colocación de  CHAPA DE BLOQUE de concreto  DE 3x10x40 cm. color  ARENA  expesor 4cm tipo indural o similar,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 </t>
  </si>
  <si>
    <t>Malla electrosoldada D50</t>
  </si>
  <si>
    <t>Chapa de bloque de concreto color arena 3x10x40</t>
  </si>
  <si>
    <t>5.2.2.2</t>
  </si>
  <si>
    <t>Instalación de ENCHAPE CERÁMICO DE 35x60 cm.,  Ceramica, samsara,GRIS. Incluye suministro y transporte de los materiales, adhesivo para cerámica tipo pegacor o su equivalente, remate en varilla de PVC intermatex acolillado color blanco y todos los elementos necesarios para su correcta instalación y funcionamiento.</t>
  </si>
  <si>
    <t>Cortadora de ceramica</t>
  </si>
  <si>
    <t>Ceramica samsara gris 35x60</t>
  </si>
  <si>
    <t>Varilla PVC intermatex</t>
  </si>
  <si>
    <t>Concolor ceramica</t>
  </si>
  <si>
    <t>Estopa</t>
  </si>
  <si>
    <t xml:space="preserve">gl </t>
  </si>
  <si>
    <t>5.2.2.3</t>
  </si>
  <si>
    <t>Construccion de muro Basico, ceramica,corona 30*60, blanco, espesor max 1cm.Incluye suministro y transporte de los materiales, adhesivo para cerámica tipo pegacor o su equivalente, remate en varilla de PVC intermatex acolillado color blanco y todos los elementos necesarios para su correcta instalación y funcionamiento.</t>
  </si>
  <si>
    <t>Ceramica corona 30*60 blanco</t>
  </si>
  <si>
    <t>BLOQE DE CONCRETO 12X20X40</t>
  </si>
  <si>
    <t>5.2.2.4</t>
  </si>
  <si>
    <t xml:space="preserve">Suministro, transporte y colocación de  CHAPA DE BLOQUE de concreto  DE 3x10x40 cm. color   chocolate espesor 4cm tipo indural o similar,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 </t>
  </si>
  <si>
    <t>Chapa de bloque de concreto color chocolate</t>
  </si>
  <si>
    <t>5.2.2.5</t>
  </si>
  <si>
    <t xml:space="preserve">Suministro, transporte y colocación de  CHAPA DE BLOQUE de concreto  DE 3x10x40 cm. color   arena expesor 4cm tipo indural o similar,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 </t>
  </si>
  <si>
    <t>Chapa de bloque de concreto color arena</t>
  </si>
  <si>
    <t>5.2.2.8</t>
  </si>
  <si>
    <t>Suministro, transporte y colocación de  BLOQUE de concreto a la vista   DE 12x10x40 cm. color arena,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t>
  </si>
  <si>
    <t>Bloque de concreto color arena 12x10x40</t>
  </si>
  <si>
    <t>5.2.2.9</t>
  </si>
  <si>
    <t>Suministro, transporte y colocación de  BLOQUE de concreto a la vista   DE 12x10x40 cm. color chocolate,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t>
  </si>
  <si>
    <t>5.2.2.10</t>
  </si>
  <si>
    <t>Suministro, transporte y colocación de  BLOQUE de concreto a la vista   DE 12x10x40 cm. color gris,tipo indural o similar,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t>
  </si>
  <si>
    <t>Bloque de concreto color gris 12x10x40</t>
  </si>
  <si>
    <t>5.2.2.12</t>
  </si>
  <si>
    <t>Suministro, transporte e instalación de paneles termoacusticos para division corrediza en aulas de: Sala de bilinguismo y necesidades especiales. El sistema de puertas lo componen 6 cuerpos o mudulos moviles con dimensiones de 1 x 2.75 m. El sistema de corredizo va con las guias en rieles, rodachines necesarios fijados en cubierta (vigas o viguetas) y en piso con el corte necesario sobre el enchape para la instalación del riel o la guia. De esta manera se divide el guardado de las puertas para cada lado en grupo de a 3 cuerpos, solapadas entre sí. o en sistema escondidas.</t>
  </si>
  <si>
    <t>5.2.2.13</t>
  </si>
  <si>
    <t>Suministro, transporte  e instalación de sistema de division en vidrio templado y laminado de 6 mm con dimensiones de: 2.70 m de ancho x 3.35 de alto, como altura maxima (verificar en obra el enrace o tope, sí es a techo o en viga o dintel contruido). Incluye en vidrio templado  puerta batiente  de 0.70 de ancho y con altura libre de 2.85. (Verificar medidas en obra). Incluye soportes, perfiles y angulos en aluminio para fijación de modulos de vidrio a paredes y a piso, según recomendación del proveedor, además de las bisagras, jaladeras y chapa, autorizadas y concordadas con interventoría.</t>
  </si>
  <si>
    <t>sistema de division en vidrio templado y laminado de 6 mm con dimensiones de: 2.70 m de ancho x 3.35 de alto, como altura maxima (verificar en obra el enrace o tope, sí es a techo o en viga o dintel contruido). Incluye en vidrio templado  puerta batiente  de 0.70 de ancho y con altura libre de 2.85. (Verificar medidas en obra). Incluye soportes, perfiles y angulos en aluminio para fijación de modulos de vidrio a paredes y a piso, según recomendación del proveedor, además de las bisagras, jaladeras y chapa</t>
  </si>
  <si>
    <t>5.2.2.14.1</t>
  </si>
  <si>
    <t>Suministro, transporte e instalación de division en vidrio templado de 6 mm con  dimensiones de  longitud de  2.8 x  altura de 2,1, con dos  puertas batientes de 0.80 m en el mismo material. Enfaticamente corroborar medidas en obra. Incluye soportes, perfiles y angulos en aluminio para fijación de modulos de vidrio a paredes y a piso, según recomendación del proveedor, además de las bisagras, jaladeras y chapa, autorizadas y concordadas con interventoría.</t>
  </si>
  <si>
    <t>division en vidrio templado de 6 mm con  dimensiones de  longitud de  2.8 x  altura de 2,1, con dos  puertas batientes de 0.80 m en el mismo material.  Incluye soportes, perfiles y angulos en aluminio para fijación de modulos de vidrio a paredes y a piso, según recomendación del proveedor, además de las bisagras, jaladeras y chapa.</t>
  </si>
  <si>
    <t>5.2.2.14.2</t>
  </si>
  <si>
    <t>Suministro, transporte e instalación de division en vidrio templado de 6 mm con dimensiones de  longitud de 1.8 x  altura de 2,1, con dos  puertas batientes de 0.80 m en el mismo material. Enfaticamente corroborar medidas en obra. Incluye soportes, perfiles y angulos en aluminio para fijación de modulos de vidrio a paredes y a piso, según recomendación del proveedor, además de las bisagras, jaladeras y chapa, autorizadas y concordadas con interventoría.</t>
  </si>
  <si>
    <t xml:space="preserve"> division en vidrio templado de 6 mm con dimensiones de  longitud de 1.8 x  altura de 2,1, con dos  puertas batientes de 0.80 m en el mismo material. Incluye soportes, perfiles y angulos en aluminio para fijación de modulos de vidrio a paredes y a piso, según recomendación del proveedor, además de las bisagras, jaladeras y chapa, autorizadas y concordadas con interventoría.</t>
  </si>
  <si>
    <t>5.2.2.14.3</t>
  </si>
  <si>
    <t>Suministro, transporte e instalación de division en vidrio templado de 6 mm con  dimensiones de  longitud de 3.44 x  altura de 2,1, con dos  puertas batientes de 0.80 m en el mismo material. Enfaticamente corroborar medidas en obra. Incluye soportes, perfiles y angulos en aluminio para fijación de modulos de vidrio a paredes y a piso, según recomendación del proveedor, además de las bisagras, jaladeras y chapa, autorizadas y concordadas con interventoría.</t>
  </si>
  <si>
    <t>division en vidrio templado de 6 mm con  dimensiones de  longitud de 3.44 x  altura de 2,1, con dos  puertas batientes de 0.80 m en el mismo material. Incluye soportes, perfiles y angulos en aluminio para fijación de modulos de vidrio a paredes y a piso, según recomendación del proveedor, además de las bisagras, jaladeras y chapa</t>
  </si>
  <si>
    <t>5.2.2.15</t>
  </si>
  <si>
    <t>Suministro, transporte e instalación de modulos divisorios en marcos de aluminio o perfiles metalicos, pintados con anticorrosivo, color definido por interventoria del proyecto; y paneles en madecor rh o madera aglomerada enchapada con estilo, acabado o superficie definido por interventoria. Las dimensiones de los paneles para la zona de administración son de altura constante de 1.50, y con dimensiones  en longitud variables de 1.90, 3.2, 3.2, 2, 2.9. incluye bases metalicas o en el mismo material de los marcos, para permitir la fijacion a piso, evaluar la fijación si es necesaria a paredes y evitar vaivenes.</t>
  </si>
  <si>
    <t>modulos divisorios en marcos de aluminio o perfiles metalicos, pintados con anticorrosivo y paneles en madecor rh o madera aglomerada enchapada. Las dimensiones de los paneles para la zona de administración son de altura constante de 1.50, y con dimensiones  en longitud variables de 1.90, 3.2, 3.2, 2, 2.9. incluye bases metalicas o en el mismo material de los marcos</t>
  </si>
  <si>
    <t>5.2.2.16</t>
  </si>
  <si>
    <t xml:space="preserve">Suministro, transporte e instalación de panel acustico en madera, inmunizada y tratada para escenario de e: de 10 cm. Incluye, la estructura interna del panel, construido por modulos o de manera total, ademas de los elementos para su fijación a la pared en mampostería, piso y techo enrace. Dimensiones de 3.35 de alto x 8.78 m de largo. Incluye todos los elementos necesarios para su correcta instalacion y acabado. </t>
  </si>
  <si>
    <t>5.2.2.17</t>
  </si>
  <si>
    <t>Suministro e instalación  de zocalo a media caña vertical en yeso-estuco acrilico  para intersecciones de muros. Incluye moldeador o plantilla plastica o en pvc para fijación de superficies revoque y estuco. Incluye juntas, pulido y todos los resanes necesarios.</t>
  </si>
  <si>
    <t xml:space="preserve">Herramienta  </t>
  </si>
  <si>
    <t>Plantilla en pvc para zocalo 3 metros</t>
  </si>
  <si>
    <t>Mortero de revoque</t>
  </si>
  <si>
    <t>Perfil PVC para fijación</t>
  </si>
  <si>
    <t xml:space="preserve">Cinta superboard de fibra de vidrio </t>
  </si>
  <si>
    <t>Estuco plastico tipo plastestuco o similar 28 kg (Rnto.0,75 m2/kg o 21m2/unidad)</t>
  </si>
  <si>
    <t xml:space="preserve">Transporte </t>
  </si>
  <si>
    <t>5.2.2.18</t>
  </si>
  <si>
    <t xml:space="preserve"> Ejecucion de cortes para dilataciones en bloque y chapa de concreto con pulidora de disco . Incluye el retiro y el reemplazo de piezas de  mamaposteria y chapas cortadas y averiadas al ser cortadas; incluye para este proceso el mortero de pega 0,25:1:4 (cal:cemento:arena) espesor max=0.01 m, para ranurado o revitado, (diseño y aprobación de mezcla para la pega en obra, cumpliendo norma que aplique a este tipo de mezclas)y todo lo necesario para su correcta instalacion, recoleccion y disposicion final de material sobrante. (Cortes horizontales requieren andamio de tres cuerpos)</t>
  </si>
  <si>
    <t>Bloque de concreto color VARIOS</t>
  </si>
  <si>
    <t>Chapa de bloque de concreto color VARIOS</t>
  </si>
  <si>
    <t>5.2.2.19</t>
  </si>
  <si>
    <t>Sismoflex</t>
  </si>
  <si>
    <t>Jumbolon</t>
  </si>
  <si>
    <t>5.2.2.20</t>
  </si>
  <si>
    <t>Construcción de MURO VACIADO en concreto de 21 Mpa.  Incluye suministro, transporte y colocación del concreto, mano de obra, formaleta completa, vibrado, protección, curado y todos los demás elementos necesario para su correcta construcción. No incluye acero de refuerzo.</t>
  </si>
  <si>
    <t>Formaleta tipo tablero (0.60x1.20)</t>
  </si>
  <si>
    <t>5.2.2.21</t>
  </si>
  <si>
    <t>Construccion de Lagrimal prefabricado. Incluye suministro, transporte y colocación, mano de obra, protección y todos los demás elementos necesario para su correcta construcción. No incluye acero de refuerzo. (ED.1)</t>
  </si>
  <si>
    <t>Lagrimal de concreto prefabricado (50x25x10 cm)</t>
  </si>
  <si>
    <t>Ácido Nitrico</t>
  </si>
  <si>
    <t>lt</t>
  </si>
  <si>
    <t>Esmalte Epoxico</t>
  </si>
  <si>
    <t>gal</t>
  </si>
  <si>
    <t>Transporte de material</t>
  </si>
  <si>
    <t>5.2.3.2</t>
  </si>
  <si>
    <t>Construccion de muro Basico, ceramica,corona 30*60, blanco, Ref:595132001 espesor max 1cm.Incluye suministro y transporte de los materiales, adhesivo para cerámica tipo pegacor o su equivalente, remate en varilla de PVC intermatex acolillado color blanco y todos los elementos necesarios para su correcta instalación y funcionamiento.</t>
  </si>
  <si>
    <t>5.2.3.3</t>
  </si>
  <si>
    <t>5.2.3.4</t>
  </si>
  <si>
    <t>Construccion de muro Basico, ladrillo sin acabar, espesor max 9-10cm y todo lo demas para su correcta construccion y funcionamiento. Incluye suministro y transporte de los materiales, mortero de pega 0,25:1:4 (cal:cemento:arena) espesor max=0.01 m</t>
  </si>
  <si>
    <t>Ladrillo hueco 10x20x40</t>
  </si>
  <si>
    <t>5.2.3.5</t>
  </si>
  <si>
    <t xml:space="preserve">Suministro, transporte y colocación de  CHAPA DE BLOQUE de concreto  DE 3x10x30 cm. color   chocolate expesor 4cm tipo indural o similar,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 </t>
  </si>
  <si>
    <t>5.2.3.6</t>
  </si>
  <si>
    <t xml:space="preserve">Suministro, transporte y colocación de  CHAPA DE BLOQUE de concreto  DE 3x10x30 cm. color   arena expesor 4cm tipo indural o similar,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 </t>
  </si>
  <si>
    <t>5.2.3.10</t>
  </si>
  <si>
    <t>5.2.3.11</t>
  </si>
  <si>
    <t>5.2.3.12</t>
  </si>
  <si>
    <t>5.2.3.13</t>
  </si>
  <si>
    <t>Suministro e instalacion de cubre juntas de dilatación entre estructura y elementos mampuestos. El proceso de cubrir las juntas se realizara en dilataciones verticales y horizontales, en procura de eliminar las luces, por los desfases dados en construcción y las patologias en las juntas de movimiento entre elementos estructurales y no estructurales que cumple con el Código Nacional de Construcción Sismo - resistente NSR - 10., para ello se utilizará yumbolon o producto similar o equivalente  como fondo de juntas y sismoflex o producto y equivalente para cubrir los espaciamientos menos de 35 mm. Se requiere revitado y repellado para emparejamiento estetico de las superficies y juntas. Se incluyen todos los elementos necesarios para dicha labor.</t>
  </si>
  <si>
    <t>5.2.3.14</t>
  </si>
  <si>
    <t>5.2.3.15</t>
  </si>
  <si>
    <t>Construccion de Lagrimal prefabricado. Incluye suministro, transporte y colocación, mano de obra, protección y todos los demás elementos necesario para su correcta construcción. No incluye acero de refuerzo. (ED.2)</t>
  </si>
  <si>
    <t>5.2.4.2</t>
  </si>
  <si>
    <t>Chapa de bloque de concreto color Arena</t>
  </si>
  <si>
    <t>5.2.4.6</t>
  </si>
  <si>
    <t>5.2.4.7</t>
  </si>
  <si>
    <t>5.2.4.9</t>
  </si>
  <si>
    <t>Suministro, transporte y colocación de  BLOQUE de concreto a la vista   DE 12x10x40 cm. color gris,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t>
  </si>
  <si>
    <t>5.2.4.10</t>
  </si>
  <si>
    <t>5.2.4.12</t>
  </si>
  <si>
    <t>5.2.4.13</t>
  </si>
  <si>
    <t>Demolicion locativa para reparación de mampostería y re-ubicación de ventanas en fachada hacia exterior. De esta manera generar el antepecho necesario, solicitado de bloque en concreto para ventanas faltantes</t>
  </si>
  <si>
    <t>5.2.4.14</t>
  </si>
  <si>
    <t>5.2.4.15</t>
  </si>
  <si>
    <t>5.2.4.16</t>
  </si>
  <si>
    <t>Construccion de Lagrimal prefabricado. Incluye suministro, transporte y colocación, mano de obra, protección y todos los demás elementos necesario para su correcta construcción. No incluye acero de refuerzo. (ED.3)</t>
  </si>
  <si>
    <t>5.2.5.1</t>
  </si>
  <si>
    <t>Transporte  de materiales</t>
  </si>
  <si>
    <t>5.2.5.2</t>
  </si>
  <si>
    <t>Ceramica corona 30x60 blanco e max 1 cm</t>
  </si>
  <si>
    <t>5.2.5.3</t>
  </si>
  <si>
    <t>5.2.5.4</t>
  </si>
  <si>
    <t>5.2.5.5</t>
  </si>
  <si>
    <t xml:space="preserve">Suministro, transporte y colocación de  CHAPA DE BLOQUE de concreto  DE 3x10x30 cm. color   anticado expesor 4cm tipo indural o similar,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 </t>
  </si>
  <si>
    <t>5.2.5.6</t>
  </si>
  <si>
    <t>5.2.5.7</t>
  </si>
  <si>
    <t>Suministro, transporte y colocación de  BLOQUE de concreto a la vista   DE 12x10x40 cm. color anticado,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t>
  </si>
  <si>
    <t xml:space="preserve">m2 </t>
  </si>
  <si>
    <t>5.2.5.8</t>
  </si>
  <si>
    <t>5.2.5.9</t>
  </si>
  <si>
    <t>Plantilla en PVC para zocalo</t>
  </si>
  <si>
    <t>Zocalo a media caña coextruida 6 x 300 cm</t>
  </si>
  <si>
    <t>Estuco plastico tipo plastestuco o similar</t>
  </si>
  <si>
    <t>5.2.5.10</t>
  </si>
  <si>
    <t>5.2.5.11</t>
  </si>
  <si>
    <t>5.2.5.12</t>
  </si>
  <si>
    <t>Suministro, tranporte y ejecucion de proceso de repellado de bordes de losa expuestos, con embombes, perfiles mal terminados, hormigueados, rugosos, toscos y con apariencia mal valorada esteticamente. Incluye pulida de superficies irregulares, para aplomado o prolijado y posteriormente la aplicacion del revoque con mortero 1:4 con aditivo imperbeabilizante tipo sika 1 equivalente o similar. Se requiere instalar, malla tipo galpon o zaranda, anclada con clavos de acero según lo considere la interventoria.</t>
  </si>
  <si>
    <t>martillo demoledor pequeño (incluye operario)</t>
  </si>
  <si>
    <t>Pulidora manual electrica</t>
  </si>
  <si>
    <t>malla electrosoldada D50</t>
  </si>
  <si>
    <t>Aditivo impermeabilizante tipo sika 1</t>
  </si>
  <si>
    <t>Disco punta de diamante 7"</t>
  </si>
  <si>
    <t>Mortero de revoque 1:4</t>
  </si>
  <si>
    <t>Transporte de material de botadero</t>
  </si>
  <si>
    <t>5.2.5.13</t>
  </si>
  <si>
    <t>Proceso de demolicion locativa de muros para ventana V.22. Incluye corte pulido del vacio a generar y resane del contorno del vacio generado y todos los elementos necesarios para su correcta ejecucion.</t>
  </si>
  <si>
    <t>Martillo demoledor para muros a 110 volt</t>
  </si>
  <si>
    <t>Cincel punta o pala para martillo de muros</t>
  </si>
  <si>
    <t>Buzarda</t>
  </si>
  <si>
    <t>5.2.5.14</t>
  </si>
  <si>
    <t>Construccion de Lagrimal prefabricado. Incluye suministro, transporte y colocación, mano de obra, protección y todos los demás elementos necesario para su correcta construcción. No incluye acero de refuerzo. (ED.4)</t>
  </si>
  <si>
    <t>5.2.6.2</t>
  </si>
  <si>
    <t>5.2.6.3</t>
  </si>
  <si>
    <t>Construcción de rampas apoyadas sobre terreno en concreto de 28 Mpa. Especificaciones según diseños correspondiendo a pendientes de accesibilidad y acabados antideslizantes. Incluye suministro, transporte y colocación del concreto, formaleta de primera calidad en super "T" de 19 mm o equivalente, para acabado a la vista, aristas biseladas, vibrado, protección, curado y todos los demás elementos necesarios para su correcta construcción. No incluye refuerzo, según diseño. En el vaciado se deben dejar los hierros para el amarre de elementos no estructurales, por ningún motivo se pagarán anclajes. Incluye lleno compactado de interfase con el terreno natural.</t>
  </si>
  <si>
    <t xml:space="preserve"> Herramienta menor</t>
  </si>
  <si>
    <t>Croncreto 28 MPa mezclado en obra</t>
  </si>
  <si>
    <t>Arenilla especial para compactación</t>
  </si>
  <si>
    <t>Transporte de Equipos</t>
  </si>
  <si>
    <t>5.2.7.1</t>
  </si>
  <si>
    <t>Suministro, transporte y aplicación de ácido nítrico e hidrosolve proporción 1:1:5 para lavada de muros interiores, con todos los elementos necesarios para su correcta instalación y funcionamiento.</t>
  </si>
  <si>
    <t>Acido nitrico X 750 ml</t>
  </si>
  <si>
    <t>Hidrosolve X 4L</t>
  </si>
  <si>
    <t>Suministro, transporte y aplicación de hidrófugo impermeabilizante del tipo siliconite (Sika transparente o equivalente)  para mampostería de fachadas, gran durabilidad (10 años) con todos los elementos necesarios para su correcta instalación y funcionamiento.</t>
  </si>
  <si>
    <t>hidrofugo impermeabilizante tipo siliconite sika transparente o equivalente</t>
  </si>
  <si>
    <t>7,1,1,1</t>
  </si>
  <si>
    <t>Colocación de REVOQUE con mortero 1:4 EN MUROS  y CIELOS Incluye suministro y transporte de los materiales, fajas, ranuras, filetes y todos los demás elementos necesarios para su correcta construcción.</t>
  </si>
  <si>
    <t>Mortero 1:4 Revoque</t>
  </si>
  <si>
    <t>7,1,2,1</t>
  </si>
  <si>
    <t>Aplicación de ESTUCO EN CIELOS Y MUROS, estuco plastico tipo plastestuco o similar diluido en agua proporción 1:2 de primera calidad sobre cielos revocados, , adecuación de la superficie a intervenir hasta obtener una superficie pareja y homogénea.</t>
  </si>
  <si>
    <t>Estuco plastico tipo plastestuco</t>
  </si>
  <si>
    <t>Lija de agua 400</t>
  </si>
  <si>
    <t>7,1,3,1</t>
  </si>
  <si>
    <t xml:space="preserve">Aplicación de PINTURA A BASE DE AGUA EN CIELOS Y MUROS,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 </t>
  </si>
  <si>
    <t>Pintura para cielos y muros tipo 1</t>
  </si>
  <si>
    <t>7,2,1,1</t>
  </si>
  <si>
    <t>Mortero 1:4 revoque</t>
  </si>
  <si>
    <t>global</t>
  </si>
  <si>
    <t>7,2,2,1</t>
  </si>
  <si>
    <t>7,2,3,1</t>
  </si>
  <si>
    <t>7,2,3,2</t>
  </si>
  <si>
    <t>Suministro, transporte y aplicación de esmalte de color negro mate  para tubería de redes hidrosanitarias expuesta, con este proceso lograr ocultar o mimetizar la tubería que por sus recodos quedan por fuera de los modulos mampuestos de buitrones, quedan expuestos por ramales y es de una complejidad considerable ocultarlos con la totalidad del buitron. Incluye todos los elementos necesarios para su correcta instalación y ejecucion.</t>
  </si>
  <si>
    <t>Esmalte de color Negro mate</t>
  </si>
  <si>
    <t>7,3,1,1</t>
  </si>
  <si>
    <t>7,3,2,1</t>
  </si>
  <si>
    <t>7,3,3,1</t>
  </si>
  <si>
    <t>7,4,2</t>
  </si>
  <si>
    <t>Aplicación de BARNIZ TRANSPARENTE, FUNGICIDA, HIDROREPELENTE, tipo Impranol plus o equivalente sobre elementos de madera (techos, cielos y cerchas). Incluye lijada y preparación de la superficie, las manos requeridas para lograr una correcta superficie  y  todo lo necesario para su adecuada  aplicación.</t>
  </si>
  <si>
    <t>Lija 120</t>
  </si>
  <si>
    <t>Disolvente</t>
  </si>
  <si>
    <t>Primer</t>
  </si>
  <si>
    <t>Barniz fungicida</t>
  </si>
  <si>
    <t>7,5,1,1</t>
  </si>
  <si>
    <t>7,5,2,1</t>
  </si>
  <si>
    <t>7,5,3,1</t>
  </si>
  <si>
    <t>7,5,3,2</t>
  </si>
  <si>
    <t>8.1.1.4</t>
  </si>
  <si>
    <t>Piso Concreto vaciado pulido color, para zonas de circulacion y aulas,Ver plano incluye concreto de pega y nivelación 1:3:2 de cemento, arena de concreto, agregado de 3/8" a 1/2" y aditivo plastificante en un espesor de 5 cm, suministro y transporte de la baldosa, varilla de dilatación en PVC de 5 mm x 37mm en cuadrículas de  2,10m x 2,10m., lechada del mismo color de la baldosa, destroncada, pulida, brillada y encerada en el sitio con cera polimérica,  protección de muros, puertas y desagües. Cargue, transporte y botada de material sobrante (cachaza) en botaderos oficiales.</t>
  </si>
  <si>
    <t>Cortadora de piso</t>
  </si>
  <si>
    <t>Concreto 21MPa mezclado en obra</t>
  </si>
  <si>
    <t>Lechada baldosa</t>
  </si>
  <si>
    <t>Baldosa granito pulido(30 cm x 30 cm)</t>
  </si>
  <si>
    <t>Plastico negro</t>
  </si>
  <si>
    <t>Sellos elastomericos PVC</t>
  </si>
  <si>
    <t>Transporte equipo de alquiler</t>
  </si>
  <si>
    <t>8.1.1.5</t>
  </si>
  <si>
    <t>Suministro e instalación  de zocalo a media caña horizontal en yeso-estuco acrilico  para intersecciones de muros a piso. Incluye moldeador o plantilla plastica o en pvc para fijación de superficies revoque y estuco. Incluye juntas, pulido y todos los resanes necesarios.</t>
  </si>
  <si>
    <t>8.1.1.6</t>
  </si>
  <si>
    <t>Suministro e instalación de guarda escobas (zocalo) con el mismo material del enchape de piso,incluye lechada de granito blanco pulido de tráfico intenso, dilataciones y chaflan en estuco acrilico. Incluye además todos los elementos necesarios para su correcta instalación y funcionamiento.</t>
  </si>
  <si>
    <t>Cortadora de cerámica</t>
  </si>
  <si>
    <t>Guardaescobas</t>
  </si>
  <si>
    <t>Mortero de Pega 1:4</t>
  </si>
  <si>
    <t>Estuco acrilico</t>
  </si>
  <si>
    <t xml:space="preserve">Lechada </t>
  </si>
  <si>
    <t>unidad</t>
  </si>
  <si>
    <t>8.1.1.7</t>
  </si>
  <si>
    <t>Suministro e instalación de tramiento de juntas de piso entre estructuras. Colocación de perfil en aluminio para juntas de dilatacion de espesor variable mayor a 3.5 mm.</t>
  </si>
  <si>
    <t>Pulidora</t>
  </si>
  <si>
    <t xml:space="preserve">Perfil de aluminio para juntas de dilatación </t>
  </si>
  <si>
    <t>8.1.1.8</t>
  </si>
  <si>
    <t>Suministro, transporte e instalación  de tarima para escenario en concreto pulido de color integral-R22B Sahara. Es necesario hacer un realce necesario. Y una sub-estructura para soportar la loseta de un espesor minimo de 10 cm. Con juntas de dilatación cada 2.5 (A FALTA DE DISEÑO DE ESTRUCTURA DE SOPORTE, SE REALIZA ESTIMACIÓN CON ESTRUCTURA DE MAMPOSTERÍA DE CONCRETO)</t>
  </si>
  <si>
    <t>Herramienta  Menor</t>
  </si>
  <si>
    <t>Compactador Tipo Canguro (canguro apisonador 4 tiempos)</t>
  </si>
  <si>
    <t>Pulidora de concreto</t>
  </si>
  <si>
    <t>Bloque de concreto 40x20x15 10MPa</t>
  </si>
  <si>
    <t>Concreto de 21 MPa mezclado en obra</t>
  </si>
  <si>
    <t>Acero de refuerzo 1/2" cada 80 cm</t>
  </si>
  <si>
    <t>Capa de arena de compactación e=0.20 m</t>
  </si>
  <si>
    <t>Transporte de alquiler de equipos</t>
  </si>
  <si>
    <t>8.1.2.3</t>
  </si>
  <si>
    <t>Construcción ACABADO DE PISO en concreto de 21 Mpa para placa de contrapiso de andenes , espesor de 0.08m. Incluye suministro y transporte de los materiales, con cortadora de disco, soporte fondo de junta, sellante de juntas elastomérico de poliuretano, acabado escobillado y llaneado 0.10m en los bordes. Incluye todos los demás elementos necesarios para su correcta construcción. Se ejecutarán los rebajes que sean necesarios para garantizar el acceso de los discapacitados.</t>
  </si>
  <si>
    <t>Cortadora de disco</t>
  </si>
  <si>
    <t>Concreto de 21 Mpa</t>
  </si>
  <si>
    <t>Mortero decorativo para acabado escobillado</t>
  </si>
  <si>
    <t>Sellante de juntas elastomérico de poliuretano 300 ml</t>
  </si>
  <si>
    <t xml:space="preserve">Cordón de polietileno expandido de 15mm de diámetro para relleno de fondo </t>
  </si>
  <si>
    <t>8.1.2.4</t>
  </si>
  <si>
    <t>8.1.2.5</t>
  </si>
  <si>
    <t>8.1.3.1</t>
  </si>
  <si>
    <t xml:space="preserve">Construccion piso en Vinilo antideslizante alto trafico color, E=3 a 5 cm. Tipo impark. de primera calidad aprobada por la interventoría que cumpla la norma NTC. Incluye concreto de pega y nivelación y aditivo plastificante en un espesor de 5 cm, suministro y transporte,  protección de muros, puertas y desagües. Cargue, transporte </t>
  </si>
  <si>
    <t>Adhesivo piso vinilo</t>
  </si>
  <si>
    <t>Piso de vinilo e= 3 a 5 cm de alto trafico</t>
  </si>
  <si>
    <t>Mortero de pega y nivelacion 1:4</t>
  </si>
  <si>
    <t>Transporte de Equipos de alquiler</t>
  </si>
  <si>
    <t>8.1.3.2</t>
  </si>
  <si>
    <t xml:space="preserve">Construcción de PISO EN BALDOSA DE GRANO BLANCO EN AULA POLIVALENTE, Y BAÑOS No.1-2  DE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2,10m x 2,10m., lechada del mismo color de la baldosa, destroncada, pulida, brillada y encerada en el sitio con cera polimérica,  protección de muros, puertas y desagües. Cargue, transporte y botada de material sobrante (cachaza) en botaderos oficiales. </t>
  </si>
  <si>
    <t>Cera Polimerica x gal</t>
  </si>
  <si>
    <t>8.1.3.3</t>
  </si>
  <si>
    <t>Piso Concreto vaciado pulido color, para zonas de circulacion y aulas,Ver plano. Incluye concreto de pega y nivelación 1:3:2 de cemento, arena de concreto, agregado de 3/8" a 1/2" y aditivo plastificante en un espesor de 5 cm, suministro y transporte de la baldosa, varilla de dilatación en PVC de 5 mm x 37mm en cuadrículas de  2,10m x 2,10m., lechada del mismo color de la baldosa, destroncada, pulida, brillada y encerada en el sitio con cera polimérica,  protección de muros, puertas y desagües. Cargue, transporte y botada de material sobrante (cachaza) en botaderos oficiales.</t>
  </si>
  <si>
    <t>Arenilla</t>
  </si>
  <si>
    <t>8.1.3.4</t>
  </si>
  <si>
    <t>Lamina de espuma de polietileno de alta densidad e=3mm</t>
  </si>
  <si>
    <t>Cinta autoadhesiva para sellado de juntas</t>
  </si>
  <si>
    <t>Tarima flotante de entablado de madera de e=22mm, con barniz ultravioleta y de poliuretano</t>
  </si>
  <si>
    <t>Madera estructural 2"x 8". Incluye honorarios de la calibración al diseño y chequeo estructural de la tarima</t>
  </si>
  <si>
    <t>8.1.3.7</t>
  </si>
  <si>
    <t>8.1.4.1</t>
  </si>
  <si>
    <t>8.1.4.3</t>
  </si>
  <si>
    <t>8.1.4.4</t>
  </si>
  <si>
    <t>suminiestro, transporte y colocacion de piso adoquin rectangular indupiso o similar de e=8 cm a=10 cm y l=20 cm, incluiye pegacor, nivelacion corte modulacion y todos los elementos para su correcta instalacion y funcionamiento</t>
  </si>
  <si>
    <t>adoquin rectangular a=10 cm, l=20 cm, e=8 cm indupiso o similar</t>
  </si>
  <si>
    <t>Disco diamantado de 7"</t>
  </si>
  <si>
    <t>Adhesivo tipo pegacor</t>
  </si>
  <si>
    <t>8.1.4.5</t>
  </si>
  <si>
    <t>Suministro e instalación de remate entre borde de losa y piso ceramico. Generar el tratamiento adecuado para estas reparaciones puntuales. Se solicita pulir el corte de los acabados y emparejar a nivel la arista entre el remate con lechada en granito o boca puerta dispuesto segun la ubicación.</t>
  </si>
  <si>
    <t>Sikalisto</t>
  </si>
  <si>
    <t>Varilla PVC de dilatación</t>
  </si>
  <si>
    <t>Lija 200</t>
  </si>
  <si>
    <t>8.1.4.6</t>
  </si>
  <si>
    <t>Tratamiento entre anden y enchape ceramico Generar el tratamiento adecuado para estas reparaciones puntuales. Se solicita pulir el corte de los acabados y emparejar a nivel, con lechada en granito o boca puerta dispuesto segun la ubicación.</t>
  </si>
  <si>
    <t>8.1.4.7</t>
  </si>
  <si>
    <t>10,2,1</t>
  </si>
  <si>
    <t>Suministro, transporte y colocación de lavamanos de colgar tipo r o equivalente. Incluye Grifería X, abasto metálico, sifón botella y todos los demás elementos necesarios para su correcta instalación y funcionamiento.</t>
  </si>
  <si>
    <t>Lavamanos de colgar tipo r o equivalente</t>
  </si>
  <si>
    <t>Acople</t>
  </si>
  <si>
    <t>Abasto metálico lavamanos</t>
  </si>
  <si>
    <t>Griferia lavamanos grival</t>
  </si>
  <si>
    <t>Sifon botella lavamanos</t>
  </si>
  <si>
    <t>10,2,2</t>
  </si>
  <si>
    <t>Suministro, transporte y colocación de lavamanos quirurgico en acero inoxidable AIS304 calibre 16,  Incluye Grifería X, abasto metálico, sifón botella y todos los demás elementos necesarios para su correcta instalación y funcionamiento.</t>
  </si>
  <si>
    <t>Lavamanos quirurgico en acero inoxidable AIS304 cal 16 (incluye griferia)</t>
  </si>
  <si>
    <t>Abasto metalico</t>
  </si>
  <si>
    <t>10,2,3</t>
  </si>
  <si>
    <t>Suministro, transporte y colocación de lavaplatos de empotrar en acero inoxidable de 53*43, griferia mezcladora ref 230172 de socoda o similar</t>
  </si>
  <si>
    <t>Lavaplatos de empotrar en acero inoxidable de 53X43  incluye griferia</t>
  </si>
  <si>
    <t>Transporte de equipos de alquiler</t>
  </si>
  <si>
    <t>10,2,4</t>
  </si>
  <si>
    <t>Suministro, transporte y colocación de lavatraperos en concreto, altura de piso terminado 25cm,acabado en granito con zocalo antiescurrimiento</t>
  </si>
  <si>
    <t>Llave bocamanguera crom 1/2</t>
  </si>
  <si>
    <t>Lavatrapero de concreto prefabricado</t>
  </si>
  <si>
    <t>Zocalo antiescurrimiento</t>
  </si>
  <si>
    <t>10,2,5</t>
  </si>
  <si>
    <t>Suministro, transporte e instalacion de Lavamanos tipo institucional de sobreponer en mesón. Incluye grifo. Mangueras de abasto y dispositivo de desague. Sello en silicona  antihongos  Y además todo lo necesario para su correcta instalación y funcionamiento.</t>
  </si>
  <si>
    <t>Lavamanos tipo Institucional de sobreponer en mesón incluye grifo</t>
  </si>
  <si>
    <t>Sello antihongos de silicona</t>
  </si>
  <si>
    <t>10.3.2</t>
  </si>
  <si>
    <t>(M.1) Suministro, transporte y colocacion de meson en lamina de acero DOBLE inoxidable calibre 24 (0.6 mm) con pozuelo en lamina de acero DOBLE inoxidable calibre 24 (0.6 mm)  en zona de lavado de dimensiones ancho 0,75m y largo 1,80m.Incluye griferia</t>
  </si>
  <si>
    <t>10.3.3</t>
  </si>
  <si>
    <t>(M.2) Suministro, transporte y colocacion de mesone en L en lamina de acero DOBLE inoxidable calibre 24 (0.6 mm) con pozuelo en lamina de acero DOBLE inoxidable calibre 24 (0.6 mm) para zona de lavado de dimensiones ancho 0,75m y largo 3,45m. Incluye griferia</t>
  </si>
  <si>
    <t>10.3.4</t>
  </si>
  <si>
    <t>(M.3) Suministro, transporte y colocacion de meson en lamina de acero DOBLE inoxidable calibre 24 (0.6 mm) con 8 puestos para recipientes de cocina  con dimensiones ancho 0,67m y largo 4,95m</t>
  </si>
  <si>
    <t>10.3.5</t>
  </si>
  <si>
    <t>(M.4) Suministro, transpote y colocacion de meson en lamina de acero DOBLE inoxidable calibre 24 (0.6 mm) con un pozuelo en lamina de acero DOBLE inoxidable calibre 24 (0.6 mm) para la zona de cocina, con dimensiones  ancho 0,75m y largo 3,58m</t>
  </si>
  <si>
    <t>10.3.6</t>
  </si>
  <si>
    <t>(M.5)Suministro, transporte y colocacion de meson de cocina en lamina de acero DOBLE inoxidable calibre 24 (0.6 mm), con dimensiones ancho 0,70m y largo  3,87m</t>
  </si>
  <si>
    <t>10.3.7</t>
  </si>
  <si>
    <t>(M.6) Suministro, transporte e instalacion de mueble para cocinar con 3 puestos de estufa baja, marmita y freidora con dimensiones ancho 2,20 largo 3,00m</t>
  </si>
  <si>
    <t>10.3.8</t>
  </si>
  <si>
    <t>(M.7) Suministro, transporte e instalación de Meson con un pozuelo en recibo y selección ancho 0,70 m Largo 3,00m y todo lo necesario para su correcta instalacion y funcionamiento.</t>
  </si>
  <si>
    <t>10.3.9</t>
  </si>
  <si>
    <t>(M.8)  Suministro, transporte e instalación de Meson de recibo de alimentos ancho 0,33 largo 3,70. Incluye ademas todo lo necesario para su correcta instalacion y funcionamiento.</t>
  </si>
  <si>
    <t>10.3.10</t>
  </si>
  <si>
    <t>Suministro, transporte e instalacion de MUEBLE DE COCINETA 1,6 DE LARGO X 0,6 DDE PROFUNDO INCLUYE LAVAPLATOS, tipo institucional. Incluye todo lo necesario para su correcta instalaciony funcionamiento.</t>
  </si>
  <si>
    <t>10.3.11</t>
  </si>
  <si>
    <t>Meson con espacio para lavamanos ancho 0,6 x 3.70 m con sus respectivas perforaciones según diseño</t>
  </si>
  <si>
    <t>Meson con espacio para lavamanos ancho 0,6 x 3.70 m con sus respectivas perforaciones.</t>
  </si>
  <si>
    <t>10.3.12</t>
  </si>
  <si>
    <t>Meson con espacio para laboratorio ancho 0,6 x 3.70 m con sus respectivas perforaciones.</t>
  </si>
  <si>
    <t>10.3.13</t>
  </si>
  <si>
    <t>Mesón en acero inoxidable medidas variables según diseño para tienda</t>
  </si>
  <si>
    <t>Meson en acero inoxidable  0.70 x 3.87 m con sus respectivas perforaciones.</t>
  </si>
  <si>
    <t>10.4.1</t>
  </si>
  <si>
    <t>PANELES DE DIVISIONES DE BAÑO ALTURA 1,8M</t>
  </si>
  <si>
    <t>10.4.2</t>
  </si>
  <si>
    <t>PANELES DE DIVISIONES ORINALES (ancho 0,45m * alto 0,76m)</t>
  </si>
  <si>
    <t>10.4.3</t>
  </si>
  <si>
    <t>PUERTAS PARA DIVISIONES DE BAÑO 0,6*1,8</t>
  </si>
  <si>
    <t>10.5.1</t>
  </si>
  <si>
    <t>Suministro transporte e instalación de espejo de 2m de ancho x 1,2 m de alto. Incluye todos los elementos necesarios para su correcta instalacion y funcionamiento de tipo institucional.</t>
  </si>
  <si>
    <t>Espejo de 0,8m de ancho x 1,2 m de alto</t>
  </si>
  <si>
    <t>Masillas de aplicación cuñete 28 kg</t>
  </si>
  <si>
    <t>10.5.2</t>
  </si>
  <si>
    <t>Suministro, transporte e instalacion de Espejo de 0,8m de ancho x 1,2 m de alto. Incluye todos los elementos necesarios para su correcta instalacion y funcionamiento de tipo institucional.</t>
  </si>
  <si>
    <t>10.5.3</t>
  </si>
  <si>
    <t>Suministro, transporte e instalacion de Dispensador de jabon tipo institucional. Incluye todos los elementos necesarios para su correcta instalación. Se requiere aprobación de la interventoría.</t>
  </si>
  <si>
    <t>Dispensador de jabon tipo institucional x1000ml</t>
  </si>
  <si>
    <t>10.5.4</t>
  </si>
  <si>
    <t>Suministro, transporte e instalación de dispensador de papel higienico tipo institucional. Incluye todos los elementos necesarios para su correcta instalación. Se requiere aprobación de la interventoría.</t>
  </si>
  <si>
    <t>Dispensador de papel higienico</t>
  </si>
  <si>
    <t>Transporte de aluiler de equipos</t>
  </si>
  <si>
    <t>10.6.1</t>
  </si>
  <si>
    <t>Suministro, transporte e instalación duchas en baño para niños tipo institucional. Incluye todos los elementos necesarios para su correcta instalación. Se requiere aprobación de la interventoría.</t>
  </si>
  <si>
    <t>Ducha  Antivandálica Regadera Tubular Corona</t>
  </si>
  <si>
    <t>Cinta de teflón 3/4" X 50 metros</t>
  </si>
  <si>
    <t>Adaptador macho !/2" a presión</t>
  </si>
  <si>
    <t>Soldadura PVC disolvente x 1/4 galon</t>
  </si>
  <si>
    <t>10.6.2</t>
  </si>
  <si>
    <t>Suministro, transporte e instalación ducha de emergencia en laboratorio  tipo institucional. Incluye todos los elementos necesarios para su correcta instalación. Se requiere aprobación de la interventoría.</t>
  </si>
  <si>
    <t>Ducha de emergencia en laboratorio  tipo institucional. Incluye todos los elementos necesarios para su correcta instalación.</t>
  </si>
  <si>
    <t>11.1.15</t>
  </si>
  <si>
    <t>(P.1(A)) Suministro, transporte y colocación de puerta metálica tipo Diana de DYD o Similar de ancho 1,15m y alto 2,15m (incluye marco), Diseño: monopanel + marco de 5 cm x 12 cm + bisagra doble superior, Acabados: pintura en polvo electroestática color verde (G58) para cuerpo batiente + pintura en polvo electroestática color gris nopal para marcol, Cerradura: incrustada tipo palanca, Materiales: lámina galvanizada calibre 18 y todo los demás elementos requeridos para su correcta fabricación e instalación, según diseño.</t>
  </si>
  <si>
    <t>UND</t>
  </si>
  <si>
    <t>11.1.16</t>
  </si>
  <si>
    <t>(P.1-A(A)) Suministro, transporte y colocación de puerta metálica tipo Diana de DYD o Similar de ancho 1,15m y alto 2,15m (incluye marco), Diseño: monopanel + marco de 5 cm x 12 cm + bisagra doble superior, Acabados: pintura en polvo electroestática color verde (G58) para cuerpo batiente + pintura en polvo electroestática color gris nopal para marcol, Cerradura: incrustada tipo palanca, Materiales: lámina galvanizada calibre 18 y todo los demás elementos requeridos para su correcta fabricación e instalación, según diseño.</t>
  </si>
  <si>
    <t>11.1.17</t>
  </si>
  <si>
    <t>(P.1-A(B)) Suministro, transporte y colocación de puerta metálica tipo Diana de DYD o Similar de ancho 1,12m y alto 2,15m (incluye marco), Diseño: monopanel + marco de 5 cm x 12 cm + bisagra doble superior, Acabados: pintura en polvo electroestática color verde (G58) para cuerpo batiente + pintura en polvo electroestática color gris nopal para marcol, Cerradura: incrustada tipo palanca, Materiales: lámina galvanizada calibre 18 y todo los demás elementos requeridos para su correcta fabricación e instalación, según diseño.</t>
  </si>
  <si>
    <t>11.1.18</t>
  </si>
  <si>
    <t>(P.1-B) Suministro, transporte y colocación de puerta metálica tipo Diana de DYD o Similar de ancho 1,28m y alto 2,35m (incluye marco), Diseño: monopanel + marco de 5 cm x 12 cm + bisagra doble superior, Acabados: pintura en polvo electroestática color verde (G58) para cuerpo batiente + pintura en polvo electroestática color gris nopal para marcol, Cerradura: incrustada tipo palanca, Materiales: lámina galvanizada calibre 18 y todo los demás elementos requeridos para su correcta fabricación e instalación, según diseño.</t>
  </si>
  <si>
    <t>11.1.19</t>
  </si>
  <si>
    <t>(P,2A) Suministro, transporte y colocación de puerta metálica tipo Diana de DYD o Similar de ancho 1,8m y alto 2,20m (incluye marco), Diseño: monopanel + marco de 5 cm x 12 cm + bisagra doble superior, Acabados: pintura en polvo electroestática color verde (G58) para cuerpo batiente + pintura en polvo electroestática color gris nopal para marcol, Cerradura: incrustada tipo palanca, Materiales: lámina galvanizada calibre 18 y todo los demás elementos requeridos para su correcta fabricación e instalación, según diseño.</t>
  </si>
  <si>
    <t>11.1.20</t>
  </si>
  <si>
    <t>(P,2B) Suministro, transporte y colocación de puerta metálica tipo Diana de DYD o Similar de ancho 1,8m y alto 2,40m (incluye marco), Diseño: monopanel + marco de 5 cm x 12 cm + bisagra doble superior, Acabados: pintura en polvo electroestática color verde (G58) para cuerpo batiente + pintura en polvo electroestática color gris nopal para marcol, Cerradura: incrustada tipo palanca, Materiales: lámina galvanizada calibre 18 y todo los demás elementos requeridos para su correcta fabricación e instalación, según diseño.</t>
  </si>
  <si>
    <t>11.1.21</t>
  </si>
  <si>
    <t>(P.3) Suministro, transporte y colocación de puerta metálica tipo Z Mir de ROLFORMADOS o Similar + mirilla vertical con perfil perimetral en aluminio de ancho 2m y alto 2,15m (incluye marco), Diseño: doble panel + marco de 5 cm x 12 cm + bisagra doble superior +mirilla de  200x700mm,	Acabados: pintura en polvo electroestática color gris Nopal, Cerradura: incrustada tipo palanca, Materiales: lámina galvanizada calibre 18 + vidrio laminado 3+3 E: 6mm8 y todo los demás elementos requeridos para su correcta fabricación e instalación, según diseño.</t>
  </si>
  <si>
    <t>11.1.22</t>
  </si>
  <si>
    <t>(P.4) Suministro, transporte y colocación de puerta metálica tipo Diana de DYD o Similar de ancho 1,00m y alto 2,15m (incluye marco), Diseño: monopanel + marco de 5 cm x 12 cm + bisagra doble superior, Acabados: pintura en polvo electroestática color gris nopal, Cerradura: incrustada tipo palanca, Materiales: lámina galvanizada calibre 18 y todo los demás elementos requeridos para su correcta fabricación e instalación, según diseño.</t>
  </si>
  <si>
    <t>11.1.23</t>
  </si>
  <si>
    <t>(P.4(A)) Suministro, transporte y colocación de puerta metálica tipo Diana de DYD o Similar de ancho 0,88m y alto 2,15m (incluye marco), Diseño: monopanel + marco de 5 cm x 12 cm + bisagra doble superior, Acabados: pintura en polvo electroestática color gris nopal, Cerradura: incrustada tipo palanca, Materiales: lámina galvanizada calibre 18 y todo los demás elementos requeridos para su correcta fabricación e instalación, según diseño.</t>
  </si>
  <si>
    <t>11.1.24</t>
  </si>
  <si>
    <t>(P.5) Suministro, transporte y colocación de puerta metálica tipo Diana de DYD o Similar de ancho 0,80m y alto 2,15m (incluye marco), Diseño: monopanel + marco de 5 cm x 12 cm + bisagra doble superior, Acabados: pintura en polvo electroestática color gris nopal, Cerradura: incrustada tipo palanca, Materiales: lámina galvanizada calibre 18 y todo los demás elementos requeridos para su correcta fabricación e instalación, según diseño.</t>
  </si>
  <si>
    <t>11.1.25</t>
  </si>
  <si>
    <t>(P.5(A)) Suministro, transporte y colocación de puerta metálica tipo Diana de DYD o Similar de ancho 0,70m y alto 2,15m (incluye marco), Diseño: monopanel + marco de 5 cm x 12 cm + bisagra doble superior, Acabados: pintura en polvo electroestática color gris nopal, Cerradura: incrustada tipo palanca, Materiales: lámina galvanizada calibre 18 y todo los demás elementos requeridos para su correcta fabricación e instalación, según diseño.</t>
  </si>
  <si>
    <t>11.1.26</t>
  </si>
  <si>
    <t>(P.6) Suministro, transporte y colocación de puerta metálica tipo Diana de DYD o Similar de ancho 1.6m y alto 2,20m (incluye marco), Diseño: monopanel + marco de 5 cm x 12 cm + bisagra doble superior, Acabados: pintura en polvo electroestática color gris nopal, Cerradura: incrustada tipo palanca, Materiales: lámina galvanizada calibre 18 y todo los demás elementos requeridos para su correcta fabricación e instalación, según diseño.</t>
  </si>
  <si>
    <t>11.1.27</t>
  </si>
  <si>
    <t>(P.7) Suministro, transporte y colocación de puerta metálica de ancho 1m y alto 2,15m (incluye marco),Diseño: puerta vidriera + marco de 5 cm x 10 cm + bisagra doble superior 
Acabados: pintura en polvo electroestática color blanco mate, Cerradura: incrustada tipo palanca, Materiales: lámina galvanizada calibre 18 + vidrio laminado 3+3 E: 6mm  y todo los demás elementos requeridos para su correcta fabricación e instalación, según diseño.</t>
  </si>
  <si>
    <t>11.1.28</t>
  </si>
  <si>
    <t>(P.8A) Suministro, transporte y colocación de puerta metálica tipo Diana de DYD o Similar + persiana de ancho 1,0m y alto 2,15m (incluye marco), Diseño: monopanel + marco de 6 cm x 10 cm + bisagra doble superior + persiana + malla mosquitera, Acabados: pintura en polvo electroestática color gris nopal, Cerradura: incrustada tipo cerrojo, Materiales: lámina galvanizada calibre 18 y todo los demás elementos requeridos para su correcta fabricación e instalación, según diseño.</t>
  </si>
  <si>
    <t>11.1.29</t>
  </si>
  <si>
    <t>(P.8A) Suministro, transporte y colocación de puerta metálica tipo Diana de DYD o Similar + persiana de ancho 1,20m y alto 2,15m (incluye marco), Diseño: monopanel + marco de 6 cm x 10 cm + bisagra doble superior + persiana + malla mosquitera, Acabados: pintura en polvo electroestática color gris nopal, Cerradura: incrustada tipo cerrojo, Materiales: lámina galvanizada calibre 18 y todo los demás elementos requeridos para su correcta fabricación e instalación, según diseño.</t>
  </si>
  <si>
    <t>11.1.30</t>
  </si>
  <si>
    <t>(P.9) Suministro, transporte y colocación de puerta metálica tipo zZL de rolformados o similar de ancho 1,20m y alto 2,15m (incluye marco), Diseño: monopanel + marco de 5 cm x 12 cm + bisagra doble superior, Acabados: pintura en polvo electroestática color gris nopal, Cerradura: incrustada tipo palanca, Materiales: lámina galvanizada calibre 18 y todo los demás elementos requeridos para su correcta fabricación e instalación, según diseño.</t>
  </si>
  <si>
    <t>11.1.31</t>
  </si>
  <si>
    <t>(P.V.1) Suministro, transporte y colocación de puerta vidriera en aluminio sistema Koncept 40 de Ventanas Y Puertas o similar, Diseño: 6 cuerpos fijos + 2 cuerpos proyectantes + puerta batiente + marcos de 5 cm x 5 cm / 5 cm x 12 cm o similar, Acabados: Perfilaría en aluminio color Bronce, Cerradura: Manija tipo sirena para ventana + cerradura según proveedor para puerta, Materiales: estructura en aluminio + vidrio laminado 3+3 E: 6mm y todo los demás elementos requeridos para su correcta fabricación e instalación, según diseño.</t>
  </si>
  <si>
    <t>11.1.32</t>
  </si>
  <si>
    <t>(P.V.3) Suministro, transporte y colocación de puerta vidriera en aluminio sistema Koncept 40 de Ventanas Y Puertas o similar, Diseño: 15 cuerpos fijos + 8 cuerpos persianas + puerta batiente doble + marcos de 5 cm x 5 cm / 5 cm x 12 cm o similar, Acabados: Perfilaría en aluminio color Bronce, Cerradura: Manija tipo sirena para ventana + cerradura según proveedor para puerta, Materiales: estructura en aluminio + vidrio laminado 3+3 E: 6mm y todo los demás elementos requeridos para su correcta fabricación e instalación, según diseño.</t>
  </si>
  <si>
    <t>11.1.33</t>
  </si>
  <si>
    <t xml:space="preserve">Puerta cerramiento batiente 1,8m x 2,35m. Puerta pivotante tubería PTs rectangular 50 x 100 en acero al carbón + capa de anticorrosivo epoxíco rico en zinc + capa de pintura acrílica color negro. </t>
  </si>
  <si>
    <t>11.1.34</t>
  </si>
  <si>
    <t xml:space="preserve">Puerta cerramiento batiente 1,1m x 2,35m. Puerta pivotante tubería PTs rectangular 50 x 100 en acero al carbón + capa de anticorrosivo epoxíco rico en zinc + capa de pintura acrílica color negro. </t>
  </si>
  <si>
    <t>11.1.35</t>
  </si>
  <si>
    <t xml:space="preserve">Cerramiento complementario a puerta principal en perfiles metalicos. tubería PTs rectangular 40 x 100 en acero al carbón + capa de anticorrosivo epoxíco rico en zinc + capa de pintura acrílica color negro. </t>
  </si>
  <si>
    <t>Tubería PTS rectangular PTs 40 x 100  mm acero al carbon x 6m</t>
  </si>
  <si>
    <t>Anticorrosivo epoxico rico en zinc 1 gal</t>
  </si>
  <si>
    <t>Pintura y/o esmalte acrilico color negro 1 gal</t>
  </si>
  <si>
    <t>Formaleta de primera calidad en súper "T" de 19 mm de 0.28X2.44 m unidad a $25900 m2 a $37921</t>
  </si>
  <si>
    <t>11.1.36</t>
  </si>
  <si>
    <t>Suministro e instalación de cerramiento en tubería PTS circular Ø2" en acerro al carbón + capa de anticorrosivo epóxico rico en zinc + capa de pintura acrílica color negro. Se instala tuberias PTS rectangulares 40 x 100 mm en acero. Para fijaciones verticales y horizontales a elementos estructurantes del marco del cerramiento. (ver detalle de planos-cerramientos). Incluye los elementos necesarios para la fabricacion de puertas segun el diseño y la cantidad que estas esten dispuestas. Ademas de todo lo necesario para su correcta instalacion y funcionamiento.</t>
  </si>
  <si>
    <t>11.2.1</t>
  </si>
  <si>
    <t>suministro, transporte y colocacion de ventana en aluminio V1 + vidrio laminado 3+3 E=6mm, sistema koncept 40-38/31 o similar, de 6,06*1,60m, diseño 8 cuerpos fijos +3 cuerpos proyectantes + marcos de 5cm*5cm o similar, perfileria en aluminio color bronce, cerradura manija tipo sirena y todos los elementos necesarios para su correcta instalacion y funcionamiento (ver diseño)</t>
  </si>
  <si>
    <t>11.2.2</t>
  </si>
  <si>
    <t>suministro, transporte y colocacion de ventana V2 en aluminio + vidrio laminado 3+3 E=6mm, sistema koncept 40, de 3,10*2,25m, diseño 8 cuerpos fijos +2 cuerpos proyectantes + marcos de 5cm*5cm/ 5cm*12cm o similar, perfileria en aluminio color bronce, cerradura manija tipo sirena y todos los elementos necesarios para su correcta instalacion y funcionamiento (ver diseño)</t>
  </si>
  <si>
    <t>11.2.3</t>
  </si>
  <si>
    <t>suministro, transporte y colocacion de ventana V3 en aluminio + vidrio laminado 3+3 E=6mm, sistema koncept 40, de 5,90*1,60m, diseño 9 cuerpos fijos + 3 cuerpos proyectantes + marcos de 5cm*5cm o similar, perfileria en aluminio color bronce, cerradura manija tipo sirena y todos los elementos necesarios para su correcta instalacion y funcionamiento (ver diseño)</t>
  </si>
  <si>
    <t>11.2.4</t>
  </si>
  <si>
    <t>suministro, transporte y colocacion de ventanaV4  en aluminio + vidrio laminado 3+3 E=6mm, sistema koncept 40, de 7,06*1,50m, diseño 10 cuerpos fijos + 4 cuerpos proyectantes + marcos de 5cm*5cm o similar, perfileria en aluminio color bronce, cerradura manija tipo sirena y todos los elementos necesarios para su correcta instalacion y funcionamiento (ver diseño)</t>
  </si>
  <si>
    <t>11.2.6</t>
  </si>
  <si>
    <t>suministro, transporte y colocacion de ventana V6 en aluminio + vidrio laminado 3+3 E=6mm, sistema koncept 40, de 2,40*2,25m, diseño 6 cuerpos fijos + 2 cuerpos proyectantes + marcos de 5cm*5cm/ 5cm *12cm o similar, perfileria en aluminio color bronce, cerradura manija tipo sirena y todos los elementos necesarios para su correcta instalacion y funcionamiento (ver diseño)</t>
  </si>
  <si>
    <t>11.2.7</t>
  </si>
  <si>
    <t>suministro, transporte y colocacion de ventana V7 en aluminio + vidrio laminado 3+3 E=6mm, sistema koncept 40, de 1,70*5,90m, diseño 9 cuerpos fijos + 3 cuerpos proyectantes + marcos de 5cm*5cm o similar, perfileria en aluminio color bronce, cerradura manija tipo sirena y todos los elementos necesarios para su correcta instalacion y funcionamiento (ver diseño)</t>
  </si>
  <si>
    <t>11.2.8</t>
  </si>
  <si>
    <t>Suministro, transporte y colocacion de ventana V8 en aluminio + vidrio laminado 3+3 E=6mm, sistema koncept 40, de 1,60*6,90m, diseño 9 cuerpos fijos + 3 cuerpos proyectantes + marcos de 5cm*5cm o similar, perfileria en aluminio color bronce, cerradura manija tipo sirena y todos los elementos necesarios para su correcta instalacion y funcionamiento (ver diseño)</t>
  </si>
  <si>
    <t>11.2.9</t>
  </si>
  <si>
    <t>Suministro, transporte y colocacion de ventana V8 [A] en aluminio + vidrio laminado 3+3 E=6mm, sistema koncept 40, de 1,40*6,90m, diseño 9 cuerpos fijos + 3 cuerpos proyectantes + marcos de 5cm*5cm o similar, perfileria en aluminio color bronce, cerradura manija tipo sirena y todos los elementos necesarios para su correcta instalacion y funcionamiento (ver diseño)</t>
  </si>
  <si>
    <t>11.2.10</t>
  </si>
  <si>
    <t>Suministro, transporte y colocacion de ventana V9 en aluminio + vidrio laminado 3+3 E=6mm, sistema koncept 40, de 1,60*2.25 m, diseño 9 cuerpos fijos + 3 cuerpos proyectantes + marcos de 5cm*5cm o similar, perfileria en aluminio color bronce, cerradura manija tipo sirena y todos los elementos necesarios para su correcta instalacion y funcionamiento (ver diseño)</t>
  </si>
  <si>
    <t>11.2.11</t>
  </si>
  <si>
    <t>Suministro, transporte y colocacion de ventana V10 en aluminio + vidrio laminado 3+3 E=6mm, sistema koncept 40, de 1,70*6.06 m, diseño 9 cuerpos fijos + 3 cuerpos proyectantes + marcos de 5cm*5cm o similar, perfileria en aluminio color bronce, cerradura manija tipo sirena y todos los elementos necesarios para su correcta instalacion y funcionamiento (ver diseño)</t>
  </si>
  <si>
    <t>11.2.12</t>
  </si>
  <si>
    <t>11.2.13</t>
  </si>
  <si>
    <t>(V.12) suministro, transporte y colocacion de Ventana en aluminio de 0.8*1.9 Tipo: Venta en aluminio sistema Koncept 40 de  Ventanas Y Puertas o similar Diseño: 2 cuerpos fijos + 1 cuerpos proyectantes + marcos de 5 cm x 5 cm Acabados: Perfilaría en aluminio color Bronce Cerradura: Manija tipo sirena Materiales: estructura en alumino + vidrio laminado 3+3 E: 6mm  y todos los elementos necesarios para su correcta instalacion y funcionamiento (ver diseño)</t>
  </si>
  <si>
    <t>11.2.14</t>
  </si>
  <si>
    <t>(V.12(A)) suministro, transporte y colocacion de Ventana en aluminio de 0.8*1.82 Tipo: Venta en aluminio sistema Koncept 40 de  Ventanas Y Puertas o similar Diseño: 2 cuerpos fijos + 1 cuerpos proyectantes + marcos de 5 cm x 5 cm Acabados: Perfilaría en aluminio color Bronce Cerradura: Manija tipo sirena Materiales: estructura en alumino + vidrio laminado 3+3 E: 6mm  y todos los elementos necesarios para su correcta instalacion y funcionamiento (ver diseño)</t>
  </si>
  <si>
    <t>11.2.15</t>
  </si>
  <si>
    <t>(V.13(A)) suministro, transporte y colocacion de Ventana en aluminio de 0.8*220 Tipo: Venta en aluminio sistema Koncept 40 de  Ventanas Y Puertas o similar Diseño: 2 cuerpos fijos + 1 cuerpos proyectantes + marcos de 5 cm x 5 cm Acabados: Perfilaría en aluminio color Bronce Cerradura: Manija tipo sirena Materiales: estructura en alumino + vidrio laminado 3+3 E: 6mm  y todos los elementos necesarios para su correcta instalacion y funcionamiento (ver diseño)</t>
  </si>
  <si>
    <t>11.2.16</t>
  </si>
  <si>
    <t>(V.14) suministro, transporte y colocacion de Ventana en aluminio de 0.4*0.4 Tipo: Venta en aluminio sistema Koncept 40 de  Ventanas Y Puertas o similar Diseño: 1 cuerpos proyectantes + marcos de 5 cm x 5 cm Acabados: Perfilaría en aluminio color Bronce Cerradura: Manija tipo sirena Materiales: estructura en alumino + vidrio laminado 3+3 E: 6mm  y todos los elementos necesarios para su correcta instalacion y funcionamiento (ver diseño)</t>
  </si>
  <si>
    <t>11.2.17</t>
  </si>
  <si>
    <t>(V.15(A)) suministro, transporte y colocacion de Ventana en aluminio de 3.5*2.20 Tipo: Venta en aluminio sistema Koncept 40 de  Ventanas Y Puertas o similar Diseño: 1 cuerpos proyectantes + marcos de 5 cm x 5 cm Acabados: Perfilaría en aluminio color Bronce Cerradura: Manija tipo sirena Materiales: estructura en alumino + vidrio laminado 3+3 E: 6mm  y todos los elementos necesarios para su correcta instalacion y funcionamiento (ver diseño)</t>
  </si>
  <si>
    <t>11.2.18</t>
  </si>
  <si>
    <t>(V.16) suministro, transporte y colocacion de Ventana en aluminio de 1.20 * 2.40 Tipo sistema Koncept 40 de Ventanas y puertas o similar. Diseño: 1 Cuerpor fijo + marcos de 5 cm x 5 cm. Acabados: Perfileria en aluminio color Bronce. Cerradura: Manija tipo sirena. Materiales: Estructura en aluminio + vidrio laminado 3+3: 6 mm.</t>
  </si>
  <si>
    <t>11.2.19</t>
  </si>
  <si>
    <t>(V.17) suministro, transporte y colocacion de ventana en aluminio tipo persiana de 0,60m de alto y 3,20m de ancho, Diseño: 3 cuerpos fijos + marcos de 5 cm x 10 cm + malla mosquitera, Acabados: Perfilaría en aluminio color Bronce  y todos los elementos necesarios para su correcta instalacion y funcionamiento (ver diseño)</t>
  </si>
  <si>
    <t>11.2.20</t>
  </si>
  <si>
    <t>(V.18) suministro, transporte y colocacion de ventana en aluminio tipo persiana de 1.70m de alto y 2.40m de ancho,Tipo: Venta en aluminio sistema Koncept 40 de  Ventanas Y Puertas o similar Diseño: 1 cuerpos fijos + 1 cuerpos Batiente + marcos de 5 cm x 5 cm Acabados: Perfilaría en aluminio color Bronce Cerradura: Manija tipo sirena Materiales: estructura en alumino + vidrio laminado 3+3 E: 6mm  y todos los elementos necesarios para su correcta instalacion y funcionamiento (ver diseño)</t>
  </si>
  <si>
    <t>11.2.21</t>
  </si>
  <si>
    <t>(V.18 (A)) suministro, transporte y colocacion de ventana en aluminio tipo persiana de 1.70m de alto y 2.40m de ancho,Tipo: Venta en aluminio sistema Koncept 40 de  Ventanas Y Puertas o similar Diseño: 1 cuerpos fijos + 1 cuerpos Batiente + marcos de 5 cm x 5 cm Acabados: Perfilaría en aluminio color Bronce Cerradura: Manija tipo sirena Materiales: estructura en alumino + vidrio laminado 3+3 E: 6mm  y todos los elementos necesarios para su correcta instalacion y funcionamiento (ver diseño)</t>
  </si>
  <si>
    <t>11.2.22</t>
  </si>
  <si>
    <t>(V.19)  suministro, transporte y colocacion de Persiana metálica enrrollable de 1,25m de alto y 4,00m de ancho+ pintura color blanca + marco metálico y todos los elementos necesarios para su correcta instalacion y funcionamiento (ver diseño)</t>
  </si>
  <si>
    <t>11.2.23</t>
  </si>
  <si>
    <t>(V.19A)  suministro, transporte y colocacion de Persiana metálica enrrollable de 1,25m de alto y 0,80m de ancho+ pintura color blanca + marco metálico y todos los elementos necesarios para su correcta instalacion y funcionamiento (ver diseño)</t>
  </si>
  <si>
    <t>11.2.24</t>
  </si>
  <si>
    <t>(V.20) suministro, transporte y colocacion de Ventana en aluminio sistema Koncept 40 de Ventanas Y Puertas o similar, Diseño: 20 cuerpos fijos + 8 cuerpos persiana + marcos de  5 cm x 12 cm o similar, Acabados: Perfilaría en aluminio color Bronce, Materiales: estructura en alumino + vidrio laminado 3+3 E: 6mm y todos los elementos necesarios para su correcta instalacion y funcionamiento (ver diseño)</t>
  </si>
  <si>
    <t>11.2.25</t>
  </si>
  <si>
    <t>(V.21) Suministro, transporte e instalación de puerta persiana metálico enrrollable + pintura color blanca + marco metalico. Según especificaciones del fabricante. Dimensiones de 4.26*1.60 m</t>
  </si>
  <si>
    <t>11.2.26</t>
  </si>
  <si>
    <t>(V.22)  suministro, transporte y colocacion de ventana en aluminio tipo persiana de 0,60m de alto y 0,50m de ancho, Diseño: 1 cuerpos fijo + marcos de 5 cm x 10 cm + malla mosquitera, Acabados: Perfilaría en aluminio color Bronce  y todos los elementos necesarios para su correcta instalacion y funcionamiento</t>
  </si>
  <si>
    <t>11.2.27</t>
  </si>
  <si>
    <t>(V.23) suministro, transporte y colocacion de ventana en aluminio tipo persiana de 0,60m de alto y 2,10m de ancho, Diseño: 2 cuerpos fijos + marcos de 5 cm x 10 cm + malla mosquitera, Acabados: Perfilaría en aluminio color Bronce  y todos los elementos necesarios para su correcta instalacion y funcionamiento</t>
  </si>
  <si>
    <t>11.2.28</t>
  </si>
  <si>
    <t>(V.24) suministro, transporte y colocacion de ventana en aluminio tipo persiana de 0,60m de alto y 1,10m de ancho, Diseño: 1 cuerpo fijo + marcos de 5 cm x 10 cm + malla mosquitera, Acabados: Perfilaría en aluminio color Bronce  y todos los elementos necesarios para su correcta instalacion y funcionamiento</t>
  </si>
  <si>
    <t>11.2.29</t>
  </si>
  <si>
    <t>(V.25)  Suministro, transporte e instalación de puerta ventana de 4.10 x 2.25, Con puerta batiente de 1.70x 2.20. Con cuerpos fijos de ventanería. Diseño: 1 cuerpo fijo + marcos de 5 cm x 10 cm + malla mosquitera, Acabados: Perfilaría en aluminio color Bronce  y todos los elementos necesarios para su correcta instalacion y funcionamiento</t>
  </si>
  <si>
    <t>11.3.1</t>
  </si>
  <si>
    <t>Instalación de pasamanos en tubería negra liviana  parales de 2" cada 2.25m y quitamiedos en tuberia negra liviana de 1" cada 0.19m L=0.35m. Incluye suministro y transporte de los materiales, platina de 3/16*1-1/2 de 4"x4" soldada al paral (tubería negra liviana de 2")   y anclada con pernos expansivos a lagrimal de concreto, pintura anticorrosivo, pintura de poliuretano; incluye todos los elementos necesarios para su correcta construcción y funcionamiento.</t>
  </si>
  <si>
    <t>11.3.2</t>
  </si>
  <si>
    <t>11.3.3</t>
  </si>
  <si>
    <t>12.1.3</t>
  </si>
  <si>
    <t>Suministro, transporte e instalacion de  cubierta para pasillo de circulacion en el edificio 1 en las aulas de bilinguismo y necesidades especiales. Incluye diseño estructural</t>
  </si>
  <si>
    <t>Can zunchado en madera comun 5cm x 20cm x 3 m</t>
  </si>
  <si>
    <t>Seccion completa de andamio (1.2m a 1.5 m)x 1.5 m</t>
  </si>
  <si>
    <t>Teja termoacustica</t>
  </si>
  <si>
    <t>Viga Perfil cuadrado 100x100 e=4mm</t>
  </si>
  <si>
    <t>Correa perfil rectangular 80x40mm e=3mm</t>
  </si>
  <si>
    <t>Tornillos autoperforantes 8/18" x 1/2" zinc hexagono metal teck</t>
  </si>
  <si>
    <t>Paral perfil cuadrado 100x100 mm</t>
  </si>
  <si>
    <t>Elementos de fijacion para teja termoacustica</t>
  </si>
  <si>
    <t>12.1.4</t>
  </si>
  <si>
    <t>Suministro, transporte e instalación de  cubierta para la conexión entre el edificio 1 con el edificio 2. Incluye los diseños necesarios para su correcta fabricacion e instalación.</t>
  </si>
  <si>
    <t>12.1.5</t>
  </si>
  <si>
    <t>Suministro, transporte e instalación de cubierta en teja standing seam con estructura metalica. Es necesario tener en cuenta los aleros necesarios</t>
  </si>
  <si>
    <t>12.2.1</t>
  </si>
  <si>
    <t>Suministro, transporte e instalación de Superboard color blanco E=8cm. Incluye remates externos e interno.</t>
  </si>
  <si>
    <t>Andamio con ruedas</t>
  </si>
  <si>
    <t>Lamina de drywall 3/8"</t>
  </si>
  <si>
    <t>Tornillo 7mm x 7/16" Estr. Drywall x1000</t>
  </si>
  <si>
    <t>Tornillo 6 x 1" Panel yeso x 100</t>
  </si>
  <si>
    <t>Masilla Supermastick plus 28kg cuñete</t>
  </si>
  <si>
    <t>Perfil omega cal 26 x 2,44</t>
  </si>
  <si>
    <t>Cinta papel 48mm* 40m</t>
  </si>
  <si>
    <t>Perfil ángulo perimetral x3,55 m</t>
  </si>
  <si>
    <t>Vigueta 1 1/2" x 3/4 x 2.44 m cal.26</t>
  </si>
  <si>
    <t>12.2.2</t>
  </si>
  <si>
    <t>Suministro, transporte e instalación de Drywall-yeso colo blanco E=8cm. Incluye remates externos e interno.</t>
  </si>
  <si>
    <t>Placa Fibrocemento 8mm 244x122cm 31.96kg aprox.</t>
  </si>
  <si>
    <t>12.2.3</t>
  </si>
  <si>
    <t>Suministro e instalación  de zocalo a media caña horizontal en yeso-estuco acrilico  para intersecciones de muros y cielo falso. Incluye moldeador o plantilla plastica o en pvc para fijación de superficies revoque y estuco. Incluye juntas, pulido y todos los resanes necesarios.</t>
  </si>
  <si>
    <t>I.E ESCUELA NORMAL SUPERIOR SEÑOR DE LOS MILAGROS SEDE PRINCIPAL</t>
  </si>
  <si>
    <t>INSTALACIONES DE TOMACORRIENTES,TABLEROS DE DISTRIBUCIÓN Y BREAKERS</t>
  </si>
  <si>
    <t>17,1,1</t>
  </si>
  <si>
    <t>Tablero TMB  18 ctos (TF) 3F, 5H, 208V de sobreponer, con barras de neutro y tierra independientes, con puerta y chapa, con espacio para totalizador. 
Barras internas de cobre min 100A, 208V, Icc: 10 kA. + Neutro al 100% + Tierra según tabla 250-94 NTC 2050</t>
  </si>
  <si>
    <t xml:space="preserve">Tablero TMB  18 ctos (TF) 3F, 5H, 208V de sobreponer, con barras de neutro y tierra independientes, con puerta y chapa, con espacio para totalizador. </t>
  </si>
  <si>
    <t>Pernos de expansion 1/4" x 2"</t>
  </si>
  <si>
    <t>17,1,2</t>
  </si>
  <si>
    <t>17,1,3</t>
  </si>
  <si>
    <t>Breaker industrial 3x80A</t>
  </si>
  <si>
    <t>17,1,4</t>
  </si>
  <si>
    <t xml:space="preserve">Breaker enchufable 1x20A, 10kA  </t>
  </si>
  <si>
    <t>Breaker enchufable 1x20A, 10kA  Marca Siemens</t>
  </si>
  <si>
    <t>CIRCUITOS RAMALES EN BAJA TENSIÓN</t>
  </si>
  <si>
    <t>17.1.2.1</t>
  </si>
  <si>
    <t>Circuitos ramales en baja tensión, 120V en 1No12 (F)  + 1No12(N) + 1No12 (T) cable de cobre AWG tipo libre de halógeno 80 °C 750V PE HF FR LS CT, por tubería y/o canaleta, para salidas eléctricas.</t>
  </si>
  <si>
    <t>TUBERIA</t>
  </si>
  <si>
    <t>17,1,3,1</t>
  </si>
  <si>
    <t>Tubería metálica tipo EMT de 3/4" para Alimentadores</t>
  </si>
  <si>
    <t>CHAZO 1/4 CON TORNILLO</t>
  </si>
  <si>
    <t>GRAPA GALVANIZ 3/4</t>
  </si>
  <si>
    <t>CURVA EMT 3/4</t>
  </si>
  <si>
    <t>ENTRADA EMT ¾"</t>
  </si>
  <si>
    <t>UNION EMT 3/4</t>
  </si>
  <si>
    <t>17,1,3,2</t>
  </si>
  <si>
    <t>Tubería metálica tipo EMT de 1" para Alimentadores</t>
  </si>
  <si>
    <t>GRAPA GALVANIZ 1"</t>
  </si>
  <si>
    <t>CURVA EMT 1"</t>
  </si>
  <si>
    <t>TUBO EMT 1''</t>
  </si>
  <si>
    <t>ML</t>
  </si>
  <si>
    <t>ENTRADA EMT 1"</t>
  </si>
  <si>
    <t>UNION EMT 1"</t>
  </si>
  <si>
    <t>17,1,3,3</t>
  </si>
  <si>
    <t>Tubería metálica tipo EMT de 2" para Alimentadores</t>
  </si>
  <si>
    <t>GRAPA GALVANIZ 2"</t>
  </si>
  <si>
    <t>CURVA EMT 2"</t>
  </si>
  <si>
    <t>TUBO EMT 2''</t>
  </si>
  <si>
    <t>ENTRADA EMT 2"</t>
  </si>
  <si>
    <t>UNION EMT 2"</t>
  </si>
  <si>
    <t>17,1,3,4</t>
  </si>
  <si>
    <t>Canaleta metalica 12x5cm.</t>
  </si>
  <si>
    <t>17,1,3,5</t>
  </si>
  <si>
    <t>Cajas 30x30x15 de paso</t>
  </si>
  <si>
    <t>Cajas 12x12x5 de paso</t>
  </si>
  <si>
    <t>SALIDAS ELÉCTRICAS PARA TOMACORRIENTES</t>
  </si>
  <si>
    <t>17,1,4,1</t>
  </si>
  <si>
    <t>Salida eléctrica para toma corriente  doble con polo a tierra monofásico 15A, 125V y según  NEMA 5-15R .Incluye toma marca Leviton o similar color blanco con  placa de nylon, encintada, ducto EMT ,cajas metálicas, conductores cobre #12 AWG tipo libre de halógeno 80 °C 750V PE HF FR LS CT y demás accesorios necesarios para su correcta instalación.</t>
  </si>
  <si>
    <t>CAJA METALICA 12X12X5 troquel toma</t>
  </si>
  <si>
    <t>TUBO EMT 3/4''</t>
  </si>
  <si>
    <t>CABLE SINTOX N°12 SINTOX</t>
  </si>
  <si>
    <t>CONECTOR RESORTE</t>
  </si>
  <si>
    <t>TOMA DOBLE LEVINTON</t>
  </si>
  <si>
    <t>CINTA AISLANTE ORDINARIA</t>
  </si>
  <si>
    <t>CINTA AISLANTE 33</t>
  </si>
  <si>
    <t>17,1,4,2</t>
  </si>
  <si>
    <t>Salida eléctrica para toma corriente  doble SISTEMA REGULADO COLOR NARANJA con polo a tierra aislado, monofásico 15A, 125V y según  NEMA 5-15R. Incluye  toma marca Leviton ref 5262-IG con placa de nylon, encintada ,ducto EMT ,cajas metálicas, conductores cobre #12 AWG tipo libre de halógeno 80 °C 750V PE HF FR LS CT y demás accesorios necesarios para su correcta instalación.</t>
  </si>
  <si>
    <t>TOMA DOBLE NARANJA 5262-IG</t>
  </si>
  <si>
    <t>17,1,4,3</t>
  </si>
  <si>
    <t>Salida eléctrica para toma corriente  doble GFCI, monofásico 15A, 125V y según  NEMA 5-15R. Incluye  toma marca Leviton ref 5262-IG con placa de nylon, encintada ,ducto EMT ,cajas metálicas, conductores cobre #12 AWG tipo libre de halógeno 80 °C 750V PE HF FR LS CT y demás accesorios necesarios para su correcta instalación.</t>
  </si>
  <si>
    <t>17,1,4,4</t>
  </si>
  <si>
    <t>Salida eléctrica en canaleta para toma corriente  doble con polo a tierra monofásico 15A, 125V y según  NEMA 5-15R .Incluye toma marca Leviton o similar color blanco con  placa de nylon, encintada, Tapa troquel, conductores cobre #12 AWG tipo libre de halógeno 80 °C 750V PE HF FR LS CT y demás accesorios necesarios para su correcta instalación.</t>
  </si>
  <si>
    <t>CONECTOR AUTODESFORRE</t>
  </si>
  <si>
    <t>TROQUEL TOMA PARA CANALETA</t>
  </si>
  <si>
    <t>INSTALACIONES DE ILUMINACION</t>
  </si>
  <si>
    <t>17,1,5,1</t>
  </si>
  <si>
    <t>Tablero TMB  12 ctos (TR) 3F, 5H, 208V de sobreponer, con barras de neutro y tierra independientes, con puerta y chapa, con espacio para totalizador. 
Barras internas de cobre min 100A, 208V, Icc: 10 kA. + Neutro al 100% + Tierra según tabla 250-94 NTC 2050</t>
  </si>
  <si>
    <t>17,1,5,2</t>
  </si>
  <si>
    <t>Breaker industrial 3x40A</t>
  </si>
  <si>
    <t>17,1,5,3</t>
  </si>
  <si>
    <t>Breaker enchufable 1x20A</t>
  </si>
  <si>
    <t>17.1.6.1</t>
  </si>
  <si>
    <t>17,1,7,2</t>
  </si>
  <si>
    <t>SALIDAS ELÉCTRICAS PARA ILUMINACIÓN</t>
  </si>
  <si>
    <t>Salidas eléctricas de iluminación sobrepuestas o suspendidas, 120V. Incluye: conectores, tuberia EMT, cajas metálicas, conductores 12 AWG-CU-THW,  y demás accesorios necesarios para su correcta instalación.</t>
  </si>
  <si>
    <t>17,1,8,1,A</t>
  </si>
  <si>
    <t>Suministro, Transporte e instalación de conducción de salidas eléctricas de iluminación sobrepuestas o suspendidas, 120V. Incluye: conectores, tuberia EMT, cajas metálicas, conductores 12 AWG-CU-THW,  y demás accesorios necesarios para su correcta instalación.</t>
  </si>
  <si>
    <t>17,1,8,1,B</t>
  </si>
  <si>
    <t>Suministro, Transporte e instalación de cableado de salidas eléctricas de iluminación sobrepuestas o suspendidas, 120V. Incluye: conectores, tuberia EMT, cajas metálicas, conductores 12 AWG-CU-THW,  y demás accesorios necesarios para su correcta instalación.</t>
  </si>
  <si>
    <t>17,1,8,2</t>
  </si>
  <si>
    <t>Salida eléctrica para interruptor sencillo 15A, 125V. Incluye interruptor marca Leviton o similar color blanco con  placa de nylon, encintada, tuberia EMT ,cajas metálicas, conductores cobre #12 AWG tipo libre de halógeno 80 °C 750V PE HF FR LS CT y demás accesorios necesarios para su correcta instalación.</t>
  </si>
  <si>
    <t>CAJA METALICA 12X12X5 troquel suiche</t>
  </si>
  <si>
    <t>INTERRUPTOR SENCILLO</t>
  </si>
  <si>
    <t>17,1,8,2,A</t>
  </si>
  <si>
    <t>Suministro, Transporte e instalación de conducción de salida eléctrica para interruptor sencillo 15A, 125V. Incluye interruptor marca Leviton o similar color blanco con  placa de nylon, encintada, tuberia EMT ,cajas metálicas, conductores cobre #12 AWG tipo libre de halógeno 80 °C 750V PE HF FR LS CT y demás accesorios necesarios para su correcta instalación.</t>
  </si>
  <si>
    <t>17,1,8,2,B</t>
  </si>
  <si>
    <t>Suministro, Transporte e instalación de cableado de salida eléctrica para interruptor sencillo 15A, 125V. Incluye interruptor marca Leviton o similar color blanco con  placa de nylon, encintada, tuberia EMT ,cajas metálicas, conductores cobre #12 AWG tipo libre de halógeno 80 °C 750V PE HF FR LS CT y demás accesorios necesarios para su correcta instalación.</t>
  </si>
  <si>
    <t>INTERRUPTOR DOBLE</t>
  </si>
  <si>
    <t>17,1,8,3,B</t>
  </si>
  <si>
    <t>Suministro, Transporte e instalación de cableado de salida eléctrica para interruptor doble 15A, 125V. Incluye interruptor marca Leviton o similar color blanco con  placa de nylon, encintada, tuberia EMT ,cajas metálicas, conductores cobre #12 AWG tipo libre de halógeno 80 °C 750V PE HF FR LS CT y demás accesorios necesarios para su correcta instalación.</t>
  </si>
  <si>
    <t>17,1,8,4</t>
  </si>
  <si>
    <t>Salida eléctrica para interruptor triple 15A, 125V. Incluye interruptor marca Leviton o similar color blanco con  placa de nylon, encintada, tuberia EMT ,cajas metálicas, conductores cobre #12 AWG tipo libre de halógeno 80 °C 750V PE HF FR LS CT y demás accesorios necesarios para su correcta instalación.</t>
  </si>
  <si>
    <t>INTERRUPTOR TRIPLE</t>
  </si>
  <si>
    <t>17,1,8,4,A</t>
  </si>
  <si>
    <t>Suministro, Transporte e instalación de conducción de salida eléctrica para interruptor triple 15A, 125V. Incluye interruptor marca Leviton o similar color blanco con  placa de nylon, encintada, tuberia EMT ,cajas metálicas, conductores cobre #12 AWG tipo libre de halógeno 80 °C 750V PE HF FR LS CT y demás accesorios necesarios para su correcta instalación.</t>
  </si>
  <si>
    <t>17,1,8,4,B</t>
  </si>
  <si>
    <t>Suministro, Transporte e instalación de cableado de salida eléctrica para interruptor triple 15A, 125V. Incluye interruptor marca Leviton o similar color blanco con  placa de nylon, encintada, tuberia EMT ,cajas metálicas, conductores cobre #12 AWG tipo libre de halógeno 80 °C 750V PE HF FR LS CT y demás accesorios necesarios para su correcta instalación.</t>
  </si>
  <si>
    <t>LUMINARIAS</t>
  </si>
  <si>
    <t>17,1,9,1</t>
  </si>
  <si>
    <t>Luminaria LED de sobreponer 24W 120V-277V. Incluye todos los accesorios para su correcta instalación.</t>
  </si>
  <si>
    <t>CABLE ENCAUCHETADO 3X16</t>
  </si>
  <si>
    <t>LUMINARIA LED 24 W</t>
  </si>
  <si>
    <t>MACHO POLO A TIERRA</t>
  </si>
  <si>
    <t>17,1,9,2</t>
  </si>
  <si>
    <t>Luminaria LED de sobreponer 36W 120V-277V. Incluye todos los accesorios para su correcta instalación.</t>
  </si>
  <si>
    <t>LUMINARIA LED 36 W</t>
  </si>
  <si>
    <t>17,1,9,3</t>
  </si>
  <si>
    <t>17,10,1,1</t>
  </si>
  <si>
    <t>17,10,1,2</t>
  </si>
  <si>
    <t>17,10,1,3</t>
  </si>
  <si>
    <t>17,10,1,4</t>
  </si>
  <si>
    <t>CABLEADO ESTRUCTURADO</t>
  </si>
  <si>
    <t>17,11,1</t>
  </si>
  <si>
    <t>Cable UTP Cat.6 con rango de flamabilidad LSZH, cuatro pares, calibre 24AWG, diametro máximo de 5.7mm, velocidad de transmisión de 1Gb.</t>
  </si>
  <si>
    <t>CABLE UTP CAT 6 LSZH</t>
  </si>
  <si>
    <t>AMARRE VELCRO</t>
  </si>
  <si>
    <t>17,11,2</t>
  </si>
  <si>
    <t>Salida lógica de datos sencillo Cat. 6; incluye Jack RJ-45 con tapa abatible para protección al polvo, faceplate doble listado UL y caja metalica 12x12x5cm con suplemento. No incluye tuberia</t>
  </si>
  <si>
    <t>TOMA RJ 45 CAT 6</t>
  </si>
  <si>
    <t>TAPA CIEGA</t>
  </si>
  <si>
    <t>FACE PLATE DOBLE</t>
  </si>
  <si>
    <t>17,11,3</t>
  </si>
  <si>
    <t>Rack cerrado 90x61.5x64 negro. Incluye organizador horizontal, bandeja y multitoma. Marca UMI</t>
  </si>
  <si>
    <t>RACK CERRADO DE 90 cm</t>
  </si>
  <si>
    <t>BANDEJA PARA RACK</t>
  </si>
  <si>
    <t>MULTITOMA TIERRA AISLADA 6 SALIDAS</t>
  </si>
  <si>
    <t>PERNOS DE EXPANSION 1/4" x 2"</t>
  </si>
  <si>
    <t>ORGANIZADOR HORIZONTAL</t>
  </si>
  <si>
    <t>17,11,4</t>
  </si>
  <si>
    <t>Suministro, transporte e instalacion de Patch panel 24 puertos, categoria 6 (voz)</t>
  </si>
  <si>
    <t>PATCH PANEL CAT 6 24 PUERTOS 1U</t>
  </si>
  <si>
    <t>17,11,5</t>
  </si>
  <si>
    <t>Suministro, transporte e instalacion de patch cord de 1m (3 ft), categoria 6A. Marca AMP</t>
  </si>
  <si>
    <t>PATCH CORD UTP CAT 6A 3ft AZUL</t>
  </si>
  <si>
    <t>17,2,1,1</t>
  </si>
  <si>
    <t>Tablero TMB  12 ctos (TN) 3F, 5H, 208V de sobreponer, con barras de neutro y tierra independientes, con puerta y chapa, con espacio para totalizador. 
Barras internas de cobre min 100A, 208V, Icc: 10 kA. + Neutro al 100% + Tierra según tabla 250-94 NTC 2050</t>
  </si>
  <si>
    <t>17,2,1,2</t>
  </si>
  <si>
    <t>17,2,1,3</t>
  </si>
  <si>
    <t>17,2,1,4</t>
  </si>
  <si>
    <t>17,2,2</t>
  </si>
  <si>
    <t>17,2,3,1</t>
  </si>
  <si>
    <t>17,2,3,2</t>
  </si>
  <si>
    <t>17,2,3,3</t>
  </si>
  <si>
    <t>17,2,3,4</t>
  </si>
  <si>
    <t>17,2,4,1</t>
  </si>
  <si>
    <t>17,2,4,2</t>
  </si>
  <si>
    <t>17,2,4,3</t>
  </si>
  <si>
    <t>17,2,5,1</t>
  </si>
  <si>
    <t>17,2,5,2</t>
  </si>
  <si>
    <t>17,2,5,3</t>
  </si>
  <si>
    <t>Breaker enchufable 1x20A, 10kA</t>
  </si>
  <si>
    <t>17.2.6.1</t>
  </si>
  <si>
    <t>17,2,7,1</t>
  </si>
  <si>
    <t>17,2,8,1</t>
  </si>
  <si>
    <t>17,2,8,2</t>
  </si>
  <si>
    <t>17,2,9,1</t>
  </si>
  <si>
    <t>17,2,9,2</t>
  </si>
  <si>
    <t>17,2,9,3</t>
  </si>
  <si>
    <t>LUMINARIA LED SOBREPONER HERMETICA 36 W</t>
  </si>
  <si>
    <t>17.2.10.1</t>
  </si>
  <si>
    <t>17.2.10.2</t>
  </si>
  <si>
    <t>17,2,10,3</t>
  </si>
  <si>
    <t>17,2,11,1</t>
  </si>
  <si>
    <t>17,2,11,2</t>
  </si>
  <si>
    <t>17,2,11,3</t>
  </si>
  <si>
    <t>17,2,11,4</t>
  </si>
  <si>
    <t>17,2,11,5</t>
  </si>
  <si>
    <t>17,3,1,1</t>
  </si>
  <si>
    <t>17,3,1,2</t>
  </si>
  <si>
    <t>17,3,1,3</t>
  </si>
  <si>
    <t>17,3,1,4</t>
  </si>
  <si>
    <t xml:space="preserve">Breaker enchufable 1x20A, 10kA </t>
  </si>
  <si>
    <t>17,3,2,1</t>
  </si>
  <si>
    <t>17,3,3,2</t>
  </si>
  <si>
    <t>17,3,3,3</t>
  </si>
  <si>
    <t>17,3,3,4</t>
  </si>
  <si>
    <t>17,3,4,1,A</t>
  </si>
  <si>
    <t>Suministro, Transporte e instalación de conducción de salida eléctrica para toma corriente  doble con polo a tierra monofásico 15A, 125V y según  NEMA 5-15R .Incluye toma marca Leviton o similar color blanco con  placa de nylon, encintada, ducto EMT ,cajas metálicas, conductores cobre #12 AWG tipo libre de halógeno 80 °C 750V PE HF FR LS CT y demás accesorios necesarios para su correcta instalación.</t>
  </si>
  <si>
    <t>17,3,4,1,B</t>
  </si>
  <si>
    <t>Suministro, Transporte e instalación de cableado de salida eléctrica para toma corriente  doble con polo a tierra monofásico 15A, 125V y según  NEMA 5-15R .Incluye toma marca Leviton o similar color blanco con  placa de nylon, encintada, ducto EMT ,cajas metálicas, conductores cobre #12 AWG tipo libre de halógeno 80 °C 750V PE HF FR LS CT y demás accesorios necesarios para su correcta instalación.</t>
  </si>
  <si>
    <t>17,3,4,2,A</t>
  </si>
  <si>
    <t>Suministro, Transporte e instalación de conducción de salida eléctrica para toma corriente  doble SISTEMA REGULADO COLOR NARANJA con polo a tierra aislado, monofásico 15A, 125V y según  NEMA 5-15R. Incluye  toma marca Leviton ref 5262-IG con placa de nylon, encintada ,ducto EMT ,cajas metálicas, conductores cobre #12 AWG tipo libre de halógeno 80 °C 750V PE HF FR LS CT y demás accesorios necesarios para su correcta instalación.</t>
  </si>
  <si>
    <t>17,3,4,2,B</t>
  </si>
  <si>
    <t>Suministro, Transporte e instalación de cableado de salida eléctrica para toma corriente  doble SISTEMA REGULADO COLOR NARANJA con polo a tierra aislado, monofásico 15A, 125V y según  NEMA 5-15R. Incluye  toma marca Leviton ref 5262-IG con placa de nylon, encintada ,ducto EMT ,cajas metálicas, conductores cobre #12 AWG tipo libre de halógeno 80 °C 750V PE HF FR LS CT y demás accesorios necesarios para su correcta instalación.</t>
  </si>
  <si>
    <t>17,3,4,3</t>
  </si>
  <si>
    <t>17,3,5,1,2</t>
  </si>
  <si>
    <t>17,3,5,1,3</t>
  </si>
  <si>
    <t>Breaker industrial 3x50A</t>
  </si>
  <si>
    <t>17,3,5,1,4</t>
  </si>
  <si>
    <t>17,3,6,1</t>
  </si>
  <si>
    <t>17,3,7,1</t>
  </si>
  <si>
    <t>17,3,8,1,B</t>
  </si>
  <si>
    <t>17,3,8,2,A</t>
  </si>
  <si>
    <t>17,3,8,2,B</t>
  </si>
  <si>
    <t>17,3,8,3,B</t>
  </si>
  <si>
    <t>17,3,8,4,A</t>
  </si>
  <si>
    <t>17,3,8,4,B</t>
  </si>
  <si>
    <t>17,3,9,1</t>
  </si>
  <si>
    <t>17,3,9,2</t>
  </si>
  <si>
    <t>17,3,9,3</t>
  </si>
  <si>
    <t>17,3,10,1</t>
  </si>
  <si>
    <t>17,3,10,2</t>
  </si>
  <si>
    <t>17,3,11,1</t>
  </si>
  <si>
    <t>17,3,11,2,B</t>
  </si>
  <si>
    <t>Suministro, Transporte e instalación de cableado de salida lógica de datos sencillo Cat. 6; incluye Jack RJ-45 con tapa abatible para protección al polvo, faceplate doble listado UL y caja metalica 12x12x5cm con suplemento. No incluye tuberia</t>
  </si>
  <si>
    <t>17,3,11,3</t>
  </si>
  <si>
    <t>17,3,11,4</t>
  </si>
  <si>
    <t>17,3,11,5</t>
  </si>
  <si>
    <t>17,4,1,1</t>
  </si>
  <si>
    <t>17,4,2,1</t>
  </si>
  <si>
    <t>17,4,3,1</t>
  </si>
  <si>
    <t>17,4,3,2</t>
  </si>
  <si>
    <t>17,4,3,3</t>
  </si>
  <si>
    <t>Salida eléctrica para interruptor escala sencillo 15A, 125V. Incluye interruptor marca Leviton o similar color blanco con  placa de nylon, encintada, tuberia EMT ,cajas metálicas, conductores cobre #12 AWG tipo libre de halógeno 80 °C 750V PE HF FR LS CT y demás accesorios necesarios para su correcta instalación.</t>
  </si>
  <si>
    <t>17,4,4,1</t>
  </si>
  <si>
    <t>17,4,4,2</t>
  </si>
  <si>
    <t>17,4,4,3</t>
  </si>
  <si>
    <t>APANTALLAMIENTO</t>
  </si>
  <si>
    <t>17,4,5,1</t>
  </si>
  <si>
    <t>Suministro e instalación de varilla copperweld de 5/8" y longitud de 2.4 metros.</t>
  </si>
  <si>
    <t>varilla copperweld de 5/8" y longitud de 2.4 metros.</t>
  </si>
  <si>
    <t>17,4,5,2</t>
  </si>
  <si>
    <t>Suministro y colocación de soldadura por reacción exotérmica de 90gr, incluye carga, molde, pinzas de sujeción del molde y del cable, chispero y todos los demás elementos y accesorios necesarios para su correcta instalación y funcionamiento.</t>
  </si>
  <si>
    <t>Equipo de seguridad</t>
  </si>
  <si>
    <t>soldadura por reacción exotérmica de 90gr,</t>
  </si>
  <si>
    <t>17,4,5,3</t>
  </si>
  <si>
    <t>17,4,5,5</t>
  </si>
  <si>
    <t>Suministro e instalación de cable de Aluminio Desnudo No 1/0AWG para instalar sobre aisladores, anillo superior sistema de Apantallamiento.</t>
  </si>
  <si>
    <t xml:space="preserve">Cable de Aluminio Desnudo No 1/0AWG </t>
  </si>
  <si>
    <t>17,4,5,6</t>
  </si>
  <si>
    <t>Suministro e instalación de conductor de aluminio cubierto (calibre 1/0 AWG)  por tuberia metalica galvanizada de 1". Incluye grapas doble ala y los accesorios necesarios para su correcta instalación.</t>
  </si>
  <si>
    <t>TUBO GALVANIZADO 1"</t>
  </si>
  <si>
    <t>GRAPA GALVANIZADA DOBLE ALA 1"</t>
  </si>
  <si>
    <t>ALUMINIO CUBIERTO</t>
  </si>
  <si>
    <t>17,4,5,7</t>
  </si>
  <si>
    <t>Suministro e instalación de pararrayos tipo "Punta de Franklin" de acero inoxidable de una sola punta. Fabricado en Acero Inoxidable . Incluye 0.5 mt de tuberia galv IMC de 3/4", pernos de fijación,uniones,soportes y demás accesorios de instalación.</t>
  </si>
  <si>
    <t>ASTA PARARRAYOS INOXIDABLE</t>
  </si>
  <si>
    <t>PLATINA EN L - PARARRAYOS</t>
  </si>
  <si>
    <t>UNION GALVANIZADA 3/4"</t>
  </si>
  <si>
    <t>17,4,5,8</t>
  </si>
  <si>
    <t>17,4,5,9</t>
  </si>
  <si>
    <t>Suministro e instalación de conector bimetalico Al/Cu en caja galvanizada 12x12x5cm.</t>
  </si>
  <si>
    <t>CAJA METALICA 12X12X5 tapa lisa</t>
  </si>
  <si>
    <t>CONECTOR BIMETALICO al/cu1/0</t>
  </si>
  <si>
    <t>17,4,5,10</t>
  </si>
  <si>
    <t>Construccion y colocación de materiales para caja de piso 30x30. Incluye herraje tipo pesado y antifraude, tapa tipo pesado y demás elementos necesarios para su correcta instalación</t>
  </si>
  <si>
    <t>HERRAJE ANTIFRAUDE 30X30</t>
  </si>
  <si>
    <t>TRITURADO 3/4</t>
  </si>
  <si>
    <t>CONCRETO PREMEZCLADO 21MPA</t>
  </si>
  <si>
    <t>EXCAVACIÓN Y BOTADA DE TIERRA</t>
  </si>
  <si>
    <t>TRANSPORTE MATE ELECTRICO</t>
  </si>
  <si>
    <t>ILUMINACION EXTERIOR</t>
  </si>
  <si>
    <t>17,4,6,1</t>
  </si>
  <si>
    <t>Suministro e instalacion de poste de concreto tipo bailarina</t>
  </si>
  <si>
    <t>POSTE TIPO BAILARINA</t>
  </si>
  <si>
    <t>17,4,6,2</t>
  </si>
  <si>
    <t>Suministro e instalacion de luminaria led tipo alumbrado publico, 60W</t>
  </si>
  <si>
    <t>luminaria led tipo alumbrado publico, 60W</t>
  </si>
  <si>
    <t>17,4,6,3</t>
  </si>
  <si>
    <t>Suministro e instalacion de luminaria led tipo reflector 200W para iluminacion canchas</t>
  </si>
  <si>
    <t>luminaria led tipo reflector 200W</t>
  </si>
  <si>
    <t>17,4,6,4</t>
  </si>
  <si>
    <t>Suministro e instalacion de luminaria led tipo emergencia 4W, 90min de duracion</t>
  </si>
  <si>
    <t>LUMINARIA DE EMERGENCIA CREE 2WX2</t>
  </si>
  <si>
    <t>17,4,6,5</t>
  </si>
  <si>
    <t>Suministro e instalacion de aviso de salida de emergencia.</t>
  </si>
  <si>
    <t>AVISO EMERGENCIA</t>
  </si>
  <si>
    <t>REDES EXTERNAS</t>
  </si>
  <si>
    <t>17,5,1</t>
  </si>
  <si>
    <t>TRANSFORMADOR CORRIENTE 400/5 A, Clase 0.5, 5 VA.</t>
  </si>
  <si>
    <t>GABINETE ML TIPO INTEMPERIE</t>
  </si>
  <si>
    <t>17,5,3</t>
  </si>
  <si>
    <t>Suministro, transporte e instalacion de acometida en cable AWG-LSFH 3#2+1#4+1#6 AWG.</t>
  </si>
  <si>
    <t>CABLE 2 AWG-LSFH</t>
  </si>
  <si>
    <t>CABLE 4 AWG-LSFH</t>
  </si>
  <si>
    <t>CABLE 6 AWG-LSFH</t>
  </si>
  <si>
    <t>17,5,4</t>
  </si>
  <si>
    <t>Suministro, transporte e instalacion de acometida en cable AWG-LSFH 3#6+1#6+1#8 AWG.</t>
  </si>
  <si>
    <t>CABLE 8 AWG-LSFH</t>
  </si>
  <si>
    <t>17,5,5</t>
  </si>
  <si>
    <t>Suministro, transporte e instalacion de acometida en cable AWG-LSFH 3#2/0+1#1/0+1#2 AWG.</t>
  </si>
  <si>
    <t>CABLE 1/0 AWG-LSFH</t>
  </si>
  <si>
    <t>CABLE 2/0 THHN-THWN</t>
  </si>
  <si>
    <t>CABLE 2 THHN-THWN</t>
  </si>
  <si>
    <t>17,5,6</t>
  </si>
  <si>
    <t>Suministro, transporte e instalacion de acometida en cable AWG-LSFH 3#4+1#4+1#6 AWG.</t>
  </si>
  <si>
    <t>17,5,7</t>
  </si>
  <si>
    <t>Suministro, transporte e instalacion de alimentadores en cable AWG-LSFH 3#10AWG.</t>
  </si>
  <si>
    <t>CABLE N°10 AWG-LSFH</t>
  </si>
  <si>
    <t>COMUNICACIONES</t>
  </si>
  <si>
    <t>17,5,8</t>
  </si>
  <si>
    <t>17,5,9</t>
  </si>
  <si>
    <t>Suministro, Transporte e Instalacion de U.P.S ON LINE 3000 VA / 2700W, 7-20 minutos, Entrada 120 Vac, Salida 2x110 Vac 2%, True On Line - Doble conversion PWM, seno pura, Borneras - Display LCD - Puertos U.S.B y RS-232, Factor de Potencia 0.9</t>
  </si>
  <si>
    <t>17,5,10</t>
  </si>
  <si>
    <t>Suministro, Transporte e Instalacion de Conmutador tripolar en caja Termoplastica 1-0-2 Referencia Lovato 7GN20-53P, Corrientes 20A.</t>
  </si>
  <si>
    <t>17,5,11</t>
  </si>
  <si>
    <t>Suministro, Transporte e Instalacion de U.P.S ON LINE 6000 VA / 6000W, 7-20 minutos, Entrada 208 Vac, Salida 2x110 Vac 2%, True On Line - Doble conversion PWM, seno pura, Borneras - Display LCD - Puertos U.S.B y RS-232, Factor de Potencia 1</t>
  </si>
  <si>
    <t>17,5,12</t>
  </si>
  <si>
    <t>Suministro, Transporte e Instalacion de Transferencia Automatica para U.P.S ON Line Bifasica 208 - 6KVA</t>
  </si>
  <si>
    <t>TRANSFERENCIA MANUAL 40A</t>
  </si>
  <si>
    <t>17,5,13</t>
  </si>
  <si>
    <t>Suministro, Transporte e Instalacion de U.P.S ON LINE 15000 VA / 10500W, 7-20 minutos, Entrada 208 Vac, Salida 2x110 Vac 2%, True On Line - Doble conversion PWM, seno pura, Borneras - Display LCD - Puertos U.S.B y RS-232, Factor de Potencia 0.7</t>
  </si>
  <si>
    <t>U.P.S ON LINE 15000 VA / 10500W, 7-20 minutos, Entrada 208 Vac, Salida 2x110 Vac 2%, True On Line - Doble conversion PWM, seno pura, Borneras - Display LCD - Puertos U.S.B y RS-232, Factor de Potencia 0.7</t>
  </si>
  <si>
    <t>17,5,14</t>
  </si>
  <si>
    <t>RED EXTERNA</t>
  </si>
  <si>
    <t>17,6,1</t>
  </si>
  <si>
    <t xml:space="preserve">Suministro, transporte e instalacion de vestida para montaje de  transformador trifasico en poste, segun norma EPM RA2-026 </t>
  </si>
  <si>
    <t>Herramienta menor (porcentual)</t>
  </si>
  <si>
    <t>%</t>
  </si>
  <si>
    <t>CRUCETA 2.4m</t>
  </si>
  <si>
    <t>DIAGONAL V 48 PARA CRUCETA de 2,4 m</t>
  </si>
  <si>
    <t>SOLDADURA EXOTERMICA 90 gr</t>
  </si>
  <si>
    <t>TORNILLO MAQUINA 5/8 x 2 1/2"</t>
  </si>
  <si>
    <t>ESPACIADDOR 5/8 x 12</t>
  </si>
  <si>
    <t>CONECTOR OB 10 10</t>
  </si>
  <si>
    <t>CONECTAR TRANSVERSAL4/0</t>
  </si>
  <si>
    <t>CONECTOR EN C Nº 4</t>
  </si>
  <si>
    <t>ALAMBRE N°4</t>
  </si>
  <si>
    <t>VARILLA TIERRA 5/8"x2.4m Cobre-cobre</t>
  </si>
  <si>
    <t>CAJA PRIMARIA CELSA</t>
  </si>
  <si>
    <t>PARARRAYOS 12 kV, 10 kA celsa</t>
  </si>
  <si>
    <t>FUSIBLE TIPO k 5 A</t>
  </si>
  <si>
    <t>TORNILLO 1/2 X 1 1/2</t>
  </si>
  <si>
    <t>ELEMENTOS DE EMPALME, CONEXIÓN Yy fijación</t>
  </si>
  <si>
    <t>17,6,8</t>
  </si>
  <si>
    <t>Suministro, transporte e instalacion de puesta a tierra, segun norma EPM RA6-010, configuracion 1</t>
  </si>
  <si>
    <t>VARILLA COPPERWELD DE 5/8" X 2,4m</t>
  </si>
  <si>
    <t>CONECTOR COBRE</t>
  </si>
  <si>
    <t>ALAMBRE DE COBRE No 4 AWG - CUBIERTO</t>
  </si>
  <si>
    <t>17,6,13</t>
  </si>
  <si>
    <t>COMPACTADOR TIPO CANGURO (Incluye transporte y operación)</t>
  </si>
  <si>
    <t>TUBERIA PVC 4" DB</t>
  </si>
  <si>
    <t>CINTA SEÑALIZACION X 500M</t>
  </si>
  <si>
    <t>ARENILLA</t>
  </si>
  <si>
    <t>17,6,14</t>
  </si>
  <si>
    <t>Suministro, Transporte e Instalacion de Herraje para caja EPM RS3-003 - No Incluye Obra Civil</t>
  </si>
  <si>
    <t>HERRAJE 60X80</t>
  </si>
  <si>
    <t>17,6,15</t>
  </si>
  <si>
    <t>17,6,16</t>
  </si>
  <si>
    <t>Suministro, Transporte e Instalacion de Herraje para caja DIN 114 UNE 60X80CM - No Incluye Obra Civil</t>
  </si>
  <si>
    <t>CERTIFICADO RETIE</t>
  </si>
  <si>
    <t>CERTIFICACIÓN RETIE</t>
  </si>
  <si>
    <t>CERTIIFICADO RETILAP</t>
  </si>
  <si>
    <t>Cumplimiento RETIE, TRAMITES Y APROBACIONES</t>
  </si>
  <si>
    <t>PAPELERIA, TRAMITES ELECTRICOS</t>
  </si>
  <si>
    <t>AVISOS Y FUNGIBLES</t>
  </si>
  <si>
    <t>PLANOS</t>
  </si>
  <si>
    <t>18.1.2</t>
  </si>
  <si>
    <t>18.1.3</t>
  </si>
  <si>
    <t>Suministro e instalación de piso en caucho granular nacional reciclado espesor 5 cm</t>
  </si>
  <si>
    <t>Imprimante emulsión asfaltico</t>
  </si>
  <si>
    <t xml:space="preserve"> piso en caucho granular nacional reciclado espesor 5 cm</t>
  </si>
  <si>
    <t>18.1.4</t>
  </si>
  <si>
    <t>Suministro e instalación de piso en arena granular espesor 5cm para bancos de arena infantiles</t>
  </si>
  <si>
    <t>Capa de arena espesor 5 cm</t>
  </si>
  <si>
    <t>18.1.5</t>
  </si>
  <si>
    <t>Suministro e instalación de piso piedras de canto rodado de 3" espesor 5 cm</t>
  </si>
  <si>
    <t>Capa de piedras de canto rodado de 3" espesor 5 cm</t>
  </si>
  <si>
    <t>Ton</t>
  </si>
  <si>
    <t>18.1.6</t>
  </si>
  <si>
    <t>Suministro e instalación de piso madera natural deck e=15cm</t>
  </si>
  <si>
    <t>Deck madera natural e=2.5 cm</t>
  </si>
  <si>
    <t>Madera Natural 2"x 8"</t>
  </si>
  <si>
    <t>Transporte  de material</t>
  </si>
  <si>
    <t>18.1.7</t>
  </si>
  <si>
    <t>Suministro e instalación de grama natural</t>
  </si>
  <si>
    <t>Capa tierra organica e 5cm</t>
  </si>
  <si>
    <t>Grama natural</t>
  </si>
  <si>
    <t>18.1.8</t>
  </si>
  <si>
    <t>Suministro e instalación de concreto de 21MPa pulido e=8 cm. Incluye todo lo necesario para el vaciado</t>
  </si>
  <si>
    <t>Suministro, Transporte e Instalacion de Transformador Trifasico 150KVA - 13200/220/127 PARA POSTE</t>
  </si>
  <si>
    <t>TRANFORMADOR TRIFASICO 150KVA</t>
  </si>
  <si>
    <t>ANILLO COLLARIN</t>
  </si>
  <si>
    <t>SUMINISTRO, TRANSPORTE E INSTALACION DE BAJANTE EN TUBO IMC DE 3" (X 6m)</t>
  </si>
  <si>
    <t>TUBO GALVANIZADO DE 3"</t>
  </si>
  <si>
    <t>CAPACETE 3"</t>
  </si>
  <si>
    <t>CINTA BANDIT DE 1/2"</t>
  </si>
  <si>
    <t>HEBILLAS PARA CINTA BANDIT DE 1/2"</t>
  </si>
  <si>
    <t>Suministro, transporte e instalacion de acometida en cable AWG-LSFH 3#2/0+1#2/0+1#1/0 AWG.</t>
  </si>
  <si>
    <t>Suministro, transporte e instalacion de acometida en cable AWG-LSFH 6#2/0+2#1/0 AWG.</t>
  </si>
  <si>
    <t>TUBERIA PVC 3" DB</t>
  </si>
  <si>
    <t>SUMINISTRO,TRANSPORTE E INSTALACION DE TABLERO MEDIDA GENERAL</t>
  </si>
  <si>
    <t>TABLERO  PARA  USO  INTERIOR  (IP  43),    EN  LÁMINA  COLD ROLLED CALIBRE 16, ACABADO FINAL EN PINTURA EN POLVO DE APLICACIÓN ELECTROSTÁTICA. CON BARRAJE TRIFÁSICO EN COBRE ELECTROLÍTICO ROJO DE 300A, BARRAS DE NEUTRO Y  TIERRA  AISLADAS,  COMPLETAMENTE  CABLEADO  PARA  UN CONTADOR    DE    MEDIDA    SEMIDIRECTA    CON    SUS TRANSFORMADORES DE CORRIENTE. INCLUYE ESPACIO PARA BREAKER  TOTALIZADOR.  DIMENSIONES  APROXIMADAS: 1600X800X400 MM</t>
  </si>
  <si>
    <t>CONT ELECT 3F CL 0.5S 5H 10A A  CT Y REACT DOBLE TARIFA</t>
  </si>
  <si>
    <t>TC TIPO BARRA 200/5A BURDEN 2,5VA CL0,5 CALIBRADO</t>
  </si>
  <si>
    <t>BORNERA INTERCONEXION</t>
  </si>
  <si>
    <t>BRK 3X320A 85KA/240V 42.5KA/440V SCHNEIDER</t>
  </si>
  <si>
    <t>SUMINISTRO,TRANSPORTE E INSTALACION DE TABLERO MEDIDA RCI</t>
  </si>
  <si>
    <t>TABLERO  PARA  USO  INTERIOR  (IP  43),    EN  LÁMINA  COLD ROLLED CALIBRE 16, ACABADO FINAL EN PINTURA EN POLVO DE APLICACIÓN ELECTROSTÁTICA. CON BARRAJE TRIFÁSICO EN COBRE ELECTROLÍTICO ROJO DE 160A, BARRAS DE NEUTRO Y  TIERRA  AISLADAS,  COMPLETAMENTE  CABLEADO  PARA  UN CONTADOR    DE    MEDIDA    SEMIDIRECTA    CON    SUS TRANSFORMADORES DE CORRIENTE. INCLUYE ESPACIO PARA BREAKER  TOTALIZADOR.  DIMENSIONES  APROXIMADAS: 1100x800x400 MM</t>
  </si>
  <si>
    <t>TC TIPO BARRA 100/5A BURDEN 2,5VA CL0,5 CALIBRADO</t>
  </si>
  <si>
    <t>BRK 3X150A MA150 85KA/240V 35KA/440V SCH NSX160F</t>
  </si>
  <si>
    <t>SUMINISTRO,TRANSPORTE E INSTALACION DE TABLERO PRINCIPAL</t>
  </si>
  <si>
    <t>TABLERO  PARA  USO  INTERIOR  (IP  2X),  EN  LÁMINA  COLD ROLLED  CALIBRE  16,  CON  ACABADO  FINAL  EN  PINTURA  EN POLVO DE APLICACIÓN ELECTROSTÁTICA, COLOR GRIS CLARO RAL  7035.  EL  TABLERO  TENDRÁ  UN  BARRAJE  TRIFÁSICO PRINCIPAL EN COBRE ELECTROLÍTICO ROJO DE 350A TIPO ML DE  14  CTOS,  10KA,  FRENTE  MUERTO  METÁLICO  ABATIBLE  Y BARRAS  DE  NEUTRO  Y  TIERRA  AISLADAS.  DIMENSIONES APROXIMADAS: 1600X800X400 MM</t>
  </si>
  <si>
    <t>DPS 3P+N+PE 5H 30KA 60KA(8/20)150V FATECH</t>
  </si>
  <si>
    <t>BRK 3X350A 85KA/240V 42.5KA/4 40V SCHNEIDER</t>
  </si>
  <si>
    <t>BRK 3X100A 25KA/240V 12.5KA/440V SCHNEIDER</t>
  </si>
  <si>
    <t>BRK 3X150A 50KA/240V 25KA/440VSCHNEIDER</t>
  </si>
  <si>
    <t>BRK 3X40A 25KA/240V 12.5KA/440SCHNEIDER</t>
  </si>
  <si>
    <t>BRK 3X50A 25KA/240V 12.5KA/440V SCHNEIDER</t>
  </si>
  <si>
    <t>BRK 3X30A 25KA/240V 12.5KA/440V SCHNEIDER</t>
  </si>
  <si>
    <t>Suministro, Transporte e instalacion de grapa a presion 6-13mm OBO para soporte del cable.</t>
  </si>
  <si>
    <t>SOPORTE ANILLO CLICK 2-1/0 AWG 8-10mm BASE INCORPORADA.</t>
  </si>
  <si>
    <t>Revision de Diseños de Iluminacion</t>
  </si>
  <si>
    <t>INSUMOS</t>
  </si>
  <si>
    <t>Insumo</t>
  </si>
  <si>
    <t>ACTIVIDADES</t>
  </si>
  <si>
    <t>Unidad</t>
  </si>
  <si>
    <t>Valor Unitario</t>
  </si>
  <si>
    <t>Proveedor</t>
  </si>
  <si>
    <t>Nombre Catalogo y/o Referencia</t>
  </si>
  <si>
    <t>PISENDE</t>
  </si>
  <si>
    <t>Transporte y disposición de material sobrante</t>
  </si>
  <si>
    <t>N/A</t>
  </si>
  <si>
    <t>Perfil tipo junta Pro-Dilata CFM "BUTECH" de aluminio acabado natural, de 10 mm de alto, para juntas estructurales en pavimentos cerámicos</t>
  </si>
  <si>
    <t>Bultech porcelanosa</t>
  </si>
  <si>
    <t>Esmalte Negro Mate</t>
  </si>
  <si>
    <t>Concreto 28 MPa premezclado</t>
  </si>
  <si>
    <t>Tienda Argos</t>
  </si>
  <si>
    <t>Concreto 28 MPa mezclado en obra</t>
  </si>
  <si>
    <t>Subanálisis de precios unitarios (ver hoja de cálculo CONCRETOS Y MORTEROS)</t>
  </si>
  <si>
    <t>Conprecolor</t>
  </si>
  <si>
    <t>Esmalte Epoxy para superficie de concreto (1gal)</t>
  </si>
  <si>
    <t>CORONA</t>
  </si>
  <si>
    <t xml:space="preserve">Acero de Refuerzo </t>
  </si>
  <si>
    <t>HOMECENTER</t>
  </si>
  <si>
    <t>Malla electrosoldada D84 (2.35x6)</t>
  </si>
  <si>
    <t>Telera 0.90x1.35</t>
  </si>
  <si>
    <t>Larguero madera plástica de tope L=3 m</t>
  </si>
  <si>
    <t>Larguero madera plástica de tope L=0.35 m</t>
  </si>
  <si>
    <t>Formaleta de Borde de losa 0.25X2.44</t>
  </si>
  <si>
    <t>Arena especial para compactación</t>
  </si>
  <si>
    <t xml:space="preserve">Perfil PVC para fijar </t>
  </si>
  <si>
    <t>easy</t>
  </si>
  <si>
    <t>https://www.homecenter.com.co/homecenter-co/product/00423/Sika-1-Aditivo-impermeabilizante-para-morteros-4kg/00423</t>
  </si>
  <si>
    <t>Mortero 1:3</t>
  </si>
  <si>
    <t>Grifería Lavamanos Sencilla Dalia</t>
  </si>
  <si>
    <t>Sifón tipo botella Gris, Grival</t>
  </si>
  <si>
    <t>Adhesivo para ceramica tipo pegacor o equivalente (25 kg) (Rnto. 6kg/m2)</t>
  </si>
  <si>
    <t>5,2,5,1/5,2,5,2</t>
  </si>
  <si>
    <t>corona</t>
  </si>
  <si>
    <t>CONCOLOR Junta Estrecha Súper Blanco (5kg)- Corona (Rnto.0,65 kg/m2)</t>
  </si>
  <si>
    <t>Esquinero plastico blanco (toro plastico 2,4 m)</t>
  </si>
  <si>
    <t>5,2,5,1/5,2,5,2/5,2,5,9</t>
  </si>
  <si>
    <t>Ladrillo sin acabar e max 9-10 cm</t>
  </si>
  <si>
    <t>Mortero de pega 0.25:1:4 e max 0.01 m (Mortero de 17.5MPa  con relación de agregados según diseño de mezclas)</t>
  </si>
  <si>
    <t>5.2.5.3/5,2,5,4/5,2,5,5/5,2,5,6/5,2,5,7/5,2,5,8/5,2,5,10</t>
  </si>
  <si>
    <t>Chapa de bloque de concreto de 3x10x30 color chocolate tipo indural o similar</t>
  </si>
  <si>
    <t>INDURAL</t>
  </si>
  <si>
    <t xml:space="preserve">Chapa de bloque de concreto de 3x10x30 color arena tipo indural o similar </t>
  </si>
  <si>
    <t xml:space="preserve">Chapa de bloque de concreto 3x10x30 color anticado tipo indural o similar </t>
  </si>
  <si>
    <t xml:space="preserve">Bloque de concreto a la vista 12x10x40 color chocolate </t>
  </si>
  <si>
    <t xml:space="preserve">Bloque de concreto a la vista 12x10x40 color anticado </t>
  </si>
  <si>
    <t xml:space="preserve">Bloque de concreto a la vista 12x10x40 color gris </t>
  </si>
  <si>
    <t xml:space="preserve">Bloque de concreto a la vista 12x10x40 color arena </t>
  </si>
  <si>
    <t>5,2,5,9</t>
  </si>
  <si>
    <t>https://www.homecenter.com.co/homecenter-co/product/305265/Media-cana-coextruida-6-x-300-cm/305265?id=305265&amp;name=Media-cana-coextruida-6-x-300-cm&amp;defaultVariant=305265&amp;currentpage=1</t>
  </si>
  <si>
    <t>Sismoflex Corona (6 kg) (Rnto.12,5 m/unidad)</t>
  </si>
  <si>
    <t xml:space="preserve">Yumbolon 10Mm X1.22X15 Blanco 18.3M2 </t>
  </si>
  <si>
    <t>Malla electrosoldada D106</t>
  </si>
  <si>
    <t>Malla electrosoldada D106 2</t>
  </si>
  <si>
    <t>Alambre negro recocido cal 17 x 1kg</t>
  </si>
  <si>
    <t>Easy</t>
  </si>
  <si>
    <t>Clavo comun 3" lisa hierro x500g (gramo a 8$)</t>
  </si>
  <si>
    <t>Estacon 2X2 o D=10 cm 2.5 métros</t>
  </si>
  <si>
    <t>Desmoldante DMA 100CO x 4 kg</t>
  </si>
  <si>
    <t>Cemento gris Saco 50 kg argos</t>
  </si>
  <si>
    <t>triturado 3/4" x 50kg</t>
  </si>
  <si>
    <t>Malla electrosoldada M-188 (6X2.35)</t>
  </si>
  <si>
    <t>arena lavada para concreto x50kg</t>
  </si>
  <si>
    <t>Sikalisto unidad de 50kg</t>
  </si>
  <si>
    <t>Varilla PVC intermatex de dilatacion (a140mm h70 mm L 3.05 a 7900 Unidad valor por ml 2590</t>
  </si>
  <si>
    <t>Ácido nitrico 1 Lt (Rto de 8 a 12 m2/litro-0.1litro/m2-0.13 UNIDAD/m2)</t>
  </si>
  <si>
    <t>Ácido nitrico 750 ml (Rto de 8 a 12 m2/litro-0.1litro/m2-0.13 UNIDAD/m2)</t>
  </si>
  <si>
    <t>Hidrosolve 4 L (Rto 5 a 10 m2/Litro- 0.125litros/m2))</t>
  </si>
  <si>
    <t xml:space="preserve">Hidrofugo impermeabilizante tipo siliconite sika transparente o equivalente X GALON (Rto. 16-20 m2/Galon-0.055 gal/m2) </t>
  </si>
  <si>
    <t>Pintura para cielos y muros tipo 1X GALON (Rto. 25 a 30 m2 /galon-0.035 galo/m2)</t>
  </si>
  <si>
    <t>Disolvente Hexion 1L</t>
  </si>
  <si>
    <t>Primer sellador X GALON (Rtoo. 67m2/gal-0.014 gal/m2)</t>
  </si>
  <si>
    <t>Barniz fungicida tipo impranol plus o similar X 5LITROS (Rto. 4 a 6 m2/litro-0.2 litros/m2)</t>
  </si>
  <si>
    <t>Adhesivo piso vinilo (Rto. 15 a 20 m2/galon - 0.06 gal/m2)</t>
  </si>
  <si>
    <t>GALON</t>
  </si>
  <si>
    <t>Baldosa de grano blanco (caja X 24m2- Precio m2 49900)</t>
  </si>
  <si>
    <t>CAJA</t>
  </si>
  <si>
    <t>Guardaescoba de Baldosa de grano blanco (caja X 24m2- Precio m2 49900)</t>
  </si>
  <si>
    <t>Estuco Acrilico por 1 gal</t>
  </si>
  <si>
    <t>Lechada de baldosa</t>
  </si>
  <si>
    <t>Precios colombia</t>
  </si>
  <si>
    <t>Cera polimerica X GALON (Rto 200m2/gal a 1 mano-0.005 gal/m2)</t>
  </si>
  <si>
    <t>Plastico negro 150X3 m ancho Cal 3.5 (m2 a $1266)</t>
  </si>
  <si>
    <t>Sellos elastomericos PVC 6"</t>
  </si>
  <si>
    <t>GERFOR</t>
  </si>
  <si>
    <t>Adoquin rectangular a=10 cm, l=20 cm, e=8 cm indupiso o similar color gris (Rto. 50 Unidades/m2)</t>
  </si>
  <si>
    <t>Zocalo de media caña piso 9 cm alto X 3m</t>
  </si>
  <si>
    <t>Lavaplatos de empotrar en acero inoxidable de 53X43</t>
  </si>
  <si>
    <t>Lavatrapero de concreto 80x60x25 cm</t>
  </si>
  <si>
    <t>Sello antihongos de silicona 280 ML</t>
  </si>
  <si>
    <t>Zocalo antiescurrimiento 20x30 cm</t>
  </si>
  <si>
    <t>Disco abrasivo de corte de metal 4 1/2 x 1/8 ref DW44820</t>
  </si>
  <si>
    <t>PROARCA</t>
  </si>
  <si>
    <t>Cotización vía telefonica</t>
  </si>
  <si>
    <t>Vidrios Templex</t>
  </si>
  <si>
    <t>Dispensador de jabon X 1000 ml</t>
  </si>
  <si>
    <t>https://www.homecenter.com.co/homecenter-co/product/487334/Dispensador-de-Jabon-1000ml/487334</t>
  </si>
  <si>
    <t>Soldadura PVC disolvente 1/4 galon</t>
  </si>
  <si>
    <t>Adapatador macho 1/2" a presión</t>
  </si>
  <si>
    <t>Duchas Antivandálica Regadera Tubular Corona</t>
  </si>
  <si>
    <t>Corona</t>
  </si>
  <si>
    <t>https://corona.co/productos/griferias/griferias-institucionales/ducha-antivandalica-regadera-tubular/p/754000001</t>
  </si>
  <si>
    <t>Ducha de emergencia en laboratorio</t>
  </si>
  <si>
    <t>Pintura de poliuretano X Galon + catalizador (Rto 60m2/gal)</t>
  </si>
  <si>
    <t>Sellante base poliuretano tipo Sika Flex 1A  300 ml</t>
  </si>
  <si>
    <t>Tormillo superboard 6x1 por 100unidades (unidad a 53 pesos)</t>
  </si>
  <si>
    <t>Cinta superboard X 20 m</t>
  </si>
  <si>
    <t>Cinta Fibra de Vidrio 90mt x 50mm 75g/m2</t>
  </si>
  <si>
    <t>https://www.homecenter.com.co/homecenter-co/product/298821/formaleta-19-mm-dimensionada-028x244m</t>
  </si>
  <si>
    <t>Pintura de demarcacion amarilla XGALON (Rton 8 a 10m2/Gal--0.1 Gal/m2)</t>
  </si>
  <si>
    <t>Puerta en lámina metálica</t>
  </si>
  <si>
    <t>Interruptor sencillo</t>
  </si>
  <si>
    <t>Halones de madera para marcación</t>
  </si>
  <si>
    <t>Clavos de acero 1 1/2"   x 500g</t>
  </si>
  <si>
    <t>Cordón de polietileno expandido</t>
  </si>
  <si>
    <t>Esmalte anticorrosivo epoxico rico en zinc x 1 galón</t>
  </si>
  <si>
    <t>Pintura y/o esmalte acrilico brillante 1 galon</t>
  </si>
  <si>
    <t>COLMENA</t>
  </si>
  <si>
    <t>https://ferropaz.com/index.php?id_product=7&amp;controller=product</t>
  </si>
  <si>
    <t>TEJA TERMOACÚSTICA 5.9x0.94m</t>
  </si>
  <si>
    <t>TEJA TERMOACÚSTICA</t>
  </si>
  <si>
    <t>Perfil cuadrado 100x100 mm e=4mm x 6m</t>
  </si>
  <si>
    <t>Perfil cuadrado 100x100 mm e=4mm</t>
  </si>
  <si>
    <t>Perfil rectangular 80x40 mm e=3mm x 6m</t>
  </si>
  <si>
    <t>Perfil rectangular 80x40 mm e=3mm</t>
  </si>
  <si>
    <t>Elemenos de fijación Teja Termoacustica 10 par</t>
  </si>
  <si>
    <t>Tornillos autoperforantes 1/2" x 1 -1/2" zinc hexagono metal teck x 800 und</t>
  </si>
  <si>
    <t>Elementos de fijación Teja Termoacustica 1 par</t>
  </si>
  <si>
    <t>Piso en caucho granular nacional reciclado espesor 5 cm 10 m2</t>
  </si>
  <si>
    <t>https://www.homecenter.com.co/homecenter-co/product/351891/piso-caucho-espesor-3cm-de-llanta-reciclada-x10m2-verde-instalado</t>
  </si>
  <si>
    <t>Imprimante emulsión asfaltico sika 5 gl</t>
  </si>
  <si>
    <t>https://www.homecenter.com.co/homecenter-co/product/66860?kid=bnnext1022605&amp;gclid=EAIaIQobChMIoLObsIuG8QIV9QFMCh2d8QBvEAQYASABEgLxEPD_BwE</t>
  </si>
  <si>
    <t>Arena Fina lavada 40 kg para arenero infantil</t>
  </si>
  <si>
    <t>https://www.homecenter.com.co/homecenter-co/product/297066/Arena-Lavada-40-Kg/297066?id=297066&amp;name=Arena-Lavada-40-Kg&amp;defaultVariant=297066&amp;currentpage=1</t>
  </si>
  <si>
    <t>Arena Fina lavada para arenero infantil</t>
  </si>
  <si>
    <t>Piedras de canto rodado de 3"</t>
  </si>
  <si>
    <t>http://www.colombia.generadordeprecios.info/espacios_urbanos/calculaprecio.asp?Valor=2|0_1|1|MPP030|mpp_030:_0_0_0_50_0_0_0_0_0</t>
  </si>
  <si>
    <t>Tierra negra (bolsa 10kg)</t>
  </si>
  <si>
    <t>https://www.homecenter.com.co/homecenter-co/product/144469/Tierra-Jarditec-10-Kg/144469</t>
  </si>
  <si>
    <t>Tierra negra</t>
  </si>
  <si>
    <t>Tepe de grama natural</t>
  </si>
  <si>
    <t>Madera Natural 2"x 8" 4m</t>
  </si>
  <si>
    <t>https://www.homecenter.com.co/homecenter-co/product/101542/Pino-2X8-Pulgadas-3962-mts-Cepillado-41X185-cm/101542</t>
  </si>
  <si>
    <t>Deck madera natural e=2.5 cm caja por 0.39 m2</t>
  </si>
  <si>
    <t>ALVIMAC SOLUTIONS</t>
  </si>
  <si>
    <t>Cotizacion formal - ALVIMAC SOLUTIONS COT 6</t>
  </si>
  <si>
    <t>Suministro, transporte e instalacion de MUEBLE DE COCIETA 1,6 DE LARGO X 0,6 DDE PROFUNDO INCLUYE LAVAPLATOS, tipo institucional. Incluye todo lo necesario para su correcta instalaciony funcionamiento.</t>
  </si>
  <si>
    <t>Suministro, transporte e instalacion de MUEBLE DE COCIETA 1,6 DE LARGO X 0,6 DDE PROFUNDO INCLUYE LAVAPLATOS, tipo institucional. Incluye todo lo necesario para su correcta instalacion y funcionamiento.</t>
  </si>
  <si>
    <t>Suministro, transporte e instalación de Meson con espacio para lavamanos ancho 0,6 con sus respectivas perforaciones según diseño</t>
  </si>
  <si>
    <t>Suministro, transporte e instalación de Meson de laboratorio según diseño (ancho ,6)</t>
  </si>
  <si>
    <t>Suministro, transporte e instalación de Mesón en acero inoxidable medidas variables según diseño para tienda</t>
  </si>
  <si>
    <t>Suministro e Instalación de pasamanos en tubería negra liviana en exteriores proximos de los edificios parales de 2" cada 2.25m y quitamiedos en tuberia negra liviana de 1" cada 0.19m L=0.35m. Incluye suministro y transporte de los materiales, platina de 3/16*1-1/2 de 4"x4" soldada al paral (tubería negra liviana de 2")   y anclada con pernos expansivos a lagrimal de concreto, pintura anticorrosivo, pintura de poliuretano; incluye todos los elementos necesarios para su correcta construcción y funcionamiento.</t>
  </si>
  <si>
    <t xml:space="preserve">Suministro e instalación de pasamanos para guiar la recoleccion de alimentos en acero inoxidable </t>
  </si>
  <si>
    <t>Sumimistro e Instalación de pasamanos en tubería negra liviana en exteriores o zonas de urbanismo parales de 2" cada 2.25m y quitamiedos en tuberia negra liviana de 1" cada 0.19m L=0.35m. Incluye suministro y transporte de los materiales, platina de 3/16*1-1/2 de 4"x4" soldada al paral (tubería negra liviana de 2")   y anclada con pernos expansivos a lagrimal de concreto, pintura anticorrosivo, pintura de poliuretano; incluye todos los elementos necesarios para su correcta construcción y funcionamiento.</t>
  </si>
  <si>
    <t>SUPER GLASS</t>
  </si>
  <si>
    <t>Combo Sanitario Campamento</t>
  </si>
  <si>
    <t>https://www.homecenter.com.co/homecenter-co/product/294633/Combo-Sanitario-Acuaplus-Ultra-sin-pedestal-Blanco/294633?id=294633&amp;name=Combo-Sanitario-Acuaplus-Ultra-sin-pedestal-Blanco&amp;defaultVariant=294633&amp;currentpage=1</t>
  </si>
  <si>
    <t>Panel Acustico en madera inmunizada 0.5 m x 0.5 m</t>
  </si>
  <si>
    <t>AQ</t>
  </si>
  <si>
    <t>Arena especial compactación</t>
  </si>
  <si>
    <t xml:space="preserve">Mortero 1:3 </t>
  </si>
  <si>
    <t>Tarima flotante de entablado de madera de e=22mm, barnizada con barniz ultravioleta y de poliuretano</t>
  </si>
  <si>
    <t>Herraje antifraude 30 x 30</t>
  </si>
  <si>
    <t>Aviso emergencia</t>
  </si>
  <si>
    <t>Tuberia PVC 3" DB</t>
  </si>
  <si>
    <t>Tuberia PVC 4" DB</t>
  </si>
  <si>
    <t>Cinta señalización x 500 m</t>
  </si>
  <si>
    <t>Excavación y botada de tierra</t>
  </si>
  <si>
    <t xml:space="preserve">Herraje 60 x 80 </t>
  </si>
  <si>
    <t>AYUDANTE</t>
  </si>
  <si>
    <t>OFICIAL</t>
  </si>
  <si>
    <t>TOPOGRAFO</t>
  </si>
  <si>
    <t>SALARIO</t>
  </si>
  <si>
    <t>1 MINIMO</t>
  </si>
  <si>
    <t>1.0 MINIMOS</t>
  </si>
  <si>
    <t>2 MINIMOS</t>
  </si>
  <si>
    <t>VALOR</t>
  </si>
  <si>
    <t>REFERENCIA</t>
  </si>
  <si>
    <t>Mensual</t>
  </si>
  <si>
    <t>A</t>
  </si>
  <si>
    <t>Subsidio de transporte</t>
  </si>
  <si>
    <t>B</t>
  </si>
  <si>
    <t>Total Mensual</t>
  </si>
  <si>
    <t>C</t>
  </si>
  <si>
    <t>Anual (A/30x365)</t>
  </si>
  <si>
    <t>D</t>
  </si>
  <si>
    <t>Anual con subsidio de transporte</t>
  </si>
  <si>
    <t>E</t>
  </si>
  <si>
    <t>Subsidio de transporte Anual (incluido en E)</t>
  </si>
  <si>
    <t>CONCEPTO</t>
  </si>
  <si>
    <t xml:space="preserve">BASE </t>
  </si>
  <si>
    <t>FACTOR</t>
  </si>
  <si>
    <t>Valor Anual</t>
  </si>
  <si>
    <t>Salario anual (365 dias)</t>
  </si>
  <si>
    <t>Subsidio Transporte</t>
  </si>
  <si>
    <t>Cesantia anual</t>
  </si>
  <si>
    <t>36/365</t>
  </si>
  <si>
    <t>Interes cesantia</t>
  </si>
  <si>
    <t>Cesantia</t>
  </si>
  <si>
    <t>Vacaciones - 15 dias</t>
  </si>
  <si>
    <t>Prima 30 dias</t>
  </si>
  <si>
    <t>OTROS COSTOS</t>
  </si>
  <si>
    <t>Botas y overol</t>
  </si>
  <si>
    <t>Seguro colectivo</t>
  </si>
  <si>
    <t>EPP</t>
  </si>
  <si>
    <t>SEGURIDAD SOCIAL</t>
  </si>
  <si>
    <t>Dotación</t>
  </si>
  <si>
    <t>Pensiones</t>
  </si>
  <si>
    <t>Overol 2 piezas</t>
  </si>
  <si>
    <t>Salud</t>
  </si>
  <si>
    <t>Botas industriales</t>
  </si>
  <si>
    <t>Riesgos Profesionales</t>
  </si>
  <si>
    <t>APORTES SENA</t>
  </si>
  <si>
    <t>Aporte ordinario</t>
  </si>
  <si>
    <t>Fondo Industria Construccion</t>
  </si>
  <si>
    <t>OTROS APORTES</t>
  </si>
  <si>
    <t>Casco de seguridad</t>
  </si>
  <si>
    <t>I.C.B.F.</t>
  </si>
  <si>
    <t>Guantes de Carnaza</t>
  </si>
  <si>
    <t>Subsidio Familiar</t>
  </si>
  <si>
    <t>Monogafas</t>
  </si>
  <si>
    <t>VALOR REAL SALARIO ANUAL</t>
  </si>
  <si>
    <t>Botas de caucho</t>
  </si>
  <si>
    <t>Respirador (50und)</t>
  </si>
  <si>
    <t>VALOR REAL SALARIO MENSUAL</t>
  </si>
  <si>
    <t>Tapaoido 32db (24und)</t>
  </si>
  <si>
    <t>VALOR REAL SALARIO DIARIO</t>
  </si>
  <si>
    <t>AA</t>
  </si>
  <si>
    <t>BB</t>
  </si>
  <si>
    <t>CC</t>
  </si>
  <si>
    <t>DD</t>
  </si>
  <si>
    <t>CUADRILLAS</t>
  </si>
  <si>
    <t>VALOR HORA CUADRILLA PINTURA</t>
  </si>
  <si>
    <t>VALOR HORA CUADRILLA CARPINTERIA</t>
  </si>
  <si>
    <t>VALOR HORA CUADRILLA TOPOGRAFIA</t>
  </si>
  <si>
    <t>VALOR HORA CUADRILLA EXCAVACION</t>
  </si>
  <si>
    <t>CUADRILLA 0:1</t>
  </si>
  <si>
    <t>CUADRILLA 0:2</t>
  </si>
  <si>
    <t>CUADRILLA 1:0</t>
  </si>
  <si>
    <t>CUADRILLA 1:1</t>
  </si>
  <si>
    <t>CUADRILLA 1:2</t>
  </si>
  <si>
    <t>CUADRILLA 1:3</t>
  </si>
  <si>
    <t>CUADRILLA 1:4</t>
  </si>
  <si>
    <t>CUADRILLA 1:5</t>
  </si>
  <si>
    <t>Fuenta de las imágenes Contrudata</t>
  </si>
  <si>
    <t>TIPO DE CUADRILLA</t>
  </si>
  <si>
    <t>CUADRILLA AA ALBAÑILERÍA 0:1</t>
  </si>
  <si>
    <t>H/C</t>
  </si>
  <si>
    <t>CUADRILLA AA ALBAÑILERÍA 0:2</t>
  </si>
  <si>
    <t>CUADRILLA AA ALBAÑILERÍA 1:0</t>
  </si>
  <si>
    <t>CUADRILLA AA ALBAÑILERÍA 1:1</t>
  </si>
  <si>
    <t>CUADRILLA AA ALBAÑILERÍA 1:2</t>
  </si>
  <si>
    <t>CUADRILLA AA ALBAÑILERÍA 1:3</t>
  </si>
  <si>
    <t>CUADRILLA AA ALBAÑILERÍA 1:4</t>
  </si>
  <si>
    <t>CUADRILLA AA ALBAÑILERÍA 1:5</t>
  </si>
  <si>
    <t>CUADRILLA BB INSTALACIONES 0:1</t>
  </si>
  <si>
    <t>CUADRILLA BB INSTALACIONES 0:2</t>
  </si>
  <si>
    <t>CUADRILLA BB INSTALACIONES 1:0</t>
  </si>
  <si>
    <t>CUADRILLA BB INSTALACIONES 1:1</t>
  </si>
  <si>
    <t>CUADRILLA BB INSTALACIONES 1:2</t>
  </si>
  <si>
    <t>CUADRILLA BB INSTALACIONES 1:3</t>
  </si>
  <si>
    <t>CUADRILLA BB INSTALACIONES 1:4</t>
  </si>
  <si>
    <t>CUADRILLA BB INSTALACIONES 1:5</t>
  </si>
  <si>
    <t>CUADRILLA CC PINTURA 0:1</t>
  </si>
  <si>
    <t>CUADRILLA CC PINTURA 0:2</t>
  </si>
  <si>
    <t>CUADRILLA CC PINTURA 1:0</t>
  </si>
  <si>
    <t>CUADRILLA CC PINTURA 1:1</t>
  </si>
  <si>
    <t>CUADRILLA CC PINTURA 1:2</t>
  </si>
  <si>
    <t>CUADRILLA CC PINTURA 1:3</t>
  </si>
  <si>
    <t>CUADRILLA CC PINTURA 1:4</t>
  </si>
  <si>
    <t>CUADRILLA CC PINTURA 1:5</t>
  </si>
  <si>
    <t>CUADRILLA DD CARPINTERÍA 0:1</t>
  </si>
  <si>
    <t>CUADRILLA DD CARPINTERÍA 0:2</t>
  </si>
  <si>
    <t>CUADRILLA DD CARPINTERÍA 1:0</t>
  </si>
  <si>
    <t>CUADRILLA DD CARPINTERÍA 1:1</t>
  </si>
  <si>
    <t>CUADRILLA DD CARPINTERÍA 1:2</t>
  </si>
  <si>
    <t>CUADRILLA DD CARPINTERÍA 1:3</t>
  </si>
  <si>
    <t>CUADRILLA DD CARPINTERÍA 1:4</t>
  </si>
  <si>
    <t>CUADRILLA DD CARPINTERÍA 1:5</t>
  </si>
  <si>
    <t>CUADRILLA TOPOGRAFIA 1:2</t>
  </si>
  <si>
    <t>CUADRILLA DD EXCAVACION 0:1</t>
  </si>
  <si>
    <t>CUADRILLA DD EXCAVACION 0:2</t>
  </si>
  <si>
    <t>CUADRILLA DD EXCAVACION 1:0</t>
  </si>
  <si>
    <t>CUADRILLA DD EXCAVACION 1:1</t>
  </si>
  <si>
    <t>CUADRILLA DD EXCAVACION 1:2</t>
  </si>
  <si>
    <t>CUADRILLA DD EXCAVACION 1:3</t>
  </si>
  <si>
    <t>CUADRILLA DD EXCAVACION 1:4</t>
  </si>
  <si>
    <t>CUADRILLA DD EXCAVACION 1:5</t>
  </si>
  <si>
    <t>CUADRILLA DD CONCRETOS 0:1</t>
  </si>
  <si>
    <t>CUADRILLA DD CONCRETOS 0:2</t>
  </si>
  <si>
    <t>CUADRILLA DD CONCRETOS 1:0</t>
  </si>
  <si>
    <t>CUADRILLA DD CONCRETOS 1:1</t>
  </si>
  <si>
    <t>CUADRILLA DD CONCRETOS 1:2</t>
  </si>
  <si>
    <t>CUADRILLA DD CONCRETOS 1:3</t>
  </si>
  <si>
    <t>CUADRILLA DD CONCRETOS 1:4</t>
  </si>
  <si>
    <t>CUADRILLA DD CONCRETOS 1:5</t>
  </si>
  <si>
    <r>
      <t xml:space="preserve">VALOR HORA CUADRILLA </t>
    </r>
    <r>
      <rPr>
        <b/>
        <sz val="9"/>
        <color indexed="53"/>
        <rFont val="Bahnschrift SemiLight SemiConde"/>
        <family val="2"/>
      </rPr>
      <t>ALBAÑILERIA</t>
    </r>
  </si>
  <si>
    <r>
      <t xml:space="preserve">VALOR HORA CUADRILLA </t>
    </r>
    <r>
      <rPr>
        <b/>
        <sz val="9"/>
        <color indexed="18"/>
        <rFont val="Bahnschrift SemiLight SemiConde"/>
        <family val="2"/>
      </rPr>
      <t>INSTALACIONES</t>
    </r>
  </si>
  <si>
    <t>Estación total</t>
  </si>
  <si>
    <t>Sika 1 x 4kg</t>
  </si>
  <si>
    <t>http://madelistas.blogspot.com/p/medidas-largueros-alfardas-351-mt-8.html</t>
  </si>
  <si>
    <t xml:space="preserve">https://www.homecenter.com.co/homecenter-co/product/557061/ventana-10x10m-alum-pint-marron-vid-4-mm/557061/?kid=bnnext1031755&amp;shop=googleShopping&amp;gclid=CjwKCAjwj42UBhAAEiwACIhADr4rTAKVrr1du6AIQEWG-TgGxe4B-HWRLsemFlqc1KFAlNndzEbMJBoCXtYQAvD_BwE </t>
  </si>
  <si>
    <t xml:space="preserve">https://www.homecenter.com.co/homecenter-co/product/287622/plastico-negro-150x3m-ancho-cal35 </t>
  </si>
  <si>
    <t>https://www.easy.com.co/p/puntilla-lisa-3.7-mm-x-3%22con-cabeza-hierro-x500g/</t>
  </si>
  <si>
    <t xml:space="preserve">https://www.homecenter.com.co/homecenter-co/product/267914/Toma-Doble-P-T-Blanca-Primmus/267914 </t>
  </si>
  <si>
    <t xml:space="preserve">https://www.easy.com.co/p/cable-no.12-cobre-verde-x100m/ </t>
  </si>
  <si>
    <t xml:space="preserve">https://www.homecenter.com.co/homecenter-co/product/93240/Madera-aserrada-4-x-85-cm-x-30-m-aproximadamente/93240 </t>
  </si>
  <si>
    <t>Larguero madera común 4cmx8,5cmx3.00m.</t>
  </si>
  <si>
    <t xml:space="preserve">https://www.homecenter.com.co/homecenter-co/product/208185/SUPERBOARD-MAD-6mm-244x122cm-2472kg-aprox/208185 </t>
  </si>
  <si>
    <t>Hoja de super board de 6mm (244x122 cm)</t>
  </si>
  <si>
    <t>EASY</t>
  </si>
  <si>
    <t xml:space="preserve">https://www.homecenter.com.co/homecenter-co/product/70909/Pino-1X2-Pulgadas-32-mts-Cepillado-19X41-cm/70909 </t>
  </si>
  <si>
    <t xml:space="preserve">https://www.homecenter.com.co/homecenter-co/product/90443/Clavo-Acero-Concreto-1-1-2-500g/90443 </t>
  </si>
  <si>
    <t xml:space="preserve">https://www.homecenter.com.co/homecenter-co/product/241309/pintura-demarcacion-amarillo-1-galon </t>
  </si>
  <si>
    <t xml:space="preserve">https://www.homecenter.com.co/homecenter-co/product/97446/Nylon-1-mm-x-100-metros-Araty/97446 </t>
  </si>
  <si>
    <t xml:space="preserve">https://www.homecenter.com.co/homecenter-co/product/425390/?cid=494566&amp;=INTERNA </t>
  </si>
  <si>
    <t>Tela PP Verde/amarilla 100mlx 2.1 m ancho ($2143 el m2)</t>
  </si>
  <si>
    <t>Tablones de madera para marcación de 3 m</t>
  </si>
  <si>
    <t>Hilo de Nylon resistencia 90 lb, e:1mm carrete x 100m</t>
  </si>
  <si>
    <t xml:space="preserve">http://www.colombia.generadordeprecios.info/obra_nueva/Revestimientos/Suelos_y_pavimentos/Ceramicos_gres/Perfil_para_junta_estructural_0_1_1_0_0_0_0_0_1.html </t>
  </si>
  <si>
    <t>MAQUINARIA Y EQUIPOS</t>
  </si>
  <si>
    <t>Actividades</t>
  </si>
  <si>
    <t>Equipo De Seguridad (CASCO+ PIN SEGURIDAD PARA VERT)</t>
  </si>
  <si>
    <t>Taco Metálico 4.5 m</t>
  </si>
  <si>
    <t>CONEQUIPOS</t>
  </si>
  <si>
    <t>Taco Metálico hasta 3.3 m</t>
  </si>
  <si>
    <t>Vibrocompactador ( a gasolina tipo rana)</t>
  </si>
  <si>
    <t>Allanadora 36" Con Operador (Alquiler)</t>
  </si>
  <si>
    <t>Bombeo Concreto (Alquiler)</t>
  </si>
  <si>
    <t>Can Zunchado En Madera Común 5,0cmx20cmx2.8m (Alquiler)</t>
  </si>
  <si>
    <t>Cercha Metálica De 3 Ml</t>
  </si>
  <si>
    <t>ARRENDAEQUIPOS SAS</t>
  </si>
  <si>
    <t>Cotización formal - ARRENDAEQUIPOS SAS COT 5</t>
  </si>
  <si>
    <t>Concretadora 2 Sacos (Alquiler)</t>
  </si>
  <si>
    <t>Cortadora De Baldosín (Alquiler)</t>
  </si>
  <si>
    <t>Cortadora Piso (Alquiler)</t>
  </si>
  <si>
    <t>CONSTRUCTORES HENAO PATIÑO SAS</t>
  </si>
  <si>
    <t>Cotización formal - CONSTRUCTORES HENAO PATIÑO SAS COT 6</t>
  </si>
  <si>
    <t>Helicóptero (Alquiler)</t>
  </si>
  <si>
    <t>Pulidora Piso (Alquiler)</t>
  </si>
  <si>
    <t>Sección completa de andamio (1.2m-1.5m) x 1.5 m. (+ 4 r)</t>
  </si>
  <si>
    <t>Vibrador Eléctrico (Alquiler)</t>
  </si>
  <si>
    <t>3.3.7.3/5.2.5.13</t>
  </si>
  <si>
    <t>Taladro demoledor tipo bosch para piso</t>
  </si>
  <si>
    <t>3.3.7.3/5.2.5.4/5.2.5.5/5.2.5.6/5.2.5.7/5.2.5.8/5.2.5.13/5,10,5,10/5,2,5,12</t>
  </si>
  <si>
    <t>cortadora de ladrillo</t>
  </si>
  <si>
    <t>Disco para cortadora de ladrillo</t>
  </si>
  <si>
    <t xml:space="preserve">Cortadora de ceramica </t>
  </si>
  <si>
    <t>ARRENDAEQUIPOS S.A.S</t>
  </si>
  <si>
    <t>Distriandamios</t>
  </si>
  <si>
    <t>Plantilla PVC para zocalo 3 metros</t>
  </si>
  <si>
    <t>Herramienta Menor Eléctrica</t>
  </si>
  <si>
    <t>Cruceta 2,4 m</t>
  </si>
  <si>
    <t>Diagonal V 48 para cruceta de 2,4 m</t>
  </si>
  <si>
    <t>GUINOVART</t>
  </si>
  <si>
    <t>https://www.easy.com.co/p/esmalte-domestico-acabado-superior-mate-negro-x1-gal/</t>
  </si>
  <si>
    <t>Cotizacion telefónica</t>
  </si>
  <si>
    <t xml:space="preserve">https://www.easy.com.co/c/pisos-y-paredes/esquineros/ </t>
  </si>
  <si>
    <t xml:space="preserve">http://www.colombia.generadordeprecios.info/obra_nueva/Revestimientos/Pisos/De_madera/Tarima_de_madera_para_interior.html </t>
  </si>
  <si>
    <t xml:space="preserve">https://www.homecenter.com.co/homecenter-co/product/297066/arena-lavada-40-kg/297066/?queryId=f7c65491-b2f1-4015-b9f5-66185849d519 </t>
  </si>
  <si>
    <t xml:space="preserve">https://www.easy.com.co/p/acido-nitrico-x750-cm3/ </t>
  </si>
  <si>
    <t xml:space="preserve">https://www.tiendargos.com.co/concreto-premezclado-multiproposito-de-3-000-psi/p </t>
  </si>
  <si>
    <t xml:space="preserve">https://www.homecenter.com.co/homecenter-co/product/66921/sikalisto-piso-50-kilos </t>
  </si>
  <si>
    <t>Geotextil NT 1600</t>
  </si>
  <si>
    <t>Geotextil NT 1600 (3.85x1 m)</t>
  </si>
  <si>
    <t>EL PALUSTRE</t>
  </si>
  <si>
    <t>https://www.homecenter.com.co/homecenter-co/product/298820/formaleta-dimensionada-025x244m/298820/?queryId=0d750d3d-382e-4c48-a569-ac662bab3522</t>
  </si>
  <si>
    <t xml:space="preserve">https://www.homecenter.com.co/homecenter-co/product/378786/desmoldante-dma-1000-co-x-4kilos </t>
  </si>
  <si>
    <t xml:space="preserve">https://www.homecenter.com.co/homecenter-co/product/93236/estacon-250-metros-x-10-cm-aproximadamente-inmunizar </t>
  </si>
  <si>
    <t xml:space="preserve">https://www.homecenter.com.co/homecenter-co/product/39312/yumbolon-3-8-pulg-x-25mt-gris </t>
  </si>
  <si>
    <t xml:space="preserve">https://www.homecenter.com.co/homecenter-co/product/116644/Placa-de-Yeso-3-8pg-122x244m-95mm-Knauf/116644 </t>
  </si>
  <si>
    <t xml:space="preserve">https://www.easy.com.co/p/tornillo-7-mm-x-7~16%22-rosca-fina-drywall-x1000und/ </t>
  </si>
  <si>
    <t xml:space="preserve">https://www.homecenter.com.co/homecenter-co/product/61522/tornillo-panel-drywall-pta-aguda-6x1-100un </t>
  </si>
  <si>
    <t xml:space="preserve">https://www.homecenter.com.co/homecenter-co/product/51755/masilla-supermastick-plus-45gal-28kg </t>
  </si>
  <si>
    <t xml:space="preserve">https://guinovart.com.co/lavamanos-tipo-quirurgico-50x45x50-cm/ </t>
  </si>
  <si>
    <t xml:space="preserve">Subanálisis de precios unitarios (ver hoja de cálculo CONCRETOS Y MORTEROS) </t>
  </si>
  <si>
    <t xml:space="preserve">https://www.homecenter.com.co/homecenter-co/product/93240/madera-aserrada-4-x-85-cm-x-30-m-aproximadamente </t>
  </si>
  <si>
    <t>Madera aserrada 4 x 8,5 cm x 3,0 m</t>
  </si>
  <si>
    <t xml:space="preserve">https://www.homecenter.com.co/homecenter-co/search?Ntt=larguero%20madera&amp;sTerm=largue&amp;sType=suggest&amp;sScenario=BTP_SUG_larguero%20madera </t>
  </si>
  <si>
    <t xml:space="preserve">https://www.homecenter.com.co/homecenter-co/product/283695/disco-diamantado-segmentado-7-pulgadas-ref-dw47702hp </t>
  </si>
  <si>
    <t>https://www.homecenter.com.co/homecenter-co/product/47748/lagrimal-50-cm-x-25-cm-7-kilos-2-u-m2-muro-de-15/47748/</t>
  </si>
  <si>
    <t xml:space="preserve">https://corona.co/productos/pinturas/pinturas-para-especialidades/esmalte-epoxy-pisos/p/esmalte-epoxy-pisos </t>
  </si>
  <si>
    <t>MADELISTAS</t>
  </si>
  <si>
    <t xml:space="preserve">https://www.homecenter.com.co/homecenter-co/product/236671/Griferia-Lavamanos-Sencilla-Dalia/236671 </t>
  </si>
  <si>
    <t xml:space="preserve">https://www.homecenter.com.co/homecenter-co/product/124214/Sifon-tipo-botella-Gris-Grival/124214 </t>
  </si>
  <si>
    <t xml:space="preserve">https://corona.co/productos/pegantes/pegacor-ceramico/p/pegacor-ceramico-blanco </t>
  </si>
  <si>
    <t xml:space="preserve">https://corona.co/productos/boquillas/concolor-junta-estrecha/p/903051011?gclid=EAIaIQobChMI86WFweS38AIVrMiUCR27WQ_VEAQYASABEgJR1PD_BwE </t>
  </si>
  <si>
    <t xml:space="preserve">https://www.homecenter.com.co/homecenter-co/product/176141/esquinero-plastico-240-metros </t>
  </si>
  <si>
    <t>https://www.homecenter.com.co/homecenter-co/product/499508/estopa-de-1000-gr/499508/?kid=bnnext1031765&amp;shop=googleShopping&amp;gclid=Cj0KCQjwspKUBhCvARIsAB2IYutyv_OyDVuSNglhshsWM8fBUdzpD_xr9kue1cETJF_Qb0yDomwwntIaAsWIEALw_wcB</t>
  </si>
  <si>
    <t xml:space="preserve">https://corona.co/productos/revestimientos/paredes/pared-estructurada-eco-blanco-cara-unica-30x60/p/609919001 </t>
  </si>
  <si>
    <t xml:space="preserve">https://www.homecenter.com.co/homecenter-co/product/73411/Adobe-Coco-10x20x40cm-55kg-125u-m2/73411 </t>
  </si>
  <si>
    <t xml:space="preserve">https://www.homecenter.com.co/homecenter-co/product/305265/Media-cana-coextruida-6-x-300-cm/305265?id=305265&amp;name=Media-cana-coextruida-6-x-300-cm&amp;defaultVariant=305265&amp;currentpage=1 </t>
  </si>
  <si>
    <t xml:space="preserve">https://corona.co/productos/obra-gris/sellos/sismoflex/p/407411921 </t>
  </si>
  <si>
    <t>https://www.homecenter.com.co/homecenter-co/product/329949/yumbolon-10mm-x122x15-blanco-183m2/329949/</t>
  </si>
  <si>
    <t xml:space="preserve">https://www.homecenter.com.co/homecenter-co/product/279364/triturado-3-4-pulgada-50kg </t>
  </si>
  <si>
    <t xml:space="preserve">https://www.homecenter.com.co/homecenter-co/product/279366/Arena-Lavada-Concreto-50kg/279366 </t>
  </si>
  <si>
    <t xml:space="preserve">https://www.homecenter.com.co/homecenter-co/product/150418/dilatacion-u-305-m </t>
  </si>
  <si>
    <t xml:space="preserve">https://www.homecenter.com.co/homecenter-co/product/15753/lija-de-agua-400 </t>
  </si>
  <si>
    <t xml:space="preserve">https://www.homecenter.com.co/homecenter-co/product/348402?kid=bnnext1022605&amp;gclid=Cj0KCQjwna2FBhDPARIsACAEc_Uk3TPF4BKf4dYDuaQPGLL5-6Ic2JrS743wWXAQzRKoU2-R9mGLImgaAqUHEALw_wcB </t>
  </si>
  <si>
    <t xml:space="preserve">https://www.homecenter.com.co/homecenter-co/product/115508/Disolvente-Hexion-x-1000-cc/115508 </t>
  </si>
  <si>
    <t xml:space="preserve">https://www.homecenter.com.co/homecenter-co/product/83655/primer-sellador-1-galon-bulls-eye-1-2-3 </t>
  </si>
  <si>
    <t xml:space="preserve">https://www.homecenter.com.co/homecenter-co/product/236818?kid=bnnext1022605&amp;gclid=Cj0KCQjwna2FBhDPARIsACAEc_WSsX-lrWk9SyCXW3NyliQvjltApYgF2H0OlCjO3T_Jk7CKutEOQy8aAvaSEALw_wcB </t>
  </si>
  <si>
    <t xml:space="preserve">https://www.homecenter.com.co/homecenter-co/product/254235/Adhesivo-Pisos-Flexibles-Rollo-Arquitectonico-1-Galon/254235 </t>
  </si>
  <si>
    <t xml:space="preserve">https://www.homecenter.com.co/homecenter-co/product/483100/piso-baldosa-granito-de-marmol-blanco-huila-30x30cm-caja-x-24m2 </t>
  </si>
  <si>
    <t xml:space="preserve">https://www.homecenter.com.co/homecenter-co/product/69130/Estucor-Estuco-Plastico-6-Kilos/69130 </t>
  </si>
  <si>
    <t xml:space="preserve">http://www.colombia.generadordeprecios.info/rehabilitacion/Revestimentos/Suelos_y_pisos/Reparaciones/Rejuntado_de_piso_ceramico.html?mradio_00001D21=on&amp;mradio_00001D22=on </t>
  </si>
  <si>
    <t xml:space="preserve">https://www.homecenter.com.co/homecenter-co/product/209914/?cid=494566&amp;=INTERNA </t>
  </si>
  <si>
    <t>Plastico negro 150X3 m ancho Cal 3.5 (m2 a $1462)</t>
  </si>
  <si>
    <t xml:space="preserve">https://coval.com.co/pdfs/listasprecios/ult_gerfor_tubosistemas.pdf </t>
  </si>
  <si>
    <t xml:space="preserve">https://www.homecenter.com.co/homecenter-co/product/305264/media-cana-coextruida-9-x-300-cm </t>
  </si>
  <si>
    <t xml:space="preserve">https://www.homecenter.com.co/homecenter-co/product/38220/cemento-argos-blanco-40kg </t>
  </si>
  <si>
    <t>https://corona.co/productos/plomeria/acople-12-x-12-de-40cm-en-acero-para-lavamanos-y-lavaplatos/p/O22930001</t>
  </si>
  <si>
    <t>https://www.homecenter.com.co/homecenter-co/product/364541/valvula-de-regulacion-metalica-1-2-hm-acople-acero-1-2-40cm/364541/?kid=bnnext1031759&amp;shop=googleShopping&amp;gclid=Cj0KCQjwspKUBhCvARIsAB2IYutQDmOq7fG7P6FbUobv87WdfXdekY4ZrbNM_ffD3hBA0MPK7ajJNwgaAt7_EALw_wcB</t>
  </si>
  <si>
    <t>https://www.homecenter.com.co/homecenter-co/product/258493/lavaplatos-para-empotrar-1-poceta-53x43-cm-acero-inoxidable/258493/</t>
  </si>
  <si>
    <t xml:space="preserve">https://www.homecenter.com.co/homecenter-co/product/314671/llave-manguera-pesada-metal-cromo </t>
  </si>
  <si>
    <t xml:space="preserve">https://www.homecenter.com.co/homecenter-co/product/67210/Lavaderos-80-x-60-x-25-cm-Granito-Pulido/67210 </t>
  </si>
  <si>
    <t>https://tiendacasaandina.com/cb/inicio/9724-omega-cal-26-x-244-mts-con-reborde.html</t>
  </si>
  <si>
    <t>CASA ANDINA</t>
  </si>
  <si>
    <t xml:space="preserve">https://www.homecenter.com.co/homecenter-co/product/206847/cinta-de-enmascarar-48-mm-x-40-metros </t>
  </si>
  <si>
    <t xml:space="preserve">https://www.homecenter.com.co/homecenter-co/product/319302/Esmalte-Anticorrosivo-Epoxico-Blanco-1-Galon-Cat/319302 </t>
  </si>
  <si>
    <t>https://www.homecenter.com.co/homecenter-co/product/356765/pintulux-aluminio-brillante-1-galon/356765/?queryId=9745a052-1dc0-47ab-928c-23c2aee30805</t>
  </si>
  <si>
    <t xml:space="preserve">https://ferropaz.com/index.php?id_product=7&amp;controller=product </t>
  </si>
  <si>
    <t>Materiales &amp; Químicos</t>
  </si>
  <si>
    <t>https://www.homecenter.com.co/homecenter-co/product/483100/piso-baldosa-granito-de-marmol-blanco-huila-30x30cm-caja-x-24m3</t>
  </si>
  <si>
    <t>https://www.homecenter.com.co/homecenter-co/product/483100/piso-baldosa-granito-de-marmol-blanco-huila-30x30cm-caja-x-24m4</t>
  </si>
  <si>
    <t>https://www.homecenter.com.co/homecenter-co/product/287622/plastico-negro-150x3m-ancho-cal36</t>
  </si>
  <si>
    <t xml:space="preserve">https://www.homecenter.com.co/homecenter-co/product/48812/silicona-transparente-antihongos-280-ml-supercryl </t>
  </si>
  <si>
    <t xml:space="preserve">https://www.homecenter.com.co/homecenter-co/product/31937/disco-abrasivo-corte-metal-4-1-2-x-1-8-ref-dw44820 </t>
  </si>
  <si>
    <t>Espejo de 2m de ancho x 1,2 m de alto (e=4mm)</t>
  </si>
  <si>
    <t xml:space="preserve">Espejo de 0,8m de ancho x 1,2 m de alto </t>
  </si>
  <si>
    <t xml:space="preserve">https://www.homecenter.com.co/homecenter-co/product/135322/cinta-teflon-ptfe-basica-3-4-pulgada-x-50-mts?id=135322&amp;name=cinta-teflon-ptfe-basica-3-4-pulgada-x-50-mts&amp;currentpage=1 </t>
  </si>
  <si>
    <t xml:space="preserve">https://www.homecenter.com.co/homecenter-co/product/117692/Soldadura-PVC-1-4-Galon/117692 </t>
  </si>
  <si>
    <t xml:space="preserve">https://www.homecenter.com.co/homecenter-co/product/117579/Adaptador-Macho-1-2-Presion/117579 </t>
  </si>
  <si>
    <t xml:space="preserve">https://www.homecenter.com.co/homecenter-co/product/319299/kit-esmalte-poliuretano-blanco-1-galon-catalizador </t>
  </si>
  <si>
    <t xml:space="preserve">https://www.homecenter.com.co/homecenter-co/product/23792/Sikaflex-1A-Plus-Blanco-300ml/23792 </t>
  </si>
  <si>
    <t xml:space="preserve">https://www.homecenter.com.co/homecenter-co/product/61524/tornillo-panel-drywall-pta-broca-6x1-100un </t>
  </si>
  <si>
    <t xml:space="preserve">https://www.homecenter.com.co/homecenter-co/product/15746/lija-de-agua-220 </t>
  </si>
  <si>
    <t xml:space="preserve">https://www.homecenter.com.co/homecenter-co/product/110483/cinta-20-metros-x-50-mm-fibra-de-vidrio </t>
  </si>
  <si>
    <t xml:space="preserve">https://www.homecenter.com.co/homecenter-co/product/110485/cinta-fibra-de-vidrio-90mt-x-50mm-75g-m2 </t>
  </si>
  <si>
    <t xml:space="preserve">https://www.homecenter.com.co/homecenter-co/product/298821/formaleta-19-mm-dimensionada-028x244m </t>
  </si>
  <si>
    <t>Perfil ángulo perimetral x3,05 m</t>
  </si>
  <si>
    <t>Pinturas y Yesos</t>
  </si>
  <si>
    <t>https://www.acecomaderas.com/teja-azul-blanca-upvc-forte-de-2mm-por-59-x-094-metros?utm_source=js-google-shopping-app&amp;utm_medium=js-google-shopping-app&amp;gclid=Cj0KCQjw1ZeUBhDyARIsAOzAqQK5Z71iqh7f4eaTkUxpUAJNrgQTP5fzJY8G8Ud2SN9cJq9t5fqR38YaAh3qEALw_wcB</t>
  </si>
  <si>
    <t>ACE COMADERAS</t>
  </si>
  <si>
    <t>https://tienda.fajobe.com.co/producto/tubo-estructural-cuadrado-100x100-mm-x-4-0-mm-x-6m/</t>
  </si>
  <si>
    <t>FAJOBE</t>
  </si>
  <si>
    <t>https://www.homecenter.com.co/homecenter-co/product/13302/tubo-rectangular-80-x-40-x-25mm-x-6m-estructural-hr50/13302/</t>
  </si>
  <si>
    <t xml:space="preserve">https://www.homecenter.com.co/homecenter-co/product/463603/Set-de-Fijacion-Teja-Maxter-Azul-x-10-Pares-Mathiesen/463603 </t>
  </si>
  <si>
    <t xml:space="preserve">https://www.homecenter.com.co/homecenter-co/product/416534/Caja-x-800-Tornillo-Autoperforante-Hexagonal-Flenge-12x3/416534 </t>
  </si>
  <si>
    <t xml:space="preserve">https://www.homecenter.com.co/homecenter-co/product/351891/piso-caucho-espesor-3cm-de-llanta-reciclada-x10m2-verde-instalado </t>
  </si>
  <si>
    <t xml:space="preserve">https://www.homecenter.com.co/homecenter-co/product/66860?kid=bnnext1022605&amp;gclid=EAIaIQobChMIoLObsIuG8QIV9QFMCh2d8QBvEAQYASABEgLxEPD_BwE </t>
  </si>
  <si>
    <t xml:space="preserve">https://www.homecenter.com.co/homecenter-co/product/297066/Arena-Lavada-40-Kg/297066?id=297066&amp;name=Arena-Lavada-40-Kg&amp;defaultVariant=297066&amp;currentpage=1 </t>
  </si>
  <si>
    <t xml:space="preserve">http://www.colombia.generadordeprecios.info/espacios_urbanos/calculaprecio.asp?Valor=2|0_1|1|MPP030|mpp_030:_0_0_0_50_0_0_0_0_0 </t>
  </si>
  <si>
    <t xml:space="preserve">https://www.homecenter.com.co/homecenter-co/product/144469/Tierra-Jarditec-10-Kg/144469 </t>
  </si>
  <si>
    <t xml:space="preserve">http://www.colombia.generadordeprecios.info/obra_nueva/Urbanizacion_interior_del_terreno/Jardineria/Tepes_y_cespedes/Tepe.html </t>
  </si>
  <si>
    <t xml:space="preserve">https://www.homecenter.com.co/homecenter-co/product/101542/Pino-2X8-Pulgadas-3962-mts-Cepillado-41X185-cm/101542 </t>
  </si>
  <si>
    <t xml:space="preserve">https://www.homecenter.com.co/homecenter-co/product/47729/Bloque-cemento-15-x-20-x-40-cm-125u-m2-10-mpa/47729 </t>
  </si>
  <si>
    <t xml:space="preserve">https://www.homecenter.com.co/homecenter-co/product/312660/vigueta-1-1-2-x-3-4-pulg-x-038mm-x-244m </t>
  </si>
  <si>
    <t xml:space="preserve">Aceq Laboratorios </t>
  </si>
  <si>
    <t>Cotización formal - CONEQUIPOS</t>
  </si>
  <si>
    <t>Cotización formal - ARRENDAEQUIPOS SAS</t>
  </si>
  <si>
    <t>Disco diamantado 14"</t>
  </si>
  <si>
    <t>https://www.homecenter.com.co/homecenter-co/product/268150/disco-diamantado-segmentado-14-pulgada-2608602621/268150/?kid=bnnext1031762&amp;shop=googleShopping&amp;gclid=CjwKCAjw4ayUBhA4EiwATWyBrknHYwWy68eSio80IQeP3D9D4ujlDstiIfwlmohsfOWk8ntIGkIBiRoCqv8QAvD_BwE</t>
  </si>
  <si>
    <t>Construcción de LOSA MACIZA en concreto de 21 Mpa.GENERIC FLOOR - 120MM. Incluye malla electrosoldada M188 y todo lo necesario para su correcta ejecución.</t>
  </si>
  <si>
    <t>https://corona.co/productos/pegantes/pegacor-flex/p/901191501?gclid=Cj0KCQjw1ZeUBhDyARIsAOzAqQLO8PFdklMw-SRcR-u7FlPw1uXTvAK8J7vIM5Oj9-FUoXEncLA8gOIaAudfEALw_wcB</t>
  </si>
  <si>
    <t>Adhesivo para interiores con presencia de húmedad X 25KG</t>
  </si>
  <si>
    <t xml:space="preserve">UNIDAD: </t>
  </si>
  <si>
    <t>M3</t>
  </si>
  <si>
    <t>I. MATERIALES</t>
  </si>
  <si>
    <t>NOMBRE</t>
  </si>
  <si>
    <t>PRECIO U.</t>
  </si>
  <si>
    <t>CANTIDAD
incluye desperdicio</t>
  </si>
  <si>
    <t>V/R. UNITARIO</t>
  </si>
  <si>
    <t>Cemento Gris x 50 kg</t>
  </si>
  <si>
    <t>SACO</t>
  </si>
  <si>
    <t>Arena de Concreto</t>
  </si>
  <si>
    <t>Triturado 3/4"</t>
  </si>
  <si>
    <t>Agua</t>
  </si>
  <si>
    <t>SUBTOTAL MATERIALES</t>
  </si>
  <si>
    <t>II. EQUIPO</t>
  </si>
  <si>
    <t>DESCRIPCION</t>
  </si>
  <si>
    <t>TIPO</t>
  </si>
  <si>
    <t>TARIFA/HORA</t>
  </si>
  <si>
    <t>V/R UNITARIO</t>
  </si>
  <si>
    <t>Concretadora</t>
  </si>
  <si>
    <t>gasolina</t>
  </si>
  <si>
    <t>H. MENOR(5%)</t>
  </si>
  <si>
    <t>SUBTOTAL EQUIPO</t>
  </si>
  <si>
    <t>III. TRANSPORTES</t>
  </si>
  <si>
    <t>MATERIAL</t>
  </si>
  <si>
    <t>V. Ó  P.</t>
  </si>
  <si>
    <t>DISTANCIA</t>
  </si>
  <si>
    <t>M³/KM.</t>
  </si>
  <si>
    <t>TARIFA</t>
  </si>
  <si>
    <t>V/R TOTAL</t>
  </si>
  <si>
    <t>Triurado</t>
  </si>
  <si>
    <t>Arena de concreto</t>
  </si>
  <si>
    <t>SUBTOTAL TRANSPORTE</t>
  </si>
  <si>
    <t>IV. MANO DE OBRA</t>
  </si>
  <si>
    <t>SUBTOTAL MANO DE OBRA</t>
  </si>
  <si>
    <t>Can zunchado en madera común 5 cmX20cmX3 m</t>
  </si>
  <si>
    <t>https://articulo.mercadolibre.com.co/MCO-580686754-carretilla-bellota-antipinchazo-35-tolva-metalica-65-lt-_JM?matt_tool=70147493&amp;matt_word=&amp;matt_source=google&amp;matt_campaign_id=14633851809&amp;matt_ad_group_id=122277564930&amp;matt_match_type=&amp;matt_network=g&amp;matt_device=c&amp;matt_creative=545410559217&amp;matt_keyword=&amp;matt_ad_position=&amp;matt_ad_type=pla&amp;matt_merchant_id=533436408&amp;matt_product_id=MCO580686754&amp;matt_product_partition_id=1403869200214&amp;matt_target_id=aud-978928010071:pla-1403869200214&amp;gclid=CjwKCAjw4ayUBhA4EiwATWyBrigml7CN1WlssZ2MCvSoncVb2mCr1LbFOBBpwqoPxdQzDLhFVbUQrxoC92QQAvD_BwE</t>
  </si>
  <si>
    <t>MercadoLibre</t>
  </si>
  <si>
    <t>Malla electrosoldada M188</t>
  </si>
  <si>
    <t>Carretilla Antipinchazo 3.5 - Tolva Metalica 65 Lt</t>
  </si>
  <si>
    <t>Primer Puente adherencia concreto fresco a endurecido tipo Sikadur 32 o similar</t>
  </si>
  <si>
    <t>https://www.homecenter.com.co/homecenter-co/product/07507/sikadur-32-primer-puente-adherencia-concreto-fresco-a-endurecido-1kg/07507/?kid=bnnext1031758&amp;shop=googleShopping&amp;gclid=CjwKCAjw4ayUBhA4EiwATWyBrpdQEMq6IXn8VtyzzpZAkC2m6x7eG62cqpqWqAKvLX3mG-4wAhvuGhoC_EkQAvD_BwE</t>
  </si>
  <si>
    <t>UNIDAD:</t>
  </si>
  <si>
    <t>V. Ó P.</t>
  </si>
  <si>
    <t>Herramienta menor (5% MO)</t>
  </si>
  <si>
    <t>SUB-ANÁLISIS DE CONCRETOS Y MORTEROS</t>
  </si>
  <si>
    <t>Construcción de LOSA MACIZA DINTEL, en concreto de 21MPa, E=8cm según diseño de casetón, para techos y descargue de canoas ver detalles en plano, incluye refuerzo de barras de refuerzo de 1/2" y 1/4" en su cantidad especificada en APU y todo lo necesario para su correcta ejecución</t>
  </si>
  <si>
    <t>Construcción de LOSA MACIZA DINTEL, en concreto de 21MPa, E=5cm según diseño de casetón, para techos y descargue de canoas ver detalles en plano, incluye refuerzo en malla electrosoldada D-106 en su cantidad especificada en APU y todo lo necesario para su correcto vaciado y ejecución.</t>
  </si>
  <si>
    <t>Suministro y construcción de banca en concreto de 21MPa, pulido sin espaldar, espesor-100mm en zona de jardines, ver detalle del planos arquitectónicos, incluye refuerzo de malla electrosoldada D-106 y acero de refuerzo en la cantidad especificada en APU. Incluye todo lo necesario para el correcto vaciado y ejecución de la actividad</t>
  </si>
  <si>
    <t>Pulidora manual</t>
  </si>
  <si>
    <t>https://www.homecenter.com.co/homecenter-co/product/323655/antisol-blanco-20k/323655/</t>
  </si>
  <si>
    <t>Antisol blanco 20kg</t>
  </si>
  <si>
    <t>Antisol blanco</t>
  </si>
  <si>
    <t>https://www.homecenter.com.co/homecenter-co/product/447748/fumigadora-ceres-20-litros/447748/?kid=bnnext1031776&amp;shop=googleShopping&amp;gclid=Cj0KCQjwhLKUBhDiARIsAMaTLnGu73B8Q8F3CIah1iTLC3VHupU7J4g-dqqCcs5h_4rxrNYE4B1pyToaAlGwEALw_wcB</t>
  </si>
  <si>
    <t>Fumigadora 20 Litros</t>
  </si>
  <si>
    <t>Antisol blaco</t>
  </si>
  <si>
    <t>Fumigadora 20 lt</t>
  </si>
  <si>
    <t>Moldura 1/4 (chaflán)</t>
  </si>
  <si>
    <t>Base de datos AlcMed</t>
  </si>
  <si>
    <t>Concreto 21MPa</t>
  </si>
  <si>
    <t>https://www.homecenter.com.co/homecenter-co/product/458344/cornisa-de-pvc-290mt-color-avalon-beige/458344/?kid=bnnext1031757&amp;shop=googleShopping&amp;gclid=Cj0KCQjwhLKUBhDiARIsAMaTLnFVTItI_1Oz_UzGcjLJl7MbEkkr0yGT02nJI_4opSgax-1VWXe4X8caAso4EALw_wcB</t>
  </si>
  <si>
    <t>Cornisa de PVC 2.90mt</t>
  </si>
  <si>
    <t>Cornisa PVC</t>
  </si>
  <si>
    <t>Construcción de ESCALERAS SOBRE TERRENO en concreto de 21 Mpa., con huella de 0.30 m y contra huella de 0.18 m. Incluye suministro, transporte y la colocación del concreto, formaleta de primera calidad en súper "T" de 19 mm. o su equivalente para acabado a la vista, contrahuellas, moldura chaflán en contrahuellas, vibrado, protección, curado, malla electrosoldada D84, entresuelo en piedra, arenilla y todos los demás elementos necesarios para su correcta construcción, según diseño.</t>
  </si>
  <si>
    <t>Construcción de SILLAR DE BANCA 0.7 m. en concreto de 21 MPa., vaciado en el sitio. Incluye suministro, transporte y colocación del concreto, formaleta en súper T de 19 mm y acero de refuerzo para anclaje y soporte. para acabado a la vista, protección, curado, molduras, biseles, corta goteras y todos los elementos necesarios para su correcta construcción. Según diseño necesarios para su correcta ejecución. Incluye refuerzo en malla electrosoldada D-106 y acero de refuerzo de anclaje. E=100mm</t>
  </si>
  <si>
    <t>Construcción de SILLAR DE VENTANAS 0.7 m. en concreto de 21 Mpa., vaciado en el sitio. Incluye suministro, transporte y colocación del concreto, formaleta en súper T de 19 mm y acero de refuerzo. para acabado a la vista, protección, curado, molduras, biseles, corta goteras y todos los elementos necesarios para su correcta construcción. Según diseño necesarios para su correcta ejecución. incluye refuerzo en malla electrosoldada D-106.E=100MM</t>
  </si>
  <si>
    <t>Construcción de DINTELES RECTO PEQUEÑO, en CONCRETO DE 21 MPa. Incluye suministro, transporte y colocación del concreto, formaleta completa, vibrado, curado, este elemento va revocado o enchapado en el mismo material de la mampostería, el acabado se pagará en el ítem respectivo y todos los elementos necesarios para su correcta ejecución. Incluye refuerzo.</t>
  </si>
  <si>
    <t>Construcción de ENTREPAÑOS, en CONCRETO DE 21 Mpa. Incluye suministro, transporte y colocación del concreto, formaleta completa, vibrado, curado, este elemento va revocado o enchapado en el mismo material de la mampostería, el acabado se pagará en el ítem respectivo y todos los elementos necesarios para su correcta ejecución. Incluye refuerzo de anclaje en barras de ½” y malla electrosoldada D-106 y todo lo necesario para la correcta ejecución de la actividad.</t>
  </si>
  <si>
    <r>
      <rPr>
        <b/>
        <sz val="10"/>
        <color indexed="8"/>
        <rFont val="Bahnschrift Light SemiCondensed"/>
        <family val="2"/>
      </rPr>
      <t>ITEM</t>
    </r>
    <r>
      <rPr>
        <sz val="10"/>
        <color indexed="8"/>
        <rFont val="Bahnschrift Light SemiCondensed"/>
        <family val="2"/>
      </rPr>
      <t xml:space="preserve">: </t>
    </r>
  </si>
  <si>
    <r>
      <t>ITEM</t>
    </r>
    <r>
      <rPr>
        <sz val="10"/>
        <color theme="1"/>
        <rFont val="Bahnschrift Light SemiCondensed"/>
        <family val="2"/>
      </rPr>
      <t xml:space="preserve">: </t>
    </r>
  </si>
  <si>
    <t>Concreto 21 Mpa</t>
  </si>
  <si>
    <t>Concreto 28 Mpa</t>
  </si>
  <si>
    <t>Malla gallinero 1 1/4"</t>
  </si>
  <si>
    <t>https://www.homecenter.com.co/homecenter-co/product/214193/malla-gallinero-1-1-4pulgadas-120-x-30-metros/214193/?kid=bnnext1031757&amp;shop=googleShopping&amp;gclid=Cj0KCQjwhLKUBhDiARIsAMaTLnGzktV1f1yePKLeoJD0vGYV9qoMUV3cuWC7s0IdWlxbqdfp-FvBI_MaAjc9EALw_wcB</t>
  </si>
  <si>
    <t>Malla de gallinero 1 1/4pulgadas 1,20 x 30 metros</t>
  </si>
  <si>
    <t>Adhesivo para cerámica</t>
  </si>
  <si>
    <t>Martillo demoledor pequeño (incluye operario)</t>
  </si>
  <si>
    <t xml:space="preserve">https://articulo.mercadolibre.com.co/MCO-495464712-alquiler-y-venta-de-andamio-certificado-_JM#position=2&amp;search_layout=stack&amp;type=item&amp;tracking_id=22f4822c-c10c-4e6b-9e62-061720226038 </t>
  </si>
  <si>
    <t>Sistema de división de paneles termoacusticos para division corrediza en aulas de: Sala de bilinguismo y necesidades especiales. El sistema de puertas lo componen 6 cuerpos o mudulos moviles con dimensiones de 1 x 2.75 m. El sistema de corredizo va con las guias en rieles, rodachines necesarios fijados en cubierta (vigas o viguetas) y en piso con el corte necesario sobre el enchape para la instalación del riel o la guia. De esta manera se divide el guardado de las puertas para cada lado en grupo de a 3 cuerpos, solapadas entre sí. o en sistema escondidas.</t>
  </si>
  <si>
    <t>Panel acustico en madera, inmunizada y tratada para escenario de e: de 10 cm. Incluye, la estructura interna del panel, construido por modulos o de manera total, ademas de los elementos para su fijación. Dimensiones de 3.35 de alto x 8.78 m de largo.</t>
  </si>
  <si>
    <t>Cal hidratada</t>
  </si>
  <si>
    <t>https://www.easy.com.co/p/arena-para-pega-argos-x-40-kg/</t>
  </si>
  <si>
    <t>Arena para Pega X 40 Kg</t>
  </si>
  <si>
    <t>Arena para Pega</t>
  </si>
  <si>
    <t>Arena de pega</t>
  </si>
  <si>
    <t>Cal hidratada 10 kg</t>
  </si>
  <si>
    <t>https://www.homecenter.com.co/homecenter-co/product/159397/cal-hidratada-10-kilos-corona/159397/?kid=bnnext1031758&amp;shop=googleShopping&amp;gclid=CjwKCAjw7cGUBhA9EiwArBAvolvgPOSVwB4Hj8McHVbRhMW4jZPTeifQgjjABPY28C4OdyKtcF8yChoCc2YQAvD_BwE</t>
  </si>
  <si>
    <t>Arena de revoque</t>
  </si>
  <si>
    <t>Bloque de concreto a la vista 12x10x40 color chocolate</t>
  </si>
  <si>
    <t>Base de datos Alcaldía de Medellín</t>
  </si>
  <si>
    <t>https://www.homecenter.com.co/homecenter-co/product/297065/arena-de-pena-40kg/297065/?queryId=f40afbda-0f70-4dd5-9ec7-2b940657ad2e</t>
  </si>
  <si>
    <t>5,2,5,10</t>
  </si>
  <si>
    <t>TRANSPORTE</t>
  </si>
  <si>
    <t xml:space="preserve">https://pinturasyyesos.com/catalogo/sistem-drywall/perfil-angulo-perimetral-cielo-modular/ </t>
  </si>
  <si>
    <t>https://www.homecenter.com.co/homecenter-co/product/12198/placa-fibrocemento-8mm-244x122cm-3196kg-aprox/12198/?kid=bnnext1034178&amp;nbrd=googleSearch&amp;ef_id=Cj0KCQjw1tGUBhDXARIsAIJx01m6XouGYp_lsRkVg8pLPgkYl4LUhmDhixhqgKmw_7iUV2o8rCdH0LYaAox2EALw_wcB:G:s&amp;s_kwcid=AL!868!3!492992987759!!!g!!&amp;gclsrc=aw.ds&amp;gclid=Cj0KCQjw1tGUBhDXARIsAIJx01m6XouGYp_lsRkVg8pLPgkYl4LUhmDhixhqgKmw_7iUV2o8rCdH0LYaAox2EALw_wcB</t>
  </si>
  <si>
    <t xml:space="preserve">Placa Fibrocemento 8mm 244x122cm 31.96kg aprox </t>
  </si>
  <si>
    <t xml:space="preserve">https://www.homecenter.com.co/homecenter-co/product/305265/Media-cana-coextruida-6-x-300-cm/305265 </t>
  </si>
  <si>
    <t>Regla vibratoria de 3m</t>
  </si>
  <si>
    <t>Regla vibrante de 3 m</t>
  </si>
  <si>
    <t>Allanadora 36"</t>
  </si>
  <si>
    <t xml:space="preserve">https://elpalustre.com.co/index.php?route=product/product&amp;product_id=4214 </t>
  </si>
  <si>
    <t>Puerta metálica tipo Diana de DYD o Similar de ancho 1,15m y alto 2,15m (incluye marco), Diseño: monopanel + marco de 5 cm x 12 cm + bisagra doble superior, Acabados: pintura en polvo electroestática color verde (G58) para cuerpo batiente + pintura en polvo electroestática color gris nopal para marcol, Cerradura: incrustada tipo palanca, Materiales: lámina galvanizada calibre 18.</t>
  </si>
  <si>
    <t>Puerta metálica tipo Diana de DYD o Similar de ancho 1,12m y alto 2,15m (incluye marco), Diseño: monopanel + marco de 5 cm x 12 cm + bisagra doble superior, Acabados: pintura en polvo electroestática color verde (G58) para cuerpo batiente + pintura en polvo electroestática color gris nopal para marcol, Cerradura: incrustada tipo palanca, Materiales: lámina galvanizada calibre 18</t>
  </si>
  <si>
    <t>Puerta metálica tipo Diana de DYD o Similar de ancho 1,28m y alto 2,35m (incluye marco), Diseño: monopanel + marco de 5 cm x 12 cm + bisagra doble superior, Acabados: pintura en polvo electroestática color verde (G58) para cuerpo batiente + pintura en polvo electroestática color gris nopal para marcol, Cerradura: incrustada tipo palanca, Materiales: lámina galvanizada calibre 18.</t>
  </si>
  <si>
    <t>Puerta metálica tipo Diana de DYD o Similar de ancho 1,8m y alto 2,20m (incluye marco), Diseño: monopanel + marco de 5 cm x 12 cm + bisagra doble superior, Acabados: pintura en polvo electroestática color verde (G58) para cuerpo batiente + pintura en polvo electroestática color gris nopal para marcol, Cerradura: incrustada tipo palanca, Materiales: lámina galvanizada calibre 18.</t>
  </si>
  <si>
    <t>Puerta metálica tipo Diana de DYD o Similar de ancho 1,8m y alto 2,40m (incluye marco), Diseño: monopanel + marco de 5 cm x 12 cm + bisagra doble superior, Acabados: pintura en polvo electroestática color verde (G58) para cuerpo batiente + pintura en polvo electroestática color gris nopal para marcol, Cerradura: incrustada tipo palanca, Materiales: lámina galvanizada calibre 18.</t>
  </si>
  <si>
    <t xml:space="preserve">Puerta metálica tipo Z Mir de ROLFORMADOS o Similar + mirilla vertical con perfil perimetral en aluminio de ancho 2m y alto 2,15m (incluye marco), Diseño: doble panel + marco de 5 cm x 12 cm + bisagra doble superior +mirilla de  200x700mm,	Acabados: pintura en polvo electroestática color gris Nopal, Cerradura: incrustada tipo palanca, Materiales: lámina galvanizada calibre 18 + vidrio laminado 3+3 E: 6mm. </t>
  </si>
  <si>
    <t>Puerta metálica tipo Diana de DYD o Similar de ancho 1,00m y alto 2,15m (incluye marco), Diseño: monopanel + marco de 5 cm x 12 cm + bisagra doble superior, Acabados: pintura en polvo electroestática color gris nopal, Cerradura: incrustada tipo palanca, Materiales: lámina galvanizada calibre 18.</t>
  </si>
  <si>
    <t>Puerta metálica tipo Diana de DYD o Similar de ancho 0,88m y alto 2,15m (incluye marco), Diseño: monopanel + marco de 5 cm x 12 cm + bisagra doble superior, Acabados: pintura en polvo electroestática color gris nopal, Cerradura: incrustada tipo palanca, Materiales: lámina galvanizada calibre 18.</t>
  </si>
  <si>
    <t>Puerta metálica tipo Diana de DYD o Similar de ancho 0,80m y alto 2,15m (incluye marco), Diseño: monopanel + marco de 5 cm x 12 cm + bisagra doble superior, Acabados: pintura en polvo electroestática color gris nopal, Cerradura: incrustada tipo palanca, Materiales: lámina galvanizada calibre 18.</t>
  </si>
  <si>
    <t>Puerta metálica tipo Diana de DYD o Similar de ancho 0,70m y alto 2,15m (incluye marco), Diseño: monopanel + marco de 5 cm x 12 cm + bisagra doble superior, Acabados: pintura en polvo electroestática color gris nopal, Cerradura: incrustada tipo palanca, Materiales: lámina galvanizada calibre 18.</t>
  </si>
  <si>
    <t>Puerta metálica tipo Diana de DYD o Similar de ancho 1.6m y alto 2,20m (incluye marco), Diseño: monopanel + marco de 5 cm x 12 cm + bisagra doble superior, Acabados: pintura en polvo electroestática color gris nopal, Cerradura: incrustada tipo palanca, Materiales: lámina galvanizada calibre 18</t>
  </si>
  <si>
    <t>Puerta metálica de ancho 1m y alto 2,15m (incluye marco),Diseño: puerta vidriera + marco de 5 cm x 10 cm + bisagra doble superior 
Acabados: pintura en polvo electroestática color blanco mate, Cerradura: incrustada tipo palanca, Materiales: lámina galvanizada calibre 18 + vidrio laminado 3+3 E: 6mm.</t>
  </si>
  <si>
    <t>Puerta metálica tipo Diana de DYD o Similar + persiana de ancho 1,0m y alto 2,15m (incluye marco), Diseño: monopanel + marco de 6 cm x 10 cm + bisagra doble superior + persiana + malla mosquitera, Acabados: pintura en polvo electroestática color gris nopal, Cerradura: incrustada tipo cerrojo, Materiales: lámina galvanizada calibre 18.</t>
  </si>
  <si>
    <t>Puerta metálica tipo Diana de DYD o Similar + persiana de ancho 1,20m y alto 2,15m (incluye marco), Diseño: monopanel + marco de 6 cm x 10 cm + bisagra doble superior + persiana + malla mosquitera, Acabados: pintura en polvo electroestática color gris nopal, Cerradura: incrustada tipo cerrojo, Materiales: lámina galvanizada calibre 18</t>
  </si>
  <si>
    <t>Puerta metálica tipo zZL de rolformados o similar de ancho 1,20m y alto 2,15m (incluye marco), Diseño: monopanel + marco de 5 cm x 12 cm + bisagra doble superior, Acabados: pintura en polvo electroestática color gris nopal, Cerradura: incrustada tipo palanca, Materiales: lámina galvanizada calibre 18.</t>
  </si>
  <si>
    <t>Puerta vidriera en aluminio sistema Koncept 40 de Ventanas Y Puertas o similar, Diseño: 6 cuerpos fijos + 2 cuerpos proyectantes + puerta batiente + marcos de 5 cm x 5 cm / 5 cm x 12 cm o similar, Acabados: Perfilaría en aluminio color Bronce, Cerradura: Manija tipo sirena para ventana + cerradura según proveedor para puerta, Materiales: estructura en aluminio + vidrio laminado 3+3 E: 6mm.</t>
  </si>
  <si>
    <t>Puerta vidriera en aluminio sistema Koncept 40 de Ventanas Y Puertas o similar, Diseño: 15 cuerpos fijos + 8 cuerpos persianas + puerta batiente doble + marcos de 5 cm x 5 cm / 5 cm x 12 cm o similar, Acabados: Perfilaría en aluminio color Bronce, Cerradura: Manija tipo sirena para ventana + cerradura según proveedor para puerta, Materiales: estructura en aluminio + vidrio laminado 3+3 E: 6mm.</t>
  </si>
  <si>
    <t>Puerta cerramiento batiente 1,8m x 2,35m. Puerta pivotante tubería PTs rectangular 50 x 100 en acero al carbón + capa de anticorrosivo epoxíco rico en zinc + capa de pintura acrílica color negro.</t>
  </si>
  <si>
    <t>Puerta cerramiento batiente 1,1m x 2,35m. Puerta pivotante tubería PTs rectangular 50 x 100 en acero al carbón + capa de anticorrosivo epoxíco rico en zinc + capa de pintura acrílica color negro.</t>
  </si>
  <si>
    <t>https://www.homecenter.com.co/homecenter-co/product/86539/tubo-cerramiento-negro-2pg-x-25mm-x-6m/86539/?queryId=86539744-fc2b-44b4-864e-5b4acc32fab3</t>
  </si>
  <si>
    <t>https://www.homecenter.com.co/homecenter-co/product/86539/tubo-cerramiento-negro-2pg-x-25mm-x-6m/86539/?queryId=86539744-fc2b-44b4-864e-5b4acc32fab4</t>
  </si>
  <si>
    <t>Tubo Cerramiento Negro 2" x 2.5mm x 6m</t>
  </si>
  <si>
    <t xml:space="preserve">Formaleta de primera calidad en súper "T" de 19 mm de 0.28X2.44 m </t>
  </si>
  <si>
    <t>ventana en aluminio V1 + vidrio laminado 3+3 E=6mm, sistema koncept 40-38/31 o similar, de 6,06*1,60m, diseño 8 cuerpos fijos +3 cuerpos proyectantes + marcos de 5cm*5cm o similar, perfileria en aluminio color bronce, cerradura manija tipo sirena.</t>
  </si>
  <si>
    <t xml:space="preserve"> Ventana V2 en aluminio + vidrio laminado 3+3 E=6mm, sistema koncept 40, de 3,10*2,25m, diseño 8 cuerpos fijos +2 cuerpos proyectantes + marcos de 5cm*5cm/ 5cm*12cm o similar, perfileria en aluminio color bronce, cerradura manija tipo sirena.</t>
  </si>
  <si>
    <t xml:space="preserve"> V3 en aluminio + vidrio laminado 3+3 E=6mm, sistema koncept 40, de 5,90*1,60m, diseño 9 cuerpos fijos + 3 cuerpos proyectantes + marcos de 5cm*5cm o similar, perfileria en aluminio color bronce, cerradura manija tipo sirena.</t>
  </si>
  <si>
    <t>Ventana V4  en aluminio + vidrio laminado 3+3 E=6mm, sistema koncept 40, de 7,06*1,50m, diseño 10 cuerpos fijos + 4 cuerpos proyectantes + marcos de 5cm*5cm o similar, perfileria en aluminio color bronce, cerradura manija tipo sirena.</t>
  </si>
  <si>
    <t>Ventana V6 en aluminio + vidrio laminado 3+3 E=6mm, sistema koncept 40, de 2,40*2,25m, diseño 6 cuerpos fijos + 2 cuerpos proyectantes + marcos de 5cm*5cm/ 5cm *12cm o similar, perfileria en aluminio color bronce, cerradura manija tipo sirena.</t>
  </si>
  <si>
    <t>Ventana V7 en aluminio + vidrio laminado 3+3 E=6mm, sistema koncept 40, de 1,70*5,90m, diseño 9 cuerpos fijos + 3 cuerpos proyectantes + marcos de 5cm*5cm o similar, perfileria en aluminio color bronce, cerradura manija tipo sirena.</t>
  </si>
  <si>
    <t>Ventana V8 en aluminio + vidrio laminado 3+3 E=6mm, sistema koncept 40, de 1,60*6,90m, diseño 9 cuerpos fijos + 3 cuerpos proyectantes + marcos de 5cm*5cm o similar, perfileria en aluminio color bronce, cerradura manija tipo sirena.</t>
  </si>
  <si>
    <t>Ventana V8 [A] en aluminio + vidrio laminado 3+3 E=6mm, sistema koncept 40, de 1,40*6,90m, diseño 9 cuerpos fijos + 3 cuerpos proyectantes + marcos de 5cm*5cm o similar, perfileria en aluminio color bronce, cerradura manija tipo sirena</t>
  </si>
  <si>
    <t>Ventana V9 en aluminio + vidrio laminado 3+3 E=6mm, sistema koncept 40, de 1,60*2.25 m, diseño 9 cuerpos fijos + 3 cuerpos proyectantes + marcos de 5cm*5cm o similar, perfileria en aluminio color bronce, cerradura manija tipo sirena.</t>
  </si>
  <si>
    <t>Ventana V10 en aluminio + vidrio laminado 3+3 E=6mm, sistema koncept 40, de 1,70*6.06 m, diseño 9 cuerpos fijos + 3 cuerpos proyectantes + marcos de 5cm*5cm o similar, perfileria en aluminio color bronce, cerradura manija tipo sirena.</t>
  </si>
  <si>
    <t>Ventana en aluminio de 0.8*1.9 Tipo: Venta en aluminio sistema Koncept 40 de  Ventanas Y Puertas o similar Diseño: 2 cuerpos fijos + 1 cuerpos proyectantes + marcos de 5 cm x 5 cm Acabados: Perfilaría en aluminio color Bronce Cerradura: Manija tipo sirena Materiales: estructura en alumino + vidrio laminado 3+3 E: 6mm.</t>
  </si>
  <si>
    <t>Ventana en aluminio de 0.8*1.82 Tipo: Venta en aluminio sistema Koncept 40 de  Ventanas Y Puertas o similar Diseño: 2 cuerpos fijos + 1 cuerpos proyectantes + marcos de 5 cm x 5 cm Acabados: Perfilaría en aluminio color Bronce Cerradura: Manija tipo sirena Materiales: estructura en alumino + vidrio laminado 3+3 E: 6mm</t>
  </si>
  <si>
    <t>Ventana en aluminio de 0.8*220 Tipo: Venta en aluminio sistema Koncept 40 de  Ventanas Y Puertas o similar Diseño: 2 cuerpos fijos + 1 cuerpos proyectantes + marcos de 5 cm x 5 cm Acabados: Perfilaría en aluminio color Bronce Cerradura: Manija tipo sirena Materiales: estructura en alumino + vidrio laminado 3+3 E: 6mm</t>
  </si>
  <si>
    <t>Ventana en aluminio de 0.4*0.4 Tipo: Venta en aluminio sistema Koncept 40 de  Ventanas Y Puertas o similar Diseño: 1 cuerpos proyectantes + marcos de 5 cm x 5 cm Acabados: Perfilaría en aluminio color Bronce Cerradura: Manija tipo sirena Materiales: estructura en alumino + vidrio laminado 3+3 E: 6mm</t>
  </si>
  <si>
    <t>V Ventana en aluminio de 3.5*2.20 Tipo: Venta en aluminio sistema Koncept 40 de  Ventanas Y Puertas o similar Diseño: 1 cuerpos proyectantes + marcos de 5 cm x 5 cm Acabados: Perfilaría en aluminio color Bronce Cerradura: Manija tipo sirena Materiales: estructura en alumino + vidrio laminado 3+3 E: 6mm</t>
  </si>
  <si>
    <t xml:space="preserve">Ventana en aluminio de 1.20 * 2.40 Tipo sistema Koncept 40 de Ventanas y puertas o similar. Diseño: 1 Cuerpor fijo + marcos de 5 cm x 5 cm. Acabados: Perfileria en aluminio color Bronce. Cerradura: Manija tipo sirena. Materiales: Estructura en aluminio + vidrio laminado 3+3: 6 mm. </t>
  </si>
  <si>
    <t>Ventana en aluminio tipo persiana de 0,60m de alto y 3,20m de ancho, Diseño: 3 cuerpos fijos + marcos de 5 cm x 10 cm + malla mosquitera, Acabados: Perfilaría en aluminio color Bronce.</t>
  </si>
  <si>
    <t xml:space="preserve">Ventana en aluminio tipo persiana de 1.70m de alto y 2.40m de ancho,Tipo: Venta en aluminio sistema Koncept 40 de  Ventanas Y Puertas o similar Diseño: 1 cuerpos fijos + 1 cuerpos Batiente + marcos de 5 cm x 5 cm Acabados: Perfilaría en aluminio color Bronce Cerradura: Manija tipo sirena Materiales: estructura en alumino + vidrio laminado 3+3 E: 6mm. </t>
  </si>
  <si>
    <t>Ventana en aluminio tipo persiana de 1.70m de alto y 2.40m de ancho,Tipo: Venta en aluminio sistema Koncept 40 de  Ventanas Y Puertas o similar Diseño: 1 cuerpos fijos + 1 cuerpos Batiente + marcos de 5 cm x 5 cm Acabados: Perfilaría en aluminio color Bronce Cerradura: Manija tipo sirena Materiales: estructura en alumino + vidrio laminado 3+3 E: 6mm.</t>
  </si>
  <si>
    <t>Persiana metálica enrrollable de 1,25m de alto y 4,00m de ancho+ pintura color blanca + marco metálico.</t>
  </si>
  <si>
    <t>Persiana metálica enrrollable de 1,25m de alto y 0,80m de ancho+ pintura color blanca + marco metálico.</t>
  </si>
  <si>
    <t>Ventana en aluminio sistema Koncept 40 de Ventanas Y Puertas o similar, Diseño: 20 cuerpos fijos + 8 cuerpos persiana + marcos de  5 cm x 12 cm o similar, Acabados: Perfilaría en aluminio color Bronce, Materiales: estructura en alumino + vidrio laminado 3+3 E: 6mm</t>
  </si>
  <si>
    <t>Puerta persiana metálico enrrollable + pintura color blanca + marco metalico.  Dimensiones de 4.26*1.60 m.</t>
  </si>
  <si>
    <t>Ventana en aluminio tipo persiana de 0,60m de alto y 0,50m de ancho, Diseño: 1 cuerpos fijo + marcos de 5 cm x 10 cm + malla mosquitera, Acabados: Perfilaría en aluminio color Bronce</t>
  </si>
  <si>
    <t>Ventana en aluminio tipo persiana de 0,60m de alto y 2,10m de ancho, Diseño: 2 cuerpos fijos + marcos de 5 cm x 10 cm + malla mosquitera, Acabados: Perfilaría en aluminio color Bronce</t>
  </si>
  <si>
    <t>Ventana en aluminio tipo persiana de 0,60m de alto y 1,10m de ancho, Diseño: 1 cuerpo fijo + marcos de 5 cm x 10 cm + malla mosquitera, Acabados: Perfilaría en aluminio color Bronce.</t>
  </si>
  <si>
    <t>Puerta ventana de 4.10 x 2.25, Con puerta batiente de 1.70x 2.20. Con cuerpos fijos de ventanería. Diseño: 1 cuerpo fijo + marcos de 5 cm x 10 cm + malla mosquitera, Acabados: Perfilaría en aluminio color Bronce</t>
  </si>
  <si>
    <t>Instalación de pasamanos en tubería negra liviana  parales de 2" cada 2.25m y quitamiedos en tuberia negra liviana de 1" cada 0.19m L=0.35m. Incluye suministro y transporte de los materiales, platina de 3/16*1-1/2 de 4"x4" soldada al paral (tubería negra liviana de 2")   y anclada con pernos expansivos a lagrimal de concreto, pintura anticorrosivo, pintura de poliuretano</t>
  </si>
  <si>
    <t>Pasamanos para guía de recolección de alimentos</t>
  </si>
  <si>
    <t>Pasamanos para guiar la recoleccion de alimentos</t>
  </si>
  <si>
    <t>ELECTRICOS</t>
  </si>
  <si>
    <t>TABLERO TERCOL DE 18 CTS. 3F. 5H  225AMP. C/P Y  C/TOTALIZ</t>
  </si>
  <si>
    <t>17,1,1
17,1,2
17,3,1,1
17,3,5,1,2</t>
  </si>
  <si>
    <t>un</t>
  </si>
  <si>
    <t>ELECTROSERVIMOS</t>
  </si>
  <si>
    <t>TABLERO TERCOL DE 12 CTS. 3F 5H  C/P Y  C/TOTALIZ RETIE BL</t>
  </si>
  <si>
    <t>17,1,5,1
17,2,1,1</t>
  </si>
  <si>
    <t>BREAKER MERLIN GERIN INDUSTRIAL 3X 80 EASYPACT 25KA/240</t>
  </si>
  <si>
    <t>17,1,3
17,2,1,3
17,31,3</t>
  </si>
  <si>
    <t>BREAKER MERLIN GERIN INDUSTRIAL 3X 50 EASYPACT 10KA</t>
  </si>
  <si>
    <t>BREAKER MERLIN GERIN INDUSTRIAL 3X 40 EASYPACT 10KA</t>
  </si>
  <si>
    <t>17.3.1.1.</t>
  </si>
  <si>
    <t>BANDEJA DE RACK</t>
  </si>
  <si>
    <t>PERNOS DE EXPANSIÓN 1/4" X 2</t>
  </si>
  <si>
    <t>BREAKER SQUARE D 20A</t>
  </si>
  <si>
    <t>17,1,4
17,1,5,3
17,2,1,4
17,3,1,4
17,3,5,1,4</t>
  </si>
  <si>
    <t>GRAPA    3/4"  GALV. D/OJO  T/EMT   C/20   J G/IMMEC  EMT3/4"  A</t>
  </si>
  <si>
    <t>17,1,3,1
17,1,4
17,1,5
17,1,8
17,1,9
17,2,1
17,2,4
17,2,8
17,3
17,3,4
17,3,8
17,4,1</t>
  </si>
  <si>
    <t>EMT-CURVA METALICA DE   3/4"</t>
  </si>
  <si>
    <t xml:space="preserve">17,1,3,1
17,1,4
17,1,5
17,1,8
17,1,9
17,2,1
17,2,4
17,2,8
17,3
17,3,4
17,3,8
17,4,1
</t>
  </si>
  <si>
    <t>EMT-TUBO   3/4"   FUJI CERTIFICADO. POR 3M</t>
  </si>
  <si>
    <t>17,2,3,2
17,1,4
17,1,5
17,1,8
17,1,9
17,2,1
17,2,4
17,2,8
17,3
17,3,4
17,3,8
17,4,1</t>
  </si>
  <si>
    <t>EMT-TUBO   1"   FUJI CERTIFICADO. POR 3M</t>
  </si>
  <si>
    <t>EMT-ENTRADA A CAJA   3/4" ACERO  GALV. Crouse Hinds/REDITE</t>
  </si>
  <si>
    <t>EMT-UNION METALICA   3/4" ACERO  GALVAN.  Crouse Hinds/CH.</t>
  </si>
  <si>
    <t>EMT-CURVA METALICA DE 1"</t>
  </si>
  <si>
    <t>EMT-TUBO   1"   FUJI CERTIFICADO.</t>
  </si>
  <si>
    <t>EMT-ENTRADA A CAJA      1" ACERO  GALV. COOPER  Crouse Hind</t>
  </si>
  <si>
    <t>EMT-UNION METALICA  1"  ACERO  GALV. Crouse Hinds/UL</t>
  </si>
  <si>
    <t>GRAPA  2"  GALV. D/OJO  T/EMT C/22</t>
  </si>
  <si>
    <t>EMT-CURVA METALICA DE 2"</t>
  </si>
  <si>
    <t>EMT-TUBO   2"   FUJI CERTIFICADO.</t>
  </si>
  <si>
    <t>EMT- UNION METALICA   2"  ACERO  GALV.COOPER  Crouse Hinds</t>
  </si>
  <si>
    <t>EMT-ENTRADA A CAJA  2" ACERO  GALV. COOPER Crouse Hind</t>
  </si>
  <si>
    <t>TUBO PVC  PAVCO    DE  4"  DB    3 MTS   INC. UNION</t>
  </si>
  <si>
    <t>TUBO PVC   PAVCO   DE   3"   DB POR 3 MTS</t>
  </si>
  <si>
    <t>O.E.5</t>
  </si>
  <si>
    <t>TUBO METALICO GALV. DE 3 " X 3 MTS    FUJI.   CON UNION</t>
  </si>
  <si>
    <t>O.E.2</t>
  </si>
  <si>
    <t>CINTA BANDIT    1/2.  EAGLE/SIMELCA</t>
  </si>
  <si>
    <t>GRAPA  BANDIT  1/2"</t>
  </si>
  <si>
    <t>TUBO GALVANIZADO 3"</t>
  </si>
  <si>
    <t>TUBO GALVANIZADO 3/4"</t>
  </si>
  <si>
    <t>UNIÓN GALVANIZADA 1"</t>
  </si>
  <si>
    <t>UNIÓN GALVANIZADA 3/4"</t>
  </si>
  <si>
    <t>HERRAJE 60X80 Cmts  CON NORMA  ANTIFRAUDE</t>
  </si>
  <si>
    <t>CANALETA METALICA 12X5 TAPA TROQ  DOBLE. DATOS/ENERGI</t>
  </si>
  <si>
    <t>CAJA EMPALME  IMMEC  12X12X5   TOMA  DOBLE LEVITON   CER</t>
  </si>
  <si>
    <t>17,1,4
17,1,5
17,1,8
17,1,9
17,2,1
17,2,4
17,2,8
17,3
17,3,4
17,3,8
17,4,1</t>
  </si>
  <si>
    <t>CAJA EMPALME TERCOL 30X30X15</t>
  </si>
  <si>
    <t>LEVITON-TOMA DOBLE  15 A. BLANCO S/PLACA  R/5320W</t>
  </si>
  <si>
    <t>17,1,4,1
17,2,4,1
17,3,4,1</t>
  </si>
  <si>
    <t>LEVITON-TOMA DOBLE NARANJA T/AISL,USA S/P (TRIANG)  5262</t>
  </si>
  <si>
    <t xml:space="preserve">17,1,4,2
17,2,4,2
17,3,4,2
</t>
  </si>
  <si>
    <t>TOMA DOBLE PROTEGIDO GFCI 20AMP C/P best light  BCO. G1A</t>
  </si>
  <si>
    <t xml:space="preserve">17,1,4,3
17,2,4,3
17,3,4,3
</t>
  </si>
  <si>
    <t>Schneider.    GENESIS INT. SENCILLO BCO.</t>
  </si>
  <si>
    <t xml:space="preserve">17,1,8,2
17,2,8,2
17,3,8,2
</t>
  </si>
  <si>
    <t>Schneider.  GENESIS INT. DOBLE BCO.</t>
  </si>
  <si>
    <t xml:space="preserve">17,1,8,3
17,2,8,3
17,3,8,3
</t>
  </si>
  <si>
    <t>Schneider.  GENESIS INT. TRIPLE BCO.</t>
  </si>
  <si>
    <t xml:space="preserve">17,1,8,4
17,2,8,4
17,3,8,4
</t>
  </si>
  <si>
    <t>Schneider.  GENESIS INT. SENCILLO ESCALA BCO.</t>
  </si>
  <si>
    <t>LAMPARA ELECT. 2X32/18 LED  HERM. POLIC. P/BCA. CHASIS C/S</t>
  </si>
  <si>
    <t>17,1,9,2
17,1,9,3</t>
  </si>
  <si>
    <t>TUBO LED 18W 120V  .BESTER/CIGLA  P/VIDRIO  1800Lm   L/D  12</t>
  </si>
  <si>
    <t>LAMPARA OJO DE BUEY 10" PANEL RED.LED 24W  S/P CIGLA/BE</t>
  </si>
  <si>
    <t>LAMPARA HORIZ.LED X60L 30W A/PUBLICO (70w) PANEL CIGLA G</t>
  </si>
  <si>
    <t>LAMPARA PROY. RECT  LED  200W M/PUNT SMD  L/D.16K lm PAN</t>
  </si>
  <si>
    <t>LAMPARA DE EMERGENCIA 2L X 1,2W "2,4W" LED  ESC/GIRAT. R</t>
  </si>
  <si>
    <t>Luminaria LED tipo alumbrado publico 60W</t>
  </si>
  <si>
    <t>FOTOCELDA   1000 W 290 V  CH/CRICON/BESTER G1A</t>
  </si>
  <si>
    <t>LAMPARA DE EMERGENCIA/EVACUACION  SALIDA. ROJA  30X19</t>
  </si>
  <si>
    <t>CABLE ENCAUCHETADO 3X16 NEGRO    NEXANS/INDUCABLES</t>
  </si>
  <si>
    <t>17,1,9,1
17,1,9,2
17,1,9,3</t>
  </si>
  <si>
    <t>ENCHUFE CAUCHO POLO TIERRA E/CONTROL</t>
  </si>
  <si>
    <t>CABLE  LSHF  No.   2/0 AWG  "SIN HALOG,RET.LLAMA"  TC  NEGR</t>
  </si>
  <si>
    <t>O.E.3
O.E 4</t>
  </si>
  <si>
    <t>CABLE  LSHF  No.   1/0 AWG  "SIN HALOG,RET.LLAMA"  TC  NEGR</t>
  </si>
  <si>
    <t>O.E 3
O.E 4</t>
  </si>
  <si>
    <t>CABLE  LSHF  No.    2  AWG  "SIN HALOG,RET.LLAMA"  TC  NEGR</t>
  </si>
  <si>
    <t>17,5,2
17,5,4</t>
  </si>
  <si>
    <t>CABLE  LSHF  No.   4 AWG  "SIN HALOG,RET.LLAMA"  TC  NEGRO</t>
  </si>
  <si>
    <t>17,5,2
17,5,5</t>
  </si>
  <si>
    <t>CABLE  LSHF  No.   6 AWG  "SIN HALOG,RET.LLAMA"  TC  NEGRO</t>
  </si>
  <si>
    <t>17,5,2
17,5,3
17,5,5</t>
  </si>
  <si>
    <t>CABLE  LSHF  No.   8 AWG  "SIN HALOG,RET.LLAMA"  TC  NEGRO</t>
  </si>
  <si>
    <t xml:space="preserve">17,5,3
</t>
  </si>
  <si>
    <t>CABLE  LSHF  No.  10 AWG  "SIN HALOG,RET.LLAMA"  TC  NEGRO</t>
  </si>
  <si>
    <t>CABLE  LSHF  No.  12 AWG  "SIN HALOG,RET.LLAMA"  TC  NEGRO</t>
  </si>
  <si>
    <t>17,1,2,1</t>
  </si>
  <si>
    <t>VARILLA COOPERWELD FINA/NORMA 2.40 MTS 250 M SIN GRAPA</t>
  </si>
  <si>
    <t>SOLDADURA  EXOTERMICA  90 Gr FASTWELD</t>
  </si>
  <si>
    <t>CABLE   DE  COBRE  1/0  AWG   DESNUDO</t>
  </si>
  <si>
    <t>CABLE ALUMINIO  No. 1/0 AWG DESN. SIN  ALMA DE ACERO  (AP</t>
  </si>
  <si>
    <t>SOPORTE ANILLO CLICK  2-1/0 AWG 8 -10mm  BASE  INCORP.  PR</t>
  </si>
  <si>
    <t>O.E 9</t>
  </si>
  <si>
    <t>PARARRAYO DE ASTA - PUNTA DE ALUMINIO 0.4 Mts  PREMIUM/</t>
  </si>
  <si>
    <t>17,4,5,7
17,4,5,8</t>
  </si>
  <si>
    <t>HERRAJE 30X30 Cmt  LIVIANO    1,1/2"  X  1/8"</t>
  </si>
  <si>
    <t>CABLE TELEFONICO  4 PARES UTP CAT.6 -A - NEXXT  LSHF L/HA</t>
  </si>
  <si>
    <t xml:space="preserve">17,11,1
17,2,11,1
17,3,11,1
</t>
  </si>
  <si>
    <t>V y D AMP/COMMSCOPE   JACK "TOMA" RJ45   CAT 6  ROJO</t>
  </si>
  <si>
    <t xml:space="preserve">17,11,2
17,2,11,2
17,3,11,2
</t>
  </si>
  <si>
    <t>V y D  INREMOL/KEYSTON/MARWA   FACE PLATE "PLACA" 1 P. BC</t>
  </si>
  <si>
    <t>V y D  AMP/TE   FACE PLATE "PLACA" 2 PUESTO BLANCA</t>
  </si>
  <si>
    <t>V y D AMP/COMSCOOPE   PATCH PANEL 24  PUERTOS   CAT  6</t>
  </si>
  <si>
    <t>V y D NEXXT/MARWA  PATCH CORD  3 PIES O.9Mts.  CAT 6  ROJO</t>
  </si>
  <si>
    <t>ESPACIADOR 5/8 X12- 2 TUERCAS, 2ARAND PLANA Y 2 WASA</t>
  </si>
  <si>
    <t>CONECTOR COMPRESION OB1010   HOMAC</t>
  </si>
  <si>
    <t>TORNILLO DE 5/32 X 1/2</t>
  </si>
  <si>
    <t>CONECTOR TRANSV. 4 - 250mcm  AWG ALUMINIO INTELLI</t>
  </si>
  <si>
    <t>CONECTOR EMPALME EN C. CU 4 - 8 .  10-25mm 25-25 INTELLI CC</t>
  </si>
  <si>
    <t>ALAMBRE RIGIDO  DESNUDO  No. 4  COBRE</t>
  </si>
  <si>
    <t>CAJA PRIMARIA  M&amp;D   15 KV 20 KA 100 AMP.CERTIF. INTERCAM</t>
  </si>
  <si>
    <t>PARARRAYO/DPS  POLIMERICO  M&amp;D  12 KV - 10KA C/SOPORTE</t>
  </si>
  <si>
    <t>FUSIBLE PRIMARIO  10A  K   EPM.</t>
  </si>
  <si>
    <t>TORNILLO DE 1/2 X 1.1/2 Y TUERCA  GALV. CAL.</t>
  </si>
  <si>
    <t>CRUCETA GALVANIZADA 2.40 Mts - 3"X3"X1/4"</t>
  </si>
  <si>
    <t>TIRANTA ANGULAR 48"</t>
  </si>
  <si>
    <t>TRANSFORMADOR TRIFASICO DE 150KVA   13200/220-120V</t>
  </si>
  <si>
    <t>O.E.1</t>
  </si>
  <si>
    <t>ANILLO DOBLE SALIDA 7 - 8 (COLLARIN) 200 MM</t>
  </si>
  <si>
    <t>CINTA AISLANTE 3M TEMFLEX X 18 MTS  NEGRO   R1700 USA</t>
  </si>
  <si>
    <t>CINTA AISLANTE SUPER SCOTH 33</t>
  </si>
  <si>
    <t>CONECTOR EMPALME RESORTE 3M ROJO/AMARILLO 6(16) 5(12/</t>
  </si>
  <si>
    <t>17,1,9</t>
  </si>
  <si>
    <t>CHAZO (2) 1/4 X 1 1/4 ESTRIADO PAQ X   50    UND</t>
  </si>
  <si>
    <t>EXPANSION DE 1/4" X 2,1/4"</t>
  </si>
  <si>
    <t>CINTA AISLANTE 3M TEMFLEX X 18 MTS R1700 USA AZUL</t>
  </si>
  <si>
    <t>CINTA AISLANTE 3M TEMFLEX X 18 MTS R1700 USA  BLANCO</t>
  </si>
  <si>
    <t>CINTA AISLANTE 3M TEMFLEX X  18 MTS R1700 USA  ROJO</t>
  </si>
  <si>
    <t>CONTADOR ELECTRICO 4H, MULTIFUNCIONAL TRIFASICO, 2,5(10)A, 3X120-277 programado con energia activa y reactiva.</t>
  </si>
  <si>
    <t xml:space="preserve">BORNERA DE PRUEBA </t>
  </si>
  <si>
    <t>BREAKER INDUSTRIAL TOTALIZADOR DE  3x400A, Icc mìn 10KA.</t>
  </si>
  <si>
    <t>SUMINISTRO, TRANSPORTE E INSTALACIÓN DE U.P.S ON LINE 3000 VA / 2700W, 7-20 minutos, Entrada 120 Vac, Salida 2x110 Vac 2%, True On Line - Doble conversion PWM, seno pura, Borneras - Display LCD - Puertos U.S.B y RS-232, Factor de Potencia 0.9</t>
  </si>
  <si>
    <t>SUMINISTRO, TRANSPORTE E INSTALACIÓN DE CONMUTADOR TRIPOLAR EN CAJA TERMOPLASTICA 1-0-2 Referencia Lovato 7GN20-53P, Corrientes 20A.</t>
  </si>
  <si>
    <t>SUMINISTRO TRANPORTE E INSTALACIÓN DEU.P.S ON LINE 6000 VA / 6000W, 7-20 minutos, Entrada 208 Vac, Salida 2x110 Vac 2%, True On Line - Doble conversion PWM, seno pura, Borneras - Display LCD - Puertos U.S.B y RS-232, Factor de Potencia 1</t>
  </si>
  <si>
    <t>TRANSFERENCIA MANUAL PARA U.P.S ON Line Bifasica 208 - 12KVA</t>
  </si>
  <si>
    <t>ELEMENTOS DE EMPALME, CONEXIÓN Y FIJACIÓN</t>
  </si>
  <si>
    <t>Revisión de diseños de iluminación</t>
  </si>
  <si>
    <t>17,19</t>
  </si>
  <si>
    <t>TABLERO MEDIDA GENERAL</t>
  </si>
  <si>
    <t>O.E.6</t>
  </si>
  <si>
    <t>MTG</t>
  </si>
  <si>
    <t>INCLUYE:</t>
  </si>
  <si>
    <t>TABLERO MEDIDA RCI</t>
  </si>
  <si>
    <t>O.E.7</t>
  </si>
  <si>
    <t>TABLERO PRINCIPAL</t>
  </si>
  <si>
    <t>O.E.8</t>
  </si>
  <si>
    <t>PRELIMINARES</t>
  </si>
  <si>
    <t>REPLANTEO</t>
  </si>
  <si>
    <t>1.1.1</t>
  </si>
  <si>
    <t>Localización, Trazado y Replanteo. Se utilizará personal experto con equipo de precisión. Se hará con la frecuencia que lo indique la interventoría. Incluye demarcación con pintura, línea de trazado, corte de piso, libretas y planos.</t>
  </si>
  <si>
    <t>Construccion, instalacion de campamento provisional, incluye piso en concreto y cubierta en eternit, energia y servicios, dos baños, oficina independiente, cerramiento en madera o similar</t>
  </si>
  <si>
    <t>CONCRETOS</t>
  </si>
  <si>
    <t>3.3.1</t>
  </si>
  <si>
    <t>LOSA CUARTO RCI</t>
  </si>
  <si>
    <t>Construcción de LOSA MACIZA en concreto premezclado de 21 Mpa.GENERIC FLOOR - 120MM. Incluye malla electrosoldada M188 y todo lo necesario para su correcta ejecución.</t>
  </si>
  <si>
    <t>3.3.5</t>
  </si>
  <si>
    <t>EDIFICIO 4</t>
  </si>
  <si>
    <t>3.3.7</t>
  </si>
  <si>
    <t xml:space="preserve">LOSA EN CASETON </t>
  </si>
  <si>
    <t>A: “Construcción de LOSA MACIZA DINTEL, en concreto de 21MPa, E=5cm según diseño de casetón, para techos y descargue de canoas ver detalles en plano, incluye refuerzo en malla electrosoldada D-106 en su cantidad especificada en APU y todo lo necesario para su correcto vaciado y ejecución.”</t>
  </si>
  <si>
    <t>3.3.8</t>
  </si>
  <si>
    <t>LOSA BANCAS ESPACIO PUBLICO</t>
  </si>
  <si>
    <t>ESCALERAS</t>
  </si>
  <si>
    <t>SILLARES</t>
  </si>
  <si>
    <t>DINTELES</t>
  </si>
  <si>
    <t>ENTREPAÑOS</t>
  </si>
  <si>
    <t>MAMPOSTERIA</t>
  </si>
  <si>
    <t>5.1</t>
  </si>
  <si>
    <t>SOBRECIMIENTOS</t>
  </si>
  <si>
    <t>5.1.4</t>
  </si>
  <si>
    <t>Colocación de GROUTING en concreto de 10.5 Mpa., para relleno de muro no estructural (bloque, tolete o catalán). Incluye suministro y el transporte del concreto, mano de obra, vibrado, protección, curado y todos los demás elementos necesarios para su correcta construcción y funcionamiento. El acero de refuerzo se paga en su respectivo item.</t>
  </si>
  <si>
    <t>5.2</t>
  </si>
  <si>
    <t>MURO DIVISORIOS</t>
  </si>
  <si>
    <t>5.2.1</t>
  </si>
  <si>
    <t>CUARTO RCI</t>
  </si>
  <si>
    <t>5.2.2</t>
  </si>
  <si>
    <t>EDIFICIO 1</t>
  </si>
  <si>
    <t>Suministro e instalacion de cubre juntas de dilatación entre estructura y elementos mampuestos. El proceso de cubrir las juntas se realizara en dilataciones verticales y horizontales, en procura de eliminar las luces, por los desfases dados en construcción y las spatologias en las juntas de movimiento entre elementos estructurales y no estructurales que cumple con el Código Nacional de Construcción Sismo - resistente NSR - 10., para ello se utilizará yumbolon o producto similar o equivalente  como fondo de juntas y sismoflex o producto y equivalente para cubrir los espaciamientos menos de 35 mm. Se requiere revitado y repellado para emparejamiento estetico de las superficies y juntas. Se incluyen todos los elementos necesarios para dicha labor.</t>
  </si>
  <si>
    <t>5.2.3</t>
  </si>
  <si>
    <t>EDIFICIO 2</t>
  </si>
  <si>
    <t>5.2.4</t>
  </si>
  <si>
    <t>EDIFICIO 3</t>
  </si>
  <si>
    <t>5.2.5</t>
  </si>
  <si>
    <t>5.2.6</t>
  </si>
  <si>
    <t>RAMPA</t>
  </si>
  <si>
    <t>Construcción de rampas apoyadas sobre terreno en concreto de 28 Mpa. Especificaciones según diseños correspondiendo a pendientes de accesibilidad y acabados antideslizantes. Incluye suministro, transporte y colocación del concreto, formaleta de primera calidad en super "T" de 19 mm o equivalente, para acabado a la vista, aristas biseladas, vibrado, protección, curado y todos los demás elementos necesarios para su correcta construcción. No incluye refuerzo, según diseño. En el vaciado se deben dejar los hierros para el amarre de elementos no estructurales, por ningún motivo se pagarán anclajes.</t>
  </si>
  <si>
    <t>5.2.7</t>
  </si>
  <si>
    <t>CUARTO POTABLE</t>
  </si>
  <si>
    <t>LAVADO/HIDROFUGO DE MUROS</t>
  </si>
  <si>
    <t>REVOQUE/ESTUCO/PINTURA</t>
  </si>
  <si>
    <t>7,1,1</t>
  </si>
  <si>
    <t>REVOQUE INTERIOR</t>
  </si>
  <si>
    <t>7,1,2</t>
  </si>
  <si>
    <t>ESTUCO INTERIOR</t>
  </si>
  <si>
    <t>7,1,3</t>
  </si>
  <si>
    <t>PINTURA INTERIOR</t>
  </si>
  <si>
    <t>7,2,1</t>
  </si>
  <si>
    <t>7,2,2</t>
  </si>
  <si>
    <t>7,2,3</t>
  </si>
  <si>
    <t>PINTURA</t>
  </si>
  <si>
    <t>7,3,1</t>
  </si>
  <si>
    <t>7,3,2</t>
  </si>
  <si>
    <t>7,3,3</t>
  </si>
  <si>
    <t>OBRAS VARIAS</t>
  </si>
  <si>
    <t>7,5,1</t>
  </si>
  <si>
    <t>7,5,2</t>
  </si>
  <si>
    <t>7,5,3</t>
  </si>
  <si>
    <t>PISOS</t>
  </si>
  <si>
    <t>8,1</t>
  </si>
  <si>
    <t>PISOS INTERIORES</t>
  </si>
  <si>
    <t>8.1.1</t>
  </si>
  <si>
    <t>Suministro e instalación de guarda escobas (zocalo) con el mismo material del enchape de piso,incluye lechada, dilataciones y chaflan en estuco acrilico. Incluye además todos los elementos necesarios para su correcta instalación y funcionamiento.</t>
  </si>
  <si>
    <t>8.1.2</t>
  </si>
  <si>
    <t>8.1.3</t>
  </si>
  <si>
    <r>
      <t xml:space="preserve">Construccion piso en Vinilo </t>
    </r>
    <r>
      <rPr>
        <sz val="12"/>
        <color theme="4" tint="0.39997558519241921"/>
        <rFont val="Bahnschrift Light Condensed"/>
        <family val="2"/>
      </rPr>
      <t>antideslizante</t>
    </r>
    <r>
      <rPr>
        <sz val="12"/>
        <color rgb="FF595959"/>
        <rFont val="Bahnschrift Light Condensed"/>
        <family val="2"/>
      </rPr>
      <t xml:space="preserve"> alto trafico color, E=3 a 5 cm. Tipo impark. de primera calidad aprobada por la interventoría que cumpla la norma NTC. Incluye concreto de pega y nivelación y aditivo plastificante en un espesor de 5 cm, suministro y transporte,  protección de muros, puertas y desagües. Cargue, transporte </t>
    </r>
  </si>
  <si>
    <t>Suministro e instalación de construccion de tarima en madera para aula polivalente. Incluye diseño de elementos de sub-estructura para tarima, aprobado por la interventoria de la obra. Acabado de la madera y tipo.</t>
  </si>
  <si>
    <t>8.1.4</t>
  </si>
  <si>
    <t>Suministro e instalación de remate entre borde de losa y piso ceramico. Generar el tratamiento adecuado para estas reparaciones puntuales. Se solicita pulir el corte de los acabados y emparejar a nivel la arista entre el remate con sikalisto o producto similar dispuesto segun la ubicación.</t>
  </si>
  <si>
    <t>Tratamiento entre anden y enchape ceramico Generar el tratamiento adecuado para estas reparaciones puntuales. Se solicita pulir el corte de los acabados y emparejar a nivel, con Sikalisto o producto similar dispuesto segun la ubicación.</t>
  </si>
  <si>
    <t>APARATOS/GRIFERIA/MUEBLES/MESONES</t>
  </si>
  <si>
    <t>APARATOS SANITARIOS</t>
  </si>
  <si>
    <t>10,1,1</t>
  </si>
  <si>
    <t>Suministro, Transporte e Instalación de SANITARIO INTEGRAL ( color BLANCO, bajo consumo 6lt, diseño de dos piezas, taza redonda, incluye el suministro y transporte del sanitario, sifón esmaltado, grifería antisifón, anillo abierto, abastos, válvula de regulación metálica con manguera flexible, brida de fijación, tapón roscado y todos los demás elementos necesarios para su correcta instalación y funcionamiento.</t>
  </si>
  <si>
    <t>10,1,2</t>
  </si>
  <si>
    <t>Suministro, Transporte e Instalación Sanitario acuaplus corona color blanco  ref 02666 para discapacitados( color BLANCO, bajo consumo 6lt, diseño de dos piezas, taza redonda, incluye el suministro y transporte del sanitario, sifón esmaltado, grifería antisifón, anillo abierto, abastos, válvula de regulación metálica con manguera flexible, brida de fijación, tapón roscado y todos los demás elementos necesarios para su correcta instalación y funcionamiento.</t>
  </si>
  <si>
    <t>10,1,3</t>
  </si>
  <si>
    <t>Suministro, Transporte e Instalación Sanitario infantil kiddy single, color blanco ref5011010001 de corona o similar ( color BLANCO, bajo consumo 6lt, diseño de dos piezas, taza redonda, incluye el suministro y transporte del sanitario, sifón esmaltado, grifería antisifón, anillo abierto, abastos, válvula de regulación metálica con manguera flexible, brida de fijación, tapón roscado y todos los demás elementos necesarios para su correcta instalación y funcionamiento.</t>
  </si>
  <si>
    <t>10,1,4</t>
  </si>
  <si>
    <t>Suministro, transporte y colocación de orinal tipo Santa Fe o mediano de corona o equivalente, color blanco con grifería de valvula cromada, línea institucional. Incluye grifería, abasto metálico y todos los elementos necesarios para su correcta instalación y funcionamiento.</t>
  </si>
  <si>
    <t>LAVAMANOS</t>
  </si>
  <si>
    <t>MESONES</t>
  </si>
  <si>
    <t>10.3.1</t>
  </si>
  <si>
    <t>Suministro, transporte y colocación de meson en acero inoxidable para cocina  ASIS304 cali 16 formato 1,20*0,60m socoda o similar, incluye griferia metalica grival o similar, tipo ganzo y demas accesorios para su correcta instalacion y funcionamiento</t>
  </si>
  <si>
    <t>Meson con espacio para lavamanos ancho 0,6 con sus respectivas perforaciones según diseño</t>
  </si>
  <si>
    <t>Meson de laboratorio según diseño (ancho ,6)</t>
  </si>
  <si>
    <t>DIVISIONES DE BAÑO</t>
  </si>
  <si>
    <t>OBJETOS DE BAÑO</t>
  </si>
  <si>
    <t>DUCHAS</t>
  </si>
  <si>
    <t>CARPINTERÍA METÁLICA/MADERA/SISTEMAS LIVIANOS</t>
  </si>
  <si>
    <t>11.1</t>
  </si>
  <si>
    <t>MARCOS Y PUERTAS METÁLICAS</t>
  </si>
  <si>
    <t>(P.V.1) Suministro, transporte y colocación de ppuerta vidriera en aluminio sistema Koncept 40 de Ventanas Y Puertas o similar, Diseño: 6 cuerpos fijos + 2 cuerpos proyectantes + puerta batiente + marcos de 5 cm x 5 cm / 5 cm x 12 cm o similar, Acabados: Perfilaría en aluminio color Bronce, Cerradura: Manija tipo sirena para ventana + cerradura según proveedor para puerta, Materiales: estructura en aluminio + vidrio laminado 3+3 E: 6mm y todo los demás elementos requeridos para su correcta fabricación e instalación, según diseño.</t>
  </si>
  <si>
    <t>11.2</t>
  </si>
  <si>
    <t>VENTANERIA EN ALUMINIO/PVC</t>
  </si>
  <si>
    <t>Suministro, transporte y colocacion de ventana V7 en aluminio + vidrio laminado 3+3 E=6mm, sistema koncept 40, de 1,70*5,90m, diseño 9 cuerpos fijos + 3 cuerpos proyectantes + marcos de 5cm*5cm o similar, perfileria en aluminio color bronce, cerradura manija tipo sirena y todos los elementos necesarios para su correcta instalacion y funcionamiento (ver diseño)</t>
  </si>
  <si>
    <t>(V.12) suministro, transporte y colocacion de Venta en aluminio de 0.8*1.9 Tipo: Venta en aluminio sistema Koncept 40 de  Ventanas Y Puertas o similar Diseño: 2 cuerpos fijos + 1 cuerpos proyectantes + marcos de 5 cm x 5 cm Acabados: Perfilaría en aluminio color Bronce Cerradura: Manija tipo sirena Materiales: estructura en alumino + vidrio laminado 3+3 E: 6mm  y todos los elementos necesarios para su correcta instalacion y funcionamiento (ver diseño)</t>
  </si>
  <si>
    <t>(V.12(A)) suministro, transporte y colocacion de Venta en aluminio de 0.8*1.82 Tipo: Venta en aluminio sistema Koncept 40 de  Ventanas Y Puertas o similar Diseño: 2 cuerpos fijos + 1 cuerpos proyectantes + marcos de 5 cm x 5 cm Acabados: Perfilaría en aluminio color Bronce Cerradura: Manija tipo sirena Materiales: estructura en alumino + vidrio laminado 3+3 E: 6mm  y todos los elementos necesarios para su correcta instalacion y funcionamiento (ver diseño)</t>
  </si>
  <si>
    <t>(V.13(A)) suministro, transporte y colocacion de Venta en aluminio de 0.8*220 Tipo: Venta en aluminio sistema Koncept 40 de  Ventanas Y Puertas o similar Diseño: 2 cuerpos fijos + 1 cuerpos proyectantes + marcos de 5 cm x 5 cm Acabados: Perfilaría en aluminio color Bronce Cerradura: Manija tipo sirena Materiales: estructura en alumino + vidrio laminado 3+3 E: 6mm  y todos los elementos necesarios para su correcta instalacion y funcionamiento (ver diseño)</t>
  </si>
  <si>
    <t>(V.14) suministro, transporte y colocacion de Venta en aluminio de 0.4*0.4 Tipo: Venta en aluminio sistema Koncept 40 de  Ventanas Y Puertas o similar Diseño: 1 cuerpos proyectantes + marcos de 5 cm x 5 cm Acabados: Perfilaría en aluminio color Bronce Cerradura: Manija tipo sirena Materiales: estructura en alumino + vidrio laminado 3+3 E: 6mm  y todos los elementos necesarios para su correcta instalacion y funcionamiento (ver diseño)</t>
  </si>
  <si>
    <t>(V.15(A)) suministro, transporte y colocacion de Venta en aluminio de 3.5*2.20 Tipo: Venta en aluminio sistema Koncept 40 de  Ventanas Y Puertas o similar Diseño: 1 cuerpos corredizo + marcos de 5 cm x 5 cm Acabados: Perfilaría en aluminio color Bronce Cerradura: Manija tipo sirena Materiales: estructura en alumino + vidrio laminado 3+3 E: 6mm  y todos los elementos necesarios para su correcta instalacion y funcionamiento (ver diseño)</t>
  </si>
  <si>
    <t>(V.16) suministro, transporte y colocacion de Venta en aluminio de 1.20 * 2.40 Tipo sistema Koncept 40 de Ventanas y puertas o similar. Diseño: 1 Cuerpor fijo + marcos de 5 cm x 5 cm. Acabados: Perfileria en aluminio color Bronce. Cerradura: Manija tipo sirena. Materiales: Estructura en aluminio + vidrio laminado 3+3: 6 mm.</t>
  </si>
  <si>
    <t>(V.20) suministro, transporte y colocacion de Venta en aluminio sistema Koncept 40 de Ventanas Y Puertas o similar, Diseño: 20 cuerpos fijos + 8 cuerpos persiana + marcos de  5 cm x 12 cm o similar,	Acabados: Perfilaría en aluminio color Bronce, Materiales: estructura en alumino + vidrio laminado 3+3 E: 6mm y todos los elementos necesarios para su correcta instalacion y funcionamiento (ver diseño)</t>
  </si>
  <si>
    <t>11.3</t>
  </si>
  <si>
    <t>PASAMANOS</t>
  </si>
  <si>
    <t>Instalación de pasamanos en tubería negra liviana en exteriores proximos de los edificios parales de 2" cada 2.25m y quitamiedos en tuberia negra liviana de 1" cada 0.19m L=0.35m. Incluye suministro y transporte de los materiales, platina de 3/16*1-1/2 de 4"x4" soldada al paral (tubería negra liviana de 2")   y anclada con pernos expansivos a lagrimal de concreto, pintura anticorrosivo, pintura de poliuretano; incluye todos los elementos necesarios para su correcta construcción y funcionamiento.</t>
  </si>
  <si>
    <t>Instalación de pasamanos en tubería negra liviana en exteriores o zonas de urbanismo parales de 2" cada 2.25m y quitamiedos en tuberia negra liviana de 1" cada 0.19m L=0.35m. Incluye suministro y transporte de los materiales, platina de 3/16*1-1/2 de 4"x4" soldada al paral (tubería negra liviana de 2")   y anclada con pernos expansivos a lagrimal de concreto, pintura anticorrosivo, pintura de poliuretano; incluye todos los elementos necesarios para su correcta construcción y funcionamiento.</t>
  </si>
  <si>
    <t>12</t>
  </si>
  <si>
    <t>CUBIERTA/ CIELOS</t>
  </si>
  <si>
    <t>12.1</t>
  </si>
  <si>
    <t>TEJA TIPO TERMOACUSTICA</t>
  </si>
  <si>
    <t>12.2</t>
  </si>
  <si>
    <t>CIELOS</t>
  </si>
  <si>
    <t>RED CONTRA INCENDIOS</t>
  </si>
  <si>
    <t>14.1</t>
  </si>
  <si>
    <t>SUMINISTRO, INSTALACIÓN Y MONTAJE DE ESTACION DE BOMBEO PARA RED CONTRA INCENDIOS, INCLUYE:</t>
  </si>
  <si>
    <t>14.1.1</t>
  </si>
  <si>
    <t>Bomba vertical in line carcasa partida, listada UL, APROBADA FM para 350 gpm y 140 psi,</t>
  </si>
  <si>
    <t>14.2</t>
  </si>
  <si>
    <t>SUMINISTRO, INSTALACIÓN Y MONTAJE DE ACCESORIOS PARA ESTACION DE BOMBEO PARA RED CONTRA INCENDIOS, INCLUYE:</t>
  </si>
  <si>
    <t>14.2.1</t>
  </si>
  <si>
    <t>S.T.I. Valvula de compuerta extemo brida de 4" 300 psi UL listed</t>
  </si>
  <si>
    <t>14.2.2</t>
  </si>
  <si>
    <t xml:space="preserve">S.T.I. Tee Mecanica salida roscada 4x3x1.25" </t>
  </si>
  <si>
    <t>14.2.3</t>
  </si>
  <si>
    <t>Valvula de Check ranurada de 4" 300 psi UL listed</t>
  </si>
  <si>
    <t>14.2.4</t>
  </si>
  <si>
    <t>Sensor de flujo Viking Modelo SR 010 4"</t>
  </si>
  <si>
    <t>14.2.5</t>
  </si>
  <si>
    <t>Campana para alarma diámetro 15 cm pico salida 92 dBA.</t>
  </si>
  <si>
    <t>14.3</t>
  </si>
  <si>
    <t>CONEXIÓN DE BOMBEROS ESTACIONES DE SUPERVISIÓN Y EXTINTORES</t>
  </si>
  <si>
    <t>14.3.1</t>
  </si>
  <si>
    <t>Hidrante de pared (Siamesa)</t>
  </si>
  <si>
    <t>14.3.2</t>
  </si>
  <si>
    <t>Extintor ABC de 10 Lbs</t>
  </si>
  <si>
    <t>14.3.3</t>
  </si>
  <si>
    <t>Valvula de compuerta de 2 1/2" UL</t>
  </si>
  <si>
    <t>14.3.4</t>
  </si>
  <si>
    <t>Valvula de retención de 4" UL</t>
  </si>
  <si>
    <t>14.3.5</t>
  </si>
  <si>
    <t>Sensor de flujo de 2 1/2" UL</t>
  </si>
  <si>
    <t>14.3.6</t>
  </si>
  <si>
    <t>Gabinetes tipo ll de 77x77X22 cm lámina cool roled con vidrio templado</t>
  </si>
  <si>
    <t>14.3.7</t>
  </si>
  <si>
    <t>Valvula de drenaje y prueba de 1 1/2"</t>
  </si>
  <si>
    <t>14.4</t>
  </si>
  <si>
    <t>TUBERIA Y ACCESORIOS Y ROCIADORES</t>
  </si>
  <si>
    <t>14.4.3</t>
  </si>
  <si>
    <t>S.T.I. Codo 90° x Ø 4" HD - JH para tubería PVC C900</t>
  </si>
  <si>
    <t>14.4.5</t>
  </si>
  <si>
    <t>S.T.I. Reducción de x Ø6" x 4" HD - JH para tubería PVC C900</t>
  </si>
  <si>
    <t>14.4.6</t>
  </si>
  <si>
    <t xml:space="preserve">S.T.I. Tubería en acero shedulle 10 Ø 4" ASTMA A 52 sin costura </t>
  </si>
  <si>
    <t>14.4.7</t>
  </si>
  <si>
    <t>S.T.I. Tuberia acero 6" sin costura schedule 40 ASTM A 52</t>
  </si>
  <si>
    <t>14.4.8</t>
  </si>
  <si>
    <t>S.T.I. Tuberia acero 2 1/2" sin costura schedule 40 ASTM A 53</t>
  </si>
  <si>
    <t>14.4.9</t>
  </si>
  <si>
    <t>S.T.I. Tuberia acero 1" sin costura schedule 40 ASTM A 53</t>
  </si>
  <si>
    <t>14.4.10</t>
  </si>
  <si>
    <t>S.T.I. Codo 90° x Ø 2½" en Acero Shedulle 40 con placa antibortice</t>
  </si>
  <si>
    <t>14.4.11</t>
  </si>
  <si>
    <t>S.T.I. Codo 45° x Ø 2½" en Acero Shedulle 40 con placa antibortice</t>
  </si>
  <si>
    <t>14.4.12</t>
  </si>
  <si>
    <t>S.T.I. Codo 90° x Ø 1" en Acero Shedulle 40 con placa antibortice</t>
  </si>
  <si>
    <t>14.4.13</t>
  </si>
  <si>
    <t>S.T.I. Tee Mecanica en acero   Ø 4" x 4" x 4"</t>
  </si>
  <si>
    <t>14.4.14</t>
  </si>
  <si>
    <t>S.T.I. Tee Mecanica  en acero   Ø  4" x 2½"</t>
  </si>
  <si>
    <t>14.4.15</t>
  </si>
  <si>
    <t>S.T.I. Reducción en acero Ø 2½" x 1"</t>
  </si>
  <si>
    <t>14.4.16</t>
  </si>
  <si>
    <t xml:space="preserve">S.T.I. Tee Mecanica  en acero Ø  2½" </t>
  </si>
  <si>
    <t>14.4.17</t>
  </si>
  <si>
    <t>S.T.I. Tee Mecanica  en acero Ø  2½" x 1"</t>
  </si>
  <si>
    <t>14.4.18</t>
  </si>
  <si>
    <t xml:space="preserve">S.T.I. union  Mecanica  en acero para transición de PVC a acero Ø  4" </t>
  </si>
  <si>
    <t>14.4.19</t>
  </si>
  <si>
    <t xml:space="preserve">S.T.I. de anclajes en concreto f´c=17 Mpa para accesorios de la tbería c900 Ø  6" </t>
  </si>
  <si>
    <t>14.4.20</t>
  </si>
  <si>
    <t>S.T.I Rociador Pendiente temperatura ordinaria cobertura estandar.</t>
  </si>
  <si>
    <t>14.4.21</t>
  </si>
  <si>
    <t>S.T.I Rociador Montante temperatura ordinaria cobertura estandar.</t>
  </si>
  <si>
    <t>14.4.22</t>
  </si>
  <si>
    <t xml:space="preserve">S.T.I Cuelga antisismica transversal </t>
  </si>
  <si>
    <t>14.4.23</t>
  </si>
  <si>
    <t xml:space="preserve">S.T.I Cuelga antisismica longitudinal </t>
  </si>
  <si>
    <t>14.4.24</t>
  </si>
  <si>
    <t>S.T.I Cuelga antisismica cuatro vias para montante 4"</t>
  </si>
  <si>
    <t>14.4.25</t>
  </si>
  <si>
    <t>S.T.I Cuelga sencilla</t>
  </si>
  <si>
    <t>14.5</t>
  </si>
  <si>
    <t>ADICIONALES</t>
  </si>
  <si>
    <t>14.5.1</t>
  </si>
  <si>
    <t xml:space="preserve">SUMINISTRO E INSTALACIÓN RED DE DETECCIÓN Y ALARMA DE INCENDIO </t>
  </si>
  <si>
    <t>RED DE GAS</t>
  </si>
  <si>
    <t>15.1</t>
  </si>
  <si>
    <t xml:space="preserve">TUBERÍAS Y ACCESORIOS </t>
  </si>
  <si>
    <t>15.1.1</t>
  </si>
  <si>
    <t>S.T.C. de Red interna en tubería de PEMD Ø1" Incluye tubería,  accesorios y demás para su funcionamiento</t>
  </si>
  <si>
    <t>15.1.2</t>
  </si>
  <si>
    <t>S.T.C. de Red interna en tubería de Acero Shedulle 40 Ø1" Incluye tubería,  accesorios y demás para su funcionamiento</t>
  </si>
  <si>
    <t>15.1.3</t>
  </si>
  <si>
    <t>S.T.C. de Red interna en tubería de Acero Shedulle 40 Ø3/4" Incluye tubería,  accesorios y demás para su funcionamiento</t>
  </si>
  <si>
    <t>15.1.4</t>
  </si>
  <si>
    <t>S.T.C. de Red interna en tubería de Acero Shedulle 40 Ø1/2" Incluye tubería,  accesorios y demás para su funcionamiento</t>
  </si>
  <si>
    <t>15.1.5</t>
  </si>
  <si>
    <t>S.T.C. de Válvulas en acero Shedulle 40 en Ø1/2"</t>
  </si>
  <si>
    <t>15.1.6</t>
  </si>
  <si>
    <t>S.T.C. de Codos en acero Shedulle 40 de 90° en Ø1"</t>
  </si>
  <si>
    <t>15.1.7</t>
  </si>
  <si>
    <t>S.T.C. de Codos en acero Shedulle 40 de 90° en Ø3/4"</t>
  </si>
  <si>
    <t>15.1.8</t>
  </si>
  <si>
    <t>S.T.C. de Codos en acero Shedulle 40 de 90° en Ø1/2"</t>
  </si>
  <si>
    <t>15.1.9</t>
  </si>
  <si>
    <t>S.T.C. de Reducción en acero Shedulle 40 de Ø1" x Ø3/4"</t>
  </si>
  <si>
    <t>15.1.10</t>
  </si>
  <si>
    <t>S.T.C. de Reducción en acero Shedulle 40 de Ø3/4" x Ø1/2"</t>
  </si>
  <si>
    <t>15.1.11</t>
  </si>
  <si>
    <t xml:space="preserve">S.T.C. deTee en acero Shedulle 40 de Ø1" </t>
  </si>
  <si>
    <t>15.1.12</t>
  </si>
  <si>
    <t xml:space="preserve">S.T.C. deTee en acero Shedulle 40 de Ø3/4" </t>
  </si>
  <si>
    <t>15.1.13</t>
  </si>
  <si>
    <t xml:space="preserve">S.T.C. deTee en acero Shedulle 40 de Ø1/2" </t>
  </si>
  <si>
    <t>15.1.14</t>
  </si>
  <si>
    <t>S.T.C de regulador HUMCAR R7  RPE 140 para GN: incluye regulador, manómetro y accesorios según diseño</t>
  </si>
  <si>
    <t>15.1.15</t>
  </si>
  <si>
    <t>S.T.C de regulador HUMCAR R 2ET para GN: incluye regulador, manómetro y accesorios según diseño</t>
  </si>
  <si>
    <t>15.1.16</t>
  </si>
  <si>
    <t>Centro de medicion y regulacion SENSUR MR12 PARA COCINA: Incluye gabinete, regulador de segunda etapa, medidor G10 SENSUR MR12, valvula, universal y demas accesorios requeridos para la correcta instalacion.</t>
  </si>
  <si>
    <t>15.1.17</t>
  </si>
  <si>
    <t>Centro de medicion y regulacion   PARA LABORATORIO: Incluye gabinete, regulador de segunda etapa, medidor METREX G1.6, valvula, universal y demas accesorios requeridos para la correcta instalacion.</t>
  </si>
  <si>
    <t>15.1.18</t>
  </si>
  <si>
    <t>S.T.C de rejillas para ventilación de área mínima 0.60 x 0.45</t>
  </si>
  <si>
    <t>15.2</t>
  </si>
  <si>
    <t>ACTIVIDADES COMPLEMENTARIAS</t>
  </si>
  <si>
    <t>15.2.1</t>
  </si>
  <si>
    <t>Excavación mecánica, en material común Seco, entre 0 m y 2 m de profundidad</t>
  </si>
  <si>
    <t>15.2.2</t>
  </si>
  <si>
    <t>Lleno y apisonado de zanjas y apiques con Material selecto de la excavación compactados al 80% del ensayo proctor modificado</t>
  </si>
  <si>
    <t>15.2.3</t>
  </si>
  <si>
    <t>Lleno y apisonado de zanjas y apiques con Material de préstamo compactado al 90% del ensayo proctor modificado</t>
  </si>
  <si>
    <t>15.2.4</t>
  </si>
  <si>
    <t>Cargue, retiro y botada de material sobrante a cualquier distancia</t>
  </si>
  <si>
    <t>RED HIDROSANITARIA</t>
  </si>
  <si>
    <t>16.1</t>
  </si>
  <si>
    <t>SISTEMA DE REDES INTERNAS DE ABASTOS CON AGUA POTABLE Y DE REUSO</t>
  </si>
  <si>
    <t>16.1.1</t>
  </si>
  <si>
    <t>Actividades Generales</t>
  </si>
  <si>
    <t>16.1.1.2</t>
  </si>
  <si>
    <t>16.1.1.3</t>
  </si>
  <si>
    <t>Lleno y apisonado de zanjas y apiques con Material de préstamo compactado al 20% del ensayo proctor modificado</t>
  </si>
  <si>
    <t>16.1.1.4</t>
  </si>
  <si>
    <t>16.1.2</t>
  </si>
  <si>
    <t>Tuberías para redes de abastos</t>
  </si>
  <si>
    <t>16.1.2.1</t>
  </si>
  <si>
    <t>S.T.C. de tubería de PVC-P RDE 21 de Ø 75 mm (incluye accesorios) para impulsión de aguas lluvias tanque bajo hasta filtros</t>
  </si>
  <si>
    <t>16.1.2.4</t>
  </si>
  <si>
    <t>S.T.C. de tubería de PVC-P RDE 21 de Ø 38 mm (incluye accesorios)</t>
  </si>
  <si>
    <t>16.1.2.8</t>
  </si>
  <si>
    <t>S.T.C. de tubería de PVC-S de Ø 100 mm (incluye accesorios) para rebose y desague de tanques de almacenamiento</t>
  </si>
  <si>
    <t>16.1.3</t>
  </si>
  <si>
    <t>Suministro, transporte y colocación  de accesorios de PVC en los siguientes diametros:</t>
  </si>
  <si>
    <t>16.1.3.1</t>
  </si>
  <si>
    <t>Bocas Ø 3/4" red  abasto</t>
  </si>
  <si>
    <t>16.1.3.2</t>
  </si>
  <si>
    <t>Bocas Ø ½" red  abasto</t>
  </si>
  <si>
    <t>16.1.3.3</t>
  </si>
  <si>
    <t>Bocas Ø 3/4" red  agua caliente</t>
  </si>
  <si>
    <t>16.1.3.5</t>
  </si>
  <si>
    <t>S.T.C. de válvula de compuerta de 75 mm, paso libre</t>
  </si>
  <si>
    <t>16.1.3.6</t>
  </si>
  <si>
    <t>S.T.C. de válvula de compuerta de 38 mm, paso libre</t>
  </si>
  <si>
    <t>16.1.3.7</t>
  </si>
  <si>
    <t>S.T.C. de válvula de compuerta de 25 mm, paso libre</t>
  </si>
  <si>
    <t>16.1.3.8</t>
  </si>
  <si>
    <t>S.T.C. de válvula de compuerta de 19 mm, paso libre</t>
  </si>
  <si>
    <t>16.1.3.9</t>
  </si>
  <si>
    <t>S.T.C. de válvula de compuerta de 13 mm, paso libre</t>
  </si>
  <si>
    <t>16.1.3.10</t>
  </si>
  <si>
    <t>S.T.C. de válvula de retención de 75 mm, cheque</t>
  </si>
  <si>
    <t>16.1.3.11</t>
  </si>
  <si>
    <t>Medidor para agua potable  Ø1" (25mm), extremos roscados, cuerpo de bronce, clase B</t>
  </si>
  <si>
    <t>16.1.3.12</t>
  </si>
  <si>
    <t>Calentador de acumulación a gas, capacidad 20 galones</t>
  </si>
  <si>
    <t>16.1.4</t>
  </si>
  <si>
    <t>Equipos de bombeo y elementos especiales</t>
  </si>
  <si>
    <t>16.1.4.1</t>
  </si>
  <si>
    <t>S.T.C. de equipo de presión constante para agua potable con dos motobombas  trifásicas trabajando alternadas y en cascada, con las siguientes especificaciones: una bomba para el 60% del caudal total (38 GPM) y HD de 53 m.c.a, una bomba auxiliar para el 40% del caudal total  (25.4GPM) y HD de 53 m.c.a (incluye tanque hidroacumulador de 300 litros, tablero de control, suitche de presión, manómetro en glicerina de 200 psi, flotador electrico, cheque tipo resorte, válvulas)</t>
  </si>
  <si>
    <t>16.1.4.2</t>
  </si>
  <si>
    <t>S.T.C. de equipo de presión constante para agua lluvia de reuso con dos motobombas  trifásicas trabajando alternadas y en cascada, con las siguientes especificaciones: una bomba para el 60% del caudal total (38 GPM) y HD de 53 m.c.a, una bomba auxiliar para el 40% del caudal total  (25.4GPM) y HD de 53 m.c.a (incluye tanque hidroacumulador de 300 litros, tablero de control, suitche de presión, manómetro en glicerina de 200 psi, flotador electrico, cheque tipo resorte, válvulas)</t>
  </si>
  <si>
    <t>16.1.4.3</t>
  </si>
  <si>
    <t>S.T.C. de equipo de bombeo de aguas lluvias, con dos motobombas  trifásicas, con succión de 2" y descarga de 1½", para 80 GPM, HD 16m (incluye  tablero de control, suitche de presión, manómetro en glicerina de 200 psi, flotador electrico, cheque tipo resorte, válvulas)</t>
  </si>
  <si>
    <t>16.1.4.4</t>
  </si>
  <si>
    <t>Filtro a presión de funcionamiento manual, con capacidad para 3 l/s, en PRFV de  Ø24" X 72", para tratamiento de aguas lluvias (incluye material filtrante y distribuidores)</t>
  </si>
  <si>
    <t>16.1.4.5</t>
  </si>
  <si>
    <t>S.T.C. de tanques en fibra de vidrio de 10m3 (diametro 2.2m y altura 2.82 m, incluye salidas, tapa y accesorios)</t>
  </si>
  <si>
    <t xml:space="preserve">SISTEMA DE REDES HIDROSANITARIAS INTERNAS (DESAGUES) </t>
  </si>
  <si>
    <t>16.2.1</t>
  </si>
  <si>
    <t>16.2.1.1</t>
  </si>
  <si>
    <t>Excavación, manual o mecánica, en cualquier material y grado de humedad entre 0 y 2,0 m de profundidad</t>
  </si>
  <si>
    <t>16.2.1.2</t>
  </si>
  <si>
    <t>16.2.3</t>
  </si>
  <si>
    <t>Accesorios redes de  sanitarias aguas residuales</t>
  </si>
  <si>
    <t>16.2.3.21</t>
  </si>
  <si>
    <t>S.T.C. Tapón en PVC-S 75 mm</t>
  </si>
  <si>
    <t>16.2.3.23</t>
  </si>
  <si>
    <t>S.T.C. Rejilla de piso 2"</t>
  </si>
  <si>
    <t>16.2.3.24</t>
  </si>
  <si>
    <t>S.T.C. Rejilla de piso 4"</t>
  </si>
  <si>
    <t>16.2.3.30</t>
  </si>
  <si>
    <t xml:space="preserve">S.T.C. TAPÓN  en CPVC CORZAN O SIMILAR PARA AGUA CALIENTE de 100 mm </t>
  </si>
  <si>
    <t>16.2.3.31</t>
  </si>
  <si>
    <t xml:space="preserve">S.T.C. Trampa de grasas prefabricada en fibra de vidrio Tipo eduardoño o similar capacidad 0.10 L/s </t>
  </si>
  <si>
    <t>16.2.3.33</t>
  </si>
  <si>
    <t>S.T.C. de caja para reventilación   DE 0.30 X 0.30 X 0.5 m de profundidad (incluye tapa)</t>
  </si>
  <si>
    <t>16.2.3.34</t>
  </si>
  <si>
    <t>S.T.C.  de soportes tipo pera para tubería colgada de losa de Ø2" (incluye dos pernos expansivos de Ø 6.3 mm x 25 mm (1/4" x 1"), una platina en aluminio acero de 19 mm x 3 mm (3/4" x 1/8"))</t>
  </si>
  <si>
    <t>16.2.3.35</t>
  </si>
  <si>
    <t>S.T.C. de soportes tipo pera para tubería colgada de losa de Ø3" (incluye dos pernos expansivos de Ø 6.3 mm x 25 mm (1/4" x 1"), una platina en aluminio acero de 19 mm x 3 mm (3/4" x 1/8"))</t>
  </si>
  <si>
    <t>16.2.3.36</t>
  </si>
  <si>
    <t>S.T.C. de soportes tipo pera para tubería colgada de losa de Ø4" (incluye dos pernos expansivos de Ø 6.3 mm x 25 mm (1/4" x 1"), una platina en aluminio acero de 19 mm x 3 mm (3/4" x 1/8"))</t>
  </si>
  <si>
    <t>16.3</t>
  </si>
  <si>
    <t xml:space="preserve">REDES INTERNAS DE AGUAS RESIDUALES </t>
  </si>
  <si>
    <t>16.3.2</t>
  </si>
  <si>
    <t>Excavación manual o mecánica, en material común :</t>
  </si>
  <si>
    <t>16.3.2.1</t>
  </si>
  <si>
    <t>Seco, entre 0 m y 2 m de profundidad</t>
  </si>
  <si>
    <t>16.3.2.2</t>
  </si>
  <si>
    <t>Seco, entre 2 m y 4 m de profundidad</t>
  </si>
  <si>
    <t>16.3.3</t>
  </si>
  <si>
    <t>Entibados de madera.</t>
  </si>
  <si>
    <t>16.3.3.1</t>
  </si>
  <si>
    <t>Temporal</t>
  </si>
  <si>
    <t>16.3.3.2</t>
  </si>
  <si>
    <t>Permanente</t>
  </si>
  <si>
    <t>16.3.4</t>
  </si>
  <si>
    <t>Lleno y apisonado de zanjas y apiques con :</t>
  </si>
  <si>
    <t>16.3.4.1</t>
  </si>
  <si>
    <t>Material selecto de la excavación</t>
  </si>
  <si>
    <t>16.3.4.2</t>
  </si>
  <si>
    <t>Material de préstamo</t>
  </si>
  <si>
    <t>16.3.4.3</t>
  </si>
  <si>
    <t>S.T.C de entresuelo para cimentaciones y apoyo de tubería en material granular entre 3/4" y 4" (19mm y 100mm)</t>
  </si>
  <si>
    <t>16.3.5</t>
  </si>
  <si>
    <t>16.3.6</t>
  </si>
  <si>
    <t>Tubería de PVC para alcantarillado</t>
  </si>
  <si>
    <t>16.3.6.2</t>
  </si>
  <si>
    <t>Ø182/200mm PVC-S</t>
  </si>
  <si>
    <t>16.3.6.3</t>
  </si>
  <si>
    <t>S.T.C. cinta para señalización de redes de alcantarillado</t>
  </si>
  <si>
    <t>16.3.6.4</t>
  </si>
  <si>
    <t>S.T.C. de caja de empalme tipo  DE 0.60 X 0.60 X 1.0 m de profundidad (incluye tapa y cañuela).Según norma de construcción de EPM.</t>
  </si>
  <si>
    <t>16.3.6.5</t>
  </si>
  <si>
    <t>S.T.C. de caja de empalme tipo  DE 0.80 X 0.80 X 2.0 m de profundidad (incluye tapa y cañuela).Según norma de construcción de EPM.</t>
  </si>
  <si>
    <t>16.3.6.6</t>
  </si>
  <si>
    <t>S.T.C de ganchos para cámara de inspección.</t>
  </si>
  <si>
    <t>16.4</t>
  </si>
  <si>
    <t xml:space="preserve">REDES INTERNAS DE AGUAS LLUVIAS Y DE REUSO </t>
  </si>
  <si>
    <t>16.4.1</t>
  </si>
  <si>
    <t>Localizacion y replanteo</t>
  </si>
  <si>
    <t>16.4.2</t>
  </si>
  <si>
    <t>16.4.2.1</t>
  </si>
  <si>
    <t>16.4.2.2</t>
  </si>
  <si>
    <t>16.4.3</t>
  </si>
  <si>
    <t>16.4.3.1</t>
  </si>
  <si>
    <t>16.4.3.2</t>
  </si>
  <si>
    <t>16.4.4</t>
  </si>
  <si>
    <t>16.4.4.1</t>
  </si>
  <si>
    <t>16.4.4.2</t>
  </si>
  <si>
    <t>16.4.5</t>
  </si>
  <si>
    <t>16.4.6</t>
  </si>
  <si>
    <t>S.T.C de tubería de PVC para alcantarillado, en los siguientes diámetros internos:</t>
  </si>
  <si>
    <t>16.4.6.4</t>
  </si>
  <si>
    <t xml:space="preserve">Ø284/315mm </t>
  </si>
  <si>
    <t>16.4.6.7</t>
  </si>
  <si>
    <t>16.4.6.8</t>
  </si>
  <si>
    <t>16.4.6.9</t>
  </si>
  <si>
    <t>S.T.C. Sumidero tipo B para agua lluvias (incluye reja)</t>
  </si>
  <si>
    <t>16.4.6.10</t>
  </si>
  <si>
    <t>S.T.C. Cuneta en v prefabricada  en concreto 210Kg/cm2 de Ø0.3m y e= 0.1m (incluye firmaleta, transporte y  mano de obra)</t>
  </si>
  <si>
    <t>16.4.6.11</t>
  </si>
  <si>
    <t xml:space="preserve">S.T.C. de Cárcamo  en concreto 210Kg/cm2 de Ø0.3m y e= 0.1m para aguas lluvias </t>
  </si>
  <si>
    <t>16.5</t>
  </si>
  <si>
    <t>REDES DE AGUAS LLUVIAS EXTERNAS</t>
  </si>
  <si>
    <t>16.5.1</t>
  </si>
  <si>
    <t>16.5.2</t>
  </si>
  <si>
    <t>16.5.2.1</t>
  </si>
  <si>
    <t>16.5.3</t>
  </si>
  <si>
    <t>16.5.3.1</t>
  </si>
  <si>
    <t>16.5.3.2</t>
  </si>
  <si>
    <t>16.5.4</t>
  </si>
  <si>
    <t>16.5.4.1</t>
  </si>
  <si>
    <t>16.5.4.2</t>
  </si>
  <si>
    <t>16.5.4.3</t>
  </si>
  <si>
    <t>16.5.4.4</t>
  </si>
  <si>
    <t>16.5.5</t>
  </si>
  <si>
    <t>16.5.5.2</t>
  </si>
  <si>
    <t>16.5.5.3</t>
  </si>
  <si>
    <t>S.T.C. de cámara de inspección convencional de 1.20 de diámetro. Incluye (tapa, cuello, cono, cilindro, base y cañuela)</t>
  </si>
  <si>
    <t>16.5.5.4</t>
  </si>
  <si>
    <t>16.5.5.6</t>
  </si>
  <si>
    <t>Actualización de elementos de redes</t>
  </si>
  <si>
    <t>RED ELECTRICA</t>
  </si>
  <si>
    <t>17.1</t>
  </si>
  <si>
    <t>BLOQUE 1</t>
  </si>
  <si>
    <t>17.1.1</t>
  </si>
  <si>
    <t>17.1.2</t>
  </si>
  <si>
    <t>Tablero TMB  18 ctos (TR) 3F, 5H, 208V de sobreponer, con barras de neutro y tierra independientes, con puerta y chapa, con espacio para totalizador. 
Barras internas de cobre min 100A, 208V, Icc: 10 kA. + Neutro al 100% + Tierra según tabla 250-94 NTC 2050</t>
  </si>
  <si>
    <t>17.1.3</t>
  </si>
  <si>
    <t>Breaker industrial 3x80A, Marca Mitsubishi</t>
  </si>
  <si>
    <t>17.1.4</t>
  </si>
  <si>
    <t>17.1.3.1</t>
  </si>
  <si>
    <t>17.1.3.2</t>
  </si>
  <si>
    <t>Tubería metálica tipo EMT de 1" para  Alimentadores</t>
  </si>
  <si>
    <t>17.1.3.3</t>
  </si>
  <si>
    <t>Tubería metálica tipo EMT de 2" Alimentadores</t>
  </si>
  <si>
    <t>17.1.3.4</t>
  </si>
  <si>
    <t>17.1.3.5</t>
  </si>
  <si>
    <t>17.1.4.1</t>
  </si>
  <si>
    <t>17.1.4.2</t>
  </si>
  <si>
    <t>17.1.4.3</t>
  </si>
  <si>
    <t>17.1.4.4</t>
  </si>
  <si>
    <t>17.1.5</t>
  </si>
  <si>
    <t>TABLEROS DE DISTRIBUCIÓN Y BREAKERS</t>
  </si>
  <si>
    <t>17.1.5.1</t>
  </si>
  <si>
    <t>17.1.5.2</t>
  </si>
  <si>
    <t>Breaker industrial 3x40A, Marca Mitsubishi</t>
  </si>
  <si>
    <t>17.1.5.3</t>
  </si>
  <si>
    <t>17.1.6</t>
  </si>
  <si>
    <t>17.1.7</t>
  </si>
  <si>
    <t>17.1.7.2</t>
  </si>
  <si>
    <t>17.1.8</t>
  </si>
  <si>
    <t>17.1.8.1.A</t>
  </si>
  <si>
    <t>17.1.8.1.B</t>
  </si>
  <si>
    <t>17.1.8.2.A</t>
  </si>
  <si>
    <t>17.1.8.2.B</t>
  </si>
  <si>
    <t>17.1.8.3.B</t>
  </si>
  <si>
    <t>17.1.8.4.A</t>
  </si>
  <si>
    <t>17.1.8.4.B</t>
  </si>
  <si>
    <t>17.1.9</t>
  </si>
  <si>
    <t>17.1.9.1</t>
  </si>
  <si>
    <t>17.1.9.2</t>
  </si>
  <si>
    <t>17.1.9.3</t>
  </si>
  <si>
    <t>Luminaria LED de sobreponer hermetica 36W 120V-277V. Incluye todos los accesorios para su correcta instalación.</t>
  </si>
  <si>
    <t>17.1.10</t>
  </si>
  <si>
    <t>INSTALACIONES DE DATOS</t>
  </si>
  <si>
    <t>17.1.10.1</t>
  </si>
  <si>
    <t>17.10.1.1</t>
  </si>
  <si>
    <t>17.10.1.2</t>
  </si>
  <si>
    <t>17.10.1.3</t>
  </si>
  <si>
    <t>17.10.1.4</t>
  </si>
  <si>
    <t>17.1.11</t>
  </si>
  <si>
    <t>17.11.1</t>
  </si>
  <si>
    <t>17.11.2</t>
  </si>
  <si>
    <t>17.11.3</t>
  </si>
  <si>
    <t>17.11.4</t>
  </si>
  <si>
    <t>17.11.5</t>
  </si>
  <si>
    <t>17.2</t>
  </si>
  <si>
    <t>BLOQUE 2</t>
  </si>
  <si>
    <t>17.2.1</t>
  </si>
  <si>
    <t>INSTALACIONES DE TOMACORRIENTES</t>
  </si>
  <si>
    <t>17.2.1.1</t>
  </si>
  <si>
    <t>17.2.1.2</t>
  </si>
  <si>
    <t>17.2.1.3</t>
  </si>
  <si>
    <t>17.2.1.4</t>
  </si>
  <si>
    <t>17.2.2</t>
  </si>
  <si>
    <t>17.2.3</t>
  </si>
  <si>
    <t>17.2.3.1</t>
  </si>
  <si>
    <t>17.2.3.2</t>
  </si>
  <si>
    <t>17.2.3.3</t>
  </si>
  <si>
    <t>17.2.3.4</t>
  </si>
  <si>
    <t>17.2.4</t>
  </si>
  <si>
    <t>17.2.4.1</t>
  </si>
  <si>
    <t>17.2.4.2</t>
  </si>
  <si>
    <t>17.2.4.3</t>
  </si>
  <si>
    <t>17.2.5</t>
  </si>
  <si>
    <t>17.2.5.1</t>
  </si>
  <si>
    <t>17.2.5.2</t>
  </si>
  <si>
    <t>17.2.5.3</t>
  </si>
  <si>
    <t>17.2.6</t>
  </si>
  <si>
    <t>17.2.7</t>
  </si>
  <si>
    <t>17.2.7.1</t>
  </si>
  <si>
    <t>17.2.8</t>
  </si>
  <si>
    <t>17.2.8.1</t>
  </si>
  <si>
    <t>17.2.8.2</t>
  </si>
  <si>
    <t>17.2.8.3</t>
  </si>
  <si>
    <t>17.2.9</t>
  </si>
  <si>
    <t>17.2.9.1</t>
  </si>
  <si>
    <t>17.2.9.2</t>
  </si>
  <si>
    <t>17.2.9.3</t>
  </si>
  <si>
    <t>17.2.10</t>
  </si>
  <si>
    <t>17.2.10.3</t>
  </si>
  <si>
    <t>17.2.11</t>
  </si>
  <si>
    <t>17.2.11.1</t>
  </si>
  <si>
    <t>17.2.11.2</t>
  </si>
  <si>
    <t>17.2.11.3</t>
  </si>
  <si>
    <t>17.2.11.4</t>
  </si>
  <si>
    <t>17.2.11.5</t>
  </si>
  <si>
    <t>17.3</t>
  </si>
  <si>
    <t>BLOQUE 3</t>
  </si>
  <si>
    <t>17.3.1</t>
  </si>
  <si>
    <t>17.3.1.1</t>
  </si>
  <si>
    <t>17.3.1.2</t>
  </si>
  <si>
    <t>17.3.1.3</t>
  </si>
  <si>
    <t>17.3.1.4</t>
  </si>
  <si>
    <t>17.3.2</t>
  </si>
  <si>
    <t>17.3.2.1</t>
  </si>
  <si>
    <t>17.3.3</t>
  </si>
  <si>
    <t>17.3.3.2</t>
  </si>
  <si>
    <t>17.3.3.3</t>
  </si>
  <si>
    <t>17.3.3.4</t>
  </si>
  <si>
    <t>17.3.4</t>
  </si>
  <si>
    <t>17.3.4.1.A</t>
  </si>
  <si>
    <t>17.3.4.1.B</t>
  </si>
  <si>
    <t>17.3.4.2.A</t>
  </si>
  <si>
    <t>17.3.4.2.B</t>
  </si>
  <si>
    <t>17.3.4.3</t>
  </si>
  <si>
    <t>17.3.5</t>
  </si>
  <si>
    <t>17.3.5.1</t>
  </si>
  <si>
    <t>17.3.5.1.2</t>
  </si>
  <si>
    <t>17.3.5.1.3</t>
  </si>
  <si>
    <t>Breaker industrial 3x50A, Marca Mitsubishi</t>
  </si>
  <si>
    <t>17.3.5.1.4</t>
  </si>
  <si>
    <t>17.3.6</t>
  </si>
  <si>
    <t>17.3.6.1</t>
  </si>
  <si>
    <t>17.3.7</t>
  </si>
  <si>
    <t>17.3.7.1</t>
  </si>
  <si>
    <t>17.3.8</t>
  </si>
  <si>
    <t>17.3.8.1.B</t>
  </si>
  <si>
    <t>17.3.8.2.A</t>
  </si>
  <si>
    <t>17.3.8.2.B</t>
  </si>
  <si>
    <t>17.3.8.3.B</t>
  </si>
  <si>
    <t>17.3.8.4.A</t>
  </si>
  <si>
    <t>17.3.8.4.B</t>
  </si>
  <si>
    <t>17.3.9</t>
  </si>
  <si>
    <t>17.3.9.1</t>
  </si>
  <si>
    <t>17.3.9.2</t>
  </si>
  <si>
    <t>17.3.9.3</t>
  </si>
  <si>
    <t>17.3.10</t>
  </si>
  <si>
    <t>17.3.10.1</t>
  </si>
  <si>
    <t>17.3.10.2</t>
  </si>
  <si>
    <t>17.3.11</t>
  </si>
  <si>
    <t>17.3.11.1</t>
  </si>
  <si>
    <t>17.3.11.2.B</t>
  </si>
  <si>
    <t>17.3.11.3</t>
  </si>
  <si>
    <t>17.3.11.4</t>
  </si>
  <si>
    <t>17.3.11.5</t>
  </si>
  <si>
    <t>17.4</t>
  </si>
  <si>
    <t>BLOQUE 4</t>
  </si>
  <si>
    <t>17.4.1</t>
  </si>
  <si>
    <t>17.4.1.1</t>
  </si>
  <si>
    <t>17.4.2</t>
  </si>
  <si>
    <t>17.4.2.1</t>
  </si>
  <si>
    <t>17.4.3</t>
  </si>
  <si>
    <t>17.4.3.1</t>
  </si>
  <si>
    <t>17.4.3.2</t>
  </si>
  <si>
    <t>17.4.3.3</t>
  </si>
  <si>
    <t>17.4.4</t>
  </si>
  <si>
    <t>17.4.4.1</t>
  </si>
  <si>
    <t>17.4.4.2</t>
  </si>
  <si>
    <t>17.4.4.3</t>
  </si>
  <si>
    <t>17.4.5</t>
  </si>
  <si>
    <t>17.4.5.1</t>
  </si>
  <si>
    <t>17.4.5.2</t>
  </si>
  <si>
    <t>17.4.5.5</t>
  </si>
  <si>
    <t>17.4.5.6</t>
  </si>
  <si>
    <t>17.4.5.7</t>
  </si>
  <si>
    <t>Suministro e instalación de pararrayos tipo "Punta de Franklin" de acero inoxidable de una sola punta. Fabricado en Acero Inoxidable . Incluye 0.5 mt de tuberia galv IMC de 1", pernos de fijación,uniones,soportes y demás accesorios de instalación.</t>
  </si>
  <si>
    <t>17.4.5.8</t>
  </si>
  <si>
    <t>Suministro e instalación de pararrayos tipo "Punta de Franklin" de acero inoxidable de una sola punta. Fabricado en Acero Inoxidable . Incluye 1.5 mt de tuberia galv IMC de 1", pernos de fijación,uniones,soportes y demás accesorios de instalación.</t>
  </si>
  <si>
    <t>17.4.5.9</t>
  </si>
  <si>
    <t>17.4.5.10</t>
  </si>
  <si>
    <t>17.4.6</t>
  </si>
  <si>
    <t>17.4.6.1</t>
  </si>
  <si>
    <t>17.4.6.2</t>
  </si>
  <si>
    <t>17.4.6.3</t>
  </si>
  <si>
    <t>17.4.6.4</t>
  </si>
  <si>
    <t>17.4.6.5</t>
  </si>
  <si>
    <t>17.5</t>
  </si>
  <si>
    <t>ACOMETIDAS PRINCIPALES Y TABLEROS</t>
  </si>
  <si>
    <t>Suministro, transporte e instalacion de acometida en cable THHN-THWN 3#2+1#4+1#6 AWG.</t>
  </si>
  <si>
    <t>Suministro, transporte e instalacion de acometida en cable THHN-THWN 3#6+1#6+1#8 AWG.</t>
  </si>
  <si>
    <t>Suministro, transporte e instalacion de acometida en cable THHN-THWN 3#2/0+1#1/0+1#2 AWG.</t>
  </si>
  <si>
    <t>Suministro, transporte e instalacion de acometida en cable THHN-THWN 3#4+1#4+1#6 AWG.</t>
  </si>
  <si>
    <t>Suministro, transporte e instalacion de alimentadores en cable THHN-THWN 3#10AWG.</t>
  </si>
  <si>
    <t>17.6</t>
  </si>
  <si>
    <t>17.6.1</t>
  </si>
  <si>
    <t>17.6.8</t>
  </si>
  <si>
    <t>17.6.14</t>
  </si>
  <si>
    <t>17.6.15</t>
  </si>
  <si>
    <t>Suministro, transporte y colocación de tubería PVC tipo DB de 4",atracada en concreto,según norma RS1-005, Incluye accesorios, pega PVC,excavación,material de playa, tapada, y botada de escombros. - telecomunicaciones</t>
  </si>
  <si>
    <t>17.6.16</t>
  </si>
  <si>
    <t>17.7.</t>
  </si>
  <si>
    <t>17.8</t>
  </si>
  <si>
    <t>17.9</t>
  </si>
  <si>
    <t>18</t>
  </si>
  <si>
    <t>PISOS EXTERIORES Y VARIOS</t>
  </si>
  <si>
    <t>Suministro e instalación de piso en caucho granular nacional reciclado espesor 15 cm</t>
  </si>
  <si>
    <t>Suministro e instalación de grama natural, incluye suministro de tierra negra.</t>
  </si>
  <si>
    <t xml:space="preserve">Suministro e instalación de concreto de 21MPa pulido e=8 cm </t>
  </si>
  <si>
    <t>INTERVENTORÍA</t>
  </si>
  <si>
    <t>Item</t>
  </si>
  <si>
    <t>Descripción</t>
  </si>
  <si>
    <t>Cantidad</t>
  </si>
  <si>
    <t>Valor unitario</t>
  </si>
  <si>
    <t>Valor parcial</t>
  </si>
  <si>
    <t/>
  </si>
  <si>
    <t>m²</t>
  </si>
  <si>
    <t>glo</t>
  </si>
  <si>
    <t>UN</t>
  </si>
  <si>
    <t>PROYECTO</t>
  </si>
  <si>
    <t xml:space="preserve">LOCALIZACIÓN </t>
  </si>
  <si>
    <t>SAN PEDRO DE LOS MILAGROS - ANTIOQUIA</t>
  </si>
  <si>
    <t>Pulidora de piso</t>
  </si>
  <si>
    <t>Lavamanos de Colgar Blanco</t>
  </si>
  <si>
    <t>https://corona.co/productos/lavamanos/lavamanos-milano/p/O14111001?gclid=Cj0KCQjw1tGUBhDXARIsAIJx01nEgELxGUMAJMcLpWmRBMZ3_Ft7j3e6ygXGVyldoPJYKDDHKYoxZ1AaAsqIEALw_wcB</t>
  </si>
  <si>
    <t>ALFA</t>
  </si>
  <si>
    <t>https://www.alfa.com.co/baldosa-payande-grano-1-225017462-x/p?idsku=1345&amp;gclid=Cj0KCQjw-daUBhCIARIsALbkjSYOS9aOKhFcO4rlJPU-OD6UiaEpJSYiHFTNsRhGZ6ghIwTg0BwnlOAaAgiCEALw_wcB</t>
  </si>
  <si>
    <t>Baldosa de grano blanco (30x30 cm)</t>
  </si>
  <si>
    <t>Varilla PVC intermatex de dilatacion</t>
  </si>
  <si>
    <t>Adhesivo para interiores con presencia de húmedad x 25 kg</t>
  </si>
  <si>
    <t>Concreto fluido 10.5 Mpa hecho en obra</t>
  </si>
  <si>
    <t>Formaleta tablero de 0.60x1.20 m</t>
  </si>
  <si>
    <t>Formaleta tablero de 0.50x1.20 m</t>
  </si>
  <si>
    <t>https://corona.co/productos/lavamanos/lavamanos-marsella/p/O13011031?gclid=CjwKCAjwv-GUBhAzEiwASUMm4oElUl0fZGy4924SSMW30q45vfuQS-FYgcS9ABzqU1AqFAn15CnuDhoC0dAQAvD_BwE</t>
  </si>
  <si>
    <t>Lavamanos para Sobreponer Bone</t>
  </si>
  <si>
    <t>Meson en lamina de acero doble inoxidable calibre 24 (0.6 mm) con pozuelo en lamina de acero doble inoxidable calibre 24  de dimensiones a=0.75m l=1.8 m. Incluye griferia.</t>
  </si>
  <si>
    <t>Meson en lamina de acero DOBLE inoxidable calibre 24 (0.6 mm) con 8 puestos para recipientes de cocina  con dimensiones ancho 0,67m y largo 4,95m. Incluye griferia.</t>
  </si>
  <si>
    <t>mesone en L en lamina de acero DOBLE inoxidable calibre 24 (0.6 mm) con pozuelo en lamina de acero DOBLE inoxidable calibre 24 (0.6 mm) para zona de lavado de dimensiones ancho 0,75m y largo 3,45m. Incluye griferia.</t>
  </si>
  <si>
    <t>Meson en lamina de acero DOBLE inoxidable calibre 24 (0.6 mm) con un pozuelo en lamina de acero DOBLE inoxidable calibre 24 (0.6 mm) para la zona de cocina, con dimensiones  ancho 0,75m y largo 3,58m. Incluye griferia.</t>
  </si>
  <si>
    <t>Meson de cocina en lamina de acero DOBLE inoxidable calibre 24 (0.6 mm), con dimensiones ancho 0,70m y largo  3,87m. Incluye griferia.</t>
  </si>
  <si>
    <t>Mueble para cocinar con 3 puestos de estufa baja, marmita y freidora con dimensiones ancho 2,20 largo 3,00m. Incluye griferia.</t>
  </si>
  <si>
    <t xml:space="preserve"> Meson con un pozuelo en recibo y selección ancho 0,70 m Largo 3,00m. Incluye griferia.</t>
  </si>
  <si>
    <t>Meson de recibo de alimentos ancho 0,33 largo 3,70. Incluye griferia.</t>
  </si>
  <si>
    <t>MUEBLE DE COCINETA 1,6 DE LARGO X 0,6 DDE PROFUNDO INCLUYE LAVAPLATOS, tipo institucional. Incluye griferia.</t>
  </si>
  <si>
    <t>PANELES DE DIVISIONES ORINALES.</t>
  </si>
  <si>
    <t>Espejo de 2m de ancho x 1,2 m de alto</t>
  </si>
  <si>
    <t>Cotización formal</t>
  </si>
  <si>
    <t>https://www.homecenter.com.co/homecenter-co/product/76337/anclaje-concreto-cuna-1-2x2-1-4-2un/76337/?kid=bnnext1031763&amp;shop=googleShopping&amp;gclid=Cj0KCQjw4uaUBhC8ARIsANUuDjXw01G3Eyi2It-2_assbunFWdn6ZjbIArHaZmrFaiUG9MiMFcymJ6QaArGbEALw_wcB</t>
  </si>
  <si>
    <t>https://www.homecenter.com.co/homecenter-co/product/358310/organizador-de-cables-horizontal-para-rack-2u/358310/?kid=bnnext1031764&amp;shop=googleShopping&amp;gclid=Cj0KCQjw4uaUBhC8ARIsANUuDjU8RIsQ6JexfXreKawHRZoaNc6VoBAjhaB9eq6jly9AmThDZ89fSzgaAn0gEALw_wcB</t>
  </si>
  <si>
    <t>https://www.homecenter.com.co/homecenter-co/product/335157/pletina-en-l-6x6-galvanizada/335157/?kid=bnnext1031763&amp;shop=googleShopping&amp;gclid=Cj0KCQjw4uaUBhC8ARIsANUuDjWDKFI1WcCibBuvckKRWkWGmd5R-HtJccrkkxRyjseRDMpX3mH8J3MaAmaYEALw_wcB</t>
  </si>
  <si>
    <t>CONECTOR EMPALME RESORTE   G.B. USA  ROJO PAQ X 100</t>
  </si>
  <si>
    <t>CONECTOR EMPALME RESORTE  G.B.  AMARILLO PAQ X  100</t>
  </si>
  <si>
    <t>Viaje</t>
  </si>
  <si>
    <t>GYJ</t>
  </si>
  <si>
    <t>Cotizacion formal</t>
  </si>
  <si>
    <t>Suministro, transporte e instalación de sistema de division en vidrio templado y laminado de 6 mm con dimensiones de: 2.70 m de ancho x 3.35 de alto, como altura maxima (verificar en obra el enrace o tope, sí es a techo o en viga o dintel contruido). Incluye en vidrio templado puerta batiente de 0.70 de ancho y con altura libre de 2.85. (Verificar medidas en obra). Incluye soportes, perfiles y angulos en aluminio para fijación de modulos de vidrio a paredes y a piso, según recomendación del proveedor, además de las bisagras, jaladeras y chapa, autorizadas y concordadas con interventoría.</t>
  </si>
  <si>
    <t>Suministro, transporte e instalación de division en vidrio templado de 6 mm con dimensiones de longitud de 2.8 x altura de 2,1, con dos puertas batientes de 0.80 m en el mismo material. Enfaticamente corroborar medidas en obra. Incluye soportes, perfiles y angulos en aluminio para fijación de modulos de vidrio a paredes y a piso, según recomendación del proveedor, además de las bisagras, jaladeras y chapa, autorizadas y concordadas con interventoría.</t>
  </si>
  <si>
    <t>Suministro, transporte e instalación de division en vidrio templado de 6 mm con dimensiones de longitud de 1.8 x altura de 2,1, con dos puertas batientes de 0.80 m en el mismo material. Enfaticamente corroborar medidas en obra. Incluye soportes, perfiles y angulos en aluminio para fijación de modulos de vidrio a paredes y a piso, según recomendación del proveedor, además de las bisagras, jaladeras y chapa, autorizadas y concordadas con interventoría.</t>
  </si>
  <si>
    <t>Suministro, transporte e instalación de division en vidrio templado de 6 mm con dimensiones de longitud de 3.44 x altura de 2,1, con dos puertas batientes de 0.80 m en el mismo material. Enfaticamente corroborar medidas en obra. Incluye soportes, perfiles y angulos en aluminio para fijación de modulos de vidrio a paredes y a piso, según recomendación del proveedor, además de las bisagras, jaladeras y chapa, autorizadas y concordadas con interventoría.</t>
  </si>
  <si>
    <t>Suministro, transporte e instalación de modulos divisorios en marcos de aluminio o perfiles metalicos, pintados con anticorrosivo, color definido por interventoria del proyecto; y paneles en madecor rh o madera aglomerada enchapada con estilo, acabado o superficie definido por interventoria. Las dimensiones de los paneles para la zona de administración son de altura constante de 1.50, y con dimensiones en longitud variables de 1.90, 3.2, 3.2, 2, 2.9. incluye bases metalicas o en el mismo material de los marcos, para permitir la fijacion a piso, evaluar la fijación si es necesaria a paredes y evitar vaivenes.</t>
  </si>
  <si>
    <t>(P.3) Suministro, transporte y colocación de puerta metálica tipo Z Mir de ROLFORMADOS o Similar + mirilla vertical con perfil perimetral en aluminio de ancho 2m y alto 2,15m (incluye marco), Diseño: doble panel + marco de 5 cm x 12 cm + bisagra doble superior +mirilla de 200x700mm,A cabados: pintura en polvo electroestática color gris Nopal, Cerradura: incrustada tipo palanca, Materiales: lámina galvanizada calibre 18 + vidrio laminado 3+3 E: 6mm8 y todo los demás elementos requeridos para su correcta fabricación e instalación, según diseño.</t>
  </si>
  <si>
    <t>(P.5) Suministro, transporte y colocación de puerta metálica tipo Diana de DYD o Similar de ancho 0,80m y alto 2,15m (incluye marco), Diseño: monopanel + marco de 5 cm x 12 cm + bisagra doble superior, Acabados: pintura en polvo electroestática color gris nopal, Cerradura: incrustada tipo palanca, Materiales: lámina galvanizada calibre 18 y todo los demás elementos requeridos para su correcta fabricación e instalación, según diseño</t>
  </si>
  <si>
    <t>(P.7) Suministro, transporte y colocación de puerta metálica de ancho 1m y alto 2,15m (incluye marco),Diseño: puerta vidriera + marco de 5 cm x 10 cm + bisagra doble superior
Acabados: pintura en polvo electroestática color blanco mate, Cerradura: incrustada tipo palanca, Materiales: lámina galvanizada calibre 18 + vidrio laminado 3+3 E: 6mm y todo los demás elementos requeridos para su correcta fabricación e instalación, según diseño.</t>
  </si>
  <si>
    <t>Cerramiento complementario a puerta principal en perfiles metalicos. tubería PTs rectangular 50 x 100 en acero al carbón + capa de anticorrosivo epoxíco rico en zinc + capa de pintura acrílica color negro.</t>
  </si>
  <si>
    <t>Suministro e instalación de cerramiento en tubería PTS circular Ø2" en acerro al carbón + capa de anticorrosivo epóxico rico en zinc + capa de pintura acrílica color negro. Se instala tuberias PTS rectangulares 50 x 100 mm en acero. Para fijaciones verticales y horizontales a elementos estructurantes del marco del cerramiento. (ver detalle de planos-cerramientos). Incluye los elementos necesarios para la fabricacion de puertas segun el diseño y la cantidad que estas esten dispuestas. Ademas de todo lo necesario para su correcta instalacion y funcionamiento.</t>
  </si>
  <si>
    <t>https://www.homecenter.com.co/homecenter-co/product/544786/dispensador-de-papel-higienico-acero-inoxidable-304/544786/?kid=bnnext1031773&amp;shop=googleShopping&amp;gclid=EAIaIQobChMIgc36veWT-AIVociUCR33kgAkEAQYBCABEgITC_D_BwE</t>
  </si>
  <si>
    <t>Dispensador de Papel Higienico Acero Inoxidable 304</t>
  </si>
  <si>
    <t>Válvula reguladora 1/2 pulgada plástica sanitarios</t>
  </si>
  <si>
    <t>https://corona.co/productos/plomeria/valvula-reguladora-12-pulgada-plastica-sanitarios/p/967350001?gclid=EAIaIQobChMI6MjMqO2T-AIVJ8qUCR0ZJQGjEAQYAiABEgKFvfD_BwE</t>
  </si>
  <si>
    <t>Abasto plástico sanitario</t>
  </si>
  <si>
    <t>https://www.homecenter.com.co/homecenter-co/product/455629/sanitario-montecarlo-advance/455629/?cid=UpProductPDPdy#Similares</t>
  </si>
  <si>
    <t>Sanitario integral</t>
  </si>
  <si>
    <t>Cemento blanco</t>
  </si>
  <si>
    <t>Cemento blanco Argos X 40kg</t>
  </si>
  <si>
    <t>Sanitario Infantil Kiddy Blanco</t>
  </si>
  <si>
    <t>https://corona.co/productos/sanitarios/sanitario-infantil-kiddy/p/501111001</t>
  </si>
  <si>
    <t>Sanitario infantil</t>
  </si>
  <si>
    <t>Sifón en P</t>
  </si>
  <si>
    <t>https://www.homecenter.com.co/homecenter-co/product/186218/desague-sifon-lavamanos-orinal-grv-lt/186218/?kid=bnnext1031759&amp;shop=googleShopping&amp;gclid=EAIaIQobChMI7b2v7JmU-AIVRdWzCh1N-woREAQYAiABEgIGxfD_BwE</t>
  </si>
  <si>
    <t>Sifon en P</t>
  </si>
  <si>
    <t>https://corona.co/productos/sanitarios/combos-sanitarios/kit-orinal-mediano-con-valvula-tipo-push/p/O88641001</t>
  </si>
  <si>
    <t>Kit Orinal mediano con válvula tipo push</t>
  </si>
  <si>
    <t>Orinal mediano + válvula</t>
  </si>
  <si>
    <t>Sifón tipo botella</t>
  </si>
  <si>
    <t>Llave bocamanguera crom 1/2"</t>
  </si>
  <si>
    <t>Mesón en acero inoxidable 1,20 x 0,60 m</t>
  </si>
  <si>
    <t>Mesón en acero inoxidable 1.20 x 0.60</t>
  </si>
  <si>
    <t>SOCODA</t>
  </si>
  <si>
    <t>https://www.socoda.com.co/meson-120cmx52cm-2-gas/p</t>
  </si>
  <si>
    <t>Grifería tipo ganso</t>
  </si>
  <si>
    <t>https://corona.co/productos/griferias/griferia-grival-para-lavaplatos-sencilla-nogal-lt/p/455940001?gclid=Cj0KCQjwheyUBhD-ARIsAHJNM-Nx8cgdMOMgse1E7GdaG5VxpsJf30CegCKX-OJcjaYUtgSpoImu3BoaAjMTEALw_wcB</t>
  </si>
  <si>
    <t>Bomba vertical in line carcasa partida, listada UL, APROBADA FM para 350 gpm y 140 psi</t>
  </si>
  <si>
    <t xml:space="preserve">vidrio Laminado 5*5 con película de seguridad intermedia de 4 micras </t>
  </si>
  <si>
    <t>Excavación manual o mecánica, en material común Seco, entre 0 m y 2 m de profundidad</t>
  </si>
  <si>
    <t>Excavación manual o mecánica, en material común Seco, entre 2 m y 4 m de profundidad</t>
  </si>
  <si>
    <t>Entibado de madera Temporal</t>
  </si>
  <si>
    <t>Entibado de madera Permanente</t>
  </si>
  <si>
    <t>Entibado en madera Temporal</t>
  </si>
  <si>
    <t>Entibado en madera Permanente</t>
  </si>
  <si>
    <t>Lleno y apisonado de zanjas y apiques con Material selecto de la excavación</t>
  </si>
  <si>
    <t>Lleno y apisonado de zanjas y apiques con Material de préstamo</t>
  </si>
  <si>
    <t xml:space="preserve">S.T.C de tubería de PVC para alcantarillado, en diámetro interno Ø284/315mm </t>
  </si>
  <si>
    <t>Entibados de madera Temporal</t>
  </si>
  <si>
    <t>Entibados de madera Permanente</t>
  </si>
  <si>
    <t>BOMBA VERTICAL LISTADA 360GPM 140PSI</t>
  </si>
  <si>
    <t>MOTOR ELÉCTRICO HZTAL LISTADO 60HP A3550RPM</t>
  </si>
  <si>
    <t>TABLERO CONTROL ELÉCTRICO FIRETROL</t>
  </si>
  <si>
    <t>TABLERO CONTROL ELÉCTRICO PARA MOTOR 3HP</t>
  </si>
  <si>
    <t>BASE Y ACOPLES BOMBEO RCI</t>
  </si>
  <si>
    <t>MOTOBOMBA JOCKEY GRUNDOS</t>
  </si>
  <si>
    <t>ACCESORIOS Y MONTAJE BOMBEO RCI</t>
  </si>
  <si>
    <t>SOLDADURA PVC X 1/4</t>
  </si>
  <si>
    <t>Arenilla especial de compactación</t>
  </si>
  <si>
    <t>EAZ</t>
  </si>
  <si>
    <t xml:space="preserve">TUBO EMT 3/4'' </t>
  </si>
  <si>
    <t xml:space="preserve">CABLE SINTOX N°12 </t>
  </si>
  <si>
    <t>17,2,8,3</t>
  </si>
  <si>
    <t xml:space="preserve">Interruptor doble </t>
  </si>
  <si>
    <t>Cotización Pagina Virtual</t>
  </si>
  <si>
    <t>Interruptor Triple</t>
  </si>
  <si>
    <t>Luminaria led 24 W</t>
  </si>
  <si>
    <t>TOMA RJ 45 CATEGORIA 6</t>
  </si>
  <si>
    <t>Patch Panel Cat 6A de 24 Puertos de Plástico</t>
  </si>
  <si>
    <t>Tablero Trifásico 12c p/totalizador</t>
  </si>
  <si>
    <t>LUMINARIA LED 36 W HERMÉTICA</t>
  </si>
  <si>
    <t>CONCRETO 21MPA</t>
  </si>
  <si>
    <t>Suministro de Conmutador tripolar en caja Termoplastica 1-0-2 Referencia Lovato 7GN20-53P, Corrientes 20A.</t>
  </si>
  <si>
    <t>Suministro de U.P.S ON LINE 3000 VA / 2700W, 7-20 minutos, Entrada 120 Vac, Salida 2x110 Vac 2%, True On Line - Doble conversion PWM, seno pura, Borneras - Display LCD - Puertos U.S.B y RS-232, Factor de Potencia 0.9</t>
  </si>
  <si>
    <t>Suministro de U.P.S ON LINE 6000 VA / 6000W, 7-20 minutos, Entrada 208 Vac, Salida 2x110 Vac 2%, True On Line - Doble conversion PWM, seno pura, Borneras - Display LCD - Puertos U.S.B y RS-232, Factor de Potencia 1</t>
  </si>
  <si>
    <t>ARENILLA DE COMPACTACIÓN</t>
  </si>
  <si>
    <t>Válvula compuerta 4" 300 PSI</t>
  </si>
  <si>
    <t>TEE MECANICA ROSCADA 4X3X1.25" RCI</t>
  </si>
  <si>
    <t>VALVULA CHECK RANURADA 4" 300PSI</t>
  </si>
  <si>
    <t>SENSOR DE FLUJO VIKING 4"</t>
  </si>
  <si>
    <t>CAMPANA PARA ALARMA RCI</t>
  </si>
  <si>
    <t>SIAMESA BRONCE</t>
  </si>
  <si>
    <t>EXTINTOR ABC 1O LB</t>
  </si>
  <si>
    <t>VALVULA COMPUERTA 2 1/2" UL</t>
  </si>
  <si>
    <t>VALVULA DE RETENCIÓN 4" UL</t>
  </si>
  <si>
    <t>SENSOR DE FLUJO 2 1/2"</t>
  </si>
  <si>
    <t>GABINETE RCI TIPO II</t>
  </si>
  <si>
    <t>VALVULA ANTIRETORNO RCI</t>
  </si>
  <si>
    <t>ACOPLES MANGUERA</t>
  </si>
  <si>
    <t>HACHA PICO DE 1.6KG</t>
  </si>
  <si>
    <t>SOPORTE TIPO CANASTILLA</t>
  </si>
  <si>
    <t>LLAVE ESPANER HIERRO RCI</t>
  </si>
  <si>
    <t>BOQUILLA CHORRO GABINETE RCI</t>
  </si>
  <si>
    <t>VALVULA DRENAJE DE PRUEBA 1 1/2"</t>
  </si>
  <si>
    <t>CODO 90° 4" HD</t>
  </si>
  <si>
    <t>ACCESORIOS TUB RCI</t>
  </si>
  <si>
    <t>REDUCCIÓN 6"X4" HD</t>
  </si>
  <si>
    <t>TUBERIA ACERO 4" ASTMA</t>
  </si>
  <si>
    <t>ABRAZADERA TIPO PERA</t>
  </si>
  <si>
    <t>TUBERIA ACERO 6" ASTMA</t>
  </si>
  <si>
    <t>TUBERIA ACERO 2 1/2" ASTMA</t>
  </si>
  <si>
    <t>TUBERIA ACERO 1" ASTMA</t>
  </si>
  <si>
    <t>CODO 90° 2 1/2" EN ACERO</t>
  </si>
  <si>
    <t>CODO 45° 2 1/2" EN ACERO</t>
  </si>
  <si>
    <t>CODO 90° 1" EN ACERO</t>
  </si>
  <si>
    <t>TEE MECANICA EN ACERO 4X4X4"</t>
  </si>
  <si>
    <t>TEE MECANICA EN ACERO 4X21/2"</t>
  </si>
  <si>
    <t>REDUCCIÓN ENACERO 2 1/2X1"</t>
  </si>
  <si>
    <t>TEE MECANICA EN ACERO 2 1/2"</t>
  </si>
  <si>
    <t>UNION MECANICA EN ACERO 4"</t>
  </si>
  <si>
    <t>ANCLAJES EN CONCRETO ACCESORIOS TB C900</t>
  </si>
  <si>
    <t>ROCIADOR PENDIENTE TEMPERATURA</t>
  </si>
  <si>
    <t>ROCIADOR MONTANTE TEMPERATURA</t>
  </si>
  <si>
    <t>CUELGA ANTISISMICA TRANSVERSAL</t>
  </si>
  <si>
    <t>CUELGA ANTISISMICA LONGITUDINAL</t>
  </si>
  <si>
    <t>CUELGA ANTISISMICA CUATRO VIAS</t>
  </si>
  <si>
    <t>CUELGA SENCILLA</t>
  </si>
  <si>
    <t>CONT T/C RED DE DETECCIÓN Y ALARMA RCI</t>
  </si>
  <si>
    <t>TUBERIA PEMD 1"</t>
  </si>
  <si>
    <t>SELLANTE ACERO QUIMICA 56 GR</t>
  </si>
  <si>
    <t>ABRAZADERA ACERO</t>
  </si>
  <si>
    <t>TUBERIA ACERO SHEDULLE 1"</t>
  </si>
  <si>
    <t>TUBERIA ACERO SHEDULLE 3/4"</t>
  </si>
  <si>
    <t>TUBERIA ACERO SHEDULLE 1/2"</t>
  </si>
  <si>
    <t>VALVULA ACERO SHEDULLE 1/2"</t>
  </si>
  <si>
    <t>CODO ACERO SHEDULLE 1"</t>
  </si>
  <si>
    <t>CODO ACERO SHEDULLE 3/4"</t>
  </si>
  <si>
    <t>CODO ACERO SHEDULLE 1/2"</t>
  </si>
  <si>
    <t>REDUCCION ACERO SHEDULLE 1X3/4"</t>
  </si>
  <si>
    <t>REDUCCION ACERO SHEDULLE 3/4X1/2"</t>
  </si>
  <si>
    <t>TEE ACERO SHEDULLE 1"</t>
  </si>
  <si>
    <t>TEE ACERO SHEDULLE 3/4</t>
  </si>
  <si>
    <t>TEE ACERO SHEDULLE 1/2"</t>
  </si>
  <si>
    <t>REGULADOR Y MANOMETRO RED DE GAS</t>
  </si>
  <si>
    <t>ACCESORIOS REGULADOR HUMCAR R7</t>
  </si>
  <si>
    <t>SUMINISTRO GABINETE GAS</t>
  </si>
  <si>
    <t>REGULADOR SEGUNDA ETAPA</t>
  </si>
  <si>
    <t>MEDIDOR DE GAS</t>
  </si>
  <si>
    <t>LOTAI GAS</t>
  </si>
  <si>
    <t>MEDIDOR GAS 61.6</t>
  </si>
  <si>
    <t>REJILLA VENTILACION 0.6*0.45</t>
  </si>
  <si>
    <t>RANURADORA</t>
  </si>
  <si>
    <t>RETROEXCAVADORA EN ORUGAS</t>
  </si>
  <si>
    <t>VIBROCOMPACTADOR</t>
  </si>
  <si>
    <t>Transporte Interno</t>
  </si>
  <si>
    <t>TUBERIA PVC-P 3</t>
  </si>
  <si>
    <t>LIMPIADOR PVC X 12 O.Z.</t>
  </si>
  <si>
    <t>UNION PVC-P 3</t>
  </si>
  <si>
    <t>CODO PVC-P 3</t>
  </si>
  <si>
    <t>MEDIO CODO PVC-P 3</t>
  </si>
  <si>
    <t>TAPON SOLDADO PCV-P 3</t>
  </si>
  <si>
    <t>TEE PVC-P 3</t>
  </si>
  <si>
    <t>TUBERIA PCV-P 1 1/2</t>
  </si>
  <si>
    <t>UNION PVC-P 1 1/2</t>
  </si>
  <si>
    <t>CODO PVC P 1 1/2 45</t>
  </si>
  <si>
    <t>CODO PVC-P 1 1/2</t>
  </si>
  <si>
    <t>TEE PCV-P 1 1/2</t>
  </si>
  <si>
    <t>TAPON PVC-P 1 1/2</t>
  </si>
  <si>
    <t>TUBERIA PVC-S 4</t>
  </si>
  <si>
    <t>CODO PVC-S 4 CXC 45</t>
  </si>
  <si>
    <t>CODO PVC-S 4 CXC 90</t>
  </si>
  <si>
    <t>UNION PVC-S 4</t>
  </si>
  <si>
    <t>TEE PVC-S 4</t>
  </si>
  <si>
    <t>YEE PVC-S 4</t>
  </si>
  <si>
    <t>YEE PVC-S 3X 2 REDUCIDA</t>
  </si>
  <si>
    <t>BUJE PVC-S 4 X 3 SOLDADO</t>
  </si>
  <si>
    <t>TUBERIA PVC-P 3/4</t>
  </si>
  <si>
    <t>CODO PVC-P 3/4 45</t>
  </si>
  <si>
    <t>CODO PVC-P 3/4 90</t>
  </si>
  <si>
    <t>UNION PVC-P 3/4</t>
  </si>
  <si>
    <t>TEE PVC-P 3/4</t>
  </si>
  <si>
    <t>ADAPTADOR MACHO PVC-P 3/4</t>
  </si>
  <si>
    <t>TEFLON POR CARRETA</t>
  </si>
  <si>
    <t>ADAPTADOR MACHO PVC-P 1/2</t>
  </si>
  <si>
    <t>CODO PVC-P 1/2 45</t>
  </si>
  <si>
    <t>CODO PVC-P 1/2 90</t>
  </si>
  <si>
    <t>TEE PVC-P 1/2</t>
  </si>
  <si>
    <t>TUBERIA PVC-P 1/2 RDE 9</t>
  </si>
  <si>
    <t>UNION PVC-P 1/2</t>
  </si>
  <si>
    <t>VALVULA COMPUERTA 3</t>
  </si>
  <si>
    <t>TRABA QUIMICA FUERZA ALTA</t>
  </si>
  <si>
    <t>ADAPTADOR MACHO PVC-P 3</t>
  </si>
  <si>
    <t>VALVULA COMPUERTA 1 1/2</t>
  </si>
  <si>
    <t>ADAPTADOR MACHO PVC-P 1 1/2</t>
  </si>
  <si>
    <t>VALVULA COMPUERTA 1</t>
  </si>
  <si>
    <t>ADAPTADOR MACHO PVC-P 1</t>
  </si>
  <si>
    <t>VALVULA COMPUERTA 3/4</t>
  </si>
  <si>
    <t>VALVULA COMPUERTA 1/2</t>
  </si>
  <si>
    <t>VALVULA RETENCION 3</t>
  </si>
  <si>
    <t>MEDIDOR ACUEDUCTO 1" CLASE B</t>
  </si>
  <si>
    <t>ACCESORIOS INST MEDIDOR ACUEDUC</t>
  </si>
  <si>
    <t>CALENTADOR ACUMULACION</t>
  </si>
  <si>
    <t>MANOMETRO GLICERINA 200PSI</t>
  </si>
  <si>
    <t>VALVULA RW 1"</t>
  </si>
  <si>
    <t>BOMBA 38GPM HD 53</t>
  </si>
  <si>
    <t>BOMBA 25.4GPM</t>
  </si>
  <si>
    <t>FLOTADOR ELECTRICO</t>
  </si>
  <si>
    <t>HIDROACUMULADOR 300L</t>
  </si>
  <si>
    <t>VALVULA RW 3/4</t>
  </si>
  <si>
    <t>MOTOBOMBA TRIFASICA 80GPM</t>
  </si>
  <si>
    <t>FILTRO TRATAMIENTO ALL</t>
  </si>
  <si>
    <t>TANQUE ALMACENAMIENTO</t>
  </si>
  <si>
    <t>TAPON PVC-S 3</t>
  </si>
  <si>
    <t>REJILLA PISO 2''</t>
  </si>
  <si>
    <t>CODO PVC-S 2 CXC 45</t>
  </si>
  <si>
    <t>YEE PVC-S 2</t>
  </si>
  <si>
    <t>TUBERIA PVC A.LL 2</t>
  </si>
  <si>
    <t>TAPON CPVC-P 4</t>
  </si>
  <si>
    <t>TRAMPA DE GRASAS PREFABRICADA</t>
  </si>
  <si>
    <t>ACCESORIOS TRAMPA DE GRASAS</t>
  </si>
  <si>
    <t>FORMALETA CAJA INSPECCION</t>
  </si>
  <si>
    <t>CONT T/C FIJACION TUBERIAS</t>
  </si>
  <si>
    <t>HIDROSELLO NOVAFORT</t>
  </si>
  <si>
    <t>ADHESIVO NOVAFORT</t>
  </si>
  <si>
    <t>TUBERIA PVC-NOVAFORT 8</t>
  </si>
  <si>
    <t>UNION NOVAFORT 8</t>
  </si>
  <si>
    <t>GANCHOS M.H</t>
  </si>
  <si>
    <t>TUBERIA PVC NOVAFORT 6</t>
  </si>
  <si>
    <t>UNION NOVAFORT 6</t>
  </si>
  <si>
    <t>TUBERIA PVC-NOVAFORT 12"</t>
  </si>
  <si>
    <t>UNION NOVAFORT 12</t>
  </si>
  <si>
    <t>HERRAJE 80X80</t>
  </si>
  <si>
    <t>REJA METALICA SUMIDERO</t>
  </si>
  <si>
    <t>CUNETA EN V PREFABRICADA</t>
  </si>
  <si>
    <t>TAPA PREFABRICADA MH</t>
  </si>
  <si>
    <t>CONO PREFABRICADO MH</t>
  </si>
  <si>
    <t>CUELLO PREFABRICADO MH</t>
  </si>
  <si>
    <t>CILINDRO PREFABRICADO</t>
  </si>
  <si>
    <t>m3/km</t>
  </si>
  <si>
    <t>Transporte a botadero</t>
  </si>
  <si>
    <t>BUJE PVC-S 4X3</t>
  </si>
  <si>
    <t>REJILLA PISO 2</t>
  </si>
  <si>
    <t>REJILLA PISO 4</t>
  </si>
  <si>
    <t>TUBERIA PVC A.LL 4</t>
  </si>
  <si>
    <t>SOLDADURA CPVC 1/4</t>
  </si>
  <si>
    <t>CONCRETO 21 MPA PREPARADO EN OBRA</t>
  </si>
  <si>
    <t>MORTERO 1:4 REVOQUE</t>
  </si>
  <si>
    <t>HERRAJE 30X30</t>
  </si>
  <si>
    <t>CAN EN MADERA</t>
  </si>
  <si>
    <t>CANES M/C X 5 CM</t>
  </si>
  <si>
    <t xml:space="preserve">TACO EN MADERA COMÚN </t>
  </si>
  <si>
    <t>TACO MADERA REDONDO</t>
  </si>
  <si>
    <t>MATERIAL DE PRÉSTAMO</t>
  </si>
  <si>
    <t>Transporte interno</t>
  </si>
  <si>
    <t>COMPACTADOR TIPO CANGURO</t>
  </si>
  <si>
    <t xml:space="preserve">TRITURADO </t>
  </si>
  <si>
    <t xml:space="preserve">TRITURADO 3/4"  </t>
  </si>
  <si>
    <t>VIBRADOR ELÉCTRICO (Alquiler)</t>
  </si>
  <si>
    <t>HERRAJE 60X60</t>
  </si>
  <si>
    <t>ACTUALICACIÓN REDES</t>
  </si>
  <si>
    <t xml:space="preserve">PERNO EXPANSIVO 1/4 </t>
  </si>
  <si>
    <t>PLATINA ALUMINIO 3/4 X 1/8" 2 m</t>
  </si>
  <si>
    <t>Varilla Corrugada G60 W #6 (3/4 Pulg) X 6M - Homecenter.com.co</t>
  </si>
  <si>
    <t>BOMBA HIDROSTATICA PARA PRESURIZACIÓN(Alquiler)</t>
  </si>
  <si>
    <t>Homecenter</t>
  </si>
  <si>
    <t>https://www.homecenter.com.co/homecenter-co/product/13846/cemento-argos-gris-50kg/13846/?kid=bnnext1034178&amp;nbrd=googleSearch&amp;ef_id=CjwKCAjwq5-WBhB7EiwAl-HEkppy9MWO623XoWWMmq3pCbH358CV_7lAIxZJ_8kiR9DPno8ZEM59tRoC0pUQAvD_BwE:G:s&amp;s_kwcid=AL!868!3!492992987759!!!g!!&amp;gclsrc=aw.ds&amp;gclid=CjwKCAjwq5-WBhB7EiwAl-HEkppy9MWO623XoWWMmq3pCbH358CV_7lAIxZJ_8kiR9DPno8ZEM59tRoC0pUQAvD_BwE</t>
  </si>
  <si>
    <t>ANÁLISIS DE ADMINISTRACIÓN Y UTILIDAD</t>
  </si>
  <si>
    <t xml:space="preserve">I.  E ESCUELA NORMAL SUPERIOR SEÑOR DE LOS MILAGROS </t>
  </si>
  <si>
    <t>MUNICIPIO DE SAN PEDRO DE LOS MILAGROS - ANTIOQUIA</t>
  </si>
  <si>
    <t>Valor/Mes
Base</t>
  </si>
  <si>
    <t>Factor prestacional</t>
  </si>
  <si>
    <t>Dedicación</t>
  </si>
  <si>
    <t>Meses</t>
  </si>
  <si>
    <t>V/Parcial</t>
  </si>
  <si>
    <t>Personal Profesional y Técnico</t>
  </si>
  <si>
    <t>Director-Residente de Obra</t>
  </si>
  <si>
    <t>mes</t>
  </si>
  <si>
    <t>Personal Operativo y Administrativo</t>
  </si>
  <si>
    <t>Residente de Obra</t>
  </si>
  <si>
    <t>Auxiliar de residentacia</t>
  </si>
  <si>
    <t xml:space="preserve">Profesional Ambiental </t>
  </si>
  <si>
    <t>Auxiliar Administrativo</t>
  </si>
  <si>
    <t>Personal Ambiental</t>
  </si>
  <si>
    <t>SISO</t>
  </si>
  <si>
    <t xml:space="preserve">Tecnologa en seguridad industrial </t>
  </si>
  <si>
    <t xml:space="preserve">Servicios públicos </t>
  </si>
  <si>
    <t>Global</t>
  </si>
  <si>
    <t>Gastos fijos de oficina, Papelería, tinta, fotocopias, planos, ploteos, fotografías, grabaciones y otros</t>
  </si>
  <si>
    <t>Elaboración de planos necesarios para el recibo de la obra, en planchas de 1 m * 0,7 m (Planos record)</t>
  </si>
  <si>
    <t>Laboratorio</t>
  </si>
  <si>
    <t>Diseño de mezcla de concreto
proporciones para una resistencia
determinada, incluyendo ensayos sobre
agregados de peso específico y
absorción, gradaciones, humedades y
masas unitarias. Además, tres mezclas
de prueba con vaciado de cilindros a 3
y a 28 días según resistencia
especificada (máximo dos agregados), Proporcionamiento para resistencia adicional, se realiza un estimado de transporte al municipio.</t>
  </si>
  <si>
    <t xml:space="preserve">Fallo de cilindros (Fallar 2 cilindros a 7 dias, 2 cilindros a 28 dias y dejar 2 testigos), cada muestra corresponde a 6 cilindros y se toman cada 40 M3 devaciado de concreto o or actividades especificas indicadas por la interventoria </t>
  </si>
  <si>
    <t>Impacto Comunitario - Valla</t>
  </si>
  <si>
    <t xml:space="preserve">Valla informativa proyecto </t>
  </si>
  <si>
    <t>Pólizas</t>
  </si>
  <si>
    <t>Pólizas(Actualizaciones)</t>
  </si>
  <si>
    <t>Porcentual del total</t>
  </si>
  <si>
    <t>Impuestos</t>
  </si>
  <si>
    <t>Impuesto de Guerra</t>
  </si>
  <si>
    <t>ADMINISTRACION</t>
  </si>
  <si>
    <t>UTILIDAD</t>
  </si>
  <si>
    <t>U</t>
  </si>
  <si>
    <r>
      <t xml:space="preserve">TOTAL AU </t>
    </r>
    <r>
      <rPr>
        <sz val="12"/>
        <rFont val="Bahnschrift Light Condensed"/>
        <family val="2"/>
      </rPr>
      <t>(Suma de A + U)</t>
    </r>
  </si>
  <si>
    <t>COSTO DIRECTO</t>
  </si>
  <si>
    <r>
      <t xml:space="preserve">COSTO TOTAL  </t>
    </r>
    <r>
      <rPr>
        <sz val="12"/>
        <rFont val="Bahnschrift Light Condensed"/>
        <family val="2"/>
      </rPr>
      <t>(Costo Directo + Total AU)</t>
    </r>
  </si>
  <si>
    <t>INTERVENTORIA TECNICA, ADMINISTRATIVA, AMBIENTAL, LEGAL AL PROYECTO - I.E ESCUELA NORMAL SUPERIOR SEÑOR DE LOS MILAGROS SEDE PRINCIPAL, SAN PEDRO DE LOS MILAGROS - ANTIOQUIA</t>
  </si>
  <si>
    <t>CANT</t>
  </si>
  <si>
    <t>SUELDO O TARIFA MENSUAL</t>
  </si>
  <si>
    <t>DEDICACIÓN MENSUAL  
(%)</t>
  </si>
  <si>
    <t>DURACIÓN (Meses)</t>
  </si>
  <si>
    <t>VALOR 
PARCIAL 
($)</t>
  </si>
  <si>
    <t>COSTOS DIRECTOS DE PERSONAL</t>
  </si>
  <si>
    <t>Personal Profesional:</t>
  </si>
  <si>
    <t>Director General de Interventoría</t>
  </si>
  <si>
    <t xml:space="preserve">Profesional </t>
  </si>
  <si>
    <t>Ingeniero residente de Interventoría</t>
  </si>
  <si>
    <t>Arquitecto residente de interventorioa</t>
  </si>
  <si>
    <t>Ingeniero ambiental Residente de Interventoría</t>
  </si>
  <si>
    <t>SUBTOTAL COSTOS DE PERSONAL</t>
  </si>
  <si>
    <t>Factor Multiplicador (FM)</t>
  </si>
  <si>
    <t xml:space="preserve">COSTOS DE PERSONAL CON FM </t>
  </si>
  <si>
    <t>SUBTOTAL COSTOS DIRECTOS DE PERSONAL (A)</t>
  </si>
  <si>
    <t>B.</t>
  </si>
  <si>
    <t>OTROS COSTOS DIRECTOS</t>
  </si>
  <si>
    <t>2.1</t>
  </si>
  <si>
    <t>Viaticos personal de Interventoria</t>
  </si>
  <si>
    <t>Telefonia</t>
  </si>
  <si>
    <t>SUBTOTAL OTROS COSTOS DIRECTOS (B)</t>
  </si>
  <si>
    <t>VALOR BÁSICO (A + B)</t>
  </si>
  <si>
    <t>IVA (19%)</t>
  </si>
  <si>
    <t>VALOR TOTAL DE LA INTERVENTORIA</t>
  </si>
  <si>
    <t xml:space="preserve">https://www.homecenter.com.co/homecenter-co/product/298820/formaleta-dimensionada-025x244m/298820/?queryId=0d750d3d-382e-4c48-a569-ac662bab3522 </t>
  </si>
  <si>
    <t>https://www.homecenter.com.co/homecenter-co/product/271595/alambre-negro-recocido-25k-calibre-17/271595/?queryId=8e388c8b-f4ff-4165-ae79-7c368404cd6c</t>
  </si>
  <si>
    <t>https://www.homecenter.com.co/homecenter-co/product/135130/pintura-para-interior-techos-y-cielos-blanco-1-galon/135130/?gclsrc=aw.ds&amp;&amp;kid=bnnext1031778&amp;shop=googleShopping&amp;gclid=Cj0KCQjwzqSWBhDPARIsAK38LY9bPbcJN77MomM8taK4jsN08mIOa0Y41tdJF0yXjv2mP20w_6nX0mEaAgY8EALw_wcB</t>
  </si>
  <si>
    <t>Piso Deck WPC en Madera Espesor 2.5cm Caja 0.39 m2 Teka - Homecenter.com.co</t>
  </si>
  <si>
    <t>VALOR REAL SALARIO HORA (8h/dia)</t>
  </si>
  <si>
    <t xml:space="preserve">Tecnólogo Social (impacto comunitario) </t>
  </si>
  <si>
    <t>Papelería, Equipos de Oficina y otros</t>
  </si>
  <si>
    <t>Escritorio en L</t>
  </si>
  <si>
    <t>Silla de escritorio</t>
  </si>
  <si>
    <t>Equipo de cómputo ofimática</t>
  </si>
  <si>
    <t>Equipo de cómputo especializado</t>
  </si>
  <si>
    <t>Archivador</t>
  </si>
  <si>
    <t>Cartelera de corcho</t>
  </si>
  <si>
    <t>Tablero acrílico</t>
  </si>
  <si>
    <t>Impresora multifuncional</t>
  </si>
  <si>
    <t>Radio teléfonos x3</t>
  </si>
  <si>
    <t>Silla interlocutor</t>
  </si>
  <si>
    <t>Concreto de 21 MPa</t>
  </si>
  <si>
    <t>Transporte equipo</t>
  </si>
  <si>
    <t>Concreto 10.5 Mpa</t>
  </si>
  <si>
    <t xml:space="preserve">Suministro, transporte y colocación de  CHAPA DE BLOQUE de concreto  DE 3x10x40 cm. color arena expesor 4cm tipo indural o similar,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y todo lo necesario para su correcta construcción y funcionamiento.  según diseño con pegas horizontales y verticales de e= 1 cm. Las dilataciones contra estructura y el hidrófugo antigraffiti, se pagará en su ítem respectivo.. </t>
  </si>
  <si>
    <t xml:space="preserve">Escritorio  </t>
  </si>
  <si>
    <t>S.T.I. Tubería metálica tipo EMT de 3/4" para Alimentadores. Incluye lo necesario para su correcta instalación</t>
  </si>
  <si>
    <t>S.T.I. Cajas 30x30x15 de paso. Incluye lo necesario para su correcta instalación</t>
  </si>
  <si>
    <t>S. T. I. de Tubería metálica tipo EMT de 2". Incluye adaptadores, uniones, curvas, grapas doble ala, y demás accesorios necesarios para su correcta instalación.</t>
  </si>
  <si>
    <t>S.T.I. Cajas 30x30x15 de paso. Incluye lo necesario para su correcta instalación.</t>
  </si>
  <si>
    <t>S.T.I. Cajas 12x12x5 de paso. Incluye lo necesario para su correcta instalación</t>
  </si>
  <si>
    <t>S.T.I. Tubería metálica tipo EMT de 3/4" para Alimentadores. Incluye lo necesraio para su correcta instalación.</t>
  </si>
  <si>
    <t>S.T.I. Tubería metálica tipo EMT de 3/4" para Alimentadores. Incluye lo necesario para su correcta instalación.</t>
  </si>
  <si>
    <t>S.T.I. Breaker industrial 3x50A. Incluye todo lo necesario para su correcta instalación</t>
  </si>
  <si>
    <t>TRANSPORTE TRITURADO 3/4 (SIN IVA)</t>
  </si>
  <si>
    <t>CERTIFICADO RETILAP</t>
  </si>
  <si>
    <t>Salida eléctrica en canaleta para toma corriente  doble con polo a tierra monofásico 15A, 125V y según  NEMA 5-15R .Incluye toma marca Leviton o similar color blanco con  placa de nylon, encintada, Tapa troquel, conductores cobre #12 AWG tipo libre de halógeno 80 °C 750V PE HF FR LS CT, cable #12 de 6m y demás accesorios necesarios para su correcta instalación.</t>
  </si>
  <si>
    <t>Suministro, Transporte e instalación de cableado de salida eléctrica para interruptor doble 15A, 125V. Incluye interruptor marca Leviton o similar color blanco con  placa de nylon, encintada, tuberia EMT ,cajas metálicas, conductores cobre #12 AWG tipo libre de halógeno 80 °C 750V PE HF FR LS CT, cable # 12 de 6m y demás accesorios necesarios para su correcta instalación.</t>
  </si>
  <si>
    <t>Suministro, Transporte e instalación de cableado de salida eléctrica para interruptor triple 15A, 125V. Incluye interruptor marca Leviton o similar color blanco con  placa de nylon, encintada, tuberia EMT ,cajas metálicas, conductores cobre #12 AWG tipo libre de halógeno 80 °C 750V PE HF FR LS CT, de 6 m y demás accesorios necesarios para su correcta instalación.</t>
  </si>
  <si>
    <t>S.T.I. de Tubería metálica tipo EMT de 1". Incluye adaptadores, uniones, curvas, grapas doble ala, y demás accesorios necesarios para su correcta instalación.</t>
  </si>
  <si>
    <t>INTERELÉCTRICAS</t>
  </si>
  <si>
    <t xml:space="preserve">Página web </t>
  </si>
  <si>
    <t>Suministro e instalacion de luminaria led tipo emergencia 4W, 90min de duracion (según diseño)</t>
  </si>
  <si>
    <t>Suministro e instalacion de luminaria led tipo reflector 200W para iluminacion canchas (según diseño)</t>
  </si>
  <si>
    <t>Suministro e instalacion de luminaria led tipo alumbrado publico, 60W (según diseño)</t>
  </si>
  <si>
    <t>Luminaria LED de sobreponer Hermetica 36W 120V-277V. Incluye todos los accesorios para su correcta instalación. (según diseño)</t>
  </si>
  <si>
    <t>Luminaria LED de sobreponer 24W 120V-277V. Incluye todos los accesorios para su correcta instalación. (según diseño)</t>
  </si>
  <si>
    <t>Luminaria LED de sobreponer 36W 120V-277V. Incluye todos los accesorios para su correcta instalación. (según diseño)</t>
  </si>
  <si>
    <t>Luminaria LED de sobreponer hermetica  36W 120V-277V. Incluye todos los accesorios para su correcta instalación. (según diseño)</t>
  </si>
  <si>
    <t>Luminaria LED de sobreponer 24W 120V-277V. Incluye todos los accesorios para su correcta instalación.(según diseño)</t>
  </si>
  <si>
    <t>TEE MECANICA EN ACERO 2 1/2" x 1"</t>
  </si>
  <si>
    <t>Cable de Cobre Desnudo No. 4 AWG</t>
  </si>
  <si>
    <t>ALAMBRE DE COBRE No 4 AWG - DESNUDO</t>
  </si>
  <si>
    <t>Diagnóstico de Iluminación existente al momento de reiniciar obra, y propuesta de rediseño (en caso de que aplique).</t>
  </si>
  <si>
    <t>Suministro, transporte y colocación de tubería PVC tipo DB de 3",atracada en concreto,según norma EPM, Incluye accesorios, pega PVC,excavación,material de playa, tapada, y botada de escombros. - Electrico</t>
  </si>
  <si>
    <t>GASUCOL</t>
  </si>
  <si>
    <t>Suministro, transporte y colocación de tubería PVC tipo DB de 4",atracada en concreto,según norma EPM, Incluye accesorios, pega PVC,excavación,material de playa, tapada, y botada de escombros. - Electrico</t>
  </si>
  <si>
    <t>Suministro e instalación de pararrayos tipo "Punta de Franklin" de acero inoxidable de una sola punta. Fabricado en Acero Inoxidable. Incluye  pernos de fijación,uniones,soportes y demás accesorios de instalación.</t>
  </si>
  <si>
    <t>17.4.5.11</t>
  </si>
  <si>
    <t>Suministro e instalación de tubería galvanizada IMC de 1"</t>
  </si>
  <si>
    <t>17,4,5,11</t>
  </si>
  <si>
    <t>VALOR REAL SALARIO 2023</t>
  </si>
  <si>
    <t>1,8. MINIMOS</t>
  </si>
  <si>
    <t>Suministro, Transporte e Instalacion de Transformador Trifasico 150KVA - 13200/220/127 PARA POSTE. No incluye tramite EPM</t>
  </si>
  <si>
    <t>Vigilancia 24 horas jornada nocturna (6:00 p.m - 6:00 a.m) a cargo del contratista</t>
  </si>
  <si>
    <t>2.4</t>
  </si>
  <si>
    <t>Viaticos, alimentacion equipo profesional</t>
  </si>
  <si>
    <t>steren colombia</t>
  </si>
  <si>
    <t>https://www.homecenter.com.co/homecenter-co/product/293052/curva-emt-3-4/293052/?kid=bnnext1031760&amp;shop=googleShopping&amp;gclid=CjwKCAiArY2fBhB9EiwAWqHK6sxIeb6RCU7fchhnJTYzGZlpgwf5fdqLY0vAXVS6K22R_UfwL1NQTRoCZR4QAvD_BwE</t>
  </si>
  <si>
    <t>homecenter</t>
  </si>
  <si>
    <t>https://www.easy.com.co/p/union-conduit-3~4%22-galvanizada/?gclid=CjwKCAiArY2fBhB9EiwAWqHK6t8dukcCEp0GWNtovlEwBRK966m2Alf0rwtpYjM78sK4uqZSezjLFRoCLlMQAvD_BwE</t>
  </si>
  <si>
    <t>https://www.homecenter.com.co/homecenter-co/product/293053/curva-emt-1/293053/?kid=bnnext1031760&amp;shop=googleShopping&amp;gclid=CjwKCAiArY2fBhB9EiwAWqHK6hcARQNVBVLD7ANYGHd-aBL0E0-_kdfgEq9yQVnpkMQryVp_Q2m2ghoChkoQAvD_BwE</t>
  </si>
  <si>
    <t>mercado libre</t>
  </si>
  <si>
    <t>ACECOMADERAS</t>
  </si>
  <si>
    <t>https://www.acecomaderas.com/varilla-copperweld-240-metros-1</t>
  </si>
  <si>
    <t>https://www.offer-fleeting.com/MCO-1205344171-organizador-cables-velcro-1m-negro-_JM?variation=176421192957&amp;gclid=CjwKCAiArY2fBhB9EiwAWqHK6mQjE_yLt1yY3Phfgeu1fpb6Z8OKsUEQR-12rBB-xNzTsw1g2Tj0LBoCKkkQAvD_BwE</t>
  </si>
  <si>
    <t>dasebcomputo</t>
  </si>
  <si>
    <t>FERROMETALICASUPERIOR</t>
  </si>
  <si>
    <t>http://www.ferrometalicassuperior.com/tornilleria/chazo-expansion-1-4-x-2-1-4/</t>
  </si>
  <si>
    <t>TORNILLO ENSAMBLE  1.1/4 X 8 PAQ X    100     UND</t>
  </si>
  <si>
    <t>https://interelectricas.com.co/transformadores/4187-transformador-de-corriente-barra-400-5-amp-clase-0-5s.html</t>
  </si>
  <si>
    <t>https://www.homecenter.com.co/homecenter-co/product/335592/ups-online-3kva-3000va-2700-vatios-monofasica-sat/335592/?kid=bnnext1031760&amp;shop=googleShopping&amp;gclid=CjwKCAiArY2fBhB9EiwAWqHK6su8AsF_eY7S-VNULhAEVHJPsXAdSBnqKIoVQbxCSXJu8IihlusnnRoCYqQQAvD_BwE</t>
  </si>
  <si>
    <t>https://www.homecenter.com.co/homecenter-co/product/335593/ups-online-6kva-6000va-5400vatios-bifasica/335593/?kid=bnnext1031760&amp;shop=googleShopping&amp;gclid=CjwKCAiArY2fBhB9EiwAWqHK6sKDgqZ4xSug1ZrtJk-k449zVFxoMF6DOlgnfrcEq0wFj5Xn08EcKRoCtcgQAvD_BwE</t>
  </si>
  <si>
    <t>https://www.homecenter.com.co/homecenter-co/product/140400/varilla-de-cobre-con-conector-puesta-a-tierra-24mx1428-mm/140400/?kid=bnnext1031760&amp;shop=googleShopping&amp;gclid=CjwKCAiArY2fBhB9EiwAWqHK6uudecFRp2b181dI-c92-FyAij0mlTwUvyZkQvQm0927JffGkT7f1BoCY7IQAvD_BwE</t>
  </si>
  <si>
    <t>https://interelectricas.com.co/tuberia-metalica-y-pvc/1509-capacete-roscado-en-aluminio-para-tuberia-imc-de-3.html</t>
  </si>
  <si>
    <t>NP</t>
  </si>
  <si>
    <t>ACTIVIDADES NO PREVISTAS</t>
  </si>
  <si>
    <t>NP 1</t>
  </si>
  <si>
    <t>NP 2</t>
  </si>
  <si>
    <t>NP 3</t>
  </si>
  <si>
    <t>NP 4</t>
  </si>
  <si>
    <t>NP 5</t>
  </si>
  <si>
    <t>NP 6</t>
  </si>
  <si>
    <t>Suministro, transporte y colocación de ruana en lámina galvanizada calibre 22., desarrollo 40 cm. Incluye canchada de muro, faja de revoque impermeabilizada, con filete., pintura anticorrosiva y a base de aceite, pestaña de 5 cm, y todos los elementos necesarios para su correcta construcción. Según diseño de cubierta.</t>
  </si>
  <si>
    <t>Retido de piezas y mamposteria y chapas averiadas</t>
  </si>
  <si>
    <t>TRATAMIENTO DE SUPERFICIE PARA PULIDA Y BRILLADA DE PISO EXISTENTE. Incluye todo lo necesario para su correcta construcción y funcionamiento.</t>
  </si>
  <si>
    <t>Rocería y limpieza, Incluye cargue, transporte y botada de material en botaderos oficiales o donde indique la interventoría, hasta cualquier altura de la vegetación, incluye desenraice de árboles hasta la altura de la vegetación y de diámetro inferiores a 10 cm. La rocería se realizará a ras de piso. Se utilizará guadaña o machete</t>
  </si>
  <si>
    <t>DEMOLICIÓN ESTRUCTURAS DE CONCRETO cargue, transporte y botada de escombros, manual o mecánicamente, de cualquier resistencia, reforzado o ciclópeo, y en cualquier clase de estructura. Incluye retiro de refuerzo e instalaciones embebidas, compresor neumático con martillo, además recuperación de los materiales aprovechables o su transporte hasta el sitio que lo indique la interventoría.</t>
  </si>
  <si>
    <t xml:space="preserve">Adecuación y limpieza de desague provisional </t>
  </si>
  <si>
    <t xml:space="preserve"> CALCULO FACTOR MULTIPLICADOR 1 (PROFESIONALES)</t>
  </si>
  <si>
    <t>Concepto</t>
  </si>
  <si>
    <t>Salario básico</t>
  </si>
  <si>
    <t>Subtotal 1</t>
  </si>
  <si>
    <t>2.</t>
  </si>
  <si>
    <t>Prestaciones sociales</t>
  </si>
  <si>
    <t>Cesantía anual</t>
  </si>
  <si>
    <t>2.2</t>
  </si>
  <si>
    <t>Interés a las cesantías</t>
  </si>
  <si>
    <t>2.3</t>
  </si>
  <si>
    <t>Prima básica anual</t>
  </si>
  <si>
    <t>Subsidio de transporte (permisos, bonificaciones, seguros, etc.)</t>
  </si>
  <si>
    <t>2.5</t>
  </si>
  <si>
    <t>SENA *</t>
  </si>
  <si>
    <t>2.6</t>
  </si>
  <si>
    <t>ICBF *</t>
  </si>
  <si>
    <t>2.7</t>
  </si>
  <si>
    <t>EPS *</t>
  </si>
  <si>
    <t>2.8</t>
  </si>
  <si>
    <t>Sistema de seguridad social. Pensión</t>
  </si>
  <si>
    <t>2.9</t>
  </si>
  <si>
    <t>ARL</t>
  </si>
  <si>
    <t>2.10</t>
  </si>
  <si>
    <t xml:space="preserve">Vacaciones anuales </t>
  </si>
  <si>
    <t>2.11</t>
  </si>
  <si>
    <t>Subtotal 2</t>
  </si>
  <si>
    <t>3.</t>
  </si>
  <si>
    <t>Costos indirectos</t>
  </si>
  <si>
    <t>3.1</t>
  </si>
  <si>
    <t>Costo oficina (arrendamiento, administración y servicios públicos, papelieria)</t>
  </si>
  <si>
    <t>3.2</t>
  </si>
  <si>
    <t>Útiles y papelería del consultor para uso del proyecto</t>
  </si>
  <si>
    <t>3.3</t>
  </si>
  <si>
    <t>Asesoría contable y tributaria (revisoría fiscal); y Jurídica</t>
  </si>
  <si>
    <t>3.4</t>
  </si>
  <si>
    <t xml:space="preserve">Alojamiento </t>
  </si>
  <si>
    <t>3.5</t>
  </si>
  <si>
    <t>Subtotal 3</t>
  </si>
  <si>
    <t>5.</t>
  </si>
  <si>
    <t xml:space="preserve"> Honorarios  ó Utilidad</t>
  </si>
  <si>
    <t>Subtotal   1+2+3+4+5</t>
  </si>
  <si>
    <t>FM</t>
  </si>
  <si>
    <t>Ajuste a diseños</t>
  </si>
  <si>
    <t>VALOR TOTAL PROYECTO (ONBRA+INTERVENTORIA)</t>
  </si>
  <si>
    <t>COSTO DIRECTO OBRA</t>
  </si>
  <si>
    <t>VALOR TOTAL OBRA (COSTO DIRECTO+ADMINITRACION+UTILIDAD)</t>
  </si>
  <si>
    <t xml:space="preserve">VALOR INICIAL DEL PROYECTO </t>
  </si>
  <si>
    <t>DIFERENCIA VALOR INICIAL APROBADO-VALOR ACTUAL</t>
  </si>
  <si>
    <t xml:space="preserve">VALOR ACTUAL DEL PROYECTO </t>
  </si>
  <si>
    <t>Oficial+ ayudante entendido</t>
  </si>
  <si>
    <t>PRESUPUESTO FEB 2023</t>
  </si>
  <si>
    <t>DIFERENCIA</t>
  </si>
  <si>
    <t>AU</t>
  </si>
  <si>
    <t>PRESUPUESTO MAYO 2022</t>
  </si>
  <si>
    <t>“Desarrollo de las obras complementarias para la terminación de la nueva sede de la Institución Educativa Normal Superior Señor de los Milagros en el Municipio de San Pedro de los Milagros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</si>
</sst>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quot;$&quot;* #,##0_-;\-&quot;$&quot;* #,##0_-;_-&quot;$&quot;* &quot;-&quot;_-;_-@_-"/>
    <numFmt numFmtId="169" formatCode="_-&quot;$&quot;* #,##0.00_-;\-&quot;$&quot;* #,##0.00_-;_-&quot;$&quot;* &quot;-&quot;??_-;_-@_-"/>
    <numFmt numFmtId="170" formatCode="_(&quot;$&quot;* #,##0_);_(&quot;$&quot;* \(#,##0\);_(&quot;$&quot;* &quot;-&quot;_);_(@_)"/>
    <numFmt numFmtId="171" formatCode="_-* #,##0.00\ &quot;€&quot;_-;\-* #,##0.00\ &quot;€&quot;_-;_-* &quot;-&quot;??\ &quot;€&quot;_-;_-@_-"/>
    <numFmt numFmtId="172" formatCode="_-* #,##0.00\ _€_-;\-* #,##0.00\ _€_-;_-* &quot;-&quot;??\ _€_-;_-@_-"/>
    <numFmt numFmtId="173" formatCode="_-[$$-240A]\ * #,##0_-;\-[$$-240A]\ * #,##0_-;_-[$$-240A]\ * &quot;-&quot;??_-;_-@"/>
    <numFmt numFmtId="174" formatCode="_-&quot;$&quot;\ * #,##0_-;\-&quot;$&quot;\ * #,##0_-;_-&quot;$&quot;\ * &quot;-&quot;_-;_-@"/>
    <numFmt numFmtId="175" formatCode="0.000"/>
    <numFmt numFmtId="176" formatCode="0.0000"/>
    <numFmt numFmtId="177" formatCode="0.0"/>
    <numFmt numFmtId="178" formatCode="_-[$$-240A]\ * #,##0.00_-;\-[$$-240A]\ * #,##0.00_-;_-[$$-240A]\ * &quot;-&quot;??_-;_-@_-"/>
    <numFmt numFmtId="179" formatCode="_-[$$-240A]\ * #,##0.000_-;\-[$$-240A]\ * #,##0.000_-;_-[$$-240A]\ * &quot;-&quot;??_-;_-@"/>
    <numFmt numFmtId="180" formatCode="#,##0.0000"/>
    <numFmt numFmtId="181" formatCode="_-[$$-240A]\ * #,##0_-;\-[$$-240A]\ * #,##0_-;_-[$$-240A]\ * &quot;-&quot;??_-;_-@_-"/>
    <numFmt numFmtId="182" formatCode="_-&quot;$&quot;* #,##0_-;\-&quot;$&quot;* #,##0_-;_-&quot;$&quot;* &quot;-&quot;??_-;_-@_-"/>
    <numFmt numFmtId="183" formatCode="_-* #,##0.0000\ _€_-;\-* #,##0.0000\ _€_-;_-* &quot;-&quot;????\ _€_-;_-@_-"/>
    <numFmt numFmtId="184" formatCode="_-* #,##0\ &quot;€&quot;_-;\-* #,##0\ &quot;€&quot;_-;_-* &quot;-&quot;\ &quot;€&quot;_-;_-@"/>
    <numFmt numFmtId="185" formatCode="&quot;$&quot;\ #,##0.00"/>
    <numFmt numFmtId="186" formatCode="_ &quot;$&quot;\ * #,##0.00_ ;_ &quot;$&quot;\ * \-#,##0.00_ ;_ &quot;$&quot;\ * &quot;-&quot;??_ ;_ @_ "/>
    <numFmt numFmtId="187" formatCode="_ &quot;$&quot;\ * #,##0_ ;_ &quot;$&quot;\ * \-#,##0_ ;_ &quot;$&quot;\ * &quot;-&quot;_ ;_ @_ "/>
    <numFmt numFmtId="188" formatCode="_ [$€-2]\ * #,##0.00_ ;_ [$€-2]\ * \-#,##0.00_ ;_ [$€-2]\ * &quot;-&quot;??_ "/>
    <numFmt numFmtId="189" formatCode="_ * #,##0.00_ ;_ * \-#,##0.00_ ;_ * &quot;-&quot;??_ ;_ @_ "/>
    <numFmt numFmtId="190" formatCode="_(&quot;C$&quot;* #,##0.00_);_(&quot;C$&quot;* \(#,##0.00\);_(&quot;C$&quot;* &quot;-&quot;??_);_(@_)"/>
    <numFmt numFmtId="191" formatCode="_-* #,##0.00\ _P_t_s_-;\-* #,##0.00\ _P_t_s_-;_-* &quot;-&quot;??\ _P_t_s_-;_-@_-"/>
    <numFmt numFmtId="192" formatCode="#,##0.0"/>
    <numFmt numFmtId="193" formatCode="_([$$-240A]\ * #,##0.0_);_([$$-240A]\ * \(#,##0.0\);_([$$-240A]\ * &quot;-&quot;??_);_(@_)"/>
    <numFmt numFmtId="194" formatCode="&quot;$&quot;\ #,##0"/>
    <numFmt numFmtId="195" formatCode="[$$-240A]\ #,##0"/>
    <numFmt numFmtId="196" formatCode="_-[$$-240A]\ * #,##0_-;\-[$$-240A]\ * #,##0_-;_-[$$-240A]\ * &quot;-&quot;_-;_-@"/>
    <numFmt numFmtId="197" formatCode="_(&quot;$&quot;\ * #,##0_);_(&quot;$&quot;\ * \(#,##0\);_(&quot;$&quot;\ * &quot;-&quot;??_);_(@_)"/>
    <numFmt numFmtId="198" formatCode="_-&quot;$&quot;\ * #,##0.000_-;\-&quot;$&quot;\ * #,##0.000_-;_-&quot;$&quot;\ * &quot;-&quot;??_-;_-@_-"/>
    <numFmt numFmtId="199" formatCode="0.000%"/>
    <numFmt numFmtId="200" formatCode="\$\ #,##0.00"/>
    <numFmt numFmtId="201" formatCode="0.0%"/>
  </numFmts>
  <fonts count="147">
    <font>
      <sz val="11"/>
      <color theme="1"/>
      <name val="Calibri"/>
      <family val="2"/>
      <scheme val="minor"/>
    </font>
    <font>
      <sz val="11"/>
      <color theme="1"/>
      <name val="Calibri"/>
      <family val="2"/>
      <scheme val="minor"/>
    </font>
    <font>
      <sz val="11"/>
      <color theme="1"/>
      <name val="Arial"/>
      <family val="2"/>
    </font>
    <font>
      <b/>
      <sz val="16"/>
      <color theme="0"/>
      <name val="Bahnschrift SemiLight Condensed"/>
      <family val="2"/>
    </font>
    <font>
      <b/>
      <sz val="26"/>
      <color theme="0"/>
      <name val="Sango"/>
      <family val="3"/>
    </font>
    <font>
      <b/>
      <sz val="14"/>
      <color theme="0"/>
      <name val="Bahnschrift SemiLight Condensed"/>
      <family val="2"/>
    </font>
    <font>
      <b/>
      <sz val="9"/>
      <color theme="0"/>
      <name val="Bahnschrift SemiLight Condensed"/>
      <family val="2"/>
    </font>
    <font>
      <sz val="11"/>
      <name val="Bahnschrift SemiLight Condensed"/>
      <family val="2"/>
    </font>
    <font>
      <b/>
      <sz val="28"/>
      <color rgb="FFFF7C80"/>
      <name val="Bahnschrift SemiLight Condensed"/>
      <family val="2"/>
    </font>
    <font>
      <sz val="11"/>
      <color rgb="FF7F7F7F"/>
      <name val="Bahnschrift SemiLight Condensed"/>
      <family val="2"/>
    </font>
    <font>
      <sz val="12"/>
      <color rgb="FF595959"/>
      <name val="Bahnschrift Light Condensed"/>
      <family val="2"/>
    </font>
    <font>
      <b/>
      <sz val="11"/>
      <color rgb="FF7F7F7F"/>
      <name val="Bahnschrift SemiLight Condensed"/>
      <family val="2"/>
    </font>
    <font>
      <b/>
      <sz val="11"/>
      <color rgb="FF262626"/>
      <name val="Bahnschrift SemiLight Condensed"/>
      <family val="2"/>
    </font>
    <font>
      <sz val="11"/>
      <color rgb="FF7F7F7F"/>
      <name val="Bahnschrift Light Condensed"/>
      <family val="2"/>
    </font>
    <font>
      <sz val="11"/>
      <name val="Bahnschrift Light Condensed"/>
      <family val="2"/>
    </font>
    <font>
      <sz val="9"/>
      <color rgb="FF7F7F7F"/>
      <name val="Bahnschrift SemiLight Condensed"/>
      <family val="2"/>
    </font>
    <font>
      <b/>
      <sz val="11"/>
      <color theme="0"/>
      <name val="Bahnschrift SemiLight Condensed"/>
      <family val="2"/>
    </font>
    <font>
      <sz val="11"/>
      <color theme="1"/>
      <name val="Bahnschrift SemiLight Condensed"/>
      <family val="2"/>
    </font>
    <font>
      <b/>
      <sz val="14"/>
      <color rgb="FFFF7C80"/>
      <name val="Bahnschrift SemiLight Condensed"/>
      <family val="2"/>
    </font>
    <font>
      <sz val="26"/>
      <name val="Arial"/>
      <family val="2"/>
    </font>
    <font>
      <b/>
      <sz val="16"/>
      <color theme="0"/>
      <name val="Bahnschrift SemiBold SemiConden"/>
      <family val="2"/>
    </font>
    <font>
      <sz val="11"/>
      <name val="Arial"/>
      <family val="2"/>
    </font>
    <font>
      <b/>
      <sz val="14"/>
      <color theme="0"/>
      <name val="Bahnschrift Light Condensed"/>
      <family val="2"/>
    </font>
    <font>
      <b/>
      <sz val="9"/>
      <color theme="0"/>
      <name val="Bahnschrift Light Condensed"/>
      <family val="2"/>
    </font>
    <font>
      <b/>
      <sz val="12"/>
      <color theme="0"/>
      <name val="Sango"/>
      <family val="3"/>
    </font>
    <font>
      <b/>
      <sz val="9"/>
      <color rgb="FF7F7F7F"/>
      <name val="Bahnschrift SemiLight Condensed"/>
      <family val="2"/>
    </font>
    <font>
      <b/>
      <sz val="28"/>
      <color rgb="FFFF7C80"/>
      <name val="Bahnschrift Light Condensed"/>
      <family val="2"/>
    </font>
    <font>
      <b/>
      <sz val="11"/>
      <color rgb="FF7F7F7F"/>
      <name val="Bahnschrift Light Condensed"/>
      <family val="2"/>
    </font>
    <font>
      <b/>
      <sz val="11"/>
      <color rgb="FF262626"/>
      <name val="Bahnschrift Light Condensed"/>
      <family val="2"/>
    </font>
    <font>
      <b/>
      <sz val="9"/>
      <color rgb="FF7F7F7F"/>
      <name val="Bahnschrift Light Condensed"/>
      <family val="2"/>
    </font>
    <font>
      <b/>
      <sz val="11"/>
      <color theme="0"/>
      <name val="Bahnschrift Light Condensed"/>
      <family val="2"/>
    </font>
    <font>
      <sz val="11"/>
      <color theme="1"/>
      <name val="Bahnschrift Light Condensed"/>
      <family val="2"/>
    </font>
    <font>
      <b/>
      <sz val="14"/>
      <color rgb="FFFF7C80"/>
      <name val="Bahnschrift Light Condensed"/>
      <family val="2"/>
    </font>
    <font>
      <sz val="11"/>
      <color theme="1"/>
      <name val="Calibri"/>
      <family val="2"/>
    </font>
    <font>
      <b/>
      <sz val="14"/>
      <color rgb="FFFF7C80"/>
      <name val="Bahnschrift Light"/>
      <family val="2"/>
    </font>
    <font>
      <b/>
      <sz val="12"/>
      <color theme="0"/>
      <name val="Bahnschrift Condensed"/>
      <family val="2"/>
    </font>
    <font>
      <b/>
      <sz val="14"/>
      <color theme="0"/>
      <name val="Bahnschrift Condensed"/>
      <family val="2"/>
    </font>
    <font>
      <b/>
      <sz val="9"/>
      <color theme="0"/>
      <name val="Bahnschrift Condensed"/>
      <family val="2"/>
    </font>
    <font>
      <b/>
      <sz val="28"/>
      <color rgb="FFFF7C80"/>
      <name val="Bahnschrift Condensed"/>
      <family val="2"/>
    </font>
    <font>
      <sz val="11"/>
      <color rgb="FF7F7F7F"/>
      <name val="Bahnschrift Condensed"/>
      <family val="2"/>
    </font>
    <font>
      <b/>
      <sz val="12"/>
      <color theme="0"/>
      <name val="Bahnschrift Light Condensed"/>
      <family val="2"/>
    </font>
    <font>
      <b/>
      <sz val="12"/>
      <color theme="0"/>
      <name val="Bahnschrift SemiBold Condensed"/>
      <family val="2"/>
    </font>
    <font>
      <sz val="11"/>
      <name val="Bahnschrift SemiBold Condensed"/>
      <family val="2"/>
    </font>
    <font>
      <b/>
      <sz val="14"/>
      <color theme="0"/>
      <name val="Bahnschrift SemiBold Condensed"/>
      <family val="2"/>
    </font>
    <font>
      <b/>
      <sz val="9"/>
      <color theme="0"/>
      <name val="Bahnschrift SemiBold Condensed"/>
      <family val="2"/>
    </font>
    <font>
      <b/>
      <sz val="28"/>
      <color rgb="FFFF7C80"/>
      <name val="Bahnschrift SemiBold Condensed"/>
      <family val="2"/>
    </font>
    <font>
      <sz val="11"/>
      <color rgb="FF7F7F7F"/>
      <name val="Bahnschrift SemiBold Condensed"/>
      <family val="2"/>
    </font>
    <font>
      <b/>
      <sz val="12"/>
      <color theme="0"/>
      <name val="Sango"/>
    </font>
    <font>
      <sz val="9"/>
      <color rgb="FF7F7F7F"/>
      <name val="Bahnschrift Light Condensed"/>
      <family val="2"/>
    </font>
    <font>
      <sz val="11"/>
      <color theme="1"/>
      <name val="Bahnschrift Light"/>
      <family val="2"/>
    </font>
    <font>
      <b/>
      <sz val="10"/>
      <color theme="1"/>
      <name val="Bahnschrift Light Condensed"/>
      <family val="2"/>
    </font>
    <font>
      <sz val="11"/>
      <color indexed="8"/>
      <name val="Calibri"/>
      <family val="2"/>
    </font>
    <font>
      <sz val="10"/>
      <color theme="1"/>
      <name val="Calibri"/>
      <family val="2"/>
      <scheme val="minor"/>
    </font>
    <font>
      <sz val="10"/>
      <color theme="1"/>
      <name val="Bahnschrift Light Condensed"/>
      <family val="2"/>
    </font>
    <font>
      <sz val="11"/>
      <color rgb="FF000000"/>
      <name val="Calibri"/>
      <family val="2"/>
      <charset val="204"/>
    </font>
    <font>
      <sz val="10"/>
      <name val="Arial"/>
      <family val="2"/>
    </font>
    <font>
      <sz val="10"/>
      <color rgb="FF000000"/>
      <name val="Times New Roman"/>
      <family val="1"/>
    </font>
    <font>
      <b/>
      <sz val="9"/>
      <color indexed="81"/>
      <name val="Tahoma"/>
      <family val="2"/>
    </font>
    <font>
      <sz val="9"/>
      <color indexed="81"/>
      <name val="Tahoma"/>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color rgb="FF000000"/>
      <name val="Arial"/>
      <family val="2"/>
    </font>
    <font>
      <sz val="10"/>
      <name val="Times New Roman"/>
      <family val="1"/>
      <charset val="204"/>
    </font>
    <font>
      <b/>
      <sz val="11"/>
      <color indexed="63"/>
      <name val="Calibri"/>
      <family val="2"/>
    </font>
    <font>
      <sz val="11"/>
      <color indexed="10"/>
      <name val="Calibri"/>
      <family val="2"/>
    </font>
    <font>
      <i/>
      <sz val="11"/>
      <color indexed="23"/>
      <name val="Calibri"/>
      <family val="2"/>
    </font>
    <font>
      <b/>
      <sz val="13"/>
      <color indexed="56"/>
      <name val="Calibri"/>
      <family val="2"/>
    </font>
    <font>
      <b/>
      <sz val="18"/>
      <color indexed="56"/>
      <name val="Cambria"/>
      <family val="2"/>
    </font>
    <font>
      <b/>
      <sz val="11"/>
      <color indexed="8"/>
      <name val="Calibri"/>
      <family val="2"/>
    </font>
    <font>
      <sz val="10"/>
      <name val="Bahnschrift SemiLight SemiConde"/>
      <family val="2"/>
    </font>
    <font>
      <b/>
      <sz val="14"/>
      <color indexed="62"/>
      <name val="Bahnschrift SemiLight SemiConde"/>
      <family val="2"/>
    </font>
    <font>
      <sz val="10"/>
      <color indexed="10"/>
      <name val="Bahnschrift SemiLight SemiConde"/>
      <family val="2"/>
    </font>
    <font>
      <b/>
      <sz val="8"/>
      <name val="Bahnschrift SemiLight SemiConde"/>
      <family val="2"/>
    </font>
    <font>
      <b/>
      <sz val="10"/>
      <name val="Bahnschrift SemiLight SemiConde"/>
      <family val="2"/>
    </font>
    <font>
      <sz val="11"/>
      <color theme="1"/>
      <name val="Bahnschrift SemiLight SemiConde"/>
      <family val="2"/>
    </font>
    <font>
      <b/>
      <sz val="9"/>
      <name val="Bahnschrift SemiLight SemiConde"/>
      <family val="2"/>
    </font>
    <font>
      <b/>
      <sz val="9"/>
      <color indexed="53"/>
      <name val="Bahnschrift SemiLight SemiConde"/>
      <family val="2"/>
    </font>
    <font>
      <b/>
      <sz val="9"/>
      <color indexed="18"/>
      <name val="Bahnschrift SemiLight SemiConde"/>
      <family val="2"/>
    </font>
    <font>
      <sz val="8"/>
      <name val="Bahnschrift SemiLight SemiConde"/>
      <family val="2"/>
    </font>
    <font>
      <sz val="14"/>
      <name val="Bahnschrift SemiLight SemiConde"/>
      <family val="2"/>
    </font>
    <font>
      <u/>
      <sz val="11"/>
      <color theme="10"/>
      <name val="Calibri"/>
      <family val="2"/>
      <scheme val="minor"/>
    </font>
    <font>
      <b/>
      <sz val="14"/>
      <name val="Bahnschrift SemiLight Condensed"/>
      <family val="2"/>
    </font>
    <font>
      <sz val="10"/>
      <color theme="1"/>
      <name val="Swis721 LtCn BT"/>
      <family val="2"/>
    </font>
    <font>
      <sz val="10"/>
      <color rgb="FF000000"/>
      <name val="Bahnschrift Light Condensed"/>
      <family val="2"/>
    </font>
    <font>
      <sz val="10"/>
      <name val="Bahnschrift Light Condensed"/>
      <family val="2"/>
    </font>
    <font>
      <sz val="10"/>
      <color theme="4"/>
      <name val="Bahnschrift Light Condensed"/>
      <family val="2"/>
    </font>
    <font>
      <sz val="14"/>
      <color theme="1"/>
      <name val="Bahnschrift Light SemiCondensed"/>
      <family val="2"/>
    </font>
    <font>
      <b/>
      <sz val="14"/>
      <color theme="1"/>
      <name val="Bahnschrift Light SemiCondensed"/>
      <family val="2"/>
    </font>
    <font>
      <u/>
      <sz val="14"/>
      <color theme="10"/>
      <name val="Bahnschrift Light SemiCondensed"/>
      <family val="2"/>
    </font>
    <font>
      <sz val="14"/>
      <color rgb="FF595959"/>
      <name val="Bahnschrift Light SemiCondensed"/>
      <family val="2"/>
    </font>
    <font>
      <sz val="14"/>
      <color rgb="FF7F7F7F"/>
      <name val="Bahnschrift Light SemiCondensed"/>
      <family val="2"/>
    </font>
    <font>
      <sz val="14"/>
      <name val="Bahnschrift Light SemiCondensed"/>
      <family val="2"/>
    </font>
    <font>
      <b/>
      <sz val="26"/>
      <color theme="1"/>
      <name val="Bahnschrift Light SemiCondensed"/>
      <family val="2"/>
    </font>
    <font>
      <b/>
      <sz val="10"/>
      <color indexed="8"/>
      <name val="Bahnschrift Light SemiCondensed"/>
      <family val="2"/>
    </font>
    <font>
      <sz val="10"/>
      <name val="Bahnschrift Light SemiCondensed"/>
      <family val="2"/>
    </font>
    <font>
      <sz val="10"/>
      <color indexed="8"/>
      <name val="Bahnschrift Light SemiCondensed"/>
      <family val="2"/>
    </font>
    <font>
      <b/>
      <sz val="10"/>
      <name val="Bahnschrift Light SemiCondensed"/>
      <family val="2"/>
    </font>
    <font>
      <sz val="10"/>
      <color theme="1"/>
      <name val="Bahnschrift Light SemiCondensed"/>
      <family val="2"/>
    </font>
    <font>
      <sz val="10"/>
      <color indexed="10"/>
      <name val="Bahnschrift Light SemiCondensed"/>
      <family val="2"/>
    </font>
    <font>
      <b/>
      <sz val="10"/>
      <color theme="1"/>
      <name val="Bahnschrift Light SemiCondensed"/>
      <family val="2"/>
    </font>
    <font>
      <b/>
      <sz val="11"/>
      <color indexed="8"/>
      <name val="Bahnschrift Light SemiCondensed"/>
      <family val="2"/>
    </font>
    <font>
      <b/>
      <sz val="14"/>
      <color rgb="FFCCF4F4"/>
      <name val="Bahnschrift Light Condensed"/>
      <family val="2"/>
    </font>
    <font>
      <b/>
      <sz val="10"/>
      <color theme="1"/>
      <name val="Swis721 LtCn BT"/>
      <family val="2"/>
    </font>
    <font>
      <sz val="10"/>
      <color rgb="FF000000"/>
      <name val="Swis721 LtCn BT"/>
      <family val="2"/>
    </font>
    <font>
      <sz val="10"/>
      <name val="Swis721 LtCn BT"/>
      <family val="2"/>
    </font>
    <font>
      <sz val="10"/>
      <color theme="1"/>
      <name val="Bahnschrift Light"/>
      <family val="2"/>
    </font>
    <font>
      <b/>
      <sz val="10"/>
      <color theme="1"/>
      <name val="Bahnschrift Light"/>
      <family val="2"/>
    </font>
    <font>
      <b/>
      <sz val="10"/>
      <name val="Swis721 LtCn BT"/>
      <family val="2"/>
    </font>
    <font>
      <sz val="9"/>
      <color theme="1"/>
      <name val="Bahnschrift Light"/>
      <family val="2"/>
    </font>
    <font>
      <b/>
      <sz val="9"/>
      <color theme="1"/>
      <name val="Bahnschrift Light"/>
      <family val="2"/>
    </font>
    <font>
      <b/>
      <sz val="10"/>
      <color rgb="FF000000"/>
      <name val="Swis721 LtCn BT"/>
      <family val="2"/>
    </font>
    <font>
      <b/>
      <sz val="12"/>
      <color theme="1" tint="0.249977111117893"/>
      <name val="Bahnschrift Light Condensed"/>
      <family val="2"/>
    </font>
    <font>
      <sz val="12"/>
      <color theme="1" tint="0.34998626667073579"/>
      <name val="Bahnschrift Light Condensed"/>
      <family val="2"/>
    </font>
    <font>
      <sz val="12"/>
      <color theme="4" tint="0.39997558519241921"/>
      <name val="Bahnschrift Light Condensed"/>
      <family val="2"/>
    </font>
    <font>
      <sz val="10"/>
      <color rgb="FFFF0000"/>
      <name val="Calibri"/>
      <family val="2"/>
      <scheme val="minor"/>
    </font>
    <font>
      <b/>
      <sz val="12"/>
      <color rgb="FFCCF4F4"/>
      <name val="Bahnschrift Light Condensed"/>
      <family val="2"/>
    </font>
    <font>
      <sz val="12"/>
      <name val="Bahnschrift Light Condensed"/>
      <family val="2"/>
    </font>
    <font>
      <sz val="12"/>
      <color theme="1"/>
      <name val="Bahnschrift Light Condensed"/>
      <family val="2"/>
    </font>
    <font>
      <b/>
      <sz val="12"/>
      <color rgb="FFFF7C80"/>
      <name val="Bahnschrift Light Condensed"/>
      <family val="2"/>
    </font>
    <font>
      <b/>
      <sz val="12"/>
      <color theme="1"/>
      <name val="Bahnschrift Light Condensed"/>
      <family val="2"/>
    </font>
    <font>
      <sz val="12"/>
      <color rgb="FFFF7C80"/>
      <name val="Bahnschrift Light Condensed"/>
      <family val="2"/>
    </font>
    <font>
      <b/>
      <sz val="12"/>
      <name val="Arial"/>
      <family val="2"/>
    </font>
    <font>
      <sz val="12"/>
      <name val="Arial"/>
      <family val="2"/>
    </font>
    <font>
      <sz val="18"/>
      <color rgb="FF000000"/>
      <name val="Swis721 LtCn BT"/>
      <family val="2"/>
    </font>
    <font>
      <sz val="16"/>
      <color rgb="FF000000"/>
      <name val="Swis721 LtCn BT"/>
      <family val="2"/>
    </font>
    <font>
      <sz val="11"/>
      <color theme="1"/>
      <name val="Swis721 LtCn BT"/>
      <family val="2"/>
    </font>
    <font>
      <sz val="18"/>
      <name val="Arial"/>
      <family val="2"/>
    </font>
    <font>
      <b/>
      <sz val="11"/>
      <color theme="1"/>
      <name val="Swis721 LtCn BT"/>
      <family val="2"/>
    </font>
    <font>
      <b/>
      <sz val="12"/>
      <name val="Swis721 LtCn BT"/>
      <family val="2"/>
    </font>
    <font>
      <sz val="11"/>
      <color rgb="FF0070C0"/>
      <name val="Century Gothic"/>
      <family val="2"/>
    </font>
    <font>
      <sz val="10"/>
      <color rgb="FFFF0000"/>
      <name val="Arial"/>
      <family val="2"/>
    </font>
    <font>
      <sz val="10"/>
      <color rgb="FF585858"/>
      <name val="Bahnschrift"/>
      <family val="2"/>
    </font>
    <font>
      <b/>
      <sz val="16"/>
      <color rgb="FF595959"/>
      <name val="Bahnschrift Light Condensed"/>
      <family val="2"/>
    </font>
    <font>
      <b/>
      <sz val="11"/>
      <color theme="1"/>
      <name val="Calibri"/>
      <family val="2"/>
      <scheme val="minor"/>
    </font>
    <font>
      <b/>
      <sz val="12"/>
      <color theme="1"/>
      <name val="Arial"/>
      <family val="2"/>
    </font>
    <font>
      <b/>
      <sz val="14"/>
      <color theme="1"/>
      <name val="Calibri"/>
      <family val="2"/>
      <scheme val="minor"/>
    </font>
    <font>
      <b/>
      <sz val="12"/>
      <color theme="1"/>
      <name val="Calibri"/>
      <family val="2"/>
      <scheme val="minor"/>
    </font>
    <font>
      <b/>
      <sz val="10"/>
      <name val="Arial"/>
      <family val="2"/>
    </font>
    <font>
      <sz val="12"/>
      <color theme="1"/>
      <name val="Arial"/>
      <family val="2"/>
    </font>
    <font>
      <sz val="9"/>
      <name val="Arial Narrow"/>
      <family val="2"/>
    </font>
    <font>
      <b/>
      <sz val="8"/>
      <name val="Arial"/>
      <family val="2"/>
    </font>
  </fonts>
  <fills count="48">
    <fill>
      <patternFill patternType="none"/>
    </fill>
    <fill>
      <patternFill patternType="gray125"/>
    </fill>
    <fill>
      <patternFill patternType="solid">
        <fgColor rgb="FF3F3F3F"/>
        <bgColor rgb="FF3F3F3F"/>
      </patternFill>
    </fill>
    <fill>
      <patternFill patternType="solid">
        <fgColor rgb="FF7F7F7F"/>
        <bgColor rgb="FF7F7F7F"/>
      </patternFill>
    </fill>
    <fill>
      <patternFill patternType="solid">
        <fgColor rgb="FFFFFFFF"/>
        <bgColor rgb="FFFFFFFF"/>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0"/>
        <bgColor rgb="FF3F3F3F"/>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FF00"/>
        <bgColor indexed="64"/>
      </patternFill>
    </fill>
    <fill>
      <patternFill patternType="solid">
        <fgColor rgb="FFD8D8D8"/>
        <bgColor indexed="64"/>
      </patternFill>
    </fill>
    <fill>
      <patternFill patternType="solid">
        <fgColor rgb="FFFFFFFF"/>
        <bgColor indexed="64"/>
      </patternFill>
    </fill>
    <fill>
      <patternFill patternType="solid">
        <fgColor theme="0" tint="-0.14999847407452621"/>
        <bgColor rgb="FF3F3F3F"/>
      </patternFill>
    </fill>
    <fill>
      <patternFill patternType="solid">
        <fgColor theme="2" tint="-9.9978637043366805E-2"/>
        <bgColor indexed="64"/>
      </patternFill>
    </fill>
    <fill>
      <patternFill patternType="solid">
        <fgColor rgb="FF00B0F0"/>
        <bgColor indexed="64"/>
      </patternFill>
    </fill>
    <fill>
      <patternFill patternType="solid">
        <fgColor theme="0"/>
        <bgColor theme="0"/>
      </patternFill>
    </fill>
    <fill>
      <patternFill patternType="solid">
        <fgColor theme="0" tint="-0.3499862666707357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D9D9D9"/>
      </patternFill>
    </fill>
  </fills>
  <borders count="155">
    <border>
      <left/>
      <right/>
      <top/>
      <bottom/>
      <diagonal/>
    </border>
    <border>
      <left/>
      <right style="dotted">
        <color theme="0" tint="-0.249977111117893"/>
      </right>
      <top style="dotted">
        <color theme="0" tint="-0.249977111117893"/>
      </top>
      <bottom style="dotted">
        <color theme="0" tint="-0.249977111117893"/>
      </bottom>
      <diagonal/>
    </border>
    <border>
      <left style="dotted">
        <color theme="0" tint="-0.249977111117893"/>
      </left>
      <right style="dotted">
        <color theme="0" tint="-0.249977111117893"/>
      </right>
      <top style="dotted">
        <color theme="0" tint="-0.249977111117893"/>
      </top>
      <bottom style="dotted">
        <color theme="0" tint="-0.249977111117893"/>
      </bottom>
      <diagonal/>
    </border>
    <border>
      <left style="medium">
        <color theme="1"/>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1"/>
      </right>
      <top style="thin">
        <color theme="0" tint="-0.249977111117893"/>
      </top>
      <bottom style="thin">
        <color theme="0" tint="-0.249977111117893"/>
      </bottom>
      <diagonal/>
    </border>
    <border>
      <left style="dotted">
        <color theme="0" tint="-0.249977111117893"/>
      </left>
      <right style="dotted">
        <color theme="0" tint="-0.249977111117893"/>
      </right>
      <top style="dotted">
        <color theme="0" tint="-0.249977111117893"/>
      </top>
      <bottom/>
      <diagonal/>
    </border>
    <border>
      <left/>
      <right/>
      <top style="dotted">
        <color theme="0" tint="-0.249977111117893"/>
      </top>
      <bottom style="dotted">
        <color theme="0" tint="-0.249977111117893"/>
      </bottom>
      <diagonal/>
    </border>
    <border>
      <left style="dotted">
        <color theme="0" tint="-0.249977111117893"/>
      </left>
      <right style="dotted">
        <color theme="0" tint="-0.249977111117893"/>
      </right>
      <top/>
      <bottom style="dotted">
        <color theme="0" tint="-0.249977111117893"/>
      </bottom>
      <diagonal/>
    </border>
    <border>
      <left style="thin">
        <color theme="0" tint="-0.249977111117893"/>
      </left>
      <right style="medium">
        <color theme="1"/>
      </right>
      <top style="thin">
        <color theme="0" tint="-0.249977111117893"/>
      </top>
      <bottom/>
      <diagonal/>
    </border>
    <border>
      <left style="thin">
        <color theme="0" tint="-0.249977111117893"/>
      </left>
      <right style="medium">
        <color theme="1"/>
      </right>
      <top/>
      <bottom/>
      <diagonal/>
    </border>
    <border>
      <left style="thin">
        <color theme="0" tint="-0.249977111117893"/>
      </left>
      <right style="medium">
        <color theme="1"/>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medium">
        <color theme="1"/>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right/>
      <top/>
      <bottom style="medium">
        <color indexed="64"/>
      </bottom>
      <diagonal/>
    </border>
    <border>
      <left/>
      <right style="medium">
        <color theme="1"/>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indexed="64"/>
      </left>
      <right/>
      <top/>
      <bottom/>
      <diagonal/>
    </border>
    <border>
      <left/>
      <right style="medium">
        <color indexed="64"/>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medium">
        <color theme="1"/>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medium">
        <color theme="1"/>
      </right>
      <top/>
      <bottom style="thin">
        <color theme="0" tint="-0.249977111117893"/>
      </bottom>
      <diagonal/>
    </border>
    <border>
      <left/>
      <right style="medium">
        <color theme="1"/>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theme="1"/>
      </left>
      <right/>
      <top/>
      <bottom style="thin">
        <color theme="0" tint="-0.249977111117893"/>
      </bottom>
      <diagonal/>
    </border>
    <border>
      <left/>
      <right style="thin">
        <color theme="0" tint="-0.249977111117893"/>
      </right>
      <top/>
      <bottom style="thin">
        <color theme="0" tint="-0.249977111117893"/>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medium">
        <color indexed="64"/>
      </left>
      <right style="dotted">
        <color theme="0" tint="-0.34998626667073579"/>
      </right>
      <top style="medium">
        <color theme="0" tint="-0.34998626667073579"/>
      </top>
      <bottom style="medium">
        <color theme="0" tint="-0.34998626667073579"/>
      </bottom>
      <diagonal/>
    </border>
    <border>
      <left style="dotted">
        <color theme="0" tint="-0.34998626667073579"/>
      </left>
      <right style="dotted">
        <color theme="0" tint="-0.34998626667073579"/>
      </right>
      <top style="medium">
        <color theme="0" tint="-0.34998626667073579"/>
      </top>
      <bottom/>
      <diagonal/>
    </border>
    <border>
      <left style="dotted">
        <color theme="0" tint="-0.34998626667073579"/>
      </left>
      <right style="medium">
        <color indexed="64"/>
      </right>
      <top style="medium">
        <color theme="0" tint="-0.34998626667073579"/>
      </top>
      <bottom/>
      <diagonal/>
    </border>
    <border>
      <left style="medium">
        <color theme="0" tint="-0.249977111117893"/>
      </left>
      <right style="dotted">
        <color theme="0" tint="-0.249977111117893"/>
      </right>
      <top style="medium">
        <color theme="0" tint="-0.249977111117893"/>
      </top>
      <bottom style="dotted">
        <color theme="0" tint="-0.249977111117893"/>
      </bottom>
      <diagonal/>
    </border>
    <border>
      <left style="dotted">
        <color theme="0" tint="-0.249977111117893"/>
      </left>
      <right style="dotted">
        <color theme="0" tint="-0.249977111117893"/>
      </right>
      <top style="medium">
        <color theme="0" tint="-0.249977111117893"/>
      </top>
      <bottom style="dotted">
        <color theme="0" tint="-0.249977111117893"/>
      </bottom>
      <diagonal/>
    </border>
    <border>
      <left style="dotted">
        <color theme="0" tint="-0.249977111117893"/>
      </left>
      <right style="medium">
        <color indexed="64"/>
      </right>
      <top style="medium">
        <color theme="0" tint="-0.249977111117893"/>
      </top>
      <bottom style="dotted">
        <color theme="0" tint="-0.249977111117893"/>
      </bottom>
      <diagonal/>
    </border>
    <border>
      <left style="medium">
        <color theme="0" tint="-0.249977111117893"/>
      </left>
      <right style="dotted">
        <color theme="0" tint="-0.249977111117893"/>
      </right>
      <top style="dotted">
        <color theme="0" tint="-0.249977111117893"/>
      </top>
      <bottom style="dotted">
        <color theme="0" tint="-0.249977111117893"/>
      </bottom>
      <diagonal/>
    </border>
    <border>
      <left style="dotted">
        <color theme="0" tint="-0.249977111117893"/>
      </left>
      <right style="medium">
        <color indexed="64"/>
      </right>
      <top style="dotted">
        <color theme="0" tint="-0.249977111117893"/>
      </top>
      <bottom style="dotted">
        <color theme="0" tint="-0.249977111117893"/>
      </bottom>
      <diagonal/>
    </border>
    <border>
      <left style="medium">
        <color theme="0" tint="-0.249977111117893"/>
      </left>
      <right/>
      <top/>
      <bottom/>
      <diagonal/>
    </border>
    <border>
      <left style="medium">
        <color theme="0" tint="-0.34998626667073579"/>
      </left>
      <right style="dotted">
        <color theme="0" tint="-0.34998626667073579"/>
      </right>
      <top style="dotted">
        <color theme="0" tint="-0.34998626667073579"/>
      </top>
      <bottom style="dotted">
        <color theme="0" tint="-0.34998626667073579"/>
      </bottom>
      <diagonal/>
    </border>
    <border>
      <left style="dotted">
        <color theme="0" tint="-0.34998626667073579"/>
      </left>
      <right style="medium">
        <color theme="0" tint="-0.34998626667073579"/>
      </right>
      <top style="dotted">
        <color theme="0" tint="-0.34998626667073579"/>
      </top>
      <bottom style="dotted">
        <color theme="0" tint="-0.34998626667073579"/>
      </bottom>
      <diagonal/>
    </border>
    <border>
      <left style="medium">
        <color theme="0" tint="-0.34998626667073579"/>
      </left>
      <right style="dotted">
        <color theme="0" tint="-0.34998626667073579"/>
      </right>
      <top style="dotted">
        <color theme="0" tint="-0.34998626667073579"/>
      </top>
      <bottom style="medium">
        <color theme="0" tint="-0.34998626667073579"/>
      </bottom>
      <diagonal/>
    </border>
    <border>
      <left style="dotted">
        <color theme="0" tint="-0.34998626667073579"/>
      </left>
      <right style="dotted">
        <color theme="0" tint="-0.34998626667073579"/>
      </right>
      <top style="dotted">
        <color theme="0" tint="-0.34998626667073579"/>
      </top>
      <bottom style="medium">
        <color theme="0" tint="-0.34998626667073579"/>
      </bottom>
      <diagonal/>
    </border>
    <border>
      <left style="dotted">
        <color theme="0" tint="-0.34998626667073579"/>
      </left>
      <right style="medium">
        <color theme="0" tint="-0.34998626667073579"/>
      </right>
      <top style="dotted">
        <color theme="0" tint="-0.34998626667073579"/>
      </top>
      <bottom style="medium">
        <color theme="0" tint="-0.34998626667073579"/>
      </bottom>
      <diagonal/>
    </border>
    <border>
      <left/>
      <right/>
      <top/>
      <bottom style="thin">
        <color theme="1" tint="0.34998626667073579"/>
      </bottom>
      <diagonal/>
    </border>
    <border>
      <left/>
      <right style="dotted">
        <color theme="0" tint="-0.34998626667073579"/>
      </right>
      <top style="medium">
        <color theme="0" tint="-0.34998626667073579"/>
      </top>
      <bottom/>
      <diagonal/>
    </border>
    <border>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medium">
        <color theme="0"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dotted">
        <color theme="0" tint="-0.249977111117893"/>
      </left>
      <right/>
      <top style="dotted">
        <color theme="0" tint="-0.249977111117893"/>
      </top>
      <bottom style="dotted">
        <color theme="0" tint="-0.249977111117893"/>
      </bottom>
      <diagonal/>
    </border>
    <border>
      <left style="medium">
        <color theme="0" tint="-0.34998626667073579"/>
      </left>
      <right style="dotted">
        <color theme="0" tint="-0.34998626667073579"/>
      </right>
      <top style="medium">
        <color theme="0" tint="-0.34998626667073579"/>
      </top>
      <bottom/>
      <diagonal/>
    </border>
    <border>
      <left style="dotted">
        <color theme="0" tint="-0.34998626667073579"/>
      </left>
      <right style="medium">
        <color theme="0" tint="-0.34998626667073579"/>
      </right>
      <top style="medium">
        <color theme="0" tint="-0.34998626667073579"/>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hair">
        <color theme="0" tint="-0.249977111117893"/>
      </right>
      <top style="hair">
        <color theme="0" tint="-0.249977111117893"/>
      </top>
      <bottom style="hair">
        <color theme="0" tint="-0.249977111117893"/>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hair">
        <color theme="0" tint="-0.249977111117893"/>
      </left>
      <right style="medium">
        <color theme="1"/>
      </right>
      <top style="hair">
        <color theme="0" tint="-0.249977111117893"/>
      </top>
      <bottom style="hair">
        <color theme="0" tint="-0.249977111117893"/>
      </bottom>
      <diagonal/>
    </border>
    <border>
      <left style="medium">
        <color indexed="64"/>
      </left>
      <right style="dotted">
        <color theme="0" tint="-0.249977111117893"/>
      </right>
      <top style="dotted">
        <color theme="0" tint="-0.249977111117893"/>
      </top>
      <bottom style="dotted">
        <color theme="0" tint="-0.249977111117893"/>
      </bottom>
      <diagonal/>
    </border>
    <border>
      <left style="medium">
        <color indexed="64"/>
      </left>
      <right style="dotted">
        <color theme="0" tint="-0.249977111117893"/>
      </right>
      <top/>
      <bottom style="dotted">
        <color theme="0" tint="-0.249977111117893"/>
      </bottom>
      <diagonal/>
    </border>
    <border>
      <left style="dotted">
        <color theme="0" tint="-0.249977111117893"/>
      </left>
      <right style="medium">
        <color indexed="64"/>
      </right>
      <top/>
      <bottom style="dotted">
        <color theme="0" tint="-0.249977111117893"/>
      </bottom>
      <diagonal/>
    </border>
    <border>
      <left/>
      <right/>
      <top/>
      <bottom style="dotted">
        <color theme="0" tint="-0.249977111117893"/>
      </bottom>
      <diagonal/>
    </border>
    <border>
      <left style="medium">
        <color theme="1"/>
      </left>
      <right style="hair">
        <color theme="0" tint="-0.249977111117893"/>
      </right>
      <top style="hair">
        <color theme="0" tint="-0.249977111117893"/>
      </top>
      <bottom style="medium">
        <color indexed="64"/>
      </bottom>
      <diagonal/>
    </border>
    <border>
      <left style="hair">
        <color theme="0" tint="-0.249977111117893"/>
      </left>
      <right style="hair">
        <color theme="0" tint="-0.249977111117893"/>
      </right>
      <top style="hair">
        <color theme="0" tint="-0.249977111117893"/>
      </top>
      <bottom style="medium">
        <color indexed="64"/>
      </bottom>
      <diagonal/>
    </border>
    <border>
      <left style="hair">
        <color theme="0" tint="-0.249977111117893"/>
      </left>
      <right style="medium">
        <color theme="1"/>
      </right>
      <top style="hair">
        <color theme="0" tint="-0.249977111117893"/>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tted">
        <color theme="0" tint="-0.249977111117893"/>
      </bottom>
      <diagonal/>
    </border>
    <border>
      <left/>
      <right style="medium">
        <color indexed="64"/>
      </right>
      <top/>
      <bottom style="dotted">
        <color theme="0"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dotted">
        <color theme="0" tint="-0.249977111117893"/>
      </top>
      <bottom style="dotted">
        <color theme="0" tint="-0.249977111117893"/>
      </bottom>
      <diagonal/>
    </border>
    <border>
      <left/>
      <right/>
      <top style="dotted">
        <color theme="0" tint="-0.249977111117893"/>
      </top>
      <bottom/>
      <diagonal/>
    </border>
    <border>
      <left style="thin">
        <color theme="1" tint="0.34998626667073579"/>
      </left>
      <right style="thin">
        <color theme="1" tint="0.34998626667073579"/>
      </right>
      <top style="thin">
        <color theme="1" tint="0.34998626667073579"/>
      </top>
      <bottom/>
      <diagonal/>
    </border>
    <border>
      <left style="medium">
        <color theme="1"/>
      </left>
      <right/>
      <top style="thin">
        <color theme="0" tint="-0.249977111117893"/>
      </top>
      <bottom/>
      <diagonal/>
    </border>
    <border>
      <left/>
      <right style="thin">
        <color theme="0" tint="-0.249977111117893"/>
      </right>
      <top style="thin">
        <color theme="0" tint="-0.249977111117893"/>
      </top>
      <bottom/>
      <diagonal/>
    </border>
    <border>
      <left style="medium">
        <color theme="1"/>
      </left>
      <right/>
      <top/>
      <bottom/>
      <diagonal/>
    </border>
    <border>
      <left/>
      <right style="thin">
        <color theme="0" tint="-0.249977111117893"/>
      </right>
      <top/>
      <bottom/>
      <diagonal/>
    </border>
    <border>
      <left style="thin">
        <color rgb="FF000000"/>
      </left>
      <right style="thin">
        <color rgb="FF000000"/>
      </right>
      <top style="thin">
        <color rgb="FF000000"/>
      </top>
      <bottom style="thin">
        <color rgb="FF000000"/>
      </bottom>
      <diagonal/>
    </border>
    <border>
      <left style="hair">
        <color theme="0" tint="-0.249977111117893"/>
      </left>
      <right style="medium">
        <color theme="1"/>
      </right>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dotted">
        <color theme="0" tint="-0.249977111117893"/>
      </right>
      <top style="dotted">
        <color theme="0" tint="-0.249977111117893"/>
      </top>
      <bottom style="medium">
        <color indexed="64"/>
      </bottom>
      <diagonal/>
    </border>
    <border>
      <left style="dotted">
        <color theme="0" tint="-0.249977111117893"/>
      </left>
      <right style="dotted">
        <color theme="0" tint="-0.249977111117893"/>
      </right>
      <top style="dotted">
        <color theme="0" tint="-0.249977111117893"/>
      </top>
      <bottom style="medium">
        <color indexed="64"/>
      </bottom>
      <diagonal/>
    </border>
    <border>
      <left style="dotted">
        <color theme="0" tint="-0.249977111117893"/>
      </left>
      <right style="medium">
        <color indexed="64"/>
      </right>
      <top style="dotted">
        <color theme="0" tint="-0.249977111117893"/>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93">
    <xf numFmtId="0" fontId="0" fillId="0" borderId="0"/>
    <xf numFmtId="171" fontId="1" fillId="0" borderId="0" applyFont="0" applyFill="0" applyBorder="0" applyAlignment="0" applyProtection="0"/>
    <xf numFmtId="9" fontId="1" fillId="0" borderId="0" applyFont="0" applyFill="0" applyBorder="0" applyAlignment="0" applyProtection="0"/>
    <xf numFmtId="0" fontId="2" fillId="0" borderId="0"/>
    <xf numFmtId="169" fontId="1" fillId="0" borderId="0" applyFont="0" applyFill="0" applyBorder="0" applyAlignment="0" applyProtection="0"/>
    <xf numFmtId="0" fontId="1" fillId="0" borderId="0"/>
    <xf numFmtId="171"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54" fillId="0" borderId="0" applyFont="0" applyFill="0" applyBorder="0" applyAlignment="0" applyProtection="0"/>
    <xf numFmtId="4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5" fillId="0" borderId="0"/>
    <xf numFmtId="0" fontId="55" fillId="0" borderId="0"/>
    <xf numFmtId="0" fontId="56" fillId="0" borderId="0"/>
    <xf numFmtId="0" fontId="54" fillId="0" borderId="0"/>
    <xf numFmtId="9" fontId="56"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87" fontId="55" fillId="0" borderId="0" applyFont="0" applyFill="0" applyBorder="0" applyAlignment="0" applyProtection="0"/>
    <xf numFmtId="0" fontId="55" fillId="0" borderId="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18"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9" fillId="25"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60" fillId="29" borderId="53" applyNumberFormat="0" applyAlignment="0" applyProtection="0"/>
    <xf numFmtId="0" fontId="61" fillId="30" borderId="54" applyNumberFormat="0" applyAlignment="0" applyProtection="0"/>
    <xf numFmtId="0" fontId="62" fillId="0" borderId="55" applyNumberFormat="0" applyFill="0" applyAlignment="0" applyProtection="0"/>
    <xf numFmtId="0" fontId="63" fillId="0" borderId="0" applyNumberFormat="0" applyFill="0" applyBorder="0" applyAlignment="0" applyProtection="0"/>
    <xf numFmtId="0" fontId="59" fillId="31"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34" borderId="0" applyNumberFormat="0" applyBorder="0" applyAlignment="0" applyProtection="0"/>
    <xf numFmtId="0" fontId="64" fillId="20" borderId="53" applyNumberFormat="0" applyAlignment="0" applyProtection="0"/>
    <xf numFmtId="188" fontId="55" fillId="0" borderId="0" applyFont="0" applyFill="0" applyBorder="0" applyAlignment="0" applyProtection="0"/>
    <xf numFmtId="0" fontId="65" fillId="16" borderId="0" applyNumberFormat="0" applyBorder="0" applyAlignment="0" applyProtection="0"/>
    <xf numFmtId="165" fontId="55" fillId="0" borderId="0" applyFont="0" applyFill="0" applyBorder="0" applyAlignment="0" applyProtection="0"/>
    <xf numFmtId="189" fontId="55" fillId="0" borderId="0" applyFont="0" applyFill="0" applyBorder="0" applyAlignment="0" applyProtection="0"/>
    <xf numFmtId="43" fontId="55" fillId="0" borderId="0" applyFont="0" applyFill="0" applyBorder="0" applyAlignment="0" applyProtection="0"/>
    <xf numFmtId="189" fontId="55" fillId="0" borderId="0" applyFont="0" applyFill="0" applyBorder="0" applyAlignment="0" applyProtection="0"/>
    <xf numFmtId="172" fontId="55" fillId="0" borderId="0" applyFont="0" applyFill="0" applyBorder="0" applyAlignment="0" applyProtection="0"/>
    <xf numFmtId="164" fontId="55"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90" fontId="55" fillId="0" borderId="0" applyFont="0" applyFill="0" applyBorder="0" applyAlignment="0" applyProtection="0"/>
    <xf numFmtId="166" fontId="1" fillId="0" borderId="0" applyFont="0" applyFill="0" applyBorder="0" applyAlignment="0" applyProtection="0"/>
    <xf numFmtId="0" fontId="66" fillId="35" borderId="0" applyNumberFormat="0" applyBorder="0" applyAlignment="0" applyProtection="0"/>
    <xf numFmtId="0" fontId="67" fillId="0" borderId="0"/>
    <xf numFmtId="0" fontId="68" fillId="0" borderId="0" applyNumberFormat="0" applyFill="0" applyBorder="0" applyProtection="0">
      <alignment vertical="top" wrapText="1"/>
    </xf>
    <xf numFmtId="0" fontId="55" fillId="0" borderId="0"/>
    <xf numFmtId="0" fontId="55" fillId="36" borderId="56" applyNumberFormat="0" applyFont="0" applyAlignment="0" applyProtection="0"/>
    <xf numFmtId="9" fontId="51" fillId="0" borderId="0" applyFont="0" applyFill="0" applyBorder="0" applyAlignment="0" applyProtection="0"/>
    <xf numFmtId="9" fontId="1" fillId="0" borderId="0" applyFont="0" applyFill="0" applyBorder="0" applyAlignment="0" applyProtection="0"/>
    <xf numFmtId="0" fontId="69" fillId="29" borderId="57"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58" applyNumberFormat="0" applyFill="0" applyAlignment="0" applyProtection="0"/>
    <xf numFmtId="0" fontId="63" fillId="0" borderId="59" applyNumberFormat="0" applyFill="0" applyAlignment="0" applyProtection="0"/>
    <xf numFmtId="0" fontId="73" fillId="0" borderId="0" applyNumberFormat="0" applyFill="0" applyBorder="0" applyAlignment="0" applyProtection="0"/>
    <xf numFmtId="0" fontId="74" fillId="0" borderId="60" applyNumberFormat="0" applyFill="0" applyAlignment="0" applyProtection="0"/>
    <xf numFmtId="0" fontId="86" fillId="0" borderId="0" applyNumberFormat="0" applyFill="0" applyBorder="0" applyAlignment="0" applyProtection="0"/>
    <xf numFmtId="0" fontId="55" fillId="0" borderId="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0" fontId="1" fillId="0" borderId="0"/>
    <xf numFmtId="9" fontId="56"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2" fontId="1" fillId="0" borderId="0" applyFont="0" applyFill="0" applyBorder="0" applyAlignment="0" applyProtection="0"/>
    <xf numFmtId="0" fontId="2" fillId="0" borderId="0"/>
  </cellStyleXfs>
  <cellXfs count="1224">
    <xf numFmtId="0" fontId="0" fillId="0" borderId="0" xfId="0"/>
    <xf numFmtId="0" fontId="2" fillId="0" borderId="1" xfId="3" applyBorder="1"/>
    <xf numFmtId="0" fontId="2" fillId="0" borderId="2" xfId="3" applyBorder="1"/>
    <xf numFmtId="0" fontId="4" fillId="0" borderId="3" xfId="3" applyFont="1" applyBorder="1" applyAlignment="1">
      <alignment vertical="center"/>
    </xf>
    <xf numFmtId="0" fontId="4" fillId="0" borderId="4" xfId="3" applyFont="1" applyBorder="1" applyAlignment="1">
      <alignment vertical="center"/>
    </xf>
    <xf numFmtId="0" fontId="5" fillId="0" borderId="4" xfId="3" applyFont="1" applyBorder="1" applyAlignment="1">
      <alignment horizontal="center"/>
    </xf>
    <xf numFmtId="0" fontId="5" fillId="0" borderId="5" xfId="3" applyFont="1" applyBorder="1" applyAlignment="1">
      <alignment horizontal="center"/>
    </xf>
    <xf numFmtId="0" fontId="6" fillId="2" borderId="4" xfId="3" applyFont="1" applyFill="1" applyBorder="1" applyAlignment="1">
      <alignment horizontal="center"/>
    </xf>
    <xf numFmtId="0" fontId="6" fillId="2" borderId="5" xfId="3" applyFont="1" applyFill="1" applyBorder="1" applyAlignment="1">
      <alignment horizontal="center"/>
    </xf>
    <xf numFmtId="0" fontId="9" fillId="0" borderId="4" xfId="3" applyFont="1" applyBorder="1" applyAlignment="1">
      <alignment horizontal="center" vertical="center"/>
    </xf>
    <xf numFmtId="0" fontId="10" fillId="0" borderId="5" xfId="3" applyFont="1" applyBorder="1" applyAlignment="1">
      <alignment horizontal="center" vertical="center"/>
    </xf>
    <xf numFmtId="0" fontId="11" fillId="0" borderId="4" xfId="3" applyFont="1" applyBorder="1" applyAlignment="1">
      <alignment horizontal="center" vertical="center"/>
    </xf>
    <xf numFmtId="2" fontId="9" fillId="0" borderId="4" xfId="3" applyNumberFormat="1" applyFont="1" applyBorder="1" applyAlignment="1">
      <alignment horizontal="center" vertical="center"/>
    </xf>
    <xf numFmtId="173" fontId="9" fillId="0" borderId="4" xfId="3" applyNumberFormat="1" applyFont="1" applyBorder="1" applyAlignment="1">
      <alignment horizontal="center" vertical="center"/>
    </xf>
    <xf numFmtId="173" fontId="11" fillId="0" borderId="4" xfId="3" applyNumberFormat="1" applyFont="1" applyBorder="1" applyAlignment="1">
      <alignment horizontal="center" vertical="center"/>
    </xf>
    <xf numFmtId="174" fontId="12" fillId="0" borderId="5" xfId="3" applyNumberFormat="1" applyFont="1" applyBorder="1" applyAlignment="1">
      <alignment horizontal="center" vertical="center"/>
    </xf>
    <xf numFmtId="2" fontId="13" fillId="0" borderId="4" xfId="3" applyNumberFormat="1" applyFont="1" applyBorder="1" applyAlignment="1">
      <alignment horizontal="center" vertical="center"/>
    </xf>
    <xf numFmtId="173" fontId="13" fillId="0" borderId="4" xfId="3" applyNumberFormat="1" applyFont="1" applyBorder="1" applyAlignment="1">
      <alignment horizontal="center" vertical="center"/>
    </xf>
    <xf numFmtId="0" fontId="11" fillId="0" borderId="5" xfId="3" applyFont="1" applyBorder="1" applyAlignment="1">
      <alignment horizontal="center" vertical="center"/>
    </xf>
    <xf numFmtId="0" fontId="15" fillId="0" borderId="4" xfId="3" applyFont="1" applyBorder="1" applyAlignment="1">
      <alignment horizontal="center"/>
    </xf>
    <xf numFmtId="173" fontId="18" fillId="2" borderId="5" xfId="3" applyNumberFormat="1" applyFont="1" applyFill="1" applyBorder="1"/>
    <xf numFmtId="0" fontId="17" fillId="0" borderId="3" xfId="3" applyFont="1" applyBorder="1" applyAlignment="1">
      <alignment horizontal="center"/>
    </xf>
    <xf numFmtId="173" fontId="18" fillId="0" borderId="5" xfId="3" applyNumberFormat="1" applyFont="1" applyBorder="1"/>
    <xf numFmtId="0" fontId="23" fillId="2" borderId="4" xfId="3" applyFont="1" applyFill="1" applyBorder="1" applyAlignment="1">
      <alignment horizontal="center"/>
    </xf>
    <xf numFmtId="0" fontId="23" fillId="2" borderId="5" xfId="3" applyFont="1" applyFill="1" applyBorder="1" applyAlignment="1">
      <alignment horizontal="center"/>
    </xf>
    <xf numFmtId="2" fontId="9" fillId="0" borderId="5" xfId="3" applyNumberFormat="1" applyFont="1" applyBorder="1" applyAlignment="1">
      <alignment horizontal="center" vertical="center"/>
    </xf>
    <xf numFmtId="0" fontId="24" fillId="0" borderId="3" xfId="3" applyFont="1" applyBorder="1" applyAlignment="1">
      <alignment horizontal="center" vertical="center"/>
    </xf>
    <xf numFmtId="0" fontId="24" fillId="0" borderId="4" xfId="3" applyFont="1" applyBorder="1" applyAlignment="1">
      <alignment horizontal="center" vertical="center"/>
    </xf>
    <xf numFmtId="0" fontId="20" fillId="4" borderId="4" xfId="3" applyFont="1" applyFill="1" applyBorder="1" applyAlignment="1">
      <alignment horizontal="center" vertical="center"/>
    </xf>
    <xf numFmtId="0" fontId="20" fillId="0" borderId="4" xfId="3" applyFont="1" applyBorder="1" applyAlignment="1">
      <alignment horizontal="center" vertical="center"/>
    </xf>
    <xf numFmtId="0" fontId="20" fillId="4" borderId="5" xfId="3" applyFont="1" applyFill="1" applyBorder="1" applyAlignment="1">
      <alignment horizontal="center" vertical="center"/>
    </xf>
    <xf numFmtId="169" fontId="9" fillId="0" borderId="4" xfId="3" applyNumberFormat="1" applyFont="1" applyBorder="1" applyAlignment="1">
      <alignment horizontal="center" vertical="center"/>
    </xf>
    <xf numFmtId="176" fontId="13" fillId="0" borderId="4" xfId="3" applyNumberFormat="1" applyFont="1" applyBorder="1" applyAlignment="1">
      <alignment horizontal="center" vertical="center"/>
    </xf>
    <xf numFmtId="177" fontId="9" fillId="0" borderId="4" xfId="3" applyNumberFormat="1" applyFont="1" applyBorder="1" applyAlignment="1">
      <alignment horizontal="center" vertical="center"/>
    </xf>
    <xf numFmtId="176" fontId="9" fillId="0" borderId="4" xfId="3" applyNumberFormat="1" applyFont="1" applyBorder="1" applyAlignment="1">
      <alignment horizontal="center" vertical="center"/>
    </xf>
    <xf numFmtId="0" fontId="2" fillId="6" borderId="2" xfId="3" applyFill="1" applyBorder="1"/>
    <xf numFmtId="169" fontId="11" fillId="0" borderId="4" xfId="3" applyNumberFormat="1" applyFont="1" applyBorder="1" applyAlignment="1">
      <alignment horizontal="center" vertical="center"/>
    </xf>
    <xf numFmtId="174" fontId="9" fillId="0" borderId="4" xfId="3" applyNumberFormat="1" applyFont="1" applyBorder="1" applyAlignment="1">
      <alignment horizontal="center" vertical="center"/>
    </xf>
    <xf numFmtId="0" fontId="25" fillId="0" borderId="4" xfId="3" applyFont="1" applyBorder="1" applyAlignment="1">
      <alignment horizontal="center"/>
    </xf>
    <xf numFmtId="0" fontId="7" fillId="0" borderId="5" xfId="3" applyFont="1" applyBorder="1"/>
    <xf numFmtId="178" fontId="11" fillId="0" borderId="4" xfId="3" applyNumberFormat="1" applyFont="1" applyBorder="1" applyAlignment="1">
      <alignment horizontal="center" vertical="center"/>
    </xf>
    <xf numFmtId="178" fontId="25" fillId="0" borderId="4" xfId="3" applyNumberFormat="1" applyFont="1" applyBorder="1" applyAlignment="1">
      <alignment horizontal="center"/>
    </xf>
    <xf numFmtId="0" fontId="2" fillId="0" borderId="4" xfId="3" applyBorder="1"/>
    <xf numFmtId="173" fontId="11" fillId="0" borderId="5" xfId="3" applyNumberFormat="1" applyFont="1" applyBorder="1" applyAlignment="1">
      <alignment vertical="center"/>
    </xf>
    <xf numFmtId="0" fontId="2" fillId="7" borderId="2" xfId="3" applyFill="1" applyBorder="1"/>
    <xf numFmtId="175" fontId="9" fillId="0" borderId="4" xfId="3" applyNumberFormat="1" applyFont="1" applyBorder="1" applyAlignment="1">
      <alignment horizontal="center" vertical="center"/>
    </xf>
    <xf numFmtId="173" fontId="11" fillId="0" borderId="5" xfId="3" applyNumberFormat="1" applyFont="1" applyBorder="1" applyAlignment="1">
      <alignment horizontal="center" vertical="center"/>
    </xf>
    <xf numFmtId="0" fontId="9" fillId="0" borderId="3" xfId="3" applyFont="1" applyBorder="1" applyAlignment="1">
      <alignment horizontal="center"/>
    </xf>
    <xf numFmtId="0" fontId="0" fillId="0" borderId="3" xfId="0" applyBorder="1"/>
    <xf numFmtId="0" fontId="0" fillId="0" borderId="4" xfId="0" applyBorder="1"/>
    <xf numFmtId="0" fontId="0" fillId="0" borderId="5" xfId="0" applyBorder="1"/>
    <xf numFmtId="0" fontId="13" fillId="0" borderId="4" xfId="3" applyFont="1" applyBorder="1" applyAlignment="1">
      <alignment horizontal="center" vertical="center"/>
    </xf>
    <xf numFmtId="2" fontId="13" fillId="0" borderId="5" xfId="3" applyNumberFormat="1" applyFont="1" applyBorder="1" applyAlignment="1">
      <alignment horizontal="center" vertical="center"/>
    </xf>
    <xf numFmtId="0" fontId="27" fillId="0" borderId="4" xfId="3" applyFont="1" applyBorder="1" applyAlignment="1">
      <alignment horizontal="center" vertical="center"/>
    </xf>
    <xf numFmtId="175" fontId="13" fillId="0" borderId="4" xfId="3" applyNumberFormat="1" applyFont="1" applyBorder="1" applyAlignment="1">
      <alignment horizontal="center" vertical="center"/>
    </xf>
    <xf numFmtId="173" fontId="27" fillId="0" borderId="4" xfId="3" applyNumberFormat="1" applyFont="1" applyBorder="1" applyAlignment="1">
      <alignment horizontal="center" vertical="center"/>
    </xf>
    <xf numFmtId="0" fontId="13" fillId="0" borderId="4" xfId="3" applyFont="1" applyBorder="1" applyAlignment="1">
      <alignment vertical="center"/>
    </xf>
    <xf numFmtId="174" fontId="28" fillId="0" borderId="5" xfId="3" applyNumberFormat="1" applyFont="1" applyBorder="1" applyAlignment="1">
      <alignment horizontal="center" vertical="center"/>
    </xf>
    <xf numFmtId="177" fontId="13" fillId="0" borderId="4" xfId="3" applyNumberFormat="1" applyFont="1" applyBorder="1" applyAlignment="1">
      <alignment horizontal="center" vertical="center"/>
    </xf>
    <xf numFmtId="0" fontId="13" fillId="0" borderId="3" xfId="3" applyFont="1" applyBorder="1" applyAlignment="1">
      <alignment horizontal="center"/>
    </xf>
    <xf numFmtId="0" fontId="29" fillId="0" borderId="4" xfId="3" applyFont="1" applyBorder="1" applyAlignment="1">
      <alignment horizontal="center"/>
    </xf>
    <xf numFmtId="0" fontId="27" fillId="0" borderId="5" xfId="3" applyFont="1" applyBorder="1" applyAlignment="1">
      <alignment horizontal="center" vertical="center"/>
    </xf>
    <xf numFmtId="173" fontId="32" fillId="2" borderId="5" xfId="3" applyNumberFormat="1" applyFont="1" applyFill="1" applyBorder="1"/>
    <xf numFmtId="0" fontId="2" fillId="0" borderId="3" xfId="3" applyBorder="1"/>
    <xf numFmtId="0" fontId="2" fillId="0" borderId="5" xfId="3" applyBorder="1"/>
    <xf numFmtId="0" fontId="37" fillId="2" borderId="5" xfId="3" applyFont="1" applyFill="1" applyBorder="1" applyAlignment="1">
      <alignment horizontal="center"/>
    </xf>
    <xf numFmtId="0" fontId="39" fillId="0" borderId="4" xfId="3" applyFont="1" applyBorder="1" applyAlignment="1">
      <alignment horizontal="center" vertical="center"/>
    </xf>
    <xf numFmtId="2" fontId="39" fillId="0" borderId="5" xfId="3" applyNumberFormat="1" applyFont="1" applyBorder="1" applyAlignment="1">
      <alignment horizontal="center" vertical="center"/>
    </xf>
    <xf numFmtId="2" fontId="39" fillId="0" borderId="4" xfId="3" applyNumberFormat="1" applyFont="1" applyBorder="1" applyAlignment="1">
      <alignment horizontal="center" vertical="center"/>
    </xf>
    <xf numFmtId="173" fontId="39" fillId="0" borderId="4" xfId="3" applyNumberFormat="1" applyFont="1" applyBorder="1" applyAlignment="1">
      <alignment horizontal="center" vertical="center"/>
    </xf>
    <xf numFmtId="0" fontId="31" fillId="0" borderId="3" xfId="3" applyFont="1" applyBorder="1"/>
    <xf numFmtId="0" fontId="31" fillId="0" borderId="4" xfId="3" applyFont="1" applyBorder="1"/>
    <xf numFmtId="0" fontId="31" fillId="0" borderId="5" xfId="3" applyFont="1" applyBorder="1"/>
    <xf numFmtId="0" fontId="33" fillId="0" borderId="3" xfId="3" applyFont="1" applyBorder="1" applyAlignment="1">
      <alignment horizontal="center"/>
    </xf>
    <xf numFmtId="0" fontId="21" fillId="0" borderId="4" xfId="3" applyFont="1" applyBorder="1"/>
    <xf numFmtId="173" fontId="34" fillId="0" borderId="5" xfId="3" applyNumberFormat="1" applyFont="1" applyBorder="1"/>
    <xf numFmtId="175" fontId="39" fillId="0" borderId="4" xfId="3" applyNumberFormat="1" applyFont="1" applyBorder="1" applyAlignment="1">
      <alignment horizontal="center" vertical="center"/>
    </xf>
    <xf numFmtId="0" fontId="2" fillId="0" borderId="6" xfId="3" applyBorder="1"/>
    <xf numFmtId="0" fontId="24" fillId="0" borderId="0" xfId="3" applyFont="1" applyAlignment="1">
      <alignment vertical="center"/>
    </xf>
    <xf numFmtId="0" fontId="21" fillId="0" borderId="0" xfId="3" applyFont="1"/>
    <xf numFmtId="0" fontId="20" fillId="0" borderId="0" xfId="3" applyFont="1" applyAlignment="1">
      <alignment vertical="center" wrapText="1"/>
    </xf>
    <xf numFmtId="0" fontId="22" fillId="0" borderId="0" xfId="3" applyFont="1"/>
    <xf numFmtId="0" fontId="23" fillId="0" borderId="0" xfId="3" applyFont="1"/>
    <xf numFmtId="0" fontId="23" fillId="0" borderId="0" xfId="3" applyFont="1" applyAlignment="1">
      <alignment horizontal="center"/>
    </xf>
    <xf numFmtId="2" fontId="26" fillId="0" borderId="0" xfId="3" applyNumberFormat="1" applyFont="1" applyAlignment="1">
      <alignment vertical="center"/>
    </xf>
    <xf numFmtId="0" fontId="14" fillId="0" borderId="0" xfId="3" applyFont="1"/>
    <xf numFmtId="0" fontId="13" fillId="0" borderId="0" xfId="3" applyFont="1" applyAlignment="1">
      <alignment vertical="center" wrapText="1"/>
    </xf>
    <xf numFmtId="0" fontId="13" fillId="0" borderId="0" xfId="3" applyFont="1" applyAlignment="1">
      <alignment horizontal="center" vertical="center"/>
    </xf>
    <xf numFmtId="2" fontId="13" fillId="0" borderId="0" xfId="3" applyNumberFormat="1" applyFont="1" applyAlignment="1">
      <alignment horizontal="center" vertical="center"/>
    </xf>
    <xf numFmtId="0" fontId="27" fillId="0" borderId="0" xfId="3" applyFont="1" applyAlignment="1">
      <alignment vertical="center"/>
    </xf>
    <xf numFmtId="0" fontId="27" fillId="0" borderId="0" xfId="3" applyFont="1" applyAlignment="1">
      <alignment horizontal="center" vertical="center"/>
    </xf>
    <xf numFmtId="175" fontId="13" fillId="0" borderId="0" xfId="3" applyNumberFormat="1" applyFont="1" applyAlignment="1">
      <alignment horizontal="center" vertical="center"/>
    </xf>
    <xf numFmtId="173" fontId="13" fillId="0" borderId="0" xfId="3" applyNumberFormat="1" applyFont="1" applyAlignment="1">
      <alignment horizontal="center" vertical="center"/>
    </xf>
    <xf numFmtId="173" fontId="27" fillId="0" borderId="0" xfId="3" applyNumberFormat="1" applyFont="1" applyAlignment="1">
      <alignment horizontal="center" vertical="center"/>
    </xf>
    <xf numFmtId="0" fontId="21" fillId="0" borderId="5" xfId="3" applyFont="1" applyBorder="1"/>
    <xf numFmtId="0" fontId="13" fillId="0" borderId="0" xfId="3" applyFont="1" applyAlignment="1">
      <alignment horizontal="center" vertical="center" wrapText="1"/>
    </xf>
    <xf numFmtId="0" fontId="13" fillId="0" borderId="0" xfId="3" applyFont="1"/>
    <xf numFmtId="0" fontId="13" fillId="0" borderId="0" xfId="3" applyFont="1" applyAlignment="1">
      <alignment vertical="center"/>
    </xf>
    <xf numFmtId="174" fontId="28" fillId="0" borderId="0" xfId="3" applyNumberFormat="1" applyFont="1" applyAlignment="1">
      <alignment horizontal="center" vertical="center"/>
    </xf>
    <xf numFmtId="0" fontId="13" fillId="0" borderId="0" xfId="3" applyFont="1" applyAlignment="1">
      <alignment horizontal="center"/>
    </xf>
    <xf numFmtId="177" fontId="13" fillId="0" borderId="0" xfId="3" applyNumberFormat="1" applyFont="1" applyAlignment="1">
      <alignment horizontal="center" vertical="center"/>
    </xf>
    <xf numFmtId="0" fontId="29" fillId="0" borderId="0" xfId="3" applyFont="1" applyAlignment="1">
      <alignment horizontal="center"/>
    </xf>
    <xf numFmtId="4" fontId="9" fillId="0" borderId="0" xfId="3" applyNumberFormat="1" applyFont="1" applyAlignment="1">
      <alignment horizontal="center" vertical="center"/>
    </xf>
    <xf numFmtId="169" fontId="9" fillId="0" borderId="0" xfId="3" applyNumberFormat="1" applyFont="1" applyAlignment="1">
      <alignment horizontal="center" vertical="center"/>
    </xf>
    <xf numFmtId="0" fontId="30" fillId="0" borderId="0" xfId="3" applyFont="1"/>
    <xf numFmtId="0" fontId="31" fillId="0" borderId="0" xfId="3" applyFont="1"/>
    <xf numFmtId="173" fontId="32" fillId="0" borderId="0" xfId="3" applyNumberFormat="1" applyFont="1"/>
    <xf numFmtId="0" fontId="2" fillId="0" borderId="8" xfId="3" applyBorder="1"/>
    <xf numFmtId="0" fontId="2" fillId="5" borderId="2" xfId="3" applyFill="1" applyBorder="1"/>
    <xf numFmtId="4" fontId="13" fillId="0" borderId="4" xfId="3" applyNumberFormat="1" applyFont="1" applyBorder="1" applyAlignment="1">
      <alignment horizontal="center" vertical="center"/>
    </xf>
    <xf numFmtId="179" fontId="9" fillId="0" borderId="4" xfId="3" applyNumberFormat="1" applyFont="1" applyBorder="1" applyAlignment="1">
      <alignment horizontal="center" vertical="center"/>
    </xf>
    <xf numFmtId="171" fontId="13" fillId="0" borderId="4" xfId="1" applyFont="1" applyFill="1" applyBorder="1" applyAlignment="1">
      <alignment horizontal="center" vertical="center"/>
    </xf>
    <xf numFmtId="0" fontId="31" fillId="0" borderId="3" xfId="3" applyFont="1" applyBorder="1" applyAlignment="1">
      <alignment horizontal="center"/>
    </xf>
    <xf numFmtId="0" fontId="14" fillId="0" borderId="4" xfId="3" applyFont="1" applyBorder="1"/>
    <xf numFmtId="0" fontId="14" fillId="5" borderId="4" xfId="3" applyFont="1" applyFill="1" applyBorder="1"/>
    <xf numFmtId="173" fontId="32" fillId="8" borderId="5" xfId="3" applyNumberFormat="1" applyFont="1" applyFill="1" applyBorder="1"/>
    <xf numFmtId="2" fontId="14" fillId="0" borderId="5" xfId="3" applyNumberFormat="1" applyFont="1" applyBorder="1" applyAlignment="1">
      <alignment horizontal="center" vertical="center"/>
    </xf>
    <xf numFmtId="180" fontId="13" fillId="0" borderId="4" xfId="3" applyNumberFormat="1" applyFont="1" applyBorder="1" applyAlignment="1">
      <alignment horizontal="center" vertical="center"/>
    </xf>
    <xf numFmtId="174" fontId="13" fillId="0" borderId="4" xfId="3" applyNumberFormat="1" applyFont="1" applyBorder="1" applyAlignment="1">
      <alignment horizontal="center" vertical="center"/>
    </xf>
    <xf numFmtId="181" fontId="29" fillId="0" borderId="4" xfId="3" applyNumberFormat="1" applyFont="1" applyBorder="1" applyAlignment="1">
      <alignment horizontal="center"/>
    </xf>
    <xf numFmtId="178" fontId="29" fillId="0" borderId="4" xfId="3" applyNumberFormat="1" applyFont="1" applyBorder="1" applyAlignment="1">
      <alignment horizontal="center"/>
    </xf>
    <xf numFmtId="178" fontId="27" fillId="0" borderId="4" xfId="3" applyNumberFormat="1" applyFont="1" applyBorder="1" applyAlignment="1">
      <alignment horizontal="center" vertical="center"/>
    </xf>
    <xf numFmtId="182" fontId="9" fillId="0" borderId="4" xfId="3" applyNumberFormat="1" applyFont="1" applyBorder="1" applyAlignment="1">
      <alignment horizontal="center" vertical="center"/>
    </xf>
    <xf numFmtId="0" fontId="14" fillId="0" borderId="5" xfId="3" applyFont="1" applyBorder="1"/>
    <xf numFmtId="173" fontId="32" fillId="0" borderId="5" xfId="3" applyNumberFormat="1" applyFont="1" applyBorder="1"/>
    <xf numFmtId="9" fontId="13" fillId="0" borderId="4" xfId="2" applyFont="1" applyBorder="1" applyAlignment="1">
      <alignment horizontal="center" vertical="center"/>
    </xf>
    <xf numFmtId="0" fontId="44" fillId="2" borderId="4" xfId="3" applyFont="1" applyFill="1" applyBorder="1" applyAlignment="1">
      <alignment horizontal="center"/>
    </xf>
    <xf numFmtId="0" fontId="44" fillId="2" borderId="5" xfId="3" applyFont="1" applyFill="1" applyBorder="1" applyAlignment="1">
      <alignment horizontal="center"/>
    </xf>
    <xf numFmtId="2" fontId="46" fillId="0" borderId="4" xfId="3" applyNumberFormat="1" applyFont="1" applyBorder="1" applyAlignment="1">
      <alignment horizontal="center" vertical="center"/>
    </xf>
    <xf numFmtId="2" fontId="46" fillId="0" borderId="5" xfId="3" applyNumberFormat="1" applyFont="1" applyBorder="1" applyAlignment="1">
      <alignment horizontal="center" vertical="center"/>
    </xf>
    <xf numFmtId="183" fontId="27" fillId="0" borderId="4" xfId="3" applyNumberFormat="1" applyFont="1" applyBorder="1" applyAlignment="1">
      <alignment horizontal="center" vertical="center"/>
    </xf>
    <xf numFmtId="171" fontId="27" fillId="0" borderId="4" xfId="1" applyFont="1" applyBorder="1" applyAlignment="1">
      <alignment horizontal="center" vertical="center"/>
    </xf>
    <xf numFmtId="0" fontId="21" fillId="0" borderId="3" xfId="3" applyFont="1" applyBorder="1"/>
    <xf numFmtId="174" fontId="13" fillId="0" borderId="4" xfId="3" applyNumberFormat="1" applyFont="1" applyBorder="1" applyAlignment="1">
      <alignment vertical="center"/>
    </xf>
    <xf numFmtId="4" fontId="13" fillId="0" borderId="5" xfId="3" applyNumberFormat="1" applyFont="1" applyBorder="1" applyAlignment="1">
      <alignment horizontal="center" vertical="center"/>
    </xf>
    <xf numFmtId="0" fontId="27" fillId="0" borderId="4" xfId="3" applyFont="1" applyBorder="1" applyAlignment="1">
      <alignment horizontal="center"/>
    </xf>
    <xf numFmtId="173" fontId="27" fillId="0" borderId="4" xfId="3" applyNumberFormat="1" applyFont="1" applyBorder="1" applyAlignment="1">
      <alignment horizontal="center"/>
    </xf>
    <xf numFmtId="174" fontId="28" fillId="0" borderId="5" xfId="3" applyNumberFormat="1" applyFont="1" applyBorder="1" applyAlignment="1">
      <alignment horizontal="center"/>
    </xf>
    <xf numFmtId="2" fontId="13" fillId="0" borderId="4" xfId="3" applyNumberFormat="1" applyFont="1" applyBorder="1" applyAlignment="1">
      <alignment horizontal="center"/>
    </xf>
    <xf numFmtId="177" fontId="31" fillId="0" borderId="4" xfId="3" applyNumberFormat="1" applyFont="1" applyBorder="1"/>
    <xf numFmtId="173" fontId="13" fillId="0" borderId="4" xfId="3" applyNumberFormat="1" applyFont="1" applyBorder="1" applyAlignment="1">
      <alignment horizontal="center"/>
    </xf>
    <xf numFmtId="0" fontId="13" fillId="0" borderId="4" xfId="3" applyFont="1" applyBorder="1" applyAlignment="1">
      <alignment horizontal="center"/>
    </xf>
    <xf numFmtId="0" fontId="13" fillId="0" borderId="5" xfId="3" applyFont="1" applyBorder="1" applyAlignment="1">
      <alignment horizontal="center" vertical="center"/>
    </xf>
    <xf numFmtId="182" fontId="13" fillId="0" borderId="4" xfId="1" applyNumberFormat="1" applyFont="1" applyFill="1" applyBorder="1" applyAlignment="1">
      <alignment horizontal="center" vertical="center"/>
    </xf>
    <xf numFmtId="0" fontId="13" fillId="0" borderId="3" xfId="3" applyFont="1" applyBorder="1" applyAlignment="1">
      <alignment horizontal="center" vertical="center" wrapText="1"/>
    </xf>
    <xf numFmtId="0" fontId="2" fillId="0" borderId="2" xfId="3" applyBorder="1" applyAlignment="1">
      <alignment horizontal="center" vertical="center"/>
    </xf>
    <xf numFmtId="0" fontId="23" fillId="2" borderId="4" xfId="3" applyFont="1" applyFill="1" applyBorder="1" applyAlignment="1">
      <alignment horizontal="center" vertical="center"/>
    </xf>
    <xf numFmtId="0" fontId="23" fillId="2" borderId="5" xfId="3" applyFont="1" applyFill="1" applyBorder="1" applyAlignment="1">
      <alignment horizontal="center" vertical="center"/>
    </xf>
    <xf numFmtId="2" fontId="13" fillId="5" borderId="4" xfId="3" applyNumberFormat="1" applyFont="1" applyFill="1" applyBorder="1" applyAlignment="1">
      <alignment horizontal="center" vertical="center"/>
    </xf>
    <xf numFmtId="173" fontId="27" fillId="5" borderId="4" xfId="3" applyNumberFormat="1" applyFont="1" applyFill="1" applyBorder="1" applyAlignment="1">
      <alignment horizontal="center" vertical="center"/>
    </xf>
    <xf numFmtId="0" fontId="2" fillId="5" borderId="2" xfId="3" applyFill="1" applyBorder="1" applyAlignment="1">
      <alignment horizontal="center" vertical="center"/>
    </xf>
    <xf numFmtId="0" fontId="13" fillId="0" borderId="3" xfId="3" applyFont="1" applyBorder="1" applyAlignment="1">
      <alignment horizontal="center" vertical="center"/>
    </xf>
    <xf numFmtId="0" fontId="29" fillId="0" borderId="4" xfId="3" applyFont="1" applyBorder="1" applyAlignment="1">
      <alignment horizontal="center" vertical="center"/>
    </xf>
    <xf numFmtId="4" fontId="13" fillId="0" borderId="3" xfId="3" applyNumberFormat="1" applyFont="1" applyBorder="1" applyAlignment="1">
      <alignment horizontal="center" vertical="center" wrapText="1"/>
    </xf>
    <xf numFmtId="169" fontId="13" fillId="0" borderId="4" xfId="3" applyNumberFormat="1" applyFont="1" applyBorder="1" applyAlignment="1">
      <alignment horizontal="center" vertical="center"/>
    </xf>
    <xf numFmtId="0" fontId="31" fillId="0" borderId="3" xfId="3" applyFont="1" applyBorder="1" applyAlignment="1">
      <alignment horizontal="center" vertical="center"/>
    </xf>
    <xf numFmtId="0" fontId="31" fillId="0" borderId="4" xfId="3" applyFont="1" applyBorder="1" applyAlignment="1">
      <alignment horizontal="center" vertical="center"/>
    </xf>
    <xf numFmtId="173" fontId="34" fillId="2" borderId="5" xfId="3" applyNumberFormat="1" applyFont="1" applyFill="1" applyBorder="1" applyAlignment="1">
      <alignment horizontal="center" vertical="center"/>
    </xf>
    <xf numFmtId="0" fontId="2" fillId="0" borderId="3" xfId="3" applyBorder="1" applyAlignment="1">
      <alignment horizontal="center" vertical="center"/>
    </xf>
    <xf numFmtId="0" fontId="2" fillId="0" borderId="4" xfId="3" applyBorder="1" applyAlignment="1">
      <alignment horizontal="center" vertical="center"/>
    </xf>
    <xf numFmtId="0" fontId="2" fillId="0" borderId="5" xfId="3" applyBorder="1" applyAlignment="1">
      <alignment horizontal="center" vertical="center"/>
    </xf>
    <xf numFmtId="0" fontId="13" fillId="5" borderId="4" xfId="3" applyFont="1" applyFill="1" applyBorder="1" applyAlignment="1">
      <alignment horizontal="center" vertical="center"/>
    </xf>
    <xf numFmtId="0" fontId="10" fillId="0" borderId="4" xfId="3" applyFont="1" applyBorder="1" applyAlignment="1">
      <alignment horizontal="center" vertical="center" wrapText="1"/>
    </xf>
    <xf numFmtId="0" fontId="27" fillId="5" borderId="4" xfId="3" applyFont="1" applyFill="1" applyBorder="1" applyAlignment="1">
      <alignment horizontal="center" vertical="center"/>
    </xf>
    <xf numFmtId="0" fontId="27" fillId="5" borderId="5" xfId="3" applyFont="1" applyFill="1" applyBorder="1" applyAlignment="1">
      <alignment horizontal="center" vertical="center"/>
    </xf>
    <xf numFmtId="184" fontId="13" fillId="0" borderId="4" xfId="3" applyNumberFormat="1" applyFont="1" applyBorder="1" applyAlignment="1">
      <alignment horizontal="center" vertical="center"/>
    </xf>
    <xf numFmtId="0" fontId="48" fillId="0" borderId="4" xfId="3" applyFont="1" applyBorder="1" applyAlignment="1">
      <alignment horizontal="center" vertical="center"/>
    </xf>
    <xf numFmtId="0" fontId="49" fillId="0" borderId="2" xfId="3" applyFont="1" applyBorder="1" applyAlignment="1">
      <alignment horizontal="center" vertical="center"/>
    </xf>
    <xf numFmtId="0" fontId="49" fillId="5" borderId="2" xfId="3" applyFont="1" applyFill="1" applyBorder="1" applyAlignment="1">
      <alignment horizontal="center" vertical="center"/>
    </xf>
    <xf numFmtId="0" fontId="14" fillId="5" borderId="5" xfId="3" applyFont="1" applyFill="1" applyBorder="1" applyAlignment="1">
      <alignment horizontal="center" vertical="center"/>
    </xf>
    <xf numFmtId="0" fontId="33" fillId="0" borderId="3" xfId="3" applyFont="1" applyBorder="1" applyAlignment="1">
      <alignment horizontal="center" vertical="center"/>
    </xf>
    <xf numFmtId="0" fontId="21" fillId="0" borderId="4" xfId="3" applyFont="1" applyBorder="1" applyAlignment="1">
      <alignment horizontal="center" vertical="center"/>
    </xf>
    <xf numFmtId="0" fontId="21" fillId="5" borderId="4" xfId="3" applyFont="1" applyFill="1" applyBorder="1" applyAlignment="1">
      <alignment horizontal="center" vertical="center"/>
    </xf>
    <xf numFmtId="173" fontId="34" fillId="8" borderId="5" xfId="3" applyNumberFormat="1" applyFont="1" applyFill="1" applyBorder="1" applyAlignment="1">
      <alignment horizontal="center" vertical="center"/>
    </xf>
    <xf numFmtId="0" fontId="27" fillId="0" borderId="9" xfId="3" applyFont="1" applyBorder="1" applyAlignment="1">
      <alignment horizontal="center" vertical="center"/>
    </xf>
    <xf numFmtId="0" fontId="2" fillId="0" borderId="0" xfId="3"/>
    <xf numFmtId="0" fontId="52" fillId="0" borderId="0" xfId="0" applyFont="1" applyAlignment="1">
      <alignment vertical="center"/>
    </xf>
    <xf numFmtId="0" fontId="3" fillId="5" borderId="0" xfId="3" applyFont="1" applyFill="1" applyAlignment="1">
      <alignment vertical="center" wrapText="1"/>
    </xf>
    <xf numFmtId="0" fontId="75" fillId="0" borderId="0" xfId="15" applyFont="1"/>
    <xf numFmtId="0" fontId="75" fillId="0" borderId="0" xfId="14" applyFont="1"/>
    <xf numFmtId="0" fontId="76" fillId="0" borderId="0" xfId="15" applyFont="1" applyAlignment="1">
      <alignment horizontal="center"/>
    </xf>
    <xf numFmtId="0" fontId="75" fillId="0" borderId="33" xfId="15" applyFont="1" applyBorder="1" applyAlignment="1">
      <alignment horizontal="center"/>
    </xf>
    <xf numFmtId="0" fontId="78" fillId="11" borderId="31" xfId="15" applyFont="1" applyFill="1" applyBorder="1" applyAlignment="1">
      <alignment horizontal="center"/>
    </xf>
    <xf numFmtId="0" fontId="78" fillId="11" borderId="32" xfId="15" applyFont="1" applyFill="1" applyBorder="1" applyAlignment="1">
      <alignment horizontal="center"/>
    </xf>
    <xf numFmtId="0" fontId="78" fillId="0" borderId="33" xfId="15" applyFont="1" applyBorder="1" applyAlignment="1">
      <alignment horizontal="center"/>
    </xf>
    <xf numFmtId="0" fontId="75" fillId="0" borderId="31" xfId="15" applyFont="1" applyBorder="1"/>
    <xf numFmtId="0" fontId="75" fillId="0" borderId="32" xfId="15" applyFont="1" applyBorder="1"/>
    <xf numFmtId="0" fontId="75" fillId="0" borderId="33" xfId="15" applyFont="1" applyBorder="1"/>
    <xf numFmtId="186" fontId="75" fillId="12" borderId="31" xfId="21" applyFont="1" applyFill="1" applyBorder="1"/>
    <xf numFmtId="0" fontId="75" fillId="0" borderId="31" xfId="15" applyFont="1" applyBorder="1" applyAlignment="1">
      <alignment horizontal="center"/>
    </xf>
    <xf numFmtId="186" fontId="75" fillId="0" borderId="31" xfId="21" applyFont="1" applyBorder="1"/>
    <xf numFmtId="0" fontId="75" fillId="0" borderId="32" xfId="15" applyFont="1" applyBorder="1" applyAlignment="1">
      <alignment horizontal="center"/>
    </xf>
    <xf numFmtId="186" fontId="75" fillId="0" borderId="33" xfId="21" applyFont="1" applyBorder="1"/>
    <xf numFmtId="0" fontId="75" fillId="0" borderId="34" xfId="15" applyFont="1" applyBorder="1"/>
    <xf numFmtId="0" fontId="75" fillId="0" borderId="35" xfId="15" applyFont="1" applyBorder="1"/>
    <xf numFmtId="0" fontId="75" fillId="0" borderId="36" xfId="15" applyFont="1" applyBorder="1"/>
    <xf numFmtId="0" fontId="75" fillId="0" borderId="37" xfId="15" applyFont="1" applyBorder="1"/>
    <xf numFmtId="0" fontId="79" fillId="0" borderId="31" xfId="15" applyFont="1" applyBorder="1" applyAlignment="1">
      <alignment horizontal="center"/>
    </xf>
    <xf numFmtId="0" fontId="79" fillId="0" borderId="32" xfId="15" applyFont="1" applyBorder="1" applyAlignment="1">
      <alignment horizontal="center"/>
    </xf>
    <xf numFmtId="0" fontId="79" fillId="0" borderId="33" xfId="15" applyFont="1" applyBorder="1" applyAlignment="1">
      <alignment horizontal="center"/>
    </xf>
    <xf numFmtId="0" fontId="79" fillId="0" borderId="31" xfId="15" applyFont="1" applyBorder="1"/>
    <xf numFmtId="186" fontId="75" fillId="0" borderId="31" xfId="15" applyNumberFormat="1" applyFont="1" applyBorder="1"/>
    <xf numFmtId="9" fontId="75" fillId="0" borderId="31" xfId="22" applyFont="1" applyBorder="1"/>
    <xf numFmtId="9" fontId="75" fillId="0" borderId="32" xfId="22" applyFont="1" applyBorder="1"/>
    <xf numFmtId="186" fontId="75" fillId="0" borderId="33" xfId="15" applyNumberFormat="1" applyFont="1" applyBorder="1"/>
    <xf numFmtId="10" fontId="75" fillId="0" borderId="31" xfId="22" applyNumberFormat="1" applyFont="1" applyBorder="1"/>
    <xf numFmtId="10" fontId="75" fillId="0" borderId="32" xfId="22" applyNumberFormat="1" applyFont="1" applyBorder="1"/>
    <xf numFmtId="10" fontId="80" fillId="0" borderId="31" xfId="22" applyNumberFormat="1" applyFont="1" applyBorder="1"/>
    <xf numFmtId="186" fontId="80" fillId="0" borderId="31" xfId="21" applyFont="1" applyBorder="1"/>
    <xf numFmtId="0" fontId="75" fillId="0" borderId="33" xfId="14" applyFont="1" applyBorder="1"/>
    <xf numFmtId="187" fontId="80" fillId="0" borderId="39" xfId="23" applyFont="1" applyBorder="1"/>
    <xf numFmtId="0" fontId="75" fillId="0" borderId="36" xfId="14" applyFont="1" applyBorder="1"/>
    <xf numFmtId="187" fontId="79" fillId="0" borderId="40" xfId="23" applyFont="1" applyBorder="1"/>
    <xf numFmtId="0" fontId="75" fillId="0" borderId="34" xfId="14" applyFont="1" applyBorder="1" applyAlignment="1">
      <alignment horizontal="center"/>
    </xf>
    <xf numFmtId="0" fontId="75" fillId="0" borderId="38" xfId="14" applyFont="1" applyBorder="1" applyAlignment="1">
      <alignment horizontal="center"/>
    </xf>
    <xf numFmtId="186" fontId="80" fillId="0" borderId="0" xfId="21" applyFont="1"/>
    <xf numFmtId="186" fontId="79" fillId="0" borderId="0" xfId="21" applyFont="1"/>
    <xf numFmtId="0" fontId="79" fillId="0" borderId="0" xfId="15" applyFont="1"/>
    <xf numFmtId="186" fontId="80" fillId="0" borderId="0" xfId="21" applyFont="1" applyBorder="1"/>
    <xf numFmtId="0" fontId="79" fillId="0" borderId="0" xfId="15" applyFont="1" applyAlignment="1">
      <alignment wrapText="1"/>
    </xf>
    <xf numFmtId="0" fontId="79" fillId="0" borderId="0" xfId="15" applyFont="1" applyAlignment="1">
      <alignment horizontal="center"/>
    </xf>
    <xf numFmtId="0" fontId="81" fillId="0" borderId="41" xfId="15" applyFont="1" applyBorder="1" applyAlignment="1">
      <alignment horizontal="center" vertical="center"/>
    </xf>
    <xf numFmtId="0" fontId="81" fillId="0" borderId="42" xfId="15" applyFont="1" applyBorder="1" applyAlignment="1">
      <alignment horizontal="center" vertical="center"/>
    </xf>
    <xf numFmtId="0" fontId="81" fillId="0" borderId="41" xfId="15" applyFont="1" applyBorder="1" applyAlignment="1">
      <alignment horizontal="center" vertical="center" wrapText="1"/>
    </xf>
    <xf numFmtId="0" fontId="81" fillId="0" borderId="0" xfId="15" applyFont="1" applyAlignment="1">
      <alignment vertical="center"/>
    </xf>
    <xf numFmtId="0" fontId="81" fillId="0" borderId="43" xfId="15" applyFont="1" applyBorder="1" applyAlignment="1">
      <alignment horizontal="center" vertical="center" wrapText="1"/>
    </xf>
    <xf numFmtId="0" fontId="75" fillId="0" borderId="44" xfId="15" applyFont="1" applyBorder="1"/>
    <xf numFmtId="0" fontId="75" fillId="0" borderId="45" xfId="15" applyFont="1" applyBorder="1" applyAlignment="1">
      <alignment horizontal="center"/>
    </xf>
    <xf numFmtId="0" fontId="75" fillId="0" borderId="46" xfId="15" applyFont="1" applyBorder="1" applyAlignment="1">
      <alignment horizontal="center"/>
    </xf>
    <xf numFmtId="166" fontId="75" fillId="0" borderId="45" xfId="15" applyNumberFormat="1" applyFont="1" applyBorder="1"/>
    <xf numFmtId="186" fontId="75" fillId="0" borderId="45" xfId="21" applyFont="1" applyBorder="1"/>
    <xf numFmtId="44" fontId="75" fillId="0" borderId="43" xfId="14" applyNumberFormat="1" applyFont="1" applyBorder="1"/>
    <xf numFmtId="0" fontId="75" fillId="0" borderId="47" xfId="15" applyFont="1" applyBorder="1"/>
    <xf numFmtId="0" fontId="75" fillId="0" borderId="48" xfId="15" applyFont="1" applyBorder="1" applyAlignment="1">
      <alignment horizontal="center"/>
    </xf>
    <xf numFmtId="0" fontId="75" fillId="0" borderId="49" xfId="15" applyFont="1" applyBorder="1" applyAlignment="1">
      <alignment horizontal="center"/>
    </xf>
    <xf numFmtId="166" fontId="75" fillId="0" borderId="48" xfId="15" applyNumberFormat="1" applyFont="1" applyBorder="1"/>
    <xf numFmtId="186" fontId="75" fillId="0" borderId="48" xfId="21" applyFont="1" applyBorder="1"/>
    <xf numFmtId="0" fontId="75" fillId="0" borderId="50" xfId="15" applyFont="1" applyBorder="1"/>
    <xf numFmtId="0" fontId="75" fillId="0" borderId="51" xfId="15" applyFont="1" applyBorder="1" applyAlignment="1">
      <alignment horizontal="center"/>
    </xf>
    <xf numFmtId="0" fontId="75" fillId="0" borderId="52" xfId="15" applyFont="1" applyBorder="1" applyAlignment="1">
      <alignment horizontal="center"/>
    </xf>
    <xf numFmtId="166" fontId="75" fillId="0" borderId="51" xfId="15" applyNumberFormat="1" applyFont="1" applyBorder="1"/>
    <xf numFmtId="186" fontId="75" fillId="0" borderId="51" xfId="21" applyFont="1" applyBorder="1"/>
    <xf numFmtId="0" fontId="75" fillId="0" borderId="0" xfId="15" applyFont="1" applyAlignment="1">
      <alignment horizontal="center"/>
    </xf>
    <xf numFmtId="0" fontId="79" fillId="11" borderId="31" xfId="15" applyFont="1" applyFill="1" applyBorder="1" applyAlignment="1">
      <alignment horizontal="center"/>
    </xf>
    <xf numFmtId="0" fontId="75" fillId="13" borderId="31" xfId="15" applyFont="1" applyFill="1" applyBorder="1"/>
    <xf numFmtId="4" fontId="84" fillId="13" borderId="31" xfId="24" applyNumberFormat="1" applyFont="1" applyFill="1" applyBorder="1" applyAlignment="1">
      <alignment horizontal="center" vertical="center"/>
    </xf>
    <xf numFmtId="186" fontId="75" fillId="13" borderId="31" xfId="15" applyNumberFormat="1" applyFont="1" applyFill="1" applyBorder="1"/>
    <xf numFmtId="4" fontId="84" fillId="0" borderId="0" xfId="24" applyNumberFormat="1" applyFont="1" applyAlignment="1">
      <alignment horizontal="center" vertical="center"/>
    </xf>
    <xf numFmtId="4" fontId="84" fillId="0" borderId="31" xfId="24" applyNumberFormat="1" applyFont="1" applyBorder="1" applyAlignment="1">
      <alignment horizontal="center" vertical="center"/>
    </xf>
    <xf numFmtId="0" fontId="75" fillId="14" borderId="31" xfId="15" applyFont="1" applyFill="1" applyBorder="1"/>
    <xf numFmtId="4" fontId="84" fillId="14" borderId="31" xfId="24" applyNumberFormat="1" applyFont="1" applyFill="1" applyBorder="1" applyAlignment="1">
      <alignment horizontal="center" vertical="center"/>
    </xf>
    <xf numFmtId="186" fontId="75" fillId="14" borderId="31" xfId="15" applyNumberFormat="1" applyFont="1" applyFill="1" applyBorder="1"/>
    <xf numFmtId="166" fontId="75" fillId="0" borderId="31" xfId="14" applyNumberFormat="1" applyFont="1" applyBorder="1"/>
    <xf numFmtId="0" fontId="7" fillId="5" borderId="4" xfId="3" applyFont="1" applyFill="1" applyBorder="1"/>
    <xf numFmtId="0" fontId="86" fillId="0" borderId="19" xfId="80" applyBorder="1" applyAlignment="1">
      <alignment vertical="center" wrapText="1"/>
    </xf>
    <xf numFmtId="0" fontId="7" fillId="5" borderId="3" xfId="3" applyFont="1" applyFill="1" applyBorder="1" applyAlignment="1">
      <alignment horizontal="center"/>
    </xf>
    <xf numFmtId="173" fontId="87" fillId="5" borderId="5" xfId="3" applyNumberFormat="1" applyFont="1" applyFill="1" applyBorder="1"/>
    <xf numFmtId="174" fontId="9" fillId="0" borderId="4" xfId="3" applyNumberFormat="1" applyFont="1" applyBorder="1" applyAlignment="1">
      <alignment horizontal="center"/>
    </xf>
    <xf numFmtId="169" fontId="11" fillId="0" borderId="4" xfId="3" applyNumberFormat="1" applyFont="1" applyBorder="1" applyAlignment="1">
      <alignment horizontal="center"/>
    </xf>
    <xf numFmtId="0" fontId="52" fillId="0" borderId="0" xfId="0" applyFont="1" applyAlignment="1">
      <alignment horizontal="center" vertical="center"/>
    </xf>
    <xf numFmtId="182" fontId="52" fillId="0" borderId="0" xfId="4" applyNumberFormat="1" applyFont="1" applyAlignment="1">
      <alignment vertical="center"/>
    </xf>
    <xf numFmtId="0" fontId="50" fillId="9" borderId="64" xfId="5" applyFont="1" applyFill="1" applyBorder="1" applyAlignment="1">
      <alignment horizontal="center"/>
    </xf>
    <xf numFmtId="0" fontId="50" fillId="9" borderId="65" xfId="5" applyFont="1" applyFill="1" applyBorder="1" applyAlignment="1">
      <alignment horizontal="center"/>
    </xf>
    <xf numFmtId="0" fontId="50" fillId="9" borderId="65" xfId="5" applyFont="1" applyFill="1" applyBorder="1" applyAlignment="1">
      <alignment horizontal="center" vertical="center"/>
    </xf>
    <xf numFmtId="182" fontId="50" fillId="9" borderId="65" xfId="4" applyNumberFormat="1" applyFont="1" applyFill="1" applyBorder="1" applyAlignment="1">
      <alignment horizontal="center"/>
    </xf>
    <xf numFmtId="185" fontId="50" fillId="9" borderId="65" xfId="6" applyNumberFormat="1" applyFont="1" applyFill="1" applyBorder="1" applyAlignment="1">
      <alignment horizontal="center"/>
    </xf>
    <xf numFmtId="0" fontId="52" fillId="0" borderId="20" xfId="0" applyFont="1" applyBorder="1" applyAlignment="1">
      <alignment vertical="center"/>
    </xf>
    <xf numFmtId="0" fontId="88" fillId="0" borderId="67" xfId="0" applyFont="1" applyBorder="1" applyAlignment="1">
      <alignment vertical="center"/>
    </xf>
    <xf numFmtId="0" fontId="88" fillId="0" borderId="68" xfId="0" applyFont="1" applyBorder="1" applyAlignment="1">
      <alignment horizontal="center" vertical="center"/>
    </xf>
    <xf numFmtId="182" fontId="88" fillId="0" borderId="68" xfId="4" applyNumberFormat="1" applyFont="1" applyBorder="1" applyAlignment="1">
      <alignment vertical="center"/>
    </xf>
    <xf numFmtId="0" fontId="88" fillId="0" borderId="70" xfId="0" applyFont="1" applyBorder="1" applyAlignment="1">
      <alignment vertical="center"/>
    </xf>
    <xf numFmtId="0" fontId="88" fillId="0" borderId="2" xfId="0" applyFont="1" applyBorder="1" applyAlignment="1">
      <alignment horizontal="center" vertical="center"/>
    </xf>
    <xf numFmtId="182" fontId="88" fillId="0" borderId="2" xfId="4" applyNumberFormat="1" applyFont="1" applyBorder="1" applyAlignment="1">
      <alignment vertical="center"/>
    </xf>
    <xf numFmtId="0" fontId="52" fillId="0" borderId="20" xfId="0" applyFont="1" applyBorder="1" applyAlignment="1">
      <alignment vertical="center" wrapText="1"/>
    </xf>
    <xf numFmtId="185" fontId="88" fillId="0" borderId="2" xfId="0" applyNumberFormat="1" applyFont="1" applyBorder="1" applyAlignment="1">
      <alignment horizontal="center" vertical="center"/>
    </xf>
    <xf numFmtId="182" fontId="88" fillId="0" borderId="2" xfId="4" applyNumberFormat="1" applyFont="1" applyBorder="1" applyAlignment="1">
      <alignment horizontal="center" vertical="center"/>
    </xf>
    <xf numFmtId="0" fontId="52" fillId="0" borderId="20" xfId="0" applyFont="1" applyBorder="1" applyAlignment="1">
      <alignment horizontal="center" vertical="center"/>
    </xf>
    <xf numFmtId="0" fontId="88" fillId="0" borderId="71" xfId="0" applyFont="1" applyBorder="1" applyAlignment="1">
      <alignment vertical="center" wrapText="1"/>
    </xf>
    <xf numFmtId="182" fontId="88" fillId="0" borderId="0" xfId="4" applyNumberFormat="1" applyFont="1" applyBorder="1" applyAlignment="1">
      <alignment horizontal="center" vertical="center"/>
    </xf>
    <xf numFmtId="182" fontId="88" fillId="0" borderId="0" xfId="4" applyNumberFormat="1" applyFont="1" applyBorder="1" applyAlignment="1">
      <alignment vertical="center"/>
    </xf>
    <xf numFmtId="0" fontId="88" fillId="0" borderId="0" xfId="0" applyFont="1" applyAlignment="1">
      <alignment horizontal="center" vertical="center"/>
    </xf>
    <xf numFmtId="0" fontId="53" fillId="0" borderId="73" xfId="5" applyFont="1" applyBorder="1" applyAlignment="1">
      <alignment vertical="center"/>
    </xf>
    <xf numFmtId="0" fontId="53" fillId="0" borderId="63" xfId="5" applyFont="1" applyBorder="1" applyAlignment="1">
      <alignment horizontal="center" vertical="center" wrapText="1"/>
    </xf>
    <xf numFmtId="182" fontId="90" fillId="0" borderId="63" xfId="4" applyNumberFormat="1" applyFont="1" applyBorder="1" applyAlignment="1">
      <alignment vertical="center"/>
    </xf>
    <xf numFmtId="0" fontId="53" fillId="0" borderId="63" xfId="5" applyFont="1" applyBorder="1" applyAlignment="1">
      <alignment horizontal="center" vertical="center"/>
    </xf>
    <xf numFmtId="0" fontId="90" fillId="0" borderId="73" xfId="5" applyFont="1" applyBorder="1" applyAlignment="1">
      <alignment vertical="center"/>
    </xf>
    <xf numFmtId="0" fontId="89" fillId="0" borderId="63" xfId="0" applyFont="1" applyBorder="1" applyAlignment="1">
      <alignment horizontal="center" vertical="center"/>
    </xf>
    <xf numFmtId="0" fontId="90" fillId="0" borderId="63" xfId="0" applyFont="1" applyBorder="1" applyAlignment="1">
      <alignment horizontal="center" vertical="center"/>
    </xf>
    <xf numFmtId="0" fontId="53" fillId="0" borderId="63" xfId="0" applyFont="1" applyBorder="1" applyAlignment="1">
      <alignment horizontal="center" vertical="center"/>
    </xf>
    <xf numFmtId="3" fontId="53" fillId="0" borderId="63" xfId="0" applyNumberFormat="1" applyFont="1" applyBorder="1" applyAlignment="1">
      <alignment horizontal="center" vertical="center"/>
    </xf>
    <xf numFmtId="3" fontId="90" fillId="0" borderId="63" xfId="0" applyNumberFormat="1" applyFont="1" applyBorder="1" applyAlignment="1">
      <alignment horizontal="center" vertical="center"/>
    </xf>
    <xf numFmtId="0" fontId="91" fillId="0" borderId="73" xfId="5" applyFont="1" applyBorder="1" applyAlignment="1">
      <alignment vertical="center"/>
    </xf>
    <xf numFmtId="182" fontId="91" fillId="0" borderId="63" xfId="4" applyNumberFormat="1" applyFont="1" applyBorder="1" applyAlignment="1">
      <alignment vertical="center"/>
    </xf>
    <xf numFmtId="0" fontId="90" fillId="0" borderId="63" xfId="81" applyFont="1" applyBorder="1" applyAlignment="1">
      <alignment horizontal="center" vertical="center" wrapText="1"/>
    </xf>
    <xf numFmtId="2" fontId="53" fillId="0" borderId="63" xfId="0" applyNumberFormat="1" applyFont="1" applyBorder="1" applyAlignment="1">
      <alignment horizontal="center" vertical="center"/>
    </xf>
    <xf numFmtId="0" fontId="90" fillId="0" borderId="63" xfId="5" applyFont="1" applyBorder="1" applyAlignment="1">
      <alignment horizontal="center" vertical="center"/>
    </xf>
    <xf numFmtId="182" fontId="52" fillId="0" borderId="63" xfId="4" applyNumberFormat="1" applyFont="1" applyBorder="1" applyAlignment="1">
      <alignment vertical="center"/>
    </xf>
    <xf numFmtId="0" fontId="52" fillId="0" borderId="73" xfId="0" applyFont="1" applyBorder="1" applyAlignment="1">
      <alignment vertical="center"/>
    </xf>
    <xf numFmtId="0" fontId="52" fillId="0" borderId="63" xfId="0" applyFont="1" applyBorder="1" applyAlignment="1">
      <alignment horizontal="center" vertical="center"/>
    </xf>
    <xf numFmtId="0" fontId="52" fillId="0" borderId="75" xfId="0" applyFont="1" applyBorder="1" applyAlignment="1">
      <alignment vertical="center"/>
    </xf>
    <xf numFmtId="0" fontId="52" fillId="0" borderId="76" xfId="0" applyFont="1" applyBorder="1" applyAlignment="1">
      <alignment horizontal="center" vertical="center"/>
    </xf>
    <xf numFmtId="182" fontId="52" fillId="0" borderId="76" xfId="4" applyNumberFormat="1" applyFont="1" applyBorder="1" applyAlignment="1">
      <alignment vertical="center"/>
    </xf>
    <xf numFmtId="0" fontId="92" fillId="0" borderId="0" xfId="0" applyFont="1"/>
    <xf numFmtId="0" fontId="93" fillId="9" borderId="19" xfId="5" applyFont="1" applyFill="1" applyBorder="1" applyAlignment="1">
      <alignment horizontal="center" wrapText="1"/>
    </xf>
    <xf numFmtId="0" fontId="93" fillId="9" borderId="19" xfId="5" applyFont="1" applyFill="1" applyBorder="1" applyAlignment="1">
      <alignment horizontal="center"/>
    </xf>
    <xf numFmtId="0" fontId="93" fillId="9" borderId="19" xfId="5" applyFont="1" applyFill="1" applyBorder="1" applyAlignment="1">
      <alignment horizontal="center" vertical="center"/>
    </xf>
    <xf numFmtId="169" fontId="93" fillId="9" borderId="19" xfId="4" applyFont="1" applyFill="1" applyBorder="1" applyAlignment="1">
      <alignment horizontal="center"/>
    </xf>
    <xf numFmtId="185" fontId="93" fillId="9" borderId="19" xfId="6" applyNumberFormat="1" applyFont="1" applyFill="1" applyBorder="1" applyAlignment="1">
      <alignment horizontal="center"/>
    </xf>
    <xf numFmtId="0" fontId="92" fillId="0" borderId="0" xfId="0" applyFont="1" applyAlignment="1">
      <alignment vertical="center"/>
    </xf>
    <xf numFmtId="0" fontId="92" fillId="0" borderId="19" xfId="0" applyFont="1" applyBorder="1" applyAlignment="1">
      <alignment vertical="center"/>
    </xf>
    <xf numFmtId="0" fontId="92" fillId="0" borderId="19" xfId="5" applyFont="1" applyBorder="1" applyAlignment="1">
      <alignment horizontal="center" vertical="center" wrapText="1"/>
    </xf>
    <xf numFmtId="169" fontId="92" fillId="0" borderId="19" xfId="4" applyFont="1" applyBorder="1" applyAlignment="1">
      <alignment vertical="center" wrapText="1"/>
    </xf>
    <xf numFmtId="0" fontId="92" fillId="0" borderId="19" xfId="5" applyFont="1" applyBorder="1" applyAlignment="1">
      <alignment vertical="center" wrapText="1"/>
    </xf>
    <xf numFmtId="0" fontId="92" fillId="0" borderId="19" xfId="0" applyFont="1" applyBorder="1" applyAlignment="1">
      <alignment vertical="center" wrapText="1"/>
    </xf>
    <xf numFmtId="0" fontId="94" fillId="0" borderId="19" xfId="80" applyFont="1" applyBorder="1" applyAlignment="1">
      <alignment vertical="center" wrapText="1"/>
    </xf>
    <xf numFmtId="0" fontId="92" fillId="37" borderId="0" xfId="0" applyFont="1" applyFill="1" applyAlignment="1">
      <alignment vertical="center"/>
    </xf>
    <xf numFmtId="0" fontId="92" fillId="0" borderId="19" xfId="0" applyFont="1" applyBorder="1" applyAlignment="1">
      <alignment horizontal="center" vertical="center"/>
    </xf>
    <xf numFmtId="0" fontId="92" fillId="37" borderId="0" xfId="0" applyFont="1" applyFill="1"/>
    <xf numFmtId="0" fontId="92" fillId="6" borderId="0" xfId="0" applyFont="1" applyFill="1"/>
    <xf numFmtId="0" fontId="92" fillId="10" borderId="19" xfId="0" applyFont="1" applyFill="1" applyBorder="1" applyAlignment="1">
      <alignment vertical="center"/>
    </xf>
    <xf numFmtId="0" fontId="94" fillId="0" borderId="19" xfId="80" applyFont="1" applyBorder="1" applyAlignment="1">
      <alignment horizontal="center" vertical="center" wrapText="1"/>
    </xf>
    <xf numFmtId="169" fontId="92" fillId="0" borderId="19" xfId="4" applyFont="1" applyBorder="1" applyAlignment="1">
      <alignment horizontal="center" vertical="center" wrapText="1"/>
    </xf>
    <xf numFmtId="0" fontId="95" fillId="0" borderId="19" xfId="3" applyFont="1" applyBorder="1" applyAlignment="1">
      <alignment horizontal="center" vertical="center" wrapText="1"/>
    </xf>
    <xf numFmtId="0" fontId="92" fillId="0" borderId="19" xfId="0" applyFont="1" applyBorder="1"/>
    <xf numFmtId="169" fontId="92" fillId="0" borderId="19" xfId="4" applyFont="1" applyFill="1" applyBorder="1" applyAlignment="1">
      <alignment vertical="center" wrapText="1"/>
    </xf>
    <xf numFmtId="0" fontId="96" fillId="0" borderId="19" xfId="3" applyFont="1" applyBorder="1" applyAlignment="1">
      <alignment vertical="center" wrapText="1"/>
    </xf>
    <xf numFmtId="0" fontId="97" fillId="0" borderId="19" xfId="3" applyFont="1" applyBorder="1"/>
    <xf numFmtId="0" fontId="92" fillId="0" borderId="0" xfId="0" applyFont="1" applyAlignment="1">
      <alignment vertical="center" wrapText="1"/>
    </xf>
    <xf numFmtId="0" fontId="50" fillId="9" borderId="79" xfId="5" applyFont="1" applyFill="1" applyBorder="1" applyAlignment="1">
      <alignment horizontal="center"/>
    </xf>
    <xf numFmtId="0" fontId="53" fillId="0" borderId="80" xfId="5" applyFont="1" applyBorder="1" applyAlignment="1">
      <alignment vertical="center"/>
    </xf>
    <xf numFmtId="0" fontId="90" fillId="0" borderId="80" xfId="5" applyFont="1" applyBorder="1" applyAlignment="1">
      <alignment vertical="center"/>
    </xf>
    <xf numFmtId="0" fontId="91" fillId="0" borderId="80" xfId="5" applyFont="1" applyBorder="1" applyAlignment="1">
      <alignment vertical="center"/>
    </xf>
    <xf numFmtId="0" fontId="52" fillId="0" borderId="80" xfId="0" applyFont="1" applyBorder="1" applyAlignment="1">
      <alignment vertical="center"/>
    </xf>
    <xf numFmtId="0" fontId="52" fillId="0" borderId="81" xfId="0" applyFont="1" applyBorder="1" applyAlignment="1">
      <alignment vertical="center"/>
    </xf>
    <xf numFmtId="0" fontId="92" fillId="0" borderId="82" xfId="0" applyFont="1" applyBorder="1" applyAlignment="1">
      <alignment vertical="center"/>
    </xf>
    <xf numFmtId="0" fontId="92" fillId="0" borderId="83" xfId="0" applyFont="1" applyBorder="1" applyAlignment="1">
      <alignment vertical="center" wrapText="1"/>
    </xf>
    <xf numFmtId="0" fontId="92" fillId="0" borderId="31" xfId="0" applyFont="1" applyBorder="1" applyAlignment="1">
      <alignment vertical="center"/>
    </xf>
    <xf numFmtId="0" fontId="92" fillId="6" borderId="0" xfId="0" applyFont="1" applyFill="1" applyAlignment="1">
      <alignment vertical="center"/>
    </xf>
    <xf numFmtId="0" fontId="97" fillId="37" borderId="0" xfId="0" applyFont="1" applyFill="1"/>
    <xf numFmtId="0" fontId="52" fillId="37" borderId="0" xfId="0" applyFont="1" applyFill="1" applyAlignment="1">
      <alignment vertical="center"/>
    </xf>
    <xf numFmtId="0" fontId="97" fillId="6" borderId="0" xfId="0" applyFont="1" applyFill="1"/>
    <xf numFmtId="0" fontId="9" fillId="0" borderId="4" xfId="3" applyFont="1" applyBorder="1" applyAlignment="1">
      <alignment vertical="center" wrapText="1"/>
    </xf>
    <xf numFmtId="0" fontId="7" fillId="0" borderId="4" xfId="3" applyFont="1" applyBorder="1"/>
    <xf numFmtId="0" fontId="52" fillId="0" borderId="0" xfId="0" applyFont="1" applyAlignment="1">
      <alignment vertical="center" wrapText="1"/>
    </xf>
    <xf numFmtId="185" fontId="50" fillId="9" borderId="66" xfId="6" applyNumberFormat="1" applyFont="1" applyFill="1" applyBorder="1" applyAlignment="1">
      <alignment horizontal="center" wrapText="1"/>
    </xf>
    <xf numFmtId="0" fontId="88" fillId="0" borderId="69" xfId="0" applyFont="1" applyBorder="1" applyAlignment="1">
      <alignment vertical="center" wrapText="1"/>
    </xf>
    <xf numFmtId="0" fontId="88" fillId="0" borderId="21" xfId="0" applyFont="1" applyBorder="1" applyAlignment="1">
      <alignment vertical="center" wrapText="1"/>
    </xf>
    <xf numFmtId="0" fontId="53" fillId="0" borderId="74" xfId="5" applyFont="1" applyBorder="1" applyAlignment="1">
      <alignment horizontal="center" vertical="center" wrapText="1"/>
    </xf>
    <xf numFmtId="0" fontId="52" fillId="0" borderId="74" xfId="0" applyFont="1" applyBorder="1" applyAlignment="1">
      <alignment vertical="center" wrapText="1"/>
    </xf>
    <xf numFmtId="0" fontId="52" fillId="0" borderId="77" xfId="0" applyFont="1" applyBorder="1" applyAlignment="1">
      <alignment vertical="center" wrapText="1"/>
    </xf>
    <xf numFmtId="0" fontId="2" fillId="0" borderId="99" xfId="3" applyBorder="1"/>
    <xf numFmtId="0" fontId="100" fillId="0" borderId="0" xfId="14" applyFont="1"/>
    <xf numFmtId="0" fontId="102" fillId="0" borderId="92" xfId="14" applyFont="1" applyBorder="1" applyAlignment="1">
      <alignment horizontal="center" vertical="center" wrapText="1"/>
    </xf>
    <xf numFmtId="0" fontId="102" fillId="0" borderId="31" xfId="14" applyFont="1" applyBorder="1" applyAlignment="1">
      <alignment horizontal="center" vertical="center" wrapText="1"/>
    </xf>
    <xf numFmtId="0" fontId="102" fillId="0" borderId="31" xfId="14" applyFont="1" applyBorder="1" applyAlignment="1" applyProtection="1">
      <alignment horizontal="center" vertical="center" wrapText="1"/>
      <protection locked="0"/>
    </xf>
    <xf numFmtId="0" fontId="102" fillId="0" borderId="91" xfId="14" applyFont="1" applyBorder="1" applyAlignment="1">
      <alignment horizontal="center" vertical="center" wrapText="1"/>
    </xf>
    <xf numFmtId="0" fontId="100" fillId="0" borderId="92" xfId="14" applyFont="1" applyBorder="1" applyAlignment="1">
      <alignment vertical="center"/>
    </xf>
    <xf numFmtId="0" fontId="100" fillId="0" borderId="31" xfId="14" applyFont="1" applyBorder="1" applyAlignment="1">
      <alignment horizontal="center"/>
    </xf>
    <xf numFmtId="4" fontId="100" fillId="0" borderId="31" xfId="14" applyNumberFormat="1" applyFont="1" applyBorder="1" applyAlignment="1" applyProtection="1">
      <alignment horizontal="center"/>
      <protection locked="0"/>
    </xf>
    <xf numFmtId="166" fontId="100" fillId="0" borderId="31" xfId="65" applyFont="1" applyBorder="1" applyAlignment="1" applyProtection="1">
      <alignment horizontal="center"/>
      <protection locked="0"/>
    </xf>
    <xf numFmtId="166" fontId="100" fillId="0" borderId="31" xfId="65" applyFont="1" applyBorder="1" applyAlignment="1" applyProtection="1">
      <alignment horizontal="right"/>
      <protection locked="0"/>
    </xf>
    <xf numFmtId="191" fontId="103" fillId="0" borderId="91" xfId="58" applyNumberFormat="1" applyFont="1" applyBorder="1" applyAlignment="1" applyProtection="1">
      <protection locked="0"/>
    </xf>
    <xf numFmtId="0" fontId="100" fillId="0" borderId="92" xfId="14" applyFont="1" applyBorder="1"/>
    <xf numFmtId="0" fontId="100" fillId="0" borderId="31" xfId="14" applyFont="1" applyBorder="1" applyAlignment="1" applyProtection="1">
      <alignment horizontal="center"/>
      <protection locked="0"/>
    </xf>
    <xf numFmtId="4" fontId="100" fillId="0" borderId="31" xfId="14" applyNumberFormat="1" applyFont="1" applyBorder="1" applyAlignment="1" applyProtection="1">
      <alignment horizontal="right"/>
      <protection locked="0"/>
    </xf>
    <xf numFmtId="0" fontId="100" fillId="0" borderId="92" xfId="14" applyFont="1" applyBorder="1" applyAlignment="1">
      <alignment horizontal="center" vertical="center" wrapText="1"/>
    </xf>
    <xf numFmtId="0" fontId="100" fillId="0" borderId="31" xfId="14" applyFont="1" applyBorder="1" applyAlignment="1" applyProtection="1">
      <alignment horizontal="center" vertical="center" wrapText="1"/>
      <protection locked="0"/>
    </xf>
    <xf numFmtId="166" fontId="100" fillId="0" borderId="91" xfId="65" applyFont="1" applyBorder="1" applyAlignment="1" applyProtection="1">
      <alignment vertical="center" wrapText="1"/>
      <protection locked="0"/>
    </xf>
    <xf numFmtId="0" fontId="104" fillId="0" borderId="31" xfId="14" applyFont="1" applyBorder="1" applyProtection="1">
      <protection locked="0"/>
    </xf>
    <xf numFmtId="191" fontId="103" fillId="0" borderId="91" xfId="58" applyNumberFormat="1" applyFont="1" applyBorder="1" applyAlignment="1" applyProtection="1">
      <alignment vertical="center" wrapText="1"/>
      <protection locked="0"/>
    </xf>
    <xf numFmtId="180" fontId="100" fillId="0" borderId="31" xfId="14" applyNumberFormat="1" applyFont="1" applyBorder="1" applyAlignment="1" applyProtection="1">
      <alignment horizontal="center"/>
      <protection locked="0"/>
    </xf>
    <xf numFmtId="166" fontId="100" fillId="0" borderId="31" xfId="65" applyFont="1" applyBorder="1" applyProtection="1">
      <protection locked="0"/>
    </xf>
    <xf numFmtId="192" fontId="100" fillId="0" borderId="31" xfId="14" applyNumberFormat="1" applyFont="1" applyBorder="1"/>
    <xf numFmtId="166" fontId="100" fillId="0" borderId="31" xfId="65" applyFont="1" applyBorder="1" applyProtection="1"/>
    <xf numFmtId="191" fontId="103" fillId="0" borderId="91" xfId="58" applyNumberFormat="1" applyFont="1" applyBorder="1" applyAlignment="1" applyProtection="1">
      <alignment horizontal="right"/>
      <protection locked="0"/>
    </xf>
    <xf numFmtId="3" fontId="100" fillId="0" borderId="31" xfId="14" applyNumberFormat="1" applyFont="1" applyBorder="1" applyProtection="1">
      <protection locked="0"/>
    </xf>
    <xf numFmtId="3" fontId="100" fillId="0" borderId="31" xfId="14" applyNumberFormat="1" applyFont="1" applyBorder="1"/>
    <xf numFmtId="0" fontId="100" fillId="0" borderId="31" xfId="14" applyFont="1" applyBorder="1" applyProtection="1">
      <protection locked="0"/>
    </xf>
    <xf numFmtId="0" fontId="102" fillId="0" borderId="31" xfId="14" applyFont="1" applyBorder="1" applyProtection="1">
      <protection locked="0"/>
    </xf>
    <xf numFmtId="166" fontId="100" fillId="0" borderId="91" xfId="65" applyFont="1" applyBorder="1" applyAlignment="1" applyProtection="1">
      <alignment horizontal="right"/>
      <protection locked="0"/>
    </xf>
    <xf numFmtId="0" fontId="100" fillId="0" borderId="92" xfId="14" applyFont="1" applyBorder="1" applyProtection="1">
      <protection locked="0"/>
    </xf>
    <xf numFmtId="0" fontId="100" fillId="0" borderId="31" xfId="14" applyFont="1" applyBorder="1"/>
    <xf numFmtId="191" fontId="103" fillId="0" borderId="91" xfId="58" applyNumberFormat="1" applyFont="1" applyBorder="1" applyAlignment="1"/>
    <xf numFmtId="4" fontId="100" fillId="0" borderId="31" xfId="14" applyNumberFormat="1" applyFont="1" applyBorder="1" applyAlignment="1">
      <alignment horizontal="center"/>
    </xf>
    <xf numFmtId="3" fontId="100" fillId="0" borderId="31" xfId="14" applyNumberFormat="1" applyFont="1" applyBorder="1" applyAlignment="1" applyProtection="1">
      <alignment horizontal="center"/>
      <protection locked="0"/>
    </xf>
    <xf numFmtId="4" fontId="100" fillId="0" borderId="31" xfId="14" applyNumberFormat="1" applyFont="1" applyBorder="1" applyProtection="1">
      <protection locked="0"/>
    </xf>
    <xf numFmtId="0" fontId="102" fillId="0" borderId="31" xfId="14" applyFont="1" applyBorder="1" applyAlignment="1" applyProtection="1">
      <alignment horizontal="right"/>
      <protection locked="0"/>
    </xf>
    <xf numFmtId="166" fontId="100" fillId="0" borderId="31" xfId="62" applyFont="1" applyBorder="1" applyProtection="1">
      <protection locked="0"/>
    </xf>
    <xf numFmtId="4" fontId="100" fillId="0" borderId="31" xfId="14" applyNumberFormat="1" applyFont="1" applyBorder="1"/>
    <xf numFmtId="166" fontId="100" fillId="0" borderId="91" xfId="65" applyFont="1" applyBorder="1" applyAlignment="1" applyProtection="1">
      <alignment horizontal="right" vertical="center" wrapText="1"/>
      <protection locked="0"/>
    </xf>
    <xf numFmtId="166" fontId="102" fillId="5" borderId="94" xfId="65" applyFont="1" applyFill="1" applyBorder="1" applyAlignment="1" applyProtection="1">
      <alignment vertical="center" wrapText="1"/>
      <protection locked="0"/>
    </xf>
    <xf numFmtId="191" fontId="103" fillId="0" borderId="0" xfId="58" applyNumberFormat="1" applyFont="1" applyAlignment="1"/>
    <xf numFmtId="166" fontId="100" fillId="0" borderId="32" xfId="65" applyFont="1" applyBorder="1" applyAlignment="1" applyProtection="1">
      <alignment horizontal="center"/>
      <protection locked="0"/>
    </xf>
    <xf numFmtId="166" fontId="100" fillId="0" borderId="84" xfId="65" applyFont="1" applyBorder="1" applyAlignment="1" applyProtection="1">
      <alignment horizontal="right"/>
      <protection locked="0"/>
    </xf>
    <xf numFmtId="166" fontId="100" fillId="0" borderId="31" xfId="62" applyFont="1" applyBorder="1" applyProtection="1"/>
    <xf numFmtId="0" fontId="105" fillId="0" borderId="92" xfId="0" applyFont="1" applyBorder="1" applyAlignment="1">
      <alignment horizontal="center" vertical="center" wrapText="1"/>
    </xf>
    <xf numFmtId="0" fontId="105" fillId="0" borderId="31" xfId="0" applyFont="1" applyBorder="1" applyAlignment="1">
      <alignment horizontal="center" vertical="center" wrapText="1"/>
    </xf>
    <xf numFmtId="0" fontId="105" fillId="0" borderId="91" xfId="0" applyFont="1" applyBorder="1" applyAlignment="1">
      <alignment horizontal="center" vertical="center" wrapText="1"/>
    </xf>
    <xf numFmtId="0" fontId="103" fillId="0" borderId="92" xfId="0" applyFont="1" applyBorder="1" applyAlignment="1">
      <alignment vertical="center" wrapText="1"/>
    </xf>
    <xf numFmtId="0" fontId="103" fillId="0" borderId="31" xfId="0" applyFont="1" applyBorder="1" applyAlignment="1">
      <alignment vertical="center" wrapText="1"/>
    </xf>
    <xf numFmtId="0" fontId="103" fillId="0" borderId="31" xfId="0" applyFont="1" applyBorder="1" applyAlignment="1">
      <alignment horizontal="center" vertical="center" wrapText="1"/>
    </xf>
    <xf numFmtId="0" fontId="103" fillId="0" borderId="91" xfId="0" applyFont="1" applyBorder="1" applyAlignment="1">
      <alignment vertical="center" wrapText="1"/>
    </xf>
    <xf numFmtId="0" fontId="100" fillId="0" borderId="0" xfId="14" applyFont="1" applyAlignment="1">
      <alignment vertical="center"/>
    </xf>
    <xf numFmtId="0" fontId="103" fillId="0" borderId="31" xfId="0" applyFont="1" applyBorder="1" applyAlignment="1">
      <alignment wrapText="1"/>
    </xf>
    <xf numFmtId="0" fontId="103" fillId="0" borderId="31" xfId="0" applyFont="1" applyBorder="1" applyAlignment="1">
      <alignment horizontal="center" wrapText="1"/>
    </xf>
    <xf numFmtId="0" fontId="103" fillId="0" borderId="91" xfId="0" applyFont="1" applyBorder="1" applyAlignment="1">
      <alignment wrapText="1"/>
    </xf>
    <xf numFmtId="0" fontId="103" fillId="0" borderId="92" xfId="0" applyFont="1" applyBorder="1" applyAlignment="1">
      <alignment wrapText="1"/>
    </xf>
    <xf numFmtId="178" fontId="100" fillId="0" borderId="91" xfId="1" applyNumberFormat="1" applyFont="1" applyBorder="1" applyAlignment="1" applyProtection="1">
      <alignment horizontal="right"/>
      <protection locked="0"/>
    </xf>
    <xf numFmtId="0" fontId="105" fillId="0" borderId="31" xfId="0" applyFont="1" applyBorder="1" applyAlignment="1">
      <alignment wrapText="1"/>
    </xf>
    <xf numFmtId="166" fontId="103" fillId="0" borderId="91" xfId="0" applyNumberFormat="1" applyFont="1" applyBorder="1" applyAlignment="1">
      <alignment horizontal="right" wrapText="1"/>
    </xf>
    <xf numFmtId="0" fontId="103" fillId="0" borderId="31" xfId="0" applyFont="1" applyBorder="1" applyAlignment="1">
      <alignment horizontal="right" wrapText="1"/>
    </xf>
    <xf numFmtId="166" fontId="103" fillId="0" borderId="91" xfId="0" applyNumberFormat="1" applyFont="1" applyBorder="1" applyAlignment="1">
      <alignment horizontal="right" vertical="center" wrapText="1"/>
    </xf>
    <xf numFmtId="178" fontId="105" fillId="0" borderId="94" xfId="0" applyNumberFormat="1" applyFont="1" applyBorder="1" applyAlignment="1">
      <alignment horizontal="right" vertical="center" wrapText="1"/>
    </xf>
    <xf numFmtId="0" fontId="88" fillId="0" borderId="70" xfId="0" applyFont="1" applyBorder="1" applyAlignment="1">
      <alignment horizontal="left" vertical="center"/>
    </xf>
    <xf numFmtId="0" fontId="88" fillId="0" borderId="70" xfId="0" applyFont="1" applyBorder="1" applyAlignment="1">
      <alignment horizontal="left" vertical="center" wrapText="1"/>
    </xf>
    <xf numFmtId="166" fontId="100" fillId="0" borderId="31" xfId="65" applyFont="1" applyFill="1" applyBorder="1" applyProtection="1">
      <protection locked="0"/>
    </xf>
    <xf numFmtId="0" fontId="2" fillId="0" borderId="2" xfId="3" applyBorder="1" applyAlignment="1">
      <alignment vertical="center"/>
    </xf>
    <xf numFmtId="0" fontId="52" fillId="6" borderId="0" xfId="0" applyFont="1" applyFill="1" applyAlignment="1">
      <alignment vertical="center"/>
    </xf>
    <xf numFmtId="185" fontId="52" fillId="0" borderId="0" xfId="0" applyNumberFormat="1" applyFont="1" applyAlignment="1">
      <alignment horizontal="center" vertical="center"/>
    </xf>
    <xf numFmtId="0" fontId="50" fillId="9" borderId="100" xfId="5" applyFont="1" applyFill="1" applyBorder="1" applyAlignment="1">
      <alignment horizontal="center" vertical="center"/>
    </xf>
    <xf numFmtId="185" fontId="50" fillId="9" borderId="65" xfId="6" applyNumberFormat="1" applyFont="1" applyFill="1" applyBorder="1" applyAlignment="1">
      <alignment horizontal="center" vertical="center"/>
    </xf>
    <xf numFmtId="0" fontId="108" fillId="0" borderId="102" xfId="5" applyFont="1" applyBorder="1" applyAlignment="1">
      <alignment horizontal="center" vertical="center"/>
    </xf>
    <xf numFmtId="0" fontId="88" fillId="0" borderId="103" xfId="5" applyFont="1" applyBorder="1" applyAlignment="1">
      <alignment horizontal="center" vertical="center"/>
    </xf>
    <xf numFmtId="193" fontId="109" fillId="0" borderId="103" xfId="0" applyNumberFormat="1" applyFont="1" applyBorder="1" applyAlignment="1">
      <alignment horizontal="center" vertical="center"/>
    </xf>
    <xf numFmtId="0" fontId="0" fillId="0" borderId="0" xfId="0" applyAlignment="1">
      <alignment vertical="center"/>
    </xf>
    <xf numFmtId="0" fontId="110" fillId="0" borderId="105" xfId="0" applyFont="1" applyBorder="1" applyAlignment="1">
      <alignment horizontal="center" vertical="center" wrapText="1"/>
    </xf>
    <xf numFmtId="0" fontId="88" fillId="0" borderId="106" xfId="0" applyFont="1" applyBorder="1" applyAlignment="1">
      <alignment horizontal="center" vertical="center"/>
    </xf>
    <xf numFmtId="194" fontId="88" fillId="0" borderId="106" xfId="0" applyNumberFormat="1" applyFont="1" applyBorder="1" applyAlignment="1">
      <alignment horizontal="center" vertical="center"/>
    </xf>
    <xf numFmtId="0" fontId="111" fillId="0" borderId="0" xfId="0" applyFont="1" applyAlignment="1">
      <alignment vertical="center"/>
    </xf>
    <xf numFmtId="0" fontId="112" fillId="0" borderId="0" xfId="0" applyFont="1" applyAlignment="1">
      <alignment vertical="center"/>
    </xf>
    <xf numFmtId="194" fontId="110" fillId="0" borderId="106" xfId="0" applyNumberFormat="1" applyFont="1" applyBorder="1" applyAlignment="1">
      <alignment horizontal="center" vertical="center" wrapText="1"/>
    </xf>
    <xf numFmtId="0" fontId="113" fillId="0" borderId="105" xfId="16" applyFont="1" applyBorder="1" applyAlignment="1">
      <alignment horizontal="center" vertical="center" wrapText="1"/>
    </xf>
    <xf numFmtId="193" fontId="109" fillId="0" borderId="106" xfId="0" applyNumberFormat="1" applyFont="1" applyBorder="1" applyAlignment="1">
      <alignment horizontal="center" vertical="center"/>
    </xf>
    <xf numFmtId="0" fontId="114" fillId="0" borderId="0" xfId="0" applyFont="1" applyAlignment="1">
      <alignment vertical="center"/>
    </xf>
    <xf numFmtId="0" fontId="110" fillId="0" borderId="105" xfId="16" applyFont="1" applyBorder="1" applyAlignment="1">
      <alignment horizontal="center" vertical="center" wrapText="1"/>
    </xf>
    <xf numFmtId="0" fontId="115" fillId="0" borderId="0" xfId="0" applyFont="1" applyAlignment="1">
      <alignment vertical="center"/>
    </xf>
    <xf numFmtId="193" fontId="116" fillId="0" borderId="106" xfId="0" applyNumberFormat="1" applyFont="1" applyBorder="1" applyAlignment="1">
      <alignment horizontal="center" vertical="center"/>
    </xf>
    <xf numFmtId="0" fontId="113" fillId="0" borderId="105" xfId="0" applyFont="1" applyBorder="1" applyAlignment="1">
      <alignment horizontal="center" vertical="center" wrapText="1"/>
    </xf>
    <xf numFmtId="0" fontId="52" fillId="0" borderId="0" xfId="0" applyFont="1" applyAlignment="1">
      <alignment horizontal="left" vertical="center"/>
    </xf>
    <xf numFmtId="0" fontId="88" fillId="0" borderId="103" xfId="5" applyFont="1" applyBorder="1" applyAlignment="1">
      <alignment horizontal="left" vertical="center"/>
    </xf>
    <xf numFmtId="0" fontId="110" fillId="0" borderId="106" xfId="0" applyFont="1" applyBorder="1" applyAlignment="1">
      <alignment horizontal="left" vertical="center" wrapText="1"/>
    </xf>
    <xf numFmtId="1" fontId="109" fillId="0" borderId="106" xfId="0" applyNumberFormat="1" applyFont="1" applyBorder="1" applyAlignment="1">
      <alignment horizontal="left" vertical="center" shrinkToFit="1"/>
    </xf>
    <xf numFmtId="0" fontId="50" fillId="9" borderId="65" xfId="5" applyFont="1" applyFill="1" applyBorder="1" applyAlignment="1">
      <alignment horizontal="left" vertical="center"/>
    </xf>
    <xf numFmtId="185" fontId="50" fillId="9" borderId="101" xfId="6" applyNumberFormat="1" applyFont="1" applyFill="1" applyBorder="1" applyAlignment="1">
      <alignment horizontal="center" vertical="center"/>
    </xf>
    <xf numFmtId="0" fontId="88" fillId="0" borderId="104" xfId="5" applyFont="1" applyBorder="1" applyAlignment="1">
      <alignment horizontal="center" vertical="center"/>
    </xf>
    <xf numFmtId="194" fontId="110" fillId="0" borderId="106" xfId="0" applyNumberFormat="1" applyFont="1" applyBorder="1" applyAlignment="1">
      <alignment horizontal="right" vertical="center" wrapText="1"/>
    </xf>
    <xf numFmtId="0" fontId="110" fillId="0" borderId="107" xfId="0" applyFont="1" applyBorder="1" applyAlignment="1">
      <alignment vertical="center" wrapText="1"/>
    </xf>
    <xf numFmtId="0" fontId="111" fillId="39" borderId="0" xfId="0" applyFont="1" applyFill="1" applyAlignment="1">
      <alignment vertical="center" wrapText="1"/>
    </xf>
    <xf numFmtId="0" fontId="88" fillId="0" borderId="107" xfId="5" applyFont="1" applyBorder="1" applyAlignment="1">
      <alignment horizontal="center" vertical="center"/>
    </xf>
    <xf numFmtId="194" fontId="110" fillId="0" borderId="106" xfId="0" applyNumberFormat="1" applyFont="1" applyBorder="1" applyAlignment="1">
      <alignment vertical="center" wrapText="1"/>
    </xf>
    <xf numFmtId="0" fontId="108" fillId="0" borderId="107" xfId="5" applyFont="1" applyBorder="1" applyAlignment="1">
      <alignment horizontal="center" vertical="center"/>
    </xf>
    <xf numFmtId="0" fontId="10" fillId="0" borderId="108" xfId="3" applyFont="1" applyBorder="1" applyAlignment="1">
      <alignment horizontal="center" vertical="center"/>
    </xf>
    <xf numFmtId="0" fontId="10" fillId="0" borderId="2" xfId="3" applyFont="1" applyBorder="1" applyAlignment="1">
      <alignment horizontal="center" vertical="center" wrapText="1"/>
    </xf>
    <xf numFmtId="0" fontId="10" fillId="0" borderId="108" xfId="3" applyFont="1" applyBorder="1" applyAlignment="1">
      <alignment horizontal="center" vertical="center" wrapText="1"/>
    </xf>
    <xf numFmtId="2" fontId="10" fillId="0" borderId="108" xfId="3" applyNumberFormat="1" applyFont="1" applyBorder="1" applyAlignment="1">
      <alignment horizontal="center" vertical="center"/>
    </xf>
    <xf numFmtId="0" fontId="0" fillId="0" borderId="0" xfId="0" applyAlignment="1">
      <alignment horizontal="center"/>
    </xf>
    <xf numFmtId="0" fontId="11" fillId="0" borderId="9" xfId="3" applyFont="1" applyBorder="1" applyAlignment="1">
      <alignment horizontal="center" vertical="center"/>
    </xf>
    <xf numFmtId="0" fontId="120" fillId="37" borderId="0" xfId="0" applyFont="1" applyFill="1" applyAlignment="1">
      <alignment vertical="center"/>
    </xf>
    <xf numFmtId="0" fontId="0" fillId="37" borderId="0" xfId="0" applyFill="1" applyAlignment="1">
      <alignment vertical="center"/>
    </xf>
    <xf numFmtId="0" fontId="86" fillId="0" borderId="107" xfId="80" applyBorder="1" applyAlignment="1">
      <alignment vertical="center" wrapText="1"/>
    </xf>
    <xf numFmtId="0" fontId="0" fillId="37" borderId="17" xfId="0" applyFill="1" applyBorder="1" applyAlignment="1">
      <alignment vertical="center"/>
    </xf>
    <xf numFmtId="0" fontId="110" fillId="0" borderId="112" xfId="0" applyFont="1" applyBorder="1" applyAlignment="1">
      <alignment horizontal="center" vertical="center" wrapText="1"/>
    </xf>
    <xf numFmtId="1" fontId="109" fillId="0" borderId="113" xfId="0" applyNumberFormat="1" applyFont="1" applyBorder="1" applyAlignment="1">
      <alignment horizontal="left" vertical="center" shrinkToFit="1"/>
    </xf>
    <xf numFmtId="0" fontId="88" fillId="0" borderId="113" xfId="0" applyFont="1" applyBorder="1" applyAlignment="1">
      <alignment horizontal="center" vertical="center"/>
    </xf>
    <xf numFmtId="193" fontId="109" fillId="0" borderId="113" xfId="0" applyNumberFormat="1" applyFont="1" applyBorder="1" applyAlignment="1">
      <alignment horizontal="center" vertical="center"/>
    </xf>
    <xf numFmtId="194" fontId="110" fillId="0" borderId="113" xfId="0" applyNumberFormat="1" applyFont="1" applyBorder="1" applyAlignment="1">
      <alignment vertical="center" wrapText="1"/>
    </xf>
    <xf numFmtId="0" fontId="88" fillId="0" borderId="114" xfId="5" applyFont="1" applyBorder="1" applyAlignment="1">
      <alignment horizontal="center" vertical="center"/>
    </xf>
    <xf numFmtId="4" fontId="9" fillId="0" borderId="4" xfId="3" applyNumberFormat="1" applyFont="1" applyBorder="1" applyAlignment="1">
      <alignment horizontal="center" vertical="center"/>
    </xf>
    <xf numFmtId="0" fontId="0" fillId="0" borderId="0" xfId="0" applyAlignment="1">
      <alignment wrapText="1"/>
    </xf>
    <xf numFmtId="0" fontId="27" fillId="0" borderId="3" xfId="3" applyFont="1" applyBorder="1" applyAlignment="1">
      <alignment horizontal="center" vertical="center"/>
    </xf>
    <xf numFmtId="0" fontId="97" fillId="37" borderId="0" xfId="0" applyFont="1" applyFill="1" applyAlignment="1">
      <alignment vertical="center"/>
    </xf>
    <xf numFmtId="178" fontId="13" fillId="0" borderId="4" xfId="3" applyNumberFormat="1" applyFont="1" applyBorder="1" applyAlignment="1">
      <alignment horizontal="center" vertical="center"/>
    </xf>
    <xf numFmtId="0" fontId="92" fillId="0" borderId="0" xfId="5" applyFont="1" applyAlignment="1">
      <alignment horizontal="center" vertical="center" wrapText="1"/>
    </xf>
    <xf numFmtId="178" fontId="13" fillId="0" borderId="4" xfId="1" applyNumberFormat="1" applyFont="1" applyFill="1" applyBorder="1" applyAlignment="1">
      <alignment horizontal="center" vertical="center"/>
    </xf>
    <xf numFmtId="0" fontId="88" fillId="0" borderId="72" xfId="0" applyFont="1" applyBorder="1" applyAlignment="1">
      <alignment horizontal="left" vertical="center"/>
    </xf>
    <xf numFmtId="0" fontId="88" fillId="6" borderId="0" xfId="0" applyFont="1" applyFill="1" applyAlignment="1">
      <alignment horizontal="center" vertical="center"/>
    </xf>
    <xf numFmtId="0" fontId="92" fillId="42" borderId="0" xfId="0" applyFont="1" applyFill="1"/>
    <xf numFmtId="0" fontId="52" fillId="42" borderId="0" xfId="0" applyFont="1" applyFill="1" applyAlignment="1">
      <alignment vertical="center"/>
    </xf>
    <xf numFmtId="0" fontId="52" fillId="0" borderId="21" xfId="0" applyFont="1" applyBorder="1" applyAlignment="1">
      <alignment vertical="center" wrapText="1"/>
    </xf>
    <xf numFmtId="0" fontId="27" fillId="0" borderId="10" xfId="3" applyFont="1" applyBorder="1" applyAlignment="1">
      <alignment horizontal="center" vertical="center"/>
    </xf>
    <xf numFmtId="173" fontId="0" fillId="0" borderId="0" xfId="0" applyNumberFormat="1"/>
    <xf numFmtId="0" fontId="86" fillId="0" borderId="0" xfId="80" applyAlignment="1">
      <alignment vertical="center"/>
    </xf>
    <xf numFmtId="0" fontId="123" fillId="0" borderId="1" xfId="3" applyFont="1" applyBorder="1" applyAlignment="1">
      <alignment vertical="center"/>
    </xf>
    <xf numFmtId="0" fontId="123" fillId="0" borderId="2" xfId="3" applyFont="1" applyBorder="1" applyAlignment="1">
      <alignment vertical="center"/>
    </xf>
    <xf numFmtId="0" fontId="123" fillId="0" borderId="2" xfId="3" applyFont="1" applyBorder="1"/>
    <xf numFmtId="0" fontId="123" fillId="0" borderId="1" xfId="3" applyFont="1" applyBorder="1" applyAlignment="1">
      <alignment horizontal="center" vertical="center"/>
    </xf>
    <xf numFmtId="0" fontId="123" fillId="0" borderId="2" xfId="3" applyFont="1" applyBorder="1" applyAlignment="1">
      <alignment horizontal="center" vertical="center"/>
    </xf>
    <xf numFmtId="0" fontId="123" fillId="0" borderId="1" xfId="3" applyFont="1" applyBorder="1" applyAlignment="1">
      <alignment horizontal="center" vertical="center" wrapText="1"/>
    </xf>
    <xf numFmtId="0" fontId="123" fillId="0" borderId="2" xfId="3" applyFont="1" applyBorder="1" applyAlignment="1">
      <alignment horizontal="center" vertical="center" wrapText="1"/>
    </xf>
    <xf numFmtId="0" fontId="124" fillId="2" borderId="109" xfId="3" applyFont="1" applyFill="1" applyBorder="1" applyAlignment="1">
      <alignment horizontal="center" vertical="center"/>
    </xf>
    <xf numFmtId="0" fontId="124" fillId="2" borderId="8" xfId="3" applyFont="1" applyFill="1" applyBorder="1" applyAlignment="1">
      <alignment horizontal="center" vertical="center"/>
    </xf>
    <xf numFmtId="4" fontId="124" fillId="2" borderId="8" xfId="3" applyNumberFormat="1" applyFont="1" applyFill="1" applyBorder="1" applyAlignment="1">
      <alignment horizontal="center" vertical="center"/>
    </xf>
    <xf numFmtId="3" fontId="124" fillId="2" borderId="8" xfId="3" applyNumberFormat="1" applyFont="1" applyFill="1" applyBorder="1" applyAlignment="1">
      <alignment horizontal="center" vertical="center" wrapText="1"/>
    </xf>
    <xf numFmtId="4" fontId="124" fillId="2" borderId="8" xfId="3" applyNumberFormat="1" applyFont="1" applyFill="1" applyBorder="1" applyAlignment="1">
      <alignment horizontal="center" vertical="center" wrapText="1"/>
    </xf>
    <xf numFmtId="3" fontId="124" fillId="2" borderId="110" xfId="3" applyNumberFormat="1" applyFont="1" applyFill="1" applyBorder="1" applyAlignment="1">
      <alignment horizontal="center" vertical="center"/>
    </xf>
    <xf numFmtId="0" fontId="121" fillId="2" borderId="108" xfId="3" applyFont="1" applyFill="1" applyBorder="1" applyAlignment="1">
      <alignment horizontal="center" vertical="center"/>
    </xf>
    <xf numFmtId="0" fontId="125" fillId="0" borderId="1" xfId="3" applyFont="1" applyBorder="1" applyAlignment="1">
      <alignment horizontal="left" vertical="center"/>
    </xf>
    <xf numFmtId="0" fontId="125" fillId="0" borderId="2" xfId="3" applyFont="1" applyBorder="1" applyAlignment="1">
      <alignment horizontal="left" vertical="center"/>
    </xf>
    <xf numFmtId="0" fontId="10" fillId="0" borderId="2" xfId="3" applyFont="1" applyBorder="1" applyAlignment="1">
      <alignment horizontal="center" vertical="center"/>
    </xf>
    <xf numFmtId="173" fontId="10" fillId="0" borderId="2" xfId="3" applyNumberFormat="1" applyFont="1" applyBorder="1" applyAlignment="1">
      <alignment horizontal="center" vertical="center" wrapText="1"/>
    </xf>
    <xf numFmtId="4" fontId="118" fillId="43" borderId="2" xfId="3" applyNumberFormat="1" applyFont="1" applyFill="1" applyBorder="1" applyAlignment="1">
      <alignment horizontal="center" vertical="center"/>
    </xf>
    <xf numFmtId="4" fontId="118" fillId="0" borderId="2" xfId="3" applyNumberFormat="1" applyFont="1" applyBorder="1" applyAlignment="1">
      <alignment horizontal="center" vertical="center" wrapText="1"/>
    </xf>
    <xf numFmtId="195" fontId="118" fillId="43" borderId="71" xfId="3" applyNumberFormat="1" applyFont="1" applyFill="1" applyBorder="1" applyAlignment="1">
      <alignment horizontal="right" vertical="center"/>
    </xf>
    <xf numFmtId="4" fontId="123" fillId="0" borderId="2" xfId="3" applyNumberFormat="1" applyFont="1" applyBorder="1" applyAlignment="1">
      <alignment horizontal="center" vertical="center"/>
    </xf>
    <xf numFmtId="2" fontId="10" fillId="0" borderId="2" xfId="3" applyNumberFormat="1" applyFont="1" applyBorder="1" applyAlignment="1">
      <alignment horizontal="center" vertical="center"/>
    </xf>
    <xf numFmtId="0" fontId="123" fillId="43" borderId="1" xfId="3" applyFont="1" applyFill="1" applyBorder="1" applyAlignment="1">
      <alignment vertical="center"/>
    </xf>
    <xf numFmtId="0" fontId="123" fillId="43" borderId="2" xfId="3" applyFont="1" applyFill="1" applyBorder="1" applyAlignment="1">
      <alignment vertical="center"/>
    </xf>
    <xf numFmtId="0" fontId="123" fillId="0" borderId="108" xfId="3" applyFont="1" applyBorder="1" applyAlignment="1">
      <alignment horizontal="center" vertical="center"/>
    </xf>
    <xf numFmtId="0" fontId="10" fillId="0" borderId="1" xfId="3" applyFont="1" applyBorder="1" applyAlignment="1">
      <alignment horizontal="center" vertical="center" wrapText="1"/>
    </xf>
    <xf numFmtId="2" fontId="123" fillId="43" borderId="2" xfId="3" applyNumberFormat="1" applyFont="1" applyFill="1" applyBorder="1" applyAlignment="1">
      <alignment horizontal="center" vertical="center"/>
    </xf>
    <xf numFmtId="4" fontId="123" fillId="43" borderId="2" xfId="3" applyNumberFormat="1" applyFont="1" applyFill="1" applyBorder="1" applyAlignment="1">
      <alignment horizontal="center" vertical="center"/>
    </xf>
    <xf numFmtId="2" fontId="123" fillId="0" borderId="2" xfId="3" applyNumberFormat="1" applyFont="1" applyBorder="1" applyAlignment="1">
      <alignment horizontal="center" vertical="center"/>
    </xf>
    <xf numFmtId="195" fontId="123" fillId="0" borderId="71" xfId="3" applyNumberFormat="1" applyFont="1" applyBorder="1" applyAlignment="1">
      <alignment horizontal="right" vertical="center"/>
    </xf>
    <xf numFmtId="177" fontId="123" fillId="0" borderId="2" xfId="3" applyNumberFormat="1" applyFont="1" applyBorder="1" applyAlignment="1">
      <alignment horizontal="center" vertical="center"/>
    </xf>
    <xf numFmtId="3" fontId="123" fillId="0" borderId="2" xfId="3" applyNumberFormat="1" applyFont="1" applyBorder="1" applyAlignment="1">
      <alignment horizontal="center" vertical="center"/>
    </xf>
    <xf numFmtId="10" fontId="118" fillId="0" borderId="2" xfId="3" applyNumberFormat="1" applyFont="1" applyBorder="1" applyAlignment="1">
      <alignment horizontal="center" vertical="center"/>
    </xf>
    <xf numFmtId="0" fontId="126" fillId="2" borderId="108" xfId="3" applyFont="1" applyFill="1" applyBorder="1" applyAlignment="1">
      <alignment horizontal="center" vertical="center"/>
    </xf>
    <xf numFmtId="0" fontId="124" fillId="2" borderId="2" xfId="3" applyFont="1" applyFill="1" applyBorder="1" applyAlignment="1">
      <alignment horizontal="center" vertical="center"/>
    </xf>
    <xf numFmtId="10" fontId="124" fillId="2" borderId="2" xfId="3" applyNumberFormat="1" applyFont="1" applyFill="1" applyBorder="1" applyAlignment="1">
      <alignment horizontal="center" vertical="center"/>
    </xf>
    <xf numFmtId="195" fontId="124" fillId="2" borderId="71" xfId="3" applyNumberFormat="1" applyFont="1" applyFill="1" applyBorder="1" applyAlignment="1">
      <alignment horizontal="right" vertical="center"/>
    </xf>
    <xf numFmtId="195" fontId="123" fillId="0" borderId="2" xfId="3" applyNumberFormat="1" applyFont="1" applyBorder="1" applyAlignment="1">
      <alignment vertical="center"/>
    </xf>
    <xf numFmtId="0" fontId="124" fillId="2" borderId="108" xfId="3" applyFont="1" applyFill="1" applyBorder="1" applyAlignment="1">
      <alignment horizontal="center" vertical="center"/>
    </xf>
    <xf numFmtId="0" fontId="124" fillId="2" borderId="2" xfId="3" applyFont="1" applyFill="1" applyBorder="1" applyAlignment="1">
      <alignment horizontal="center" vertical="center" wrapText="1"/>
    </xf>
    <xf numFmtId="0" fontId="125" fillId="0" borderId="108" xfId="3" applyFont="1" applyBorder="1" applyAlignment="1">
      <alignment horizontal="center" vertical="center"/>
    </xf>
    <xf numFmtId="10" fontId="125" fillId="0" borderId="2" xfId="3" applyNumberFormat="1" applyFont="1" applyBorder="1" applyAlignment="1">
      <alignment horizontal="center" vertical="center"/>
    </xf>
    <xf numFmtId="195" fontId="125" fillId="0" borderId="71" xfId="3" applyNumberFormat="1" applyFont="1" applyBorder="1" applyAlignment="1">
      <alignment horizontal="right" vertical="center"/>
    </xf>
    <xf numFmtId="196" fontId="123" fillId="0" borderId="2" xfId="3" applyNumberFormat="1" applyFont="1" applyBorder="1"/>
    <xf numFmtId="195" fontId="125" fillId="43" borderId="71" xfId="3" applyNumberFormat="1" applyFont="1" applyFill="1" applyBorder="1" applyAlignment="1">
      <alignment horizontal="right" vertical="center"/>
    </xf>
    <xf numFmtId="0" fontId="123" fillId="0" borderId="6" xfId="3" applyFont="1" applyBorder="1" applyAlignment="1">
      <alignment horizontal="center" vertical="center"/>
    </xf>
    <xf numFmtId="0" fontId="123" fillId="0" borderId="6" xfId="3" applyFont="1" applyBorder="1" applyAlignment="1">
      <alignment horizontal="left" vertical="center"/>
    </xf>
    <xf numFmtId="4" fontId="123" fillId="43" borderId="6" xfId="3" applyNumberFormat="1" applyFont="1" applyFill="1" applyBorder="1" applyAlignment="1">
      <alignment horizontal="center" vertical="center"/>
    </xf>
    <xf numFmtId="170" fontId="123" fillId="0" borderId="6" xfId="3" applyNumberFormat="1" applyFont="1" applyBorder="1" applyAlignment="1">
      <alignment horizontal="right" vertical="center"/>
    </xf>
    <xf numFmtId="0" fontId="123" fillId="0" borderId="6" xfId="3" applyFont="1" applyBorder="1"/>
    <xf numFmtId="0" fontId="123" fillId="0" borderId="6" xfId="3" applyFont="1" applyBorder="1" applyAlignment="1">
      <alignment vertical="center"/>
    </xf>
    <xf numFmtId="4" fontId="123" fillId="0" borderId="6" xfId="3" applyNumberFormat="1" applyFont="1" applyBorder="1" applyAlignment="1">
      <alignment horizontal="center" vertical="center"/>
    </xf>
    <xf numFmtId="3" fontId="123" fillId="0" borderId="6" xfId="3" applyNumberFormat="1" applyFont="1" applyBorder="1" applyAlignment="1">
      <alignment vertical="center"/>
    </xf>
    <xf numFmtId="3" fontId="123" fillId="0" borderId="6" xfId="3" applyNumberFormat="1" applyFont="1" applyBorder="1" applyAlignment="1">
      <alignment horizontal="right" vertical="center"/>
    </xf>
    <xf numFmtId="0" fontId="123" fillId="0" borderId="6" xfId="3" applyFont="1" applyBorder="1" applyAlignment="1">
      <alignment horizontal="right" vertical="center"/>
    </xf>
    <xf numFmtId="0" fontId="123" fillId="0" borderId="0" xfId="3" applyFont="1" applyAlignment="1">
      <alignment horizontal="center" vertical="center"/>
    </xf>
    <xf numFmtId="0" fontId="123" fillId="0" borderId="0" xfId="3" applyFont="1" applyAlignment="1">
      <alignment vertical="center"/>
    </xf>
    <xf numFmtId="4" fontId="123" fillId="0" borderId="0" xfId="3" applyNumberFormat="1" applyFont="1" applyAlignment="1">
      <alignment horizontal="center" vertical="center"/>
    </xf>
    <xf numFmtId="3" fontId="123" fillId="0" borderId="0" xfId="3" applyNumberFormat="1" applyFont="1" applyAlignment="1">
      <alignment vertical="center"/>
    </xf>
    <xf numFmtId="3" fontId="123" fillId="0" borderId="0" xfId="3" applyNumberFormat="1" applyFont="1" applyAlignment="1">
      <alignment horizontal="right" vertical="center"/>
    </xf>
    <xf numFmtId="0" fontId="123" fillId="0" borderId="0" xfId="3" applyFont="1" applyAlignment="1">
      <alignment horizontal="right" vertical="center"/>
    </xf>
    <xf numFmtId="0" fontId="123" fillId="0" borderId="8" xfId="3" applyFont="1" applyBorder="1" applyAlignment="1">
      <alignment horizontal="center" vertical="center"/>
    </xf>
    <xf numFmtId="0" fontId="123" fillId="0" borderId="8" xfId="3" applyFont="1" applyBorder="1" applyAlignment="1">
      <alignment vertical="center"/>
    </xf>
    <xf numFmtId="4" fontId="123" fillId="0" borderId="8" xfId="3" applyNumberFormat="1" applyFont="1" applyBorder="1" applyAlignment="1">
      <alignment horizontal="center" vertical="center"/>
    </xf>
    <xf numFmtId="3" fontId="123" fillId="0" borderId="8" xfId="3" applyNumberFormat="1" applyFont="1" applyBorder="1" applyAlignment="1">
      <alignment vertical="center"/>
    </xf>
    <xf numFmtId="3" fontId="123" fillId="0" borderId="8" xfId="3" applyNumberFormat="1" applyFont="1" applyBorder="1" applyAlignment="1">
      <alignment horizontal="right" vertical="center"/>
    </xf>
    <xf numFmtId="0" fontId="123" fillId="0" borderId="8" xfId="3" applyFont="1" applyBorder="1" applyAlignment="1">
      <alignment horizontal="right" vertical="center"/>
    </xf>
    <xf numFmtId="3" fontId="123" fillId="0" borderId="2" xfId="3" applyNumberFormat="1" applyFont="1" applyBorder="1" applyAlignment="1">
      <alignment vertical="center"/>
    </xf>
    <xf numFmtId="3" fontId="123" fillId="0" borderId="2" xfId="3" applyNumberFormat="1" applyFont="1" applyBorder="1" applyAlignment="1">
      <alignment horizontal="right" vertical="center"/>
    </xf>
    <xf numFmtId="0" fontId="123" fillId="0" borderId="2" xfId="3" applyFont="1" applyBorder="1" applyAlignment="1">
      <alignment horizontal="right" vertical="center"/>
    </xf>
    <xf numFmtId="0" fontId="128" fillId="0" borderId="0" xfId="14" applyFont="1"/>
    <xf numFmtId="0" fontId="129" fillId="0" borderId="119" xfId="5" applyFont="1" applyBorder="1" applyAlignment="1">
      <alignment vertical="center" wrapText="1"/>
    </xf>
    <xf numFmtId="0" fontId="129" fillId="0" borderId="121" xfId="5" applyFont="1" applyBorder="1" applyAlignment="1">
      <alignment horizontal="center" vertical="center" wrapText="1"/>
    </xf>
    <xf numFmtId="0" fontId="132" fillId="0" borderId="0" xfId="14" applyFont="1"/>
    <xf numFmtId="0" fontId="113" fillId="44" borderId="108" xfId="14" applyFont="1" applyFill="1" applyBorder="1" applyAlignment="1">
      <alignment horizontal="center" vertical="center"/>
    </xf>
    <xf numFmtId="0" fontId="113" fillId="44" borderId="2" xfId="14" applyFont="1" applyFill="1" applyBorder="1" applyAlignment="1">
      <alignment horizontal="center" vertical="center"/>
    </xf>
    <xf numFmtId="0" fontId="113" fillId="44" borderId="2" xfId="14" applyFont="1" applyFill="1" applyBorder="1" applyAlignment="1">
      <alignment horizontal="center" vertical="center" wrapText="1"/>
    </xf>
    <xf numFmtId="197" fontId="113" fillId="44" borderId="2" xfId="13" applyNumberFormat="1" applyFont="1" applyFill="1" applyBorder="1" applyAlignment="1">
      <alignment horizontal="center" vertical="center" wrapText="1"/>
    </xf>
    <xf numFmtId="4" fontId="113" fillId="44" borderId="2" xfId="14" applyNumberFormat="1" applyFont="1" applyFill="1" applyBorder="1" applyAlignment="1">
      <alignment horizontal="center" vertical="center" wrapText="1"/>
    </xf>
    <xf numFmtId="4" fontId="113" fillId="44" borderId="71" xfId="14" applyNumberFormat="1" applyFont="1" applyFill="1" applyBorder="1" applyAlignment="1">
      <alignment horizontal="center" vertical="center" wrapText="1"/>
    </xf>
    <xf numFmtId="197" fontId="55" fillId="0" borderId="0" xfId="14" applyNumberFormat="1" applyAlignment="1">
      <alignment horizontal="center" vertical="center"/>
    </xf>
    <xf numFmtId="0" fontId="55" fillId="0" borderId="0" xfId="14"/>
    <xf numFmtId="0" fontId="113" fillId="9" borderId="108" xfId="14" applyFont="1" applyFill="1" applyBorder="1" applyAlignment="1">
      <alignment horizontal="center" vertical="center"/>
    </xf>
    <xf numFmtId="0" fontId="113" fillId="9" borderId="2" xfId="14" applyFont="1" applyFill="1" applyBorder="1" applyAlignment="1">
      <alignment vertical="center"/>
    </xf>
    <xf numFmtId="0" fontId="110" fillId="9" borderId="2" xfId="14" applyFont="1" applyFill="1" applyBorder="1"/>
    <xf numFmtId="197" fontId="110" fillId="9" borderId="2" xfId="13" applyNumberFormat="1" applyFont="1" applyFill="1" applyBorder="1"/>
    <xf numFmtId="4" fontId="110" fillId="9" borderId="2" xfId="14" applyNumberFormat="1" applyFont="1" applyFill="1" applyBorder="1"/>
    <xf numFmtId="194" fontId="110" fillId="9" borderId="71" xfId="14" applyNumberFormat="1" applyFont="1" applyFill="1" applyBorder="1" applyAlignment="1">
      <alignment horizontal="right"/>
    </xf>
    <xf numFmtId="0" fontId="113" fillId="45" borderId="108" xfId="14" applyFont="1" applyFill="1" applyBorder="1" applyAlignment="1">
      <alignment horizontal="center" vertical="center"/>
    </xf>
    <xf numFmtId="0" fontId="113" fillId="45" borderId="2" xfId="14" applyFont="1" applyFill="1" applyBorder="1" applyAlignment="1">
      <alignment vertical="center"/>
    </xf>
    <xf numFmtId="0" fontId="110" fillId="45" borderId="2" xfId="14" applyFont="1" applyFill="1" applyBorder="1"/>
    <xf numFmtId="197" fontId="110" fillId="45" borderId="2" xfId="13" applyNumberFormat="1" applyFont="1" applyFill="1" applyBorder="1"/>
    <xf numFmtId="4" fontId="110" fillId="45" borderId="2" xfId="14" applyNumberFormat="1" applyFont="1" applyFill="1" applyBorder="1"/>
    <xf numFmtId="194" fontId="110" fillId="45" borderId="71" xfId="14" applyNumberFormat="1" applyFont="1" applyFill="1" applyBorder="1" applyAlignment="1">
      <alignment horizontal="right"/>
    </xf>
    <xf numFmtId="0" fontId="110" fillId="5" borderId="108" xfId="14" applyFont="1" applyFill="1" applyBorder="1" applyAlignment="1">
      <alignment horizontal="center" vertical="center"/>
    </xf>
    <xf numFmtId="0" fontId="110" fillId="5" borderId="2" xfId="14" applyFont="1" applyFill="1" applyBorder="1" applyAlignment="1">
      <alignment horizontal="justify" vertical="center" wrapText="1"/>
    </xf>
    <xf numFmtId="0" fontId="110" fillId="5" borderId="2" xfId="14" applyFont="1" applyFill="1" applyBorder="1" applyAlignment="1">
      <alignment horizontal="center" vertical="center"/>
    </xf>
    <xf numFmtId="197" fontId="131" fillId="5" borderId="2" xfId="13" applyNumberFormat="1" applyFont="1" applyFill="1" applyBorder="1" applyAlignment="1">
      <alignment vertical="center"/>
    </xf>
    <xf numFmtId="10" fontId="110" fillId="5" borderId="2" xfId="19" applyNumberFormat="1" applyFont="1" applyFill="1" applyBorder="1" applyAlignment="1">
      <alignment horizontal="center" vertical="center"/>
    </xf>
    <xf numFmtId="4" fontId="110" fillId="5" borderId="2" xfId="14" applyNumberFormat="1" applyFont="1" applyFill="1" applyBorder="1" applyAlignment="1">
      <alignment horizontal="center" vertical="center"/>
    </xf>
    <xf numFmtId="194" fontId="131" fillId="5" borderId="71" xfId="12" applyNumberFormat="1" applyFont="1" applyFill="1" applyBorder="1" applyAlignment="1">
      <alignment horizontal="right" vertical="center"/>
    </xf>
    <xf numFmtId="0" fontId="55" fillId="5" borderId="0" xfId="14" applyFill="1" applyAlignment="1">
      <alignment horizontal="center" vertical="center"/>
    </xf>
    <xf numFmtId="197" fontId="55" fillId="5" borderId="0" xfId="14" applyNumberFormat="1" applyFill="1"/>
    <xf numFmtId="197" fontId="133" fillId="0" borderId="71" xfId="12" applyNumberFormat="1" applyFont="1" applyBorder="1" applyAlignment="1">
      <alignment vertical="center"/>
    </xf>
    <xf numFmtId="194" fontId="55" fillId="0" borderId="0" xfId="14" applyNumberFormat="1"/>
    <xf numFmtId="2" fontId="113" fillId="0" borderId="71" xfId="14" applyNumberFormat="1" applyFont="1" applyBorder="1" applyAlignment="1">
      <alignment horizontal="right" vertical="center"/>
    </xf>
    <xf numFmtId="194" fontId="113" fillId="5" borderId="71" xfId="14" applyNumberFormat="1" applyFont="1" applyFill="1" applyBorder="1" applyAlignment="1">
      <alignment horizontal="right" vertical="center"/>
    </xf>
    <xf numFmtId="0" fontId="110" fillId="45" borderId="108" xfId="14" applyFont="1" applyFill="1" applyBorder="1" applyAlignment="1">
      <alignment horizontal="center" vertical="center"/>
    </xf>
    <xf numFmtId="0" fontId="110" fillId="45" borderId="2" xfId="14" applyFont="1" applyFill="1" applyBorder="1" applyAlignment="1">
      <alignment horizontal="center"/>
    </xf>
    <xf numFmtId="197" fontId="110" fillId="45" borderId="2" xfId="13" applyNumberFormat="1" applyFont="1" applyFill="1" applyBorder="1" applyAlignment="1">
      <alignment horizontal="center"/>
    </xf>
    <xf numFmtId="4" fontId="110" fillId="45" borderId="2" xfId="14" applyNumberFormat="1" applyFont="1" applyFill="1" applyBorder="1" applyAlignment="1">
      <alignment horizontal="center"/>
    </xf>
    <xf numFmtId="194" fontId="113" fillId="45" borderId="71" xfId="14" applyNumberFormat="1" applyFont="1" applyFill="1" applyBorder="1" applyAlignment="1">
      <alignment horizontal="right" vertical="center"/>
    </xf>
    <xf numFmtId="0" fontId="110" fillId="5" borderId="2" xfId="14" applyFont="1" applyFill="1" applyBorder="1" applyAlignment="1">
      <alignment vertical="center"/>
    </xf>
    <xf numFmtId="197" fontId="131" fillId="0" borderId="2" xfId="13" applyNumberFormat="1" applyFont="1" applyBorder="1" applyAlignment="1">
      <alignment horizontal="center" vertical="center"/>
    </xf>
    <xf numFmtId="194" fontId="110" fillId="5" borderId="71" xfId="14" applyNumberFormat="1" applyFont="1" applyFill="1" applyBorder="1" applyAlignment="1">
      <alignment horizontal="right" vertical="center"/>
    </xf>
    <xf numFmtId="197" fontId="110" fillId="5" borderId="2" xfId="13" applyNumberFormat="1" applyFont="1" applyFill="1" applyBorder="1" applyAlignment="1">
      <alignment horizontal="center" vertical="center"/>
    </xf>
    <xf numFmtId="194" fontId="134" fillId="45" borderId="71" xfId="14" applyNumberFormat="1" applyFont="1" applyFill="1" applyBorder="1" applyAlignment="1">
      <alignment horizontal="right" vertical="center"/>
    </xf>
    <xf numFmtId="166" fontId="55" fillId="0" borderId="0" xfId="14" applyNumberFormat="1"/>
    <xf numFmtId="198" fontId="135" fillId="0" borderId="0" xfId="5" applyNumberFormat="1" applyFont="1"/>
    <xf numFmtId="194" fontId="134" fillId="9" borderId="71" xfId="14" applyNumberFormat="1" applyFont="1" applyFill="1" applyBorder="1" applyAlignment="1">
      <alignment horizontal="right" vertical="center"/>
    </xf>
    <xf numFmtId="42" fontId="55" fillId="0" borderId="0" xfId="11" applyFont="1" applyFill="1" applyAlignment="1">
      <alignment horizontal="center" vertical="center"/>
    </xf>
    <xf numFmtId="194" fontId="134" fillId="44" borderId="71" xfId="14" applyNumberFormat="1" applyFont="1" applyFill="1" applyBorder="1" applyAlignment="1">
      <alignment horizontal="right" vertical="center"/>
    </xf>
    <xf numFmtId="199" fontId="55" fillId="0" borderId="0" xfId="19" applyNumberFormat="1" applyFont="1" applyFill="1"/>
    <xf numFmtId="0" fontId="125" fillId="0" borderId="125" xfId="3" applyFont="1" applyBorder="1" applyAlignment="1">
      <alignment vertical="center" wrapText="1"/>
    </xf>
    <xf numFmtId="0" fontId="125" fillId="0" borderId="0" xfId="3" applyFont="1" applyAlignment="1">
      <alignment vertical="center" wrapText="1"/>
    </xf>
    <xf numFmtId="0" fontId="55" fillId="0" borderId="0" xfId="14" applyAlignment="1">
      <alignment horizontal="center" vertical="center"/>
    </xf>
    <xf numFmtId="197" fontId="136" fillId="0" borderId="0" xfId="13" applyNumberFormat="1" applyFont="1" applyFill="1"/>
    <xf numFmtId="4" fontId="55" fillId="0" borderId="0" xfId="14" applyNumberFormat="1"/>
    <xf numFmtId="194" fontId="55" fillId="0" borderId="0" xfId="14" applyNumberFormat="1" applyAlignment="1">
      <alignment horizontal="right"/>
    </xf>
    <xf numFmtId="0" fontId="86" fillId="0" borderId="0" xfId="80"/>
    <xf numFmtId="169" fontId="92" fillId="0" borderId="126" xfId="4" applyFont="1" applyFill="1" applyBorder="1" applyAlignment="1">
      <alignment vertical="center" wrapText="1"/>
    </xf>
    <xf numFmtId="0" fontId="92" fillId="0" borderId="126" xfId="5" applyFont="1" applyBorder="1" applyAlignment="1">
      <alignment horizontal="center" vertical="center" wrapText="1"/>
    </xf>
    <xf numFmtId="0" fontId="92" fillId="0" borderId="126" xfId="0" applyFont="1" applyBorder="1" applyAlignment="1">
      <alignment vertical="center" wrapText="1"/>
    </xf>
    <xf numFmtId="169" fontId="92" fillId="0" borderId="31" xfId="4" applyFont="1" applyFill="1" applyBorder="1" applyAlignment="1">
      <alignment vertical="center" wrapText="1"/>
    </xf>
    <xf numFmtId="0" fontId="92" fillId="0" borderId="31" xfId="5" applyFont="1" applyBorder="1" applyAlignment="1">
      <alignment horizontal="center" vertical="center" wrapText="1"/>
    </xf>
    <xf numFmtId="0" fontId="92" fillId="0" borderId="31" xfId="0" applyFont="1" applyBorder="1" applyAlignment="1">
      <alignment vertical="center" wrapText="1"/>
    </xf>
    <xf numFmtId="0" fontId="92" fillId="0" borderId="31" xfId="0" applyFont="1" applyBorder="1"/>
    <xf numFmtId="173" fontId="0" fillId="0" borderId="0" xfId="0" applyNumberFormat="1" applyAlignment="1">
      <alignment horizontal="center"/>
    </xf>
    <xf numFmtId="195" fontId="123" fillId="0" borderId="1" xfId="3" applyNumberFormat="1" applyFont="1" applyBorder="1" applyAlignment="1">
      <alignment vertical="center"/>
    </xf>
    <xf numFmtId="0" fontId="37" fillId="2" borderId="4" xfId="3" applyFont="1" applyFill="1" applyBorder="1" applyAlignment="1">
      <alignment horizontal="center"/>
    </xf>
    <xf numFmtId="186" fontId="79" fillId="0" borderId="0" xfId="21" applyFont="1" applyFill="1"/>
    <xf numFmtId="0" fontId="2" fillId="0" borderId="127" xfId="3" applyBorder="1"/>
    <xf numFmtId="0" fontId="2" fillId="0" borderId="128" xfId="3" applyBorder="1"/>
    <xf numFmtId="0" fontId="2" fillId="0" borderId="24" xfId="3" applyBorder="1"/>
    <xf numFmtId="0" fontId="2" fillId="0" borderId="25" xfId="3" applyBorder="1"/>
    <xf numFmtId="0" fontId="2" fillId="0" borderId="26" xfId="3" applyBorder="1"/>
    <xf numFmtId="1" fontId="13" fillId="0" borderId="4" xfId="3" applyNumberFormat="1" applyFont="1" applyBorder="1" applyAlignment="1">
      <alignment horizontal="center" vertical="center"/>
    </xf>
    <xf numFmtId="0" fontId="2" fillId="6" borderId="1" xfId="3" applyFill="1" applyBorder="1" applyAlignment="1">
      <alignment horizontal="center" vertical="center" wrapText="1"/>
    </xf>
    <xf numFmtId="173" fontId="13" fillId="5" borderId="4" xfId="3" applyNumberFormat="1" applyFont="1" applyFill="1" applyBorder="1" applyAlignment="1">
      <alignment horizontal="center" vertical="center"/>
    </xf>
    <xf numFmtId="2" fontId="13" fillId="5" borderId="5" xfId="3" applyNumberFormat="1" applyFont="1" applyFill="1" applyBorder="1" applyAlignment="1">
      <alignment horizontal="center" vertical="center"/>
    </xf>
    <xf numFmtId="174" fontId="28" fillId="5" borderId="5" xfId="3" applyNumberFormat="1" applyFont="1" applyFill="1" applyBorder="1" applyAlignment="1">
      <alignment horizontal="center" vertical="center"/>
    </xf>
    <xf numFmtId="176" fontId="13" fillId="5" borderId="4" xfId="3" applyNumberFormat="1" applyFont="1" applyFill="1" applyBorder="1" applyAlignment="1">
      <alignment horizontal="center" vertical="center"/>
    </xf>
    <xf numFmtId="10" fontId="123" fillId="0" borderId="1" xfId="2" applyNumberFormat="1" applyFont="1" applyBorder="1" applyAlignment="1">
      <alignment vertical="center"/>
    </xf>
    <xf numFmtId="0" fontId="10" fillId="5" borderId="4" xfId="3" applyFont="1" applyFill="1" applyBorder="1" applyAlignment="1">
      <alignment horizontal="center" vertical="center" wrapText="1"/>
    </xf>
    <xf numFmtId="200" fontId="137" fillId="0" borderId="131" xfId="0" applyNumberFormat="1" applyFont="1" applyBorder="1" applyAlignment="1">
      <alignment horizontal="center" vertical="center" shrinkToFit="1"/>
    </xf>
    <xf numFmtId="200" fontId="137" fillId="0" borderId="131" xfId="0" applyNumberFormat="1" applyFont="1" applyBorder="1" applyAlignment="1">
      <alignment horizontal="center" vertical="top" shrinkToFit="1"/>
    </xf>
    <xf numFmtId="0" fontId="0" fillId="47" borderId="131" xfId="0" applyFill="1" applyBorder="1" applyAlignment="1">
      <alignment horizontal="left" wrapText="1"/>
    </xf>
    <xf numFmtId="194" fontId="110" fillId="6" borderId="106" xfId="0" applyNumberFormat="1" applyFont="1" applyFill="1" applyBorder="1" applyAlignment="1">
      <alignment horizontal="center" vertical="center" wrapText="1"/>
    </xf>
    <xf numFmtId="193" fontId="109" fillId="6" borderId="106" xfId="0" applyNumberFormat="1" applyFont="1" applyFill="1" applyBorder="1" applyAlignment="1">
      <alignment horizontal="center" vertical="center"/>
    </xf>
    <xf numFmtId="169" fontId="92" fillId="46" borderId="19" xfId="4" applyFont="1" applyFill="1" applyBorder="1" applyAlignment="1">
      <alignment vertical="center" wrapText="1"/>
    </xf>
    <xf numFmtId="0" fontId="123" fillId="0" borderId="2" xfId="3" applyFont="1" applyBorder="1"/>
    <xf numFmtId="194" fontId="88" fillId="0" borderId="106" xfId="0" applyNumberFormat="1" applyFont="1" applyFill="1" applyBorder="1" applyAlignment="1">
      <alignment horizontal="center" vertical="center"/>
    </xf>
    <xf numFmtId="0" fontId="86" fillId="0" borderId="132" xfId="80" applyFill="1" applyBorder="1" applyAlignment="1">
      <alignment vertical="center" wrapText="1"/>
    </xf>
    <xf numFmtId="194" fontId="110" fillId="0" borderId="106" xfId="0" applyNumberFormat="1" applyFont="1" applyFill="1" applyBorder="1" applyAlignment="1">
      <alignment horizontal="center" vertical="center" wrapText="1"/>
    </xf>
    <xf numFmtId="173" fontId="13" fillId="6" borderId="4" xfId="3" applyNumberFormat="1" applyFont="1" applyFill="1" applyBorder="1" applyAlignment="1">
      <alignment horizontal="center" vertical="center"/>
    </xf>
    <xf numFmtId="166" fontId="2" fillId="0" borderId="2" xfId="1" applyNumberFormat="1" applyFont="1" applyBorder="1"/>
    <xf numFmtId="166" fontId="117" fillId="40" borderId="31" xfId="4" applyNumberFormat="1" applyFont="1" applyFill="1" applyBorder="1" applyAlignment="1">
      <alignment horizontal="center" vertical="center"/>
    </xf>
    <xf numFmtId="0" fontId="1" fillId="0" borderId="0" xfId="87"/>
    <xf numFmtId="0" fontId="141" fillId="0" borderId="0" xfId="87" applyFont="1"/>
    <xf numFmtId="0" fontId="140" fillId="0" borderId="89" xfId="87" applyFont="1" applyBorder="1" applyAlignment="1">
      <alignment horizontal="center" vertical="center"/>
    </xf>
    <xf numFmtId="0" fontId="142" fillId="0" borderId="0" xfId="87" applyFont="1" applyAlignment="1">
      <alignment horizontal="center"/>
    </xf>
    <xf numFmtId="0" fontId="142" fillId="0" borderId="0" xfId="87" applyFont="1" applyAlignment="1">
      <alignment horizontal="center" wrapText="1"/>
    </xf>
    <xf numFmtId="0" fontId="140" fillId="45" borderId="92" xfId="87" applyFont="1" applyFill="1" applyBorder="1" applyAlignment="1">
      <alignment horizontal="center" vertical="center"/>
    </xf>
    <xf numFmtId="0" fontId="140" fillId="45" borderId="31" xfId="87" applyFont="1" applyFill="1" applyBorder="1" applyAlignment="1">
      <alignment wrapText="1"/>
    </xf>
    <xf numFmtId="9" fontId="140" fillId="45" borderId="91" xfId="88" applyFont="1" applyFill="1" applyBorder="1" applyAlignment="1">
      <alignment horizontal="center" vertical="center"/>
    </xf>
    <xf numFmtId="0" fontId="139" fillId="0" borderId="0" xfId="87" applyFont="1"/>
    <xf numFmtId="0" fontId="140" fillId="0" borderId="92" xfId="87" applyFont="1" applyBorder="1" applyAlignment="1">
      <alignment horizontal="center" vertical="center"/>
    </xf>
    <xf numFmtId="0" fontId="143" fillId="0" borderId="32" xfId="15" applyFont="1" applyBorder="1" applyAlignment="1">
      <alignment horizontal="justify" vertical="center"/>
    </xf>
    <xf numFmtId="2" fontId="140" fillId="0" borderId="91" xfId="87" applyNumberFormat="1" applyFont="1" applyBorder="1" applyAlignment="1">
      <alignment horizontal="center" vertical="center"/>
    </xf>
    <xf numFmtId="0" fontId="140" fillId="45" borderId="31" xfId="87" applyFont="1" applyFill="1" applyBorder="1" applyAlignment="1">
      <alignment horizontal="left" wrapText="1"/>
    </xf>
    <xf numFmtId="2" fontId="140" fillId="45" borderId="91" xfId="87" applyNumberFormat="1" applyFont="1" applyFill="1" applyBorder="1" applyAlignment="1">
      <alignment horizontal="center" vertical="center"/>
    </xf>
    <xf numFmtId="0" fontId="1" fillId="0" borderId="0" xfId="87" applyAlignment="1">
      <alignment horizontal="center"/>
    </xf>
    <xf numFmtId="197" fontId="1" fillId="0" borderId="0" xfId="89" applyNumberFormat="1" applyFont="1" applyBorder="1"/>
    <xf numFmtId="0" fontId="144" fillId="0" borderId="92" xfId="87" applyFont="1" applyBorder="1" applyAlignment="1">
      <alignment horizontal="center" vertical="center"/>
    </xf>
    <xf numFmtId="0" fontId="144" fillId="0" borderId="31" xfId="87" applyFont="1" applyBorder="1" applyAlignment="1">
      <alignment wrapText="1"/>
    </xf>
    <xf numFmtId="10" fontId="144" fillId="0" borderId="91" xfId="90" applyNumberFormat="1" applyFont="1" applyBorder="1" applyAlignment="1">
      <alignment horizontal="center" vertical="center"/>
    </xf>
    <xf numFmtId="42" fontId="1" fillId="0" borderId="0" xfId="91" applyFont="1"/>
    <xf numFmtId="9" fontId="1" fillId="0" borderId="0" xfId="87" applyNumberFormat="1" applyAlignment="1">
      <alignment horizontal="center"/>
    </xf>
    <xf numFmtId="0" fontId="128" fillId="0" borderId="31" xfId="87" applyFont="1" applyBorder="1" applyAlignment="1">
      <alignment wrapText="1"/>
    </xf>
    <xf numFmtId="10" fontId="128" fillId="0" borderId="91" xfId="90" applyNumberFormat="1" applyFont="1" applyFill="1" applyBorder="1" applyAlignment="1">
      <alignment horizontal="center" vertical="center"/>
    </xf>
    <xf numFmtId="0" fontId="128" fillId="0" borderId="31" xfId="87" applyFont="1" applyBorder="1" applyAlignment="1">
      <alignment horizontal="left" wrapText="1"/>
    </xf>
    <xf numFmtId="166" fontId="1" fillId="0" borderId="0" xfId="89" applyFont="1" applyBorder="1"/>
    <xf numFmtId="0" fontId="139" fillId="0" borderId="0" xfId="87" applyFont="1" applyAlignment="1">
      <alignment horizontal="center"/>
    </xf>
    <xf numFmtId="10" fontId="140" fillId="45" borderId="91" xfId="90" applyNumberFormat="1" applyFont="1" applyFill="1" applyBorder="1" applyAlignment="1">
      <alignment horizontal="center" vertical="center"/>
    </xf>
    <xf numFmtId="0" fontId="143" fillId="5" borderId="32" xfId="15" applyFont="1" applyFill="1" applyBorder="1" applyAlignment="1">
      <alignment horizontal="justify" vertical="center"/>
    </xf>
    <xf numFmtId="197" fontId="139" fillId="0" borderId="0" xfId="89" applyNumberFormat="1" applyFont="1" applyBorder="1"/>
    <xf numFmtId="42" fontId="1" fillId="0" borderId="0" xfId="91" applyFont="1" applyAlignment="1"/>
    <xf numFmtId="0" fontId="140" fillId="0" borderId="31" xfId="87" applyFont="1" applyBorder="1" applyAlignment="1">
      <alignment wrapText="1"/>
    </xf>
    <xf numFmtId="2" fontId="1" fillId="0" borderId="0" xfId="87" applyNumberFormat="1"/>
    <xf numFmtId="0" fontId="140" fillId="45" borderId="31" xfId="87" applyFont="1" applyFill="1" applyBorder="1" applyAlignment="1">
      <alignment horizontal="center" vertical="center" wrapText="1"/>
    </xf>
    <xf numFmtId="0" fontId="140" fillId="5" borderId="92" xfId="87" applyFont="1" applyFill="1" applyBorder="1" applyAlignment="1">
      <alignment wrapText="1"/>
    </xf>
    <xf numFmtId="0" fontId="140" fillId="5" borderId="31" xfId="87" applyFont="1" applyFill="1" applyBorder="1" applyAlignment="1">
      <alignment wrapText="1"/>
    </xf>
    <xf numFmtId="0" fontId="140" fillId="5" borderId="91" xfId="87" applyFont="1" applyFill="1" applyBorder="1" applyAlignment="1">
      <alignment horizontal="center" wrapText="1"/>
    </xf>
    <xf numFmtId="0" fontId="140" fillId="45" borderId="92" xfId="87" applyFont="1" applyFill="1" applyBorder="1" applyAlignment="1">
      <alignment wrapText="1"/>
    </xf>
    <xf numFmtId="0" fontId="140" fillId="45" borderId="31" xfId="87" applyFont="1" applyFill="1" applyBorder="1" applyAlignment="1">
      <alignment horizontal="center" wrapText="1"/>
    </xf>
    <xf numFmtId="2" fontId="140" fillId="45" borderId="91" xfId="87" applyNumberFormat="1" applyFont="1" applyFill="1" applyBorder="1" applyAlignment="1">
      <alignment horizontal="center" wrapText="1"/>
    </xf>
    <xf numFmtId="9" fontId="144" fillId="0" borderId="0" xfId="87" applyNumberFormat="1" applyFont="1"/>
    <xf numFmtId="2" fontId="140" fillId="45" borderId="94" xfId="87" applyNumberFormat="1" applyFont="1" applyFill="1" applyBorder="1" applyAlignment="1">
      <alignment horizontal="center" vertical="center"/>
    </xf>
    <xf numFmtId="201" fontId="144" fillId="0" borderId="0" xfId="87" applyNumberFormat="1" applyFont="1"/>
    <xf numFmtId="0" fontId="2" fillId="0" borderId="0" xfId="92"/>
    <xf numFmtId="0" fontId="145" fillId="0" borderId="0" xfId="92" applyFont="1"/>
    <xf numFmtId="0" fontId="146" fillId="0" borderId="35" xfId="15" applyFont="1" applyBorder="1" applyAlignment="1">
      <alignment vertical="center"/>
    </xf>
    <xf numFmtId="0" fontId="145" fillId="0" borderId="35" xfId="92" applyFont="1" applyBorder="1"/>
    <xf numFmtId="0" fontId="139" fillId="0" borderId="0" xfId="87" applyFont="1" applyAlignment="1">
      <alignment horizontal="center" vertical="center"/>
    </xf>
    <xf numFmtId="0" fontId="1" fillId="0" borderId="0" xfId="87" applyAlignment="1">
      <alignment wrapText="1"/>
    </xf>
    <xf numFmtId="0" fontId="1" fillId="0" borderId="0" xfId="87" applyAlignment="1">
      <alignment horizontal="center" vertical="center"/>
    </xf>
    <xf numFmtId="2" fontId="1" fillId="0" borderId="0" xfId="91" applyNumberFormat="1" applyFont="1" applyAlignment="1"/>
    <xf numFmtId="9" fontId="10" fillId="0" borderId="2" xfId="3" applyNumberFormat="1" applyFont="1" applyFill="1" applyBorder="1" applyAlignment="1">
      <alignment horizontal="center" vertical="center"/>
    </xf>
    <xf numFmtId="0" fontId="117" fillId="40" borderId="31" xfId="3" applyFont="1" applyFill="1" applyBorder="1" applyAlignment="1">
      <alignment vertical="center" wrapText="1"/>
    </xf>
    <xf numFmtId="0" fontId="10" fillId="0" borderId="31" xfId="3" applyFont="1" applyBorder="1" applyAlignment="1">
      <alignment horizontal="center" vertical="center" wrapText="1"/>
    </xf>
    <xf numFmtId="166" fontId="10" fillId="0" borderId="31" xfId="4" applyNumberFormat="1" applyFont="1" applyBorder="1" applyAlignment="1">
      <alignment horizontal="center" vertical="center" wrapText="1"/>
    </xf>
    <xf numFmtId="166" fontId="10" fillId="39" borderId="31" xfId="4" applyNumberFormat="1" applyFont="1" applyFill="1" applyBorder="1" applyAlignment="1">
      <alignment horizontal="center" vertical="center" wrapText="1"/>
    </xf>
    <xf numFmtId="166" fontId="10" fillId="0" borderId="31" xfId="4" applyNumberFormat="1" applyFont="1" applyFill="1" applyBorder="1" applyAlignment="1">
      <alignment horizontal="center" vertical="center" wrapText="1"/>
    </xf>
    <xf numFmtId="166" fontId="118" fillId="0" borderId="31" xfId="4" applyNumberFormat="1" applyFont="1" applyFill="1" applyBorder="1" applyAlignment="1">
      <alignment horizontal="center" vertical="center" wrapText="1"/>
    </xf>
    <xf numFmtId="0" fontId="117" fillId="40" borderId="31" xfId="3" applyFont="1" applyFill="1" applyBorder="1" applyAlignment="1">
      <alignment horizontal="center" vertical="justify" wrapText="1"/>
    </xf>
    <xf numFmtId="10" fontId="10" fillId="41" borderId="31" xfId="2" applyNumberFormat="1" applyFont="1" applyFill="1" applyBorder="1" applyAlignment="1">
      <alignment horizontal="center" vertical="center"/>
    </xf>
    <xf numFmtId="0" fontId="0" fillId="0" borderId="0" xfId="0" applyBorder="1"/>
    <xf numFmtId="0" fontId="0" fillId="0" borderId="0" xfId="0" applyBorder="1" applyAlignment="1">
      <alignment horizontal="center"/>
    </xf>
    <xf numFmtId="171" fontId="0" fillId="0" borderId="0" xfId="1" applyFont="1" applyBorder="1"/>
    <xf numFmtId="0" fontId="0" fillId="0" borderId="0" xfId="0" applyBorder="1" applyAlignment="1">
      <alignment wrapText="1"/>
    </xf>
    <xf numFmtId="166" fontId="0" fillId="0" borderId="0" xfId="0" applyNumberFormat="1" applyBorder="1"/>
    <xf numFmtId="0" fontId="10" fillId="0" borderId="31" xfId="3" applyFont="1" applyBorder="1" applyAlignment="1">
      <alignment horizontal="left" vertical="center" wrapText="1"/>
    </xf>
    <xf numFmtId="0" fontId="123" fillId="0" borderId="2" xfId="3" applyFont="1" applyBorder="1" applyAlignment="1">
      <alignment horizontal="center" vertical="center"/>
    </xf>
    <xf numFmtId="0" fontId="10" fillId="0" borderId="2" xfId="3" applyFont="1" applyBorder="1" applyAlignment="1">
      <alignment horizontal="center" vertical="center" wrapText="1"/>
    </xf>
    <xf numFmtId="0" fontId="118" fillId="0" borderId="31" xfId="3" applyFont="1" applyBorder="1" applyAlignment="1">
      <alignment horizontal="left" vertical="center" wrapText="1"/>
    </xf>
    <xf numFmtId="0" fontId="10" fillId="0" borderId="134" xfId="3" applyFont="1" applyBorder="1" applyAlignment="1">
      <alignment horizontal="left" vertical="center" wrapText="1"/>
    </xf>
    <xf numFmtId="166" fontId="10" fillId="0" borderId="134" xfId="4" applyNumberFormat="1" applyFont="1" applyBorder="1" applyAlignment="1">
      <alignment horizontal="center" vertical="center" wrapText="1"/>
    </xf>
    <xf numFmtId="0" fontId="117" fillId="40" borderId="135" xfId="3" applyFont="1" applyFill="1" applyBorder="1" applyAlignment="1">
      <alignment horizontal="center" vertical="center" wrapText="1"/>
    </xf>
    <xf numFmtId="166" fontId="117" fillId="40" borderId="135" xfId="4" applyNumberFormat="1" applyFont="1" applyFill="1" applyBorder="1" applyAlignment="1">
      <alignment horizontal="center" vertical="center"/>
    </xf>
    <xf numFmtId="0" fontId="117" fillId="40" borderId="136" xfId="3" applyFont="1" applyFill="1" applyBorder="1" applyAlignment="1">
      <alignment horizontal="center" vertical="center" wrapText="1"/>
    </xf>
    <xf numFmtId="166" fontId="117" fillId="40" borderId="136" xfId="4" applyNumberFormat="1" applyFont="1" applyFill="1" applyBorder="1" applyAlignment="1">
      <alignment horizontal="center" vertical="center"/>
    </xf>
    <xf numFmtId="0" fontId="117" fillId="40" borderId="136" xfId="3" applyFont="1" applyFill="1" applyBorder="1" applyAlignment="1">
      <alignment horizontal="left" vertical="center" wrapText="1"/>
    </xf>
    <xf numFmtId="0" fontId="117" fillId="40" borderId="134" xfId="3" applyFont="1" applyFill="1" applyBorder="1" applyAlignment="1">
      <alignment horizontal="center" vertical="center" wrapText="1"/>
    </xf>
    <xf numFmtId="166" fontId="117" fillId="40" borderId="134" xfId="4" applyNumberFormat="1" applyFont="1" applyFill="1" applyBorder="1" applyAlignment="1">
      <alignment horizontal="center" vertical="center"/>
    </xf>
    <xf numFmtId="0" fontId="117" fillId="40" borderId="136" xfId="3" applyFont="1" applyFill="1" applyBorder="1" applyAlignment="1">
      <alignment horizontal="center" vertical="justify" wrapText="1"/>
    </xf>
    <xf numFmtId="0" fontId="10" fillId="0" borderId="31" xfId="3" applyFont="1" applyBorder="1" applyAlignment="1">
      <alignment horizontal="left" vertical="justify" wrapText="1"/>
    </xf>
    <xf numFmtId="0" fontId="10" fillId="5" borderId="31" xfId="3" applyFont="1" applyFill="1" applyBorder="1" applyAlignment="1">
      <alignment horizontal="left" vertical="justify" wrapText="1"/>
    </xf>
    <xf numFmtId="0" fontId="10" fillId="0" borderId="31" xfId="3" applyFont="1" applyBorder="1" applyAlignment="1">
      <alignment vertical="center" wrapText="1"/>
    </xf>
    <xf numFmtId="0" fontId="123" fillId="0" borderId="8" xfId="3" applyFont="1" applyBorder="1" applyAlignment="1">
      <alignment horizontal="left" vertical="center"/>
    </xf>
    <xf numFmtId="4" fontId="123" fillId="43" borderId="8" xfId="3" applyNumberFormat="1" applyFont="1" applyFill="1" applyBorder="1" applyAlignment="1">
      <alignment horizontal="center" vertical="center"/>
    </xf>
    <xf numFmtId="170" fontId="123" fillId="0" borderId="8" xfId="3" applyNumberFormat="1" applyFont="1" applyBorder="1" applyAlignment="1">
      <alignment horizontal="right" vertical="center"/>
    </xf>
    <xf numFmtId="0" fontId="123" fillId="0" borderId="137" xfId="3" applyFont="1" applyBorder="1" applyAlignment="1">
      <alignment horizontal="center" vertical="center"/>
    </xf>
    <xf numFmtId="194" fontId="138" fillId="41" borderId="31" xfId="1" applyNumberFormat="1" applyFont="1" applyFill="1" applyBorder="1" applyAlignment="1">
      <alignment horizontal="right" vertical="center"/>
    </xf>
    <xf numFmtId="194" fontId="0" fillId="0" borderId="0" xfId="0" applyNumberFormat="1" applyBorder="1" applyAlignment="1">
      <alignment horizontal="right"/>
    </xf>
    <xf numFmtId="0" fontId="117" fillId="40" borderId="31" xfId="3" applyFont="1" applyFill="1" applyBorder="1" applyAlignment="1">
      <alignment horizontal="center" vertical="center" wrapText="1"/>
    </xf>
    <xf numFmtId="0" fontId="10" fillId="0" borderId="32" xfId="3" applyFont="1" applyBorder="1" applyAlignment="1">
      <alignment horizontal="center" vertical="center" wrapText="1"/>
    </xf>
    <xf numFmtId="0" fontId="117" fillId="40" borderId="32" xfId="3" applyFont="1" applyFill="1" applyBorder="1" applyAlignment="1">
      <alignment horizontal="center" vertical="center"/>
    </xf>
    <xf numFmtId="0" fontId="10" fillId="39" borderId="32" xfId="3" applyFont="1" applyFill="1" applyBorder="1" applyAlignment="1">
      <alignment horizontal="center" vertical="center" wrapText="1"/>
    </xf>
    <xf numFmtId="0" fontId="10" fillId="0" borderId="34" xfId="3" applyFont="1" applyBorder="1" applyAlignment="1">
      <alignment horizontal="center" vertical="center" wrapText="1"/>
    </xf>
    <xf numFmtId="0" fontId="118" fillId="0" borderId="32" xfId="3" applyFont="1" applyBorder="1" applyAlignment="1">
      <alignment horizontal="center" vertical="center" wrapText="1"/>
    </xf>
    <xf numFmtId="0" fontId="117" fillId="40" borderId="33" xfId="3" applyFont="1" applyFill="1" applyBorder="1" applyAlignment="1">
      <alignment horizontal="center" vertical="center"/>
    </xf>
    <xf numFmtId="0" fontId="117" fillId="40" borderId="32" xfId="3" applyFont="1" applyFill="1" applyBorder="1" applyAlignment="1">
      <alignment vertical="center" wrapText="1"/>
    </xf>
    <xf numFmtId="0" fontId="117" fillId="40" borderId="32" xfId="3" applyFont="1" applyFill="1" applyBorder="1" applyAlignment="1">
      <alignment vertical="center"/>
    </xf>
    <xf numFmtId="0" fontId="117" fillId="40" borderId="36" xfId="3" applyFont="1" applyFill="1" applyBorder="1" applyAlignment="1">
      <alignment horizontal="center" vertical="center"/>
    </xf>
    <xf numFmtId="0" fontId="117" fillId="40" borderId="34" xfId="3" applyFont="1" applyFill="1" applyBorder="1" applyAlignment="1">
      <alignment horizontal="center" vertical="center"/>
    </xf>
    <xf numFmtId="0" fontId="10" fillId="5" borderId="32" xfId="3" applyFont="1" applyFill="1" applyBorder="1" applyAlignment="1">
      <alignment horizontal="center" vertical="center" wrapText="1"/>
    </xf>
    <xf numFmtId="0" fontId="10" fillId="0" borderId="92" xfId="3" applyFont="1" applyBorder="1" applyAlignment="1">
      <alignment horizontal="center" vertical="center"/>
    </xf>
    <xf numFmtId="166" fontId="10" fillId="0" borderId="91" xfId="4" applyNumberFormat="1" applyFont="1" applyBorder="1" applyAlignment="1">
      <alignment horizontal="center" vertical="center" wrapText="1"/>
    </xf>
    <xf numFmtId="0" fontId="117" fillId="40" borderId="92" xfId="3" applyFont="1" applyFill="1" applyBorder="1" applyAlignment="1">
      <alignment horizontal="center" vertical="center"/>
    </xf>
    <xf numFmtId="166" fontId="117" fillId="40" borderId="91" xfId="4" applyNumberFormat="1" applyFont="1" applyFill="1" applyBorder="1" applyAlignment="1">
      <alignment horizontal="center" vertical="center"/>
    </xf>
    <xf numFmtId="166" fontId="10" fillId="39" borderId="91" xfId="4" applyNumberFormat="1" applyFont="1" applyFill="1" applyBorder="1" applyAlignment="1">
      <alignment horizontal="center" vertical="center" wrapText="1"/>
    </xf>
    <xf numFmtId="2" fontId="10" fillId="0" borderId="92" xfId="3" applyNumberFormat="1" applyFont="1" applyBorder="1" applyAlignment="1">
      <alignment horizontal="center" vertical="center"/>
    </xf>
    <xf numFmtId="4" fontId="10" fillId="0" borderId="92" xfId="3" applyNumberFormat="1" applyFont="1" applyBorder="1" applyAlignment="1">
      <alignment horizontal="center" vertical="center"/>
    </xf>
    <xf numFmtId="2" fontId="10" fillId="0" borderId="140" xfId="3" applyNumberFormat="1" applyFont="1" applyBorder="1" applyAlignment="1">
      <alignment horizontal="center" vertical="center"/>
    </xf>
    <xf numFmtId="166" fontId="10" fillId="39" borderId="141" xfId="4" applyNumberFormat="1" applyFont="1" applyFill="1" applyBorder="1" applyAlignment="1">
      <alignment horizontal="center" vertical="center" wrapText="1"/>
    </xf>
    <xf numFmtId="0" fontId="118" fillId="0" borderId="92" xfId="3" applyFont="1" applyBorder="1" applyAlignment="1">
      <alignment horizontal="center" vertical="center"/>
    </xf>
    <xf numFmtId="0" fontId="117" fillId="40" borderId="142" xfId="3" applyFont="1" applyFill="1" applyBorder="1" applyAlignment="1">
      <alignment horizontal="center" vertical="center"/>
    </xf>
    <xf numFmtId="166" fontId="117" fillId="40" borderId="143" xfId="4" applyNumberFormat="1" applyFont="1" applyFill="1" applyBorder="1" applyAlignment="1">
      <alignment horizontal="center" vertical="center"/>
    </xf>
    <xf numFmtId="0" fontId="117" fillId="40" borderId="90" xfId="3" applyFont="1" applyFill="1" applyBorder="1" applyAlignment="1">
      <alignment horizontal="center" vertical="center"/>
    </xf>
    <xf numFmtId="166" fontId="117" fillId="40" borderId="144" xfId="4" applyNumberFormat="1" applyFont="1" applyFill="1" applyBorder="1" applyAlignment="1">
      <alignment horizontal="center" vertical="center"/>
    </xf>
    <xf numFmtId="0" fontId="117" fillId="40" borderId="140" xfId="3" applyFont="1" applyFill="1" applyBorder="1" applyAlignment="1">
      <alignment horizontal="center" vertical="center"/>
    </xf>
    <xf numFmtId="166" fontId="117" fillId="40" borderId="141" xfId="4" applyNumberFormat="1" applyFont="1" applyFill="1" applyBorder="1" applyAlignment="1">
      <alignment horizontal="center" vertical="center"/>
    </xf>
    <xf numFmtId="0" fontId="10" fillId="5" borderId="92" xfId="3" applyFont="1" applyFill="1" applyBorder="1" applyAlignment="1">
      <alignment horizontal="center" vertical="center"/>
    </xf>
    <xf numFmtId="0" fontId="10" fillId="0" borderId="92" xfId="3" applyFont="1" applyBorder="1" applyAlignment="1">
      <alignment horizontal="center" vertical="center" wrapText="1"/>
    </xf>
    <xf numFmtId="2" fontId="10" fillId="0" borderId="92" xfId="3" applyNumberFormat="1" applyFont="1" applyBorder="1" applyAlignment="1">
      <alignment horizontal="center" vertical="center" wrapText="1"/>
    </xf>
    <xf numFmtId="166" fontId="10" fillId="0" borderId="32" xfId="4" applyNumberFormat="1" applyFont="1" applyBorder="1" applyAlignment="1">
      <alignment horizontal="center" vertical="center" wrapText="1"/>
    </xf>
    <xf numFmtId="166" fontId="117" fillId="40" borderId="32" xfId="4" applyNumberFormat="1" applyFont="1" applyFill="1" applyBorder="1" applyAlignment="1">
      <alignment horizontal="center" vertical="center"/>
    </xf>
    <xf numFmtId="166" fontId="10" fillId="39" borderId="32" xfId="4" applyNumberFormat="1" applyFont="1" applyFill="1" applyBorder="1" applyAlignment="1">
      <alignment horizontal="center" vertical="center" wrapText="1"/>
    </xf>
    <xf numFmtId="166" fontId="10" fillId="39" borderId="34" xfId="4" applyNumberFormat="1" applyFont="1" applyFill="1" applyBorder="1" applyAlignment="1">
      <alignment horizontal="center" vertical="center" wrapText="1"/>
    </xf>
    <xf numFmtId="166" fontId="117" fillId="40" borderId="33" xfId="4" applyNumberFormat="1" applyFont="1" applyFill="1" applyBorder="1" applyAlignment="1">
      <alignment horizontal="center" vertical="center"/>
    </xf>
    <xf numFmtId="166" fontId="117" fillId="40" borderId="36" xfId="4" applyNumberFormat="1" applyFont="1" applyFill="1" applyBorder="1" applyAlignment="1">
      <alignment horizontal="center" vertical="center"/>
    </xf>
    <xf numFmtId="166" fontId="117" fillId="40" borderId="34" xfId="4" applyNumberFormat="1" applyFont="1" applyFill="1" applyBorder="1" applyAlignment="1">
      <alignment horizontal="center" vertical="center"/>
    </xf>
    <xf numFmtId="166" fontId="10" fillId="0" borderId="48" xfId="4" applyNumberFormat="1" applyFont="1" applyBorder="1" applyAlignment="1">
      <alignment horizontal="center" vertical="center" wrapText="1"/>
    </xf>
    <xf numFmtId="166" fontId="117" fillId="40" borderId="48" xfId="4" applyNumberFormat="1" applyFont="1" applyFill="1" applyBorder="1" applyAlignment="1">
      <alignment horizontal="center" vertical="center"/>
    </xf>
    <xf numFmtId="166" fontId="10" fillId="39" borderId="48" xfId="4" applyNumberFormat="1" applyFont="1" applyFill="1" applyBorder="1" applyAlignment="1">
      <alignment horizontal="center" vertical="center" wrapText="1"/>
    </xf>
    <xf numFmtId="166" fontId="10" fillId="39" borderId="149" xfId="4" applyNumberFormat="1" applyFont="1" applyFill="1" applyBorder="1" applyAlignment="1">
      <alignment horizontal="center" vertical="center" wrapText="1"/>
    </xf>
    <xf numFmtId="166" fontId="117" fillId="40" borderId="147" xfId="4" applyNumberFormat="1" applyFont="1" applyFill="1" applyBorder="1" applyAlignment="1">
      <alignment horizontal="center" vertical="center"/>
    </xf>
    <xf numFmtId="166" fontId="117" fillId="40" borderId="148" xfId="4" applyNumberFormat="1" applyFont="1" applyFill="1" applyBorder="1" applyAlignment="1">
      <alignment horizontal="center" vertical="center"/>
    </xf>
    <xf numFmtId="166" fontId="117" fillId="40" borderId="149" xfId="4" applyNumberFormat="1" applyFont="1" applyFill="1" applyBorder="1" applyAlignment="1">
      <alignment horizontal="center" vertical="center"/>
    </xf>
    <xf numFmtId="194" fontId="138" fillId="41" borderId="148" xfId="1" applyNumberFormat="1" applyFont="1" applyFill="1" applyBorder="1" applyAlignment="1">
      <alignment horizontal="right" vertical="center" wrapText="1"/>
    </xf>
    <xf numFmtId="194" fontId="138" fillId="41" borderId="48" xfId="1" applyNumberFormat="1" applyFont="1" applyFill="1" applyBorder="1" applyAlignment="1">
      <alignment horizontal="right" vertical="center"/>
    </xf>
    <xf numFmtId="194" fontId="138" fillId="41" borderId="51" xfId="1" applyNumberFormat="1" applyFont="1" applyFill="1" applyBorder="1" applyAlignment="1">
      <alignment horizontal="right" vertical="center" wrapText="1"/>
    </xf>
    <xf numFmtId="173" fontId="13" fillId="0" borderId="4" xfId="3" applyNumberFormat="1" applyFont="1" applyFill="1" applyBorder="1" applyAlignment="1">
      <alignment horizontal="center" vertical="center"/>
    </xf>
    <xf numFmtId="0" fontId="117" fillId="40" borderId="32" xfId="3" applyFont="1" applyFill="1" applyBorder="1" applyAlignment="1">
      <alignment horizontal="center" vertical="center" wrapText="1"/>
    </xf>
    <xf numFmtId="166" fontId="10" fillId="0" borderId="148" xfId="4" applyNumberFormat="1" applyFont="1" applyBorder="1" applyAlignment="1">
      <alignment horizontal="center" vertical="center" wrapText="1"/>
    </xf>
    <xf numFmtId="0" fontId="10" fillId="0" borderId="90" xfId="3" applyFont="1" applyBorder="1" applyAlignment="1">
      <alignment horizontal="center" vertical="center"/>
    </xf>
    <xf numFmtId="166" fontId="10" fillId="0" borderId="135" xfId="4" applyNumberFormat="1" applyFont="1" applyBorder="1" applyAlignment="1">
      <alignment horizontal="center" vertical="center" wrapText="1"/>
    </xf>
    <xf numFmtId="166" fontId="10" fillId="0" borderId="144" xfId="4" applyNumberFormat="1" applyFont="1" applyBorder="1" applyAlignment="1">
      <alignment horizontal="center" vertical="center" wrapText="1"/>
    </xf>
    <xf numFmtId="166" fontId="10" fillId="0" borderId="36" xfId="4" applyNumberFormat="1" applyFont="1" applyBorder="1" applyAlignment="1">
      <alignment horizontal="center" vertical="center" wrapText="1"/>
    </xf>
    <xf numFmtId="0" fontId="10" fillId="0" borderId="135" xfId="3" applyFont="1" applyBorder="1" applyAlignment="1">
      <alignment horizontal="left" vertical="center" wrapText="1"/>
    </xf>
    <xf numFmtId="0" fontId="10" fillId="0" borderId="36" xfId="3" applyFont="1" applyBorder="1" applyAlignment="1">
      <alignment horizontal="center" vertical="center" wrapText="1"/>
    </xf>
    <xf numFmtId="0" fontId="117" fillId="40" borderId="36" xfId="3" applyFont="1" applyFill="1" applyBorder="1" applyAlignment="1">
      <alignment horizontal="center" vertical="center" wrapText="1"/>
    </xf>
    <xf numFmtId="0" fontId="117" fillId="40" borderId="92" xfId="3" applyFont="1" applyFill="1" applyBorder="1" applyAlignment="1">
      <alignment horizontal="center" vertical="center" wrapText="1"/>
    </xf>
    <xf numFmtId="0" fontId="10" fillId="5" borderId="92" xfId="3" applyFont="1" applyFill="1" applyBorder="1" applyAlignment="1">
      <alignment horizontal="center" vertical="center" wrapText="1"/>
    </xf>
    <xf numFmtId="194" fontId="138" fillId="41" borderId="89" xfId="1" applyNumberFormat="1" applyFont="1" applyFill="1" applyBorder="1" applyAlignment="1">
      <alignment horizontal="right" vertical="center" wrapText="1"/>
    </xf>
    <xf numFmtId="194" fontId="138" fillId="41" borderId="91" xfId="1" applyNumberFormat="1" applyFont="1" applyFill="1" applyBorder="1" applyAlignment="1">
      <alignment horizontal="right" vertical="center"/>
    </xf>
    <xf numFmtId="194" fontId="138" fillId="41" borderId="94" xfId="1" applyNumberFormat="1" applyFont="1" applyFill="1" applyBorder="1" applyAlignment="1">
      <alignment horizontal="right" vertical="center" wrapText="1"/>
    </xf>
    <xf numFmtId="0" fontId="10" fillId="41" borderId="92" xfId="3" applyFont="1" applyFill="1" applyBorder="1" applyAlignment="1">
      <alignment horizontal="center" vertical="center" wrapText="1"/>
    </xf>
    <xf numFmtId="194" fontId="0" fillId="0" borderId="0" xfId="0" applyNumberFormat="1" applyBorder="1"/>
    <xf numFmtId="0" fontId="117" fillId="40" borderId="115" xfId="3" applyFont="1" applyFill="1" applyBorder="1" applyAlignment="1">
      <alignment horizontal="center"/>
    </xf>
    <xf numFmtId="0" fontId="117" fillId="40" borderId="42" xfId="3" applyFont="1" applyFill="1" applyBorder="1" applyAlignment="1">
      <alignment horizontal="center"/>
    </xf>
    <xf numFmtId="0" fontId="117" fillId="40" borderId="116" xfId="3" applyFont="1" applyFill="1" applyBorder="1" applyAlignment="1">
      <alignment horizontal="center"/>
    </xf>
    <xf numFmtId="166" fontId="117" fillId="40" borderId="42" xfId="3" applyNumberFormat="1" applyFont="1" applyFill="1" applyBorder="1" applyAlignment="1">
      <alignment horizontal="center"/>
    </xf>
    <xf numFmtId="166" fontId="117" fillId="40" borderId="116" xfId="3" applyNumberFormat="1" applyFont="1" applyFill="1" applyBorder="1" applyAlignment="1">
      <alignment horizontal="center"/>
    </xf>
    <xf numFmtId="166" fontId="117" fillId="40" borderId="0" xfId="3" applyNumberFormat="1" applyFont="1" applyFill="1" applyBorder="1" applyAlignment="1">
      <alignment horizontal="center"/>
    </xf>
    <xf numFmtId="166" fontId="117" fillId="40" borderId="21" xfId="3" applyNumberFormat="1" applyFont="1" applyFill="1" applyBorder="1" applyAlignment="1">
      <alignment horizontal="center"/>
    </xf>
    <xf numFmtId="166" fontId="117" fillId="40" borderId="17" xfId="3" applyNumberFormat="1" applyFont="1" applyFill="1" applyBorder="1" applyAlignment="1">
      <alignment horizontal="center"/>
    </xf>
    <xf numFmtId="166" fontId="117" fillId="40" borderId="123" xfId="3" applyNumberFormat="1" applyFont="1" applyFill="1" applyBorder="1" applyAlignment="1">
      <alignment horizontal="center"/>
    </xf>
    <xf numFmtId="0" fontId="117" fillId="40" borderId="44" xfId="3" applyFont="1" applyFill="1" applyBorder="1" applyAlignment="1">
      <alignment horizontal="center" vertical="center" wrapText="1"/>
    </xf>
    <xf numFmtId="0" fontId="117" fillId="40" borderId="50" xfId="3" applyFont="1" applyFill="1" applyBorder="1" applyAlignment="1">
      <alignment horizontal="center" vertical="center" wrapText="1"/>
    </xf>
    <xf numFmtId="173" fontId="117" fillId="40" borderId="45" xfId="3" applyNumberFormat="1" applyFont="1" applyFill="1" applyBorder="1" applyAlignment="1">
      <alignment horizontal="center" vertical="center"/>
    </xf>
    <xf numFmtId="173" fontId="117" fillId="40" borderId="51" xfId="3" applyNumberFormat="1" applyFont="1" applyFill="1" applyBorder="1" applyAlignment="1">
      <alignment horizontal="center" vertical="center"/>
    </xf>
    <xf numFmtId="0" fontId="117" fillId="40" borderId="45" xfId="3" applyFont="1" applyFill="1" applyBorder="1" applyAlignment="1">
      <alignment horizontal="center" vertical="center" wrapText="1"/>
    </xf>
    <xf numFmtId="0" fontId="117" fillId="40" borderId="48" xfId="3" applyFont="1" applyFill="1" applyBorder="1" applyAlignment="1">
      <alignment horizontal="center" vertical="center" wrapText="1"/>
    </xf>
    <xf numFmtId="0" fontId="117" fillId="40" borderId="51" xfId="3" applyFont="1" applyFill="1" applyBorder="1" applyAlignment="1">
      <alignment horizontal="center" vertical="center" wrapText="1"/>
    </xf>
    <xf numFmtId="0" fontId="117" fillId="40" borderId="122" xfId="3" applyFont="1" applyFill="1" applyBorder="1" applyAlignment="1">
      <alignment horizontal="center"/>
    </xf>
    <xf numFmtId="0" fontId="117" fillId="40" borderId="17" xfId="3" applyFont="1" applyFill="1" applyBorder="1" applyAlignment="1">
      <alignment horizontal="center"/>
    </xf>
    <xf numFmtId="0" fontId="117" fillId="40" borderId="123" xfId="3" applyFont="1" applyFill="1" applyBorder="1" applyAlignment="1">
      <alignment horizontal="center"/>
    </xf>
    <xf numFmtId="0" fontId="117" fillId="40" borderId="20" xfId="3" applyFont="1" applyFill="1" applyBorder="1" applyAlignment="1">
      <alignment horizontal="center"/>
    </xf>
    <xf numFmtId="0" fontId="117" fillId="40" borderId="0" xfId="3" applyFont="1" applyFill="1" applyBorder="1" applyAlignment="1">
      <alignment horizontal="center"/>
    </xf>
    <xf numFmtId="0" fontId="117" fillId="40" borderId="21" xfId="3" applyFont="1" applyFill="1" applyBorder="1" applyAlignment="1">
      <alignment horizontal="center"/>
    </xf>
    <xf numFmtId="0" fontId="117" fillId="40" borderId="20" xfId="3" applyFont="1" applyFill="1" applyBorder="1" applyAlignment="1">
      <alignment horizontal="center" wrapText="1"/>
    </xf>
    <xf numFmtId="0" fontId="117" fillId="40" borderId="0" xfId="3" applyFont="1" applyFill="1" applyBorder="1" applyAlignment="1">
      <alignment horizontal="center" wrapText="1"/>
    </xf>
    <xf numFmtId="0" fontId="117" fillId="40" borderId="21" xfId="3" applyFont="1" applyFill="1" applyBorder="1" applyAlignment="1">
      <alignment horizontal="center" wrapText="1"/>
    </xf>
    <xf numFmtId="0" fontId="10" fillId="41" borderId="32" xfId="3" applyFont="1" applyFill="1" applyBorder="1" applyAlignment="1">
      <alignment horizontal="center" vertical="center" wrapText="1"/>
    </xf>
    <xf numFmtId="0" fontId="10" fillId="41" borderId="49" xfId="3" applyFont="1" applyFill="1" applyBorder="1" applyAlignment="1">
      <alignment horizontal="center" vertical="center" wrapText="1"/>
    </xf>
    <xf numFmtId="0" fontId="10" fillId="41" borderId="84" xfId="3" applyFont="1" applyFill="1" applyBorder="1" applyAlignment="1">
      <alignment horizontal="center" vertical="center" wrapText="1"/>
    </xf>
    <xf numFmtId="0" fontId="10" fillId="41" borderId="44" xfId="3" applyFont="1" applyFill="1" applyBorder="1" applyAlignment="1">
      <alignment horizontal="center" vertical="center" wrapText="1"/>
    </xf>
    <xf numFmtId="0" fontId="10" fillId="41" borderId="46" xfId="3" applyFont="1" applyFill="1" applyBorder="1" applyAlignment="1">
      <alignment horizontal="center" vertical="center" wrapText="1"/>
    </xf>
    <xf numFmtId="0" fontId="10" fillId="41" borderId="133" xfId="3" applyFont="1" applyFill="1" applyBorder="1" applyAlignment="1">
      <alignment horizontal="center" vertical="center" wrapText="1"/>
    </xf>
    <xf numFmtId="0" fontId="10" fillId="41" borderId="47" xfId="3" applyFont="1" applyFill="1" applyBorder="1" applyAlignment="1">
      <alignment horizontal="center" vertical="center" wrapText="1"/>
    </xf>
    <xf numFmtId="0" fontId="10" fillId="41" borderId="50" xfId="3" applyFont="1" applyFill="1" applyBorder="1" applyAlignment="1">
      <alignment horizontal="center" vertical="center" wrapText="1"/>
    </xf>
    <xf numFmtId="0" fontId="10" fillId="41" borderId="52" xfId="3" applyFont="1" applyFill="1" applyBorder="1" applyAlignment="1">
      <alignment horizontal="center" vertical="center" wrapText="1"/>
    </xf>
    <xf numFmtId="0" fontId="10" fillId="41" borderId="93" xfId="3" applyFont="1" applyFill="1" applyBorder="1" applyAlignment="1">
      <alignment horizontal="center" vertical="center" wrapText="1"/>
    </xf>
    <xf numFmtId="0" fontId="117" fillId="40" borderId="151" xfId="3" applyFont="1" applyFill="1" applyBorder="1" applyAlignment="1">
      <alignment horizontal="center" vertical="center"/>
    </xf>
    <xf numFmtId="0" fontId="117" fillId="40" borderId="96" xfId="3" applyFont="1" applyFill="1" applyBorder="1" applyAlignment="1">
      <alignment horizontal="center" vertical="center"/>
    </xf>
    <xf numFmtId="0" fontId="117" fillId="40" borderId="97" xfId="3" applyFont="1" applyFill="1" applyBorder="1" applyAlignment="1">
      <alignment horizontal="center" vertical="center"/>
    </xf>
    <xf numFmtId="0" fontId="117" fillId="40" borderId="95" xfId="3" applyFont="1" applyFill="1" applyBorder="1" applyAlignment="1">
      <alignment horizontal="center" vertical="center"/>
    </xf>
    <xf numFmtId="0" fontId="117" fillId="40" borderId="152" xfId="3" applyFont="1" applyFill="1" applyBorder="1" applyAlignment="1">
      <alignment horizontal="center" vertical="center" wrapText="1"/>
    </xf>
    <xf numFmtId="0" fontId="117" fillId="40" borderId="153" xfId="3" applyFont="1" applyFill="1" applyBorder="1" applyAlignment="1">
      <alignment horizontal="center" vertical="center" wrapText="1"/>
    </xf>
    <xf numFmtId="0" fontId="117" fillId="40" borderId="154" xfId="3" applyFont="1" applyFill="1" applyBorder="1" applyAlignment="1">
      <alignment horizontal="center" vertical="center" wrapText="1"/>
    </xf>
    <xf numFmtId="0" fontId="117" fillId="40" borderId="133" xfId="3" applyFont="1" applyFill="1" applyBorder="1" applyAlignment="1">
      <alignment horizontal="center" vertical="center" wrapText="1"/>
    </xf>
    <xf numFmtId="0" fontId="117" fillId="40" borderId="84" xfId="3" applyFont="1" applyFill="1" applyBorder="1" applyAlignment="1">
      <alignment horizontal="center" vertical="center" wrapText="1"/>
    </xf>
    <xf numFmtId="0" fontId="117" fillId="40" borderId="93" xfId="3" applyFont="1" applyFill="1" applyBorder="1" applyAlignment="1">
      <alignment horizontal="center" vertical="center" wrapText="1"/>
    </xf>
    <xf numFmtId="0" fontId="117" fillId="40" borderId="89" xfId="3" applyFont="1" applyFill="1" applyBorder="1" applyAlignment="1">
      <alignment horizontal="center" vertical="center" wrapText="1"/>
    </xf>
    <xf numFmtId="0" fontId="117" fillId="40" borderId="91" xfId="3" applyFont="1" applyFill="1" applyBorder="1" applyAlignment="1">
      <alignment horizontal="center" vertical="center" wrapText="1"/>
    </xf>
    <xf numFmtId="0" fontId="117" fillId="40" borderId="94" xfId="3" applyFont="1" applyFill="1" applyBorder="1" applyAlignment="1">
      <alignment horizontal="center" vertical="center" wrapText="1"/>
    </xf>
    <xf numFmtId="0" fontId="117" fillId="40" borderId="92" xfId="3" applyFont="1" applyFill="1" applyBorder="1" applyAlignment="1">
      <alignment horizontal="center" vertical="center"/>
    </xf>
    <xf numFmtId="0" fontId="10" fillId="41" borderId="92" xfId="3" applyFont="1" applyFill="1" applyBorder="1" applyAlignment="1">
      <alignment horizontal="center" vertical="center" wrapText="1"/>
    </xf>
    <xf numFmtId="0" fontId="10" fillId="41" borderId="31" xfId="3" applyFont="1" applyFill="1" applyBorder="1" applyAlignment="1">
      <alignment horizontal="center" vertical="center" wrapText="1"/>
    </xf>
    <xf numFmtId="0" fontId="10" fillId="41" borderId="145" xfId="3" applyFont="1" applyFill="1" applyBorder="1" applyAlignment="1">
      <alignment horizontal="center" vertical="center" wrapText="1"/>
    </xf>
    <xf numFmtId="0" fontId="10" fillId="41" borderId="146" xfId="3" applyFont="1" applyFill="1" applyBorder="1" applyAlignment="1">
      <alignment horizontal="center" vertical="center" wrapText="1"/>
    </xf>
    <xf numFmtId="0" fontId="117" fillId="40" borderId="41" xfId="3" applyFont="1" applyFill="1" applyBorder="1" applyAlignment="1">
      <alignment horizontal="center" vertical="center" wrapText="1"/>
    </xf>
    <xf numFmtId="0" fontId="117" fillId="40" borderId="147" xfId="3" applyFont="1" applyFill="1" applyBorder="1" applyAlignment="1">
      <alignment horizontal="center" vertical="center" wrapText="1"/>
    </xf>
    <xf numFmtId="0" fontId="117" fillId="40" borderId="150" xfId="3" applyFont="1" applyFill="1" applyBorder="1" applyAlignment="1">
      <alignment horizontal="center" vertical="center" wrapText="1"/>
    </xf>
    <xf numFmtId="0" fontId="117" fillId="40" borderId="98" xfId="3" applyFont="1" applyFill="1" applyBorder="1" applyAlignment="1">
      <alignment horizontal="center" vertical="center" wrapText="1"/>
    </xf>
    <xf numFmtId="0" fontId="117" fillId="40" borderId="92" xfId="3" applyFont="1" applyFill="1" applyBorder="1" applyAlignment="1">
      <alignment horizontal="center" vertical="center" wrapText="1"/>
    </xf>
    <xf numFmtId="0" fontId="117" fillId="40" borderId="145" xfId="3" applyFont="1" applyFill="1" applyBorder="1" applyAlignment="1">
      <alignment horizontal="center" vertical="center" wrapText="1"/>
    </xf>
    <xf numFmtId="0" fontId="117" fillId="40" borderId="88" xfId="3" applyFont="1" applyFill="1" applyBorder="1" applyAlignment="1">
      <alignment horizontal="center" vertical="center" wrapText="1"/>
    </xf>
    <xf numFmtId="0" fontId="117" fillId="40" borderId="31" xfId="3" applyFont="1" applyFill="1" applyBorder="1" applyAlignment="1">
      <alignment horizontal="center" vertical="center" wrapText="1"/>
    </xf>
    <xf numFmtId="0" fontId="117" fillId="40" borderId="146" xfId="3" applyFont="1" applyFill="1" applyBorder="1" applyAlignment="1">
      <alignment horizontal="center" vertical="center" wrapText="1"/>
    </xf>
    <xf numFmtId="0" fontId="121" fillId="2" borderId="2" xfId="3" applyFont="1" applyFill="1" applyBorder="1" applyAlignment="1">
      <alignment horizontal="center" vertical="center"/>
    </xf>
    <xf numFmtId="0" fontId="121" fillId="2" borderId="71" xfId="3" applyFont="1" applyFill="1" applyBorder="1" applyAlignment="1">
      <alignment horizontal="center" vertical="center"/>
    </xf>
    <xf numFmtId="0" fontId="121" fillId="2" borderId="99" xfId="3" applyFont="1" applyFill="1" applyBorder="1" applyAlignment="1">
      <alignment horizontal="center" vertical="center"/>
    </xf>
    <xf numFmtId="0" fontId="121" fillId="2" borderId="7" xfId="3" applyFont="1" applyFill="1" applyBorder="1" applyAlignment="1">
      <alignment horizontal="center" vertical="center"/>
    </xf>
    <xf numFmtId="0" fontId="121" fillId="2" borderId="124" xfId="3" applyFont="1" applyFill="1" applyBorder="1" applyAlignment="1">
      <alignment horizontal="center" vertical="center"/>
    </xf>
    <xf numFmtId="0" fontId="121" fillId="2" borderId="115" xfId="3" applyFont="1" applyFill="1" applyBorder="1" applyAlignment="1">
      <alignment horizontal="center" vertical="center"/>
    </xf>
    <xf numFmtId="0" fontId="122" fillId="0" borderId="42" xfId="3" applyFont="1" applyBorder="1"/>
    <xf numFmtId="0" fontId="122" fillId="0" borderId="116" xfId="3" applyFont="1" applyBorder="1"/>
    <xf numFmtId="0" fontId="121" fillId="2" borderId="20" xfId="3" applyFont="1" applyFill="1" applyBorder="1" applyAlignment="1">
      <alignment horizontal="center" vertical="center"/>
    </xf>
    <xf numFmtId="0" fontId="122" fillId="0" borderId="0" xfId="3" applyFont="1" applyBorder="1"/>
    <xf numFmtId="0" fontId="122" fillId="0" borderId="21" xfId="3" applyFont="1" applyBorder="1"/>
    <xf numFmtId="0" fontId="121" fillId="2" borderId="20" xfId="3" applyFont="1" applyFill="1" applyBorder="1" applyAlignment="1">
      <alignment horizontal="center" vertical="center" wrapText="1"/>
    </xf>
    <xf numFmtId="0" fontId="122" fillId="0" borderId="0" xfId="3" applyFont="1" applyBorder="1" applyAlignment="1">
      <alignment wrapText="1"/>
    </xf>
    <xf numFmtId="0" fontId="122" fillId="0" borderId="21" xfId="3" applyFont="1" applyBorder="1" applyAlignment="1">
      <alignment wrapText="1"/>
    </xf>
    <xf numFmtId="0" fontId="122" fillId="0" borderId="20" xfId="3" applyFont="1" applyBorder="1" applyAlignment="1">
      <alignment wrapText="1"/>
    </xf>
    <xf numFmtId="0" fontId="123" fillId="0" borderId="0" xfId="3" applyFont="1" applyBorder="1" applyAlignment="1">
      <alignment wrapText="1"/>
    </xf>
    <xf numFmtId="0" fontId="122" fillId="0" borderId="117" xfId="3" applyFont="1" applyBorder="1"/>
    <xf numFmtId="0" fontId="122" fillId="0" borderId="111" xfId="3" applyFont="1" applyBorder="1"/>
    <xf numFmtId="0" fontId="122" fillId="0" borderId="118" xfId="3" applyFont="1" applyBorder="1"/>
    <xf numFmtId="0" fontId="10" fillId="0" borderId="2" xfId="3" applyFont="1" applyBorder="1" applyAlignment="1">
      <alignment horizontal="center" vertical="center" wrapText="1"/>
    </xf>
    <xf numFmtId="0" fontId="124" fillId="2" borderId="2" xfId="3" applyFont="1" applyFill="1" applyBorder="1" applyAlignment="1">
      <alignment horizontal="left" vertical="center" wrapText="1"/>
    </xf>
    <xf numFmtId="0" fontId="122" fillId="0" borderId="2" xfId="3" applyFont="1" applyBorder="1"/>
    <xf numFmtId="0" fontId="123" fillId="0" borderId="8" xfId="3" applyFont="1" applyBorder="1" applyAlignment="1">
      <alignment horizontal="center" vertical="center"/>
    </xf>
    <xf numFmtId="0" fontId="123" fillId="0" borderId="8" xfId="3" applyFont="1" applyBorder="1"/>
    <xf numFmtId="0" fontId="125" fillId="0" borderId="138" xfId="3" applyFont="1" applyBorder="1" applyAlignment="1">
      <alignment horizontal="left" vertical="center" wrapText="1"/>
    </xf>
    <xf numFmtId="0" fontId="122" fillId="0" borderId="138" xfId="3" applyFont="1" applyBorder="1"/>
    <xf numFmtId="195" fontId="125" fillId="0" borderId="138" xfId="3" applyNumberFormat="1" applyFont="1" applyBorder="1" applyAlignment="1">
      <alignment horizontal="right" vertical="center" wrapText="1"/>
    </xf>
    <xf numFmtId="0" fontId="122" fillId="0" borderId="139" xfId="3" applyFont="1" applyBorder="1"/>
    <xf numFmtId="0" fontId="113" fillId="0" borderId="108" xfId="14" applyFont="1" applyBorder="1" applyAlignment="1">
      <alignment horizontal="right" vertical="center"/>
    </xf>
    <xf numFmtId="0" fontId="113" fillId="0" borderId="2" xfId="14" applyFont="1" applyBorder="1" applyAlignment="1">
      <alignment horizontal="right" vertical="center"/>
    </xf>
    <xf numFmtId="0" fontId="113" fillId="45" borderId="108" xfId="14" applyFont="1" applyFill="1" applyBorder="1" applyAlignment="1">
      <alignment horizontal="left" vertical="center"/>
    </xf>
    <xf numFmtId="0" fontId="113" fillId="45" borderId="2" xfId="14" applyFont="1" applyFill="1" applyBorder="1" applyAlignment="1">
      <alignment horizontal="left" vertical="center"/>
    </xf>
    <xf numFmtId="0" fontId="113" fillId="9" borderId="108" xfId="14" applyFont="1" applyFill="1" applyBorder="1" applyAlignment="1">
      <alignment horizontal="left" vertical="center"/>
    </xf>
    <xf numFmtId="0" fontId="113" fillId="9" borderId="2" xfId="14" applyFont="1" applyFill="1" applyBorder="1" applyAlignment="1">
      <alignment horizontal="left" vertical="center"/>
    </xf>
    <xf numFmtId="0" fontId="113" fillId="44" borderId="108" xfId="14" applyFont="1" applyFill="1" applyBorder="1" applyAlignment="1">
      <alignment horizontal="left" vertical="center"/>
    </xf>
    <xf numFmtId="0" fontId="113" fillId="44" borderId="2" xfId="14" applyFont="1" applyFill="1" applyBorder="1" applyAlignment="1">
      <alignment horizontal="left" vertical="center"/>
    </xf>
    <xf numFmtId="0" fontId="127" fillId="0" borderId="115" xfId="14" applyFont="1" applyBorder="1" applyAlignment="1">
      <alignment horizontal="center" vertical="center"/>
    </xf>
    <xf numFmtId="0" fontId="127" fillId="0" borderId="42" xfId="14" applyFont="1" applyBorder="1" applyAlignment="1">
      <alignment horizontal="center" vertical="center"/>
    </xf>
    <xf numFmtId="0" fontId="127" fillId="0" borderId="116" xfId="14" applyFont="1" applyBorder="1" applyAlignment="1">
      <alignment horizontal="center" vertical="center"/>
    </xf>
    <xf numFmtId="0" fontId="130" fillId="0" borderId="119" xfId="5" applyFont="1" applyBorder="1" applyAlignment="1">
      <alignment horizontal="center" vertical="center" wrapText="1"/>
    </xf>
    <xf numFmtId="0" fontId="130" fillId="0" borderId="120" xfId="5" applyFont="1" applyBorder="1" applyAlignment="1">
      <alignment horizontal="center" vertical="center" wrapText="1"/>
    </xf>
    <xf numFmtId="0" fontId="130" fillId="0" borderId="121" xfId="5" applyFont="1" applyBorder="1" applyAlignment="1">
      <alignment horizontal="center" vertical="center" wrapText="1"/>
    </xf>
    <xf numFmtId="0" fontId="113" fillId="0" borderId="20" xfId="14" applyFont="1" applyBorder="1" applyAlignment="1">
      <alignment horizontal="center" wrapText="1"/>
    </xf>
    <xf numFmtId="0" fontId="131" fillId="0" borderId="0" xfId="5" applyFont="1" applyAlignment="1">
      <alignment wrapText="1"/>
    </xf>
    <xf numFmtId="0" fontId="131" fillId="0" borderId="21" xfId="5" applyFont="1" applyBorder="1" applyAlignment="1">
      <alignment wrapText="1"/>
    </xf>
    <xf numFmtId="0" fontId="140" fillId="0" borderId="119" xfId="87" applyFont="1" applyBorder="1" applyAlignment="1">
      <alignment horizontal="center"/>
    </xf>
    <xf numFmtId="0" fontId="140" fillId="0" borderId="120" xfId="87" applyFont="1" applyBorder="1" applyAlignment="1">
      <alignment horizontal="center"/>
    </xf>
    <xf numFmtId="0" fontId="140" fillId="0" borderId="121" xfId="87" applyFont="1" applyBorder="1" applyAlignment="1">
      <alignment horizontal="center"/>
    </xf>
    <xf numFmtId="0" fontId="140" fillId="0" borderId="115" xfId="87" applyFont="1" applyBorder="1" applyAlignment="1">
      <alignment horizontal="center" vertical="center" wrapText="1"/>
    </xf>
    <xf numFmtId="0" fontId="140" fillId="0" borderId="42" xfId="87" applyFont="1" applyBorder="1" applyAlignment="1">
      <alignment horizontal="center" vertical="center" wrapText="1"/>
    </xf>
    <xf numFmtId="0" fontId="140" fillId="0" borderId="116" xfId="87" applyFont="1" applyBorder="1" applyAlignment="1">
      <alignment horizontal="center" vertical="center" wrapText="1"/>
    </xf>
    <xf numFmtId="0" fontId="140" fillId="0" borderId="122" xfId="87" applyFont="1" applyBorder="1" applyAlignment="1">
      <alignment horizontal="center" vertical="center" wrapText="1"/>
    </xf>
    <xf numFmtId="0" fontId="140" fillId="0" borderId="17" xfId="87" applyFont="1" applyBorder="1" applyAlignment="1">
      <alignment horizontal="center" vertical="center" wrapText="1"/>
    </xf>
    <xf numFmtId="0" fontId="140" fillId="0" borderId="123" xfId="87" applyFont="1" applyBorder="1" applyAlignment="1">
      <alignment horizontal="center" vertical="center" wrapText="1"/>
    </xf>
    <xf numFmtId="0" fontId="140" fillId="0" borderId="44" xfId="87" applyFont="1" applyBorder="1" applyAlignment="1">
      <alignment horizontal="center" wrapText="1"/>
    </xf>
    <xf numFmtId="0" fontId="140" fillId="0" borderId="133" xfId="87" applyFont="1" applyBorder="1" applyAlignment="1">
      <alignment horizontal="center" wrapText="1"/>
    </xf>
    <xf numFmtId="0" fontId="140" fillId="45" borderId="50" xfId="87" applyFont="1" applyFill="1" applyBorder="1" applyAlignment="1">
      <alignment horizontal="center" wrapText="1"/>
    </xf>
    <xf numFmtId="0" fontId="140" fillId="45" borderId="93" xfId="87" applyFont="1" applyFill="1" applyBorder="1" applyAlignment="1">
      <alignment horizontal="center" wrapText="1"/>
    </xf>
    <xf numFmtId="0" fontId="3" fillId="2" borderId="0" xfId="3" applyFont="1" applyFill="1" applyAlignment="1">
      <alignment horizontal="center" vertical="center" wrapText="1"/>
    </xf>
    <xf numFmtId="0" fontId="3" fillId="2" borderId="18" xfId="3" applyFont="1" applyFill="1" applyBorder="1" applyAlignment="1">
      <alignment horizontal="center" vertical="center" wrapText="1"/>
    </xf>
    <xf numFmtId="0" fontId="5" fillId="2" borderId="22" xfId="3" applyFont="1" applyFill="1" applyBorder="1" applyAlignment="1">
      <alignment horizontal="center"/>
    </xf>
    <xf numFmtId="0" fontId="5" fillId="2" borderId="23" xfId="3" applyFont="1" applyFill="1" applyBorder="1" applyAlignment="1">
      <alignment horizontal="center"/>
    </xf>
    <xf numFmtId="0" fontId="5" fillId="2" borderId="30" xfId="3" applyFont="1" applyFill="1" applyBorder="1" applyAlignment="1">
      <alignment horizontal="center"/>
    </xf>
    <xf numFmtId="0" fontId="9" fillId="0" borderId="3" xfId="3" applyFont="1" applyBorder="1" applyAlignment="1">
      <alignment horizontal="center" vertical="center" wrapText="1"/>
    </xf>
    <xf numFmtId="0" fontId="7" fillId="0" borderId="4" xfId="3" applyFont="1" applyBorder="1"/>
    <xf numFmtId="0" fontId="6" fillId="3" borderId="3" xfId="3" applyFont="1" applyFill="1" applyBorder="1" applyAlignment="1">
      <alignment horizontal="center"/>
    </xf>
    <xf numFmtId="0" fontId="7" fillId="0" borderId="5" xfId="3" applyFont="1" applyBorder="1"/>
    <xf numFmtId="0" fontId="11" fillId="0" borderId="3" xfId="3" applyFont="1" applyBorder="1" applyAlignment="1">
      <alignment horizontal="center" vertical="center"/>
    </xf>
    <xf numFmtId="0" fontId="9" fillId="0" borderId="4" xfId="3" applyFont="1" applyBorder="1" applyAlignment="1">
      <alignment horizontal="center" vertical="center" wrapText="1"/>
    </xf>
    <xf numFmtId="0" fontId="4" fillId="2" borderId="3" xfId="3" applyFont="1" applyFill="1" applyBorder="1" applyAlignment="1">
      <alignment horizontal="center" vertical="center"/>
    </xf>
    <xf numFmtId="0" fontId="4" fillId="2" borderId="4" xfId="3" applyFont="1" applyFill="1" applyBorder="1" applyAlignment="1">
      <alignment horizontal="center" vertical="center"/>
    </xf>
    <xf numFmtId="0" fontId="5" fillId="2" borderId="24" xfId="3" applyFont="1" applyFill="1" applyBorder="1" applyAlignment="1">
      <alignment horizontal="center" vertical="center" wrapText="1"/>
    </xf>
    <xf numFmtId="0" fontId="5" fillId="2" borderId="25" xfId="3" applyFont="1" applyFill="1" applyBorder="1" applyAlignment="1">
      <alignment horizontal="center" vertical="center" wrapText="1"/>
    </xf>
    <xf numFmtId="0" fontId="5" fillId="2" borderId="26" xfId="3" applyFont="1" applyFill="1" applyBorder="1" applyAlignment="1">
      <alignment horizontal="center" vertical="center" wrapText="1"/>
    </xf>
    <xf numFmtId="0" fontId="5" fillId="2" borderId="27" xfId="3" applyFont="1" applyFill="1" applyBorder="1" applyAlignment="1">
      <alignment horizontal="center" vertical="center" wrapText="1"/>
    </xf>
    <xf numFmtId="0" fontId="5" fillId="2" borderId="28" xfId="3" applyFont="1" applyFill="1" applyBorder="1" applyAlignment="1">
      <alignment horizontal="center" vertical="center" wrapText="1"/>
    </xf>
    <xf numFmtId="0" fontId="5" fillId="2" borderId="29" xfId="3" applyFont="1" applyFill="1" applyBorder="1" applyAlignment="1">
      <alignment horizontal="center" vertical="center" wrapText="1"/>
    </xf>
    <xf numFmtId="0" fontId="6" fillId="2" borderId="4" xfId="3" applyFont="1" applyFill="1" applyBorder="1" applyAlignment="1">
      <alignment horizontal="center"/>
    </xf>
    <xf numFmtId="0" fontId="8" fillId="0" borderId="3" xfId="3" applyFont="1" applyBorder="1" applyAlignment="1">
      <alignment horizontal="center" vertical="center"/>
    </xf>
    <xf numFmtId="0" fontId="13" fillId="0" borderId="3" xfId="3" applyFont="1" applyBorder="1" applyAlignment="1">
      <alignment horizontal="center" vertical="center"/>
    </xf>
    <xf numFmtId="0" fontId="14" fillId="0" borderId="4" xfId="3" applyFont="1" applyBorder="1"/>
    <xf numFmtId="0" fontId="16" fillId="2" borderId="3" xfId="3" applyFont="1" applyFill="1" applyBorder="1" applyAlignment="1">
      <alignment horizontal="center"/>
    </xf>
    <xf numFmtId="0" fontId="11" fillId="0" borderId="5" xfId="3" applyFont="1" applyBorder="1" applyAlignment="1">
      <alignment horizontal="center" vertical="center"/>
    </xf>
    <xf numFmtId="0" fontId="13" fillId="0" borderId="3" xfId="3" applyFont="1" applyBorder="1" applyAlignment="1">
      <alignment horizontal="center" vertical="center" wrapText="1"/>
    </xf>
    <xf numFmtId="0" fontId="9" fillId="0" borderId="13" xfId="3" applyFont="1" applyBorder="1" applyAlignment="1">
      <alignment horizontal="center" vertical="center" wrapText="1"/>
    </xf>
    <xf numFmtId="0" fontId="9" fillId="0" borderId="14" xfId="3" applyFont="1" applyBorder="1" applyAlignment="1">
      <alignment horizontal="center" vertical="center" wrapText="1"/>
    </xf>
    <xf numFmtId="0" fontId="17" fillId="2" borderId="3" xfId="3" applyFont="1" applyFill="1" applyBorder="1" applyAlignment="1">
      <alignment horizontal="center"/>
    </xf>
    <xf numFmtId="0" fontId="19" fillId="0" borderId="4" xfId="3" applyFont="1" applyBorder="1"/>
    <xf numFmtId="0" fontId="19" fillId="0" borderId="3" xfId="3" applyFont="1" applyBorder="1"/>
    <xf numFmtId="0" fontId="20" fillId="2" borderId="4" xfId="3" applyFont="1" applyFill="1" applyBorder="1" applyAlignment="1">
      <alignment horizontal="center" vertical="center" wrapText="1"/>
    </xf>
    <xf numFmtId="0" fontId="21" fillId="0" borderId="4" xfId="3" applyFont="1" applyBorder="1" applyAlignment="1">
      <alignment wrapText="1"/>
    </xf>
    <xf numFmtId="0" fontId="21" fillId="0" borderId="5" xfId="3" applyFont="1" applyBorder="1" applyAlignment="1">
      <alignment wrapText="1"/>
    </xf>
    <xf numFmtId="0" fontId="22" fillId="2" borderId="4" xfId="3" applyFont="1" applyFill="1" applyBorder="1" applyAlignment="1">
      <alignment horizontal="center"/>
    </xf>
    <xf numFmtId="0" fontId="21" fillId="0" borderId="4" xfId="3" applyFont="1" applyBorder="1"/>
    <xf numFmtId="0" fontId="21" fillId="0" borderId="5" xfId="3" applyFont="1" applyBorder="1"/>
    <xf numFmtId="0" fontId="23" fillId="2" borderId="4" xfId="3" applyFont="1" applyFill="1" applyBorder="1" applyAlignment="1">
      <alignment horizontal="center"/>
    </xf>
    <xf numFmtId="4" fontId="9" fillId="0" borderId="61" xfId="3" applyNumberFormat="1" applyFont="1" applyBorder="1" applyAlignment="1">
      <alignment horizontal="center" vertical="center" wrapText="1"/>
    </xf>
    <xf numFmtId="4" fontId="9" fillId="0" borderId="62" xfId="3" applyNumberFormat="1" applyFont="1" applyBorder="1" applyAlignment="1">
      <alignment horizontal="center" vertical="center" wrapText="1"/>
    </xf>
    <xf numFmtId="4" fontId="9" fillId="0" borderId="61" xfId="3" applyNumberFormat="1" applyFont="1" applyBorder="1" applyAlignment="1">
      <alignment horizontal="center" vertical="center"/>
    </xf>
    <xf numFmtId="4" fontId="9" fillId="0" borderId="62" xfId="3" applyNumberFormat="1" applyFont="1" applyBorder="1" applyAlignment="1">
      <alignment horizontal="center" vertical="center"/>
    </xf>
    <xf numFmtId="0" fontId="9" fillId="5" borderId="3" xfId="3" applyFont="1" applyFill="1" applyBorder="1" applyAlignment="1">
      <alignment horizontal="center" vertical="center" wrapText="1"/>
    </xf>
    <xf numFmtId="0" fontId="7" fillId="5" borderId="4" xfId="3" applyFont="1" applyFill="1" applyBorder="1"/>
    <xf numFmtId="0" fontId="0" fillId="0" borderId="0" xfId="0" applyAlignment="1">
      <alignment horizontal="center" wrapText="1"/>
    </xf>
    <xf numFmtId="0" fontId="11" fillId="0" borderId="9" xfId="3" applyFont="1" applyBorder="1" applyAlignment="1">
      <alignment horizontal="center" vertical="center"/>
    </xf>
    <xf numFmtId="0" fontId="11" fillId="0" borderId="10" xfId="3" applyFont="1" applyBorder="1" applyAlignment="1">
      <alignment horizontal="center" vertical="center"/>
    </xf>
    <xf numFmtId="0" fontId="11" fillId="0" borderId="11" xfId="3" applyFont="1" applyBorder="1" applyAlignment="1">
      <alignment horizontal="center" vertical="center"/>
    </xf>
    <xf numFmtId="0" fontId="24" fillId="2" borderId="3" xfId="3" applyFont="1" applyFill="1" applyBorder="1" applyAlignment="1">
      <alignment horizontal="center" vertical="center"/>
    </xf>
    <xf numFmtId="0" fontId="21" fillId="0" borderId="3" xfId="3" applyFont="1" applyBorder="1"/>
    <xf numFmtId="0" fontId="2" fillId="0" borderId="3" xfId="3" applyBorder="1" applyAlignment="1">
      <alignment horizontal="center"/>
    </xf>
    <xf numFmtId="0" fontId="2" fillId="0" borderId="4" xfId="3" applyBorder="1" applyAlignment="1">
      <alignment horizontal="center"/>
    </xf>
    <xf numFmtId="0" fontId="11" fillId="0" borderId="13" xfId="3" applyFont="1" applyBorder="1" applyAlignment="1">
      <alignment horizontal="center" vertical="center"/>
    </xf>
    <xf numFmtId="0" fontId="11" fillId="0" borderId="14" xfId="3" applyFont="1" applyBorder="1" applyAlignment="1">
      <alignment horizontal="center" vertical="center"/>
    </xf>
    <xf numFmtId="0" fontId="9" fillId="0" borderId="3" xfId="3" applyFont="1" applyBorder="1" applyAlignment="1">
      <alignment horizontal="center" vertical="center"/>
    </xf>
    <xf numFmtId="0" fontId="9" fillId="0" borderId="4" xfId="3" applyFont="1" applyBorder="1" applyAlignment="1">
      <alignment horizontal="center" vertical="center"/>
    </xf>
    <xf numFmtId="2" fontId="9" fillId="0" borderId="13" xfId="3" applyNumberFormat="1" applyFont="1" applyBorder="1" applyAlignment="1">
      <alignment horizontal="center" vertical="center"/>
    </xf>
    <xf numFmtId="2" fontId="9" fillId="0" borderId="14" xfId="3" applyNumberFormat="1" applyFont="1" applyBorder="1" applyAlignment="1">
      <alignment horizontal="center" vertical="center"/>
    </xf>
    <xf numFmtId="0" fontId="13" fillId="0" borderId="4" xfId="3" applyFont="1" applyBorder="1" applyAlignment="1">
      <alignment horizontal="center" vertical="center" wrapText="1"/>
    </xf>
    <xf numFmtId="0" fontId="16" fillId="2" borderId="4" xfId="3" applyFont="1" applyFill="1" applyBorder="1" applyAlignment="1">
      <alignment horizontal="center"/>
    </xf>
    <xf numFmtId="0" fontId="16" fillId="2" borderId="5" xfId="3" applyFont="1" applyFill="1" applyBorder="1" applyAlignment="1">
      <alignment horizontal="center"/>
    </xf>
    <xf numFmtId="0" fontId="9" fillId="0" borderId="13" xfId="3" applyFont="1" applyBorder="1" applyAlignment="1">
      <alignment horizontal="center" vertical="center"/>
    </xf>
    <xf numFmtId="0" fontId="9" fillId="0" borderId="14" xfId="3" applyFont="1" applyBorder="1" applyAlignment="1">
      <alignment horizontal="center" vertical="center"/>
    </xf>
    <xf numFmtId="0" fontId="14" fillId="0" borderId="4" xfId="3" applyFont="1" applyBorder="1" applyAlignment="1">
      <alignment wrapText="1"/>
    </xf>
    <xf numFmtId="0" fontId="24" fillId="2" borderId="127" xfId="3" applyFont="1" applyFill="1" applyBorder="1" applyAlignment="1">
      <alignment horizontal="center" vertical="center"/>
    </xf>
    <xf numFmtId="0" fontId="24" fillId="2" borderId="128" xfId="3" applyFont="1" applyFill="1" applyBorder="1" applyAlignment="1">
      <alignment horizontal="center" vertical="center"/>
    </xf>
    <xf numFmtId="0" fontId="24" fillId="2" borderId="129" xfId="3" applyFont="1" applyFill="1" applyBorder="1" applyAlignment="1">
      <alignment horizontal="center" vertical="center"/>
    </xf>
    <xf numFmtId="0" fontId="24" fillId="2" borderId="130" xfId="3" applyFont="1" applyFill="1" applyBorder="1" applyAlignment="1">
      <alignment horizontal="center" vertical="center"/>
    </xf>
    <xf numFmtId="0" fontId="24" fillId="2" borderId="61" xfId="3" applyFont="1" applyFill="1" applyBorder="1" applyAlignment="1">
      <alignment horizontal="center" vertical="center"/>
    </xf>
    <xf numFmtId="0" fontId="24" fillId="2" borderId="62" xfId="3" applyFont="1" applyFill="1" applyBorder="1" applyAlignment="1">
      <alignment horizontal="center" vertical="center"/>
    </xf>
    <xf numFmtId="0" fontId="20" fillId="2" borderId="24" xfId="3" applyFont="1" applyFill="1" applyBorder="1" applyAlignment="1">
      <alignment horizontal="center" vertical="center" wrapText="1"/>
    </xf>
    <xf numFmtId="0" fontId="20" fillId="2" borderId="25" xfId="3" applyFont="1" applyFill="1" applyBorder="1" applyAlignment="1">
      <alignment horizontal="center" vertical="center" wrapText="1"/>
    </xf>
    <xf numFmtId="0" fontId="20" fillId="2" borderId="26" xfId="3" applyFont="1" applyFill="1" applyBorder="1" applyAlignment="1">
      <alignment horizontal="center" vertical="center" wrapText="1"/>
    </xf>
    <xf numFmtId="0" fontId="20" fillId="2" borderId="27" xfId="3" applyFont="1" applyFill="1" applyBorder="1" applyAlignment="1">
      <alignment horizontal="center" vertical="center" wrapText="1"/>
    </xf>
    <xf numFmtId="0" fontId="20" fillId="2" borderId="28" xfId="3" applyFont="1" applyFill="1" applyBorder="1" applyAlignment="1">
      <alignment horizontal="center" vertical="center" wrapText="1"/>
    </xf>
    <xf numFmtId="0" fontId="20" fillId="2" borderId="29" xfId="3" applyFont="1" applyFill="1" applyBorder="1" applyAlignment="1">
      <alignment horizontal="center" vertical="center" wrapText="1"/>
    </xf>
    <xf numFmtId="0" fontId="22" fillId="2" borderId="22" xfId="3" applyFont="1" applyFill="1" applyBorder="1" applyAlignment="1">
      <alignment horizontal="center"/>
    </xf>
    <xf numFmtId="0" fontId="22" fillId="2" borderId="23" xfId="3" applyFont="1" applyFill="1" applyBorder="1" applyAlignment="1">
      <alignment horizontal="center"/>
    </xf>
    <xf numFmtId="0" fontId="22" fillId="2" borderId="30" xfId="3" applyFont="1" applyFill="1" applyBorder="1" applyAlignment="1">
      <alignment horizontal="center"/>
    </xf>
    <xf numFmtId="0" fontId="23" fillId="2" borderId="22" xfId="3" applyFont="1" applyFill="1" applyBorder="1" applyAlignment="1">
      <alignment horizontal="center"/>
    </xf>
    <xf numFmtId="0" fontId="23" fillId="2" borderId="23" xfId="3" applyFont="1" applyFill="1" applyBorder="1" applyAlignment="1">
      <alignment horizontal="center"/>
    </xf>
    <xf numFmtId="0" fontId="23" fillId="2" borderId="14" xfId="3" applyFont="1" applyFill="1" applyBorder="1" applyAlignment="1">
      <alignment horizontal="center"/>
    </xf>
    <xf numFmtId="0" fontId="8" fillId="0" borderId="13" xfId="3" applyFont="1" applyBorder="1" applyAlignment="1">
      <alignment horizontal="center" vertical="center"/>
    </xf>
    <xf numFmtId="0" fontId="8" fillId="0" borderId="14" xfId="3" applyFont="1" applyBorder="1" applyAlignment="1">
      <alignment horizontal="center" vertical="center"/>
    </xf>
    <xf numFmtId="0" fontId="6" fillId="3" borderId="13" xfId="3" applyFont="1" applyFill="1" applyBorder="1" applyAlignment="1">
      <alignment horizontal="center"/>
    </xf>
    <xf numFmtId="0" fontId="6" fillId="3" borderId="23" xfId="3" applyFont="1" applyFill="1" applyBorder="1" applyAlignment="1">
      <alignment horizontal="center"/>
    </xf>
    <xf numFmtId="0" fontId="6" fillId="3" borderId="30" xfId="3" applyFont="1" applyFill="1" applyBorder="1" applyAlignment="1">
      <alignment horizontal="center"/>
    </xf>
    <xf numFmtId="0" fontId="16" fillId="2" borderId="13" xfId="3" applyFont="1" applyFill="1" applyBorder="1" applyAlignment="1">
      <alignment horizontal="center"/>
    </xf>
    <xf numFmtId="0" fontId="16" fillId="2" borderId="23" xfId="3" applyFont="1" applyFill="1" applyBorder="1" applyAlignment="1">
      <alignment horizontal="center"/>
    </xf>
    <xf numFmtId="0" fontId="16" fillId="2" borderId="30" xfId="3" applyFont="1" applyFill="1" applyBorder="1" applyAlignment="1">
      <alignment horizontal="center"/>
    </xf>
    <xf numFmtId="0" fontId="17" fillId="2" borderId="13" xfId="3" applyFont="1" applyFill="1" applyBorder="1" applyAlignment="1">
      <alignment horizontal="center"/>
    </xf>
    <xf numFmtId="0" fontId="17" fillId="2" borderId="23" xfId="3" applyFont="1" applyFill="1" applyBorder="1" applyAlignment="1">
      <alignment horizontal="center"/>
    </xf>
    <xf numFmtId="0" fontId="17" fillId="2" borderId="14" xfId="3" applyFont="1" applyFill="1" applyBorder="1" applyAlignment="1">
      <alignment horizontal="center"/>
    </xf>
    <xf numFmtId="0" fontId="13" fillId="0" borderId="13" xfId="3" applyFont="1" applyBorder="1" applyAlignment="1">
      <alignment horizontal="center" vertical="center" wrapText="1"/>
    </xf>
    <xf numFmtId="0" fontId="13" fillId="0" borderId="14" xfId="3" applyFont="1" applyBorder="1" applyAlignment="1">
      <alignment horizontal="center" vertical="center" wrapText="1"/>
    </xf>
    <xf numFmtId="0" fontId="9" fillId="0" borderId="22" xfId="3" applyFont="1" applyBorder="1" applyAlignment="1">
      <alignment horizontal="center" vertical="center" wrapText="1"/>
    </xf>
    <xf numFmtId="0" fontId="9" fillId="0" borderId="23" xfId="3" applyFont="1" applyBorder="1" applyAlignment="1">
      <alignment horizontal="center" vertical="center" wrapText="1"/>
    </xf>
    <xf numFmtId="0" fontId="13" fillId="0" borderId="13" xfId="3" applyFont="1" applyBorder="1" applyAlignment="1">
      <alignment horizontal="center" vertical="center"/>
    </xf>
    <xf numFmtId="0" fontId="13" fillId="0" borderId="14" xfId="3" applyFont="1" applyBorder="1" applyAlignment="1">
      <alignment horizontal="center" vertical="center"/>
    </xf>
    <xf numFmtId="0" fontId="26" fillId="0" borderId="13" xfId="3" applyFont="1" applyBorder="1" applyAlignment="1">
      <alignment horizontal="center" vertical="center"/>
    </xf>
    <xf numFmtId="0" fontId="26" fillId="0" borderId="14" xfId="3" applyFont="1" applyBorder="1" applyAlignment="1">
      <alignment horizontal="center" vertical="center"/>
    </xf>
    <xf numFmtId="0" fontId="13" fillId="0" borderId="22" xfId="3" applyFont="1" applyBorder="1" applyAlignment="1">
      <alignment horizontal="center" vertical="center" wrapText="1"/>
    </xf>
    <xf numFmtId="0" fontId="13" fillId="0" borderId="23" xfId="3" applyFont="1" applyBorder="1" applyAlignment="1">
      <alignment horizontal="center" vertical="center" wrapText="1"/>
    </xf>
    <xf numFmtId="0" fontId="9" fillId="0" borderId="13" xfId="3" applyFont="1" applyBorder="1" applyAlignment="1">
      <alignment horizontal="center"/>
    </xf>
    <xf numFmtId="0" fontId="9" fillId="0" borderId="14" xfId="3" applyFont="1" applyBorder="1" applyAlignment="1">
      <alignment horizontal="center"/>
    </xf>
    <xf numFmtId="0" fontId="27" fillId="0" borderId="13" xfId="3" applyFont="1" applyBorder="1" applyAlignment="1">
      <alignment horizontal="center" vertical="center"/>
    </xf>
    <xf numFmtId="0" fontId="27" fillId="0" borderId="14" xfId="3" applyFont="1" applyBorder="1" applyAlignment="1">
      <alignment horizontal="center" vertical="center"/>
    </xf>
    <xf numFmtId="0" fontId="27" fillId="0" borderId="9" xfId="3" applyFont="1" applyBorder="1" applyAlignment="1">
      <alignment horizontal="center" vertical="center"/>
    </xf>
    <xf numFmtId="0" fontId="27" fillId="0" borderId="10" xfId="3" applyFont="1" applyBorder="1" applyAlignment="1">
      <alignment horizontal="center" vertical="center"/>
    </xf>
    <xf numFmtId="0" fontId="27" fillId="0" borderId="11" xfId="3" applyFont="1" applyBorder="1" applyAlignment="1">
      <alignment horizontal="center" vertical="center"/>
    </xf>
    <xf numFmtId="0" fontId="23" fillId="3" borderId="13" xfId="3" applyFont="1" applyFill="1" applyBorder="1" applyAlignment="1">
      <alignment horizontal="center"/>
    </xf>
    <xf numFmtId="0" fontId="23" fillId="3" borderId="23" xfId="3" applyFont="1" applyFill="1" applyBorder="1" applyAlignment="1">
      <alignment horizontal="center"/>
    </xf>
    <xf numFmtId="0" fontId="23" fillId="3" borderId="30" xfId="3" applyFont="1" applyFill="1" applyBorder="1" applyAlignment="1">
      <alignment horizontal="center"/>
    </xf>
    <xf numFmtId="0" fontId="13" fillId="0" borderId="13" xfId="3" applyFont="1" applyBorder="1" applyAlignment="1">
      <alignment horizontal="center"/>
    </xf>
    <xf numFmtId="0" fontId="13" fillId="0" borderId="14" xfId="3" applyFont="1" applyBorder="1" applyAlignment="1">
      <alignment horizontal="center"/>
    </xf>
    <xf numFmtId="0" fontId="30" fillId="2" borderId="13" xfId="3" applyFont="1" applyFill="1" applyBorder="1" applyAlignment="1">
      <alignment horizontal="center"/>
    </xf>
    <xf numFmtId="0" fontId="30" fillId="2" borderId="23" xfId="3" applyFont="1" applyFill="1" applyBorder="1" applyAlignment="1">
      <alignment horizontal="center"/>
    </xf>
    <xf numFmtId="0" fontId="30" fillId="2" borderId="30" xfId="3" applyFont="1" applyFill="1" applyBorder="1" applyAlignment="1">
      <alignment horizontal="center"/>
    </xf>
    <xf numFmtId="0" fontId="31" fillId="2" borderId="13" xfId="3" applyFont="1" applyFill="1" applyBorder="1" applyAlignment="1">
      <alignment horizontal="center"/>
    </xf>
    <xf numFmtId="0" fontId="31" fillId="2" borderId="23" xfId="3" applyFont="1" applyFill="1" applyBorder="1" applyAlignment="1">
      <alignment horizontal="center"/>
    </xf>
    <xf numFmtId="0" fontId="31" fillId="2" borderId="14" xfId="3" applyFont="1" applyFill="1" applyBorder="1" applyAlignment="1">
      <alignment horizontal="center"/>
    </xf>
    <xf numFmtId="0" fontId="33" fillId="2" borderId="13" xfId="3" applyFont="1" applyFill="1" applyBorder="1" applyAlignment="1">
      <alignment horizontal="center"/>
    </xf>
    <xf numFmtId="0" fontId="33" fillId="2" borderId="23" xfId="3" applyFont="1" applyFill="1" applyBorder="1" applyAlignment="1">
      <alignment horizontal="center"/>
    </xf>
    <xf numFmtId="0" fontId="33" fillId="2" borderId="14" xfId="3" applyFont="1" applyFill="1" applyBorder="1" applyAlignment="1">
      <alignment horizontal="center"/>
    </xf>
    <xf numFmtId="0" fontId="40" fillId="2" borderId="127" xfId="3" applyFont="1" applyFill="1" applyBorder="1" applyAlignment="1">
      <alignment horizontal="center" vertical="center"/>
    </xf>
    <xf numFmtId="0" fontId="40" fillId="2" borderId="128" xfId="3" applyFont="1" applyFill="1" applyBorder="1" applyAlignment="1">
      <alignment horizontal="center" vertical="center"/>
    </xf>
    <xf numFmtId="0" fontId="40" fillId="2" borderId="129" xfId="3" applyFont="1" applyFill="1" applyBorder="1" applyAlignment="1">
      <alignment horizontal="center" vertical="center"/>
    </xf>
    <xf numFmtId="0" fontId="40" fillId="2" borderId="130" xfId="3" applyFont="1" applyFill="1" applyBorder="1" applyAlignment="1">
      <alignment horizontal="center" vertical="center"/>
    </xf>
    <xf numFmtId="0" fontId="40" fillId="2" borderId="61" xfId="3" applyFont="1" applyFill="1" applyBorder="1" applyAlignment="1">
      <alignment horizontal="center" vertical="center"/>
    </xf>
    <xf numFmtId="0" fontId="40" fillId="2" borderId="62" xfId="3" applyFont="1" applyFill="1" applyBorder="1" applyAlignment="1">
      <alignment horizontal="center" vertical="center"/>
    </xf>
    <xf numFmtId="0" fontId="35" fillId="2" borderId="127" xfId="3" applyFont="1" applyFill="1" applyBorder="1" applyAlignment="1">
      <alignment horizontal="center" vertical="center"/>
    </xf>
    <xf numFmtId="0" fontId="35" fillId="2" borderId="128" xfId="3" applyFont="1" applyFill="1" applyBorder="1" applyAlignment="1">
      <alignment horizontal="center" vertical="center"/>
    </xf>
    <xf numFmtId="0" fontId="35" fillId="2" borderId="129" xfId="3" applyFont="1" applyFill="1" applyBorder="1" applyAlignment="1">
      <alignment horizontal="center" vertical="center"/>
    </xf>
    <xf numFmtId="0" fontId="35" fillId="2" borderId="130" xfId="3" applyFont="1" applyFill="1" applyBorder="1" applyAlignment="1">
      <alignment horizontal="center" vertical="center"/>
    </xf>
    <xf numFmtId="0" fontId="35" fillId="2" borderId="61" xfId="3" applyFont="1" applyFill="1" applyBorder="1" applyAlignment="1">
      <alignment horizontal="center" vertical="center"/>
    </xf>
    <xf numFmtId="0" fontId="35" fillId="2" borderId="62" xfId="3" applyFont="1" applyFill="1" applyBorder="1" applyAlignment="1">
      <alignment horizontal="center" vertical="center"/>
    </xf>
    <xf numFmtId="0" fontId="36" fillId="2" borderId="22" xfId="3" applyFont="1" applyFill="1" applyBorder="1" applyAlignment="1">
      <alignment horizontal="center"/>
    </xf>
    <xf numFmtId="0" fontId="36" fillId="2" borderId="23" xfId="3" applyFont="1" applyFill="1" applyBorder="1" applyAlignment="1">
      <alignment horizontal="center"/>
    </xf>
    <xf numFmtId="0" fontId="36" fillId="2" borderId="30" xfId="3" applyFont="1" applyFill="1" applyBorder="1" applyAlignment="1">
      <alignment horizontal="center"/>
    </xf>
    <xf numFmtId="0" fontId="37" fillId="2" borderId="22" xfId="3" applyFont="1" applyFill="1" applyBorder="1" applyAlignment="1">
      <alignment horizontal="center"/>
    </xf>
    <xf numFmtId="0" fontId="37" fillId="2" borderId="23" xfId="3" applyFont="1" applyFill="1" applyBorder="1" applyAlignment="1">
      <alignment horizontal="center"/>
    </xf>
    <xf numFmtId="0" fontId="37" fillId="2" borderId="14" xfId="3" applyFont="1" applyFill="1" applyBorder="1" applyAlignment="1">
      <alignment horizontal="center"/>
    </xf>
    <xf numFmtId="0" fontId="38" fillId="0" borderId="13" xfId="3" applyFont="1" applyBorder="1" applyAlignment="1">
      <alignment horizontal="center" vertical="center"/>
    </xf>
    <xf numFmtId="0" fontId="38" fillId="0" borderId="14" xfId="3" applyFont="1" applyBorder="1" applyAlignment="1">
      <alignment horizontal="center" vertical="center"/>
    </xf>
    <xf numFmtId="0" fontId="39" fillId="0" borderId="22" xfId="3" applyFont="1" applyBorder="1" applyAlignment="1">
      <alignment horizontal="center" vertical="center" wrapText="1"/>
    </xf>
    <xf numFmtId="0" fontId="39" fillId="0" borderId="23" xfId="3" applyFont="1" applyBorder="1" applyAlignment="1">
      <alignment horizontal="center" vertical="center" wrapText="1"/>
    </xf>
    <xf numFmtId="0" fontId="39" fillId="0" borderId="14" xfId="3" applyFont="1" applyBorder="1" applyAlignment="1">
      <alignment horizontal="center" vertical="center" wrapText="1"/>
    </xf>
    <xf numFmtId="2" fontId="26" fillId="0" borderId="13" xfId="3" applyNumberFormat="1" applyFont="1" applyBorder="1" applyAlignment="1">
      <alignment horizontal="center" vertical="center"/>
    </xf>
    <xf numFmtId="2" fontId="26" fillId="0" borderId="14" xfId="3" applyNumberFormat="1" applyFont="1" applyBorder="1" applyAlignment="1">
      <alignment horizontal="center" vertical="center"/>
    </xf>
    <xf numFmtId="0" fontId="23" fillId="3" borderId="3" xfId="3" applyFont="1" applyFill="1" applyBorder="1" applyAlignment="1">
      <alignment horizontal="center"/>
    </xf>
    <xf numFmtId="0" fontId="14" fillId="0" borderId="5" xfId="3" applyFont="1" applyBorder="1"/>
    <xf numFmtId="0" fontId="26" fillId="0" borderId="3" xfId="3" applyFont="1" applyBorder="1" applyAlignment="1">
      <alignment horizontal="center" vertical="center"/>
    </xf>
    <xf numFmtId="0" fontId="27" fillId="0" borderId="3" xfId="3" applyFont="1" applyBorder="1" applyAlignment="1">
      <alignment horizontal="center" vertical="center"/>
    </xf>
    <xf numFmtId="0" fontId="27" fillId="0" borderId="5" xfId="3" applyFont="1" applyBorder="1" applyAlignment="1">
      <alignment horizontal="center" vertical="center"/>
    </xf>
    <xf numFmtId="0" fontId="30" fillId="2" borderId="3" xfId="3" applyFont="1" applyFill="1" applyBorder="1" applyAlignment="1">
      <alignment horizontal="center"/>
    </xf>
    <xf numFmtId="0" fontId="31" fillId="2" borderId="3" xfId="3" applyFont="1" applyFill="1" applyBorder="1" applyAlignment="1">
      <alignment horizontal="center"/>
    </xf>
    <xf numFmtId="0" fontId="13" fillId="0" borderId="4" xfId="3" applyFont="1" applyBorder="1" applyAlignment="1">
      <alignment horizontal="center" vertical="center"/>
    </xf>
    <xf numFmtId="0" fontId="13" fillId="0" borderId="3" xfId="3" applyFont="1" applyBorder="1" applyAlignment="1">
      <alignment horizontal="center"/>
    </xf>
    <xf numFmtId="0" fontId="13" fillId="0" borderId="4" xfId="3" applyFont="1" applyBorder="1" applyAlignment="1">
      <alignment horizontal="center"/>
    </xf>
    <xf numFmtId="0" fontId="41" fillId="2" borderId="3" xfId="3" applyFont="1" applyFill="1" applyBorder="1" applyAlignment="1">
      <alignment horizontal="center" vertical="center"/>
    </xf>
    <xf numFmtId="0" fontId="42" fillId="0" borderId="4" xfId="3" applyFont="1" applyBorder="1"/>
    <xf numFmtId="0" fontId="42" fillId="0" borderId="3" xfId="3" applyFont="1" applyBorder="1"/>
    <xf numFmtId="0" fontId="43" fillId="2" borderId="4" xfId="3" applyFont="1" applyFill="1" applyBorder="1" applyAlignment="1">
      <alignment horizontal="center"/>
    </xf>
    <xf numFmtId="0" fontId="42" fillId="0" borderId="5" xfId="3" applyFont="1" applyBorder="1"/>
    <xf numFmtId="0" fontId="44" fillId="2" borderId="4" xfId="3" applyFont="1" applyFill="1" applyBorder="1" applyAlignment="1">
      <alignment horizontal="center"/>
    </xf>
    <xf numFmtId="0" fontId="45" fillId="0" borderId="3" xfId="3" applyFont="1" applyBorder="1" applyAlignment="1">
      <alignment horizontal="center" vertical="center"/>
    </xf>
    <xf numFmtId="0" fontId="44" fillId="3" borderId="3" xfId="3" applyFont="1" applyFill="1" applyBorder="1" applyAlignment="1">
      <alignment horizontal="center"/>
    </xf>
    <xf numFmtId="2" fontId="26" fillId="0" borderId="3" xfId="3" applyNumberFormat="1" applyFont="1" applyBorder="1" applyAlignment="1">
      <alignment horizontal="center" vertical="center"/>
    </xf>
    <xf numFmtId="2" fontId="14" fillId="0" borderId="4" xfId="3" applyNumberFormat="1" applyFont="1" applyBorder="1"/>
    <xf numFmtId="169" fontId="13" fillId="0" borderId="3" xfId="3" applyNumberFormat="1" applyFont="1" applyBorder="1" applyAlignment="1">
      <alignment horizontal="center" vertical="center" wrapText="1"/>
    </xf>
    <xf numFmtId="0" fontId="27" fillId="0" borderId="4" xfId="3" applyFont="1" applyBorder="1" applyAlignment="1">
      <alignment horizontal="center" vertical="center"/>
    </xf>
    <xf numFmtId="0" fontId="23" fillId="3" borderId="4" xfId="3" applyFont="1" applyFill="1" applyBorder="1" applyAlignment="1">
      <alignment horizontal="center"/>
    </xf>
    <xf numFmtId="0" fontId="23" fillId="3" borderId="5" xfId="3" applyFont="1" applyFill="1" applyBorder="1" applyAlignment="1">
      <alignment horizontal="center"/>
    </xf>
    <xf numFmtId="0" fontId="30" fillId="2" borderId="4" xfId="3" applyFont="1" applyFill="1" applyBorder="1" applyAlignment="1">
      <alignment horizontal="center"/>
    </xf>
    <xf numFmtId="0" fontId="30" fillId="2" borderId="5" xfId="3" applyFont="1" applyFill="1" applyBorder="1" applyAlignment="1">
      <alignment horizontal="center"/>
    </xf>
    <xf numFmtId="0" fontId="31" fillId="2" borderId="4" xfId="3" applyFont="1" applyFill="1" applyBorder="1" applyAlignment="1">
      <alignment horizontal="center"/>
    </xf>
    <xf numFmtId="0" fontId="27" fillId="0" borderId="3" xfId="3" applyFont="1" applyBorder="1" applyAlignment="1">
      <alignment horizontal="center"/>
    </xf>
    <xf numFmtId="0" fontId="31" fillId="0" borderId="5" xfId="3" applyFont="1" applyBorder="1" applyAlignment="1">
      <alignment vertical="center"/>
    </xf>
    <xf numFmtId="0" fontId="14" fillId="0" borderId="4" xfId="3" applyFont="1" applyBorder="1" applyAlignment="1">
      <alignment vertical="center"/>
    </xf>
    <xf numFmtId="0" fontId="31" fillId="0" borderId="3" xfId="3" applyFont="1" applyBorder="1"/>
    <xf numFmtId="0" fontId="27" fillId="0" borderId="5" xfId="3" applyFont="1" applyBorder="1" applyAlignment="1">
      <alignment horizontal="center"/>
    </xf>
    <xf numFmtId="0" fontId="20" fillId="2" borderId="5" xfId="3" applyFont="1" applyFill="1" applyBorder="1" applyAlignment="1">
      <alignment horizontal="center" vertical="center" wrapText="1"/>
    </xf>
    <xf numFmtId="0" fontId="26" fillId="0" borderId="4" xfId="3" applyFont="1" applyBorder="1" applyAlignment="1">
      <alignment horizontal="center" vertical="center"/>
    </xf>
    <xf numFmtId="0" fontId="24" fillId="2" borderId="4" xfId="3" applyFont="1" applyFill="1" applyBorder="1" applyAlignment="1">
      <alignment horizontal="center" vertical="center"/>
    </xf>
    <xf numFmtId="0" fontId="22" fillId="2" borderId="5" xfId="3" applyFont="1" applyFill="1" applyBorder="1" applyAlignment="1">
      <alignment horizontal="center"/>
    </xf>
    <xf numFmtId="0" fontId="21" fillId="0" borderId="25" xfId="3" applyFont="1" applyBorder="1" applyAlignment="1">
      <alignment wrapText="1"/>
    </xf>
    <xf numFmtId="0" fontId="21" fillId="0" borderId="26" xfId="3" applyFont="1" applyBorder="1" applyAlignment="1">
      <alignment wrapText="1"/>
    </xf>
    <xf numFmtId="0" fontId="21" fillId="0" borderId="27" xfId="3" applyFont="1" applyBorder="1" applyAlignment="1">
      <alignment wrapText="1"/>
    </xf>
    <xf numFmtId="0" fontId="21" fillId="0" borderId="28" xfId="3" applyFont="1" applyBorder="1" applyAlignment="1">
      <alignment wrapText="1"/>
    </xf>
    <xf numFmtId="0" fontId="21" fillId="0" borderId="29" xfId="3" applyFont="1" applyBorder="1" applyAlignment="1">
      <alignment wrapText="1"/>
    </xf>
    <xf numFmtId="0" fontId="14" fillId="0" borderId="5" xfId="3" applyFont="1" applyBorder="1" applyAlignment="1">
      <alignment vertical="center"/>
    </xf>
    <xf numFmtId="0" fontId="14" fillId="0" borderId="14" xfId="3" applyFont="1" applyBorder="1" applyAlignment="1">
      <alignment wrapText="1"/>
    </xf>
    <xf numFmtId="0" fontId="23" fillId="3" borderId="3" xfId="3" applyFont="1" applyFill="1" applyBorder="1" applyAlignment="1">
      <alignment horizontal="center" vertical="center"/>
    </xf>
    <xf numFmtId="0" fontId="14" fillId="0" borderId="4" xfId="3" applyFont="1" applyBorder="1" applyAlignment="1">
      <alignment horizontal="center" vertical="center"/>
    </xf>
    <xf numFmtId="0" fontId="14" fillId="0" borderId="5" xfId="3" applyFont="1" applyBorder="1" applyAlignment="1">
      <alignment horizontal="center" vertical="center"/>
    </xf>
    <xf numFmtId="0" fontId="13" fillId="5" borderId="3" xfId="3" applyFont="1" applyFill="1" applyBorder="1" applyAlignment="1">
      <alignment horizontal="center" vertical="center" wrapText="1"/>
    </xf>
    <xf numFmtId="0" fontId="13" fillId="5" borderId="4" xfId="3" applyFont="1" applyFill="1" applyBorder="1" applyAlignment="1">
      <alignment horizontal="center" vertical="center" wrapText="1"/>
    </xf>
    <xf numFmtId="0" fontId="30" fillId="2" borderId="3" xfId="3" applyFont="1" applyFill="1" applyBorder="1" applyAlignment="1">
      <alignment horizontal="center" vertical="center"/>
    </xf>
    <xf numFmtId="0" fontId="21" fillId="0" borderId="4" xfId="3" applyFont="1" applyBorder="1" applyAlignment="1">
      <alignment horizontal="center" vertical="center"/>
    </xf>
    <xf numFmtId="0" fontId="21" fillId="0" borderId="5" xfId="3" applyFont="1" applyBorder="1" applyAlignment="1">
      <alignment horizontal="center" vertical="center"/>
    </xf>
    <xf numFmtId="0" fontId="33" fillId="2" borderId="3" xfId="3" applyFont="1" applyFill="1" applyBorder="1" applyAlignment="1">
      <alignment horizontal="center" vertical="center"/>
    </xf>
    <xf numFmtId="0" fontId="47" fillId="2" borderId="3" xfId="3" applyFont="1" applyFill="1" applyBorder="1" applyAlignment="1">
      <alignment horizontal="center" vertical="center"/>
    </xf>
    <xf numFmtId="0" fontId="21" fillId="0" borderId="3" xfId="3" applyFont="1" applyBorder="1" applyAlignment="1">
      <alignment horizontal="center" vertical="center"/>
    </xf>
    <xf numFmtId="0" fontId="21" fillId="0" borderId="4" xfId="3" applyFont="1" applyBorder="1" applyAlignment="1">
      <alignment horizontal="center" vertical="center" wrapText="1"/>
    </xf>
    <xf numFmtId="0" fontId="21" fillId="0" borderId="5" xfId="3" applyFont="1" applyBorder="1" applyAlignment="1">
      <alignment horizontal="center" vertical="center" wrapText="1"/>
    </xf>
    <xf numFmtId="0" fontId="22" fillId="2" borderId="4" xfId="3" applyFont="1" applyFill="1" applyBorder="1" applyAlignment="1">
      <alignment horizontal="center" vertical="center"/>
    </xf>
    <xf numFmtId="0" fontId="23" fillId="2" borderId="4" xfId="3" applyFont="1" applyFill="1" applyBorder="1" applyAlignment="1">
      <alignment horizontal="center" vertical="center"/>
    </xf>
    <xf numFmtId="0" fontId="14" fillId="5" borderId="4" xfId="3" applyFont="1" applyFill="1" applyBorder="1" applyAlignment="1">
      <alignment horizontal="center" vertical="center"/>
    </xf>
    <xf numFmtId="0" fontId="23" fillId="3" borderId="13" xfId="3" applyFont="1" applyFill="1" applyBorder="1" applyAlignment="1">
      <alignment horizontal="center" vertical="center"/>
    </xf>
    <xf numFmtId="0" fontId="23" fillId="3" borderId="23" xfId="3" applyFont="1" applyFill="1" applyBorder="1" applyAlignment="1">
      <alignment horizontal="center" vertical="center"/>
    </xf>
    <xf numFmtId="0" fontId="23" fillId="3" borderId="30" xfId="3" applyFont="1" applyFill="1" applyBorder="1" applyAlignment="1">
      <alignment horizontal="center" vertical="center"/>
    </xf>
    <xf numFmtId="0" fontId="13" fillId="5" borderId="13" xfId="3" applyFont="1" applyFill="1" applyBorder="1" applyAlignment="1">
      <alignment horizontal="center" vertical="center" wrapText="1"/>
    </xf>
    <xf numFmtId="0" fontId="13" fillId="5" borderId="14" xfId="3" applyFont="1" applyFill="1" applyBorder="1" applyAlignment="1">
      <alignment horizontal="center" vertical="center" wrapText="1"/>
    </xf>
    <xf numFmtId="173" fontId="13" fillId="0" borderId="12" xfId="3" applyNumberFormat="1" applyFont="1" applyBorder="1" applyAlignment="1">
      <alignment horizontal="center" vertical="center"/>
    </xf>
    <xf numFmtId="173" fontId="13" fillId="0" borderId="15" xfId="3" applyNumberFormat="1" applyFont="1" applyBorder="1" applyAlignment="1">
      <alignment horizontal="center" vertical="center"/>
    </xf>
    <xf numFmtId="173" fontId="13" fillId="0" borderId="16" xfId="3" applyNumberFormat="1" applyFont="1" applyBorder="1" applyAlignment="1">
      <alignment horizontal="center" vertical="center"/>
    </xf>
    <xf numFmtId="173" fontId="27" fillId="0" borderId="12" xfId="3" applyNumberFormat="1" applyFont="1" applyBorder="1" applyAlignment="1">
      <alignment horizontal="center" vertical="center"/>
    </xf>
    <xf numFmtId="173" fontId="27" fillId="0" borderId="15" xfId="3" applyNumberFormat="1" applyFont="1" applyBorder="1" applyAlignment="1">
      <alignment horizontal="center" vertical="center"/>
    </xf>
    <xf numFmtId="173" fontId="27" fillId="0" borderId="16" xfId="3" applyNumberFormat="1" applyFont="1" applyBorder="1" applyAlignment="1">
      <alignment horizontal="center" vertical="center"/>
    </xf>
    <xf numFmtId="0" fontId="23" fillId="3" borderId="4" xfId="3" applyFont="1" applyFill="1" applyBorder="1" applyAlignment="1">
      <alignment horizontal="center" vertical="center"/>
    </xf>
    <xf numFmtId="0" fontId="23" fillId="3" borderId="5" xfId="3" applyFont="1" applyFill="1" applyBorder="1" applyAlignment="1">
      <alignment horizontal="center" vertical="center"/>
    </xf>
    <xf numFmtId="0" fontId="26" fillId="5" borderId="3" xfId="3" applyFont="1" applyFill="1" applyBorder="1" applyAlignment="1">
      <alignment horizontal="center" vertical="center"/>
    </xf>
    <xf numFmtId="0" fontId="30" fillId="2" borderId="4" xfId="3" applyFont="1" applyFill="1" applyBorder="1" applyAlignment="1">
      <alignment horizontal="center" vertical="center"/>
    </xf>
    <xf numFmtId="0" fontId="30" fillId="2" borderId="5" xfId="3" applyFont="1" applyFill="1" applyBorder="1" applyAlignment="1">
      <alignment horizontal="center" vertical="center"/>
    </xf>
    <xf numFmtId="0" fontId="33" fillId="2" borderId="4" xfId="3" applyFont="1" applyFill="1" applyBorder="1" applyAlignment="1">
      <alignment horizontal="center" vertical="center"/>
    </xf>
    <xf numFmtId="0" fontId="47" fillId="2" borderId="4" xfId="3" applyFont="1" applyFill="1" applyBorder="1" applyAlignment="1">
      <alignment horizontal="center" vertical="center"/>
    </xf>
    <xf numFmtId="0" fontId="22" fillId="2" borderId="5" xfId="3" applyFont="1" applyFill="1" applyBorder="1" applyAlignment="1">
      <alignment horizontal="center" vertical="center"/>
    </xf>
    <xf numFmtId="0" fontId="23" fillId="0" borderId="3" xfId="3" applyFont="1" applyBorder="1" applyAlignment="1">
      <alignment horizontal="center" vertical="center"/>
    </xf>
    <xf numFmtId="0" fontId="30" fillId="2" borderId="13" xfId="3" applyFont="1" applyFill="1" applyBorder="1" applyAlignment="1">
      <alignment horizontal="center" vertical="center"/>
    </xf>
    <xf numFmtId="0" fontId="30" fillId="2" borderId="23" xfId="3" applyFont="1" applyFill="1" applyBorder="1" applyAlignment="1">
      <alignment horizontal="center" vertical="center"/>
    </xf>
    <xf numFmtId="0" fontId="30" fillId="2" borderId="30" xfId="3" applyFont="1" applyFill="1" applyBorder="1" applyAlignment="1">
      <alignment horizontal="center" vertical="center"/>
    </xf>
    <xf numFmtId="0" fontId="33" fillId="2" borderId="13" xfId="3" applyFont="1" applyFill="1" applyBorder="1" applyAlignment="1">
      <alignment horizontal="center" vertical="center"/>
    </xf>
    <xf numFmtId="0" fontId="33" fillId="2" borderId="23" xfId="3" applyFont="1" applyFill="1" applyBorder="1" applyAlignment="1">
      <alignment horizontal="center" vertical="center"/>
    </xf>
    <xf numFmtId="0" fontId="33" fillId="2" borderId="14" xfId="3" applyFont="1" applyFill="1" applyBorder="1" applyAlignment="1">
      <alignment horizontal="center" vertical="center"/>
    </xf>
    <xf numFmtId="0" fontId="27" fillId="5" borderId="3" xfId="3" applyFont="1" applyFill="1" applyBorder="1" applyAlignment="1">
      <alignment horizontal="center" vertical="center"/>
    </xf>
    <xf numFmtId="0" fontId="75" fillId="0" borderId="34" xfId="14" applyFont="1" applyBorder="1" applyAlignment="1">
      <alignment horizontal="center"/>
    </xf>
    <xf numFmtId="0" fontId="75" fillId="0" borderId="38" xfId="14" applyFont="1" applyBorder="1" applyAlignment="1">
      <alignment horizontal="center"/>
    </xf>
    <xf numFmtId="0" fontId="76" fillId="0" borderId="0" xfId="15" applyFont="1" applyAlignment="1">
      <alignment horizontal="center"/>
    </xf>
    <xf numFmtId="0" fontId="75" fillId="0" borderId="31" xfId="15" applyFont="1" applyBorder="1" applyAlignment="1">
      <alignment horizontal="left"/>
    </xf>
    <xf numFmtId="0" fontId="77" fillId="11" borderId="31" xfId="15" applyFont="1" applyFill="1" applyBorder="1" applyAlignment="1">
      <alignment horizontal="center"/>
    </xf>
    <xf numFmtId="0" fontId="85" fillId="11" borderId="31" xfId="15" applyFont="1" applyFill="1" applyBorder="1" applyAlignment="1">
      <alignment horizontal="center" vertical="center"/>
    </xf>
    <xf numFmtId="0" fontId="75" fillId="11" borderId="31" xfId="15" applyFont="1" applyFill="1" applyBorder="1" applyAlignment="1">
      <alignment horizontal="center"/>
    </xf>
    <xf numFmtId="0" fontId="75" fillId="11" borderId="32" xfId="15" applyFont="1" applyFill="1" applyBorder="1" applyAlignment="1">
      <alignment horizontal="center"/>
    </xf>
    <xf numFmtId="0" fontId="98" fillId="0" borderId="78" xfId="0" applyFont="1" applyBorder="1" applyAlignment="1">
      <alignment horizontal="center" vertical="center"/>
    </xf>
    <xf numFmtId="0" fontId="107" fillId="0" borderId="0" xfId="0" applyFont="1" applyAlignment="1">
      <alignment horizontal="center" vertical="center"/>
    </xf>
    <xf numFmtId="0" fontId="105" fillId="0" borderId="31" xfId="0" applyFont="1" applyBorder="1" applyAlignment="1">
      <alignment vertical="center" wrapText="1"/>
    </xf>
    <xf numFmtId="0" fontId="103" fillId="0" borderId="88" xfId="0" applyFont="1" applyBorder="1" applyAlignment="1">
      <alignment horizontal="center" vertical="center" wrapText="1"/>
    </xf>
    <xf numFmtId="0" fontId="103" fillId="0" borderId="31" xfId="0" applyFont="1" applyBorder="1" applyAlignment="1">
      <alignment horizontal="center" vertical="center" wrapText="1"/>
    </xf>
    <xf numFmtId="0" fontId="105" fillId="0" borderId="50" xfId="0" applyFont="1" applyBorder="1" applyAlignment="1">
      <alignment horizontal="right" vertical="center" wrapText="1"/>
    </xf>
    <xf numFmtId="0" fontId="105" fillId="0" borderId="52" xfId="0" applyFont="1" applyBorder="1" applyAlignment="1">
      <alignment horizontal="right" vertical="center" wrapText="1"/>
    </xf>
    <xf numFmtId="0" fontId="105" fillId="0" borderId="93" xfId="0" applyFont="1" applyBorder="1" applyAlignment="1">
      <alignment horizontal="right" vertical="center" wrapText="1"/>
    </xf>
    <xf numFmtId="0" fontId="102" fillId="0" borderId="47" xfId="14" applyFont="1" applyBorder="1" applyAlignment="1">
      <alignment horizontal="center" vertical="center" wrapText="1"/>
    </xf>
    <xf numFmtId="0" fontId="102" fillId="0" borderId="49" xfId="14" applyFont="1" applyBorder="1" applyAlignment="1">
      <alignment horizontal="center" vertical="center" wrapText="1"/>
    </xf>
    <xf numFmtId="0" fontId="102" fillId="0" borderId="84" xfId="14" applyFont="1" applyBorder="1" applyAlignment="1">
      <alignment horizontal="center" vertical="center" wrapText="1"/>
    </xf>
    <xf numFmtId="0" fontId="100" fillId="0" borderId="47" xfId="14" applyFont="1" applyBorder="1" applyAlignment="1">
      <alignment horizontal="left"/>
    </xf>
    <xf numFmtId="0" fontId="100" fillId="0" borderId="49" xfId="14" applyFont="1" applyBorder="1" applyAlignment="1">
      <alignment horizontal="left"/>
    </xf>
    <xf numFmtId="0" fontId="100" fillId="0" borderId="84" xfId="14" applyFont="1" applyBorder="1" applyAlignment="1">
      <alignment horizontal="left"/>
    </xf>
    <xf numFmtId="0" fontId="103" fillId="0" borderId="47" xfId="0" applyFont="1" applyBorder="1" applyAlignment="1">
      <alignment horizontal="center" vertical="center" wrapText="1"/>
    </xf>
    <xf numFmtId="0" fontId="103" fillId="0" borderId="49" xfId="0" applyFont="1" applyBorder="1" applyAlignment="1">
      <alignment horizontal="center" vertical="center" wrapText="1"/>
    </xf>
    <xf numFmtId="0" fontId="103" fillId="0" borderId="84" xfId="0" applyFont="1" applyBorder="1" applyAlignment="1">
      <alignment horizontal="center" vertical="center" wrapText="1"/>
    </xf>
    <xf numFmtId="0" fontId="105" fillId="38" borderId="92" xfId="0" applyFont="1" applyFill="1" applyBorder="1" applyAlignment="1">
      <alignment vertical="center" wrapText="1"/>
    </xf>
    <xf numFmtId="0" fontId="105" fillId="38" borderId="31" xfId="0" applyFont="1" applyFill="1" applyBorder="1" applyAlignment="1">
      <alignment vertical="center" wrapText="1"/>
    </xf>
    <xf numFmtId="0" fontId="105" fillId="38" borderId="91" xfId="0" applyFont="1" applyFill="1" applyBorder="1" applyAlignment="1">
      <alignment vertical="center" wrapText="1"/>
    </xf>
    <xf numFmtId="0" fontId="105" fillId="0" borderId="31" xfId="0" applyFont="1" applyBorder="1" applyAlignment="1">
      <alignment wrapText="1"/>
    </xf>
    <xf numFmtId="0" fontId="105" fillId="0" borderId="98" xfId="0" applyFont="1" applyBorder="1" applyAlignment="1">
      <alignment horizontal="center" vertical="center" wrapText="1"/>
    </xf>
    <xf numFmtId="0" fontId="105" fillId="0" borderId="92" xfId="0" applyFont="1" applyBorder="1" applyAlignment="1">
      <alignment horizontal="center" vertical="center" wrapText="1"/>
    </xf>
    <xf numFmtId="0" fontId="105" fillId="0" borderId="88" xfId="0" applyFont="1" applyBorder="1" applyAlignment="1">
      <alignment horizontal="center" vertical="center" wrapText="1"/>
    </xf>
    <xf numFmtId="0" fontId="105" fillId="0" borderId="31" xfId="0" applyFont="1" applyBorder="1" applyAlignment="1">
      <alignment horizontal="center" vertical="center" wrapText="1"/>
    </xf>
    <xf numFmtId="0" fontId="105" fillId="0" borderId="89" xfId="0" applyFont="1" applyBorder="1" applyAlignment="1">
      <alignment horizontal="center" vertical="center" wrapText="1"/>
    </xf>
    <xf numFmtId="0" fontId="105" fillId="0" borderId="91" xfId="0" applyFont="1" applyBorder="1" applyAlignment="1">
      <alignment horizontal="center" vertical="center" wrapText="1"/>
    </xf>
    <xf numFmtId="0" fontId="99" fillId="9" borderId="92" xfId="14" applyFont="1" applyFill="1" applyBorder="1" applyAlignment="1">
      <alignment horizontal="left" vertical="center"/>
    </xf>
    <xf numFmtId="0" fontId="99" fillId="9" borderId="31" xfId="14" applyFont="1" applyFill="1" applyBorder="1" applyAlignment="1">
      <alignment horizontal="left" vertical="center"/>
    </xf>
    <xf numFmtId="0" fontId="99" fillId="9" borderId="91" xfId="14" applyFont="1" applyFill="1" applyBorder="1" applyAlignment="1">
      <alignment horizontal="left" vertical="center"/>
    </xf>
    <xf numFmtId="0" fontId="106" fillId="0" borderId="95" xfId="14" applyFont="1" applyBorder="1" applyAlignment="1" applyProtection="1">
      <alignment horizontal="center" vertical="center"/>
      <protection locked="0"/>
    </xf>
    <xf numFmtId="0" fontId="106" fillId="0" borderId="96" xfId="14" applyFont="1" applyBorder="1" applyAlignment="1" applyProtection="1">
      <alignment horizontal="center" vertical="center"/>
      <protection locked="0"/>
    </xf>
    <xf numFmtId="0" fontId="106" fillId="0" borderId="97" xfId="14" applyFont="1" applyBorder="1" applyAlignment="1" applyProtection="1">
      <alignment horizontal="center" vertical="center"/>
      <protection locked="0"/>
    </xf>
    <xf numFmtId="0" fontId="101" fillId="0" borderId="85" xfId="14" applyFont="1" applyBorder="1" applyAlignment="1" applyProtection="1">
      <alignment horizontal="center" vertical="center"/>
      <protection locked="0"/>
    </xf>
    <xf numFmtId="0" fontId="101" fillId="0" borderId="90" xfId="14" applyFont="1" applyBorder="1" applyAlignment="1" applyProtection="1">
      <alignment horizontal="center" vertical="center"/>
      <protection locked="0"/>
    </xf>
    <xf numFmtId="0" fontId="101" fillId="0" borderId="86" xfId="14" applyFont="1" applyBorder="1" applyAlignment="1">
      <alignment horizontal="center" vertical="center" wrapText="1"/>
    </xf>
    <xf numFmtId="0" fontId="101" fillId="0" borderId="42" xfId="14" applyFont="1" applyBorder="1" applyAlignment="1">
      <alignment horizontal="center" vertical="center" wrapText="1"/>
    </xf>
    <xf numFmtId="0" fontId="101" fillId="0" borderId="87" xfId="14" applyFont="1" applyBorder="1" applyAlignment="1">
      <alignment horizontal="center" vertical="center" wrapText="1"/>
    </xf>
    <xf numFmtId="0" fontId="101" fillId="0" borderId="36" xfId="14" applyFont="1" applyBorder="1" applyAlignment="1">
      <alignment horizontal="center" vertical="center" wrapText="1"/>
    </xf>
    <xf numFmtId="0" fontId="101" fillId="0" borderId="37" xfId="14" applyFont="1" applyBorder="1" applyAlignment="1">
      <alignment horizontal="center" vertical="center" wrapText="1"/>
    </xf>
    <xf numFmtId="0" fontId="101" fillId="0" borderId="40" xfId="14" applyFont="1" applyBorder="1" applyAlignment="1">
      <alignment horizontal="center" vertical="center" wrapText="1"/>
    </xf>
    <xf numFmtId="0" fontId="99" fillId="0" borderId="88" xfId="14" applyFont="1" applyBorder="1" applyAlignment="1">
      <alignment horizontal="center" vertical="center"/>
    </xf>
    <xf numFmtId="0" fontId="99" fillId="0" borderId="31" xfId="14" applyFont="1" applyBorder="1" applyAlignment="1">
      <alignment horizontal="center" vertical="center"/>
    </xf>
    <xf numFmtId="191" fontId="101" fillId="0" borderId="89" xfId="58" applyNumberFormat="1" applyFont="1" applyBorder="1" applyAlignment="1" applyProtection="1">
      <alignment horizontal="center" vertical="center"/>
      <protection locked="0"/>
    </xf>
    <xf numFmtId="191" fontId="101" fillId="0" borderId="91" xfId="58" applyNumberFormat="1" applyFont="1" applyBorder="1" applyAlignment="1" applyProtection="1">
      <alignment horizontal="center" vertical="center"/>
      <protection locked="0"/>
    </xf>
    <xf numFmtId="0" fontId="102" fillId="0" borderId="32" xfId="14" applyFont="1" applyBorder="1" applyAlignment="1" applyProtection="1">
      <alignment horizontal="center" vertical="center" wrapText="1"/>
      <protection locked="0"/>
    </xf>
    <xf numFmtId="0" fontId="102" fillId="0" borderId="49" xfId="14" applyFont="1" applyBorder="1" applyAlignment="1" applyProtection="1">
      <alignment horizontal="center" vertical="center" wrapText="1"/>
      <protection locked="0"/>
    </xf>
    <xf numFmtId="0" fontId="102" fillId="0" borderId="84" xfId="14" applyFont="1" applyBorder="1" applyAlignment="1" applyProtection="1">
      <alignment horizontal="center" vertical="center" wrapText="1"/>
      <protection locked="0"/>
    </xf>
    <xf numFmtId="0" fontId="102" fillId="0" borderId="32" xfId="14" applyFont="1" applyBorder="1" applyAlignment="1" applyProtection="1">
      <alignment horizontal="left"/>
      <protection locked="0"/>
    </xf>
    <xf numFmtId="0" fontId="102" fillId="0" borderId="84" xfId="14" applyFont="1" applyBorder="1" applyAlignment="1" applyProtection="1">
      <alignment horizontal="left"/>
      <protection locked="0"/>
    </xf>
    <xf numFmtId="0" fontId="102" fillId="0" borderId="32" xfId="14" applyFont="1" applyBorder="1" applyAlignment="1" applyProtection="1">
      <alignment horizontal="left" vertical="center" wrapText="1"/>
      <protection locked="0"/>
    </xf>
    <xf numFmtId="0" fontId="102" fillId="0" borderId="49" xfId="14" applyFont="1" applyBorder="1" applyAlignment="1" applyProtection="1">
      <alignment horizontal="left" vertical="center" wrapText="1"/>
      <protection locked="0"/>
    </xf>
    <xf numFmtId="0" fontId="102" fillId="0" borderId="84" xfId="14" applyFont="1" applyBorder="1" applyAlignment="1" applyProtection="1">
      <alignment horizontal="left" vertical="center" wrapText="1"/>
      <protection locked="0"/>
    </xf>
    <xf numFmtId="0" fontId="102" fillId="0" borderId="50" xfId="14" applyFont="1" applyBorder="1" applyAlignment="1" applyProtection="1">
      <alignment horizontal="right" vertical="center" wrapText="1"/>
      <protection locked="0"/>
    </xf>
    <xf numFmtId="0" fontId="102" fillId="0" borderId="52" xfId="14" applyFont="1" applyBorder="1" applyAlignment="1" applyProtection="1">
      <alignment horizontal="right" vertical="center" wrapText="1"/>
      <protection locked="0"/>
    </xf>
    <xf numFmtId="0" fontId="102" fillId="0" borderId="93" xfId="14" applyFont="1" applyBorder="1" applyAlignment="1" applyProtection="1">
      <alignment horizontal="right" vertical="center" wrapText="1"/>
      <protection locked="0"/>
    </xf>
    <xf numFmtId="0" fontId="100" fillId="0" borderId="47" xfId="14" applyFont="1" applyBorder="1" applyAlignment="1">
      <alignment horizontal="center" vertical="center" wrapText="1"/>
    </xf>
    <xf numFmtId="0" fontId="100" fillId="0" borderId="49" xfId="14" applyFont="1" applyBorder="1" applyAlignment="1">
      <alignment horizontal="center" vertical="center" wrapText="1"/>
    </xf>
    <xf numFmtId="0" fontId="100" fillId="0" borderId="84" xfId="14" applyFont="1" applyBorder="1" applyAlignment="1">
      <alignment horizontal="center" vertical="center" wrapText="1"/>
    </xf>
  </cellXfs>
  <cellStyles count="93">
    <cellStyle name="20% - Énfasis1 2" xfId="25" xr:uid="{00000000-0005-0000-0000-000000000000}"/>
    <cellStyle name="20% - Énfasis2 2" xfId="26" xr:uid="{00000000-0005-0000-0000-000001000000}"/>
    <cellStyle name="20% - Énfasis3 2" xfId="27" xr:uid="{00000000-0005-0000-0000-000002000000}"/>
    <cellStyle name="20% - Énfasis4 2" xfId="28" xr:uid="{00000000-0005-0000-0000-000003000000}"/>
    <cellStyle name="20% - Énfasis5 2" xfId="29" xr:uid="{00000000-0005-0000-0000-000004000000}"/>
    <cellStyle name="20% - Énfasis6 2" xfId="30" xr:uid="{00000000-0005-0000-0000-000005000000}"/>
    <cellStyle name="40% - Énfasis1 2" xfId="31" xr:uid="{00000000-0005-0000-0000-000006000000}"/>
    <cellStyle name="40% - Énfasis2 2" xfId="32" xr:uid="{00000000-0005-0000-0000-000007000000}"/>
    <cellStyle name="40% - Énfasis3 2" xfId="33" xr:uid="{00000000-0005-0000-0000-000008000000}"/>
    <cellStyle name="40% - Énfasis4 2" xfId="34" xr:uid="{00000000-0005-0000-0000-000009000000}"/>
    <cellStyle name="40% - Énfasis5 2" xfId="35" xr:uid="{00000000-0005-0000-0000-00000A000000}"/>
    <cellStyle name="40% - Énfasis6 2" xfId="36" xr:uid="{00000000-0005-0000-0000-00000B000000}"/>
    <cellStyle name="60% - Énfasis1 2" xfId="37" xr:uid="{00000000-0005-0000-0000-00000C000000}"/>
    <cellStyle name="60% - Énfasis2 2" xfId="38" xr:uid="{00000000-0005-0000-0000-00000D000000}"/>
    <cellStyle name="60% - Énfasis3 2" xfId="39" xr:uid="{00000000-0005-0000-0000-00000E000000}"/>
    <cellStyle name="60% - Énfasis4 2" xfId="40" xr:uid="{00000000-0005-0000-0000-00000F000000}"/>
    <cellStyle name="60% - Énfasis5 2" xfId="41" xr:uid="{00000000-0005-0000-0000-000010000000}"/>
    <cellStyle name="60% - Énfasis6 2" xfId="42" xr:uid="{00000000-0005-0000-0000-000011000000}"/>
    <cellStyle name="Cálculo 2" xfId="43" xr:uid="{00000000-0005-0000-0000-000012000000}"/>
    <cellStyle name="Celda de comprobación 2" xfId="44" xr:uid="{00000000-0005-0000-0000-000013000000}"/>
    <cellStyle name="Celda vinculada 2" xfId="45" xr:uid="{00000000-0005-0000-0000-000014000000}"/>
    <cellStyle name="Encabezado 4 2" xfId="46" xr:uid="{00000000-0005-0000-0000-000015000000}"/>
    <cellStyle name="Énfasis1 2" xfId="47" xr:uid="{00000000-0005-0000-0000-000016000000}"/>
    <cellStyle name="Énfasis2 2" xfId="48" xr:uid="{00000000-0005-0000-0000-000017000000}"/>
    <cellStyle name="Énfasis3 2" xfId="49" xr:uid="{00000000-0005-0000-0000-000018000000}"/>
    <cellStyle name="Énfasis4 2" xfId="50" xr:uid="{00000000-0005-0000-0000-000019000000}"/>
    <cellStyle name="Énfasis5 2" xfId="51" xr:uid="{00000000-0005-0000-0000-00001A000000}"/>
    <cellStyle name="Énfasis6 2" xfId="52" xr:uid="{00000000-0005-0000-0000-00001B000000}"/>
    <cellStyle name="Entrada 2" xfId="53" xr:uid="{00000000-0005-0000-0000-00001C000000}"/>
    <cellStyle name="Euro" xfId="54" xr:uid="{00000000-0005-0000-0000-00001D000000}"/>
    <cellStyle name="Hipervínculo" xfId="80" builtinId="8"/>
    <cellStyle name="Incorrecto 2" xfId="55" xr:uid="{00000000-0005-0000-0000-00001F000000}"/>
    <cellStyle name="Millares [0] 2" xfId="56" xr:uid="{00000000-0005-0000-0000-000020000000}"/>
    <cellStyle name="Millares [0] 3" xfId="86" xr:uid="{00000000-0005-0000-0000-000021000000}"/>
    <cellStyle name="Millares 10" xfId="7" xr:uid="{00000000-0005-0000-0000-000022000000}"/>
    <cellStyle name="Millares 2" xfId="57" xr:uid="{00000000-0005-0000-0000-000023000000}"/>
    <cellStyle name="Millares 2 2" xfId="58" xr:uid="{00000000-0005-0000-0000-000024000000}"/>
    <cellStyle name="Millares 2 2 2" xfId="59" xr:uid="{00000000-0005-0000-0000-000025000000}"/>
    <cellStyle name="Millares 2 3 3" xfId="8" xr:uid="{00000000-0005-0000-0000-000026000000}"/>
    <cellStyle name="Millares 3" xfId="82" xr:uid="{00000000-0005-0000-0000-000027000000}"/>
    <cellStyle name="Millares 4" xfId="84" xr:uid="{00000000-0005-0000-0000-000028000000}"/>
    <cellStyle name="Millares 8" xfId="60" xr:uid="{00000000-0005-0000-0000-000029000000}"/>
    <cellStyle name="Moneda" xfId="1" builtinId="4"/>
    <cellStyle name="Moneda [0] 2" xfId="61" xr:uid="{00000000-0005-0000-0000-00002B000000}"/>
    <cellStyle name="Moneda [0] 2 2" xfId="9" xr:uid="{00000000-0005-0000-0000-00002C000000}"/>
    <cellStyle name="Moneda [0] 2 2 2" xfId="23" xr:uid="{00000000-0005-0000-0000-00002D000000}"/>
    <cellStyle name="Moneda [0] 3" xfId="10" xr:uid="{00000000-0005-0000-0000-00002E000000}"/>
    <cellStyle name="Moneda [0] 3 2" xfId="11" xr:uid="{00000000-0005-0000-0000-00002F000000}"/>
    <cellStyle name="Moneda [0] 3 2 2" xfId="91" xr:uid="{00000000-0005-0000-0000-000030000000}"/>
    <cellStyle name="Moneda 12" xfId="62" xr:uid="{00000000-0005-0000-0000-000031000000}"/>
    <cellStyle name="Moneda 2" xfId="4" xr:uid="{00000000-0005-0000-0000-000032000000}"/>
    <cellStyle name="Moneda 2 2" xfId="63" xr:uid="{00000000-0005-0000-0000-000033000000}"/>
    <cellStyle name="Moneda 2 2 2" xfId="21" xr:uid="{00000000-0005-0000-0000-000034000000}"/>
    <cellStyle name="Moneda 2 34" xfId="12" xr:uid="{00000000-0005-0000-0000-000035000000}"/>
    <cellStyle name="Moneda 2 34 2" xfId="89" xr:uid="{00000000-0005-0000-0000-000036000000}"/>
    <cellStyle name="Moneda 3" xfId="13" xr:uid="{00000000-0005-0000-0000-000037000000}"/>
    <cellStyle name="Moneda 3 2" xfId="6" xr:uid="{00000000-0005-0000-0000-000038000000}"/>
    <cellStyle name="Moneda 3 3" xfId="64" xr:uid="{00000000-0005-0000-0000-000039000000}"/>
    <cellStyle name="Moneda 4" xfId="65" xr:uid="{00000000-0005-0000-0000-00003A000000}"/>
    <cellStyle name="Moneda 5" xfId="83" xr:uid="{00000000-0005-0000-0000-00003B000000}"/>
    <cellStyle name="Moneda 6" xfId="85" xr:uid="{00000000-0005-0000-0000-00003C000000}"/>
    <cellStyle name="Neutral 2" xfId="66" xr:uid="{00000000-0005-0000-0000-00003D000000}"/>
    <cellStyle name="Normal" xfId="0" builtinId="0"/>
    <cellStyle name="Normal 2" xfId="3" xr:uid="{00000000-0005-0000-0000-00003F000000}"/>
    <cellStyle name="Normal 2 2" xfId="14" xr:uid="{00000000-0005-0000-0000-000040000000}"/>
    <cellStyle name="Normal 2 2 2" xfId="15" xr:uid="{00000000-0005-0000-0000-000041000000}"/>
    <cellStyle name="Normal 2 3" xfId="67" xr:uid="{00000000-0005-0000-0000-000042000000}"/>
    <cellStyle name="Normal 3" xfId="16" xr:uid="{00000000-0005-0000-0000-000043000000}"/>
    <cellStyle name="Normal 3 4" xfId="68" xr:uid="{00000000-0005-0000-0000-000044000000}"/>
    <cellStyle name="Normal 4" xfId="17" xr:uid="{00000000-0005-0000-0000-000045000000}"/>
    <cellStyle name="Normal 4 2" xfId="92" xr:uid="{00000000-0005-0000-0000-000046000000}"/>
    <cellStyle name="Normal 4 2 2" xfId="5" xr:uid="{00000000-0005-0000-0000-000047000000}"/>
    <cellStyle name="Normal 4 2 2 2" xfId="24" xr:uid="{00000000-0005-0000-0000-000048000000}"/>
    <cellStyle name="Normal 4 2 3" xfId="87" xr:uid="{00000000-0005-0000-0000-000049000000}"/>
    <cellStyle name="Normal 5" xfId="69" xr:uid="{00000000-0005-0000-0000-00004A000000}"/>
    <cellStyle name="Normal_APU ADICIONALES" xfId="81" xr:uid="{00000000-0005-0000-0000-00004B000000}"/>
    <cellStyle name="Notas 2" xfId="70" xr:uid="{00000000-0005-0000-0000-00004C000000}"/>
    <cellStyle name="Porcentaje" xfId="2" builtinId="5"/>
    <cellStyle name="Porcentaje 2" xfId="18" xr:uid="{00000000-0005-0000-0000-00004E000000}"/>
    <cellStyle name="Porcentaje 3" xfId="19" xr:uid="{00000000-0005-0000-0000-00004F000000}"/>
    <cellStyle name="Porcentaje 3 2" xfId="88" xr:uid="{00000000-0005-0000-0000-000050000000}"/>
    <cellStyle name="Porcentaje 3 2 2" xfId="90" xr:uid="{00000000-0005-0000-0000-000051000000}"/>
    <cellStyle name="Porcentaje 4" xfId="20" xr:uid="{00000000-0005-0000-0000-000052000000}"/>
    <cellStyle name="Porcentual 2" xfId="22" xr:uid="{00000000-0005-0000-0000-000053000000}"/>
    <cellStyle name="Porcentual 3" xfId="71" xr:uid="{00000000-0005-0000-0000-000054000000}"/>
    <cellStyle name="Porcentual 3 3" xfId="72" xr:uid="{00000000-0005-0000-0000-000055000000}"/>
    <cellStyle name="Salida 2" xfId="73" xr:uid="{00000000-0005-0000-0000-000056000000}"/>
    <cellStyle name="Texto de advertencia 2" xfId="74" xr:uid="{00000000-0005-0000-0000-000057000000}"/>
    <cellStyle name="Texto explicativo 2" xfId="75" xr:uid="{00000000-0005-0000-0000-000058000000}"/>
    <cellStyle name="Título 2 2" xfId="76" xr:uid="{00000000-0005-0000-0000-000059000000}"/>
    <cellStyle name="Título 3 2" xfId="77" xr:uid="{00000000-0005-0000-0000-00005A000000}"/>
    <cellStyle name="Título 4" xfId="78" xr:uid="{00000000-0005-0000-0000-00005B000000}"/>
    <cellStyle name="Total 2" xfId="79" xr:uid="{00000000-0005-0000-0000-00005C000000}"/>
  </cellStyles>
  <dxfs count="0"/>
  <tableStyles count="0" defaultTableStyle="TableStyleMedium2" defaultPivotStyle="PivotStyleMedium9"/>
  <colors>
    <mruColors>
      <color rgb="FF00FF00"/>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63" Type="http://schemas.openxmlformats.org/officeDocument/2006/relationships/externalLink" Target="externalLinks/externalLink40.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53" Type="http://schemas.openxmlformats.org/officeDocument/2006/relationships/externalLink" Target="externalLinks/externalLink30.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149" Type="http://schemas.openxmlformats.org/officeDocument/2006/relationships/externalLink" Target="externalLinks/externalLink126.xml"/><Relationship Id="rId5" Type="http://schemas.openxmlformats.org/officeDocument/2006/relationships/worksheet" Target="worksheets/sheet5.xml"/><Relationship Id="rId95" Type="http://schemas.openxmlformats.org/officeDocument/2006/relationships/externalLink" Target="externalLinks/externalLink72.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18" Type="http://schemas.openxmlformats.org/officeDocument/2006/relationships/externalLink" Target="externalLinks/externalLink95.xml"/><Relationship Id="rId134" Type="http://schemas.openxmlformats.org/officeDocument/2006/relationships/externalLink" Target="externalLinks/externalLink111.xml"/><Relationship Id="rId139" Type="http://schemas.openxmlformats.org/officeDocument/2006/relationships/externalLink" Target="externalLinks/externalLink116.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50"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124" Type="http://schemas.openxmlformats.org/officeDocument/2006/relationships/externalLink" Target="externalLinks/externalLink101.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45" Type="http://schemas.openxmlformats.org/officeDocument/2006/relationships/externalLink" Target="externalLinks/externalLink12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35" Type="http://schemas.openxmlformats.org/officeDocument/2006/relationships/externalLink" Target="externalLinks/externalLink112.xml"/><Relationship Id="rId151"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externalLink" Target="externalLinks/externalLink97.xml"/><Relationship Id="rId125" Type="http://schemas.openxmlformats.org/officeDocument/2006/relationships/externalLink" Target="externalLinks/externalLink102.xml"/><Relationship Id="rId141" Type="http://schemas.openxmlformats.org/officeDocument/2006/relationships/externalLink" Target="externalLinks/externalLink118.xml"/><Relationship Id="rId146" Type="http://schemas.openxmlformats.org/officeDocument/2006/relationships/externalLink" Target="externalLinks/externalLink123.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externalLink" Target="externalLinks/externalLink108.xml"/><Relationship Id="rId136" Type="http://schemas.openxmlformats.org/officeDocument/2006/relationships/externalLink" Target="externalLinks/externalLink113.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5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3.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6" Type="http://schemas.openxmlformats.org/officeDocument/2006/relationships/worksheet" Target="worksheets/sheet16.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90" Type="http://schemas.openxmlformats.org/officeDocument/2006/relationships/externalLink" Target="externalLinks/externalLink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562286</xdr:colOff>
      <xdr:row>0</xdr:row>
      <xdr:rowOff>66673</xdr:rowOff>
    </xdr:from>
    <xdr:to>
      <xdr:col>8</xdr:col>
      <xdr:colOff>1244282</xdr:colOff>
      <xdr:row>3</xdr:row>
      <xdr:rowOff>148167</xdr:rowOff>
    </xdr:to>
    <xdr:pic>
      <xdr:nvPicPr>
        <xdr:cNvPr id="4" name="Imagen 5">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8186" y="66673"/>
          <a:ext cx="2193296" cy="11017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oneCellAnchor>
    <xdr:from>
      <xdr:col>0</xdr:col>
      <xdr:colOff>114301</xdr:colOff>
      <xdr:row>1</xdr:row>
      <xdr:rowOff>122758</xdr:rowOff>
    </xdr:from>
    <xdr:ext cx="2305050" cy="1161702"/>
    <xdr:pic>
      <xdr:nvPicPr>
        <xdr:cNvPr id="3" name="Imagen 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oneCellAnchor>
    <xdr:from>
      <xdr:col>0</xdr:col>
      <xdr:colOff>114301</xdr:colOff>
      <xdr:row>1</xdr:row>
      <xdr:rowOff>122758</xdr:rowOff>
    </xdr:from>
    <xdr:ext cx="2305050" cy="1161702"/>
    <xdr:pic>
      <xdr:nvPicPr>
        <xdr:cNvPr id="3" name="Imagen 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20</xdr:col>
      <xdr:colOff>158750</xdr:colOff>
      <xdr:row>2</xdr:row>
      <xdr:rowOff>58209</xdr:rowOff>
    </xdr:from>
    <xdr:to>
      <xdr:col>29</xdr:col>
      <xdr:colOff>454025</xdr:colOff>
      <xdr:row>39</xdr:row>
      <xdr:rowOff>106892</xdr:rowOff>
    </xdr:to>
    <xdr:pic>
      <xdr:nvPicPr>
        <xdr:cNvPr id="2" name="Imagen 2">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80300" y="448734"/>
          <a:ext cx="7153275" cy="6392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202141</xdr:colOff>
      <xdr:row>39</xdr:row>
      <xdr:rowOff>37042</xdr:rowOff>
    </xdr:from>
    <xdr:to>
      <xdr:col>25</xdr:col>
      <xdr:colOff>440266</xdr:colOff>
      <xdr:row>54</xdr:row>
      <xdr:rowOff>21167</xdr:rowOff>
    </xdr:to>
    <xdr:pic>
      <xdr:nvPicPr>
        <xdr:cNvPr id="3" name="Imagen 3">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223691" y="6914092"/>
          <a:ext cx="4048125" cy="286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0</xdr:colOff>
      <xdr:row>3</xdr:row>
      <xdr:rowOff>141513</xdr:rowOff>
    </xdr:to>
    <xdr:pic>
      <xdr:nvPicPr>
        <xdr:cNvPr id="2" name="3 Imagen" descr="Logo">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971550"/>
          <a:ext cx="0" cy="60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xdr:row>
      <xdr:rowOff>0</xdr:rowOff>
    </xdr:from>
    <xdr:to>
      <xdr:col>5</xdr:col>
      <xdr:colOff>0</xdr:colOff>
      <xdr:row>3</xdr:row>
      <xdr:rowOff>141513</xdr:rowOff>
    </xdr:to>
    <xdr:pic>
      <xdr:nvPicPr>
        <xdr:cNvPr id="3" name="3 Imagen" descr="Logo">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971550"/>
          <a:ext cx="0" cy="60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xdr:row>
      <xdr:rowOff>0</xdr:rowOff>
    </xdr:from>
    <xdr:to>
      <xdr:col>5</xdr:col>
      <xdr:colOff>0</xdr:colOff>
      <xdr:row>3</xdr:row>
      <xdr:rowOff>141513</xdr:rowOff>
    </xdr:to>
    <xdr:pic>
      <xdr:nvPicPr>
        <xdr:cNvPr id="4" name="3 Imagen" descr="Logo">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45980" y="777240"/>
          <a:ext cx="0" cy="583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xdr:row>
      <xdr:rowOff>0</xdr:rowOff>
    </xdr:from>
    <xdr:to>
      <xdr:col>5</xdr:col>
      <xdr:colOff>0</xdr:colOff>
      <xdr:row>3</xdr:row>
      <xdr:rowOff>141513</xdr:rowOff>
    </xdr:to>
    <xdr:pic>
      <xdr:nvPicPr>
        <xdr:cNvPr id="5" name="3 Imagen" descr="Logo">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45980" y="777240"/>
          <a:ext cx="0" cy="583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180975</xdr:colOff>
      <xdr:row>0</xdr:row>
      <xdr:rowOff>133350</xdr:rowOff>
    </xdr:from>
    <xdr:to>
      <xdr:col>8</xdr:col>
      <xdr:colOff>1219200</xdr:colOff>
      <xdr:row>7</xdr:row>
      <xdr:rowOff>312420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3000"/>
                  </a14:imgEffect>
                  <a14:imgEffect>
                    <a14:brightnessContrast bright="-100000"/>
                  </a14:imgEffect>
                </a14:imgLayer>
              </a14:imgProps>
            </a:ext>
            <a:ext uri="{28A0092B-C50C-407E-A947-70E740481C1C}">
              <a14:useLocalDpi xmlns:a14="http://schemas.microsoft.com/office/drawing/2010/main" val="0"/>
            </a:ext>
          </a:extLst>
        </a:blip>
        <a:srcRect l="11764" t="13472" r="6619" b="13654"/>
        <a:stretch/>
      </xdr:blipFill>
      <xdr:spPr>
        <a:xfrm>
          <a:off x="9568815" y="133350"/>
          <a:ext cx="1853565" cy="1619250"/>
        </a:xfrm>
        <a:prstGeom prst="rect">
          <a:avLst/>
        </a:prstGeom>
      </xdr:spPr>
    </xdr:pic>
    <xdr:clientData/>
  </xdr:twoCellAnchor>
  <xdr:twoCellAnchor editAs="oneCell">
    <xdr:from>
      <xdr:col>0</xdr:col>
      <xdr:colOff>200027</xdr:colOff>
      <xdr:row>0</xdr:row>
      <xdr:rowOff>154503</xdr:rowOff>
    </xdr:from>
    <xdr:to>
      <xdr:col>1</xdr:col>
      <xdr:colOff>2628901</xdr:colOff>
      <xdr:row>7</xdr:row>
      <xdr:rowOff>237003</xdr:rowOff>
    </xdr:to>
    <xdr:pic>
      <xdr:nvPicPr>
        <xdr:cNvPr id="4" name="Imagen 5">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0027" y="154503"/>
          <a:ext cx="2886074" cy="15226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2</xdr:row>
      <xdr:rowOff>85725</xdr:rowOff>
    </xdr:from>
    <xdr:to>
      <xdr:col>5</xdr:col>
      <xdr:colOff>0</xdr:colOff>
      <xdr:row>6</xdr:row>
      <xdr:rowOff>0</xdr:rowOff>
    </xdr:to>
    <xdr:pic>
      <xdr:nvPicPr>
        <xdr:cNvPr id="2" name="3 Imagen" descr="Logo">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0825" y="942975"/>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xdr:row>
      <xdr:rowOff>85725</xdr:rowOff>
    </xdr:from>
    <xdr:to>
      <xdr:col>5</xdr:col>
      <xdr:colOff>0</xdr:colOff>
      <xdr:row>6</xdr:row>
      <xdr:rowOff>0</xdr:rowOff>
    </xdr:to>
    <xdr:pic>
      <xdr:nvPicPr>
        <xdr:cNvPr id="3" name="3 Imagen" descr="Logo">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0825" y="942975"/>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2133760</xdr:colOff>
      <xdr:row>1</xdr:row>
      <xdr:rowOff>12373</xdr:rowOff>
    </xdr:from>
    <xdr:to>
      <xdr:col>7</xdr:col>
      <xdr:colOff>3482</xdr:colOff>
      <xdr:row>5</xdr:row>
      <xdr:rowOff>190082</xdr:rowOff>
    </xdr:to>
    <xdr:pic>
      <xdr:nvPicPr>
        <xdr:cNvPr id="4" name="Imagen 4">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2"/>
        <a:srcRect l="12226" t="11757" r="11969" b="11684"/>
        <a:stretch/>
      </xdr:blipFill>
      <xdr:spPr>
        <a:xfrm>
          <a:off x="15259210" y="707698"/>
          <a:ext cx="803422" cy="844459"/>
        </a:xfrm>
        <a:prstGeom prst="rect">
          <a:avLst/>
        </a:prstGeom>
      </xdr:spPr>
    </xdr:pic>
    <xdr:clientData/>
  </xdr:twoCellAnchor>
  <xdr:twoCellAnchor editAs="oneCell">
    <xdr:from>
      <xdr:col>1</xdr:col>
      <xdr:colOff>0</xdr:colOff>
      <xdr:row>179</xdr:row>
      <xdr:rowOff>120750</xdr:rowOff>
    </xdr:from>
    <xdr:to>
      <xdr:col>1</xdr:col>
      <xdr:colOff>8133</xdr:colOff>
      <xdr:row>184</xdr:row>
      <xdr:rowOff>230140</xdr:rowOff>
    </xdr:to>
    <xdr:pic>
      <xdr:nvPicPr>
        <xdr:cNvPr id="5" name="Imagen 5">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05279" y="70643850"/>
          <a:ext cx="2735067" cy="2166790"/>
        </a:xfrm>
        <a:prstGeom prst="rect">
          <a:avLst/>
        </a:prstGeom>
      </xdr:spPr>
    </xdr:pic>
    <xdr:clientData/>
  </xdr:twoCellAnchor>
  <xdr:twoCellAnchor editAs="oneCell">
    <xdr:from>
      <xdr:col>1</xdr:col>
      <xdr:colOff>19050</xdr:colOff>
      <xdr:row>1</xdr:row>
      <xdr:rowOff>21142</xdr:rowOff>
    </xdr:from>
    <xdr:to>
      <xdr:col>1</xdr:col>
      <xdr:colOff>1685925</xdr:colOff>
      <xdr:row>5</xdr:row>
      <xdr:rowOff>193231</xdr:rowOff>
    </xdr:to>
    <xdr:pic>
      <xdr:nvPicPr>
        <xdr:cNvPr id="6" name="Imagen 6">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2400" y="430717"/>
          <a:ext cx="1666875" cy="819789"/>
        </a:xfrm>
        <a:prstGeom prst="rect">
          <a:avLst/>
        </a:prstGeom>
      </xdr:spPr>
    </xdr:pic>
    <xdr:clientData/>
  </xdr:twoCellAnchor>
  <xdr:twoCellAnchor editAs="oneCell">
    <xdr:from>
      <xdr:col>1</xdr:col>
      <xdr:colOff>0</xdr:colOff>
      <xdr:row>179</xdr:row>
      <xdr:rowOff>120750</xdr:rowOff>
    </xdr:from>
    <xdr:to>
      <xdr:col>1</xdr:col>
      <xdr:colOff>8133</xdr:colOff>
      <xdr:row>184</xdr:row>
      <xdr:rowOff>138700</xdr:rowOff>
    </xdr:to>
    <xdr:pic>
      <xdr:nvPicPr>
        <xdr:cNvPr id="7" name="Imagen 5">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350" y="70777200"/>
          <a:ext cx="8133" cy="158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0</xdr:colOff>
      <xdr:row>6</xdr:row>
      <xdr:rowOff>19050</xdr:rowOff>
    </xdr:to>
    <xdr:pic>
      <xdr:nvPicPr>
        <xdr:cNvPr id="2" name="3 Imagen" descr="Logo">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7325" y="95250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2</xdr:row>
      <xdr:rowOff>0</xdr:rowOff>
    </xdr:from>
    <xdr:to>
      <xdr:col>6</xdr:col>
      <xdr:colOff>0</xdr:colOff>
      <xdr:row>6</xdr:row>
      <xdr:rowOff>19050</xdr:rowOff>
    </xdr:to>
    <xdr:pic>
      <xdr:nvPicPr>
        <xdr:cNvPr id="3" name="3 Imagen" descr="Logo">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7325" y="95250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1061438</xdr:colOff>
      <xdr:row>42</xdr:row>
      <xdr:rowOff>0</xdr:rowOff>
    </xdr:from>
    <xdr:to>
      <xdr:col>7</xdr:col>
      <xdr:colOff>1067674</xdr:colOff>
      <xdr:row>52</xdr:row>
      <xdr:rowOff>100498</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48063" y="9017455"/>
          <a:ext cx="1984489" cy="1567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1</xdr:row>
      <xdr:rowOff>30480</xdr:rowOff>
    </xdr:from>
    <xdr:to>
      <xdr:col>1</xdr:col>
      <xdr:colOff>2027472</xdr:colOff>
      <xdr:row>1</xdr:row>
      <xdr:rowOff>1013460</xdr:rowOff>
    </xdr:to>
    <xdr:pic>
      <xdr:nvPicPr>
        <xdr:cNvPr id="3" name="Imagen 5">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9105" y="228600"/>
          <a:ext cx="1979847" cy="982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6" name="Imagen 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503758"/>
          <a:ext cx="2305050" cy="116170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4" name="Imagen 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503758"/>
          <a:ext cx="2305050" cy="116170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114301</xdr:colOff>
      <xdr:row>1</xdr:row>
      <xdr:rowOff>122758</xdr:rowOff>
    </xdr:from>
    <xdr:ext cx="2305050" cy="1161702"/>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13258"/>
          <a:ext cx="2305050" cy="116170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Pedro\LICITACIONES%202010\ALCALDIA%20QUILLA%20VIEJA\PPTO%20CONSOLIDAD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aparra\Documents%20and%20Settings\crendon.HMV\Local%20Settings\Temporary%20Internet%20Files\OLK3\859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LICITACIONES%202019\UQ\20190309%20Formato_presupuesto_UQ_.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LICITACIONES%202019\UQ\20190309%20Formato_presupuesto_UQ_.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saenz\Documents%20and%20Settings\NUBIA\Escritorio\MANTENIMIENTO%20RUTA%201001_MARZO%20DE%202008\Documents%20and%20Settings\PEDRO%20GARCIA%20REALPE\Mis%20documentos\AMV_G1_2006_TUMACO\Actas%20AMV_G1_Tumaco\a%20%20aaInformaci&#243;n"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Users\CAROLINA\Desktop\INCODER%20-%20Consorcio%20Inter%20Riego\APUS%20INTERRIEGOS\SUMINISTRO%20COMPUERTA%20METALIC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japarra\Documents%20and%20Settings\pc-30\Mis%20documentos\Downloads\cantidades%20HIDRAULICA-B1%20(3).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20Archivos%20MFRIVERA\1.%20Sistema%20de%20Calidad%20Buenaventura\Informe%20mensual%20de%20gesti&#243;n\ENERO-2003\graficos%20registros%20de%20asistencia.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Tablas%20y%20gr&#225;ficas%201750%2003-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MONO\Documentos\Consultorias\Presupuestos%20Basicos\Presupuesto%20Amparo%20-%20Portal\Electricas\APUS%20Y%20PRESUPUESTO%20REDES%20ELECTRICAS%20AMPARO%20GALLO.xlk"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AMV%20GRUPO2-05\presupuestos\ajuste%20presupuestos\$%20PR20%20al%20PR2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Mis%20documentos\contratos-en-ejecuci&#243;n\contratos-inv&#237;as-2002\consulv&#237;as-advial\WINDOWS\TEMP\TD_0025.DIR\NOV-%20DIC-2002\oficina\accidentes%20le%20NOV-0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C\Users\josearoca\Downloads\Nasly\buzon\Users\Usuario\Desktop\Documents%20and%20Settings\Juan%20Arrubla\APU%20Secundaria%20Corvid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Users\SUPERVISOR\Desktop\ADMINISTRACION\OBRAS\PUENTE%20LA%20LEYENDA\CANTIDADES%20PUENTE.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SIMULACI&#211;NEDIFICIO.ok.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Users\1037579737\Documents\ZONE%204\PP%2009-10\MALLA%20VIAL\MALLA%20VIAL\PAVICOL\MSOFFICE\LICITAR\analisis%20del%20AIU\AIU.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Yamil\c%20-%20yamil\Documents%20and%20Settings\Yamil%20Sabbagh\Configuraci&#243;n%20local\Temp\Directorio%20temporal%205%20para%20sergio%20bar.zip\Mis%20documentos\ACTAS\ACTA%2013\SAN%20BASILIO%20NEGRA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RESUMEN.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Presupuestos%20sistema%20de%20alcantarillado%20(Campamento).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TILO\DOC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Documents%20and%20Settings\Usuario\Configuraci&#243;n%20local\Archivos%20temporales%20de%20Internet\Content.Outlook\QOC01ZAA\PROPUESTA%20ECONOMICA.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Pc-wvega\PROYECTOS%20EN%20EJECUCION\WINNT\Profiles\mvelezs\Configuraci&#243;n%20local\Archivos%20temporales%20de%20Internet\OLK295\ConsolidadoSubcircuito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C/Users/josearoca/Downloads/Nasly/buzon/Users/Usuario/Desktop/Documents%20and%20Settings/Juan%20Arrubla/APU%20Secundaria%20Corvid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F:\SIMULACI&#211;NEDIFICIO.ok.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Presupuesto_750%20_Baja_Suelo%20AB%20actualizado%202015%20con%20ICCP.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C:\Mis%20Documentos\Licitaciones\LIC-2000\OFERTAS\noviciado%20la%20caba&#241;a\CANTIDADES-ZOFICIO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Documents%20and%20Settings\psolarte.CASS\Escritorio\NUEVO%20VOL%20E\SOLARTE\Programas%20de%20Estudio\Modelaje%20Financiero%202009\2-Modelaje%20Financiero%20I\Modelaje%20I\Modelo%20ACME\Modelo%20Financiero%20ACME%20Esqueleto.xlsm"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ocuments%20and%20Settings\jcduque\Configuraci&#243;n%20local\Archivos%20temporales%20de%20Internet\OLK4E\Negocio%20Vecino\Objetivo%20Alternativa%20Vecino%20Octubre%2025%20de%2020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japarra\2361\07-%20Informaci&#243;n%20T&#233;cnica%20de%20los%20dise&#241;os\07%20Estudio%20de%20hidrol&#243;gia%20hidr&#225;ulica%20y%20socavaci&#243;n\01%20Elaboraci&#243;n\HIDRAULICA\Diseno%20Alcantarillas\Tramo%202\Diseno%20Alcant%20T2-entrega%203-Sep%2027-10%20-%20Macro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saenz\Documents%20and%20Settings\NUBIA\Escritorio\MANTENIMIENTO%20RUTA%201001_MARZO%20DE%202008\Documents%20and%20Settings\Jaime%20Rojas\Mis%20documentos\Contrato\Interv\JunBarba\a%20%20aaInformaci&#243;n%20GRUPO%204\A%20MInformes%20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aparra\usr\excel\COTIZACIONES\MIAMI\ELECONWIRE\Amir\Catalogo\MV_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C/Para%20presupuesto/Documents%20and%20Settings/67370/Configuraci&#243;n%20local/Archivos%20temporales%20de%20Internet/Content.IE5/UOTNRVQZ/Presupuesto%20correigio%20nora%20morales(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MVMEDMAIL\Propuestas\Trab\personal\Lista%20de%20precios%20para%20gabinetes%20de%20control%20y%20protecci&#243;n.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PRESUPUESTO%20ACT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CTO%20641%20UT%20MAS\MODIFICACIONES\ACTA%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saenz\Documents%20and%20Settings\NUBIA\Escritorio\a%20%20aaInformaci&#243;n%20GRUPO%204\A%20MInformes%20Mensuales\Informe%20de%20estado%20vial%20ene\aCCIDENTES%20DE%201995%20-%2019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C:\Users\Usuario\Google%20Drive\APU\presupuesto%20pintada%20alcaldi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Mis%20documentos\contratos-en-ejecuci&#243;n\contratos-inv&#237;as-2002\consulv&#237;as-advial\WINDOWS\TEMP\TD_0025.DIR\NOV-%20DIC-2002\INF%20NOV-DIC_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C\C\Para%20presupuesto\Documents%20and%20Settings\67370\Configuraci&#243;n%20local\Archivos%20temporales%20de%20Internet\Content.IE5\UOTNRVQZ\Presupuesto%20correigio%20nora%20morales(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incipal\cund%20grupo%201\INFORMES%20TRIMESTRAL\INFORME%20FINAL\DIC-05-FEB-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saenz\Documents%20and%20Settings\NUBIA\Escritorio\ZXPREPLIEGOS%20PUENTE%20ARMADA\PRESUP\ZPREPLIEGOS%20PUENTE%20ARMADA\OBRAS%20PUENTE%20ARMADA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invmeta\INFORMES\infabr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ocuments%20and%20Settings\Latinco%20S.A\Mis%20documentos\ARCHIVOS%20OSCAR\invias\corredores%20viales\PARTICIPAMOS\PRIMERA%20RONDA\analisis%20de%20precios%20unitarios%20-%20PLANTILL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Mis%20documentos\contratos-en-ejecuci&#243;n\contratos-inv&#237;as-2002\consulv&#237;as-advial\Mis%20documentos\Advial-Jul-01-jul-03\formatos\FORMATOS%20UTILES\APU.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Mis%20documentos\Advial-Jul-01-jul-03\formatos\FORMATOS%20UTILES\APU.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JTORRES\Mis%20documentos\Documents%20and%20Settings\LUZ%20MARY\Configuraci&#243;n%20local\Temp\hgg\0bra%20552\PPTO%20ADMINISTRATIVO%2013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I:\Users\Usuario\Downloads\EDU\UNIDAD%20HOSPITALARIA%20CONCEJO%20DE%20MEDELLIN\ppto%20pajarito%20ultimo\ENTREGA%20FINAL\ULTIMO\ENTREGA%20FINAL%2023%20DIC%202009\Presupuesto%20Hospital%20Infantil%20Concejo%2031-12-09%20sin%20vin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I:\Users\Usuario\Downloads\EDU\UNIDAD%20HOSPITALARIA%20CONCEJO%20DE%20MEDELLIN\ppto%20pajarito%20ultimo\ENTREGA%20FINAL\ULTIMO\ENTREGA%2012-11-09\Presupuesto%20Clinica%20Concejo%2013-11-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rchivos%20viejos%20del%20disco%20D\Nuevos%20procesos\Proceso%20de%20Contrataci&#243;n%20009360\1-Elaboraci&#243;n%20Pliego\Formatos%20Elaboraci&#243;n%20Pliego\Cantidades%20de%20obra\Cantidades%20Zona%20Sur-Parras-Ajizal-Sabanet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WINDOWS\TEMP\TD_0025.DIR\NOV-%20DIC-2002\INF%20NOV-DIC_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ocuments%20and%20Settings\Luis%20J%20Ramirez\Mis%20documentos\Consorcio%20Cantalejo\Obra\Ppto\Obra\MatrizPpt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37F5117F\a%20%20aaInformaci&#243;n%20GRUPO"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resupuesto%20Construcci&#243;n%20Puente%20Peatonal%20Manita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Users\Juan%20Rios\Desktop\G306%20PRESUPUEST%20TANGU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Z.OTROS\OBRAS\ENGATIVA\MODIFICACIONES\MODIFICACI&#224;N%204\VILLA%20SAGRARIO%20LLUVIAS%20mo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ACO\Doc.%20ASPIRE\Mis%20documentos\INF.BIMENSUAL\INFORME%20BIMENSUAL%20JUL-AGO-20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parra\usr\excel\COTIZACIONES\MIAMI\ELECONWIRE\CATALOGO\BAJA%20TENSION\B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I:\Users\Usuario\Downloads\Users\Daniel\AppData\Local\Temp\CALCULOS%20ALIMENTADO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Documents%20and%20Settings\usuario\Mis%20documentos\Mis%20archivos%20recibidos\Cantidades%20-%20Presupuesto%20%20228.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BASE%20DE%20PRESUPUESTO.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Formularios%20%20009350%20corr%20abril%2029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is%20documentos\BALANCE\resumen%20japon%20lluvias%202.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1037579737\Documents\ZONE%204\PP%2009-10\MALLA%20VIAL\MALLA%20VIAL\HLOPEZA\CANTIDADES%20GERONA\Documents%20and%20Settings\swilches\Configuraci&#243;n%20local\Archivos%20temporales%20de%20Internet\OLK6\formulario%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aparra\PAVICOL\MSOFFICE\LICITAR\analisis%20del%20AIU\AIU.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WINDOWS\TEMP\VILLA%20SAGRARIO%20NEGRAS%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I:\Users\Usuario\Downloads\Documents%20and%20Settings\carenas\Escritorio\PRESUPUESTOS%20%20febr11\Copia%20de%20BASE%20DE%20PRESUPUEST(copia).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OPTIMIZACI&#211;N%20DE%20LA%20RED%20DE%20DISTRIBUCI&#211;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japarra\Familia%20Monsalvo%20Diaz\Equipo%20Anterior\Rossana\IDU%2050.19\An&#225;lisis%20de%20precios%20unitario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lderon_rafael\c\IK%20-%20DATA%20BASE\Book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c_85\compartida\Cofinanciacion\FICHAS%20Y%20FORMATOS\UNITARIOS%20GENERALES.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AJUSTE%20.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V&#237;nculoExternoRecuperado3"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saenz\Documents%20and%20Settings\NUBIA\Escritorio\Users\rodrel\AppData\Local\Microsoft\Windows\Temporary%20Internet%20Files\Content.IE5\90ZIF8WU\Cantidades.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01%20Dis_AC_VH_02111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Giovanny\c\Copia%20Calidad\Mis%20documentos\Area%20Tecnica\Licitaciones\Epm\Actualizacion%20Guayabal\WINDOWS\TEMP\RELACI~1.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Rendimientos_Sur%2003-00(JC).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Rendimientos_Sur%2012-9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CIUDAD%20BOLIVAR\FRENTE%201CB\replanteos\MARLO\CB%205\5921.FLORIDA%20PRUEB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Yamil\c%20-%20yamil\Documents%20and%20Settings\Yamil%20Sabbagh\Configuraci&#243;n%20local\Temp\Directorio%20temporal%205%20para%20sergio%20bar.zip\Mis%20documentos\ACTAS\ACTA%2015\VILLA%20SAGRARIO%20NEGRA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docs.live.net/1_LICITACIONES%20CDC%202018/01_12DIC17_VIAS%20ISTMINA/PROPUESTA/a1%20Presupistmina%20-%20copi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Users\jhonatanmauricio\Downloads\F:\VILLA%20TAKOA\Presupuesto\APUS%20VILLA%20TAKO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I:\Users\Usuario\Downloads\A%20HAROLD%202015\CONTRATOS%20DE%20LICITACI&#211;N\PROYECTO%20HOSPITAL\Presupuesto%20Bagre%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saenz\Documents%20and%20Settings\NUBIA\Escritorio\Users\JorgeF\Documents\amv%20grupo%203%20boyaca%202009\PRECIOS%20UNITARIOS\corregidos\2011\LICITACIONES%20AGOSTO%202011\apus%20boyaca%20VIA%20chiquinquira%20-%20TUNJA.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0.0.4\tecnico\Documents%20and%20Settings\67370\Configuraci&#243;n%20local\Archivos%20temporales%20de%20Internet\Content.IE5\UOTNRVQZ\Presupuesto%20correigio%20nora%20morales(1).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stacion2\d\DOCUME~1\USER05~1\CONFIG~1\TEMP\ADMINISTRACION%20VIAL%20G2\PRESUPUESTOS\Presupuesto%20remoci&#243;n%20de%20derrumbe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DOCUME~1\CONTRO~1\CONFIG~1\Temp\FTCO-043%20PRESUPUESTO%20COSTOS%20INDIRECTOS%20SISOM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Users\jmperez\Documents\TECNICA\DEPORTE%20Y%20RECREACION\02%20ESTANDARIZADO%20POLIDEPORTIVO\05%20HOJA%20CALCULO%20ESTANDARIZADO\PRESUPUESTO%20DEL%20POLIDEPORTIVO%20COMPLETO.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japarra\Trab\PROP\47L8%20Siemens%20FCS%20Mexico\47L80080.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Anexo%2014_PresupuestoSAN_JUAN_LA_MARIA-MARZ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Yamil\c%20-%20yamil\Documents%20and%20Settings\Yamil%20Sabbagh\Configuraci&#243;n%20local\Temp\Directorio%20temporal%205%20para%20sergio%20bar.zip\WINDOWS\TEMP\VILLA%20SAGRARIO%20NEGRAS%20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04F75DD8\RELACI~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3B494239\RELACI~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rincipal\cund%20grupo%201\TECNICO\INFORMES%20TRIMESTRALES\INFORME%20TRIMESTRAL%20OCTUBRE%20DE%202009\Documents%20and%20Settings\Administrador\Escritorio\JULIO%20SEPTIEMBRE\Documents%20and%20Settings\Compaq_Propietari"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315DB27E\Plantilla_Estructuraci&#243;n_Presupuestos_Municipios_V4.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Rendimientos_Sur%20(EEPPM)%20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ACO\Doc.%20ASPIRE\ADMONVIAL%20H-V-05\PRESUPUESTOS\sector%2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Users\1037579737\Documents\ZONE%204\PP%2009-10\MALLA%20VIAL\MALLA%20VIAL\HLOPEZA\GERONA\CANTIDADES%20REPOSICION\SUBCIRCUITO%207\REDES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PubliObras%20Ltda\Dabeiba\invias%20150\proyecto%20definitivo\APU_INVIA...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PRESUPUESTO%20SAN%20JUAN%20200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Users\JAHIR\Desktop\ESCRITORIO\CONTRATOS%20Y%20PROYECTOS\DR.%20RICARDO\MURO%20ARATOCA\PRE.%20MURO%20ARATOCA.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AMV-02-BOL\EST.V&#205;A%20CRIT.TECNICO%20AMB-BOL-02\DICIEMBRE-2008\EST.V&#205;A%20CRITERIO%20TECNICO%2090BL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EST.V&#205;A%20CRITERIO%20TECNICO.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MESING\Unidad%20C\00-2004\San%20Pedro\Lagunas\Linea%20de%20Impulsio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oney\datos%20(d)\Documents%20and%20Settings\Administrador\Mis%20documentos\Roney%20Suba\Presupuesto\Presentacion%20Objetivos\Objetivo%20Sept.05\Objetivo%20Despues%20Septiembre%2012-05\Objetivo%20Sept-19%20VERSION%2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Users\usuario\Documents\PUBLIOBRAS%20LTDA\PRESUPUESTOS\Lista%20de%20Precios%20Unitarios,%20APU%20y%20Presupuestos%202012%20INVIA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epmco-my.sharepoint.com/2016-VIVERO%20SR/DIUS-VIVERO%20SAN%20RAFAEL-2016/VSR-09-PERSONALES/VSR-SZH/Cantidades/CO_M&#243;dulo%20Embolsado_Rev2.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icitaciones\Archivos%20Ordenados\Mis%20documentos\PLIEGOS-COND\OBRA%20PUBLICA\PROC%20SCV-2002\SCV-060-200203142002111631\SCV-060-Base-CAF-Sisga-Guateque.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EDUARDO\PROYECTOS\PMA\PRESUPUESTO%20PTAR.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japarra\BACKP%2008062011\MIS%20DOCUMENTOS\varios\Nueva%20carpeta\Presupuesto\APUS\09-04-16%20APUs%20Volumen%201%20REV%207\APU%20nuevo%20forma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de costo H&amp;H"/>
      <sheetName val="PRESUPUESTO"/>
      <sheetName val="APU OBRA CIVIL"/>
      <sheetName val="A.A."/>
      <sheetName val="APU IC-1"/>
      <sheetName val="APU IC-2"/>
      <sheetName val="APU IC-3"/>
      <sheetName val="APU IC-4"/>
      <sheetName val="APU IC-5"/>
      <sheetName val="APU IC-6"/>
      <sheetName val="APU IC-7"/>
      <sheetName val="APU IC-8"/>
      <sheetName val="APU IC-9"/>
      <sheetName val="APU IC-10"/>
      <sheetName val="APU IC-11"/>
      <sheetName val="APU IC-12"/>
      <sheetName val="APU IC-13"/>
      <sheetName val="APU IC-14"/>
      <sheetName val="APU IC-15"/>
      <sheetName val="APU IC-16"/>
      <sheetName val="APU IC-17"/>
      <sheetName val="APU IC-18"/>
      <sheetName val="APU IC-19"/>
      <sheetName val="APU IC-20"/>
      <sheetName val="APU IC-21"/>
      <sheetName val="APU IC-22"/>
      <sheetName val="APU IC-23"/>
      <sheetName val="APU IC-24"/>
      <sheetName val="APU IC-25"/>
      <sheetName val="APU IC-26"/>
      <sheetName val="APU IC-27"/>
      <sheetName val="APU IC-28"/>
      <sheetName val="Hoja1"/>
      <sheetName val="Hoja2"/>
      <sheetName val="PPTO CONSOLIDADO"/>
    </sheetNames>
    <definedNames>
      <definedName name="ER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Ejecutivo"/>
      <sheetName val="Resumen_Real"/>
      <sheetName val="TablasDinamicas"/>
      <sheetName val="HorasDetalladas"/>
      <sheetName val="46W9"/>
      <sheetName val="46W9_Hoja1"/>
      <sheetName val="46W9_Cuadro de costos"/>
      <sheetName val="46W9_Bases"/>
      <sheetName val="46W9_ASPECTOS ELECTRICOS"/>
      <sheetName val="46W9_OBRAS CIVILES"/>
      <sheetName val="46W9_Costo directos"/>
      <sheetName val="46W9_Resumen Costos"/>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sheetName val="INS"/>
      <sheetName val="PPTO"/>
      <sheetName val="APUS"/>
      <sheetName val="9.01"/>
      <sheetName val="9.02"/>
      <sheetName val="9.03"/>
      <sheetName val="9.04"/>
      <sheetName val="9.08"/>
      <sheetName val="1.01"/>
      <sheetName val="1.02"/>
      <sheetName val="1.03"/>
      <sheetName val="1.04"/>
      <sheetName val="1.05"/>
      <sheetName val="1.06"/>
      <sheetName val="1.07"/>
      <sheetName val="1.08"/>
      <sheetName val="1.10"/>
      <sheetName val="1.11"/>
      <sheetName val="1.17"/>
      <sheetName val="1.19"/>
      <sheetName val="2.01"/>
      <sheetName val="2.02"/>
      <sheetName val="2.03"/>
      <sheetName val="2.04"/>
      <sheetName val="2.05"/>
      <sheetName val="2.06"/>
      <sheetName val="2.07"/>
      <sheetName val="2.08"/>
      <sheetName val="3.01"/>
      <sheetName val="3.02"/>
      <sheetName val="3.03"/>
      <sheetName val="3.04"/>
      <sheetName val="3.05"/>
      <sheetName val="3.06"/>
      <sheetName val="3.07"/>
      <sheetName val="3.08"/>
      <sheetName val="3.09"/>
      <sheetName val="4.01"/>
      <sheetName val="4.02"/>
      <sheetName val="7.01"/>
      <sheetName val="7.02"/>
      <sheetName val="ESPECIF"/>
      <sheetName val="Hoja1"/>
      <sheetName val="4.03"/>
      <sheetName val="4.04"/>
      <sheetName val="5.01"/>
      <sheetName val="5.02"/>
      <sheetName val="5.03"/>
      <sheetName val="5.04"/>
      <sheetName val="5.05"/>
    </sheetNames>
    <sheetDataSet>
      <sheetData sheetId="0" refreshError="1"/>
      <sheetData sheetId="1" refreshError="1"/>
      <sheetData sheetId="2">
        <row r="7">
          <cell r="A7">
            <v>1</v>
          </cell>
          <cell r="B7" t="str">
            <v>PRELIMINARES</v>
          </cell>
        </row>
        <row r="8">
          <cell r="A8">
            <v>1.01</v>
          </cell>
          <cell r="B8" t="str">
            <v>ALQUILER DE CONTENEDORES PARA CAMPAMENTEO (OFICINAS DE OBRA Y ALMACÉN 3 und)</v>
          </cell>
          <cell r="C8" t="str">
            <v>mes</v>
          </cell>
          <cell r="D8">
            <v>45</v>
          </cell>
          <cell r="E8">
            <v>42838.425000000003</v>
          </cell>
          <cell r="F8">
            <v>1927729</v>
          </cell>
        </row>
        <row r="9">
          <cell r="A9">
            <v>1.02</v>
          </cell>
          <cell r="B9" t="str">
            <v>DEMOLICIÓN MURO CONCRETO E=30 CM INCLUYE ACARREO Y RETIRO A SITIO AUTORIZADO</v>
          </cell>
          <cell r="C9" t="str">
            <v>m²</v>
          </cell>
          <cell r="D9">
            <v>0</v>
          </cell>
          <cell r="E9" t="e">
            <v>#N/A</v>
          </cell>
          <cell r="F9" t="e">
            <v>#N/A</v>
          </cell>
        </row>
        <row r="10">
          <cell r="A10">
            <v>1.03</v>
          </cell>
          <cell r="B10" t="str">
            <v>DESMONTE DE TOPELLANTAS EN CONCRETO</v>
          </cell>
          <cell r="C10" t="str">
            <v>und</v>
          </cell>
          <cell r="D10">
            <v>0</v>
          </cell>
          <cell r="F10">
            <v>0</v>
          </cell>
        </row>
        <row r="11">
          <cell r="A11">
            <v>1.04</v>
          </cell>
          <cell r="B11" t="str">
            <v>DEMOLICIÓN LOSA CONTRAPISO CONCRETO E= 7,6 A 12 CM INCLUYE ACARREO Y RETIRO A SITIO AUTORIZADO</v>
          </cell>
          <cell r="C11" t="str">
            <v>m²</v>
          </cell>
          <cell r="D11">
            <v>0</v>
          </cell>
          <cell r="E11" t="e">
            <v>#N/A</v>
          </cell>
          <cell r="F11" t="e">
            <v>#N/A</v>
          </cell>
        </row>
        <row r="12">
          <cell r="A12">
            <v>1.05</v>
          </cell>
          <cell r="B12" t="str">
            <v>LOCALIZACION Y REPLANTEO COMISION TOPOGRAFÍA</v>
          </cell>
          <cell r="C12" t="str">
            <v>m²</v>
          </cell>
          <cell r="D12">
            <v>637.85</v>
          </cell>
          <cell r="E12" t="e">
            <v>#N/A</v>
          </cell>
          <cell r="F12" t="e">
            <v>#N/A</v>
          </cell>
        </row>
        <row r="13">
          <cell r="A13">
            <v>1.06</v>
          </cell>
          <cell r="B13" t="str">
            <v>DESMONTE DE CERRAMIENTO EXISTENTE</v>
          </cell>
          <cell r="C13" t="str">
            <v>m²</v>
          </cell>
          <cell r="D13">
            <v>89.34</v>
          </cell>
          <cell r="E13" t="e">
            <v>#N/A</v>
          </cell>
          <cell r="F13" t="e">
            <v>#N/A</v>
          </cell>
        </row>
        <row r="14">
          <cell r="A14">
            <v>1.07</v>
          </cell>
          <cell r="B14" t="str">
            <v>DEMOLICIÓN DE COLUMNAS EN CONCRETO CERRAMIENTO EXISTENTE</v>
          </cell>
          <cell r="C14" t="str">
            <v>m³</v>
          </cell>
          <cell r="D14">
            <v>0</v>
          </cell>
          <cell r="E14">
            <v>48171.875</v>
          </cell>
          <cell r="F14">
            <v>0</v>
          </cell>
        </row>
        <row r="15">
          <cell r="A15">
            <v>1.08</v>
          </cell>
          <cell r="B15" t="str">
            <v>DESMONTE DE CUBIERTAS Y ESTRUCTURA PARQUEADEROS EXISTENTE</v>
          </cell>
          <cell r="C15" t="str">
            <v>m²</v>
          </cell>
          <cell r="D15">
            <v>0</v>
          </cell>
          <cell r="E15" t="e">
            <v>#N/A</v>
          </cell>
          <cell r="F15" t="e">
            <v>#N/A</v>
          </cell>
        </row>
        <row r="16">
          <cell r="A16">
            <v>1.0900000000000001</v>
          </cell>
          <cell r="B16" t="str">
            <v xml:space="preserve">DESMONTE  DE CASETA </v>
          </cell>
          <cell r="C16" t="str">
            <v>und</v>
          </cell>
          <cell r="D16">
            <v>0</v>
          </cell>
          <cell r="E16" t="e">
            <v>#N/A</v>
          </cell>
          <cell r="F16" t="e">
            <v>#N/A</v>
          </cell>
        </row>
        <row r="17">
          <cell r="A17">
            <v>1.1000000000000001</v>
          </cell>
          <cell r="B17" t="str">
            <v>BATEA EN CONCRETO 3000 PSI</v>
          </cell>
          <cell r="C17" t="str">
            <v>m³</v>
          </cell>
          <cell r="D17">
            <v>1.25</v>
          </cell>
          <cell r="E17" t="e">
            <v>#N/A</v>
          </cell>
          <cell r="F17" t="e">
            <v>#N/A</v>
          </cell>
        </row>
        <row r="18">
          <cell r="A18">
            <v>1.1100000000000001</v>
          </cell>
          <cell r="B18" t="str">
            <v>CERRAMIENTO PROVISIONAL EN LÁMINA GALVANIZADA E H:2,10M</v>
          </cell>
          <cell r="C18" t="str">
            <v>m</v>
          </cell>
          <cell r="D18">
            <v>89.34</v>
          </cell>
          <cell r="E18" t="e">
            <v>#N/A</v>
          </cell>
          <cell r="F18" t="e">
            <v>#N/A</v>
          </cell>
        </row>
        <row r="19">
          <cell r="A19">
            <v>1.1200000000000001</v>
          </cell>
          <cell r="B19" t="str">
            <v>MONTAJE DE TORRE GRUA (DEMOLICIONES, CIMENTACIÓN Y MONTAJE)</v>
          </cell>
          <cell r="C19" t="str">
            <v>Gb</v>
          </cell>
          <cell r="D19">
            <v>1</v>
          </cell>
          <cell r="E19" t="e">
            <v>#N/A</v>
          </cell>
          <cell r="F19" t="e">
            <v>#N/A</v>
          </cell>
        </row>
        <row r="20">
          <cell r="A20">
            <v>1.1299999999999999</v>
          </cell>
          <cell r="B20" t="str">
            <v>DESMONTE DE TORRE GRÚA (INCLUYE DEMOLICIONES Y REPOSICIÓN DE ANDENES</v>
          </cell>
          <cell r="C20" t="str">
            <v>Gb</v>
          </cell>
          <cell r="D20">
            <v>1</v>
          </cell>
          <cell r="E20" t="e">
            <v>#N/A</v>
          </cell>
          <cell r="F20" t="e">
            <v>#N/A</v>
          </cell>
        </row>
        <row r="21">
          <cell r="A21">
            <v>1.1399999999999999</v>
          </cell>
          <cell r="B21" t="str">
            <v>INSTALACIÓN PROVISIONAL AGUA</v>
          </cell>
          <cell r="C21" t="str">
            <v>und</v>
          </cell>
          <cell r="D21">
            <v>1</v>
          </cell>
          <cell r="E21" t="e">
            <v>#N/A</v>
          </cell>
          <cell r="F21" t="e">
            <v>#N/A</v>
          </cell>
        </row>
        <row r="22">
          <cell r="A22">
            <v>1.1499999999999999</v>
          </cell>
          <cell r="B22" t="str">
            <v>TRANSFORMADOR CON CABLEADO SUBTERRÁNEA</v>
          </cell>
          <cell r="C22" t="str">
            <v>und</v>
          </cell>
          <cell r="D22">
            <v>1</v>
          </cell>
          <cell r="E22" t="e">
            <v>#N/A</v>
          </cell>
          <cell r="F22" t="e">
            <v>#N/A</v>
          </cell>
        </row>
        <row r="23">
          <cell r="A23">
            <v>1.1599999999999999</v>
          </cell>
          <cell r="B23" t="str">
            <v>INSTALACIÓN PROVISIONAL TELÉFONO</v>
          </cell>
          <cell r="C23" t="str">
            <v>und</v>
          </cell>
          <cell r="D23">
            <v>1</v>
          </cell>
          <cell r="E23" t="e">
            <v>#N/A</v>
          </cell>
          <cell r="F23" t="e">
            <v>#N/A</v>
          </cell>
        </row>
        <row r="24">
          <cell r="A24">
            <v>1.17</v>
          </cell>
          <cell r="B24" t="str">
            <v>ZARÁN DE PROTECCIÓN DE EDIFICIO</v>
          </cell>
          <cell r="C24" t="str">
            <v>m²</v>
          </cell>
          <cell r="E24" t="e">
            <v>#N/A</v>
          </cell>
          <cell r="F24" t="e">
            <v>#N/A</v>
          </cell>
        </row>
        <row r="25">
          <cell r="A25">
            <v>1.18</v>
          </cell>
          <cell r="B25" t="str">
            <v>TRÁMITE ANTE ENTIDADES: TRÁNSITO, PLANEACIÓN MPAL Y UNIDAD DE RIESGOS</v>
          </cell>
          <cell r="C25" t="str">
            <v>und</v>
          </cell>
          <cell r="D25">
            <v>1</v>
          </cell>
          <cell r="E25" t="e">
            <v>#N/A</v>
          </cell>
          <cell r="F25" t="e">
            <v>#N/A</v>
          </cell>
        </row>
        <row r="26">
          <cell r="A26">
            <v>1.19</v>
          </cell>
          <cell r="B26" t="str">
            <v>RETIRO DE ESCOMBROS CON VOLQUETA</v>
          </cell>
          <cell r="C26" t="str">
            <v>m³</v>
          </cell>
          <cell r="E26" t="e">
            <v>#N/A</v>
          </cell>
          <cell r="F26" t="e">
            <v>#N/A</v>
          </cell>
        </row>
        <row r="27">
          <cell r="B27" t="str">
            <v xml:space="preserve">TOTAL PRELIMINARES </v>
          </cell>
          <cell r="F27" t="e">
            <v>#N/A</v>
          </cell>
        </row>
        <row r="28">
          <cell r="A28">
            <v>2</v>
          </cell>
          <cell r="B28" t="str">
            <v>MOVIMIENTO DE TIERRA</v>
          </cell>
        </row>
        <row r="29">
          <cell r="A29">
            <v>2.0099999999999998</v>
          </cell>
          <cell r="B29" t="str">
            <v>EXCAVACIÓN TERRENO CON MAQUINARIA PESADA</v>
          </cell>
          <cell r="C29" t="str">
            <v>m³</v>
          </cell>
          <cell r="D29">
            <v>0</v>
          </cell>
          <cell r="E29" t="e">
            <v>#N/A</v>
          </cell>
          <cell r="F29" t="e">
            <v>#N/A</v>
          </cell>
        </row>
        <row r="30">
          <cell r="A30">
            <v>2.02</v>
          </cell>
          <cell r="B30" t="str">
            <v>PERFILADA Y NIVELACIÓN TERRENO CON MATERIAL DE SITIO</v>
          </cell>
          <cell r="C30" t="str">
            <v>m²</v>
          </cell>
          <cell r="D30">
            <v>0</v>
          </cell>
          <cell r="E30" t="e">
            <v>#N/A</v>
          </cell>
          <cell r="F30" t="e">
            <v>#N/A</v>
          </cell>
        </row>
        <row r="31">
          <cell r="A31">
            <v>2.0299999999999998</v>
          </cell>
          <cell r="B31" t="str">
            <v>PERFORACION Y EXCAVACION PARA PILOTES INCLUYE ACARREO</v>
          </cell>
          <cell r="C31" t="str">
            <v>m³</v>
          </cell>
          <cell r="D31">
            <v>0</v>
          </cell>
          <cell r="E31" t="e">
            <v>#N/A</v>
          </cell>
          <cell r="F31" t="e">
            <v>#N/A</v>
          </cell>
        </row>
        <row r="32">
          <cell r="A32">
            <v>2.04</v>
          </cell>
          <cell r="B32" t="str">
            <v>EXCAVACIÓN PARA DADOS / ZAPATAS</v>
          </cell>
          <cell r="C32" t="str">
            <v>m³</v>
          </cell>
          <cell r="D32">
            <v>0</v>
          </cell>
          <cell r="E32">
            <v>1762.5</v>
          </cell>
          <cell r="F32">
            <v>0</v>
          </cell>
        </row>
        <row r="33">
          <cell r="A33">
            <v>2.0499999999999998</v>
          </cell>
          <cell r="B33" t="str">
            <v xml:space="preserve">EXCAVACION PARA VIGAS DE CIMENTACION </v>
          </cell>
          <cell r="C33" t="str">
            <v>m³</v>
          </cell>
          <cell r="D33">
            <v>0</v>
          </cell>
          <cell r="E33">
            <v>1762.5</v>
          </cell>
          <cell r="F33">
            <v>0</v>
          </cell>
        </row>
        <row r="34">
          <cell r="A34">
            <v>2.06</v>
          </cell>
          <cell r="B34" t="str">
            <v>RELLENOS COMPACTADOS DE CONFORMACION CON MATERIAL DE SITIO</v>
          </cell>
          <cell r="C34" t="str">
            <v>m³</v>
          </cell>
          <cell r="D34">
            <v>0</v>
          </cell>
          <cell r="E34" t="e">
            <v>#N/A</v>
          </cell>
          <cell r="F34" t="e">
            <v>#N/A</v>
          </cell>
        </row>
        <row r="35">
          <cell r="A35">
            <v>2.0699999999999998</v>
          </cell>
          <cell r="B35" t="str">
            <v>REMOCION, CARGUE Y RETIRO MAT COMUN A ESCOMBRERA</v>
          </cell>
          <cell r="C35" t="str">
            <v>m³</v>
          </cell>
          <cell r="D35">
            <v>0</v>
          </cell>
          <cell r="E35">
            <v>12611.75</v>
          </cell>
          <cell r="F35">
            <v>0</v>
          </cell>
        </row>
        <row r="36">
          <cell r="A36">
            <v>2.08</v>
          </cell>
          <cell r="B36" t="str">
            <v>RETIRO DE MATERIAL SOBRANTE CARGUE MANUAL</v>
          </cell>
          <cell r="C36" t="str">
            <v>m³</v>
          </cell>
          <cell r="D36">
            <v>0</v>
          </cell>
          <cell r="E36" t="e">
            <v>#N/A</v>
          </cell>
          <cell r="F36" t="e">
            <v>#N/A</v>
          </cell>
        </row>
        <row r="37">
          <cell r="B37" t="str">
            <v>TOTAL MOVIMIENTO DE TIERRAS</v>
          </cell>
          <cell r="F37" t="e">
            <v>#N/A</v>
          </cell>
        </row>
        <row r="39">
          <cell r="A39">
            <v>3</v>
          </cell>
          <cell r="B39" t="str">
            <v>CIMENTACIÓN</v>
          </cell>
        </row>
        <row r="40">
          <cell r="A40">
            <v>3.01</v>
          </cell>
          <cell r="B40" t="str">
            <v>CONCRETO F´C=21 MPA (3000PSI) (TREMIE) PILOTE DIAM=40CM A 60CM, L=HASTA 10M (NO INCLUYE REFUERZO)</v>
          </cell>
          <cell r="C40" t="str">
            <v>m³</v>
          </cell>
          <cell r="D40">
            <v>0</v>
          </cell>
          <cell r="E40" t="e">
            <v>#N/A</v>
          </cell>
          <cell r="F40" t="e">
            <v>#N/A</v>
          </cell>
        </row>
        <row r="41">
          <cell r="A41">
            <v>3.02</v>
          </cell>
          <cell r="B41" t="str">
            <v>DEMOLICIÓN ANILLO PILA O CAISSON</v>
          </cell>
          <cell r="C41" t="str">
            <v>m³</v>
          </cell>
          <cell r="D41">
            <v>0</v>
          </cell>
          <cell r="E41" t="e">
            <v>#N/A</v>
          </cell>
          <cell r="F41" t="e">
            <v>#N/A</v>
          </cell>
        </row>
        <row r="42">
          <cell r="A42">
            <v>3.03</v>
          </cell>
          <cell r="B42" t="str">
            <v>CONCRETO DE 20,7 MPA ZAPATAS (NO INCLUYE REFUERZO)</v>
          </cell>
          <cell r="C42" t="str">
            <v>m³</v>
          </cell>
          <cell r="D42">
            <v>0</v>
          </cell>
          <cell r="E42" t="e">
            <v>#N/A</v>
          </cell>
          <cell r="F42" t="e">
            <v>#N/A</v>
          </cell>
        </row>
        <row r="43">
          <cell r="A43">
            <v>3.04</v>
          </cell>
          <cell r="B43" t="str">
            <v>RELLENO CON RECEBO CONÚN A MANO (ADY ZAPATAS)</v>
          </cell>
          <cell r="C43" t="str">
            <v>m³</v>
          </cell>
          <cell r="D43">
            <v>0</v>
          </cell>
          <cell r="E43" t="e">
            <v>#N/A</v>
          </cell>
          <cell r="F43" t="e">
            <v>#N/A</v>
          </cell>
        </row>
        <row r="44">
          <cell r="A44">
            <v>3.05</v>
          </cell>
          <cell r="B44" t="str">
            <v>SOLADO FUNDACIONES</v>
          </cell>
          <cell r="C44" t="str">
            <v>m²</v>
          </cell>
          <cell r="D44">
            <v>0</v>
          </cell>
          <cell r="E44" t="e">
            <v>#N/A</v>
          </cell>
          <cell r="F44" t="e">
            <v>#N/A</v>
          </cell>
        </row>
        <row r="45">
          <cell r="A45">
            <v>3.06</v>
          </cell>
          <cell r="B45" t="str">
            <v>ACERO DE REFUERZO FY=420 MPA (60000PSI) CIMENTACIÓN</v>
          </cell>
          <cell r="C45" t="str">
            <v>kg</v>
          </cell>
          <cell r="D45">
            <v>0</v>
          </cell>
          <cell r="E45" t="e">
            <v>#N/A</v>
          </cell>
          <cell r="F45" t="e">
            <v>#N/A</v>
          </cell>
        </row>
        <row r="46">
          <cell r="A46">
            <v>3.07</v>
          </cell>
          <cell r="B46" t="str">
            <v>CONCRETO DE 20,7 MPA VIGAS DE ENLACE DE ZAPATAS (NO INCLUYE REFUERZO)</v>
          </cell>
          <cell r="C46" t="str">
            <v>m³</v>
          </cell>
          <cell r="D46">
            <v>0</v>
          </cell>
          <cell r="E46" t="e">
            <v>#N/A</v>
          </cell>
          <cell r="F46" t="e">
            <v>#N/A</v>
          </cell>
        </row>
        <row r="47">
          <cell r="A47">
            <v>3.08</v>
          </cell>
          <cell r="B47" t="str">
            <v>MALLA ELECTROSOLDADA FY=490 MPA (70000PSI) PLACA CONTRAPISO</v>
          </cell>
          <cell r="C47" t="str">
            <v>kg</v>
          </cell>
          <cell r="D47">
            <v>0</v>
          </cell>
          <cell r="E47" t="e">
            <v>#N/A</v>
          </cell>
          <cell r="F47" t="e">
            <v>#N/A</v>
          </cell>
        </row>
        <row r="48">
          <cell r="A48">
            <v>3.09</v>
          </cell>
          <cell r="B48" t="str">
            <v>CONCRETO DE 20,7 MPA PLACA DE CONTRAPISO E = 0,15 M (NO INCLUYE REFUERZO MALLA ELECTROSOLDADA)</v>
          </cell>
          <cell r="C48" t="str">
            <v>m²</v>
          </cell>
          <cell r="D48">
            <v>0</v>
          </cell>
          <cell r="E48" t="e">
            <v>#N/A</v>
          </cell>
          <cell r="F48" t="e">
            <v>#N/A</v>
          </cell>
        </row>
        <row r="49">
          <cell r="A49">
            <v>3.1</v>
          </cell>
          <cell r="B49" t="str">
            <v>ALLANADO DE PISO CON HELICÓPTERO</v>
          </cell>
          <cell r="C49" t="str">
            <v>m²</v>
          </cell>
          <cell r="E49" t="e">
            <v>#N/A</v>
          </cell>
          <cell r="F49" t="e">
            <v>#N/A</v>
          </cell>
        </row>
        <row r="50">
          <cell r="B50" t="str">
            <v>TOTAL CIMENTACIÓN</v>
          </cell>
          <cell r="F50" t="e">
            <v>#N/A</v>
          </cell>
        </row>
        <row r="52">
          <cell r="A52">
            <v>4</v>
          </cell>
          <cell r="B52" t="str">
            <v>ESTRUCTURA</v>
          </cell>
        </row>
        <row r="53">
          <cell r="A53">
            <v>4.01</v>
          </cell>
          <cell r="B53" t="str">
            <v>CONCRETO 20,7 MPA (3000 PSI) MURO DE CONTENCIÓN E: 0.30M (NO INCLUYE REFUERZO)</v>
          </cell>
          <cell r="C53" t="str">
            <v>m³</v>
          </cell>
          <cell r="D53">
            <v>0</v>
          </cell>
          <cell r="E53" t="e">
            <v>#N/A</v>
          </cell>
          <cell r="F53" t="e">
            <v>#N/A</v>
          </cell>
        </row>
        <row r="54">
          <cell r="A54">
            <v>4.0199999999999996</v>
          </cell>
          <cell r="B54" t="str">
            <v xml:space="preserve">PLACA DE FUNDACION FOSO DE ASCENSOR E= 0,2 M EN CONCRETO F´C= 21 MPA </v>
          </cell>
          <cell r="E54" t="e">
            <v>#N/A</v>
          </cell>
          <cell r="F54" t="e">
            <v>#N/A</v>
          </cell>
        </row>
        <row r="55">
          <cell r="A55">
            <v>4.03</v>
          </cell>
          <cell r="B55" t="str">
            <v>CONCRETO 28 MPA MURO PANTALLA ASCENSOR E: 0.25M (NO INCLUYE REFUERZO)</v>
          </cell>
          <cell r="C55" t="str">
            <v>m³</v>
          </cell>
          <cell r="D55">
            <v>101.24860000000001</v>
          </cell>
          <cell r="E55" t="e">
            <v>#N/A</v>
          </cell>
          <cell r="F55" t="e">
            <v>#N/A</v>
          </cell>
        </row>
        <row r="56">
          <cell r="A56">
            <v>4.04</v>
          </cell>
          <cell r="B56" t="str">
            <v>CONCRETO 20,7 MPA ESCALERA Y RAMPAS E=0,20M (NO INCLUYE REFUERZO)</v>
          </cell>
          <cell r="C56" t="str">
            <v>m²</v>
          </cell>
          <cell r="D56" t="e">
            <v>#REF!</v>
          </cell>
          <cell r="E56" t="e">
            <v>#N/A</v>
          </cell>
          <cell r="F56" t="e">
            <v>#REF!</v>
          </cell>
        </row>
        <row r="57">
          <cell r="A57">
            <v>4.05</v>
          </cell>
          <cell r="B57" t="str">
            <v>CONCRETO DE 20,7 MPA (3.000 PSI) PARA PLACAS EN STEELDECK (NO INCLUYE REFUERZO MALLA ELECTROSOLDADA)</v>
          </cell>
          <cell r="C57" t="str">
            <v>m²</v>
          </cell>
          <cell r="D57" t="e">
            <v>#REF!</v>
          </cell>
          <cell r="E57" t="e">
            <v>#N/A</v>
          </cell>
          <cell r="F57" t="e">
            <v>#REF!</v>
          </cell>
        </row>
        <row r="58">
          <cell r="A58">
            <v>4.0599999999999996</v>
          </cell>
          <cell r="B58" t="str">
            <v>CONCRETO DE 20,7 MPA (3.000 PSI) PARA PEDESTALES CIRC. D=0,80M (NO INCLUYE REFUERZO)</v>
          </cell>
          <cell r="C58" t="str">
            <v>m³</v>
          </cell>
          <cell r="D58" t="e">
            <v>#REF!</v>
          </cell>
          <cell r="E58" t="e">
            <v>#N/A</v>
          </cell>
          <cell r="F58" t="e">
            <v>#REF!</v>
          </cell>
        </row>
        <row r="59">
          <cell r="A59">
            <v>4.07</v>
          </cell>
          <cell r="B59" t="str">
            <v>CONCRETO VISTO DE 20,7 MPA (3.000 PSI) COLUMNA CIRCULAR D = 0,75 M  (NO INCLUYE ACERO DE REFUERZO)</v>
          </cell>
          <cell r="C59" t="str">
            <v>m³</v>
          </cell>
          <cell r="D59" t="e">
            <v>#REF!</v>
          </cell>
          <cell r="E59" t="e">
            <v>#N/A</v>
          </cell>
          <cell r="F59" t="e">
            <v>#REF!</v>
          </cell>
        </row>
        <row r="60">
          <cell r="A60">
            <v>4.08</v>
          </cell>
          <cell r="B60" t="str">
            <v xml:space="preserve">CONCRETO VIGAS DE CUBIERTA </v>
          </cell>
          <cell r="E60" t="e">
            <v>#N/A</v>
          </cell>
          <cell r="F60" t="e">
            <v>#N/A</v>
          </cell>
        </row>
        <row r="61">
          <cell r="A61">
            <v>4.09</v>
          </cell>
          <cell r="B61" t="str">
            <v xml:space="preserve">CONCRETO DE TANQUE DE AGUA </v>
          </cell>
          <cell r="E61" t="e">
            <v>#N/A</v>
          </cell>
          <cell r="F61" t="e">
            <v>#N/A</v>
          </cell>
        </row>
        <row r="62">
          <cell r="A62">
            <v>4.0999999999999996</v>
          </cell>
          <cell r="B62" t="str">
            <v>RAMPA EN CONCRETO ALIGERADA E=0.50 M</v>
          </cell>
          <cell r="E62" t="e">
            <v>#N/A</v>
          </cell>
          <cell r="F62" t="e">
            <v>#N/A</v>
          </cell>
        </row>
        <row r="63">
          <cell r="A63">
            <v>4.1100000000000003</v>
          </cell>
          <cell r="B63" t="str">
            <v xml:space="preserve">ACERO DE REFUERZO FY=420 MPA (60000PSI) </v>
          </cell>
          <cell r="C63" t="str">
            <v>kg</v>
          </cell>
          <cell r="E63" t="e">
            <v>#N/A</v>
          </cell>
          <cell r="F63" t="e">
            <v>#N/A</v>
          </cell>
        </row>
        <row r="64">
          <cell r="A64">
            <v>4.12</v>
          </cell>
          <cell r="B64" t="str">
            <v>MALLA ELECTROSOLDADA FY=490 MPA (70000PSI) PLACA ENTREPISO</v>
          </cell>
          <cell r="C64" t="str">
            <v>kg</v>
          </cell>
          <cell r="E64" t="e">
            <v>#N/A</v>
          </cell>
          <cell r="F64" t="e">
            <v>#N/A</v>
          </cell>
        </row>
        <row r="65">
          <cell r="B65" t="str">
            <v>TOTAL ESTRUCTURA</v>
          </cell>
          <cell r="F65" t="e">
            <v>#N/A</v>
          </cell>
        </row>
        <row r="68">
          <cell r="A68">
            <v>5</v>
          </cell>
          <cell r="B68" t="str">
            <v>ESTRUCTURA METALICA</v>
          </cell>
        </row>
        <row r="69">
          <cell r="A69">
            <v>5.01</v>
          </cell>
          <cell r="B69" t="str">
            <v>SUM. E INST. LAMINA METALDECK 2" CAL. 22</v>
          </cell>
          <cell r="C69" t="str">
            <v>kgf</v>
          </cell>
          <cell r="D69" t="e">
            <v>#REF!</v>
          </cell>
          <cell r="E69" t="e">
            <v>#N/A</v>
          </cell>
          <cell r="F69" t="e">
            <v>#REF!</v>
          </cell>
        </row>
        <row r="70">
          <cell r="A70">
            <v>5.0199999999999996</v>
          </cell>
          <cell r="B70" t="str">
            <v>ESTRUCTURA METALICA RAMPA Y ESCALERAS</v>
          </cell>
          <cell r="C70" t="str">
            <v>kgf</v>
          </cell>
          <cell r="D70" t="e">
            <v>#REF!</v>
          </cell>
          <cell r="E70" t="e">
            <v>#N/A</v>
          </cell>
          <cell r="F70" t="e">
            <v>#REF!</v>
          </cell>
        </row>
        <row r="71">
          <cell r="A71">
            <v>5.04</v>
          </cell>
          <cell r="B71" t="str">
            <v>VIGAS METALICAS IPE-400, IPE-500, IPE-600</v>
          </cell>
          <cell r="C71" t="str">
            <v>kgf</v>
          </cell>
          <cell r="D71" t="e">
            <v>#REF!</v>
          </cell>
          <cell r="E71" t="e">
            <v>#N/A</v>
          </cell>
          <cell r="F71" t="e">
            <v>#REF!</v>
          </cell>
        </row>
        <row r="72">
          <cell r="A72">
            <v>5.05</v>
          </cell>
          <cell r="B72" t="str">
            <v>PLATINAS Y PERNOS</v>
          </cell>
          <cell r="C72" t="str">
            <v>kgf</v>
          </cell>
          <cell r="D72" t="e">
            <v>#REF!</v>
          </cell>
          <cell r="E72" t="e">
            <v>#N/A</v>
          </cell>
          <cell r="F72" t="e">
            <v>#REF!</v>
          </cell>
        </row>
        <row r="73">
          <cell r="A73">
            <v>5.0599999999999996</v>
          </cell>
          <cell r="B73" t="str">
            <v>ESTRUCTURA METALICA DE CUBIERTAS</v>
          </cell>
          <cell r="C73" t="str">
            <v>kgf</v>
          </cell>
          <cell r="D73" t="e">
            <v>#REF!</v>
          </cell>
          <cell r="E73" t="e">
            <v>#N/A</v>
          </cell>
          <cell r="F73" t="e">
            <v>#REF!</v>
          </cell>
        </row>
        <row r="74">
          <cell r="B74" t="str">
            <v>TOTAL ESTRUCTURA METALICA</v>
          </cell>
          <cell r="F74" t="e">
            <v>#REF!</v>
          </cell>
        </row>
        <row r="76">
          <cell r="A76">
            <v>6</v>
          </cell>
          <cell r="B76" t="str">
            <v>CUBIERTA</v>
          </cell>
        </row>
        <row r="77">
          <cell r="A77">
            <v>6.01</v>
          </cell>
          <cell r="B77" t="str">
            <v>CUBIERTA SANDWICH DECK TIPO C 525 ALUNZINC 0,50CM DE HUNTER DOUGLAS</v>
          </cell>
          <cell r="C77" t="str">
            <v>m²</v>
          </cell>
          <cell r="E77" t="e">
            <v>#N/A</v>
          </cell>
          <cell r="F77" t="e">
            <v>#N/A</v>
          </cell>
        </row>
        <row r="78">
          <cell r="A78">
            <v>6.02</v>
          </cell>
          <cell r="B78" t="str">
            <v>CANAL EN LAMINA GALVANIZADA CALIBRE 18 INCLUYE SISTEMA DE FIJACION E INSTALACION + PINTURA ELECTROSTATICA EXTERIOR E INTERIOR.</v>
          </cell>
          <cell r="C78" t="str">
            <v>ml</v>
          </cell>
          <cell r="E78" t="e">
            <v>#N/A</v>
          </cell>
          <cell r="F78" t="e">
            <v>#N/A</v>
          </cell>
        </row>
        <row r="79">
          <cell r="A79">
            <v>6.03</v>
          </cell>
          <cell r="B79" t="str">
            <v>IMPERMEABILIZACIÓN DE VIGA CANAL CON REVESTIMIENTO ELASTICO A BASE DE COPOLIMEROS, ESTIRENO, ACRILICOS INCLUYE MORTERO AFINADO 1:4 IMPERMEABILIZADO, MEDIA CAÑA, REMATES Y TELA POLIESTER.</v>
          </cell>
          <cell r="C79" t="str">
            <v>m²</v>
          </cell>
          <cell r="E79" t="e">
            <v>#N/A</v>
          </cell>
          <cell r="F79" t="e">
            <v>#N/A</v>
          </cell>
        </row>
        <row r="80">
          <cell r="A80">
            <v>6.04</v>
          </cell>
          <cell r="B80" t="str">
            <v>IMPERMEABILIZACIÓN DE PLACAS DE CUBIERTA CON SISTEMA SIKAPLAN.</v>
          </cell>
          <cell r="C80" t="str">
            <v>m²</v>
          </cell>
          <cell r="E80" t="e">
            <v>#N/A</v>
          </cell>
          <cell r="F80" t="e">
            <v>#N/A</v>
          </cell>
        </row>
        <row r="81">
          <cell r="B81" t="str">
            <v>TOTAL CUBIERTA</v>
          </cell>
          <cell r="F81" t="e">
            <v>#N/A</v>
          </cell>
        </row>
        <row r="83">
          <cell r="A83">
            <v>7</v>
          </cell>
          <cell r="B83" t="str">
            <v xml:space="preserve"> MAMPOSTERÍA Y CONFINAMIENTOS</v>
          </cell>
        </row>
        <row r="84">
          <cell r="A84">
            <v>7.01</v>
          </cell>
          <cell r="B84" t="str">
            <v>LADRILLO ESTRUCTURAL DE PERFORACION VERTICAL SANTAFE MEDIDAS (LXAXH) 33X11.5X23 ANCLADOS CON DOVELAS 1#4 CADA 1.5M PARA CONFINAR, INCLUYE ESCALERILLAS CADA 4 HILADAS DE 2 VARIILAS GRAFIL 4 MM, INCLUYE EL GROUTING.</v>
          </cell>
          <cell r="C84" t="str">
            <v>m²</v>
          </cell>
          <cell r="E84" t="e">
            <v>#N/A</v>
          </cell>
          <cell r="F84" t="e">
            <v>#N/A</v>
          </cell>
        </row>
        <row r="85">
          <cell r="A85">
            <v>7.02</v>
          </cell>
          <cell r="B85" t="str">
            <v>MUROS EN CONCRETO PARA ANTEPECHO EN RAMPA Y ESCALERAS EXTERIORES E=10 CM, INCLUYE MALLA ELECTROSOLDADA 4 MM 15X15</v>
          </cell>
          <cell r="C85" t="str">
            <v>m²</v>
          </cell>
          <cell r="D85">
            <v>168.1746</v>
          </cell>
          <cell r="E85" t="e">
            <v>#N/A</v>
          </cell>
          <cell r="F85" t="e">
            <v>#N/A</v>
          </cell>
        </row>
        <row r="86">
          <cell r="A86">
            <v>7.03</v>
          </cell>
          <cell r="B86" t="str">
            <v>MUROS DE CUCHILLA LADRILLO ESTRUCTURAL DE PERFORACION VERTICAL SANTAFE MEDIDAS (LXAXH) 33X11.5X23 ANCLADOS CON DOVELAS 1#4 CADA 1.5M PARA CONFINAR, INCLUYE ESCALERILLAS CADA 4 HILADAS DE 2 VARIILAS GRAFIL 4 MM, INCLUYE EL GROUTING.</v>
          </cell>
          <cell r="C86" t="str">
            <v>ml</v>
          </cell>
          <cell r="E86" t="e">
            <v>#N/A</v>
          </cell>
          <cell r="F86" t="e">
            <v>#N/A</v>
          </cell>
        </row>
        <row r="87">
          <cell r="B87" t="str">
            <v>TOTAL MAMPOSTERÍA Y CONFINAMIENTOS</v>
          </cell>
          <cell r="F87" t="e">
            <v>#N/A</v>
          </cell>
        </row>
        <row r="89">
          <cell r="A89">
            <v>8</v>
          </cell>
          <cell r="B89" t="str">
            <v xml:space="preserve"> SISTEMA LIVIANO</v>
          </cell>
        </row>
        <row r="90">
          <cell r="A90">
            <v>8.01</v>
          </cell>
          <cell r="B90" t="str">
            <v>MURO EN FIBROCEMENTO 10MM DOBLE CARA INCLUYE ESTRUCTURA (PERFILERIA CAL. 24) INCLUYE AISLAMIENTO CON FRESCASA</v>
          </cell>
          <cell r="C90" t="str">
            <v>m²</v>
          </cell>
          <cell r="E90" t="e">
            <v>#N/A</v>
          </cell>
          <cell r="F90" t="e">
            <v>#N/A</v>
          </cell>
        </row>
        <row r="91">
          <cell r="A91">
            <v>8.02</v>
          </cell>
          <cell r="B91" t="str">
            <v>MURO EN FIBROCEMENTO 10MM UNA CARA INCLUYE ESTRUCTURA (PERFILERIA CAL. 24) FACHADA PRINCIPAL</v>
          </cell>
          <cell r="C91" t="str">
            <v>m²</v>
          </cell>
          <cell r="E91" t="e">
            <v>#N/A</v>
          </cell>
          <cell r="F91" t="e">
            <v>#N/A</v>
          </cell>
        </row>
        <row r="92">
          <cell r="B92" t="str">
            <v xml:space="preserve"> TOTAL SISTEMA LIVIANO</v>
          </cell>
          <cell r="F92" t="e">
            <v>#N/A</v>
          </cell>
        </row>
        <row r="94">
          <cell r="A94">
            <v>9</v>
          </cell>
          <cell r="B94" t="str">
            <v>PISOS, ENCHAPES E IMPERMERMEABILIZACIONES</v>
          </cell>
        </row>
        <row r="95">
          <cell r="A95">
            <v>9.01</v>
          </cell>
          <cell r="B95" t="str">
            <v>MORTERO DE NIVELACION DE PISOS</v>
          </cell>
          <cell r="C95" t="str">
            <v>m²</v>
          </cell>
          <cell r="E95" t="e">
            <v>#N/A</v>
          </cell>
          <cell r="F95" t="e">
            <v>#N/A</v>
          </cell>
        </row>
        <row r="96">
          <cell r="A96">
            <v>9.02</v>
          </cell>
          <cell r="B96" t="str">
            <v>CERAMICA 51X51X TIPO ALFA® ODEON COPPER BEIGE CLARO Código: 225015977 (INCLYE BOQUILLA COLOR Y WIN) EN BAÑOS</v>
          </cell>
          <cell r="C96" t="str">
            <v>m²</v>
          </cell>
          <cell r="E96" t="e">
            <v>#N/A</v>
          </cell>
          <cell r="F96" t="e">
            <v>#N/A</v>
          </cell>
        </row>
        <row r="97">
          <cell r="A97">
            <v>9.0299999999999994</v>
          </cell>
          <cell r="B97" t="str">
            <v>PISOS DE AULAS BALSOSA MICROGRANO BEIGE COD.  13502581. 30X30 TRAFICO COMERCIAL DE ALFA O SIMILAR</v>
          </cell>
          <cell r="C97" t="str">
            <v>m²</v>
          </cell>
          <cell r="E97" t="e">
            <v>#N/A</v>
          </cell>
          <cell r="F97" t="e">
            <v>#N/A</v>
          </cell>
        </row>
        <row r="98">
          <cell r="A98">
            <v>9.0399999999999991</v>
          </cell>
          <cell r="B98" t="str">
            <v>PISOS CORREDORES BALSOSA DE TERRAZO ECO KRISTAL LAVA REF 225019902. 40X40. TRAFICO COMERCIAL DE ALFA O SIMILAR</v>
          </cell>
          <cell r="C98" t="str">
            <v>m²</v>
          </cell>
          <cell r="E98" t="e">
            <v>#N/A</v>
          </cell>
          <cell r="F98" t="e">
            <v>#N/A</v>
          </cell>
        </row>
        <row r="99">
          <cell r="A99">
            <v>9.0500000000000007</v>
          </cell>
          <cell r="B99" t="str">
            <v>PISOS RAMPAS BALDOSA PREPULIDA TIPO PAYANDE FONDO GRIS 30X30 DE ALFA®</v>
          </cell>
          <cell r="C99" t="str">
            <v>m²</v>
          </cell>
          <cell r="E99" t="e">
            <v>#N/A</v>
          </cell>
          <cell r="F99" t="e">
            <v>#N/A</v>
          </cell>
        </row>
        <row r="100">
          <cell r="A100">
            <v>9.06</v>
          </cell>
          <cell r="B100" t="str">
            <v>AFINADO DE PISOS PARA PARQUEADEROS</v>
          </cell>
          <cell r="C100" t="str">
            <v>m²</v>
          </cell>
          <cell r="E100" t="e">
            <v>#N/A</v>
          </cell>
          <cell r="F100" t="e">
            <v>#N/A</v>
          </cell>
        </row>
        <row r="101">
          <cell r="A101">
            <v>9.07</v>
          </cell>
          <cell r="B101" t="str">
            <v>PISO BALDOSA DE GRANO PREPULIDA EXTERIOR LINEAS 30X30 DE ALFA® COLOR CREMA PARA ESPACIO PUBLICO EXTERIOR</v>
          </cell>
          <cell r="C101" t="str">
            <v>m²</v>
          </cell>
          <cell r="E101" t="e">
            <v>#N/A</v>
          </cell>
          <cell r="F101" t="e">
            <v>#N/A</v>
          </cell>
        </row>
        <row r="102">
          <cell r="A102">
            <v>9.08</v>
          </cell>
          <cell r="B102" t="str">
            <v>CERAMICA PARED BLANCO SATINADO 30.5X60.1 TIPO ALFA O SIMILAR (INCLUYE BOQUILLA COLOR Y WIN) EN BAÑOS</v>
          </cell>
          <cell r="C102" t="str">
            <v>m²</v>
          </cell>
          <cell r="E102" t="e">
            <v>#N/A</v>
          </cell>
          <cell r="F102" t="e">
            <v>#N/A</v>
          </cell>
        </row>
        <row r="103">
          <cell r="A103">
            <v>9.09</v>
          </cell>
          <cell r="B103" t="str">
            <v>IMPERMEABILIZACIÓN CON SISTEMA SIKAPLAN.</v>
          </cell>
          <cell r="C103" t="str">
            <v>m²</v>
          </cell>
          <cell r="E103" t="e">
            <v>#N/A</v>
          </cell>
          <cell r="F103" t="e">
            <v>#N/A</v>
          </cell>
        </row>
        <row r="104">
          <cell r="A104">
            <v>9.1</v>
          </cell>
          <cell r="B104" t="str">
            <v>PAVIMENTO CONCRETO 3000 PSI E=15 CM CON MALLA RAMPA VEHICULO</v>
          </cell>
          <cell r="C104" t="str">
            <v>m²</v>
          </cell>
          <cell r="E104" t="e">
            <v>#N/A</v>
          </cell>
          <cell r="F104" t="e">
            <v>#N/A</v>
          </cell>
        </row>
        <row r="105">
          <cell r="A105">
            <v>9.11</v>
          </cell>
          <cell r="B105" t="str">
            <v>ANDENES PERIMETRALES Y PLAZOLETAS ESPACIO PUBLICO ESPESOR 10CM Y MALLA ELECTROSOLDADA 15X15 CM DE 4 MM, INCLUYE SUBBASE COMPACTADA DE 10 CM DE ESPESOR</v>
          </cell>
          <cell r="C105" t="str">
            <v>m²</v>
          </cell>
          <cell r="E105" t="e">
            <v>#N/A</v>
          </cell>
          <cell r="F105" t="e">
            <v>#N/A</v>
          </cell>
        </row>
        <row r="106">
          <cell r="A106">
            <v>9.1199999999999992</v>
          </cell>
          <cell r="B106" t="str">
            <v>SARDINEL Y CORDONES PARA ANDENES Y PLAZOLETAS DE B= 10 CM X H=20 CM CONCRETO DE 3000 PSI Y REFUERZO 4#2 Y FLEJES #2 CADA 20 CM</v>
          </cell>
          <cell r="C106" t="str">
            <v>ml</v>
          </cell>
          <cell r="E106" t="e">
            <v>#N/A</v>
          </cell>
          <cell r="F106" t="e">
            <v>#N/A</v>
          </cell>
        </row>
        <row r="107">
          <cell r="A107">
            <v>9.1300000000000008</v>
          </cell>
          <cell r="B107" t="str">
            <v>FABRICACION Y COLOCACION DE TOPE LLANTA EN SOTANOS EN CONCRETO PREFABRICADO DE 3000 PSI</v>
          </cell>
          <cell r="C107" t="str">
            <v>ml</v>
          </cell>
          <cell r="E107" t="e">
            <v>#N/A</v>
          </cell>
          <cell r="F107" t="e">
            <v>#N/A</v>
          </cell>
        </row>
        <row r="108">
          <cell r="A108">
            <v>9.14</v>
          </cell>
          <cell r="B108" t="str">
            <v>GUARDAESCOBA EMBEBIDO EN MUROS A 10 CM DE ALTURA INCLUYE SISTEMA DE FIJACION CERAMICA PREPULIDA DE ALFA.</v>
          </cell>
          <cell r="C108" t="str">
            <v>ml</v>
          </cell>
          <cell r="E108" t="e">
            <v>#N/A</v>
          </cell>
          <cell r="F108" t="e">
            <v>#N/A</v>
          </cell>
        </row>
        <row r="109">
          <cell r="B109" t="str">
            <v>TOTAL PISOS, ENCHAPES E IMPERMERMEABILIZACIONES</v>
          </cell>
          <cell r="F109" t="e">
            <v>#N/A</v>
          </cell>
        </row>
        <row r="111">
          <cell r="A111">
            <v>10</v>
          </cell>
          <cell r="B111" t="str">
            <v>REVOQUES ,ESTUCO, PINTURA Y RECUBRIMIENTOS</v>
          </cell>
        </row>
        <row r="112">
          <cell r="A112">
            <v>10.01</v>
          </cell>
          <cell r="B112" t="str">
            <v>REVOQUE 1:3 EN MUROS INTERIORES. INCLUYE ESTRIAS 2 CM DE ESPESOR INCLUYE FILOS, DILATACIONES Y CARTERAS.</v>
          </cell>
          <cell r="C112" t="str">
            <v>m²</v>
          </cell>
          <cell r="E112" t="e">
            <v>#N/A</v>
          </cell>
          <cell r="F112" t="e">
            <v>#N/A</v>
          </cell>
        </row>
        <row r="113">
          <cell r="A113">
            <v>10.02</v>
          </cell>
          <cell r="B113" t="str">
            <v>REVOQUE 1:3 EXTERIOR IMPERMEABILIZADO FACHADAS. ESTRIAS 2 CM DE ESPESOR INCLUYE FILOS, DILATACIONES Y CARTERAS.</v>
          </cell>
          <cell r="C113" t="str">
            <v>m²</v>
          </cell>
          <cell r="E113" t="e">
            <v>#N/A</v>
          </cell>
          <cell r="F113" t="e">
            <v>#N/A</v>
          </cell>
        </row>
        <row r="114">
          <cell r="A114">
            <v>10.029999999999999</v>
          </cell>
          <cell r="B114" t="str">
            <v>ESTUCO Y PINTURA 3 MANOS EN MUROS. VINILO TIPO 1, INCLUYE FILOS Y DILATACIONES.</v>
          </cell>
          <cell r="C114" t="str">
            <v>m²</v>
          </cell>
          <cell r="E114" t="e">
            <v>#N/A</v>
          </cell>
          <cell r="F114" t="e">
            <v>#N/A</v>
          </cell>
        </row>
        <row r="115">
          <cell r="A115">
            <v>10.039999999999999</v>
          </cell>
          <cell r="B115" t="str">
            <v>ESTUCO Y PINTURA 3 MANOS PARA EXTERIOR EN PINTURA KORAZA O SIMILAR (INCLUYE FILOS Y DILATACIONES)</v>
          </cell>
          <cell r="C115" t="str">
            <v>m²</v>
          </cell>
          <cell r="E115" t="e">
            <v>#N/A</v>
          </cell>
          <cell r="F115" t="e">
            <v>#N/A</v>
          </cell>
        </row>
        <row r="116">
          <cell r="A116">
            <v>10.06</v>
          </cell>
          <cell r="B116" t="str">
            <v>MESON EN GRANITO NATURAL EN BAÑOS JASPE INCLUYE SOPORTES DE INSTALACION.</v>
          </cell>
          <cell r="C116" t="str">
            <v>ml</v>
          </cell>
          <cell r="E116" t="e">
            <v>#N/A</v>
          </cell>
          <cell r="F116" t="e">
            <v>#N/A</v>
          </cell>
        </row>
        <row r="117">
          <cell r="A117">
            <v>10.07</v>
          </cell>
          <cell r="B117" t="str">
            <v>RECUBRIMIENTO MODULO ESCALERAS EN PIEDRA NATURAL SLImlINE STONE LAMITES</v>
          </cell>
          <cell r="C117" t="str">
            <v>m²</v>
          </cell>
          <cell r="D117" t="str">
            <v>no</v>
          </cell>
          <cell r="E117" t="e">
            <v>#N/A</v>
          </cell>
          <cell r="F117" t="e">
            <v>#VALUE!</v>
          </cell>
        </row>
        <row r="118">
          <cell r="A118">
            <v>10.09</v>
          </cell>
          <cell r="B118" t="str">
            <v>REVESTIMIENTO SCREENPANEL N DE HUNTER DOUGLAS PUNZADO EN ALUZINC 1 MM COLOR BLANCO ALGODÓN REF 7252 POR AMBAS CARAS</v>
          </cell>
          <cell r="C118" t="str">
            <v>m²</v>
          </cell>
          <cell r="E118" t="e">
            <v>#N/A</v>
          </cell>
          <cell r="F118" t="e">
            <v>#N/A</v>
          </cell>
        </row>
        <row r="119">
          <cell r="B119" t="str">
            <v>TOTAL ESTUCO, PINTURA Y RECUBRIMIENTOS</v>
          </cell>
          <cell r="F119" t="e">
            <v>#N/A</v>
          </cell>
        </row>
        <row r="121">
          <cell r="A121">
            <v>11</v>
          </cell>
          <cell r="B121" t="str">
            <v xml:space="preserve">CARPINTERÍA  ALUMINIO </v>
          </cell>
        </row>
        <row r="122">
          <cell r="A122">
            <v>11.01</v>
          </cell>
          <cell r="B122" t="str">
            <v xml:space="preserve">VENTANERIA EN ALUMINIO FACHADA COMPUESTA POR MODULO FIJO INFERIOR EN PERFIL 3X11/2 PISA VIDRIO PROYECTANTE, NAVES CORREDIZAS Y FIJAS SUPERIORES H=1.4M EN SISTEMA COLOSAL 2.6 ESTRUCTURA SUPERIOR PERFIL 3*11/2 CELOSIA EN ALUMINIO REF ALN315.VIDRIO INCOLORO </v>
          </cell>
          <cell r="C122" t="str">
            <v>m²</v>
          </cell>
          <cell r="E122" t="e">
            <v>#N/A</v>
          </cell>
          <cell r="F122" t="e">
            <v>#N/A</v>
          </cell>
        </row>
        <row r="123">
          <cell r="A123">
            <v>11.02</v>
          </cell>
          <cell r="B123" t="str">
            <v>VIDRIO TEMPLADO 10MM CON PERFILERIA VERTICAL 3X11/2 CADA 1.5M SOCALO ALUMINIO PARTE INFERIOR PERFIL SUPERIOR DE ANCLAJE.</v>
          </cell>
          <cell r="C123" t="str">
            <v>m²</v>
          </cell>
          <cell r="E123" t="e">
            <v>#N/A</v>
          </cell>
          <cell r="F123" t="e">
            <v>#N/A</v>
          </cell>
        </row>
        <row r="124">
          <cell r="A124">
            <v>11.03</v>
          </cell>
          <cell r="B124" t="str">
            <v>VENTANERIA FACHADA FLOTANTE SERIE 45 PESADA DE ALUMINA PRESENCIA DE PERFILERIA EXTERNA CON TAPAS A LA VISTA. DISTANCIA ENTRE APOYOS VERTICALES 1.5MVIDRIO  COOL LITE ST  150 MAS VIDRIO LAMINADO 4MM + 4MM INCOLORO</v>
          </cell>
          <cell r="C124" t="str">
            <v>m²</v>
          </cell>
          <cell r="E124" t="e">
            <v>#N/A</v>
          </cell>
          <cell r="F124" t="e">
            <v>#N/A</v>
          </cell>
        </row>
        <row r="125">
          <cell r="A125">
            <v>11.04</v>
          </cell>
          <cell r="B125" t="str">
            <v>VENTANAS FIJAS SITEMA VP3831 CON PERCIANA FIJA EN ALUMINIO MODULO SUPEIOR H=60CM VIDRIO FIJO INFERIOR 6MM TEMPLADO OPALIZADO CON SAND BLASTING</v>
          </cell>
          <cell r="C125" t="str">
            <v>m²</v>
          </cell>
          <cell r="E125" t="e">
            <v>#N/A</v>
          </cell>
          <cell r="F125" t="e">
            <v>#N/A</v>
          </cell>
        </row>
        <row r="126">
          <cell r="A126">
            <v>11.05</v>
          </cell>
          <cell r="B126" t="str">
            <v>PUERTAS EN VIDRIO TEMPLADO LABORATORIO EN VIDRIO TEMPLADO 10MM INCOLORO SOCALO EN ALUMINIO INFERIOR PERFIL DE ANCLAJE SUPERIOR, ESTRUCTURA EN PERFIL 3X11/2 CON PERSIANA FIJA REFERENCIA ALN315 DE 60CM MODULO SUPERIOR</v>
          </cell>
          <cell r="C126" t="str">
            <v>Und</v>
          </cell>
          <cell r="E126" t="e">
            <v>#N/A</v>
          </cell>
          <cell r="F126" t="e">
            <v>#N/A</v>
          </cell>
        </row>
        <row r="127">
          <cell r="A127">
            <v>11.06</v>
          </cell>
          <cell r="B127" t="str">
            <v>VENTANERIA FACHADA FLOTANTE SERIE 45 PESADA DE ALUMINA TIPO PIEL DE VIDRIO CON CINTA ESTRUCTURAL. DISTANCIA ENTRE APOYOS VERTICALES 1.5M VIDRIO LAMINADO 4MM INCOLORO + 4MM INCOLORO ESCALERAS</v>
          </cell>
          <cell r="C127" t="str">
            <v>m²</v>
          </cell>
          <cell r="E127" t="e">
            <v>#N/A</v>
          </cell>
          <cell r="F127" t="e">
            <v>#N/A</v>
          </cell>
        </row>
        <row r="128">
          <cell r="A128">
            <v>11.07</v>
          </cell>
          <cell r="B128" t="str">
            <v>PANELES EN VIDRIO TEMPLADO 10MM INCOLORO SOCALO EN ALUMINIO INFERIOR PERFIL DE ANCLAJE SUPERIOR, ESTRUCTURA EN PERFIL VERTICAL 3X11/2 CADA 1.5 M CON PERSIANA FIJA REFERENCIA ALN315 DE 60CM MODULO SUPERIOR</v>
          </cell>
          <cell r="C128" t="str">
            <v>m²</v>
          </cell>
          <cell r="E128" t="e">
            <v>#N/A</v>
          </cell>
          <cell r="F128" t="e">
            <v>#N/A</v>
          </cell>
        </row>
        <row r="129">
          <cell r="A129">
            <v>11.08</v>
          </cell>
          <cell r="B129" t="str">
            <v>VENTANAS PIVOTANTES PARA AULAS INTERIORES DE 0.40M ANCHO X 3M DE ALTO PERFIL TIPO PB2.4 PESADO CON VIDRIO LAMINADO 4MM + 4MM CON PELICULA DE COLORES VARIADO + MANIJA DE GIRO.</v>
          </cell>
          <cell r="C129" t="str">
            <v>Und</v>
          </cell>
          <cell r="E129" t="e">
            <v>#N/A</v>
          </cell>
          <cell r="F129" t="e">
            <v>#N/A</v>
          </cell>
        </row>
        <row r="130">
          <cell r="A130">
            <v>11.09</v>
          </cell>
          <cell r="B130" t="str">
            <v>DIVISION EN VIDRIO TEMPLADO 10MM SOCALO Y ANCLAJE SUPERIOR EN AULAS DE MAESRIAS FRANJA OPALIZADA DE 1.2M CON PELICULA TIPO SAND BLASTING DE TIPO REF. LLUMAC O SIMILAR EN ESPECIFICACIONES.</v>
          </cell>
          <cell r="C130" t="str">
            <v>m²</v>
          </cell>
          <cell r="E130" t="e">
            <v>#N/A</v>
          </cell>
          <cell r="F130" t="e">
            <v>#N/A</v>
          </cell>
        </row>
        <row r="131">
          <cell r="A131">
            <v>11.1</v>
          </cell>
          <cell r="B131" t="str">
            <v>CORTASOL EN STRIPSCREEN HUNTER DOUGLAS DE 0.40M DE ANCHO CON DISTRIBUCION  VERTICAL CADA 0.75 M</v>
          </cell>
          <cell r="C131" t="str">
            <v>m²</v>
          </cell>
          <cell r="E131" t="e">
            <v>#N/A</v>
          </cell>
          <cell r="F131" t="e">
            <v>#N/A</v>
          </cell>
        </row>
        <row r="132">
          <cell r="A132">
            <v>11.11</v>
          </cell>
          <cell r="B132" t="str">
            <v>REVESTIMIENTO MINIWAVE DE HUNTER DOUGLAS PERFORADO 103 COLOR  EN ALUZINC. INCLUYE ESTRUCTURA METALICA DE FIJACION.</v>
          </cell>
          <cell r="C132" t="str">
            <v>m²</v>
          </cell>
          <cell r="E132" t="e">
            <v>#N/A</v>
          </cell>
          <cell r="F132" t="e">
            <v>#N/A</v>
          </cell>
        </row>
        <row r="133">
          <cell r="B133" t="str">
            <v xml:space="preserve">TOTAL CARPINTERÍA  ALUMINIO </v>
          </cell>
          <cell r="F133" t="e">
            <v>#N/A</v>
          </cell>
        </row>
        <row r="135">
          <cell r="A135">
            <v>12</v>
          </cell>
          <cell r="B135" t="str">
            <v>CARPINTERÍA METÁLICA</v>
          </cell>
        </row>
        <row r="136">
          <cell r="A136">
            <v>12.01</v>
          </cell>
          <cell r="B136" t="str">
            <v>PUERTA METALICA ACCESO BAÑOS REFERENCIA P-06 E-COVER ZRA PUERTA ABATIBLE LISA PANEL REJILLA DE RETORNO AA 1 HOJA DE 1 X 3.0M.</v>
          </cell>
          <cell r="C136" t="str">
            <v>Und</v>
          </cell>
          <cell r="E136" t="e">
            <v>#N/A</v>
          </cell>
          <cell r="F136" t="e">
            <v>#N/A</v>
          </cell>
        </row>
        <row r="137">
          <cell r="A137">
            <v>12.02</v>
          </cell>
          <cell r="B137" t="str">
            <v>PUERTA METALICA SALON REFERENCIA P-01 E-COVER ZL 1X3.0 M</v>
          </cell>
          <cell r="C137" t="str">
            <v>Und</v>
          </cell>
          <cell r="E137" t="e">
            <v>#N/A</v>
          </cell>
          <cell r="F137" t="e">
            <v>#N/A</v>
          </cell>
        </row>
        <row r="138">
          <cell r="A138">
            <v>12.03</v>
          </cell>
          <cell r="B138" t="str">
            <v>PUERTA METALICA CUARTO TECNICO PB-01 E-COVER ZMP3  1X3.0 M</v>
          </cell>
          <cell r="C138" t="str">
            <v>Und</v>
          </cell>
          <cell r="E138" t="e">
            <v>#N/A</v>
          </cell>
          <cell r="F138" t="e">
            <v>#N/A</v>
          </cell>
        </row>
        <row r="139">
          <cell r="A139">
            <v>12.04</v>
          </cell>
          <cell r="B139" t="str">
            <v>PUERTA METALICA AUDITORIO P-02A ZZL MV  CON MIRILLA DE DOS HOJAS E_COVER DE 1.5X3.1</v>
          </cell>
          <cell r="C139" t="str">
            <v>Und</v>
          </cell>
          <cell r="E139" t="e">
            <v>#N/A</v>
          </cell>
          <cell r="F139" t="e">
            <v>#N/A</v>
          </cell>
        </row>
        <row r="140">
          <cell r="A140">
            <v>12.05</v>
          </cell>
          <cell r="B140" t="str">
            <v>PUERTA METALICA SALON AUDITORIO P-02A ZZL MV  CON MIRILLA DE DOS HOJAS E_COVER DE 2.0X3.0</v>
          </cell>
          <cell r="C140" t="str">
            <v>Und</v>
          </cell>
          <cell r="E140" t="e">
            <v>#N/A</v>
          </cell>
          <cell r="F140" t="e">
            <v>#N/A</v>
          </cell>
        </row>
        <row r="141">
          <cell r="A141">
            <v>12.06</v>
          </cell>
          <cell r="B141" t="str">
            <v>BARANDAS METALICAS ESCALERAS, RAMPAS Y CORREDORES METALICAS EN PERFIL 3X1-1/2PUL CAL 14 CADA 12CM Y APOYADOS SOBRE PLATINAS DE 2" CAL 10 CADA 1.5M ACABADO CON  PINTURA ALQUIDICA A DOS MANOS BLANCO MATE SOBRE ANTICORROSIVO.</v>
          </cell>
          <cell r="C141" t="str">
            <v>ml</v>
          </cell>
          <cell r="E141" t="e">
            <v>#N/A</v>
          </cell>
          <cell r="F141" t="e">
            <v>#N/A</v>
          </cell>
        </row>
        <row r="142">
          <cell r="A142">
            <v>12.07</v>
          </cell>
          <cell r="B142" t="str">
            <v>PUERTA METALICA ESCALERA CORTA FUEGO E-COVER ZRF SPLIT120 NSR10 CERTIFICADA DE 1,X 2,4</v>
          </cell>
          <cell r="C142" t="str">
            <v>Und</v>
          </cell>
          <cell r="E142" t="e">
            <v>#N/A</v>
          </cell>
          <cell r="F142" t="e">
            <v>#N/A</v>
          </cell>
        </row>
        <row r="143">
          <cell r="A143">
            <v>12.08</v>
          </cell>
          <cell r="B143" t="str">
            <v>CABINA SANITARIA SISTEMA CANTILIVER  EN LÁMINA ACERO INOXIDABLE CAL 18 TIPO GRIJALBA O SIMILAR</v>
          </cell>
          <cell r="C143" t="str">
            <v>Und</v>
          </cell>
          <cell r="E143" t="e">
            <v>#N/A</v>
          </cell>
          <cell r="F143" t="e">
            <v>#N/A</v>
          </cell>
        </row>
        <row r="144">
          <cell r="B144" t="str">
            <v>TOTAL CARPINTERÍA METÁLICA</v>
          </cell>
          <cell r="F144" t="e">
            <v>#N/A</v>
          </cell>
        </row>
        <row r="146">
          <cell r="A146">
            <v>13</v>
          </cell>
          <cell r="B146" t="str">
            <v>APARATOS SANITARIOS / INCRUSTACIONES</v>
          </cell>
        </row>
        <row r="147">
          <cell r="A147">
            <v>13.01</v>
          </cell>
          <cell r="B147" t="str">
            <v>TAZA SANITARIO BÁLTICO ENTRADA SUPERIOR ANTIBACTERIAL COLOR BLANCO TIPO CORONA O SIMILAR (CONJUNTO SANITARIO QUE INCLUYE SANITARIO, GRIFERÍA, ACCESORIOS DE CONEXIÓN E INSTALACIÓN).</v>
          </cell>
          <cell r="C147" t="str">
            <v>Und</v>
          </cell>
          <cell r="E147" t="e">
            <v>#N/A</v>
          </cell>
          <cell r="F147" t="e">
            <v>#N/A</v>
          </cell>
        </row>
        <row r="148">
          <cell r="A148">
            <v>13.02</v>
          </cell>
          <cell r="B148" t="str">
            <v>SANITARIO PARA DISCAPACITADOS TIPO CORONA O SIMILAR (CONJUNTO SANITARIO QUE INCLUYE SANITARIO, TAPA, TANQUE, GRIFERÍA ACCESORIOS DE CONEXIÓN E INSTALACIÓN).</v>
          </cell>
          <cell r="C148" t="str">
            <v>Und</v>
          </cell>
          <cell r="E148" t="e">
            <v>#N/A</v>
          </cell>
          <cell r="F148" t="e">
            <v>#N/A</v>
          </cell>
        </row>
        <row r="149">
          <cell r="A149">
            <v>13.03</v>
          </cell>
          <cell r="B149" t="str">
            <v>LAVAMANOS DE SUBMONTAR COLOR BLANCO TIPO CORONA O SIMILAR (INCLUYE CONJUNTO GRIFERÍA, DESAGÜE AUTOMÁTICO, SIFÓN BOTELLA, GRABAS 2 UN, ACOPLE)</v>
          </cell>
          <cell r="C149" t="str">
            <v>Und</v>
          </cell>
          <cell r="E149" t="e">
            <v>#N/A</v>
          </cell>
          <cell r="F149" t="e">
            <v>#N/A</v>
          </cell>
        </row>
        <row r="150">
          <cell r="A150">
            <v>13.04</v>
          </cell>
          <cell r="B150" t="str">
            <v>LAVAMANOS PARA DISCAPACIDAD A COLOR BLANCO TIPO ACUAJET CORONA (INCLUYE CONJUNTO GRIFERÍA, DESAGÜE AUTOMÁTICO, SIFÓN BOTELLA, GRABAS 2 UN, ACOPLE)</v>
          </cell>
          <cell r="C150" t="str">
            <v>Und</v>
          </cell>
          <cell r="E150" t="e">
            <v>#N/A</v>
          </cell>
          <cell r="F150" t="e">
            <v>#N/A</v>
          </cell>
        </row>
        <row r="151">
          <cell r="A151">
            <v>13.05</v>
          </cell>
          <cell r="B151" t="str">
            <v>ORINAL ARRECIFE ENTRADA SUPERIOR ANTIBACTERIAL, EN PORCELANA COLOR BLANCO O CORONA O SIMILAR CON VÁLVULA ANTI VANDÁLICA Y SIFÓN PARA ORINAL</v>
          </cell>
          <cell r="C151" t="str">
            <v>Und</v>
          </cell>
          <cell r="E151" t="e">
            <v>#N/A</v>
          </cell>
          <cell r="F151" t="e">
            <v>#N/A</v>
          </cell>
        </row>
        <row r="152">
          <cell r="A152">
            <v>13.06</v>
          </cell>
          <cell r="B152" t="str">
            <v>GRIFERÍA DE LAVAMANOS TIPO MESA TUBULAR TOUCH CROMO TIPO CORONA</v>
          </cell>
          <cell r="C152" t="str">
            <v>Und</v>
          </cell>
          <cell r="E152" t="e">
            <v>#N/A</v>
          </cell>
          <cell r="F152" t="e">
            <v>#N/A</v>
          </cell>
        </row>
        <row r="153">
          <cell r="A153">
            <v>13.07</v>
          </cell>
          <cell r="B153" t="str">
            <v>FLUXÓMETRO SANITARIO FLUJO AJUSTABLE CROMO TIPO CORONA</v>
          </cell>
          <cell r="C153" t="str">
            <v>Und</v>
          </cell>
          <cell r="E153" t="e">
            <v>#N/A</v>
          </cell>
          <cell r="F153" t="e">
            <v>#N/A</v>
          </cell>
        </row>
        <row r="154">
          <cell r="A154">
            <v>13.08</v>
          </cell>
          <cell r="B154" t="str">
            <v>FLUXÓMETRO ORINAL FLUJO AJUSTABLE CROMO TIPO CORONA</v>
          </cell>
          <cell r="C154" t="str">
            <v>Und</v>
          </cell>
          <cell r="E154" t="e">
            <v>#N/A</v>
          </cell>
          <cell r="F154" t="e">
            <v>#N/A</v>
          </cell>
        </row>
        <row r="155">
          <cell r="A155">
            <v>13.09</v>
          </cell>
          <cell r="B155" t="str">
            <v>PAPELERAS EN ACERO INOXIDABLE CON TORNILLOS ESCONDIDOS MARCAA&amp;A O SIMILAR.</v>
          </cell>
          <cell r="C155" t="str">
            <v>Und</v>
          </cell>
          <cell r="E155" t="e">
            <v>#N/A</v>
          </cell>
          <cell r="F155" t="e">
            <v>#N/A</v>
          </cell>
        </row>
        <row r="156">
          <cell r="A156">
            <v>13.1</v>
          </cell>
          <cell r="B156" t="str">
            <v>DISPENSADOR DE PAPEL PARA INSTALAR A LA PARED CON TORNILLOS ESCONDIDOS, CUERPO EN ACERO INOXIDABLE SATINADO, MARCA A&amp;A O SIMILAR</v>
          </cell>
          <cell r="C156" t="str">
            <v>Und</v>
          </cell>
          <cell r="E156" t="e">
            <v>#N/A</v>
          </cell>
          <cell r="F156" t="e">
            <v>#N/A</v>
          </cell>
        </row>
        <row r="157">
          <cell r="A157">
            <v>13.11</v>
          </cell>
          <cell r="B157" t="str">
            <v>DISPENSADOR PARA JABÓN LIQUIDO PARA INSTALAR A LA PARED CON TORNILLOS ESCONDIDOS, CUERPO EN ACERO INOXIDABLE SATINADO, CAPACIDAD 1.2 LITROS, VENTANILLA DE RECARGA SUPERIOR CON LLAVE, NIVEL DE JABÓN, PUSH FRONTAL, MARCA A&amp;A O SIMILAR</v>
          </cell>
          <cell r="C157" t="str">
            <v>Und</v>
          </cell>
          <cell r="E157" t="e">
            <v>#N/A</v>
          </cell>
          <cell r="F157" t="e">
            <v>#N/A</v>
          </cell>
        </row>
        <row r="158">
          <cell r="A158">
            <v>13.12</v>
          </cell>
          <cell r="B158" t="str">
            <v>JUEGO DE BARRAS PARA  BAÑOS DE DISCAPACITADOS TIPO SOCODA CONFORMADO POR BARRA ABATIBLE (BARRA ABATIBLE) BARRA ESQUINA (CÓDIGO: 230090) Y BARRA RECTA (231809) INCLUYE REFORZAMIENTO DE MUROS PARA ANCLAJE</v>
          </cell>
          <cell r="C158" t="str">
            <v>Und</v>
          </cell>
          <cell r="E158" t="e">
            <v>#N/A</v>
          </cell>
          <cell r="F158" t="e">
            <v>#N/A</v>
          </cell>
        </row>
        <row r="159">
          <cell r="B159" t="str">
            <v>TOTAL APARATOS SANITARIOS / INCRUSTACIONES</v>
          </cell>
          <cell r="F159" t="e">
            <v>#N/A</v>
          </cell>
        </row>
        <row r="161">
          <cell r="A161">
            <v>14</v>
          </cell>
          <cell r="B161" t="str">
            <v xml:space="preserve"> VIDRIOS Y ESPEJOS</v>
          </cell>
        </row>
        <row r="162">
          <cell r="A162">
            <v>14.01</v>
          </cell>
          <cell r="B162" t="str">
            <v>ESPEJO 4 MM. BISELADO Y PULIDO CUATRO LADOS. (SUMINISTRO E INSTALACIÓN INCLUYENDO LOS ELEMENTOS DE FIJACIÓN AL MURO)</v>
          </cell>
          <cell r="C162" t="str">
            <v>m²</v>
          </cell>
          <cell r="E162" t="e">
            <v>#N/A</v>
          </cell>
          <cell r="F162" t="e">
            <v>#N/A</v>
          </cell>
        </row>
        <row r="163">
          <cell r="B163" t="str">
            <v>TOTAL VIDRIOS Y ESPEJOS</v>
          </cell>
          <cell r="F163" t="e">
            <v>#N/A</v>
          </cell>
        </row>
        <row r="164">
          <cell r="A164">
            <v>15</v>
          </cell>
          <cell r="B164" t="str">
            <v xml:space="preserve">DEMARCACIÓN Y SEÑALIZACIÓN </v>
          </cell>
        </row>
        <row r="165">
          <cell r="A165">
            <v>15.01</v>
          </cell>
          <cell r="B165" t="str">
            <v>ESMALTE LINEAS PARQUEADERO</v>
          </cell>
          <cell r="E165" t="e">
            <v>#N/A</v>
          </cell>
          <cell r="F165" t="e">
            <v>#N/A</v>
          </cell>
        </row>
        <row r="166">
          <cell r="A166">
            <v>15.02</v>
          </cell>
          <cell r="B166" t="str">
            <v>PINTURA COLUMNAS PARQUEADERO</v>
          </cell>
          <cell r="E166" t="e">
            <v>#N/A</v>
          </cell>
          <cell r="F166" t="e">
            <v>#N/A</v>
          </cell>
        </row>
        <row r="167">
          <cell r="A167">
            <v>15.03</v>
          </cell>
          <cell r="B167" t="str">
            <v>PINTURA NÚMEROS PARQUEADEROS</v>
          </cell>
          <cell r="E167" t="e">
            <v>#N/A</v>
          </cell>
          <cell r="F167" t="e">
            <v>#N/A</v>
          </cell>
        </row>
        <row r="168">
          <cell r="A168">
            <v>15.04</v>
          </cell>
          <cell r="B168" t="str">
            <v>PINTURA TOPELLANTAS</v>
          </cell>
          <cell r="E168" t="e">
            <v>#N/A</v>
          </cell>
          <cell r="F168" t="e">
            <v>#N/A</v>
          </cell>
        </row>
        <row r="169">
          <cell r="A169">
            <v>15.05</v>
          </cell>
          <cell r="B169" t="str">
            <v xml:space="preserve">DEMARCACIÓN POR PISO </v>
          </cell>
          <cell r="E169" t="e">
            <v>#N/A</v>
          </cell>
          <cell r="F169" t="e">
            <v>#N/A</v>
          </cell>
        </row>
        <row r="170">
          <cell r="A170">
            <v>15.06</v>
          </cell>
          <cell r="B170" t="str">
            <v>SEÑALIZACIÓN RUTA DE EVACUACIÓN</v>
          </cell>
          <cell r="E170" t="e">
            <v>#N/A</v>
          </cell>
          <cell r="F170" t="e">
            <v>#N/A</v>
          </cell>
        </row>
        <row r="171">
          <cell r="A171">
            <v>15.07</v>
          </cell>
          <cell r="B171" t="str">
            <v xml:space="preserve">DEMARCACIÓN DE ESPACIOS </v>
          </cell>
          <cell r="E171" t="e">
            <v>#N/A</v>
          </cell>
          <cell r="F171" t="e">
            <v>#N/A</v>
          </cell>
        </row>
        <row r="172">
          <cell r="B172" t="str">
            <v xml:space="preserve">TOTAL DEMARACIONES Y SEÑALIZACIONES </v>
          </cell>
          <cell r="F172" t="e">
            <v>#N/A</v>
          </cell>
        </row>
        <row r="173">
          <cell r="A173">
            <v>16</v>
          </cell>
          <cell r="B173" t="str">
            <v xml:space="preserve">ASEO INTERIOR Y EXTERIOR </v>
          </cell>
        </row>
        <row r="174">
          <cell r="A174">
            <v>16.010000000000002</v>
          </cell>
          <cell r="B174" t="str">
            <v>ASEO INTERNO DE PISOS Y ESPACIOS</v>
          </cell>
          <cell r="E174" t="e">
            <v>#N/A</v>
          </cell>
          <cell r="F174" t="e">
            <v>#N/A</v>
          </cell>
        </row>
        <row r="175">
          <cell r="A175">
            <v>16.02</v>
          </cell>
          <cell r="B175" t="str">
            <v xml:space="preserve">ASEO EXTERIOR DE FACHADAS </v>
          </cell>
          <cell r="E175" t="e">
            <v>#N/A</v>
          </cell>
          <cell r="F175" t="e">
            <v>#N/A</v>
          </cell>
        </row>
        <row r="176">
          <cell r="A176">
            <v>16.03</v>
          </cell>
          <cell r="B176" t="str">
            <v xml:space="preserve">ASEO DE ZONAS COMUNES </v>
          </cell>
          <cell r="E176" t="e">
            <v>#N/A</v>
          </cell>
          <cell r="F176" t="e">
            <v>#N/A</v>
          </cell>
        </row>
        <row r="177">
          <cell r="A177">
            <v>16.04</v>
          </cell>
          <cell r="B177" t="str">
            <v xml:space="preserve">ASEO DE ZONAS VERDES, ANDENES Y VÍAS </v>
          </cell>
          <cell r="E177" t="e">
            <v>#N/A</v>
          </cell>
          <cell r="F177" t="e">
            <v>#N/A</v>
          </cell>
        </row>
        <row r="178">
          <cell r="B178" t="str">
            <v xml:space="preserve">TOTAL ASEOS </v>
          </cell>
          <cell r="F178" t="e">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sheetName val="INS"/>
      <sheetName val="PPTO"/>
      <sheetName val="APUS"/>
      <sheetName val="9.01"/>
      <sheetName val="9.02"/>
      <sheetName val="9.03"/>
      <sheetName val="9.04"/>
      <sheetName val="9.08"/>
      <sheetName val="1.01"/>
      <sheetName val="1.02"/>
      <sheetName val="1.03"/>
      <sheetName val="1.04"/>
      <sheetName val="1.05"/>
      <sheetName val="1.06"/>
      <sheetName val="1.07"/>
      <sheetName val="1.08"/>
      <sheetName val="1.10"/>
      <sheetName val="1.11"/>
      <sheetName val="1.17"/>
      <sheetName val="1.19"/>
      <sheetName val="2.01"/>
      <sheetName val="2.02"/>
      <sheetName val="2.03"/>
      <sheetName val="2.04"/>
      <sheetName val="2.05"/>
      <sheetName val="2.06"/>
      <sheetName val="2.07"/>
      <sheetName val="2.08"/>
      <sheetName val="3.01"/>
      <sheetName val="3.02"/>
      <sheetName val="3.03"/>
      <sheetName val="3.04"/>
      <sheetName val="3.05"/>
      <sheetName val="3.06"/>
      <sheetName val="3.07"/>
      <sheetName val="3.08"/>
      <sheetName val="3.09"/>
      <sheetName val="4.01"/>
      <sheetName val="4.02"/>
      <sheetName val="7.01"/>
      <sheetName val="7.02"/>
      <sheetName val="ESPECIF"/>
      <sheetName val="Hoja1"/>
      <sheetName val="4.03"/>
      <sheetName val="4.04"/>
      <sheetName val="5.01"/>
      <sheetName val="5.02"/>
      <sheetName val="5.03"/>
      <sheetName val="5.04"/>
      <sheetName val="5.05"/>
    </sheetNames>
    <sheetDataSet>
      <sheetData sheetId="0" refreshError="1"/>
      <sheetData sheetId="1" refreshError="1"/>
      <sheetData sheetId="2">
        <row r="7">
          <cell r="A7">
            <v>1</v>
          </cell>
          <cell r="B7" t="str">
            <v>PRELIMINARES</v>
          </cell>
        </row>
        <row r="8">
          <cell r="A8">
            <v>1.01</v>
          </cell>
          <cell r="B8" t="str">
            <v>ALQUILER DE CONTENEDORES PARA CAMPAMENTEO (OFICINAS DE OBRA Y ALMACÉN 3 und)</v>
          </cell>
          <cell r="C8" t="str">
            <v>mes</v>
          </cell>
          <cell r="D8">
            <v>45</v>
          </cell>
          <cell r="E8">
            <v>42838.425000000003</v>
          </cell>
          <cell r="F8">
            <v>1927729</v>
          </cell>
        </row>
        <row r="9">
          <cell r="A9">
            <v>1.02</v>
          </cell>
          <cell r="B9" t="str">
            <v>DEMOLICIÓN MURO CONCRETO E=30 CM INCLUYE ACARREO Y RETIRO A SITIO AUTORIZADO</v>
          </cell>
          <cell r="C9" t="str">
            <v>m²</v>
          </cell>
          <cell r="D9">
            <v>0</v>
          </cell>
          <cell r="E9" t="e">
            <v>#N/A</v>
          </cell>
          <cell r="F9" t="e">
            <v>#N/A</v>
          </cell>
        </row>
        <row r="10">
          <cell r="A10">
            <v>1.03</v>
          </cell>
          <cell r="B10" t="str">
            <v>DESMONTE DE TOPELLANTAS EN CONCRETO</v>
          </cell>
          <cell r="C10" t="str">
            <v>und</v>
          </cell>
          <cell r="D10">
            <v>0</v>
          </cell>
          <cell r="F10">
            <v>0</v>
          </cell>
        </row>
        <row r="11">
          <cell r="A11">
            <v>1.04</v>
          </cell>
          <cell r="B11" t="str">
            <v>DEMOLICIÓN LOSA CONTRAPISO CONCRETO E= 7,6 A 12 CM INCLUYE ACARREO Y RETIRO A SITIO AUTORIZADO</v>
          </cell>
          <cell r="C11" t="str">
            <v>m²</v>
          </cell>
          <cell r="D11">
            <v>0</v>
          </cell>
          <cell r="E11" t="e">
            <v>#N/A</v>
          </cell>
          <cell r="F11" t="e">
            <v>#N/A</v>
          </cell>
        </row>
        <row r="12">
          <cell r="A12">
            <v>1.05</v>
          </cell>
          <cell r="B12" t="str">
            <v>LOCALIZACION Y REPLANTEO COMISION TOPOGRAFÍA</v>
          </cell>
          <cell r="C12" t="str">
            <v>m²</v>
          </cell>
          <cell r="D12">
            <v>637.85</v>
          </cell>
          <cell r="E12" t="e">
            <v>#N/A</v>
          </cell>
          <cell r="F12" t="e">
            <v>#N/A</v>
          </cell>
        </row>
        <row r="13">
          <cell r="A13">
            <v>1.06</v>
          </cell>
          <cell r="B13" t="str">
            <v>DESMONTE DE CERRAMIENTO EXISTENTE</v>
          </cell>
          <cell r="C13" t="str">
            <v>m²</v>
          </cell>
          <cell r="D13">
            <v>89.34</v>
          </cell>
          <cell r="E13" t="e">
            <v>#N/A</v>
          </cell>
          <cell r="F13" t="e">
            <v>#N/A</v>
          </cell>
        </row>
        <row r="14">
          <cell r="A14">
            <v>1.07</v>
          </cell>
          <cell r="B14" t="str">
            <v>DEMOLICIÓN DE COLUMNAS EN CONCRETO CERRAMIENTO EXISTENTE</v>
          </cell>
          <cell r="C14" t="str">
            <v>m³</v>
          </cell>
          <cell r="D14">
            <v>0</v>
          </cell>
          <cell r="E14">
            <v>48171.875</v>
          </cell>
          <cell r="F14">
            <v>0</v>
          </cell>
        </row>
        <row r="15">
          <cell r="A15">
            <v>1.08</v>
          </cell>
          <cell r="B15" t="str">
            <v>DESMONTE DE CUBIERTAS Y ESTRUCTURA PARQUEADEROS EXISTENTE</v>
          </cell>
          <cell r="C15" t="str">
            <v>m²</v>
          </cell>
          <cell r="D15">
            <v>0</v>
          </cell>
          <cell r="E15" t="e">
            <v>#N/A</v>
          </cell>
          <cell r="F15" t="e">
            <v>#N/A</v>
          </cell>
        </row>
        <row r="16">
          <cell r="A16">
            <v>1.0900000000000001</v>
          </cell>
          <cell r="B16" t="str">
            <v xml:space="preserve">DESMONTE  DE CASETA </v>
          </cell>
          <cell r="C16" t="str">
            <v>und</v>
          </cell>
          <cell r="D16">
            <v>0</v>
          </cell>
          <cell r="E16" t="e">
            <v>#N/A</v>
          </cell>
          <cell r="F16" t="e">
            <v>#N/A</v>
          </cell>
        </row>
        <row r="17">
          <cell r="A17">
            <v>1.1000000000000001</v>
          </cell>
          <cell r="B17" t="str">
            <v>BATEA EN CONCRETO 3000 PSI</v>
          </cell>
          <cell r="C17" t="str">
            <v>m³</v>
          </cell>
          <cell r="D17">
            <v>1.25</v>
          </cell>
          <cell r="E17" t="e">
            <v>#N/A</v>
          </cell>
          <cell r="F17" t="e">
            <v>#N/A</v>
          </cell>
        </row>
        <row r="18">
          <cell r="A18">
            <v>1.1100000000000001</v>
          </cell>
          <cell r="B18" t="str">
            <v>CERRAMIENTO PROVISIONAL EN LÁMINA GALVANIZADA E H:2,10M</v>
          </cell>
          <cell r="C18" t="str">
            <v>m</v>
          </cell>
          <cell r="D18">
            <v>89.34</v>
          </cell>
          <cell r="E18" t="e">
            <v>#N/A</v>
          </cell>
          <cell r="F18" t="e">
            <v>#N/A</v>
          </cell>
        </row>
        <row r="19">
          <cell r="A19">
            <v>1.1200000000000001</v>
          </cell>
          <cell r="B19" t="str">
            <v>MONTAJE DE TORRE GRUA (DEMOLICIONES, CIMENTACIÓN Y MONTAJE)</v>
          </cell>
          <cell r="C19" t="str">
            <v>Gb</v>
          </cell>
          <cell r="D19">
            <v>1</v>
          </cell>
          <cell r="E19" t="e">
            <v>#N/A</v>
          </cell>
          <cell r="F19" t="e">
            <v>#N/A</v>
          </cell>
        </row>
        <row r="20">
          <cell r="A20">
            <v>1.1299999999999999</v>
          </cell>
          <cell r="B20" t="str">
            <v>DESMONTE DE TORRE GRÚA (INCLUYE DEMOLICIONES Y REPOSICIÓN DE ANDENES</v>
          </cell>
          <cell r="C20" t="str">
            <v>Gb</v>
          </cell>
          <cell r="D20">
            <v>1</v>
          </cell>
          <cell r="E20" t="e">
            <v>#N/A</v>
          </cell>
          <cell r="F20" t="e">
            <v>#N/A</v>
          </cell>
        </row>
        <row r="21">
          <cell r="A21">
            <v>1.1399999999999999</v>
          </cell>
          <cell r="B21" t="str">
            <v>INSTALACIÓN PROVISIONAL AGUA</v>
          </cell>
          <cell r="C21" t="str">
            <v>und</v>
          </cell>
          <cell r="D21">
            <v>1</v>
          </cell>
          <cell r="E21" t="e">
            <v>#N/A</v>
          </cell>
          <cell r="F21" t="e">
            <v>#N/A</v>
          </cell>
        </row>
        <row r="22">
          <cell r="A22">
            <v>1.1499999999999999</v>
          </cell>
          <cell r="B22" t="str">
            <v>TRANSFORMADOR CON CABLEADO SUBTERRÁNEA</v>
          </cell>
          <cell r="C22" t="str">
            <v>und</v>
          </cell>
          <cell r="D22">
            <v>1</v>
          </cell>
          <cell r="E22" t="e">
            <v>#N/A</v>
          </cell>
          <cell r="F22" t="e">
            <v>#N/A</v>
          </cell>
        </row>
        <row r="23">
          <cell r="A23">
            <v>1.1599999999999999</v>
          </cell>
          <cell r="B23" t="str">
            <v>INSTALACIÓN PROVISIONAL TELÉFONO</v>
          </cell>
          <cell r="C23" t="str">
            <v>und</v>
          </cell>
          <cell r="D23">
            <v>1</v>
          </cell>
          <cell r="E23" t="e">
            <v>#N/A</v>
          </cell>
          <cell r="F23" t="e">
            <v>#N/A</v>
          </cell>
        </row>
        <row r="24">
          <cell r="A24">
            <v>1.17</v>
          </cell>
          <cell r="B24" t="str">
            <v>ZARÁN DE PROTECCIÓN DE EDIFICIO</v>
          </cell>
          <cell r="C24" t="str">
            <v>m²</v>
          </cell>
          <cell r="E24" t="e">
            <v>#N/A</v>
          </cell>
          <cell r="F24" t="e">
            <v>#N/A</v>
          </cell>
        </row>
        <row r="25">
          <cell r="A25">
            <v>1.18</v>
          </cell>
          <cell r="B25" t="str">
            <v>TRÁMITE ANTE ENTIDADES: TRÁNSITO, PLANEACIÓN MPAL Y UNIDAD DE RIESGOS</v>
          </cell>
          <cell r="C25" t="str">
            <v>und</v>
          </cell>
          <cell r="D25">
            <v>1</v>
          </cell>
          <cell r="E25" t="e">
            <v>#N/A</v>
          </cell>
          <cell r="F25" t="e">
            <v>#N/A</v>
          </cell>
        </row>
        <row r="26">
          <cell r="A26">
            <v>1.19</v>
          </cell>
          <cell r="B26" t="str">
            <v>RETIRO DE ESCOMBROS CON VOLQUETA</v>
          </cell>
          <cell r="C26" t="str">
            <v>m³</v>
          </cell>
          <cell r="E26" t="e">
            <v>#N/A</v>
          </cell>
          <cell r="F26" t="e">
            <v>#N/A</v>
          </cell>
        </row>
        <row r="27">
          <cell r="B27" t="str">
            <v xml:space="preserve">TOTAL PRELIMINARES </v>
          </cell>
          <cell r="F27" t="e">
            <v>#N/A</v>
          </cell>
        </row>
        <row r="28">
          <cell r="A28">
            <v>2</v>
          </cell>
          <cell r="B28" t="str">
            <v>MOVIMIENTO DE TIERRA</v>
          </cell>
        </row>
        <row r="29">
          <cell r="A29">
            <v>2.0099999999999998</v>
          </cell>
          <cell r="B29" t="str">
            <v>EXCAVACIÓN TERRENO CON MAQUINARIA PESADA</v>
          </cell>
          <cell r="C29" t="str">
            <v>m³</v>
          </cell>
          <cell r="D29">
            <v>0</v>
          </cell>
          <cell r="E29" t="e">
            <v>#N/A</v>
          </cell>
          <cell r="F29" t="e">
            <v>#N/A</v>
          </cell>
        </row>
        <row r="30">
          <cell r="A30">
            <v>2.02</v>
          </cell>
          <cell r="B30" t="str">
            <v>PERFILADA Y NIVELACIÓN TERRENO CON MATERIAL DE SITIO</v>
          </cell>
          <cell r="C30" t="str">
            <v>m²</v>
          </cell>
          <cell r="D30">
            <v>0</v>
          </cell>
          <cell r="E30" t="e">
            <v>#N/A</v>
          </cell>
          <cell r="F30" t="e">
            <v>#N/A</v>
          </cell>
        </row>
        <row r="31">
          <cell r="A31">
            <v>2.0299999999999998</v>
          </cell>
          <cell r="B31" t="str">
            <v>PERFORACION Y EXCAVACION PARA PILOTES INCLUYE ACARREO</v>
          </cell>
          <cell r="C31" t="str">
            <v>m³</v>
          </cell>
          <cell r="D31">
            <v>0</v>
          </cell>
          <cell r="E31" t="e">
            <v>#N/A</v>
          </cell>
          <cell r="F31" t="e">
            <v>#N/A</v>
          </cell>
        </row>
        <row r="32">
          <cell r="A32">
            <v>2.04</v>
          </cell>
          <cell r="B32" t="str">
            <v>EXCAVACIÓN PARA DADOS / ZAPATAS</v>
          </cell>
          <cell r="C32" t="str">
            <v>m³</v>
          </cell>
          <cell r="D32">
            <v>0</v>
          </cell>
          <cell r="E32">
            <v>1762.5</v>
          </cell>
          <cell r="F32">
            <v>0</v>
          </cell>
        </row>
        <row r="33">
          <cell r="A33">
            <v>2.0499999999999998</v>
          </cell>
          <cell r="B33" t="str">
            <v xml:space="preserve">EXCAVACION PARA VIGAS DE CIMENTACION </v>
          </cell>
          <cell r="C33" t="str">
            <v>m³</v>
          </cell>
          <cell r="D33">
            <v>0</v>
          </cell>
          <cell r="E33">
            <v>1762.5</v>
          </cell>
          <cell r="F33">
            <v>0</v>
          </cell>
        </row>
        <row r="34">
          <cell r="A34">
            <v>2.06</v>
          </cell>
          <cell r="B34" t="str">
            <v>RELLENOS COMPACTADOS DE CONFORMACION CON MATERIAL DE SITIO</v>
          </cell>
          <cell r="C34" t="str">
            <v>m³</v>
          </cell>
          <cell r="D34">
            <v>0</v>
          </cell>
          <cell r="E34" t="e">
            <v>#N/A</v>
          </cell>
          <cell r="F34" t="e">
            <v>#N/A</v>
          </cell>
        </row>
        <row r="35">
          <cell r="A35">
            <v>2.0699999999999998</v>
          </cell>
          <cell r="B35" t="str">
            <v>REMOCION, CARGUE Y RETIRO MAT COMUN A ESCOMBRERA</v>
          </cell>
          <cell r="C35" t="str">
            <v>m³</v>
          </cell>
          <cell r="D35">
            <v>0</v>
          </cell>
          <cell r="E35">
            <v>12611.75</v>
          </cell>
          <cell r="F35">
            <v>0</v>
          </cell>
        </row>
        <row r="36">
          <cell r="A36">
            <v>2.08</v>
          </cell>
          <cell r="B36" t="str">
            <v>RETIRO DE MATERIAL SOBRANTE CARGUE MANUAL</v>
          </cell>
          <cell r="C36" t="str">
            <v>m³</v>
          </cell>
          <cell r="D36">
            <v>0</v>
          </cell>
          <cell r="E36" t="e">
            <v>#N/A</v>
          </cell>
          <cell r="F36" t="e">
            <v>#N/A</v>
          </cell>
        </row>
        <row r="37">
          <cell r="B37" t="str">
            <v>TOTAL MOVIMIENTO DE TIERRAS</v>
          </cell>
          <cell r="F37" t="e">
            <v>#N/A</v>
          </cell>
        </row>
        <row r="39">
          <cell r="A39">
            <v>3</v>
          </cell>
          <cell r="B39" t="str">
            <v>CIMENTACIÓN</v>
          </cell>
        </row>
        <row r="40">
          <cell r="A40">
            <v>3.01</v>
          </cell>
          <cell r="B40" t="str">
            <v>CONCRETO F´C=21 MPA (3000PSI) (TREMIE) PILOTE DIAM=40CM A 60CM, L=HASTA 10M (NO INCLUYE REFUERZO)</v>
          </cell>
          <cell r="C40" t="str">
            <v>m³</v>
          </cell>
          <cell r="D40">
            <v>0</v>
          </cell>
          <cell r="E40" t="e">
            <v>#N/A</v>
          </cell>
          <cell r="F40" t="e">
            <v>#N/A</v>
          </cell>
        </row>
        <row r="41">
          <cell r="A41">
            <v>3.02</v>
          </cell>
          <cell r="B41" t="str">
            <v>DEMOLICIÓN ANILLO PILA O CAISSON</v>
          </cell>
          <cell r="C41" t="str">
            <v>m³</v>
          </cell>
          <cell r="D41">
            <v>0</v>
          </cell>
          <cell r="E41" t="e">
            <v>#N/A</v>
          </cell>
          <cell r="F41" t="e">
            <v>#N/A</v>
          </cell>
        </row>
        <row r="42">
          <cell r="A42">
            <v>3.03</v>
          </cell>
          <cell r="B42" t="str">
            <v>CONCRETO DE 20,7 MPA ZAPATAS (NO INCLUYE REFUERZO)</v>
          </cell>
          <cell r="C42" t="str">
            <v>m³</v>
          </cell>
          <cell r="D42">
            <v>0</v>
          </cell>
          <cell r="E42" t="e">
            <v>#N/A</v>
          </cell>
          <cell r="F42" t="e">
            <v>#N/A</v>
          </cell>
        </row>
        <row r="43">
          <cell r="A43">
            <v>3.04</v>
          </cell>
          <cell r="B43" t="str">
            <v>RELLENO CON RECEBO CONÚN A MANO (ADY ZAPATAS)</v>
          </cell>
          <cell r="C43" t="str">
            <v>m³</v>
          </cell>
          <cell r="D43">
            <v>0</v>
          </cell>
          <cell r="E43" t="e">
            <v>#N/A</v>
          </cell>
          <cell r="F43" t="e">
            <v>#N/A</v>
          </cell>
        </row>
        <row r="44">
          <cell r="A44">
            <v>3.05</v>
          </cell>
          <cell r="B44" t="str">
            <v>SOLADO FUNDACIONES</v>
          </cell>
          <cell r="C44" t="str">
            <v>m²</v>
          </cell>
          <cell r="D44">
            <v>0</v>
          </cell>
          <cell r="E44" t="e">
            <v>#N/A</v>
          </cell>
          <cell r="F44" t="e">
            <v>#N/A</v>
          </cell>
        </row>
        <row r="45">
          <cell r="A45">
            <v>3.06</v>
          </cell>
          <cell r="B45" t="str">
            <v>ACERO DE REFUERZO FY=420 MPA (60000PSI) CIMENTACIÓN</v>
          </cell>
          <cell r="C45" t="str">
            <v>kg</v>
          </cell>
          <cell r="D45">
            <v>0</v>
          </cell>
          <cell r="E45" t="e">
            <v>#N/A</v>
          </cell>
          <cell r="F45" t="e">
            <v>#N/A</v>
          </cell>
        </row>
        <row r="46">
          <cell r="A46">
            <v>3.07</v>
          </cell>
          <cell r="B46" t="str">
            <v>CONCRETO DE 20,7 MPA VIGAS DE ENLACE DE ZAPATAS (NO INCLUYE REFUERZO)</v>
          </cell>
          <cell r="C46" t="str">
            <v>m³</v>
          </cell>
          <cell r="D46">
            <v>0</v>
          </cell>
          <cell r="E46" t="e">
            <v>#N/A</v>
          </cell>
          <cell r="F46" t="e">
            <v>#N/A</v>
          </cell>
        </row>
        <row r="47">
          <cell r="A47">
            <v>3.08</v>
          </cell>
          <cell r="B47" t="str">
            <v>MALLA ELECTROSOLDADA FY=490 MPA (70000PSI) PLACA CONTRAPISO</v>
          </cell>
          <cell r="C47" t="str">
            <v>kg</v>
          </cell>
          <cell r="D47">
            <v>0</v>
          </cell>
          <cell r="E47" t="e">
            <v>#N/A</v>
          </cell>
          <cell r="F47" t="e">
            <v>#N/A</v>
          </cell>
        </row>
        <row r="48">
          <cell r="A48">
            <v>3.09</v>
          </cell>
          <cell r="B48" t="str">
            <v>CONCRETO DE 20,7 MPA PLACA DE CONTRAPISO E = 0,15 M (NO INCLUYE REFUERZO MALLA ELECTROSOLDADA)</v>
          </cell>
          <cell r="C48" t="str">
            <v>m²</v>
          </cell>
          <cell r="D48">
            <v>0</v>
          </cell>
          <cell r="E48" t="e">
            <v>#N/A</v>
          </cell>
          <cell r="F48" t="e">
            <v>#N/A</v>
          </cell>
        </row>
        <row r="49">
          <cell r="A49">
            <v>3.1</v>
          </cell>
          <cell r="B49" t="str">
            <v>ALLANADO DE PISO CON HELICÓPTERO</v>
          </cell>
          <cell r="C49" t="str">
            <v>m²</v>
          </cell>
          <cell r="E49" t="e">
            <v>#N/A</v>
          </cell>
          <cell r="F49" t="e">
            <v>#N/A</v>
          </cell>
        </row>
        <row r="50">
          <cell r="B50" t="str">
            <v>TOTAL CIMENTACIÓN</v>
          </cell>
          <cell r="F50" t="e">
            <v>#N/A</v>
          </cell>
        </row>
        <row r="52">
          <cell r="A52">
            <v>4</v>
          </cell>
          <cell r="B52" t="str">
            <v>ESTRUCTURA</v>
          </cell>
        </row>
        <row r="53">
          <cell r="A53">
            <v>4.01</v>
          </cell>
          <cell r="B53" t="str">
            <v>CONCRETO 20,7 MPA (3000 PSI) MURO DE CONTENCIÓN E: 0.30M (NO INCLUYE REFUERZO)</v>
          </cell>
          <cell r="C53" t="str">
            <v>m³</v>
          </cell>
          <cell r="D53">
            <v>0</v>
          </cell>
          <cell r="E53" t="e">
            <v>#N/A</v>
          </cell>
          <cell r="F53" t="e">
            <v>#N/A</v>
          </cell>
        </row>
        <row r="54">
          <cell r="A54">
            <v>4.0199999999999996</v>
          </cell>
          <cell r="B54" t="str">
            <v xml:space="preserve">PLACA DE FUNDACION FOSO DE ASCENSOR E= 0,2 M EN CONCRETO F´C= 21 MPA </v>
          </cell>
          <cell r="E54" t="e">
            <v>#N/A</v>
          </cell>
          <cell r="F54" t="e">
            <v>#N/A</v>
          </cell>
        </row>
        <row r="55">
          <cell r="A55">
            <v>4.03</v>
          </cell>
          <cell r="B55" t="str">
            <v>CONCRETO 28 MPA MURO PANTALLA ASCENSOR E: 0.25M (NO INCLUYE REFUERZO)</v>
          </cell>
          <cell r="C55" t="str">
            <v>m³</v>
          </cell>
          <cell r="D55">
            <v>101.24860000000001</v>
          </cell>
          <cell r="E55" t="e">
            <v>#N/A</v>
          </cell>
          <cell r="F55" t="e">
            <v>#N/A</v>
          </cell>
        </row>
        <row r="56">
          <cell r="A56">
            <v>4.04</v>
          </cell>
          <cell r="B56" t="str">
            <v>CONCRETO 20,7 MPA ESCALERA Y RAMPAS E=0,20M (NO INCLUYE REFUERZO)</v>
          </cell>
          <cell r="C56" t="str">
            <v>m²</v>
          </cell>
          <cell r="D56" t="e">
            <v>#REF!</v>
          </cell>
          <cell r="E56" t="e">
            <v>#N/A</v>
          </cell>
          <cell r="F56" t="e">
            <v>#REF!</v>
          </cell>
        </row>
        <row r="57">
          <cell r="A57">
            <v>4.05</v>
          </cell>
          <cell r="B57" t="str">
            <v>CONCRETO DE 20,7 MPA (3.000 PSI) PARA PLACAS EN STEELDECK (NO INCLUYE REFUERZO MALLA ELECTROSOLDADA)</v>
          </cell>
          <cell r="C57" t="str">
            <v>m²</v>
          </cell>
          <cell r="D57" t="e">
            <v>#REF!</v>
          </cell>
          <cell r="E57" t="e">
            <v>#N/A</v>
          </cell>
          <cell r="F57" t="e">
            <v>#REF!</v>
          </cell>
        </row>
        <row r="58">
          <cell r="A58">
            <v>4.0599999999999996</v>
          </cell>
          <cell r="B58" t="str">
            <v>CONCRETO DE 20,7 MPA (3.000 PSI) PARA PEDESTALES CIRC. D=0,80M (NO INCLUYE REFUERZO)</v>
          </cell>
          <cell r="C58" t="str">
            <v>m³</v>
          </cell>
          <cell r="D58" t="e">
            <v>#REF!</v>
          </cell>
          <cell r="E58" t="e">
            <v>#N/A</v>
          </cell>
          <cell r="F58" t="e">
            <v>#REF!</v>
          </cell>
        </row>
        <row r="59">
          <cell r="A59">
            <v>4.07</v>
          </cell>
          <cell r="B59" t="str">
            <v>CONCRETO VISTO DE 20,7 MPA (3.000 PSI) COLUMNA CIRCULAR D = 0,75 M  (NO INCLUYE ACERO DE REFUERZO)</v>
          </cell>
          <cell r="C59" t="str">
            <v>m³</v>
          </cell>
          <cell r="D59" t="e">
            <v>#REF!</v>
          </cell>
          <cell r="E59" t="e">
            <v>#N/A</v>
          </cell>
          <cell r="F59" t="e">
            <v>#REF!</v>
          </cell>
        </row>
        <row r="60">
          <cell r="A60">
            <v>4.08</v>
          </cell>
          <cell r="B60" t="str">
            <v xml:space="preserve">CONCRETO VIGAS DE CUBIERTA </v>
          </cell>
          <cell r="E60" t="e">
            <v>#N/A</v>
          </cell>
          <cell r="F60" t="e">
            <v>#N/A</v>
          </cell>
        </row>
        <row r="61">
          <cell r="A61">
            <v>4.09</v>
          </cell>
          <cell r="B61" t="str">
            <v xml:space="preserve">CONCRETO DE TANQUE DE AGUA </v>
          </cell>
          <cell r="E61" t="e">
            <v>#N/A</v>
          </cell>
          <cell r="F61" t="e">
            <v>#N/A</v>
          </cell>
        </row>
        <row r="62">
          <cell r="A62">
            <v>4.0999999999999996</v>
          </cell>
          <cell r="B62" t="str">
            <v>RAMPA EN CONCRETO ALIGERADA E=0.50 M</v>
          </cell>
          <cell r="E62" t="e">
            <v>#N/A</v>
          </cell>
          <cell r="F62" t="e">
            <v>#N/A</v>
          </cell>
        </row>
        <row r="63">
          <cell r="A63">
            <v>4.1100000000000003</v>
          </cell>
          <cell r="B63" t="str">
            <v xml:space="preserve">ACERO DE REFUERZO FY=420 MPA (60000PSI) </v>
          </cell>
          <cell r="C63" t="str">
            <v>kg</v>
          </cell>
          <cell r="E63" t="e">
            <v>#N/A</v>
          </cell>
          <cell r="F63" t="e">
            <v>#N/A</v>
          </cell>
        </row>
        <row r="64">
          <cell r="A64">
            <v>4.12</v>
          </cell>
          <cell r="B64" t="str">
            <v>MALLA ELECTROSOLDADA FY=490 MPA (70000PSI) PLACA ENTREPISO</v>
          </cell>
          <cell r="C64" t="str">
            <v>kg</v>
          </cell>
          <cell r="E64" t="e">
            <v>#N/A</v>
          </cell>
          <cell r="F64" t="e">
            <v>#N/A</v>
          </cell>
        </row>
        <row r="65">
          <cell r="B65" t="str">
            <v>TOTAL ESTRUCTURA</v>
          </cell>
          <cell r="F65" t="e">
            <v>#N/A</v>
          </cell>
        </row>
        <row r="68">
          <cell r="A68">
            <v>5</v>
          </cell>
          <cell r="B68" t="str">
            <v>ESTRUCTURA METALICA</v>
          </cell>
        </row>
        <row r="69">
          <cell r="A69">
            <v>5.01</v>
          </cell>
          <cell r="B69" t="str">
            <v>SUM. E INST. LAMINA METALDECK 2" CAL. 22</v>
          </cell>
          <cell r="C69" t="str">
            <v>kgf</v>
          </cell>
          <cell r="D69" t="e">
            <v>#REF!</v>
          </cell>
          <cell r="E69" t="e">
            <v>#N/A</v>
          </cell>
          <cell r="F69" t="e">
            <v>#REF!</v>
          </cell>
        </row>
        <row r="70">
          <cell r="A70">
            <v>5.0199999999999996</v>
          </cell>
          <cell r="B70" t="str">
            <v>ESTRUCTURA METALICA RAMPA Y ESCALERAS</v>
          </cell>
          <cell r="C70" t="str">
            <v>kgf</v>
          </cell>
          <cell r="D70" t="e">
            <v>#REF!</v>
          </cell>
          <cell r="E70" t="e">
            <v>#N/A</v>
          </cell>
          <cell r="F70" t="e">
            <v>#REF!</v>
          </cell>
        </row>
        <row r="71">
          <cell r="A71">
            <v>5.04</v>
          </cell>
          <cell r="B71" t="str">
            <v>VIGAS METALICAS IPE-400, IPE-500, IPE-600</v>
          </cell>
          <cell r="C71" t="str">
            <v>kgf</v>
          </cell>
          <cell r="D71" t="e">
            <v>#REF!</v>
          </cell>
          <cell r="E71" t="e">
            <v>#N/A</v>
          </cell>
          <cell r="F71" t="e">
            <v>#REF!</v>
          </cell>
        </row>
        <row r="72">
          <cell r="A72">
            <v>5.05</v>
          </cell>
          <cell r="B72" t="str">
            <v>PLATINAS Y PERNOS</v>
          </cell>
          <cell r="C72" t="str">
            <v>kgf</v>
          </cell>
          <cell r="D72" t="e">
            <v>#REF!</v>
          </cell>
          <cell r="E72" t="e">
            <v>#N/A</v>
          </cell>
          <cell r="F72" t="e">
            <v>#REF!</v>
          </cell>
        </row>
        <row r="73">
          <cell r="A73">
            <v>5.0599999999999996</v>
          </cell>
          <cell r="B73" t="str">
            <v>ESTRUCTURA METALICA DE CUBIERTAS</v>
          </cell>
          <cell r="C73" t="str">
            <v>kgf</v>
          </cell>
          <cell r="D73" t="e">
            <v>#REF!</v>
          </cell>
          <cell r="E73" t="e">
            <v>#N/A</v>
          </cell>
          <cell r="F73" t="e">
            <v>#REF!</v>
          </cell>
        </row>
        <row r="74">
          <cell r="B74" t="str">
            <v>TOTAL ESTRUCTURA METALICA</v>
          </cell>
          <cell r="F74" t="e">
            <v>#REF!</v>
          </cell>
        </row>
        <row r="76">
          <cell r="A76">
            <v>6</v>
          </cell>
          <cell r="B76" t="str">
            <v>CUBIERTA</v>
          </cell>
        </row>
        <row r="77">
          <cell r="A77">
            <v>6.01</v>
          </cell>
          <cell r="B77" t="str">
            <v>CUBIERTA SANDWICH DECK TIPO C 525 ALUNZINC 0,50CM DE HUNTER DOUGLAS</v>
          </cell>
          <cell r="C77" t="str">
            <v>m²</v>
          </cell>
          <cell r="E77" t="e">
            <v>#N/A</v>
          </cell>
          <cell r="F77" t="e">
            <v>#N/A</v>
          </cell>
        </row>
        <row r="78">
          <cell r="A78">
            <v>6.02</v>
          </cell>
          <cell r="B78" t="str">
            <v>CANAL EN LAMINA GALVANIZADA CALIBRE 18 INCLUYE SISTEMA DE FIJACION E INSTALACION + PINTURA ELECTROSTATICA EXTERIOR E INTERIOR.</v>
          </cell>
          <cell r="C78" t="str">
            <v>ml</v>
          </cell>
          <cell r="E78" t="e">
            <v>#N/A</v>
          </cell>
          <cell r="F78" t="e">
            <v>#N/A</v>
          </cell>
        </row>
        <row r="79">
          <cell r="A79">
            <v>6.03</v>
          </cell>
          <cell r="B79" t="str">
            <v>IMPERMEABILIZACIÓN DE VIGA CANAL CON REVESTIMIENTO ELASTICO A BASE DE COPOLIMEROS, ESTIRENO, ACRILICOS INCLUYE MORTERO AFINADO 1:4 IMPERMEABILIZADO, MEDIA CAÑA, REMATES Y TELA POLIESTER.</v>
          </cell>
          <cell r="C79" t="str">
            <v>m²</v>
          </cell>
          <cell r="E79" t="e">
            <v>#N/A</v>
          </cell>
          <cell r="F79" t="e">
            <v>#N/A</v>
          </cell>
        </row>
        <row r="80">
          <cell r="A80">
            <v>6.04</v>
          </cell>
          <cell r="B80" t="str">
            <v>IMPERMEABILIZACIÓN DE PLACAS DE CUBIERTA CON SISTEMA SIKAPLAN.</v>
          </cell>
          <cell r="C80" t="str">
            <v>m²</v>
          </cell>
          <cell r="E80" t="e">
            <v>#N/A</v>
          </cell>
          <cell r="F80" t="e">
            <v>#N/A</v>
          </cell>
        </row>
        <row r="81">
          <cell r="B81" t="str">
            <v>TOTAL CUBIERTA</v>
          </cell>
          <cell r="F81" t="e">
            <v>#N/A</v>
          </cell>
        </row>
        <row r="83">
          <cell r="A83">
            <v>7</v>
          </cell>
          <cell r="B83" t="str">
            <v xml:space="preserve"> MAMPOSTERÍA Y CONFINAMIENTOS</v>
          </cell>
        </row>
        <row r="84">
          <cell r="A84">
            <v>7.01</v>
          </cell>
          <cell r="B84" t="str">
            <v>LADRILLO ESTRUCTURAL DE PERFORACION VERTICAL SANTAFE MEDIDAS (LXAXH) 33X11.5X23 ANCLADOS CON DOVELAS 1#4 CADA 1.5M PARA CONFINAR, INCLUYE ESCALERILLAS CADA 4 HILADAS DE 2 VARIILAS GRAFIL 4 MM, INCLUYE EL GROUTING.</v>
          </cell>
          <cell r="C84" t="str">
            <v>m²</v>
          </cell>
          <cell r="E84" t="e">
            <v>#N/A</v>
          </cell>
          <cell r="F84" t="e">
            <v>#N/A</v>
          </cell>
        </row>
        <row r="85">
          <cell r="A85">
            <v>7.02</v>
          </cell>
          <cell r="B85" t="str">
            <v>MUROS EN CONCRETO PARA ANTEPECHO EN RAMPA Y ESCALERAS EXTERIORES E=10 CM, INCLUYE MALLA ELECTROSOLDADA 4 MM 15X15</v>
          </cell>
          <cell r="C85" t="str">
            <v>m²</v>
          </cell>
          <cell r="D85">
            <v>168.1746</v>
          </cell>
          <cell r="E85" t="e">
            <v>#N/A</v>
          </cell>
          <cell r="F85" t="e">
            <v>#N/A</v>
          </cell>
        </row>
        <row r="86">
          <cell r="A86">
            <v>7.03</v>
          </cell>
          <cell r="B86" t="str">
            <v>MUROS DE CUCHILLA LADRILLO ESTRUCTURAL DE PERFORACION VERTICAL SANTAFE MEDIDAS (LXAXH) 33X11.5X23 ANCLADOS CON DOVELAS 1#4 CADA 1.5M PARA CONFINAR, INCLUYE ESCALERILLAS CADA 4 HILADAS DE 2 VARIILAS GRAFIL 4 MM, INCLUYE EL GROUTING.</v>
          </cell>
          <cell r="C86" t="str">
            <v>ml</v>
          </cell>
          <cell r="E86" t="e">
            <v>#N/A</v>
          </cell>
          <cell r="F86" t="e">
            <v>#N/A</v>
          </cell>
        </row>
        <row r="87">
          <cell r="B87" t="str">
            <v>TOTAL MAMPOSTERÍA Y CONFINAMIENTOS</v>
          </cell>
          <cell r="F87" t="e">
            <v>#N/A</v>
          </cell>
        </row>
        <row r="89">
          <cell r="A89">
            <v>8</v>
          </cell>
          <cell r="B89" t="str">
            <v xml:space="preserve"> SISTEMA LIVIANO</v>
          </cell>
        </row>
        <row r="90">
          <cell r="A90">
            <v>8.01</v>
          </cell>
          <cell r="B90" t="str">
            <v>MURO EN FIBROCEMENTO 10MM DOBLE CARA INCLUYE ESTRUCTURA (PERFILERIA CAL. 24) INCLUYE AISLAMIENTO CON FRESCASA</v>
          </cell>
          <cell r="C90" t="str">
            <v>m²</v>
          </cell>
          <cell r="E90" t="e">
            <v>#N/A</v>
          </cell>
          <cell r="F90" t="e">
            <v>#N/A</v>
          </cell>
        </row>
        <row r="91">
          <cell r="A91">
            <v>8.02</v>
          </cell>
          <cell r="B91" t="str">
            <v>MURO EN FIBROCEMENTO 10MM UNA CARA INCLUYE ESTRUCTURA (PERFILERIA CAL. 24) FACHADA PRINCIPAL</v>
          </cell>
          <cell r="C91" t="str">
            <v>m²</v>
          </cell>
          <cell r="E91" t="e">
            <v>#N/A</v>
          </cell>
          <cell r="F91" t="e">
            <v>#N/A</v>
          </cell>
        </row>
        <row r="92">
          <cell r="B92" t="str">
            <v xml:space="preserve"> TOTAL SISTEMA LIVIANO</v>
          </cell>
          <cell r="F92" t="e">
            <v>#N/A</v>
          </cell>
        </row>
        <row r="94">
          <cell r="A94">
            <v>9</v>
          </cell>
          <cell r="B94" t="str">
            <v>PISOS, ENCHAPES E IMPERMERMEABILIZACIONES</v>
          </cell>
        </row>
        <row r="95">
          <cell r="A95">
            <v>9.01</v>
          </cell>
          <cell r="B95" t="str">
            <v>MORTERO DE NIVELACION DE PISOS</v>
          </cell>
          <cell r="C95" t="str">
            <v>m²</v>
          </cell>
          <cell r="E95" t="e">
            <v>#N/A</v>
          </cell>
          <cell r="F95" t="e">
            <v>#N/A</v>
          </cell>
        </row>
        <row r="96">
          <cell r="A96">
            <v>9.02</v>
          </cell>
          <cell r="B96" t="str">
            <v>CERAMICA 51X51X TIPO ALFA® ODEON COPPER BEIGE CLARO Código: 225015977 (INCLYE BOQUILLA COLOR Y WIN) EN BAÑOS</v>
          </cell>
          <cell r="C96" t="str">
            <v>m²</v>
          </cell>
          <cell r="E96" t="e">
            <v>#N/A</v>
          </cell>
          <cell r="F96" t="e">
            <v>#N/A</v>
          </cell>
        </row>
        <row r="97">
          <cell r="A97">
            <v>9.0299999999999994</v>
          </cell>
          <cell r="B97" t="str">
            <v>PISOS DE AULAS BALSOSA MICROGRANO BEIGE COD.  13502581. 30X30 TRAFICO COMERCIAL DE ALFA O SIMILAR</v>
          </cell>
          <cell r="C97" t="str">
            <v>m²</v>
          </cell>
          <cell r="E97" t="e">
            <v>#N/A</v>
          </cell>
          <cell r="F97" t="e">
            <v>#N/A</v>
          </cell>
        </row>
        <row r="98">
          <cell r="A98">
            <v>9.0399999999999991</v>
          </cell>
          <cell r="B98" t="str">
            <v>PISOS CORREDORES BALSOSA DE TERRAZO ECO KRISTAL LAVA REF 225019902. 40X40. TRAFICO COMERCIAL DE ALFA O SIMILAR</v>
          </cell>
          <cell r="C98" t="str">
            <v>m²</v>
          </cell>
          <cell r="E98" t="e">
            <v>#N/A</v>
          </cell>
          <cell r="F98" t="e">
            <v>#N/A</v>
          </cell>
        </row>
        <row r="99">
          <cell r="A99">
            <v>9.0500000000000007</v>
          </cell>
          <cell r="B99" t="str">
            <v>PISOS RAMPAS BALDOSA PREPULIDA TIPO PAYANDE FONDO GRIS 30X30 DE ALFA®</v>
          </cell>
          <cell r="C99" t="str">
            <v>m²</v>
          </cell>
          <cell r="E99" t="e">
            <v>#N/A</v>
          </cell>
          <cell r="F99" t="e">
            <v>#N/A</v>
          </cell>
        </row>
        <row r="100">
          <cell r="A100">
            <v>9.06</v>
          </cell>
          <cell r="B100" t="str">
            <v>AFINADO DE PISOS PARA PARQUEADEROS</v>
          </cell>
          <cell r="C100" t="str">
            <v>m²</v>
          </cell>
          <cell r="E100" t="e">
            <v>#N/A</v>
          </cell>
          <cell r="F100" t="e">
            <v>#N/A</v>
          </cell>
        </row>
        <row r="101">
          <cell r="A101">
            <v>9.07</v>
          </cell>
          <cell r="B101" t="str">
            <v>PISO BALDOSA DE GRANO PREPULIDA EXTERIOR LINEAS 30X30 DE ALFA® COLOR CREMA PARA ESPACIO PUBLICO EXTERIOR</v>
          </cell>
          <cell r="C101" t="str">
            <v>m²</v>
          </cell>
          <cell r="E101" t="e">
            <v>#N/A</v>
          </cell>
          <cell r="F101" t="e">
            <v>#N/A</v>
          </cell>
        </row>
        <row r="102">
          <cell r="A102">
            <v>9.08</v>
          </cell>
          <cell r="B102" t="str">
            <v>CERAMICA PARED BLANCO SATINADO 30.5X60.1 TIPO ALFA O SIMILAR (INCLUYE BOQUILLA COLOR Y WIN) EN BAÑOS</v>
          </cell>
          <cell r="C102" t="str">
            <v>m²</v>
          </cell>
          <cell r="E102" t="e">
            <v>#N/A</v>
          </cell>
          <cell r="F102" t="e">
            <v>#N/A</v>
          </cell>
        </row>
        <row r="103">
          <cell r="A103">
            <v>9.09</v>
          </cell>
          <cell r="B103" t="str">
            <v>IMPERMEABILIZACIÓN CON SISTEMA SIKAPLAN.</v>
          </cell>
          <cell r="C103" t="str">
            <v>m²</v>
          </cell>
          <cell r="E103" t="e">
            <v>#N/A</v>
          </cell>
          <cell r="F103" t="e">
            <v>#N/A</v>
          </cell>
        </row>
        <row r="104">
          <cell r="A104">
            <v>9.1</v>
          </cell>
          <cell r="B104" t="str">
            <v>PAVIMENTO CONCRETO 3000 PSI E=15 CM CON MALLA RAMPA VEHICULO</v>
          </cell>
          <cell r="C104" t="str">
            <v>m²</v>
          </cell>
          <cell r="E104" t="e">
            <v>#N/A</v>
          </cell>
          <cell r="F104" t="e">
            <v>#N/A</v>
          </cell>
        </row>
        <row r="105">
          <cell r="A105">
            <v>9.11</v>
          </cell>
          <cell r="B105" t="str">
            <v>ANDENES PERIMETRALES Y PLAZOLETAS ESPACIO PUBLICO ESPESOR 10CM Y MALLA ELECTROSOLDADA 15X15 CM DE 4 MM, INCLUYE SUBBASE COMPACTADA DE 10 CM DE ESPESOR</v>
          </cell>
          <cell r="C105" t="str">
            <v>m²</v>
          </cell>
          <cell r="E105" t="e">
            <v>#N/A</v>
          </cell>
          <cell r="F105" t="e">
            <v>#N/A</v>
          </cell>
        </row>
        <row r="106">
          <cell r="A106">
            <v>9.1199999999999992</v>
          </cell>
          <cell r="B106" t="str">
            <v>SARDINEL Y CORDONES PARA ANDENES Y PLAZOLETAS DE B= 10 CM X H=20 CM CONCRETO DE 3000 PSI Y REFUERZO 4#2 Y FLEJES #2 CADA 20 CM</v>
          </cell>
          <cell r="C106" t="str">
            <v>ml</v>
          </cell>
          <cell r="E106" t="e">
            <v>#N/A</v>
          </cell>
          <cell r="F106" t="e">
            <v>#N/A</v>
          </cell>
        </row>
        <row r="107">
          <cell r="A107">
            <v>9.1300000000000008</v>
          </cell>
          <cell r="B107" t="str">
            <v>FABRICACION Y COLOCACION DE TOPE LLANTA EN SOTANOS EN CONCRETO PREFABRICADO DE 3000 PSI</v>
          </cell>
          <cell r="C107" t="str">
            <v>ml</v>
          </cell>
          <cell r="E107" t="e">
            <v>#N/A</v>
          </cell>
          <cell r="F107" t="e">
            <v>#N/A</v>
          </cell>
        </row>
        <row r="108">
          <cell r="A108">
            <v>9.14</v>
          </cell>
          <cell r="B108" t="str">
            <v>GUARDAESCOBA EMBEBIDO EN MUROS A 10 CM DE ALTURA INCLUYE SISTEMA DE FIJACION CERAMICA PREPULIDA DE ALFA.</v>
          </cell>
          <cell r="C108" t="str">
            <v>ml</v>
          </cell>
          <cell r="E108" t="e">
            <v>#N/A</v>
          </cell>
          <cell r="F108" t="e">
            <v>#N/A</v>
          </cell>
        </row>
        <row r="109">
          <cell r="B109" t="str">
            <v>TOTAL PISOS, ENCHAPES E IMPERMERMEABILIZACIONES</v>
          </cell>
          <cell r="F109" t="e">
            <v>#N/A</v>
          </cell>
        </row>
        <row r="111">
          <cell r="A111">
            <v>10</v>
          </cell>
          <cell r="B111" t="str">
            <v>REVOQUES ,ESTUCO, PINTURA Y RECUBRIMIENTOS</v>
          </cell>
        </row>
        <row r="112">
          <cell r="A112">
            <v>10.01</v>
          </cell>
          <cell r="B112" t="str">
            <v>REVOQUE 1:3 EN MUROS INTERIORES. INCLUYE ESTRIAS 2 CM DE ESPESOR INCLUYE FILOS, DILATACIONES Y CARTERAS.</v>
          </cell>
          <cell r="C112" t="str">
            <v>m²</v>
          </cell>
          <cell r="E112" t="e">
            <v>#N/A</v>
          </cell>
          <cell r="F112" t="e">
            <v>#N/A</v>
          </cell>
        </row>
        <row r="113">
          <cell r="A113">
            <v>10.02</v>
          </cell>
          <cell r="B113" t="str">
            <v>REVOQUE 1:3 EXTERIOR IMPERMEABILIZADO FACHADAS. ESTRIAS 2 CM DE ESPESOR INCLUYE FILOS, DILATACIONES Y CARTERAS.</v>
          </cell>
          <cell r="C113" t="str">
            <v>m²</v>
          </cell>
          <cell r="E113" t="e">
            <v>#N/A</v>
          </cell>
          <cell r="F113" t="e">
            <v>#N/A</v>
          </cell>
        </row>
        <row r="114">
          <cell r="A114">
            <v>10.029999999999999</v>
          </cell>
          <cell r="B114" t="str">
            <v>ESTUCO Y PINTURA 3 MANOS EN MUROS. VINILO TIPO 1, INCLUYE FILOS Y DILATACIONES.</v>
          </cell>
          <cell r="C114" t="str">
            <v>m²</v>
          </cell>
          <cell r="E114" t="e">
            <v>#N/A</v>
          </cell>
          <cell r="F114" t="e">
            <v>#N/A</v>
          </cell>
        </row>
        <row r="115">
          <cell r="A115">
            <v>10.039999999999999</v>
          </cell>
          <cell r="B115" t="str">
            <v>ESTUCO Y PINTURA 3 MANOS PARA EXTERIOR EN PINTURA KORAZA O SIMILAR (INCLUYE FILOS Y DILATACIONES)</v>
          </cell>
          <cell r="C115" t="str">
            <v>m²</v>
          </cell>
          <cell r="E115" t="e">
            <v>#N/A</v>
          </cell>
          <cell r="F115" t="e">
            <v>#N/A</v>
          </cell>
        </row>
        <row r="116">
          <cell r="A116">
            <v>10.06</v>
          </cell>
          <cell r="B116" t="str">
            <v>MESON EN GRANITO NATURAL EN BAÑOS JASPE INCLUYE SOPORTES DE INSTALACION.</v>
          </cell>
          <cell r="C116" t="str">
            <v>ml</v>
          </cell>
          <cell r="E116" t="e">
            <v>#N/A</v>
          </cell>
          <cell r="F116" t="e">
            <v>#N/A</v>
          </cell>
        </row>
        <row r="117">
          <cell r="A117">
            <v>10.07</v>
          </cell>
          <cell r="B117" t="str">
            <v>RECUBRIMIENTO MODULO ESCALERAS EN PIEDRA NATURAL SLImlINE STONE LAMITES</v>
          </cell>
          <cell r="C117" t="str">
            <v>m²</v>
          </cell>
          <cell r="D117" t="str">
            <v>no</v>
          </cell>
          <cell r="E117" t="e">
            <v>#N/A</v>
          </cell>
          <cell r="F117" t="e">
            <v>#VALUE!</v>
          </cell>
        </row>
        <row r="118">
          <cell r="A118">
            <v>10.09</v>
          </cell>
          <cell r="B118" t="str">
            <v>REVESTIMIENTO SCREENPANEL N DE HUNTER DOUGLAS PUNZADO EN ALUZINC 1 MM COLOR BLANCO ALGODÓN REF 7252 POR AMBAS CARAS</v>
          </cell>
          <cell r="C118" t="str">
            <v>m²</v>
          </cell>
          <cell r="E118" t="e">
            <v>#N/A</v>
          </cell>
          <cell r="F118" t="e">
            <v>#N/A</v>
          </cell>
        </row>
        <row r="119">
          <cell r="B119" t="str">
            <v>TOTAL ESTUCO, PINTURA Y RECUBRIMIENTOS</v>
          </cell>
          <cell r="F119" t="e">
            <v>#N/A</v>
          </cell>
        </row>
        <row r="121">
          <cell r="A121">
            <v>11</v>
          </cell>
          <cell r="B121" t="str">
            <v xml:space="preserve">CARPINTERÍA  ALUMINIO </v>
          </cell>
        </row>
        <row r="122">
          <cell r="A122">
            <v>11.01</v>
          </cell>
          <cell r="B122" t="str">
            <v xml:space="preserve">VENTANERIA EN ALUMINIO FACHADA COMPUESTA POR MODULO FIJO INFERIOR EN PERFIL 3X11/2 PISA VIDRIO PROYECTANTE, NAVES CORREDIZAS Y FIJAS SUPERIORES H=1.4M EN SISTEMA COLOSAL 2.6 ESTRUCTURA SUPERIOR PERFIL 3*11/2 CELOSIA EN ALUMINIO REF ALN315.VIDRIO INCOLORO </v>
          </cell>
          <cell r="C122" t="str">
            <v>m²</v>
          </cell>
          <cell r="E122" t="e">
            <v>#N/A</v>
          </cell>
          <cell r="F122" t="e">
            <v>#N/A</v>
          </cell>
        </row>
        <row r="123">
          <cell r="A123">
            <v>11.02</v>
          </cell>
          <cell r="B123" t="str">
            <v>VIDRIO TEMPLADO 10MM CON PERFILERIA VERTICAL 3X11/2 CADA 1.5M SOCALO ALUMINIO PARTE INFERIOR PERFIL SUPERIOR DE ANCLAJE.</v>
          </cell>
          <cell r="C123" t="str">
            <v>m²</v>
          </cell>
          <cell r="E123" t="e">
            <v>#N/A</v>
          </cell>
          <cell r="F123" t="e">
            <v>#N/A</v>
          </cell>
        </row>
        <row r="124">
          <cell r="A124">
            <v>11.03</v>
          </cell>
          <cell r="B124" t="str">
            <v>VENTANERIA FACHADA FLOTANTE SERIE 45 PESADA DE ALUMINA PRESENCIA DE PERFILERIA EXTERNA CON TAPAS A LA VISTA. DISTANCIA ENTRE APOYOS VERTICALES 1.5MVIDRIO  COOL LITE ST  150 MAS VIDRIO LAMINADO 4MM + 4MM INCOLORO</v>
          </cell>
          <cell r="C124" t="str">
            <v>m²</v>
          </cell>
          <cell r="E124" t="e">
            <v>#N/A</v>
          </cell>
          <cell r="F124" t="e">
            <v>#N/A</v>
          </cell>
        </row>
        <row r="125">
          <cell r="A125">
            <v>11.04</v>
          </cell>
          <cell r="B125" t="str">
            <v>VENTANAS FIJAS SITEMA VP3831 CON PERCIANA FIJA EN ALUMINIO MODULO SUPEIOR H=60CM VIDRIO FIJO INFERIOR 6MM TEMPLADO OPALIZADO CON SAND BLASTING</v>
          </cell>
          <cell r="C125" t="str">
            <v>m²</v>
          </cell>
          <cell r="E125" t="e">
            <v>#N/A</v>
          </cell>
          <cell r="F125" t="e">
            <v>#N/A</v>
          </cell>
        </row>
        <row r="126">
          <cell r="A126">
            <v>11.05</v>
          </cell>
          <cell r="B126" t="str">
            <v>PUERTAS EN VIDRIO TEMPLADO LABORATORIO EN VIDRIO TEMPLADO 10MM INCOLORO SOCALO EN ALUMINIO INFERIOR PERFIL DE ANCLAJE SUPERIOR, ESTRUCTURA EN PERFIL 3X11/2 CON PERSIANA FIJA REFERENCIA ALN315 DE 60CM MODULO SUPERIOR</v>
          </cell>
          <cell r="C126" t="str">
            <v>Und</v>
          </cell>
          <cell r="E126" t="e">
            <v>#N/A</v>
          </cell>
          <cell r="F126" t="e">
            <v>#N/A</v>
          </cell>
        </row>
        <row r="127">
          <cell r="A127">
            <v>11.06</v>
          </cell>
          <cell r="B127" t="str">
            <v>VENTANERIA FACHADA FLOTANTE SERIE 45 PESADA DE ALUMINA TIPO PIEL DE VIDRIO CON CINTA ESTRUCTURAL. DISTANCIA ENTRE APOYOS VERTICALES 1.5M VIDRIO LAMINADO 4MM INCOLORO + 4MM INCOLORO ESCALERAS</v>
          </cell>
          <cell r="C127" t="str">
            <v>m²</v>
          </cell>
          <cell r="E127" t="e">
            <v>#N/A</v>
          </cell>
          <cell r="F127" t="e">
            <v>#N/A</v>
          </cell>
        </row>
        <row r="128">
          <cell r="A128">
            <v>11.07</v>
          </cell>
          <cell r="B128" t="str">
            <v>PANELES EN VIDRIO TEMPLADO 10MM INCOLORO SOCALO EN ALUMINIO INFERIOR PERFIL DE ANCLAJE SUPERIOR, ESTRUCTURA EN PERFIL VERTICAL 3X11/2 CADA 1.5 M CON PERSIANA FIJA REFERENCIA ALN315 DE 60CM MODULO SUPERIOR</v>
          </cell>
          <cell r="C128" t="str">
            <v>m²</v>
          </cell>
          <cell r="E128" t="e">
            <v>#N/A</v>
          </cell>
          <cell r="F128" t="e">
            <v>#N/A</v>
          </cell>
        </row>
        <row r="129">
          <cell r="A129">
            <v>11.08</v>
          </cell>
          <cell r="B129" t="str">
            <v>VENTANAS PIVOTANTES PARA AULAS INTERIORES DE 0.40M ANCHO X 3M DE ALTO PERFIL TIPO PB2.4 PESADO CON VIDRIO LAMINADO 4MM + 4MM CON PELICULA DE COLORES VARIADO + MANIJA DE GIRO.</v>
          </cell>
          <cell r="C129" t="str">
            <v>Und</v>
          </cell>
          <cell r="E129" t="e">
            <v>#N/A</v>
          </cell>
          <cell r="F129" t="e">
            <v>#N/A</v>
          </cell>
        </row>
        <row r="130">
          <cell r="A130">
            <v>11.09</v>
          </cell>
          <cell r="B130" t="str">
            <v>DIVISION EN VIDRIO TEMPLADO 10MM SOCALO Y ANCLAJE SUPERIOR EN AULAS DE MAESRIAS FRANJA OPALIZADA DE 1.2M CON PELICULA TIPO SAND BLASTING DE TIPO REF. LLUMAC O SIMILAR EN ESPECIFICACIONES.</v>
          </cell>
          <cell r="C130" t="str">
            <v>m²</v>
          </cell>
          <cell r="E130" t="e">
            <v>#N/A</v>
          </cell>
          <cell r="F130" t="e">
            <v>#N/A</v>
          </cell>
        </row>
        <row r="131">
          <cell r="A131">
            <v>11.1</v>
          </cell>
          <cell r="B131" t="str">
            <v>CORTASOL EN STRIPSCREEN HUNTER DOUGLAS DE 0.40M DE ANCHO CON DISTRIBUCION  VERTICAL CADA 0.75 M</v>
          </cell>
          <cell r="C131" t="str">
            <v>m²</v>
          </cell>
          <cell r="E131" t="e">
            <v>#N/A</v>
          </cell>
          <cell r="F131" t="e">
            <v>#N/A</v>
          </cell>
        </row>
        <row r="132">
          <cell r="A132">
            <v>11.11</v>
          </cell>
          <cell r="B132" t="str">
            <v>REVESTIMIENTO MINIWAVE DE HUNTER DOUGLAS PERFORADO 103 COLOR  EN ALUZINC. INCLUYE ESTRUCTURA METALICA DE FIJACION.</v>
          </cell>
          <cell r="C132" t="str">
            <v>m²</v>
          </cell>
          <cell r="E132" t="e">
            <v>#N/A</v>
          </cell>
          <cell r="F132" t="e">
            <v>#N/A</v>
          </cell>
        </row>
        <row r="133">
          <cell r="B133" t="str">
            <v xml:space="preserve">TOTAL CARPINTERÍA  ALUMINIO </v>
          </cell>
          <cell r="F133" t="e">
            <v>#N/A</v>
          </cell>
        </row>
        <row r="135">
          <cell r="A135">
            <v>12</v>
          </cell>
          <cell r="B135" t="str">
            <v>CARPINTERÍA METÁLICA</v>
          </cell>
        </row>
        <row r="136">
          <cell r="A136">
            <v>12.01</v>
          </cell>
          <cell r="B136" t="str">
            <v>PUERTA METALICA ACCESO BAÑOS REFERENCIA P-06 E-COVER ZRA PUERTA ABATIBLE LISA PANEL REJILLA DE RETORNO AA 1 HOJA DE 1 X 3.0M.</v>
          </cell>
          <cell r="C136" t="str">
            <v>Und</v>
          </cell>
          <cell r="E136" t="e">
            <v>#N/A</v>
          </cell>
          <cell r="F136" t="e">
            <v>#N/A</v>
          </cell>
        </row>
        <row r="137">
          <cell r="A137">
            <v>12.02</v>
          </cell>
          <cell r="B137" t="str">
            <v>PUERTA METALICA SALON REFERENCIA P-01 E-COVER ZL 1X3.0 M</v>
          </cell>
          <cell r="C137" t="str">
            <v>Und</v>
          </cell>
          <cell r="E137" t="e">
            <v>#N/A</v>
          </cell>
          <cell r="F137" t="e">
            <v>#N/A</v>
          </cell>
        </row>
        <row r="138">
          <cell r="A138">
            <v>12.03</v>
          </cell>
          <cell r="B138" t="str">
            <v>PUERTA METALICA CUARTO TECNICO PB-01 E-COVER ZMP3  1X3.0 M</v>
          </cell>
          <cell r="C138" t="str">
            <v>Und</v>
          </cell>
          <cell r="E138" t="e">
            <v>#N/A</v>
          </cell>
          <cell r="F138" t="e">
            <v>#N/A</v>
          </cell>
        </row>
        <row r="139">
          <cell r="A139">
            <v>12.04</v>
          </cell>
          <cell r="B139" t="str">
            <v>PUERTA METALICA AUDITORIO P-02A ZZL MV  CON MIRILLA DE DOS HOJAS E_COVER DE 1.5X3.1</v>
          </cell>
          <cell r="C139" t="str">
            <v>Und</v>
          </cell>
          <cell r="E139" t="e">
            <v>#N/A</v>
          </cell>
          <cell r="F139" t="e">
            <v>#N/A</v>
          </cell>
        </row>
        <row r="140">
          <cell r="A140">
            <v>12.05</v>
          </cell>
          <cell r="B140" t="str">
            <v>PUERTA METALICA SALON AUDITORIO P-02A ZZL MV  CON MIRILLA DE DOS HOJAS E_COVER DE 2.0X3.0</v>
          </cell>
          <cell r="C140" t="str">
            <v>Und</v>
          </cell>
          <cell r="E140" t="e">
            <v>#N/A</v>
          </cell>
          <cell r="F140" t="e">
            <v>#N/A</v>
          </cell>
        </row>
        <row r="141">
          <cell r="A141">
            <v>12.06</v>
          </cell>
          <cell r="B141" t="str">
            <v>BARANDAS METALICAS ESCALERAS, RAMPAS Y CORREDORES METALICAS EN PERFIL 3X1-1/2PUL CAL 14 CADA 12CM Y APOYADOS SOBRE PLATINAS DE 2" CAL 10 CADA 1.5M ACABADO CON  PINTURA ALQUIDICA A DOS MANOS BLANCO MATE SOBRE ANTICORROSIVO.</v>
          </cell>
          <cell r="C141" t="str">
            <v>ml</v>
          </cell>
          <cell r="E141" t="e">
            <v>#N/A</v>
          </cell>
          <cell r="F141" t="e">
            <v>#N/A</v>
          </cell>
        </row>
        <row r="142">
          <cell r="A142">
            <v>12.07</v>
          </cell>
          <cell r="B142" t="str">
            <v>PUERTA METALICA ESCALERA CORTA FUEGO E-COVER ZRF SPLIT120 NSR10 CERTIFICADA DE 1,X 2,4</v>
          </cell>
          <cell r="C142" t="str">
            <v>Und</v>
          </cell>
          <cell r="E142" t="e">
            <v>#N/A</v>
          </cell>
          <cell r="F142" t="e">
            <v>#N/A</v>
          </cell>
        </row>
        <row r="143">
          <cell r="A143">
            <v>12.08</v>
          </cell>
          <cell r="B143" t="str">
            <v>CABINA SANITARIA SISTEMA CANTILIVER  EN LÁMINA ACERO INOXIDABLE CAL 18 TIPO GRIJALBA O SIMILAR</v>
          </cell>
          <cell r="C143" t="str">
            <v>Und</v>
          </cell>
          <cell r="E143" t="e">
            <v>#N/A</v>
          </cell>
          <cell r="F143" t="e">
            <v>#N/A</v>
          </cell>
        </row>
        <row r="144">
          <cell r="B144" t="str">
            <v>TOTAL CARPINTERÍA METÁLICA</v>
          </cell>
          <cell r="F144" t="e">
            <v>#N/A</v>
          </cell>
        </row>
        <row r="146">
          <cell r="A146">
            <v>13</v>
          </cell>
          <cell r="B146" t="str">
            <v>APARATOS SANITARIOS / INCRUSTACIONES</v>
          </cell>
        </row>
        <row r="147">
          <cell r="A147">
            <v>13.01</v>
          </cell>
          <cell r="B147" t="str">
            <v>TAZA SANITARIO BÁLTICO ENTRADA SUPERIOR ANTIBACTERIAL COLOR BLANCO TIPO CORONA O SIMILAR (CONJUNTO SANITARIO QUE INCLUYE SANITARIO, GRIFERÍA, ACCESORIOS DE CONEXIÓN E INSTALACIÓN).</v>
          </cell>
          <cell r="C147" t="str">
            <v>Und</v>
          </cell>
          <cell r="E147" t="e">
            <v>#N/A</v>
          </cell>
          <cell r="F147" t="e">
            <v>#N/A</v>
          </cell>
        </row>
        <row r="148">
          <cell r="A148">
            <v>13.02</v>
          </cell>
          <cell r="B148" t="str">
            <v>SANITARIO PARA DISCAPACITADOS TIPO CORONA O SIMILAR (CONJUNTO SANITARIO QUE INCLUYE SANITARIO, TAPA, TANQUE, GRIFERÍA ACCESORIOS DE CONEXIÓN E INSTALACIÓN).</v>
          </cell>
          <cell r="C148" t="str">
            <v>Und</v>
          </cell>
          <cell r="E148" t="e">
            <v>#N/A</v>
          </cell>
          <cell r="F148" t="e">
            <v>#N/A</v>
          </cell>
        </row>
        <row r="149">
          <cell r="A149">
            <v>13.03</v>
          </cell>
          <cell r="B149" t="str">
            <v>LAVAMANOS DE SUBMONTAR COLOR BLANCO TIPO CORONA O SIMILAR (INCLUYE CONJUNTO GRIFERÍA, DESAGÜE AUTOMÁTICO, SIFÓN BOTELLA, GRABAS 2 UN, ACOPLE)</v>
          </cell>
          <cell r="C149" t="str">
            <v>Und</v>
          </cell>
          <cell r="E149" t="e">
            <v>#N/A</v>
          </cell>
          <cell r="F149" t="e">
            <v>#N/A</v>
          </cell>
        </row>
        <row r="150">
          <cell r="A150">
            <v>13.04</v>
          </cell>
          <cell r="B150" t="str">
            <v>LAVAMANOS PARA DISCAPACIDAD A COLOR BLANCO TIPO ACUAJET CORONA (INCLUYE CONJUNTO GRIFERÍA, DESAGÜE AUTOMÁTICO, SIFÓN BOTELLA, GRABAS 2 UN, ACOPLE)</v>
          </cell>
          <cell r="C150" t="str">
            <v>Und</v>
          </cell>
          <cell r="E150" t="e">
            <v>#N/A</v>
          </cell>
          <cell r="F150" t="e">
            <v>#N/A</v>
          </cell>
        </row>
        <row r="151">
          <cell r="A151">
            <v>13.05</v>
          </cell>
          <cell r="B151" t="str">
            <v>ORINAL ARRECIFE ENTRADA SUPERIOR ANTIBACTERIAL, EN PORCELANA COLOR BLANCO O CORONA O SIMILAR CON VÁLVULA ANTI VANDÁLICA Y SIFÓN PARA ORINAL</v>
          </cell>
          <cell r="C151" t="str">
            <v>Und</v>
          </cell>
          <cell r="E151" t="e">
            <v>#N/A</v>
          </cell>
          <cell r="F151" t="e">
            <v>#N/A</v>
          </cell>
        </row>
        <row r="152">
          <cell r="A152">
            <v>13.06</v>
          </cell>
          <cell r="B152" t="str">
            <v>GRIFERÍA DE LAVAMANOS TIPO MESA TUBULAR TOUCH CROMO TIPO CORONA</v>
          </cell>
          <cell r="C152" t="str">
            <v>Und</v>
          </cell>
          <cell r="E152" t="e">
            <v>#N/A</v>
          </cell>
          <cell r="F152" t="e">
            <v>#N/A</v>
          </cell>
        </row>
        <row r="153">
          <cell r="A153">
            <v>13.07</v>
          </cell>
          <cell r="B153" t="str">
            <v>FLUXÓMETRO SANITARIO FLUJO AJUSTABLE CROMO TIPO CORONA</v>
          </cell>
          <cell r="C153" t="str">
            <v>Und</v>
          </cell>
          <cell r="E153" t="e">
            <v>#N/A</v>
          </cell>
          <cell r="F153" t="e">
            <v>#N/A</v>
          </cell>
        </row>
        <row r="154">
          <cell r="A154">
            <v>13.08</v>
          </cell>
          <cell r="B154" t="str">
            <v>FLUXÓMETRO ORINAL FLUJO AJUSTABLE CROMO TIPO CORONA</v>
          </cell>
          <cell r="C154" t="str">
            <v>Und</v>
          </cell>
          <cell r="E154" t="e">
            <v>#N/A</v>
          </cell>
          <cell r="F154" t="e">
            <v>#N/A</v>
          </cell>
        </row>
        <row r="155">
          <cell r="A155">
            <v>13.09</v>
          </cell>
          <cell r="B155" t="str">
            <v>PAPELERAS EN ACERO INOXIDABLE CON TORNILLOS ESCONDIDOS MARCAA&amp;A O SIMILAR.</v>
          </cell>
          <cell r="C155" t="str">
            <v>Und</v>
          </cell>
          <cell r="E155" t="e">
            <v>#N/A</v>
          </cell>
          <cell r="F155" t="e">
            <v>#N/A</v>
          </cell>
        </row>
        <row r="156">
          <cell r="A156">
            <v>13.1</v>
          </cell>
          <cell r="B156" t="str">
            <v>DISPENSADOR DE PAPEL PARA INSTALAR A LA PARED CON TORNILLOS ESCONDIDOS, CUERPO EN ACERO INOXIDABLE SATINADO, MARCA A&amp;A O SIMILAR</v>
          </cell>
          <cell r="C156" t="str">
            <v>Und</v>
          </cell>
          <cell r="E156" t="e">
            <v>#N/A</v>
          </cell>
          <cell r="F156" t="e">
            <v>#N/A</v>
          </cell>
        </row>
        <row r="157">
          <cell r="A157">
            <v>13.11</v>
          </cell>
          <cell r="B157" t="str">
            <v>DISPENSADOR PARA JABÓN LIQUIDO PARA INSTALAR A LA PARED CON TORNILLOS ESCONDIDOS, CUERPO EN ACERO INOXIDABLE SATINADO, CAPACIDAD 1.2 LITROS, VENTANILLA DE RECARGA SUPERIOR CON LLAVE, NIVEL DE JABÓN, PUSH FRONTAL, MARCA A&amp;A O SIMILAR</v>
          </cell>
          <cell r="C157" t="str">
            <v>Und</v>
          </cell>
          <cell r="E157" t="e">
            <v>#N/A</v>
          </cell>
          <cell r="F157" t="e">
            <v>#N/A</v>
          </cell>
        </row>
        <row r="158">
          <cell r="A158">
            <v>13.12</v>
          </cell>
          <cell r="B158" t="str">
            <v>JUEGO DE BARRAS PARA  BAÑOS DE DISCAPACITADOS TIPO SOCODA CONFORMADO POR BARRA ABATIBLE (BARRA ABATIBLE) BARRA ESQUINA (CÓDIGO: 230090) Y BARRA RECTA (231809) INCLUYE REFORZAMIENTO DE MUROS PARA ANCLAJE</v>
          </cell>
          <cell r="C158" t="str">
            <v>Und</v>
          </cell>
          <cell r="E158" t="e">
            <v>#N/A</v>
          </cell>
          <cell r="F158" t="e">
            <v>#N/A</v>
          </cell>
        </row>
        <row r="159">
          <cell r="B159" t="str">
            <v>TOTAL APARATOS SANITARIOS / INCRUSTACIONES</v>
          </cell>
          <cell r="F159" t="e">
            <v>#N/A</v>
          </cell>
        </row>
        <row r="161">
          <cell r="A161">
            <v>14</v>
          </cell>
          <cell r="B161" t="str">
            <v xml:space="preserve"> VIDRIOS Y ESPEJOS</v>
          </cell>
        </row>
        <row r="162">
          <cell r="A162">
            <v>14.01</v>
          </cell>
          <cell r="B162" t="str">
            <v>ESPEJO 4 MM. BISELADO Y PULIDO CUATRO LADOS. (SUMINISTRO E INSTALACIÓN INCLUYENDO LOS ELEMENTOS DE FIJACIÓN AL MURO)</v>
          </cell>
          <cell r="C162" t="str">
            <v>m²</v>
          </cell>
          <cell r="E162" t="e">
            <v>#N/A</v>
          </cell>
          <cell r="F162" t="e">
            <v>#N/A</v>
          </cell>
        </row>
        <row r="163">
          <cell r="B163" t="str">
            <v>TOTAL VIDRIOS Y ESPEJOS</v>
          </cell>
          <cell r="F163" t="e">
            <v>#N/A</v>
          </cell>
        </row>
        <row r="164">
          <cell r="A164">
            <v>15</v>
          </cell>
          <cell r="B164" t="str">
            <v xml:space="preserve">DEMARCACIÓN Y SEÑALIZACIÓN </v>
          </cell>
        </row>
        <row r="165">
          <cell r="A165">
            <v>15.01</v>
          </cell>
          <cell r="B165" t="str">
            <v>ESMALTE LINEAS PARQUEADERO</v>
          </cell>
          <cell r="E165" t="e">
            <v>#N/A</v>
          </cell>
          <cell r="F165" t="e">
            <v>#N/A</v>
          </cell>
        </row>
        <row r="166">
          <cell r="A166">
            <v>15.02</v>
          </cell>
          <cell r="B166" t="str">
            <v>PINTURA COLUMNAS PARQUEADERO</v>
          </cell>
          <cell r="E166" t="e">
            <v>#N/A</v>
          </cell>
          <cell r="F166" t="e">
            <v>#N/A</v>
          </cell>
        </row>
        <row r="167">
          <cell r="A167">
            <v>15.03</v>
          </cell>
          <cell r="B167" t="str">
            <v>PINTURA NÚMEROS PARQUEADEROS</v>
          </cell>
          <cell r="E167" t="e">
            <v>#N/A</v>
          </cell>
          <cell r="F167" t="e">
            <v>#N/A</v>
          </cell>
        </row>
        <row r="168">
          <cell r="A168">
            <v>15.04</v>
          </cell>
          <cell r="B168" t="str">
            <v>PINTURA TOPELLANTAS</v>
          </cell>
          <cell r="E168" t="e">
            <v>#N/A</v>
          </cell>
          <cell r="F168" t="e">
            <v>#N/A</v>
          </cell>
        </row>
        <row r="169">
          <cell r="A169">
            <v>15.05</v>
          </cell>
          <cell r="B169" t="str">
            <v xml:space="preserve">DEMARCACIÓN POR PISO </v>
          </cell>
          <cell r="E169" t="e">
            <v>#N/A</v>
          </cell>
          <cell r="F169" t="e">
            <v>#N/A</v>
          </cell>
        </row>
        <row r="170">
          <cell r="A170">
            <v>15.06</v>
          </cell>
          <cell r="B170" t="str">
            <v>SEÑALIZACIÓN RUTA DE EVACUACIÓN</v>
          </cell>
          <cell r="E170" t="e">
            <v>#N/A</v>
          </cell>
          <cell r="F170" t="e">
            <v>#N/A</v>
          </cell>
        </row>
        <row r="171">
          <cell r="A171">
            <v>15.07</v>
          </cell>
          <cell r="B171" t="str">
            <v xml:space="preserve">DEMARCACIÓN DE ESPACIOS </v>
          </cell>
          <cell r="E171" t="e">
            <v>#N/A</v>
          </cell>
          <cell r="F171" t="e">
            <v>#N/A</v>
          </cell>
        </row>
        <row r="172">
          <cell r="B172" t="str">
            <v xml:space="preserve">TOTAL DEMARACIONES Y SEÑALIZACIONES </v>
          </cell>
          <cell r="F172" t="e">
            <v>#N/A</v>
          </cell>
        </row>
        <row r="173">
          <cell r="A173">
            <v>16</v>
          </cell>
          <cell r="B173" t="str">
            <v xml:space="preserve">ASEO INTERIOR Y EXTERIOR </v>
          </cell>
        </row>
        <row r="174">
          <cell r="A174">
            <v>16.010000000000002</v>
          </cell>
          <cell r="B174" t="str">
            <v>ASEO INTERNO DE PISOS Y ESPACIOS</v>
          </cell>
          <cell r="E174" t="e">
            <v>#N/A</v>
          </cell>
          <cell r="F174" t="e">
            <v>#N/A</v>
          </cell>
        </row>
        <row r="175">
          <cell r="A175">
            <v>16.02</v>
          </cell>
          <cell r="B175" t="str">
            <v xml:space="preserve">ASEO EXTERIOR DE FACHADAS </v>
          </cell>
          <cell r="E175" t="e">
            <v>#N/A</v>
          </cell>
          <cell r="F175" t="e">
            <v>#N/A</v>
          </cell>
        </row>
        <row r="176">
          <cell r="A176">
            <v>16.03</v>
          </cell>
          <cell r="B176" t="str">
            <v xml:space="preserve">ASEO DE ZONAS COMUNES </v>
          </cell>
          <cell r="E176" t="e">
            <v>#N/A</v>
          </cell>
          <cell r="F176" t="e">
            <v>#N/A</v>
          </cell>
        </row>
        <row r="177">
          <cell r="A177">
            <v>16.04</v>
          </cell>
          <cell r="B177" t="str">
            <v xml:space="preserve">ASEO DE ZONAS VERDES, ANDENES Y VÍAS </v>
          </cell>
          <cell r="E177" t="e">
            <v>#N/A</v>
          </cell>
          <cell r="F177" t="e">
            <v>#N/A</v>
          </cell>
        </row>
        <row r="178">
          <cell r="B178" t="str">
            <v xml:space="preserve">TOTAL ASEOS </v>
          </cell>
          <cell r="F178" t="e">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T-1,52x1,83"/>
      <sheetName val="RECT-1,52x1,83 CAP"/>
      <sheetName val="RECT-1,52x1,52"/>
      <sheetName val="RECT-1,52x1,52 CAP"/>
      <sheetName val="RECT-1,22x1,83"/>
      <sheetName val="RECT-1,22x1,83 CAP"/>
      <sheetName val="RECT-1,37x1,37"/>
      <sheetName val="RECT-1,50x1,05"/>
      <sheetName val="RECT-1,07-1,07"/>
      <sheetName val="RECT-1,07-1,07 CAP"/>
      <sheetName val="RECT-1,20x0,90"/>
      <sheetName val="RECT-1,20x0,60"/>
      <sheetName val="RECT-1,07x0,91"/>
      <sheetName val="RECT-1,05 x 0,75"/>
      <sheetName val="RECT-1,05x0,60"/>
      <sheetName val="RECT-0,75x0,90"/>
      <sheetName val="RECT-0,75x0,75"/>
      <sheetName val="RECT-0,60x0,60"/>
      <sheetName val="RECT-0,50x0,50"/>
      <sheetName val="RECT-0,45x0,45"/>
      <sheetName val="RECT-0,35x0,35"/>
      <sheetName val="RADIAL-3,15x3,15"/>
      <sheetName val="REJILLA METALICA"/>
      <sheetName val="PRECIOS"/>
      <sheetName val="SUMINISTRO COMPUERTA METALICA"/>
    </sheetNames>
    <sheetDataSet>
      <sheetData sheetId="0">
        <row r="41">
          <cell r="H41">
            <v>2948000</v>
          </cell>
        </row>
      </sheetData>
      <sheetData sheetId="1">
        <row r="41">
          <cell r="H41">
            <v>47353958.929185376</v>
          </cell>
        </row>
      </sheetData>
      <sheetData sheetId="2">
        <row r="41">
          <cell r="H41">
            <v>2860000</v>
          </cell>
        </row>
      </sheetData>
      <sheetData sheetId="3">
        <row r="41">
          <cell r="H41">
            <v>38373931.692422748</v>
          </cell>
        </row>
      </sheetData>
      <sheetData sheetId="4">
        <row r="41">
          <cell r="H41">
            <v>2189000</v>
          </cell>
        </row>
      </sheetData>
      <sheetData sheetId="5">
        <row r="41">
          <cell r="H41">
            <v>38079715.600743458</v>
          </cell>
        </row>
      </sheetData>
      <sheetData sheetId="6">
        <row r="41">
          <cell r="H41">
            <v>2310000</v>
          </cell>
        </row>
      </sheetData>
      <sheetData sheetId="7">
        <row r="41">
          <cell r="H41">
            <v>1320000</v>
          </cell>
        </row>
      </sheetData>
      <sheetData sheetId="8">
        <row r="41">
          <cell r="H41">
            <v>1595000</v>
          </cell>
        </row>
      </sheetData>
      <sheetData sheetId="9">
        <row r="41">
          <cell r="H41">
            <v>19640145.646785591</v>
          </cell>
        </row>
      </sheetData>
      <sheetData sheetId="10">
        <row r="41">
          <cell r="H41">
            <v>1155000</v>
          </cell>
        </row>
      </sheetData>
      <sheetData sheetId="11">
        <row r="41">
          <cell r="H41">
            <v>1210000</v>
          </cell>
        </row>
      </sheetData>
      <sheetData sheetId="12">
        <row r="41">
          <cell r="H41">
            <v>1413500</v>
          </cell>
        </row>
      </sheetData>
      <sheetData sheetId="13">
        <row r="3">
          <cell r="B3" t="str">
            <v>ANALISIS DE PRECIOS UNITARIOS</v>
          </cell>
        </row>
        <row r="5">
          <cell r="B5" t="str">
            <v>PROYECTO DE ADECUACION DE TIERRAS TESALIA-PAICOL</v>
          </cell>
        </row>
        <row r="6">
          <cell r="B6" t="str">
            <v>ITEM:</v>
          </cell>
          <cell r="C6" t="str">
            <v>SUMINISTRO COMPUERTA METÁLICA DESLIZANTE RECTANGULAR DE 1,05 m X 0,75m</v>
          </cell>
        </row>
        <row r="7">
          <cell r="B7" t="str">
            <v>ARTICULO:</v>
          </cell>
          <cell r="C7" t="str">
            <v>S  11,1,10</v>
          </cell>
        </row>
        <row r="8">
          <cell r="B8" t="str">
            <v>UNIDAD:</v>
          </cell>
          <cell r="C8" t="str">
            <v>UN</v>
          </cell>
        </row>
        <row r="9">
          <cell r="G9" t="str">
            <v>FECHA:</v>
          </cell>
          <cell r="H9" t="str">
            <v>AGO 06</v>
          </cell>
        </row>
        <row r="10">
          <cell r="A10" t="str">
            <v>1.</v>
          </cell>
          <cell r="B10" t="str">
            <v>EQUIPO</v>
          </cell>
        </row>
        <row r="11">
          <cell r="B11" t="str">
            <v>CODIGO</v>
          </cell>
          <cell r="C11" t="str">
            <v>DESCRIPCION</v>
          </cell>
          <cell r="E11" t="str">
            <v>UNID</v>
          </cell>
          <cell r="F11" t="str">
            <v>TARIFA</v>
          </cell>
          <cell r="G11" t="str">
            <v>RENDIMIENTO</v>
          </cell>
          <cell r="H11" t="str">
            <v>VR.TOTAL</v>
          </cell>
        </row>
        <row r="19">
          <cell r="G19" t="str">
            <v>SUBTOTAL:</v>
          </cell>
          <cell r="H19">
            <v>0</v>
          </cell>
        </row>
        <row r="20">
          <cell r="A20" t="str">
            <v>2.</v>
          </cell>
          <cell r="B20" t="str">
            <v>MATERIALES EN OBRA</v>
          </cell>
        </row>
        <row r="21">
          <cell r="B21" t="str">
            <v>CODIGO</v>
          </cell>
          <cell r="C21" t="str">
            <v>DESCRIPCION</v>
          </cell>
          <cell r="D21" t="str">
            <v>UNID</v>
          </cell>
          <cell r="E21" t="str">
            <v>P.UNIT</v>
          </cell>
          <cell r="F21" t="str">
            <v>CANT</v>
          </cell>
          <cell r="G21" t="str">
            <v>DESPERDICIO %</v>
          </cell>
          <cell r="H21" t="str">
            <v>VR.TOTAL</v>
          </cell>
        </row>
        <row r="22">
          <cell r="B22" t="str">
            <v>MAT436</v>
          </cell>
          <cell r="C22" t="str">
            <v>COMPUERTA METÁLICA DESLIZANTE 1,05 m x 0,75 m</v>
          </cell>
          <cell r="D22" t="str">
            <v>UNID</v>
          </cell>
          <cell r="E22">
            <v>1100000</v>
          </cell>
          <cell r="F22">
            <v>1</v>
          </cell>
          <cell r="H22">
            <v>1100000</v>
          </cell>
        </row>
        <row r="23">
          <cell r="C23" t="str">
            <v>ANCLAJE Y REPARACIONES ESTRUCTURA</v>
          </cell>
          <cell r="D23" t="str">
            <v>% MAT436</v>
          </cell>
          <cell r="E23">
            <v>55000</v>
          </cell>
          <cell r="F23">
            <v>0.05</v>
          </cell>
          <cell r="H23">
            <v>55000</v>
          </cell>
        </row>
        <row r="25">
          <cell r="G25" t="str">
            <v>SUBTOTAL:</v>
          </cell>
          <cell r="H25">
            <v>1155000</v>
          </cell>
        </row>
        <row r="26">
          <cell r="A26" t="str">
            <v>3.</v>
          </cell>
          <cell r="B26" t="str">
            <v>TRANSPORTE</v>
          </cell>
        </row>
        <row r="27">
          <cell r="B27" t="str">
            <v>CODIGO</v>
          </cell>
          <cell r="C27" t="str">
            <v>DESCRIPCION</v>
          </cell>
          <cell r="E27" t="str">
            <v>UNID</v>
          </cell>
          <cell r="F27" t="str">
            <v>TARIFA</v>
          </cell>
          <cell r="G27" t="str">
            <v>CANT.</v>
          </cell>
          <cell r="H27" t="str">
            <v>VR.TOTAL</v>
          </cell>
        </row>
        <row r="28">
          <cell r="C28" t="str">
            <v>TRANSPORTE AL SITIO</v>
          </cell>
          <cell r="E28">
            <v>1100000</v>
          </cell>
          <cell r="F28" t="str">
            <v>% MAT419</v>
          </cell>
          <cell r="G28">
            <v>0.05</v>
          </cell>
          <cell r="H28">
            <v>55000</v>
          </cell>
        </row>
        <row r="30">
          <cell r="G30" t="str">
            <v>SUBTOTAL:</v>
          </cell>
          <cell r="H30">
            <v>55000</v>
          </cell>
        </row>
        <row r="31">
          <cell r="A31" t="str">
            <v>4.</v>
          </cell>
          <cell r="B31" t="str">
            <v>MANO DE OBRA</v>
          </cell>
        </row>
        <row r="32">
          <cell r="B32" t="str">
            <v>CODIGO</v>
          </cell>
          <cell r="C32" t="str">
            <v>DESCRIPCION</v>
          </cell>
          <cell r="E32" t="str">
            <v>CANT.</v>
          </cell>
          <cell r="F32" t="str">
            <v>P.UNIT</v>
          </cell>
          <cell r="G32" t="str">
            <v>RENDIMIENTO</v>
          </cell>
          <cell r="H32" t="str">
            <v>VR.TOTAL</v>
          </cell>
        </row>
        <row r="40">
          <cell r="G40" t="str">
            <v>SUBTOTAL:</v>
          </cell>
          <cell r="H40">
            <v>0</v>
          </cell>
        </row>
        <row r="41">
          <cell r="E41" t="str">
            <v>TOTAL COSTO DIRECTO:</v>
          </cell>
          <cell r="H41">
            <v>1210000</v>
          </cell>
        </row>
        <row r="42">
          <cell r="A42" t="str">
            <v>5.</v>
          </cell>
          <cell r="B42" t="str">
            <v>COSTOS INDIRECTOS</v>
          </cell>
        </row>
        <row r="43">
          <cell r="B43" t="str">
            <v>CODIGO</v>
          </cell>
          <cell r="C43" t="str">
            <v>DESCRIPCION</v>
          </cell>
          <cell r="G43" t="str">
            <v>PORCENTAJE</v>
          </cell>
          <cell r="H43" t="str">
            <v>VR.TOTAL</v>
          </cell>
        </row>
        <row r="46">
          <cell r="E46" t="str">
            <v>TOTAL COSTO INDIRECTO:</v>
          </cell>
          <cell r="H46">
            <v>0</v>
          </cell>
        </row>
        <row r="48">
          <cell r="E48" t="str">
            <v>PRECIO UNITARIO TOTAL:</v>
          </cell>
          <cell r="H48">
            <v>1210000</v>
          </cell>
          <cell r="I48" t="str">
            <v>UN</v>
          </cell>
        </row>
      </sheetData>
      <sheetData sheetId="14">
        <row r="41">
          <cell r="H41">
            <v>1100000</v>
          </cell>
        </row>
      </sheetData>
      <sheetData sheetId="15">
        <row r="41">
          <cell r="H41">
            <v>990000</v>
          </cell>
        </row>
      </sheetData>
      <sheetData sheetId="16">
        <row r="41">
          <cell r="H41">
            <v>935000</v>
          </cell>
        </row>
      </sheetData>
      <sheetData sheetId="17">
        <row r="41">
          <cell r="H41">
            <v>880000</v>
          </cell>
        </row>
      </sheetData>
      <sheetData sheetId="18">
        <row r="41">
          <cell r="H41">
            <v>825000</v>
          </cell>
        </row>
      </sheetData>
      <sheetData sheetId="19">
        <row r="41">
          <cell r="H41">
            <v>605000</v>
          </cell>
        </row>
      </sheetData>
      <sheetData sheetId="20">
        <row r="41">
          <cell r="H41">
            <v>528000</v>
          </cell>
        </row>
      </sheetData>
      <sheetData sheetId="21">
        <row r="42">
          <cell r="H42">
            <v>58750000</v>
          </cell>
        </row>
      </sheetData>
      <sheetData sheetId="22">
        <row r="39">
          <cell r="H39">
            <v>802500</v>
          </cell>
        </row>
      </sheetData>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UADRO PLANO V1"/>
      <sheetName val="Cantidades-alcantarillas"/>
      <sheetName val="Esquemas-Cantidades"/>
      <sheetName val="Alturas- Alcant"/>
      <sheetName val="Canales Descole"/>
      <sheetName val="ESCALONDAS-ENCOLE"/>
      <sheetName val="CUADRO RESUMEN ALCANT"/>
      <sheetName val="Cantidades-Canales"/>
      <sheetName val="CANT CUNETAS"/>
      <sheetName val="RESUMEN GENERAL"/>
      <sheetName val="Hoja1"/>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s_de_Asistencia"/>
      <sheetName val="Hoja1"/>
      <sheetName val="Hoja2"/>
      <sheetName val="RECT-1,05 x 0,75"/>
      <sheetName val="graficos registros de asistenci"/>
    </sheetNames>
    <sheetDataSet>
      <sheetData sheetId="0">
        <row r="1">
          <cell r="A1" t="str">
            <v>Fecha</v>
          </cell>
          <cell r="B1" t="str">
            <v>Centro de Utlidad</v>
          </cell>
          <cell r="C1" t="str">
            <v>Area</v>
          </cell>
          <cell r="D1" t="str">
            <v>Capacitación</v>
          </cell>
          <cell r="E1" t="str">
            <v>Horas</v>
          </cell>
        </row>
        <row r="2">
          <cell r="A2">
            <v>37594</v>
          </cell>
          <cell r="B2" t="str">
            <v>D1</v>
          </cell>
          <cell r="C2" t="str">
            <v>CAC</v>
          </cell>
          <cell r="D2" t="str">
            <v>Inducción</v>
          </cell>
          <cell r="E2">
            <v>6</v>
          </cell>
        </row>
        <row r="3">
          <cell r="A3">
            <v>37594</v>
          </cell>
          <cell r="B3" t="str">
            <v>D1</v>
          </cell>
          <cell r="C3" t="str">
            <v>CAC</v>
          </cell>
          <cell r="D3" t="str">
            <v>Manejo de Archivo y Correspondencia</v>
          </cell>
          <cell r="E3">
            <v>1</v>
          </cell>
        </row>
        <row r="4">
          <cell r="A4">
            <v>37595</v>
          </cell>
          <cell r="B4" t="str">
            <v>D1</v>
          </cell>
          <cell r="C4" t="str">
            <v>Gestión Humana</v>
          </cell>
          <cell r="D4" t="str">
            <v>Evaluación de Gestión</v>
          </cell>
          <cell r="E4">
            <v>20</v>
          </cell>
        </row>
        <row r="5">
          <cell r="A5">
            <v>37596</v>
          </cell>
          <cell r="B5" t="str">
            <v>D1</v>
          </cell>
          <cell r="C5" t="str">
            <v>Gestión Humana</v>
          </cell>
          <cell r="D5" t="str">
            <v>Evaluación de Gestión</v>
          </cell>
          <cell r="E5">
            <v>8</v>
          </cell>
        </row>
        <row r="6">
          <cell r="A6">
            <v>37602</v>
          </cell>
          <cell r="B6" t="str">
            <v>D1</v>
          </cell>
          <cell r="C6" t="str">
            <v>SAS CAC GH</v>
          </cell>
          <cell r="D6" t="str">
            <v>Inducción</v>
          </cell>
          <cell r="E6">
            <v>46</v>
          </cell>
        </row>
        <row r="7">
          <cell r="A7">
            <v>37623</v>
          </cell>
          <cell r="B7" t="str">
            <v>D1</v>
          </cell>
          <cell r="C7" t="str">
            <v>CAC</v>
          </cell>
          <cell r="D7" t="str">
            <v>Verificación del Nivel y la estación</v>
          </cell>
          <cell r="E7">
            <v>4</v>
          </cell>
        </row>
        <row r="8">
          <cell r="A8">
            <v>37625</v>
          </cell>
          <cell r="B8" t="str">
            <v>D1</v>
          </cell>
          <cell r="C8" t="str">
            <v>SAS GH CAC</v>
          </cell>
          <cell r="D8" t="str">
            <v>Inducción</v>
          </cell>
          <cell r="E8">
            <v>64</v>
          </cell>
        </row>
        <row r="9">
          <cell r="A9">
            <v>37628</v>
          </cell>
          <cell r="B9" t="str">
            <v>D1</v>
          </cell>
          <cell r="C9" t="str">
            <v>CAC</v>
          </cell>
          <cell r="D9" t="str">
            <v>Manejo del Hierro</v>
          </cell>
          <cell r="E9">
            <v>2</v>
          </cell>
        </row>
        <row r="10">
          <cell r="A10">
            <v>37630</v>
          </cell>
          <cell r="B10" t="str">
            <v>D1</v>
          </cell>
          <cell r="C10" t="str">
            <v>CAC</v>
          </cell>
          <cell r="D10" t="str">
            <v>Manejo Pilotes en tierra</v>
          </cell>
          <cell r="E10">
            <v>8</v>
          </cell>
        </row>
        <row r="11">
          <cell r="A11">
            <v>37631</v>
          </cell>
          <cell r="B11" t="str">
            <v>D1</v>
          </cell>
          <cell r="C11" t="str">
            <v>CAC</v>
          </cell>
          <cell r="D11" t="str">
            <v>Muestras de concreto</v>
          </cell>
          <cell r="E11">
            <v>1</v>
          </cell>
        </row>
        <row r="12">
          <cell r="A12">
            <v>37637</v>
          </cell>
          <cell r="B12" t="str">
            <v>D1</v>
          </cell>
          <cell r="C12" t="str">
            <v>CAC</v>
          </cell>
          <cell r="D12" t="str">
            <v>Construcción de pilotes en tierra</v>
          </cell>
          <cell r="E12">
            <v>2</v>
          </cell>
        </row>
        <row r="13">
          <cell r="A13">
            <v>37641</v>
          </cell>
          <cell r="B13" t="str">
            <v>D1</v>
          </cell>
          <cell r="C13" t="str">
            <v>CAC</v>
          </cell>
          <cell r="D13" t="str">
            <v>Manejo de concretos</v>
          </cell>
          <cell r="E13">
            <v>1</v>
          </cell>
        </row>
        <row r="14">
          <cell r="A14">
            <v>37642</v>
          </cell>
          <cell r="B14" t="str">
            <v>D1</v>
          </cell>
          <cell r="C14" t="str">
            <v>CAC</v>
          </cell>
          <cell r="D14" t="str">
            <v>Manejo de concreto</v>
          </cell>
          <cell r="E14">
            <v>3</v>
          </cell>
        </row>
        <row r="15">
          <cell r="A15">
            <v>37642</v>
          </cell>
          <cell r="B15" t="str">
            <v>D1</v>
          </cell>
          <cell r="C15" t="str">
            <v>CAC</v>
          </cell>
          <cell r="D15" t="str">
            <v>Elaboración de liberaciones</v>
          </cell>
          <cell r="E15">
            <v>3</v>
          </cell>
        </row>
        <row r="16">
          <cell r="A16">
            <v>37642</v>
          </cell>
          <cell r="B16" t="str">
            <v>D1</v>
          </cell>
          <cell r="C16" t="str">
            <v>CAC</v>
          </cell>
          <cell r="D16" t="str">
            <v>Calificación a proveedores</v>
          </cell>
          <cell r="E16">
            <v>2</v>
          </cell>
        </row>
        <row r="17">
          <cell r="A17">
            <v>37650</v>
          </cell>
          <cell r="B17" t="str">
            <v>D1</v>
          </cell>
          <cell r="C17" t="str">
            <v>CAC</v>
          </cell>
          <cell r="D17" t="str">
            <v>Registros de control</v>
          </cell>
          <cell r="E17">
            <v>1</v>
          </cell>
        </row>
        <row r="18">
          <cell r="A18">
            <v>37653</v>
          </cell>
          <cell r="B18" t="str">
            <v>D5</v>
          </cell>
          <cell r="C18" t="str">
            <v>CAC</v>
          </cell>
          <cell r="D18" t="str">
            <v>Manejo de Hierro</v>
          </cell>
          <cell r="E18">
            <v>1</v>
          </cell>
        </row>
        <row r="19">
          <cell r="A19">
            <v>37653</v>
          </cell>
          <cell r="B19" t="str">
            <v>D1</v>
          </cell>
          <cell r="C19" t="str">
            <v>CAC</v>
          </cell>
          <cell r="D19" t="str">
            <v>Equipos de IME</v>
          </cell>
          <cell r="E19">
            <v>5</v>
          </cell>
        </row>
        <row r="20">
          <cell r="A20">
            <v>37655</v>
          </cell>
          <cell r="B20" t="str">
            <v>D1</v>
          </cell>
          <cell r="C20" t="str">
            <v>CAC</v>
          </cell>
          <cell r="D20" t="str">
            <v>Manejo de correspondencia y otros</v>
          </cell>
          <cell r="E20">
            <v>1</v>
          </cell>
        </row>
        <row r="21">
          <cell r="A21">
            <v>37655</v>
          </cell>
          <cell r="B21" t="str">
            <v>D1</v>
          </cell>
          <cell r="C21" t="str">
            <v>SAS CAC GH</v>
          </cell>
          <cell r="D21" t="str">
            <v>Induccón</v>
          </cell>
          <cell r="E21">
            <v>1</v>
          </cell>
        </row>
        <row r="22">
          <cell r="A22">
            <v>37656</v>
          </cell>
          <cell r="B22" t="str">
            <v>D1</v>
          </cell>
          <cell r="C22" t="str">
            <v>SAS CAC GH</v>
          </cell>
          <cell r="D22" t="str">
            <v>Induccón</v>
          </cell>
          <cell r="E22">
            <v>63</v>
          </cell>
        </row>
        <row r="23">
          <cell r="A23">
            <v>37660</v>
          </cell>
          <cell r="B23" t="str">
            <v>D1</v>
          </cell>
          <cell r="C23" t="str">
            <v>CAC</v>
          </cell>
          <cell r="D23" t="str">
            <v>Manejo de liberaciones</v>
          </cell>
          <cell r="E23">
            <v>5</v>
          </cell>
        </row>
        <row r="24">
          <cell r="A24">
            <v>37660</v>
          </cell>
          <cell r="B24" t="str">
            <v>D1</v>
          </cell>
          <cell r="C24" t="str">
            <v>Producción</v>
          </cell>
          <cell r="D24" t="str">
            <v>Manejo de terraplenes</v>
          </cell>
          <cell r="E24">
            <v>2</v>
          </cell>
        </row>
        <row r="25">
          <cell r="A25">
            <v>37664</v>
          </cell>
          <cell r="B25" t="str">
            <v>D1</v>
          </cell>
          <cell r="C25" t="str">
            <v>CAC</v>
          </cell>
          <cell r="D25" t="str">
            <v>Procedimientos de sobre el hierro</v>
          </cell>
          <cell r="E25">
            <v>5</v>
          </cell>
        </row>
        <row r="26">
          <cell r="A26">
            <v>37664</v>
          </cell>
          <cell r="B26" t="str">
            <v>D5</v>
          </cell>
          <cell r="C26" t="str">
            <v>CAC</v>
          </cell>
          <cell r="D26" t="str">
            <v>Evaluación de Subc, Liberaciones y manejo de hierr</v>
          </cell>
          <cell r="E26">
            <v>8</v>
          </cell>
        </row>
        <row r="27">
          <cell r="A27">
            <v>37664</v>
          </cell>
          <cell r="B27" t="str">
            <v>D1</v>
          </cell>
          <cell r="C27" t="str">
            <v>Cac</v>
          </cell>
          <cell r="D27" t="str">
            <v>Evaluación de Subc, Liberaciones y manejo de hierr</v>
          </cell>
          <cell r="E27">
            <v>17</v>
          </cell>
        </row>
        <row r="28">
          <cell r="A28">
            <v>37666</v>
          </cell>
          <cell r="B28" t="str">
            <v>D1</v>
          </cell>
          <cell r="C28" t="str">
            <v>CAC</v>
          </cell>
          <cell r="D28" t="str">
            <v>Liberaciones, Terraplenes, Trazabilidad, Geotextil</v>
          </cell>
          <cell r="E28">
            <v>6</v>
          </cell>
        </row>
        <row r="29">
          <cell r="A29">
            <v>37666</v>
          </cell>
          <cell r="B29" t="str">
            <v>D1</v>
          </cell>
          <cell r="C29" t="str">
            <v>CAC</v>
          </cell>
          <cell r="D29" t="str">
            <v>Inducción Personal</v>
          </cell>
          <cell r="E29">
            <v>5</v>
          </cell>
        </row>
      </sheetData>
      <sheetData sheetId="1"/>
      <sheetData sheetId="2" refreshError="1"/>
      <sheetData sheetId="3" refreshError="1"/>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 2.1"/>
      <sheetName val="Tablas 3.1-3.9"/>
      <sheetName val="Tabla 4.1"/>
      <sheetName val="Tabla 4.2"/>
      <sheetName val="Tabla 5.2"/>
      <sheetName val="Tabla 6.7"/>
      <sheetName val="Tabla 1.1"/>
      <sheetName val="Tabla 2.1"/>
      <sheetName val="Tabla 5.1"/>
      <sheetName val="Tabla 6.1"/>
      <sheetName val="Tabla 6.2"/>
      <sheetName val="Tabla 6.3"/>
      <sheetName val="Tabla 6.4"/>
      <sheetName val="Tabla 6.5"/>
      <sheetName val="Tabla 6.6"/>
      <sheetName val="Gráfica 6.1"/>
      <sheetName val="Tabla 7.1"/>
      <sheetName val="Tabla 7.2"/>
      <sheetName val="Tabla 7.3"/>
      <sheetName val="Tabla 8.1"/>
      <sheetName val="Tabla 8.2"/>
      <sheetName val="Tabla 8.3"/>
      <sheetName val="Tabla 8.4"/>
      <sheetName val="Hoja1"/>
      <sheetName val="Gráfica_2_1"/>
      <sheetName val="Tablas_3_1-3_9"/>
      <sheetName val="Tabla_4_1"/>
      <sheetName val="Tabla_4_2"/>
      <sheetName val="Tabla_5_2"/>
      <sheetName val="Tabla_6_7"/>
      <sheetName val="Tabla_1_1"/>
      <sheetName val="Tabla_2_1"/>
      <sheetName val="Tabla_5_1"/>
      <sheetName val="Tabla_6_1"/>
      <sheetName val="Tabla_6_2"/>
      <sheetName val="Tabla_6_3"/>
      <sheetName val="Tabla_6_4"/>
      <sheetName val="Tabla_6_5"/>
      <sheetName val="Tabla_6_6"/>
      <sheetName val="Gráfica_6_1"/>
      <sheetName val="Tabla_7_1"/>
      <sheetName val="Tabla_7_2"/>
      <sheetName val="Tabla_7_3"/>
      <sheetName val="Tabla_8_1"/>
      <sheetName val="Tabla_8_2"/>
      <sheetName val="Tabla_8_3"/>
      <sheetName val="Tabla_8_4"/>
      <sheetName val="Informe de Obra Extra"/>
      <sheetName val="CANALETA9"/>
      <sheetName val="Solicitud de Servicios"/>
      <sheetName val="INSUMOS"/>
      <sheetName val="CF y CV"/>
      <sheetName val="REC-C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GENERAL "/>
      <sheetName val="cap 5-ELECTRICAS "/>
      <sheetName val="datosluminariasRoyAlPHa"/>
      <sheetName val="Registros_de_Asistencia"/>
      <sheetName val="Simulación Inf."/>
      <sheetName val="RECT-1,05 x 0,75"/>
    </sheetNames>
    <sheetDataSet>
      <sheetData sheetId="0"/>
      <sheetData sheetId="1"/>
      <sheetData sheetId="2"/>
      <sheetData sheetId="3">
        <row r="1">
          <cell r="A1" t="str">
            <v>Luminarias de 70W-220V con brazo Sodio</v>
          </cell>
        </row>
        <row r="2">
          <cell r="A2" t="str">
            <v>Luminarias de 150W-220V con brazo Sodio</v>
          </cell>
        </row>
        <row r="3">
          <cell r="A3" t="str">
            <v>Luminarias de 250W-220V con brazo Sodio</v>
          </cell>
        </row>
        <row r="4">
          <cell r="A4" t="str">
            <v>Luminarias de 400W-220V con brazo Sodio</v>
          </cell>
        </row>
        <row r="5">
          <cell r="A5" t="str">
            <v xml:space="preserve">Reflectores tipo RCG de 1000W-220V </v>
          </cell>
        </row>
        <row r="6">
          <cell r="A6" t="str">
            <v>Luminarias tipo RAP de 70W-220V</v>
          </cell>
        </row>
        <row r="7">
          <cell r="A7" t="str">
            <v>Bombillos de Sodio 70W-220V</v>
          </cell>
        </row>
        <row r="8">
          <cell r="A8" t="str">
            <v>Bombillos de Sodio 150W-220V</v>
          </cell>
        </row>
        <row r="9">
          <cell r="A9" t="str">
            <v>Bombillos de Sodio 250W-220V</v>
          </cell>
        </row>
        <row r="10">
          <cell r="A10" t="str">
            <v>Bombillos de Sodio 400W-220V</v>
          </cell>
        </row>
        <row r="11">
          <cell r="A11" t="str">
            <v>Bombillos de Sodio 1000W-220V</v>
          </cell>
        </row>
      </sheetData>
      <sheetData sheetId="4" refreshError="1"/>
      <sheetData sheetId="5" refreshError="1"/>
      <sheetData sheetId="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items"/>
      <sheetName val="necesidades de la via"/>
      <sheetName val="20-23"/>
      <sheetName val="OJO¡¡¡¡¡¡¡¡¡"/>
      <sheetName val="APU201,3"/>
      <sheetName val="PU600P.1"/>
      <sheetName val="PU630,5"/>
      <sheetName val="PU640,3"/>
      <sheetName val="PU610,1"/>
      <sheetName val="PU681,1"/>
      <sheetName val="PU201P,1"/>
    </sheetNames>
    <sheetDataSet>
      <sheetData sheetId="0" refreshError="1"/>
      <sheetData sheetId="1" refreshError="1">
        <row r="4">
          <cell r="C4">
            <v>200.1</v>
          </cell>
          <cell r="D4">
            <v>200</v>
          </cell>
          <cell r="F4" t="str">
            <v>Desmonte y limpieza en bosque</v>
          </cell>
          <cell r="G4" t="str">
            <v>Ha</v>
          </cell>
          <cell r="H4" t="str">
            <v>Ha</v>
          </cell>
          <cell r="J4" t="str">
            <v>No incluye excavación o descapote</v>
          </cell>
        </row>
        <row r="5">
          <cell r="C5">
            <v>200.2</v>
          </cell>
          <cell r="D5">
            <v>200</v>
          </cell>
          <cell r="F5" t="str">
            <v>Desmonte y limpieza en zonas no boscosas</v>
          </cell>
          <cell r="G5" t="str">
            <v>Ha</v>
          </cell>
          <cell r="H5" t="str">
            <v>Ha</v>
          </cell>
        </row>
        <row r="6">
          <cell r="C6">
            <v>201.1</v>
          </cell>
          <cell r="D6">
            <v>201</v>
          </cell>
          <cell r="F6" t="str">
            <v>Demolición de edificaciones</v>
          </cell>
          <cell r="G6" t="str">
            <v>Global</v>
          </cell>
          <cell r="H6" t="str">
            <v>Global</v>
          </cell>
        </row>
        <row r="7">
          <cell r="C7">
            <v>201.2</v>
          </cell>
          <cell r="D7">
            <v>201</v>
          </cell>
          <cell r="F7" t="str">
            <v>Demolición de estructuras</v>
          </cell>
          <cell r="G7" t="str">
            <v>Global</v>
          </cell>
          <cell r="H7" t="str">
            <v>Global</v>
          </cell>
        </row>
        <row r="8">
          <cell r="C8">
            <v>201.3</v>
          </cell>
          <cell r="D8">
            <v>201</v>
          </cell>
          <cell r="F8" t="str">
            <v>Demolición de pavimentos, pisos, andén y bordillos de concreto</v>
          </cell>
          <cell r="G8" t="str">
            <v>m3</v>
          </cell>
          <cell r="H8" t="e">
            <v>#REF!</v>
          </cell>
        </row>
        <row r="9">
          <cell r="C9">
            <v>201.4</v>
          </cell>
          <cell r="D9">
            <v>201</v>
          </cell>
          <cell r="F9" t="str">
            <v>Demolición de obstáculos</v>
          </cell>
          <cell r="G9" t="str">
            <v>Global</v>
          </cell>
          <cell r="H9" t="str">
            <v>Global</v>
          </cell>
        </row>
        <row r="10">
          <cell r="C10">
            <v>201.5</v>
          </cell>
          <cell r="D10">
            <v>201</v>
          </cell>
          <cell r="F10" t="str">
            <v>Demolición de edificaciones</v>
          </cell>
          <cell r="G10" t="str">
            <v>Un</v>
          </cell>
          <cell r="H10" t="str">
            <v>Un</v>
          </cell>
        </row>
        <row r="11">
          <cell r="C11">
            <v>201.6</v>
          </cell>
          <cell r="D11">
            <v>201</v>
          </cell>
          <cell r="F11" t="str">
            <v>Demolición de estructuras</v>
          </cell>
          <cell r="G11" t="str">
            <v>Un</v>
          </cell>
          <cell r="H11" t="str">
            <v>Un</v>
          </cell>
        </row>
        <row r="12">
          <cell r="C12">
            <v>201.7</v>
          </cell>
          <cell r="D12">
            <v>201</v>
          </cell>
          <cell r="F12" t="str">
            <v>Demolición de pavimentos, pisos, andén y bordillos de concreto</v>
          </cell>
          <cell r="G12" t="str">
            <v>m2</v>
          </cell>
          <cell r="H12" t="str">
            <v>m2</v>
          </cell>
        </row>
        <row r="13">
          <cell r="C13">
            <v>201.8</v>
          </cell>
          <cell r="D13">
            <v>201</v>
          </cell>
          <cell r="F13" t="str">
            <v>Desmontaje y traslado de estructuras metálicas</v>
          </cell>
          <cell r="G13" t="str">
            <v>Un</v>
          </cell>
          <cell r="H13" t="str">
            <v>Un</v>
          </cell>
        </row>
        <row r="14">
          <cell r="C14">
            <v>201.9</v>
          </cell>
          <cell r="D14">
            <v>201</v>
          </cell>
          <cell r="F14" t="str">
            <v>Remoción de especies vegetales</v>
          </cell>
          <cell r="G14" t="str">
            <v>Un</v>
          </cell>
          <cell r="H14" t="str">
            <v>Un</v>
          </cell>
        </row>
        <row r="15">
          <cell r="C15" t="str">
            <v>201.10</v>
          </cell>
          <cell r="D15">
            <v>201</v>
          </cell>
          <cell r="F15" t="str">
            <v>Remoción de obstáculos</v>
          </cell>
          <cell r="G15" t="str">
            <v>Un</v>
          </cell>
          <cell r="H15" t="str">
            <v>Un</v>
          </cell>
        </row>
        <row r="16">
          <cell r="C16">
            <v>201.11</v>
          </cell>
          <cell r="D16">
            <v>201</v>
          </cell>
          <cell r="F16" t="str">
            <v>Remoción de servicios existentes</v>
          </cell>
          <cell r="G16" t="str">
            <v>Un</v>
          </cell>
          <cell r="H16" t="str">
            <v>Un</v>
          </cell>
        </row>
        <row r="17">
          <cell r="C17">
            <v>201.12</v>
          </cell>
          <cell r="D17">
            <v>201</v>
          </cell>
          <cell r="F17" t="str">
            <v>Remoción de alcantarillas</v>
          </cell>
          <cell r="G17" t="str">
            <v>ml</v>
          </cell>
          <cell r="H17" t="str">
            <v>ml</v>
          </cell>
        </row>
        <row r="18">
          <cell r="C18">
            <v>201.13</v>
          </cell>
          <cell r="D18">
            <v>201</v>
          </cell>
          <cell r="F18" t="str">
            <v>Remoción de cercas de alambre</v>
          </cell>
          <cell r="G18" t="str">
            <v>ml</v>
          </cell>
          <cell r="H18" t="str">
            <v>ml</v>
          </cell>
        </row>
        <row r="19">
          <cell r="C19">
            <v>201.14</v>
          </cell>
          <cell r="D19">
            <v>201</v>
          </cell>
          <cell r="F19" t="str">
            <v>Remoción de servicios existentes</v>
          </cell>
          <cell r="G19" t="str">
            <v>ml</v>
          </cell>
          <cell r="H19" t="str">
            <v>ml</v>
          </cell>
        </row>
        <row r="20">
          <cell r="C20">
            <v>201.15</v>
          </cell>
          <cell r="D20">
            <v>201</v>
          </cell>
          <cell r="F20" t="str">
            <v>Remoción de obstáculos</v>
          </cell>
          <cell r="G20" t="str">
            <v>ml</v>
          </cell>
          <cell r="H20" t="str">
            <v>ml</v>
          </cell>
        </row>
        <row r="21">
          <cell r="C21">
            <v>201.16</v>
          </cell>
          <cell r="D21">
            <v>201</v>
          </cell>
          <cell r="E21" t="str">
            <v>201P</v>
          </cell>
          <cell r="F21" t="str">
            <v>Demolición de estructuras</v>
          </cell>
          <cell r="G21" t="str">
            <v>m3</v>
          </cell>
          <cell r="H21" t="str">
            <v>m3</v>
          </cell>
          <cell r="J21" t="str">
            <v>La unidad de pago es el m³</v>
          </cell>
        </row>
        <row r="22">
          <cell r="C22" t="str">
            <v>201P.1</v>
          </cell>
          <cell r="D22">
            <v>201</v>
          </cell>
          <cell r="E22" t="str">
            <v>201P.1</v>
          </cell>
          <cell r="F22" t="str">
            <v>Demolición total o parcial de estructuras de concreto</v>
          </cell>
          <cell r="G22" t="str">
            <v>m3</v>
          </cell>
          <cell r="H22" t="e">
            <v>#REF!</v>
          </cell>
        </row>
        <row r="23">
          <cell r="C23" t="str">
            <v>201P.3</v>
          </cell>
          <cell r="E23" t="str">
            <v>201P.3</v>
          </cell>
          <cell r="F23" t="str">
            <v>Revestimiento de gaviones incluye concreto, formaleta y limpieza</v>
          </cell>
          <cell r="G23" t="str">
            <v>m3</v>
          </cell>
          <cell r="H23" t="e">
            <v>#REF!</v>
          </cell>
        </row>
        <row r="24">
          <cell r="C24">
            <v>210.1</v>
          </cell>
          <cell r="D24">
            <v>210</v>
          </cell>
          <cell r="F24" t="str">
            <v>Excavación sin clasificar de la explanación, canales y préstamos</v>
          </cell>
          <cell r="G24" t="str">
            <v>m3</v>
          </cell>
          <cell r="H24">
            <v>4001</v>
          </cell>
          <cell r="J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cell r="H25" t="e">
            <v>#REF!</v>
          </cell>
        </row>
        <row r="26">
          <cell r="C26">
            <v>210.3</v>
          </cell>
          <cell r="D26">
            <v>210</v>
          </cell>
          <cell r="F26" t="str">
            <v>Excavación en material común  de la explanación, canales y préstamos</v>
          </cell>
          <cell r="G26" t="str">
            <v>m3</v>
          </cell>
          <cell r="H26" t="str">
            <v>m3</v>
          </cell>
        </row>
        <row r="27">
          <cell r="C27">
            <v>211</v>
          </cell>
          <cell r="D27">
            <v>211</v>
          </cell>
          <cell r="F27" t="str">
            <v>Remoción de derrumbes</v>
          </cell>
          <cell r="G27" t="str">
            <v>m3</v>
          </cell>
          <cell r="J27" t="str">
            <v>No incluye el transporte a distancias mayores a 100 ml</v>
          </cell>
        </row>
        <row r="28">
          <cell r="C28" t="str">
            <v>211P.1</v>
          </cell>
          <cell r="D28">
            <v>211</v>
          </cell>
          <cell r="E28" t="str">
            <v>211P.1</v>
          </cell>
          <cell r="F28" t="str">
            <v>Remoción de derrumbes</v>
          </cell>
          <cell r="G28" t="str">
            <v>m3</v>
          </cell>
          <cell r="H28" t="e">
            <v>#REF!</v>
          </cell>
        </row>
        <row r="29">
          <cell r="C29" t="str">
            <v>211P.2</v>
          </cell>
          <cell r="D29">
            <v>211</v>
          </cell>
          <cell r="E29" t="str">
            <v>211P.2</v>
          </cell>
          <cell r="F29" t="str">
            <v>Remoción de Material en Roca</v>
          </cell>
          <cell r="G29" t="str">
            <v>m3</v>
          </cell>
          <cell r="H29" t="e">
            <v>#REF!</v>
          </cell>
        </row>
        <row r="30">
          <cell r="C30">
            <v>220</v>
          </cell>
          <cell r="D30">
            <v>220</v>
          </cell>
          <cell r="F30" t="str">
            <v>Terraplenes</v>
          </cell>
          <cell r="G30" t="str">
            <v>m3</v>
          </cell>
          <cell r="H30" t="str">
            <v>m3</v>
          </cell>
          <cell r="J30" t="str">
            <v>No incluye el suministro de materiales y el transporte</v>
          </cell>
        </row>
        <row r="31">
          <cell r="C31">
            <v>220.1</v>
          </cell>
          <cell r="D31">
            <v>220</v>
          </cell>
          <cell r="E31" t="str">
            <v>220P</v>
          </cell>
          <cell r="F31" t="str">
            <v>Terraplenes</v>
          </cell>
          <cell r="G31" t="str">
            <v>m3</v>
          </cell>
          <cell r="H31" t="str">
            <v>m3</v>
          </cell>
          <cell r="J31" t="str">
            <v>Incluye el suministro y transporte de materiales</v>
          </cell>
        </row>
        <row r="32">
          <cell r="C32">
            <v>221.1</v>
          </cell>
          <cell r="D32">
            <v>221</v>
          </cell>
          <cell r="F32" t="str">
            <v>Pedraplén compacto</v>
          </cell>
          <cell r="G32" t="str">
            <v>m3</v>
          </cell>
          <cell r="H32" t="str">
            <v>m3</v>
          </cell>
          <cell r="J32" t="str">
            <v>No incluye la corona, el suministro de materiales y el transporte</v>
          </cell>
        </row>
        <row r="33">
          <cell r="C33">
            <v>221.2</v>
          </cell>
          <cell r="D33">
            <v>221</v>
          </cell>
          <cell r="F33" t="str">
            <v>Pedraplén suelto</v>
          </cell>
          <cell r="G33" t="str">
            <v>m3</v>
          </cell>
          <cell r="H33" t="str">
            <v>m3</v>
          </cell>
        </row>
        <row r="34">
          <cell r="C34">
            <v>230.1</v>
          </cell>
          <cell r="D34">
            <v>230</v>
          </cell>
          <cell r="F34" t="str">
            <v>Mejoramiento de la subrasante involucrando el suelo existente</v>
          </cell>
          <cell r="G34" t="str">
            <v>m2</v>
          </cell>
          <cell r="H34" t="str">
            <v>m2</v>
          </cell>
          <cell r="J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cell r="H35" t="str">
            <v>m3</v>
          </cell>
        </row>
        <row r="36">
          <cell r="C36">
            <v>310</v>
          </cell>
          <cell r="D36">
            <v>310</v>
          </cell>
          <cell r="F36" t="str">
            <v>Conformación de la calzada existente</v>
          </cell>
          <cell r="G36" t="str">
            <v>m2</v>
          </cell>
          <cell r="H36">
            <v>380</v>
          </cell>
          <cell r="J36" t="str">
            <v>No incluye suministro transporte y colocación de los materiales de afirmado y subbase.</v>
          </cell>
        </row>
        <row r="37">
          <cell r="C37">
            <v>311</v>
          </cell>
          <cell r="D37">
            <v>311</v>
          </cell>
          <cell r="F37" t="str">
            <v>Afirmado</v>
          </cell>
          <cell r="G37" t="str">
            <v>m3</v>
          </cell>
          <cell r="H37" t="str">
            <v>m3</v>
          </cell>
          <cell r="J37" t="str">
            <v>No incluye producto estabilizante</v>
          </cell>
        </row>
        <row r="38">
          <cell r="C38" t="str">
            <v>311P.5</v>
          </cell>
          <cell r="D38">
            <v>311</v>
          </cell>
          <cell r="E38" t="str">
            <v>311P.5</v>
          </cell>
          <cell r="F38" t="str">
            <v>Relleno con material de afirmado</v>
          </cell>
          <cell r="G38" t="str">
            <v>m3</v>
          </cell>
          <cell r="H38" t="e">
            <v>#REF!</v>
          </cell>
        </row>
        <row r="39">
          <cell r="C39">
            <v>312</v>
          </cell>
          <cell r="E39" t="str">
            <v>312P</v>
          </cell>
          <cell r="F39" t="str">
            <v>Relleno con material de afirmado para realce de cunetas</v>
          </cell>
          <cell r="G39" t="str">
            <v>m3</v>
          </cell>
          <cell r="H39">
            <v>28000</v>
          </cell>
        </row>
        <row r="40">
          <cell r="C40">
            <v>320.10000000000002</v>
          </cell>
          <cell r="D40">
            <v>320</v>
          </cell>
          <cell r="F40" t="str">
            <v>Subbase granular de C.B.R.&gt; 20%</v>
          </cell>
          <cell r="G40" t="str">
            <v>m3</v>
          </cell>
          <cell r="H40" t="str">
            <v>m3</v>
          </cell>
          <cell r="J40" t="str">
            <v>No incluye producto estabilizante</v>
          </cell>
        </row>
        <row r="41">
          <cell r="C41">
            <v>320.2</v>
          </cell>
          <cell r="D41">
            <v>320</v>
          </cell>
          <cell r="F41" t="str">
            <v>Subbase granular de C.B.R.&gt; 30%</v>
          </cell>
          <cell r="G41" t="str">
            <v>m3</v>
          </cell>
          <cell r="H41">
            <v>35462</v>
          </cell>
        </row>
        <row r="42">
          <cell r="C42">
            <v>320.3</v>
          </cell>
          <cell r="D42">
            <v>320</v>
          </cell>
          <cell r="F42" t="str">
            <v>Subbase granular de C.B.R.&gt; 40%</v>
          </cell>
          <cell r="G42" t="str">
            <v>m3</v>
          </cell>
          <cell r="H42" t="str">
            <v>m3</v>
          </cell>
        </row>
        <row r="43">
          <cell r="C43">
            <v>320.39999999999998</v>
          </cell>
          <cell r="D43">
            <v>320</v>
          </cell>
          <cell r="F43" t="str">
            <v>Subbase granular para bacheo</v>
          </cell>
          <cell r="G43" t="str">
            <v>m3</v>
          </cell>
          <cell r="H43" t="str">
            <v>m3</v>
          </cell>
        </row>
        <row r="44">
          <cell r="C44">
            <v>330.1</v>
          </cell>
          <cell r="D44">
            <v>330</v>
          </cell>
          <cell r="F44" t="str">
            <v>Base granular</v>
          </cell>
          <cell r="G44" t="str">
            <v>m3</v>
          </cell>
          <cell r="H44" t="e">
            <v>#REF!</v>
          </cell>
          <cell r="J44" t="str">
            <v>No incluye producto estabilizante</v>
          </cell>
        </row>
        <row r="45">
          <cell r="C45">
            <v>330.2</v>
          </cell>
          <cell r="D45">
            <v>330</v>
          </cell>
          <cell r="F45" t="str">
            <v>Base granular para bacheo</v>
          </cell>
          <cell r="G45" t="str">
            <v>m3</v>
          </cell>
          <cell r="H45" t="str">
            <v>m3</v>
          </cell>
        </row>
        <row r="46">
          <cell r="C46">
            <v>340.1</v>
          </cell>
          <cell r="D46">
            <v>340</v>
          </cell>
          <cell r="F46" t="str">
            <v>Base estabilizada con emulsión asfáltica tipo BEE-1</v>
          </cell>
          <cell r="G46" t="str">
            <v>m3</v>
          </cell>
          <cell r="H46" t="str">
            <v>m3</v>
          </cell>
          <cell r="J46" t="str">
            <v>No incluye la emulsión asfáltica</v>
          </cell>
        </row>
        <row r="47">
          <cell r="C47">
            <v>340.2</v>
          </cell>
          <cell r="D47">
            <v>340</v>
          </cell>
          <cell r="F47" t="str">
            <v>Base estabilizada con emulsión asfáltica tipo BEE-2</v>
          </cell>
          <cell r="G47" t="str">
            <v>m3</v>
          </cell>
          <cell r="H47" t="str">
            <v>m3</v>
          </cell>
        </row>
        <row r="48">
          <cell r="C48">
            <v>340.3</v>
          </cell>
          <cell r="D48">
            <v>340</v>
          </cell>
          <cell r="F48" t="str">
            <v>Base estabilizada con emulsión asfáltica tipo BEE-3</v>
          </cell>
          <cell r="G48" t="str">
            <v>m3</v>
          </cell>
          <cell r="H48" t="str">
            <v>m3</v>
          </cell>
        </row>
        <row r="49">
          <cell r="C49">
            <v>341.1</v>
          </cell>
          <cell r="D49">
            <v>341</v>
          </cell>
          <cell r="F49" t="str">
            <v>Base estabilizada con cemento</v>
          </cell>
          <cell r="G49" t="str">
            <v>m3</v>
          </cell>
          <cell r="H49" t="str">
            <v>m3</v>
          </cell>
        </row>
        <row r="50">
          <cell r="C50" t="str">
            <v>341P,1</v>
          </cell>
          <cell r="D50">
            <v>341</v>
          </cell>
          <cell r="E50" t="str">
            <v>341P.1</v>
          </cell>
          <cell r="F50" t="str">
            <v>Base estabilizada con cemento</v>
          </cell>
          <cell r="G50" t="str">
            <v>m3</v>
          </cell>
          <cell r="H50">
            <v>45878</v>
          </cell>
        </row>
        <row r="51">
          <cell r="C51">
            <v>341.2</v>
          </cell>
          <cell r="D51">
            <v>341</v>
          </cell>
          <cell r="F51" t="str">
            <v>Cemento</v>
          </cell>
          <cell r="G51" t="str">
            <v>Kg</v>
          </cell>
          <cell r="H51" t="str">
            <v>Kg</v>
          </cell>
        </row>
        <row r="52">
          <cell r="C52" t="str">
            <v>341P,2</v>
          </cell>
          <cell r="D52">
            <v>341</v>
          </cell>
          <cell r="E52" t="str">
            <v>341P.1</v>
          </cell>
          <cell r="F52" t="str">
            <v>Cemento</v>
          </cell>
          <cell r="G52" t="str">
            <v>Kg</v>
          </cell>
          <cell r="H52">
            <v>699</v>
          </cell>
        </row>
        <row r="53">
          <cell r="C53" t="str">
            <v>341P,3</v>
          </cell>
          <cell r="D53">
            <v>341</v>
          </cell>
          <cell r="E53" t="str">
            <v>341P.1</v>
          </cell>
          <cell r="F53" t="str">
            <v>Cemento para recalce de causes</v>
          </cell>
          <cell r="G53" t="str">
            <v>m3</v>
          </cell>
          <cell r="H53" t="str">
            <v>m3</v>
          </cell>
        </row>
        <row r="54">
          <cell r="C54">
            <v>342.1</v>
          </cell>
          <cell r="D54">
            <v>342</v>
          </cell>
          <cell r="F54" t="str">
            <v>Base estabilizada con compuestos multienzimáticos orgánicos tipo BEMO-1</v>
          </cell>
          <cell r="G54" t="str">
            <v>m3</v>
          </cell>
          <cell r="H54" t="str">
            <v>m3</v>
          </cell>
        </row>
        <row r="55">
          <cell r="C55">
            <v>342.2</v>
          </cell>
          <cell r="D55">
            <v>342</v>
          </cell>
          <cell r="F55" t="str">
            <v>Base estabilizada con compuestos multienzimáticos orgánicos tipo BEMO-2</v>
          </cell>
          <cell r="G55" t="str">
            <v>m3</v>
          </cell>
          <cell r="H55" t="str">
            <v>m3</v>
          </cell>
        </row>
        <row r="56">
          <cell r="C56">
            <v>342.3</v>
          </cell>
          <cell r="D56">
            <v>342</v>
          </cell>
          <cell r="F56" t="str">
            <v>Compuesto multienzimático orgánico</v>
          </cell>
          <cell r="G56" t="str">
            <v>Cl</v>
          </cell>
          <cell r="H56" t="str">
            <v>Cl</v>
          </cell>
        </row>
        <row r="57">
          <cell r="C57">
            <v>410</v>
          </cell>
          <cell r="D57">
            <v>410</v>
          </cell>
          <cell r="F57" t="str">
            <v>Cemento asfáltico</v>
          </cell>
          <cell r="G57" t="str">
            <v>Kg</v>
          </cell>
          <cell r="H57" t="str">
            <v>Kg</v>
          </cell>
        </row>
        <row r="58">
          <cell r="C58">
            <v>411.1</v>
          </cell>
          <cell r="D58">
            <v>411</v>
          </cell>
          <cell r="F58" t="str">
            <v>Emulsión asfáltica de rotura media CRM</v>
          </cell>
          <cell r="G58" t="str">
            <v>Lt</v>
          </cell>
          <cell r="H58" t="str">
            <v>Lt</v>
          </cell>
        </row>
        <row r="59">
          <cell r="C59">
            <v>411.2</v>
          </cell>
          <cell r="D59">
            <v>411</v>
          </cell>
          <cell r="F59" t="str">
            <v>Emulsión asfáltica de rotura lenta CRL-1</v>
          </cell>
          <cell r="G59" t="str">
            <v>Lt</v>
          </cell>
          <cell r="H59" t="str">
            <v>Lt</v>
          </cell>
        </row>
        <row r="60">
          <cell r="C60">
            <v>411.3</v>
          </cell>
          <cell r="D60">
            <v>411</v>
          </cell>
          <cell r="F60" t="str">
            <v>Emulsión asfáltica de rotura lenta CRL-1h</v>
          </cell>
          <cell r="G60" t="str">
            <v>Lt</v>
          </cell>
          <cell r="H60" t="str">
            <v>Lt</v>
          </cell>
        </row>
        <row r="61">
          <cell r="C61">
            <v>413</v>
          </cell>
          <cell r="D61">
            <v>413</v>
          </cell>
          <cell r="F61" t="str">
            <v>Excavación para reparación del pavimento existente</v>
          </cell>
          <cell r="G61" t="str">
            <v>m3</v>
          </cell>
          <cell r="H61" t="e">
            <v>#REF!</v>
          </cell>
        </row>
        <row r="62">
          <cell r="C62">
            <v>413.1</v>
          </cell>
          <cell r="D62">
            <v>413</v>
          </cell>
          <cell r="E62" t="str">
            <v>413P</v>
          </cell>
          <cell r="F62" t="str">
            <v>Excavación para reparación del pavimento existente</v>
          </cell>
          <cell r="G62" t="str">
            <v>m3</v>
          </cell>
          <cell r="H62" t="str">
            <v>m3</v>
          </cell>
          <cell r="J62" t="str">
            <v>Tiene en cuenta el programa PICO y PALA</v>
          </cell>
        </row>
        <row r="63">
          <cell r="C63">
            <v>420</v>
          </cell>
          <cell r="D63">
            <v>420</v>
          </cell>
          <cell r="F63" t="str">
            <v>Imprimación</v>
          </cell>
          <cell r="G63" t="str">
            <v>m2</v>
          </cell>
          <cell r="H63" t="e">
            <v>#REF!</v>
          </cell>
        </row>
        <row r="64">
          <cell r="C64">
            <v>421</v>
          </cell>
          <cell r="D64">
            <v>421</v>
          </cell>
          <cell r="F64" t="str">
            <v>Riego de liga</v>
          </cell>
          <cell r="G64" t="str">
            <v>m2</v>
          </cell>
          <cell r="H64" t="str">
            <v>m2</v>
          </cell>
        </row>
        <row r="65">
          <cell r="C65">
            <v>421.1</v>
          </cell>
          <cell r="D65">
            <v>421</v>
          </cell>
          <cell r="F65" t="str">
            <v>Riego de liga (cemento asfáltico)</v>
          </cell>
          <cell r="G65" t="str">
            <v>m2</v>
          </cell>
          <cell r="H65" t="str">
            <v>m2</v>
          </cell>
        </row>
        <row r="66">
          <cell r="C66">
            <v>421.2</v>
          </cell>
          <cell r="D66">
            <v>421</v>
          </cell>
          <cell r="F66" t="str">
            <v>Riego de liga (emulsión asfáltica)</v>
          </cell>
          <cell r="G66" t="str">
            <v>m2</v>
          </cell>
          <cell r="H66" t="str">
            <v>m2</v>
          </cell>
        </row>
        <row r="67">
          <cell r="C67">
            <v>430</v>
          </cell>
          <cell r="D67">
            <v>430</v>
          </cell>
          <cell r="F67" t="str">
            <v>Tratamiento superficial simple</v>
          </cell>
          <cell r="G67" t="str">
            <v>m2</v>
          </cell>
          <cell r="H67" t="str">
            <v>m2</v>
          </cell>
        </row>
        <row r="68">
          <cell r="C68" t="str">
            <v>430P</v>
          </cell>
          <cell r="E68" t="str">
            <v>430P</v>
          </cell>
          <cell r="F68" t="str">
            <v>Baranda metálica tubular para puentes</v>
          </cell>
          <cell r="G68" t="str">
            <v>ml</v>
          </cell>
          <cell r="H68" t="str">
            <v>ml</v>
          </cell>
        </row>
        <row r="69">
          <cell r="C69">
            <v>431</v>
          </cell>
          <cell r="D69">
            <v>431</v>
          </cell>
          <cell r="F69" t="str">
            <v>Tratamiento superficial doble</v>
          </cell>
          <cell r="G69" t="str">
            <v>m2</v>
          </cell>
          <cell r="H69" t="str">
            <v>m2</v>
          </cell>
        </row>
        <row r="70">
          <cell r="C70">
            <v>432</v>
          </cell>
          <cell r="D70">
            <v>432</v>
          </cell>
          <cell r="F70" t="str">
            <v>Sello de arena - asfalto</v>
          </cell>
          <cell r="G70" t="str">
            <v>m2</v>
          </cell>
          <cell r="H70" t="str">
            <v>m2</v>
          </cell>
        </row>
        <row r="71">
          <cell r="C71">
            <v>433</v>
          </cell>
          <cell r="D71">
            <v>433</v>
          </cell>
          <cell r="F71" t="str">
            <v>Lechada asfáltica</v>
          </cell>
          <cell r="G71" t="str">
            <v>m2</v>
          </cell>
          <cell r="H71" t="str">
            <v>m2</v>
          </cell>
        </row>
        <row r="72">
          <cell r="C72">
            <v>434</v>
          </cell>
          <cell r="E72" t="str">
            <v>434P</v>
          </cell>
          <cell r="F72" t="str">
            <v>Sello de grietas</v>
          </cell>
          <cell r="G72" t="str">
            <v>ml</v>
          </cell>
          <cell r="H72" t="str">
            <v>ml</v>
          </cell>
        </row>
        <row r="73">
          <cell r="C73" t="str">
            <v>434P.1</v>
          </cell>
          <cell r="E73" t="str">
            <v>434P</v>
          </cell>
          <cell r="F73" t="str">
            <v>Sello de grietas en concreto</v>
          </cell>
          <cell r="G73" t="str">
            <v>ml</v>
          </cell>
          <cell r="H73" t="e">
            <v>#REF!</v>
          </cell>
        </row>
        <row r="74">
          <cell r="C74">
            <v>435</v>
          </cell>
          <cell r="E74" t="str">
            <v>435P</v>
          </cell>
          <cell r="F74" t="str">
            <v>Sello de juntas de pavimento de concreto hidráulico</v>
          </cell>
          <cell r="G74" t="str">
            <v>ml</v>
          </cell>
          <cell r="H74" t="str">
            <v>ml</v>
          </cell>
        </row>
        <row r="75">
          <cell r="C75">
            <v>440.1</v>
          </cell>
          <cell r="D75">
            <v>440</v>
          </cell>
          <cell r="F75" t="str">
            <v>Mezcla densa en frío tipo MDF-1</v>
          </cell>
          <cell r="G75" t="str">
            <v>m3</v>
          </cell>
          <cell r="H75" t="str">
            <v>m3</v>
          </cell>
          <cell r="J75" t="str">
            <v>No incluye suministro y almacenamiento del cemento asfáltico</v>
          </cell>
        </row>
        <row r="76">
          <cell r="C76">
            <v>440.2</v>
          </cell>
          <cell r="D76">
            <v>440</v>
          </cell>
          <cell r="F76" t="str">
            <v>Mezcla densa en frío tipo MDF-2</v>
          </cell>
          <cell r="G76" t="str">
            <v>m3</v>
          </cell>
          <cell r="H76" t="str">
            <v>m3</v>
          </cell>
        </row>
        <row r="77">
          <cell r="C77">
            <v>440.3</v>
          </cell>
          <cell r="D77">
            <v>440</v>
          </cell>
          <cell r="F77" t="str">
            <v>Mezcla densa en frío tipo MDF-3</v>
          </cell>
          <cell r="G77" t="str">
            <v>m3</v>
          </cell>
          <cell r="H77" t="str">
            <v>m3</v>
          </cell>
        </row>
        <row r="78">
          <cell r="C78">
            <v>440.5</v>
          </cell>
          <cell r="D78">
            <v>440</v>
          </cell>
          <cell r="F78" t="str">
            <v>Mezcla densa en frío para bacheo</v>
          </cell>
          <cell r="G78" t="str">
            <v>m3</v>
          </cell>
          <cell r="H78" t="str">
            <v>m3</v>
          </cell>
        </row>
        <row r="79">
          <cell r="C79">
            <v>441.1</v>
          </cell>
          <cell r="D79">
            <v>441</v>
          </cell>
          <cell r="F79" t="str">
            <v>Mezcla abierta en frío tipo MAF-1</v>
          </cell>
          <cell r="G79" t="str">
            <v>m3</v>
          </cell>
          <cell r="H79" t="str">
            <v>m3</v>
          </cell>
          <cell r="J79" t="str">
            <v>No incluye suministro y almacenamiento del cemento asfáltico</v>
          </cell>
        </row>
        <row r="80">
          <cell r="C80">
            <v>441.2</v>
          </cell>
          <cell r="D80">
            <v>441</v>
          </cell>
          <cell r="F80" t="str">
            <v>Mezcla abierta en frío tipo MAF-2</v>
          </cell>
          <cell r="G80" t="str">
            <v>m3</v>
          </cell>
          <cell r="H80" t="str">
            <v>m3</v>
          </cell>
        </row>
        <row r="81">
          <cell r="C81">
            <v>441.3</v>
          </cell>
          <cell r="D81">
            <v>441</v>
          </cell>
          <cell r="F81" t="str">
            <v>Mezcla abierta en frío tipo MAF-3</v>
          </cell>
          <cell r="G81" t="str">
            <v>m3</v>
          </cell>
          <cell r="H81" t="str">
            <v>m3</v>
          </cell>
        </row>
        <row r="82">
          <cell r="C82">
            <v>441.4</v>
          </cell>
          <cell r="D82">
            <v>441</v>
          </cell>
          <cell r="F82" t="str">
            <v>Mezcla abierta en frío para bacheo</v>
          </cell>
          <cell r="G82" t="str">
            <v>m3</v>
          </cell>
          <cell r="H82" t="str">
            <v>m3</v>
          </cell>
        </row>
        <row r="83">
          <cell r="C83">
            <v>450.1</v>
          </cell>
          <cell r="D83">
            <v>450</v>
          </cell>
          <cell r="F83" t="str">
            <v>Mezcla densa en caliente tipo MDC-1</v>
          </cell>
          <cell r="G83" t="str">
            <v>m3</v>
          </cell>
          <cell r="H83" t="str">
            <v>m3</v>
          </cell>
          <cell r="J83" t="str">
            <v>No incluye suministro y almacenamiento del cemento asfáltico</v>
          </cell>
        </row>
        <row r="84">
          <cell r="C84">
            <v>450.2</v>
          </cell>
          <cell r="D84">
            <v>450</v>
          </cell>
          <cell r="F84" t="str">
            <v>Mezcla densa en caliente tipo MDC-2</v>
          </cell>
          <cell r="G84" t="str">
            <v>m3</v>
          </cell>
          <cell r="H84" t="str">
            <v>m3</v>
          </cell>
        </row>
        <row r="85">
          <cell r="C85">
            <v>450.3</v>
          </cell>
          <cell r="D85">
            <v>450</v>
          </cell>
          <cell r="F85" t="str">
            <v>Mezcla densa en caliente tipo MDC-3</v>
          </cell>
          <cell r="G85" t="str">
            <v>m3</v>
          </cell>
          <cell r="H85">
            <v>230745</v>
          </cell>
        </row>
        <row r="86">
          <cell r="C86">
            <v>450.4</v>
          </cell>
          <cell r="D86">
            <v>450</v>
          </cell>
          <cell r="F86" t="str">
            <v>Mezcla densa en caliente para bacheo</v>
          </cell>
          <cell r="G86" t="str">
            <v>m3</v>
          </cell>
          <cell r="H86" t="str">
            <v>m3</v>
          </cell>
        </row>
        <row r="87">
          <cell r="C87">
            <v>450.5</v>
          </cell>
          <cell r="D87">
            <v>450</v>
          </cell>
          <cell r="E87" t="str">
            <v>450P</v>
          </cell>
          <cell r="F87" t="str">
            <v>Parcheo con mezcla densa en caliente tipo MDC-2</v>
          </cell>
          <cell r="G87" t="str">
            <v>m3</v>
          </cell>
          <cell r="H87" t="str">
            <v>m3</v>
          </cell>
          <cell r="J87" t="str">
            <v>Incluye riego de liga, suministro y transporte del cemento asfáltico</v>
          </cell>
        </row>
        <row r="88">
          <cell r="C88">
            <v>450.6</v>
          </cell>
          <cell r="D88">
            <v>450</v>
          </cell>
          <cell r="E88" t="str">
            <v>450P-1</v>
          </cell>
          <cell r="F88" t="str">
            <v>Mezcla densa en caliente tipo MDC-2</v>
          </cell>
          <cell r="G88" t="str">
            <v>m3</v>
          </cell>
          <cell r="H88" t="str">
            <v>m3</v>
          </cell>
          <cell r="J88" t="str">
            <v>Incluye riego de liga, suministro y transporte del cemento asfáltico</v>
          </cell>
        </row>
        <row r="89">
          <cell r="C89">
            <v>450.7</v>
          </cell>
          <cell r="D89">
            <v>450</v>
          </cell>
          <cell r="E89" t="str">
            <v>450P-1</v>
          </cell>
          <cell r="F89" t="str">
            <v>Mezcla densa en caliente tipo MDC-1</v>
          </cell>
          <cell r="G89" t="str">
            <v>m3</v>
          </cell>
          <cell r="H89" t="str">
            <v>m3</v>
          </cell>
          <cell r="J89" t="str">
            <v>Incluye riego de liga, suministro y transporte del cemento asfáltico</v>
          </cell>
        </row>
        <row r="90">
          <cell r="C90">
            <v>450.8</v>
          </cell>
          <cell r="D90">
            <v>450</v>
          </cell>
          <cell r="E90" t="str">
            <v>450P-1</v>
          </cell>
          <cell r="F90" t="str">
            <v>Mezcla densa en caliente tipo MDC-3</v>
          </cell>
          <cell r="G90" t="str">
            <v>m3</v>
          </cell>
          <cell r="H90" t="str">
            <v>m3</v>
          </cell>
          <cell r="J90" t="str">
            <v>Incluye riego de liga, suministro y transporte del cemento asfáltico</v>
          </cell>
        </row>
        <row r="91">
          <cell r="C91">
            <v>450.9</v>
          </cell>
          <cell r="D91">
            <v>450</v>
          </cell>
          <cell r="E91" t="str">
            <v>450P-2</v>
          </cell>
          <cell r="F91" t="str">
            <v>Parcheo con fresado y mezcla densa en caliente tipo MDC-2</v>
          </cell>
          <cell r="G91" t="str">
            <v>m3</v>
          </cell>
          <cell r="H91" t="e">
            <v>#REF!</v>
          </cell>
        </row>
        <row r="92">
          <cell r="C92">
            <v>450.11</v>
          </cell>
          <cell r="D92">
            <v>450</v>
          </cell>
          <cell r="E92" t="str">
            <v>450P-3</v>
          </cell>
          <cell r="F92" t="str">
            <v>Mezcla densa en caliente tipo MDC-2 para bacheo</v>
          </cell>
          <cell r="G92" t="str">
            <v>m3</v>
          </cell>
          <cell r="H92" t="str">
            <v>m3</v>
          </cell>
          <cell r="J92" t="str">
            <v>Incluye suministro y transporte del cemento asfáltico</v>
          </cell>
        </row>
        <row r="93">
          <cell r="C93">
            <v>450.12</v>
          </cell>
          <cell r="D93">
            <v>450</v>
          </cell>
          <cell r="E93" t="str">
            <v>450P-3</v>
          </cell>
          <cell r="F93" t="str">
            <v>Mezcla densa en caliente tipo MDC-1 para bacheo</v>
          </cell>
          <cell r="G93" t="str">
            <v>m3</v>
          </cell>
          <cell r="H93" t="str">
            <v>m3</v>
          </cell>
        </row>
        <row r="94">
          <cell r="C94">
            <v>450.13</v>
          </cell>
          <cell r="D94">
            <v>450</v>
          </cell>
          <cell r="E94" t="str">
            <v>450P-1</v>
          </cell>
          <cell r="F94" t="str">
            <v>Mezcla densa en caliente tipo MDC-2</v>
          </cell>
          <cell r="G94" t="str">
            <v>m3</v>
          </cell>
          <cell r="H94" t="str">
            <v>m3</v>
          </cell>
        </row>
        <row r="95">
          <cell r="C95" t="str">
            <v>450P,1</v>
          </cell>
          <cell r="D95">
            <v>450</v>
          </cell>
          <cell r="E95" t="str">
            <v>450P-1</v>
          </cell>
          <cell r="F95" t="str">
            <v>Mezcla densa en caliente tipo MDC-2</v>
          </cell>
          <cell r="G95" t="str">
            <v>m3</v>
          </cell>
          <cell r="H95" t="e">
            <v>#REF!</v>
          </cell>
        </row>
        <row r="96">
          <cell r="C96" t="str">
            <v>450P,2</v>
          </cell>
          <cell r="D96">
            <v>450</v>
          </cell>
          <cell r="E96" t="str">
            <v>450P-2</v>
          </cell>
          <cell r="F96" t="str">
            <v>Parcheo con mezcla densa en caliente tipo MDC-2</v>
          </cell>
          <cell r="G96" t="str">
            <v>m3</v>
          </cell>
          <cell r="H96" t="e">
            <v>#REF!</v>
          </cell>
        </row>
        <row r="97">
          <cell r="C97">
            <v>451.1</v>
          </cell>
          <cell r="D97">
            <v>451</v>
          </cell>
          <cell r="F97" t="str">
            <v>Mezcla abierta en caliente tipo MAC-1</v>
          </cell>
          <cell r="G97" t="str">
            <v>m3</v>
          </cell>
          <cell r="H97" t="str">
            <v>m3</v>
          </cell>
        </row>
        <row r="98">
          <cell r="C98">
            <v>451.2</v>
          </cell>
          <cell r="D98">
            <v>451</v>
          </cell>
          <cell r="F98" t="str">
            <v>Mezcla abierta en caliente tipo MAC-2</v>
          </cell>
          <cell r="G98" t="str">
            <v>m3</v>
          </cell>
          <cell r="H98">
            <v>159158</v>
          </cell>
        </row>
        <row r="99">
          <cell r="C99">
            <v>451.3</v>
          </cell>
          <cell r="D99">
            <v>451</v>
          </cell>
          <cell r="F99" t="str">
            <v>Mezcla abierta en caliente tipo MAC-3</v>
          </cell>
          <cell r="G99" t="str">
            <v>m3</v>
          </cell>
          <cell r="H99" t="str">
            <v>m3</v>
          </cell>
        </row>
        <row r="100">
          <cell r="C100">
            <v>460</v>
          </cell>
          <cell r="D100">
            <v>460</v>
          </cell>
          <cell r="F100" t="str">
            <v>Fresado de pavimento asfáltico</v>
          </cell>
          <cell r="G100" t="str">
            <v>m3</v>
          </cell>
          <cell r="H100" t="e">
            <v>#REF!</v>
          </cell>
        </row>
        <row r="101">
          <cell r="C101">
            <v>461</v>
          </cell>
          <cell r="D101">
            <v>461</v>
          </cell>
          <cell r="F101" t="str">
            <v>Pavimento asfáltico reciclado en frío</v>
          </cell>
          <cell r="G101" t="str">
            <v>m3</v>
          </cell>
          <cell r="H101" t="str">
            <v>m3</v>
          </cell>
          <cell r="J101" t="str">
            <v>No incluye suministro y almacenamiento del cemento asfáltico o la emulsión.</v>
          </cell>
        </row>
        <row r="102">
          <cell r="C102">
            <v>461.1</v>
          </cell>
          <cell r="D102">
            <v>461</v>
          </cell>
          <cell r="E102" t="str">
            <v>461P</v>
          </cell>
          <cell r="F102" t="str">
            <v>Pavimento asfáltico reciclado en frío</v>
          </cell>
          <cell r="G102" t="str">
            <v>m3</v>
          </cell>
          <cell r="H102" t="str">
            <v>m3</v>
          </cell>
          <cell r="J102" t="str">
            <v>Incluye el cemento asfáltico o la emulsión asfáltica</v>
          </cell>
        </row>
        <row r="103">
          <cell r="C103">
            <v>462.1</v>
          </cell>
          <cell r="D103">
            <v>462</v>
          </cell>
          <cell r="F103" t="str">
            <v>Pavimento asfáltico reciclado en caliente tipo MDC-1</v>
          </cell>
          <cell r="G103" t="str">
            <v>m3</v>
          </cell>
          <cell r="H103" t="str">
            <v>m3</v>
          </cell>
          <cell r="J103" t="str">
            <v>No incluye suministro y almacenamiento del cemento asfáltico o la emulsión. Tampoco el agente rejuvenecedor</v>
          </cell>
        </row>
        <row r="104">
          <cell r="C104">
            <v>462.2</v>
          </cell>
          <cell r="D104">
            <v>462</v>
          </cell>
          <cell r="F104" t="str">
            <v>Pavimento asfáltico reciclado en caliente tipo MDC-2</v>
          </cell>
          <cell r="G104" t="str">
            <v>m3</v>
          </cell>
          <cell r="H104" t="str">
            <v>m3</v>
          </cell>
        </row>
        <row r="105">
          <cell r="C105">
            <v>462.3</v>
          </cell>
          <cell r="D105">
            <v>462</v>
          </cell>
          <cell r="F105" t="str">
            <v>Pavimento asfáltico reciclado en caliente tipo MDC-3</v>
          </cell>
          <cell r="G105" t="str">
            <v>m3</v>
          </cell>
          <cell r="H105" t="str">
            <v>m3</v>
          </cell>
        </row>
        <row r="106">
          <cell r="C106">
            <v>462.4</v>
          </cell>
          <cell r="D106">
            <v>462</v>
          </cell>
          <cell r="F106" t="str">
            <v>Pavimento asfáltico reciclado en caliente para bacheo</v>
          </cell>
          <cell r="G106" t="str">
            <v>m3</v>
          </cell>
          <cell r="H106" t="str">
            <v>m3</v>
          </cell>
        </row>
        <row r="107">
          <cell r="C107">
            <v>470</v>
          </cell>
          <cell r="E107" t="str">
            <v>470P</v>
          </cell>
          <cell r="F107" t="str">
            <v>Asfalto Natural (Asfaltita)</v>
          </cell>
          <cell r="G107" t="str">
            <v>m3</v>
          </cell>
          <cell r="H107" t="str">
            <v>m3</v>
          </cell>
        </row>
        <row r="108">
          <cell r="C108">
            <v>500</v>
          </cell>
          <cell r="D108">
            <v>500</v>
          </cell>
          <cell r="F108" t="str">
            <v>Pavimento de concreto hidráulico</v>
          </cell>
          <cell r="G108" t="str">
            <v>m3</v>
          </cell>
          <cell r="H108" t="e">
            <v>#REF!</v>
          </cell>
          <cell r="J108" t="str">
            <v>No incluye la preparación de la superficie existente</v>
          </cell>
        </row>
        <row r="109">
          <cell r="C109">
            <v>501</v>
          </cell>
          <cell r="E109" t="str">
            <v>501P</v>
          </cell>
          <cell r="F109" t="str">
            <v>Corte en losas de pavimento rígido</v>
          </cell>
          <cell r="G109" t="str">
            <v>ml</v>
          </cell>
          <cell r="H109">
            <v>4125</v>
          </cell>
        </row>
        <row r="110">
          <cell r="C110">
            <v>510</v>
          </cell>
          <cell r="D110">
            <v>510</v>
          </cell>
          <cell r="F110" t="str">
            <v>Pavimento de adoquines de concreto</v>
          </cell>
          <cell r="G110" t="str">
            <v>m2</v>
          </cell>
          <cell r="H110" t="str">
            <v>m2</v>
          </cell>
          <cell r="J110" t="str">
            <v>No incluye la preparación de la superficie existente. Tampoco las obras de confinamiento del pavimento.</v>
          </cell>
        </row>
        <row r="111">
          <cell r="C111">
            <v>600.1</v>
          </cell>
          <cell r="D111">
            <v>600</v>
          </cell>
          <cell r="F111" t="str">
            <v>Excavaciones varias sin clasificar</v>
          </cell>
          <cell r="G111" t="str">
            <v>m3</v>
          </cell>
          <cell r="H111" t="e">
            <v>#REF!</v>
          </cell>
        </row>
        <row r="112">
          <cell r="C112">
            <v>600.20000000000005</v>
          </cell>
          <cell r="D112">
            <v>600</v>
          </cell>
          <cell r="F112" t="str">
            <v>Excavaciones varias en roca en seco</v>
          </cell>
          <cell r="G112" t="str">
            <v>m3</v>
          </cell>
          <cell r="H112">
            <v>38000</v>
          </cell>
        </row>
        <row r="113">
          <cell r="C113">
            <v>600.29999999999995</v>
          </cell>
          <cell r="D113">
            <v>600</v>
          </cell>
          <cell r="F113" t="str">
            <v>Excavaciones varias en roca bajo agua</v>
          </cell>
          <cell r="G113" t="str">
            <v>m3</v>
          </cell>
          <cell r="H113" t="str">
            <v>m3</v>
          </cell>
        </row>
        <row r="114">
          <cell r="C114">
            <v>600.4</v>
          </cell>
          <cell r="D114">
            <v>600</v>
          </cell>
          <cell r="F114" t="str">
            <v>Excavaciones varias en material común en seco</v>
          </cell>
          <cell r="G114" t="str">
            <v>m3</v>
          </cell>
          <cell r="H114" t="e">
            <v>#REF!</v>
          </cell>
        </row>
        <row r="115">
          <cell r="C115">
            <v>600.5</v>
          </cell>
          <cell r="D115">
            <v>600</v>
          </cell>
          <cell r="F115" t="str">
            <v>Excavaciones varias en material común bajo agua</v>
          </cell>
          <cell r="G115" t="str">
            <v>m3</v>
          </cell>
          <cell r="H115" t="e">
            <v>#REF!</v>
          </cell>
        </row>
        <row r="116">
          <cell r="C116">
            <v>600.6</v>
          </cell>
          <cell r="D116">
            <v>600</v>
          </cell>
          <cell r="E116" t="str">
            <v>600P</v>
          </cell>
          <cell r="F116" t="str">
            <v>Excavaciones varias sin clasificar</v>
          </cell>
          <cell r="G116" t="str">
            <v>m3</v>
          </cell>
          <cell r="H116" t="str">
            <v>m3</v>
          </cell>
          <cell r="J116" t="str">
            <v>Tiene en cuenta el programa PICO y PALA</v>
          </cell>
        </row>
        <row r="117">
          <cell r="C117">
            <v>600.70000000000005</v>
          </cell>
          <cell r="D117">
            <v>600</v>
          </cell>
          <cell r="E117" t="str">
            <v>600P</v>
          </cell>
          <cell r="F117" t="str">
            <v>Excavaciones varias en material común en seco</v>
          </cell>
          <cell r="G117" t="str">
            <v>m3</v>
          </cell>
          <cell r="H117" t="str">
            <v>m3</v>
          </cell>
          <cell r="J117" t="str">
            <v>Tiene en cuenta el programa PICO y PALA</v>
          </cell>
        </row>
        <row r="118">
          <cell r="C118" t="str">
            <v>600P.1</v>
          </cell>
          <cell r="D118">
            <v>600</v>
          </cell>
          <cell r="E118" t="str">
            <v>600P.1</v>
          </cell>
          <cell r="F118" t="str">
            <v>Excavaciones manuales varias sin clasificar</v>
          </cell>
          <cell r="G118" t="str">
            <v>m3</v>
          </cell>
          <cell r="H118" t="e">
            <v>#REF!</v>
          </cell>
          <cell r="J118" t="str">
            <v>Tiene en cuenta el programa PICO y PALA</v>
          </cell>
        </row>
        <row r="119">
          <cell r="C119">
            <v>600.79999999999995</v>
          </cell>
          <cell r="D119">
            <v>600</v>
          </cell>
          <cell r="E119" t="str">
            <v>600P</v>
          </cell>
          <cell r="F119" t="str">
            <v>Excavaciones varias en material común bajo agua</v>
          </cell>
          <cell r="G119" t="str">
            <v>m3</v>
          </cell>
          <cell r="H119" t="str">
            <v>m3</v>
          </cell>
          <cell r="J119" t="str">
            <v>Tiene en cuenta el programa PICO y PALA</v>
          </cell>
        </row>
        <row r="120">
          <cell r="C120">
            <v>601.1</v>
          </cell>
          <cell r="D120">
            <v>601</v>
          </cell>
          <cell r="F120" t="str">
            <v>Excavaciones varias en roca en seco</v>
          </cell>
          <cell r="G120" t="str">
            <v>m3</v>
          </cell>
          <cell r="H120" t="str">
            <v>m3</v>
          </cell>
        </row>
        <row r="121">
          <cell r="C121">
            <v>601.20000000000005</v>
          </cell>
          <cell r="D121">
            <v>601</v>
          </cell>
          <cell r="F121" t="str">
            <v>Excavaciones varias en roca bajo agua</v>
          </cell>
          <cell r="G121" t="str">
            <v>m3</v>
          </cell>
          <cell r="H121" t="str">
            <v>m3</v>
          </cell>
        </row>
        <row r="122">
          <cell r="C122">
            <v>601.29999999999995</v>
          </cell>
          <cell r="D122">
            <v>601</v>
          </cell>
          <cell r="F122" t="str">
            <v>Excavaciones varias en material común en seco</v>
          </cell>
          <cell r="G122" t="str">
            <v>m3</v>
          </cell>
          <cell r="H122" t="str">
            <v>m3</v>
          </cell>
        </row>
        <row r="123">
          <cell r="C123">
            <v>601.4</v>
          </cell>
          <cell r="D123">
            <v>601</v>
          </cell>
          <cell r="F123" t="str">
            <v>Excavaciones varias en material común bajo agua</v>
          </cell>
          <cell r="G123" t="str">
            <v>m3</v>
          </cell>
          <cell r="H123" t="str">
            <v>m3</v>
          </cell>
        </row>
        <row r="124">
          <cell r="C124">
            <v>610.1</v>
          </cell>
          <cell r="D124">
            <v>610</v>
          </cell>
          <cell r="F124" t="str">
            <v>Rellenos para estructuras</v>
          </cell>
          <cell r="G124" t="str">
            <v>m3</v>
          </cell>
          <cell r="H124" t="e">
            <v>#REF!</v>
          </cell>
          <cell r="J124" t="str">
            <v>No incluye la preparación de la superficie sobre la que irá el relleno.</v>
          </cell>
        </row>
        <row r="125">
          <cell r="C125">
            <v>610.20000000000005</v>
          </cell>
          <cell r="D125">
            <v>610</v>
          </cell>
          <cell r="F125" t="str">
            <v>Material filtrante</v>
          </cell>
          <cell r="G125" t="str">
            <v>m3</v>
          </cell>
          <cell r="H125" t="str">
            <v>m3</v>
          </cell>
        </row>
        <row r="126">
          <cell r="C126">
            <v>612</v>
          </cell>
          <cell r="E126" t="str">
            <v>612P</v>
          </cell>
          <cell r="F126" t="str">
            <v>Geobloques</v>
          </cell>
          <cell r="G126" t="str">
            <v>m3</v>
          </cell>
          <cell r="H126" t="str">
            <v>m3</v>
          </cell>
        </row>
        <row r="127">
          <cell r="C127">
            <v>620.1</v>
          </cell>
          <cell r="D127">
            <v>620</v>
          </cell>
          <cell r="F127" t="str">
            <v>Pilotes prefabricados de concreto</v>
          </cell>
          <cell r="G127" t="str">
            <v>ml</v>
          </cell>
          <cell r="H127" t="str">
            <v>ml</v>
          </cell>
        </row>
        <row r="128">
          <cell r="C128">
            <v>620.20000000000005</v>
          </cell>
          <cell r="D128">
            <v>620</v>
          </cell>
          <cell r="F128" t="str">
            <v>Extensión de pilotes</v>
          </cell>
          <cell r="G128" t="str">
            <v>ml</v>
          </cell>
          <cell r="H128" t="str">
            <v>ml</v>
          </cell>
        </row>
        <row r="129">
          <cell r="C129">
            <v>620.29999999999995</v>
          </cell>
          <cell r="D129">
            <v>620</v>
          </cell>
          <cell r="F129" t="str">
            <v>Prueba de carga</v>
          </cell>
          <cell r="G129" t="str">
            <v>Un</v>
          </cell>
          <cell r="H129" t="str">
            <v>Un</v>
          </cell>
        </row>
        <row r="130">
          <cell r="C130">
            <v>621.1</v>
          </cell>
          <cell r="D130">
            <v>621</v>
          </cell>
          <cell r="F130" t="str">
            <v>Pilote de concreto fundido in-situ de diámetro____</v>
          </cell>
          <cell r="G130" t="str">
            <v>ml</v>
          </cell>
          <cell r="H130" t="str">
            <v>ml</v>
          </cell>
        </row>
        <row r="131">
          <cell r="C131">
            <v>621.20000000000005</v>
          </cell>
          <cell r="D131">
            <v>621</v>
          </cell>
          <cell r="F131" t="str">
            <v>Base acampanada</v>
          </cell>
          <cell r="G131" t="str">
            <v>m3</v>
          </cell>
          <cell r="H131" t="str">
            <v>m3</v>
          </cell>
        </row>
        <row r="132">
          <cell r="C132">
            <v>621.29999999999995</v>
          </cell>
          <cell r="D132">
            <v>621</v>
          </cell>
          <cell r="F132" t="str">
            <v>Pilote de prueba de diámetro ____</v>
          </cell>
          <cell r="G132" t="str">
            <v>ml</v>
          </cell>
          <cell r="H132" t="str">
            <v>ml</v>
          </cell>
        </row>
        <row r="133">
          <cell r="C133">
            <v>621.4</v>
          </cell>
          <cell r="D133">
            <v>621</v>
          </cell>
          <cell r="F133" t="str">
            <v>Base acampanada de prueba</v>
          </cell>
          <cell r="G133" t="str">
            <v>m3</v>
          </cell>
          <cell r="H133" t="str">
            <v>m3</v>
          </cell>
        </row>
        <row r="134">
          <cell r="C134">
            <v>621.5</v>
          </cell>
          <cell r="D134">
            <v>621</v>
          </cell>
          <cell r="F134" t="str">
            <v>Camisa permanente de diámetro exterior ____</v>
          </cell>
          <cell r="G134" t="str">
            <v>ml</v>
          </cell>
          <cell r="H134" t="str">
            <v>ml</v>
          </cell>
        </row>
        <row r="135">
          <cell r="C135">
            <v>621.6</v>
          </cell>
          <cell r="D135">
            <v>621</v>
          </cell>
          <cell r="F135" t="str">
            <v>Prueba de carga</v>
          </cell>
          <cell r="G135" t="str">
            <v>Un</v>
          </cell>
          <cell r="H135" t="str">
            <v>Un</v>
          </cell>
        </row>
        <row r="136">
          <cell r="C136">
            <v>622.1</v>
          </cell>
          <cell r="D136">
            <v>622</v>
          </cell>
          <cell r="F136" t="str">
            <v>Tablestacado de madera</v>
          </cell>
          <cell r="G136" t="str">
            <v>m2</v>
          </cell>
          <cell r="H136" t="str">
            <v>m2</v>
          </cell>
        </row>
        <row r="137">
          <cell r="C137">
            <v>622.20000000000005</v>
          </cell>
          <cell r="D137">
            <v>622</v>
          </cell>
          <cell r="F137" t="str">
            <v>Tablestacado metálico</v>
          </cell>
          <cell r="G137" t="str">
            <v>m2</v>
          </cell>
          <cell r="H137" t="str">
            <v>m2</v>
          </cell>
        </row>
        <row r="138">
          <cell r="C138">
            <v>622.29999999999995</v>
          </cell>
          <cell r="D138">
            <v>622</v>
          </cell>
          <cell r="F138" t="str">
            <v>Tablestacado de concreto reforzado</v>
          </cell>
          <cell r="G138" t="str">
            <v>m2</v>
          </cell>
          <cell r="H138" t="str">
            <v>m2</v>
          </cell>
        </row>
        <row r="139">
          <cell r="C139">
            <v>622.4</v>
          </cell>
          <cell r="D139">
            <v>622</v>
          </cell>
          <cell r="F139" t="str">
            <v>Tablestacado de concreto preesforzado</v>
          </cell>
          <cell r="G139" t="str">
            <v>m2</v>
          </cell>
          <cell r="H139" t="str">
            <v>m2</v>
          </cell>
        </row>
        <row r="140">
          <cell r="C140">
            <v>622.5</v>
          </cell>
          <cell r="D140">
            <v>622</v>
          </cell>
          <cell r="F140" t="str">
            <v>Corte del extremo superior del elemento</v>
          </cell>
          <cell r="G140" t="str">
            <v>ml</v>
          </cell>
          <cell r="H140" t="str">
            <v>ml</v>
          </cell>
        </row>
        <row r="141">
          <cell r="C141">
            <v>622.6</v>
          </cell>
          <cell r="D141">
            <v>622</v>
          </cell>
          <cell r="E141" t="str">
            <v>622P</v>
          </cell>
          <cell r="F141" t="str">
            <v>Tablestacado metálico</v>
          </cell>
          <cell r="G141" t="str">
            <v>ml</v>
          </cell>
          <cell r="H141" t="str">
            <v>ml</v>
          </cell>
          <cell r="J141" t="str">
            <v>La unidad de medida es el metro lineal</v>
          </cell>
        </row>
        <row r="142">
          <cell r="C142">
            <v>623.1</v>
          </cell>
          <cell r="E142" t="str">
            <v>623P</v>
          </cell>
          <cell r="F142" t="str">
            <v>Suministro e hincamiento de rieles</v>
          </cell>
          <cell r="G142" t="str">
            <v>ml</v>
          </cell>
          <cell r="H142" t="e">
            <v>#REF!</v>
          </cell>
        </row>
        <row r="143">
          <cell r="C143">
            <v>623.20000000000005</v>
          </cell>
          <cell r="E143" t="str">
            <v>623P</v>
          </cell>
          <cell r="F143" t="str">
            <v>Suministro e instalación de rieles</v>
          </cell>
          <cell r="G143" t="str">
            <v>ml</v>
          </cell>
          <cell r="H143" t="e">
            <v>#REF!</v>
          </cell>
        </row>
        <row r="144">
          <cell r="C144">
            <v>630.1</v>
          </cell>
          <cell r="D144">
            <v>630</v>
          </cell>
          <cell r="F144" t="str">
            <v>Concreto Clase A</v>
          </cell>
          <cell r="G144" t="str">
            <v>m3</v>
          </cell>
          <cell r="H144" t="str">
            <v>m3</v>
          </cell>
          <cell r="J144" t="str">
            <v>5000PSI</v>
          </cell>
        </row>
        <row r="145">
          <cell r="C145">
            <v>630.20000000000005</v>
          </cell>
          <cell r="D145">
            <v>630</v>
          </cell>
          <cell r="F145" t="str">
            <v>Concreto Clase B</v>
          </cell>
          <cell r="G145" t="str">
            <v>m3</v>
          </cell>
          <cell r="H145" t="str">
            <v>m3</v>
          </cell>
          <cell r="J145" t="str">
            <v>4000PSI</v>
          </cell>
        </row>
        <row r="146">
          <cell r="C146">
            <v>630.29999999999995</v>
          </cell>
          <cell r="D146">
            <v>630</v>
          </cell>
          <cell r="F146" t="str">
            <v>Concreto Clase C</v>
          </cell>
          <cell r="G146" t="str">
            <v>m3</v>
          </cell>
          <cell r="H146" t="str">
            <v>m3</v>
          </cell>
          <cell r="J146" t="str">
            <v>3000PSI</v>
          </cell>
        </row>
        <row r="147">
          <cell r="C147">
            <v>630.4</v>
          </cell>
          <cell r="D147">
            <v>630</v>
          </cell>
          <cell r="F147" t="str">
            <v>Concreto Clase D</v>
          </cell>
          <cell r="G147" t="str">
            <v>m3</v>
          </cell>
          <cell r="H147" t="e">
            <v>#REF!</v>
          </cell>
          <cell r="J147" t="str">
            <v>2000PSI</v>
          </cell>
        </row>
        <row r="148">
          <cell r="C148">
            <v>630.5</v>
          </cell>
          <cell r="D148">
            <v>630</v>
          </cell>
          <cell r="F148" t="str">
            <v>Concreto Clase E</v>
          </cell>
          <cell r="G148" t="str">
            <v>m3</v>
          </cell>
          <cell r="H148" t="e">
            <v>#REF!</v>
          </cell>
        </row>
        <row r="149">
          <cell r="C149">
            <v>630.6</v>
          </cell>
          <cell r="D149">
            <v>630</v>
          </cell>
          <cell r="F149" t="str">
            <v>Concreto Simple de 175 Kg/cm2</v>
          </cell>
          <cell r="G149" t="str">
            <v>m3</v>
          </cell>
          <cell r="H149" t="e">
            <v>#REF!</v>
          </cell>
        </row>
        <row r="150">
          <cell r="C150" t="str">
            <v>630P.7</v>
          </cell>
          <cell r="D150">
            <v>630</v>
          </cell>
          <cell r="F150" t="str">
            <v>Concreto ciplopeo de resistencia 211 Kg/cm2</v>
          </cell>
          <cell r="G150" t="str">
            <v>m3</v>
          </cell>
          <cell r="H150" t="e">
            <v>#REF!</v>
          </cell>
        </row>
        <row r="151">
          <cell r="C151">
            <v>630.70000000000005</v>
          </cell>
          <cell r="D151">
            <v>630</v>
          </cell>
          <cell r="F151" t="str">
            <v>Concreto Clase G</v>
          </cell>
          <cell r="G151" t="str">
            <v>m3</v>
          </cell>
          <cell r="H151" t="e">
            <v>#REF!</v>
          </cell>
        </row>
        <row r="152">
          <cell r="C152">
            <v>630.79999999999995</v>
          </cell>
          <cell r="D152">
            <v>630</v>
          </cell>
          <cell r="E152" t="str">
            <v>630P</v>
          </cell>
          <cell r="F152" t="str">
            <v>Concreto Clase A con aditivo</v>
          </cell>
          <cell r="G152" t="str">
            <v>m3</v>
          </cell>
          <cell r="H152" t="str">
            <v>m3</v>
          </cell>
        </row>
        <row r="153">
          <cell r="C153">
            <v>630.9</v>
          </cell>
          <cell r="D153">
            <v>630</v>
          </cell>
          <cell r="E153" t="str">
            <v>630P</v>
          </cell>
          <cell r="F153" t="str">
            <v>Concreto Clase D con aditivo</v>
          </cell>
          <cell r="G153" t="str">
            <v>m3</v>
          </cell>
          <cell r="H153" t="str">
            <v>m3</v>
          </cell>
        </row>
        <row r="154">
          <cell r="C154">
            <v>630.1</v>
          </cell>
          <cell r="D154">
            <v>630</v>
          </cell>
          <cell r="E154" t="str">
            <v>630P-1</v>
          </cell>
          <cell r="F154" t="str">
            <v>Realce de cabezotes de alcantarillas</v>
          </cell>
          <cell r="G154" t="str">
            <v>m3</v>
          </cell>
          <cell r="H154" t="str">
            <v>m3</v>
          </cell>
        </row>
        <row r="155">
          <cell r="C155">
            <v>630.11</v>
          </cell>
          <cell r="D155">
            <v>630</v>
          </cell>
          <cell r="E155" t="str">
            <v>630P-2</v>
          </cell>
          <cell r="F155" t="str">
            <v>Realce de bordillo de cunetas</v>
          </cell>
          <cell r="G155" t="str">
            <v>ml</v>
          </cell>
          <cell r="H155" t="e">
            <v>#REF!</v>
          </cell>
        </row>
        <row r="156">
          <cell r="C156">
            <v>630.12</v>
          </cell>
          <cell r="D156">
            <v>630</v>
          </cell>
          <cell r="E156" t="str">
            <v>630P-3</v>
          </cell>
          <cell r="F156" t="str">
            <v>Concreto Clase G para cimientos</v>
          </cell>
          <cell r="G156" t="str">
            <v>m3</v>
          </cell>
          <cell r="H156" t="str">
            <v>m3</v>
          </cell>
        </row>
        <row r="157">
          <cell r="C157">
            <v>630.13</v>
          </cell>
          <cell r="D157">
            <v>630</v>
          </cell>
          <cell r="E157" t="str">
            <v>630P-3</v>
          </cell>
          <cell r="F157" t="str">
            <v>Concreto Clase G para elevaciones</v>
          </cell>
          <cell r="G157" t="str">
            <v>m3</v>
          </cell>
          <cell r="H157" t="str">
            <v>m3</v>
          </cell>
        </row>
        <row r="158">
          <cell r="C158">
            <v>630.14</v>
          </cell>
          <cell r="D158">
            <v>630</v>
          </cell>
          <cell r="E158" t="str">
            <v>630P-4</v>
          </cell>
          <cell r="F158" t="str">
            <v>Recubrimiento con malla y mortero 1:4, e=5cm</v>
          </cell>
          <cell r="G158" t="str">
            <v>m2</v>
          </cell>
          <cell r="H158" t="str">
            <v>m2</v>
          </cell>
        </row>
        <row r="159">
          <cell r="C159">
            <v>630.15</v>
          </cell>
          <cell r="D159">
            <v>630</v>
          </cell>
          <cell r="E159" t="str">
            <v>630P-5</v>
          </cell>
          <cell r="F159" t="str">
            <v>Recalce de alcantarillas</v>
          </cell>
          <cell r="G159" t="str">
            <v>ml</v>
          </cell>
          <cell r="H159" t="e">
            <v>#REF!</v>
          </cell>
        </row>
        <row r="160">
          <cell r="C160">
            <v>632</v>
          </cell>
          <cell r="D160">
            <v>632</v>
          </cell>
          <cell r="F160" t="str">
            <v>Baranda de concreto</v>
          </cell>
          <cell r="G160" t="str">
            <v>ml</v>
          </cell>
          <cell r="H160" t="str">
            <v>ml</v>
          </cell>
          <cell r="J160" t="str">
            <v>No incluye el acero de refuerzo</v>
          </cell>
        </row>
        <row r="161">
          <cell r="C161">
            <v>632.1</v>
          </cell>
          <cell r="D161">
            <v>632</v>
          </cell>
          <cell r="E161" t="str">
            <v>632P</v>
          </cell>
          <cell r="F161" t="str">
            <v>Baranda metálica tubular</v>
          </cell>
          <cell r="G161" t="str">
            <v>ml</v>
          </cell>
          <cell r="H161" t="str">
            <v>ml</v>
          </cell>
        </row>
        <row r="162">
          <cell r="C162">
            <v>640.1</v>
          </cell>
          <cell r="D162">
            <v>640</v>
          </cell>
          <cell r="F162" t="str">
            <v>Acero de refuerzo Grado 37</v>
          </cell>
          <cell r="G162" t="str">
            <v>Kg</v>
          </cell>
          <cell r="H162" t="str">
            <v>Kg</v>
          </cell>
        </row>
        <row r="163">
          <cell r="C163">
            <v>640.20000000000005</v>
          </cell>
          <cell r="D163">
            <v>640</v>
          </cell>
          <cell r="F163" t="str">
            <v>Acero de refuerzo Grado 40</v>
          </cell>
          <cell r="G163" t="str">
            <v>Kg</v>
          </cell>
          <cell r="H163" t="str">
            <v>Kg</v>
          </cell>
        </row>
        <row r="164">
          <cell r="C164">
            <v>640.29999999999995</v>
          </cell>
          <cell r="D164">
            <v>640</v>
          </cell>
          <cell r="F164" t="str">
            <v>Acero de refuerzo Grado 60</v>
          </cell>
          <cell r="G164" t="str">
            <v>Kg</v>
          </cell>
          <cell r="H164">
            <v>3059</v>
          </cell>
        </row>
        <row r="165">
          <cell r="C165">
            <v>641</v>
          </cell>
          <cell r="D165">
            <v>641</v>
          </cell>
          <cell r="F165" t="str">
            <v>Acero de preesfuerzo</v>
          </cell>
          <cell r="G165" t="str">
            <v>t-m</v>
          </cell>
          <cell r="H165" t="str">
            <v>t-m</v>
          </cell>
        </row>
        <row r="166">
          <cell r="C166">
            <v>642.1</v>
          </cell>
          <cell r="D166">
            <v>642</v>
          </cell>
          <cell r="F166" t="str">
            <v>Apoyo elastomérico</v>
          </cell>
          <cell r="G166" t="str">
            <v>Un</v>
          </cell>
          <cell r="H166" t="str">
            <v>Un</v>
          </cell>
        </row>
        <row r="167">
          <cell r="C167">
            <v>642.20000000000005</v>
          </cell>
          <cell r="D167">
            <v>642</v>
          </cell>
          <cell r="F167" t="str">
            <v>Sello para juntas de puentes</v>
          </cell>
          <cell r="G167" t="str">
            <v>ml</v>
          </cell>
          <cell r="H167" t="e">
            <v>#REF!</v>
          </cell>
        </row>
        <row r="168">
          <cell r="C168">
            <v>643</v>
          </cell>
          <cell r="E168" t="str">
            <v>643P</v>
          </cell>
          <cell r="F168" t="str">
            <v>Suministro e instalación de juntas de dilatación</v>
          </cell>
          <cell r="G168" t="str">
            <v>ml</v>
          </cell>
          <cell r="H168" t="str">
            <v>ml</v>
          </cell>
        </row>
        <row r="169">
          <cell r="C169">
            <v>644</v>
          </cell>
          <cell r="E169" t="str">
            <v>644P</v>
          </cell>
          <cell r="F169" t="str">
            <v>Suministro e instalación de sellos para juntas de puentes</v>
          </cell>
          <cell r="G169" t="str">
            <v>ml</v>
          </cell>
          <cell r="H169" t="e">
            <v>#REF!</v>
          </cell>
        </row>
        <row r="170">
          <cell r="C170">
            <v>650.1</v>
          </cell>
          <cell r="D170">
            <v>650</v>
          </cell>
          <cell r="F170" t="str">
            <v>Diseño y fabricación de estructura metálica</v>
          </cell>
          <cell r="G170" t="str">
            <v>Kg</v>
          </cell>
          <cell r="H170" t="str">
            <v>Kg</v>
          </cell>
        </row>
        <row r="171">
          <cell r="C171">
            <v>650.20000000000005</v>
          </cell>
          <cell r="D171">
            <v>650</v>
          </cell>
          <cell r="F171" t="str">
            <v>Fabricación de la estructura metálica</v>
          </cell>
          <cell r="G171" t="str">
            <v>Kg</v>
          </cell>
          <cell r="H171" t="str">
            <v>Kg</v>
          </cell>
        </row>
        <row r="172">
          <cell r="C172">
            <v>650.29999999999995</v>
          </cell>
          <cell r="D172">
            <v>650</v>
          </cell>
          <cell r="F172" t="str">
            <v>Transporte de estructura metálica</v>
          </cell>
          <cell r="G172" t="str">
            <v>Kg</v>
          </cell>
          <cell r="H172" t="str">
            <v>Kg</v>
          </cell>
        </row>
        <row r="173">
          <cell r="C173">
            <v>650.4</v>
          </cell>
          <cell r="D173">
            <v>650</v>
          </cell>
          <cell r="F173" t="str">
            <v>Montaje y pintura de estructura metálica</v>
          </cell>
          <cell r="G173" t="str">
            <v>Kg</v>
          </cell>
          <cell r="H173" t="str">
            <v>Kg</v>
          </cell>
        </row>
        <row r="174">
          <cell r="C174">
            <v>660.1</v>
          </cell>
          <cell r="D174">
            <v>660</v>
          </cell>
          <cell r="F174" t="str">
            <v>Tubería de concreto simple de diámetro 450 mm</v>
          </cell>
          <cell r="G174" t="str">
            <v>ml</v>
          </cell>
          <cell r="H174" t="str">
            <v>ml</v>
          </cell>
        </row>
        <row r="175">
          <cell r="C175">
            <v>660.2</v>
          </cell>
          <cell r="D175">
            <v>660</v>
          </cell>
          <cell r="F175" t="str">
            <v>Tubería de concreto simple de diámetro 600 mm</v>
          </cell>
          <cell r="G175" t="str">
            <v>ml</v>
          </cell>
          <cell r="H175" t="e">
            <v>#REF!</v>
          </cell>
        </row>
        <row r="176">
          <cell r="C176">
            <v>660.3</v>
          </cell>
          <cell r="D176">
            <v>660</v>
          </cell>
          <cell r="F176" t="str">
            <v>Tubería de concreto simple de diámetro 750 mm</v>
          </cell>
          <cell r="G176" t="str">
            <v>ml</v>
          </cell>
          <cell r="H176" t="str">
            <v>ml</v>
          </cell>
        </row>
        <row r="177">
          <cell r="C177">
            <v>661</v>
          </cell>
          <cell r="D177">
            <v>661</v>
          </cell>
          <cell r="F177" t="str">
            <v>Tubería de concreto reforzado de 900 mm diámetro interior</v>
          </cell>
          <cell r="G177" t="str">
            <v>ml</v>
          </cell>
          <cell r="H177" t="e">
            <v>#REF!</v>
          </cell>
        </row>
        <row r="178">
          <cell r="C178">
            <v>662.1</v>
          </cell>
          <cell r="D178">
            <v>662</v>
          </cell>
          <cell r="F178" t="str">
            <v>Tubería corrugada de acero galvanizado de lámina calibre __ y diámetro __ mm</v>
          </cell>
          <cell r="G178" t="str">
            <v>ml</v>
          </cell>
          <cell r="H178" t="str">
            <v>ml</v>
          </cell>
        </row>
        <row r="179">
          <cell r="C179">
            <v>662.2</v>
          </cell>
          <cell r="D179">
            <v>662</v>
          </cell>
          <cell r="F179" t="str">
            <v>Tubería corrugada de acero con recubrimiento bituminoso de lámina calibre __ y diámetro __ mm</v>
          </cell>
          <cell r="G179" t="str">
            <v>ml</v>
          </cell>
          <cell r="H179" t="str">
            <v>ml</v>
          </cell>
        </row>
        <row r="180">
          <cell r="C180">
            <v>669.1</v>
          </cell>
          <cell r="E180" t="str">
            <v>669P</v>
          </cell>
          <cell r="F180" t="str">
            <v>Andenes de sección 2m de ancho x 0.12 m de espesor</v>
          </cell>
          <cell r="G180" t="str">
            <v>m2</v>
          </cell>
          <cell r="H180" t="str">
            <v>m2</v>
          </cell>
        </row>
        <row r="181">
          <cell r="C181">
            <v>670.1</v>
          </cell>
          <cell r="D181">
            <v>670</v>
          </cell>
          <cell r="F181" t="str">
            <v>Disipadores de energía y sedimentadores en gaviones</v>
          </cell>
          <cell r="G181" t="str">
            <v>m3</v>
          </cell>
          <cell r="H181" t="str">
            <v>m3</v>
          </cell>
        </row>
        <row r="182">
          <cell r="C182">
            <v>670.2</v>
          </cell>
          <cell r="D182">
            <v>670</v>
          </cell>
          <cell r="F182" t="str">
            <v>Disipadores de energía y sedimentadores en concreto ciclópeo</v>
          </cell>
          <cell r="G182" t="str">
            <v>m3</v>
          </cell>
          <cell r="H182" t="str">
            <v>m3</v>
          </cell>
        </row>
        <row r="183">
          <cell r="C183">
            <v>670.3</v>
          </cell>
          <cell r="D183">
            <v>670</v>
          </cell>
          <cell r="F183" t="str">
            <v>Disipadores de energía empotrado en muro</v>
          </cell>
          <cell r="G183" t="str">
            <v>Ml</v>
          </cell>
          <cell r="H183" t="e">
            <v>#REF!</v>
          </cell>
        </row>
        <row r="184">
          <cell r="C184">
            <v>671</v>
          </cell>
          <cell r="D184">
            <v>671</v>
          </cell>
          <cell r="F184" t="str">
            <v>Cunetas revestidas en concreto</v>
          </cell>
          <cell r="G184" t="str">
            <v>m3</v>
          </cell>
          <cell r="H184">
            <v>269566</v>
          </cell>
        </row>
        <row r="185">
          <cell r="C185" t="str">
            <v>671P.1</v>
          </cell>
          <cell r="D185">
            <v>671</v>
          </cell>
          <cell r="E185" t="str">
            <v>671P.1</v>
          </cell>
          <cell r="F185" t="str">
            <v>Cunetas revestidas en concreto</v>
          </cell>
          <cell r="G185" t="str">
            <v>m3</v>
          </cell>
          <cell r="H185" t="e">
            <v>#REF!</v>
          </cell>
        </row>
        <row r="186">
          <cell r="C186">
            <v>672</v>
          </cell>
          <cell r="D186">
            <v>672</v>
          </cell>
          <cell r="F186" t="str">
            <v>Bordillo</v>
          </cell>
          <cell r="G186" t="str">
            <v>ml</v>
          </cell>
          <cell r="H186" t="str">
            <v>ml</v>
          </cell>
        </row>
        <row r="187">
          <cell r="C187">
            <v>673</v>
          </cell>
          <cell r="D187">
            <v>673</v>
          </cell>
          <cell r="F187" t="str">
            <v>Material filtrante</v>
          </cell>
          <cell r="G187" t="str">
            <v>m3</v>
          </cell>
          <cell r="H187" t="e">
            <v>#REF!</v>
          </cell>
        </row>
        <row r="188">
          <cell r="C188">
            <v>673.1</v>
          </cell>
          <cell r="D188">
            <v>673</v>
          </cell>
          <cell r="E188" t="str">
            <v>673P</v>
          </cell>
          <cell r="F188" t="str">
            <v>Dren horizontal 0-10 m</v>
          </cell>
          <cell r="G188" t="str">
            <v>ml</v>
          </cell>
          <cell r="H188" t="str">
            <v>ml</v>
          </cell>
        </row>
        <row r="189">
          <cell r="C189">
            <v>673.2</v>
          </cell>
          <cell r="D189">
            <v>673</v>
          </cell>
          <cell r="E189" t="str">
            <v>673P</v>
          </cell>
          <cell r="F189" t="str">
            <v>Dren horizontal 0-30 m</v>
          </cell>
          <cell r="G189" t="str">
            <v>ml</v>
          </cell>
          <cell r="H189" t="str">
            <v>ml</v>
          </cell>
        </row>
        <row r="190">
          <cell r="C190">
            <v>673.3</v>
          </cell>
          <cell r="D190">
            <v>673</v>
          </cell>
          <cell r="E190" t="str">
            <v>673P-1</v>
          </cell>
          <cell r="F190" t="str">
            <v>Filtros geocompuestos Tipo Geodren o Pack drain</v>
          </cell>
          <cell r="G190" t="str">
            <v>ml</v>
          </cell>
          <cell r="H190" t="str">
            <v>ml</v>
          </cell>
        </row>
        <row r="191">
          <cell r="C191">
            <v>674.1</v>
          </cell>
          <cell r="E191" t="str">
            <v>674P</v>
          </cell>
          <cell r="F191" t="str">
            <v>Nivelación y reconstrucción de pozos de inspección</v>
          </cell>
          <cell r="G191" t="str">
            <v>Un</v>
          </cell>
          <cell r="H191" t="str">
            <v>Un</v>
          </cell>
        </row>
        <row r="192">
          <cell r="C192">
            <v>674.2</v>
          </cell>
          <cell r="E192" t="str">
            <v>674P</v>
          </cell>
          <cell r="F192" t="str">
            <v>Nivelación y reconstrucción de sumideros</v>
          </cell>
          <cell r="G192" t="str">
            <v>Un</v>
          </cell>
          <cell r="H192" t="str">
            <v>Un</v>
          </cell>
        </row>
        <row r="193">
          <cell r="C193">
            <v>674.3</v>
          </cell>
          <cell r="E193" t="str">
            <v>674P</v>
          </cell>
          <cell r="F193" t="str">
            <v>Nivelación y reconstrucción de cajas de válvulas de la E.A.A.B</v>
          </cell>
          <cell r="G193" t="str">
            <v>Un</v>
          </cell>
          <cell r="H193" t="str">
            <v>Un</v>
          </cell>
        </row>
        <row r="194">
          <cell r="C194">
            <v>674.4</v>
          </cell>
          <cell r="E194" t="str">
            <v>674P</v>
          </cell>
          <cell r="F194" t="str">
            <v>Nivelación y reconstrucción de cajas de energía de CODENSA</v>
          </cell>
          <cell r="G194" t="str">
            <v>Un</v>
          </cell>
          <cell r="H194" t="str">
            <v>Un</v>
          </cell>
        </row>
        <row r="195">
          <cell r="C195">
            <v>674.5</v>
          </cell>
          <cell r="E195" t="str">
            <v>674P</v>
          </cell>
          <cell r="F195" t="str">
            <v>Nivelación y reconstrucción de cajas de la ETB</v>
          </cell>
          <cell r="G195" t="str">
            <v>Un</v>
          </cell>
          <cell r="H195" t="str">
            <v>Un</v>
          </cell>
        </row>
        <row r="196">
          <cell r="C196">
            <v>675</v>
          </cell>
          <cell r="E196" t="str">
            <v>675P</v>
          </cell>
          <cell r="F196" t="str">
            <v>Caja de inspección para alumbrado público</v>
          </cell>
          <cell r="G196" t="str">
            <v>Un</v>
          </cell>
          <cell r="H196" t="str">
            <v>Un</v>
          </cell>
        </row>
        <row r="197">
          <cell r="C197">
            <v>678.1</v>
          </cell>
          <cell r="E197" t="str">
            <v>678P</v>
          </cell>
          <cell r="F197" t="str">
            <v>Suministro y colocación de ductos de PVC o similar</v>
          </cell>
          <cell r="G197" t="str">
            <v>ml</v>
          </cell>
          <cell r="H197" t="e">
            <v>#REF!</v>
          </cell>
        </row>
        <row r="198">
          <cell r="C198" t="str">
            <v>678P.1</v>
          </cell>
          <cell r="E198" t="str">
            <v>678P</v>
          </cell>
          <cell r="F198" t="str">
            <v>Suministro e instalación de drenes de PVC de 4" diam.</v>
          </cell>
          <cell r="G198" t="str">
            <v>Un</v>
          </cell>
          <cell r="H198" t="e">
            <v>#REF!</v>
          </cell>
        </row>
        <row r="199">
          <cell r="C199">
            <v>680.1</v>
          </cell>
          <cell r="D199">
            <v>680</v>
          </cell>
          <cell r="F199" t="str">
            <v>Escamas en concreto</v>
          </cell>
          <cell r="G199" t="str">
            <v>m2</v>
          </cell>
          <cell r="H199" t="str">
            <v>m2</v>
          </cell>
        </row>
        <row r="200">
          <cell r="C200">
            <v>680.2</v>
          </cell>
          <cell r="D200">
            <v>680</v>
          </cell>
          <cell r="F200" t="str">
            <v>Armadura galvanizada</v>
          </cell>
          <cell r="G200" t="str">
            <v>ml</v>
          </cell>
          <cell r="H200" t="str">
            <v>ml</v>
          </cell>
        </row>
        <row r="201">
          <cell r="C201">
            <v>680.3</v>
          </cell>
          <cell r="D201">
            <v>680</v>
          </cell>
          <cell r="F201" t="str">
            <v>Relleno granular para tierra armada</v>
          </cell>
          <cell r="G201" t="str">
            <v>m3</v>
          </cell>
          <cell r="H201" t="str">
            <v>m3</v>
          </cell>
        </row>
        <row r="202">
          <cell r="C202">
            <v>681.1</v>
          </cell>
          <cell r="D202">
            <v>681</v>
          </cell>
          <cell r="F202" t="str">
            <v>Gaviones</v>
          </cell>
          <cell r="G202" t="str">
            <v>m3</v>
          </cell>
          <cell r="H202" t="e">
            <v>#REF!</v>
          </cell>
        </row>
        <row r="203">
          <cell r="C203" t="str">
            <v>681.1</v>
          </cell>
          <cell r="D203">
            <v>681</v>
          </cell>
          <cell r="F203" t="str">
            <v>Gaviones incluye transporte especial.</v>
          </cell>
          <cell r="G203" t="str">
            <v>m3</v>
          </cell>
          <cell r="H203" t="e">
            <v>#REF!</v>
          </cell>
        </row>
        <row r="204">
          <cell r="C204">
            <v>682</v>
          </cell>
          <cell r="D204">
            <v>682</v>
          </cell>
          <cell r="F204" t="str">
            <v>Muro de contención de suelo reforzado con Geotextil</v>
          </cell>
          <cell r="G204" t="str">
            <v>m3</v>
          </cell>
          <cell r="H204" t="str">
            <v>m3</v>
          </cell>
          <cell r="J204" t="str">
            <v>No incluye Geotextil ni recubrimiento del muro</v>
          </cell>
        </row>
        <row r="205">
          <cell r="C205">
            <v>683</v>
          </cell>
          <cell r="E205" t="str">
            <v>683P</v>
          </cell>
          <cell r="F205" t="str">
            <v>Bolsacretos en concreto Clase F</v>
          </cell>
          <cell r="G205" t="str">
            <v>m3</v>
          </cell>
          <cell r="H205" t="str">
            <v>m3</v>
          </cell>
        </row>
        <row r="206">
          <cell r="C206">
            <v>683.1</v>
          </cell>
          <cell r="E206" t="str">
            <v>683P-1</v>
          </cell>
          <cell r="F206" t="str">
            <v>Bolsacretos en concreto Clase D</v>
          </cell>
          <cell r="G206" t="str">
            <v>Un</v>
          </cell>
        </row>
        <row r="207">
          <cell r="C207">
            <v>700.1</v>
          </cell>
          <cell r="E207" t="str">
            <v>700P.1</v>
          </cell>
          <cell r="F207" t="str">
            <v>Línea de demarcación acrilica</v>
          </cell>
          <cell r="G207" t="str">
            <v>ml</v>
          </cell>
          <cell r="H207">
            <v>950</v>
          </cell>
        </row>
        <row r="208">
          <cell r="C208">
            <v>700.1</v>
          </cell>
          <cell r="D208">
            <v>700</v>
          </cell>
          <cell r="E208" t="str">
            <v>700P.2</v>
          </cell>
          <cell r="F208" t="str">
            <v>Línea de demarcación termoplastica</v>
          </cell>
          <cell r="G208" t="str">
            <v>ml</v>
          </cell>
          <cell r="H208">
            <v>4060</v>
          </cell>
        </row>
        <row r="209">
          <cell r="C209">
            <v>700.2</v>
          </cell>
          <cell r="D209">
            <v>700</v>
          </cell>
          <cell r="E209" t="str">
            <v>700P.3</v>
          </cell>
          <cell r="F209" t="str">
            <v>Marca vial termoplastica</v>
          </cell>
          <cell r="G209" t="str">
            <v>m2</v>
          </cell>
          <cell r="H209">
            <v>40600</v>
          </cell>
        </row>
        <row r="210">
          <cell r="C210">
            <v>700.2</v>
          </cell>
          <cell r="E210" t="str">
            <v>700P.4</v>
          </cell>
          <cell r="F210" t="str">
            <v>Marca vial acrilica</v>
          </cell>
          <cell r="G210" t="str">
            <v>m2</v>
          </cell>
          <cell r="H210">
            <v>20000</v>
          </cell>
        </row>
        <row r="211">
          <cell r="C211">
            <v>700.3</v>
          </cell>
          <cell r="D211">
            <v>700</v>
          </cell>
          <cell r="E211" t="str">
            <v>700P</v>
          </cell>
          <cell r="F211" t="str">
            <v>Línea de demarcación sobre concreto rígido</v>
          </cell>
          <cell r="G211" t="str">
            <v>ml</v>
          </cell>
          <cell r="H211" t="str">
            <v>ml</v>
          </cell>
        </row>
        <row r="212">
          <cell r="C212">
            <v>701</v>
          </cell>
          <cell r="D212">
            <v>701</v>
          </cell>
          <cell r="F212" t="str">
            <v>Tacha reflectiva</v>
          </cell>
          <cell r="G212" t="str">
            <v>Un</v>
          </cell>
          <cell r="H212">
            <v>6500</v>
          </cell>
        </row>
        <row r="213">
          <cell r="C213">
            <v>702</v>
          </cell>
          <cell r="D213">
            <v>702</v>
          </cell>
          <cell r="F213" t="str">
            <v>Estoperoles</v>
          </cell>
          <cell r="G213" t="str">
            <v>Un</v>
          </cell>
          <cell r="H213">
            <v>7962</v>
          </cell>
        </row>
        <row r="214">
          <cell r="C214">
            <v>710.1</v>
          </cell>
          <cell r="D214">
            <v>710</v>
          </cell>
          <cell r="F214" t="str">
            <v>Señal de tránsito grupo I</v>
          </cell>
          <cell r="G214" t="str">
            <v>Un</v>
          </cell>
          <cell r="H214">
            <v>180000</v>
          </cell>
        </row>
        <row r="215">
          <cell r="C215">
            <v>710.2</v>
          </cell>
          <cell r="D215">
            <v>710</v>
          </cell>
          <cell r="F215" t="str">
            <v>Señal de tránsito grupo II</v>
          </cell>
          <cell r="G215" t="str">
            <v>Un</v>
          </cell>
          <cell r="H215">
            <v>360000</v>
          </cell>
        </row>
        <row r="216">
          <cell r="C216">
            <v>710.3</v>
          </cell>
          <cell r="D216">
            <v>710</v>
          </cell>
          <cell r="F216" t="str">
            <v>Señal de tránsito grupo III</v>
          </cell>
          <cell r="G216" t="str">
            <v>Un</v>
          </cell>
          <cell r="H216" t="str">
            <v>Un</v>
          </cell>
        </row>
        <row r="217">
          <cell r="C217">
            <v>710.4</v>
          </cell>
          <cell r="D217">
            <v>710</v>
          </cell>
          <cell r="F217" t="str">
            <v>Señal de tránsito grupo IV</v>
          </cell>
          <cell r="G217" t="str">
            <v>Un</v>
          </cell>
          <cell r="H217" t="str">
            <v>Un</v>
          </cell>
        </row>
        <row r="218">
          <cell r="C218">
            <v>710.5</v>
          </cell>
          <cell r="D218">
            <v>710</v>
          </cell>
          <cell r="F218" t="str">
            <v>Señal de tránsito grupo V</v>
          </cell>
          <cell r="G218" t="str">
            <v>m2</v>
          </cell>
          <cell r="H218">
            <v>135000</v>
          </cell>
        </row>
        <row r="219">
          <cell r="C219">
            <v>710.6</v>
          </cell>
          <cell r="D219">
            <v>710</v>
          </cell>
          <cell r="E219" t="str">
            <v>710P</v>
          </cell>
          <cell r="F219" t="str">
            <v>Suministro e instalación de pasavías</v>
          </cell>
          <cell r="G219" t="str">
            <v>Un</v>
          </cell>
          <cell r="H219">
            <v>6000000</v>
          </cell>
        </row>
        <row r="220">
          <cell r="C220">
            <v>720</v>
          </cell>
          <cell r="D220">
            <v>720</v>
          </cell>
          <cell r="F220" t="str">
            <v>Poste de kilometraje</v>
          </cell>
          <cell r="G220" t="str">
            <v>Un</v>
          </cell>
          <cell r="H220" t="e">
            <v>#REF!</v>
          </cell>
        </row>
        <row r="221">
          <cell r="C221" t="str">
            <v>720P.1</v>
          </cell>
          <cell r="F221" t="str">
            <v>Mantenimiento postes de kilometraje</v>
          </cell>
          <cell r="G221" t="str">
            <v>Un</v>
          </cell>
          <cell r="H221" t="e">
            <v>#REF!</v>
          </cell>
        </row>
        <row r="222">
          <cell r="C222">
            <v>730.1</v>
          </cell>
          <cell r="D222">
            <v>730</v>
          </cell>
          <cell r="F222" t="str">
            <v>Defensa metálica</v>
          </cell>
          <cell r="G222" t="str">
            <v>ml</v>
          </cell>
          <cell r="H222" t="e">
            <v>#REF!</v>
          </cell>
        </row>
        <row r="223">
          <cell r="C223">
            <v>730.2</v>
          </cell>
          <cell r="D223">
            <v>730</v>
          </cell>
          <cell r="F223" t="str">
            <v>Sección final</v>
          </cell>
          <cell r="G223" t="str">
            <v>Un</v>
          </cell>
          <cell r="H223" t="e">
            <v>#REF!</v>
          </cell>
        </row>
        <row r="224">
          <cell r="C224">
            <v>730.3</v>
          </cell>
          <cell r="D224">
            <v>730</v>
          </cell>
          <cell r="F224" t="str">
            <v>Sección de tope</v>
          </cell>
          <cell r="G224" t="str">
            <v>Un</v>
          </cell>
          <cell r="H224" t="str">
            <v>Un</v>
          </cell>
        </row>
        <row r="225">
          <cell r="C225">
            <v>731</v>
          </cell>
          <cell r="E225" t="str">
            <v>731P</v>
          </cell>
          <cell r="F225" t="str">
            <v>Amortiguadores para defensa metálica</v>
          </cell>
          <cell r="G225" t="str">
            <v>Un</v>
          </cell>
          <cell r="H225">
            <v>3768</v>
          </cell>
        </row>
        <row r="226">
          <cell r="C226">
            <v>740</v>
          </cell>
          <cell r="D226">
            <v>740</v>
          </cell>
          <cell r="F226" t="str">
            <v>Captafaros</v>
          </cell>
          <cell r="G226" t="str">
            <v>Un</v>
          </cell>
          <cell r="H226" t="e">
            <v>#REF!</v>
          </cell>
        </row>
        <row r="227">
          <cell r="C227">
            <v>741</v>
          </cell>
          <cell r="E227" t="str">
            <v>741P</v>
          </cell>
          <cell r="F227" t="str">
            <v>Pintura de muros</v>
          </cell>
          <cell r="G227" t="str">
            <v>m2</v>
          </cell>
          <cell r="H227" t="e">
            <v>#REF!</v>
          </cell>
        </row>
        <row r="228">
          <cell r="C228">
            <v>741.1</v>
          </cell>
          <cell r="E228" t="str">
            <v>741P-1</v>
          </cell>
          <cell r="F228" t="str">
            <v>Pintura de muros</v>
          </cell>
          <cell r="G228" t="str">
            <v>m2</v>
          </cell>
          <cell r="H228" t="str">
            <v>m2</v>
          </cell>
        </row>
        <row r="229">
          <cell r="C229">
            <v>750</v>
          </cell>
          <cell r="E229" t="str">
            <v>750P</v>
          </cell>
          <cell r="F229" t="str">
            <v>Bandas sonoras reductoras de velocidad</v>
          </cell>
          <cell r="G229" t="str">
            <v>m2</v>
          </cell>
          <cell r="H229">
            <v>69121</v>
          </cell>
        </row>
        <row r="230">
          <cell r="C230">
            <v>800.1</v>
          </cell>
          <cell r="D230">
            <v>800</v>
          </cell>
          <cell r="F230" t="str">
            <v>Cerca de alambre de púas con postes de madera</v>
          </cell>
          <cell r="G230" t="str">
            <v>ml</v>
          </cell>
          <cell r="H230" t="str">
            <v>ml</v>
          </cell>
        </row>
        <row r="231">
          <cell r="C231">
            <v>800.2</v>
          </cell>
          <cell r="D231">
            <v>800</v>
          </cell>
          <cell r="F231" t="str">
            <v>Cerca de alambre de púas con postes de concreto</v>
          </cell>
          <cell r="G231" t="str">
            <v>ml</v>
          </cell>
          <cell r="H231" t="str">
            <v>ml</v>
          </cell>
        </row>
        <row r="232">
          <cell r="C232">
            <v>800.3</v>
          </cell>
          <cell r="D232">
            <v>800</v>
          </cell>
          <cell r="F232" t="str">
            <v>Cerca de malla con postes de madera</v>
          </cell>
          <cell r="G232" t="str">
            <v>ml</v>
          </cell>
          <cell r="H232" t="str">
            <v>ml</v>
          </cell>
        </row>
        <row r="233">
          <cell r="C233">
            <v>800.4</v>
          </cell>
          <cell r="D233">
            <v>800</v>
          </cell>
          <cell r="F233" t="str">
            <v>Cerca de malla con postes de concreto</v>
          </cell>
          <cell r="G233" t="str">
            <v>ml</v>
          </cell>
          <cell r="H233" t="str">
            <v>ml</v>
          </cell>
        </row>
        <row r="234">
          <cell r="C234">
            <v>810.1</v>
          </cell>
          <cell r="D234">
            <v>810</v>
          </cell>
          <cell r="F234" t="str">
            <v>Empradización de taludes con bloques de césped</v>
          </cell>
          <cell r="G234" t="str">
            <v>m2</v>
          </cell>
          <cell r="H234" t="e">
            <v>#REF!</v>
          </cell>
          <cell r="J234" t="str">
            <v>No incluye transporte de materiales</v>
          </cell>
        </row>
        <row r="235">
          <cell r="C235">
            <v>810.2</v>
          </cell>
          <cell r="D235">
            <v>810</v>
          </cell>
          <cell r="F235" t="str">
            <v>Empradización de taludes con tierra orgánica y semillas</v>
          </cell>
          <cell r="G235" t="str">
            <v>m2</v>
          </cell>
          <cell r="H235">
            <v>6600</v>
          </cell>
          <cell r="J235" t="str">
            <v>No incluye transporte de materiales</v>
          </cell>
        </row>
        <row r="236">
          <cell r="C236">
            <v>810.3</v>
          </cell>
          <cell r="D236">
            <v>810</v>
          </cell>
          <cell r="E236" t="str">
            <v>810P</v>
          </cell>
          <cell r="F236" t="str">
            <v>Empradización de taludes con bloques de césped</v>
          </cell>
          <cell r="G236" t="str">
            <v>m2</v>
          </cell>
          <cell r="H236" t="str">
            <v>m2</v>
          </cell>
          <cell r="J236" t="str">
            <v>Incluye transporte de materiales</v>
          </cell>
        </row>
        <row r="237">
          <cell r="C237">
            <v>810.4</v>
          </cell>
          <cell r="D237">
            <v>810</v>
          </cell>
          <cell r="E237" t="str">
            <v>810P</v>
          </cell>
          <cell r="F237" t="str">
            <v>Empradización de taludes con tierra orgánica y semillas</v>
          </cell>
          <cell r="G237" t="str">
            <v>m2</v>
          </cell>
          <cell r="H237" t="str">
            <v>m2</v>
          </cell>
          <cell r="J237" t="str">
            <v>Incluye transporte de materiales</v>
          </cell>
        </row>
        <row r="238">
          <cell r="C238">
            <v>810.5</v>
          </cell>
          <cell r="D238">
            <v>810</v>
          </cell>
          <cell r="F238" t="str">
            <v>Revegetalizacion de taludes con vetivert</v>
          </cell>
          <cell r="G238" t="str">
            <v>m2</v>
          </cell>
          <cell r="H238">
            <v>5600</v>
          </cell>
        </row>
        <row r="239">
          <cell r="C239">
            <v>820.1</v>
          </cell>
          <cell r="D239">
            <v>820</v>
          </cell>
          <cell r="F239" t="str">
            <v>Geotextil</v>
          </cell>
          <cell r="G239" t="str">
            <v>m2</v>
          </cell>
          <cell r="H239" t="e">
            <v>#REF!</v>
          </cell>
        </row>
        <row r="240">
          <cell r="C240">
            <v>820.2</v>
          </cell>
          <cell r="D240">
            <v>820</v>
          </cell>
          <cell r="F240" t="str">
            <v>Geotextil para refuerzo del pavimento</v>
          </cell>
          <cell r="G240" t="str">
            <v>m2</v>
          </cell>
          <cell r="H240" t="str">
            <v>m2</v>
          </cell>
        </row>
        <row r="241">
          <cell r="C241">
            <v>830</v>
          </cell>
          <cell r="E241" t="str">
            <v>830P</v>
          </cell>
          <cell r="F241" t="str">
            <v>Limpieza de bermas, incluye cargue y retiro del material sobrante</v>
          </cell>
          <cell r="G241" t="str">
            <v>m2</v>
          </cell>
          <cell r="H241" t="str">
            <v>m2</v>
          </cell>
        </row>
        <row r="242">
          <cell r="C242" t="str">
            <v>830P.1</v>
          </cell>
          <cell r="D242">
            <v>830</v>
          </cell>
          <cell r="E242" t="str">
            <v>830P.1</v>
          </cell>
          <cell r="F242" t="str">
            <v>Limpieza de cajon, incluye cargue y retiro del material.</v>
          </cell>
          <cell r="G242" t="str">
            <v>m3</v>
          </cell>
          <cell r="H242" t="e">
            <v>#REF!</v>
          </cell>
        </row>
        <row r="243">
          <cell r="C243">
            <v>900.1</v>
          </cell>
          <cell r="D243">
            <v>900</v>
          </cell>
          <cell r="F243" t="str">
            <v>Transporte de materiales provenientes de excavación de la explanación, canales y préstamos, entre 100m y 1000m</v>
          </cell>
          <cell r="G243" t="str">
            <v>m³-E</v>
          </cell>
          <cell r="H243" t="str">
            <v>m³-E</v>
          </cell>
        </row>
        <row r="244">
          <cell r="C244">
            <v>900.2</v>
          </cell>
          <cell r="D244">
            <v>900</v>
          </cell>
          <cell r="F244" t="str">
            <v>Transporte de materiales provenientes de la excavación de la explanación, canales y préstamos para distancias mayores de 1000m</v>
          </cell>
          <cell r="G244" t="str">
            <v>m³-km</v>
          </cell>
          <cell r="H244" t="str">
            <v>m³-km</v>
          </cell>
        </row>
        <row r="245">
          <cell r="C245">
            <v>900.3</v>
          </cell>
          <cell r="D245">
            <v>900</v>
          </cell>
          <cell r="F245" t="str">
            <v>Transporte de materiales provenientes de derrumbes</v>
          </cell>
          <cell r="G245" t="str">
            <v>m³-km</v>
          </cell>
          <cell r="H245" t="str">
            <v>m³-km</v>
          </cell>
        </row>
        <row r="246">
          <cell r="C246">
            <v>1000.1</v>
          </cell>
          <cell r="E246" t="str">
            <v>1000P</v>
          </cell>
          <cell r="F246" t="str">
            <v>Retroexcavadora sobre orugas de capacidad mínima 1.5 yardas cúbicas</v>
          </cell>
          <cell r="G246" t="str">
            <v>H-maq</v>
          </cell>
          <cell r="H246" t="str">
            <v>H-maq</v>
          </cell>
        </row>
        <row r="247">
          <cell r="C247">
            <v>1000.2</v>
          </cell>
          <cell r="E247" t="str">
            <v>1000P.2</v>
          </cell>
          <cell r="F247" t="str">
            <v>Desmonte programado de rocas y material de derrumbe</v>
          </cell>
          <cell r="G247" t="str">
            <v>m3</v>
          </cell>
          <cell r="H247"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CCIDENTALIDAD"/>
      <sheetName val="ACC.EJECUTIVO"/>
      <sheetName val="ACC.EJECUTIVO-OCT-02"/>
      <sheetName val="EJEC-AGO-2002"/>
      <sheetName val="TABLA"/>
      <sheetName val="Hoja3"/>
    </sheetNames>
    <sheetDataSet>
      <sheetData sheetId="0" refreshError="1">
        <row r="2">
          <cell r="H2" t="str">
            <v>Briceño - "T" de Nemocón</v>
          </cell>
        </row>
        <row r="3">
          <cell r="B3">
            <v>1</v>
          </cell>
          <cell r="D3" t="str">
            <v>Exceso de Velocidad</v>
          </cell>
          <cell r="H3" t="str">
            <v>Briceño - Chocontá</v>
          </cell>
        </row>
        <row r="4">
          <cell r="B4">
            <v>2</v>
          </cell>
          <cell r="D4" t="str">
            <v>Fallas Mecánicas</v>
          </cell>
          <cell r="H4" t="str">
            <v>Chocontá - Guateque</v>
          </cell>
        </row>
        <row r="5">
          <cell r="B5">
            <v>3</v>
          </cell>
          <cell r="D5" t="str">
            <v>Embriaguez del conductor</v>
          </cell>
          <cell r="H5" t="str">
            <v>Sisga - Brisas</v>
          </cell>
        </row>
        <row r="6">
          <cell r="B6">
            <v>4</v>
          </cell>
          <cell r="D6" t="str">
            <v>Daños de la Calzada</v>
          </cell>
          <cell r="H6" t="str">
            <v>Zipaquirá - Ubaté</v>
          </cell>
        </row>
        <row r="7">
          <cell r="B7">
            <v>5</v>
          </cell>
          <cell r="D7" t="str">
            <v>Vehic., objeto,persona</v>
          </cell>
        </row>
        <row r="8">
          <cell r="B8">
            <v>6</v>
          </cell>
          <cell r="D8" t="str">
            <v>Imprudencia del Peatón</v>
          </cell>
        </row>
        <row r="9">
          <cell r="B9">
            <v>7</v>
          </cell>
          <cell r="D9" t="str">
            <v>Imprudencia del Conductor</v>
          </cell>
        </row>
        <row r="10">
          <cell r="B10">
            <v>99</v>
          </cell>
          <cell r="D10" t="str">
            <v>Otras</v>
          </cell>
        </row>
        <row r="11">
          <cell r="B11">
            <v>101</v>
          </cell>
          <cell r="D11" t="str">
            <v>Adelantar en Curva</v>
          </cell>
        </row>
        <row r="12">
          <cell r="B12">
            <v>102</v>
          </cell>
          <cell r="D12" t="str">
            <v>Adelantar por la derecha</v>
          </cell>
        </row>
        <row r="13">
          <cell r="B13">
            <v>103</v>
          </cell>
          <cell r="D13" t="str">
            <v>Adelantar Cerrando</v>
          </cell>
        </row>
        <row r="14">
          <cell r="B14">
            <v>104</v>
          </cell>
          <cell r="D14" t="str">
            <v>Adelantar invadiendo vía</v>
          </cell>
        </row>
        <row r="15">
          <cell r="B15">
            <v>105</v>
          </cell>
          <cell r="D15" t="str">
            <v>Adelantar en zona prohibida</v>
          </cell>
        </row>
        <row r="16">
          <cell r="B16">
            <v>106</v>
          </cell>
          <cell r="D16" t="str">
            <v>Aprovisionamiento indebido</v>
          </cell>
        </row>
        <row r="17">
          <cell r="B17">
            <v>107</v>
          </cell>
          <cell r="D17" t="str">
            <v>Cambio de Carril sin indicación</v>
          </cell>
        </row>
        <row r="18">
          <cell r="B18">
            <v>108</v>
          </cell>
          <cell r="D18" t="str">
            <v>Carga Sobresaliente sin señal</v>
          </cell>
        </row>
        <row r="19">
          <cell r="B19">
            <v>109</v>
          </cell>
          <cell r="D19" t="str">
            <v>Sueño por cansancio</v>
          </cell>
        </row>
        <row r="20">
          <cell r="B20">
            <v>110</v>
          </cell>
          <cell r="D20" t="str">
            <v>Distraerse</v>
          </cell>
        </row>
        <row r="21">
          <cell r="B21">
            <v>111</v>
          </cell>
          <cell r="D21" t="str">
            <v>Dejar obstáculo en la vía</v>
          </cell>
        </row>
        <row r="22">
          <cell r="B22">
            <v>112</v>
          </cell>
          <cell r="D22" t="str">
            <v>Desobedecer señales</v>
          </cell>
        </row>
        <row r="23">
          <cell r="B23">
            <v>113</v>
          </cell>
          <cell r="D23" t="str">
            <v>Desobedecer al agente</v>
          </cell>
        </row>
        <row r="24">
          <cell r="B24">
            <v>114</v>
          </cell>
        </row>
        <row r="25">
          <cell r="B25">
            <v>115</v>
          </cell>
          <cell r="D25" t="str">
            <v>Drogadicción del conductor</v>
          </cell>
        </row>
        <row r="26">
          <cell r="B26">
            <v>116</v>
          </cell>
          <cell r="D26" t="str">
            <v>Exceso de velocidad [01]</v>
          </cell>
        </row>
        <row r="27">
          <cell r="B27">
            <v>117</v>
          </cell>
          <cell r="D27" t="str">
            <v>Explosivos o similares con pasajeros</v>
          </cell>
        </row>
        <row r="28">
          <cell r="B28">
            <v>118</v>
          </cell>
          <cell r="D28" t="str">
            <v>Falta de mantenimiento mecánico</v>
          </cell>
        </row>
        <row r="29">
          <cell r="B29">
            <v>119</v>
          </cell>
          <cell r="D29" t="str">
            <v>Frenar bruscamente</v>
          </cell>
        </row>
        <row r="30">
          <cell r="B30">
            <v>120</v>
          </cell>
          <cell r="D30" t="str">
            <v>Pasajero obstruyendo conductor</v>
          </cell>
        </row>
        <row r="31">
          <cell r="B31">
            <v>121</v>
          </cell>
          <cell r="D31" t="str">
            <v>No mantener distancia seguridad</v>
          </cell>
        </row>
        <row r="32">
          <cell r="B32">
            <v>122</v>
          </cell>
          <cell r="D32" t="str">
            <v>Girar bruscamente</v>
          </cell>
        </row>
        <row r="33">
          <cell r="B33">
            <v>123</v>
          </cell>
          <cell r="D33" t="str">
            <v>Girar sin indicación</v>
          </cell>
        </row>
        <row r="34">
          <cell r="B34">
            <v>124</v>
          </cell>
          <cell r="D34" t="str">
            <v>No cambiar luces</v>
          </cell>
        </row>
        <row r="35">
          <cell r="B35">
            <v>125</v>
          </cell>
          <cell r="D35" t="str">
            <v>Parquear sin seguridad</v>
          </cell>
        </row>
        <row r="36">
          <cell r="B36">
            <v>126</v>
          </cell>
          <cell r="D36" t="str">
            <v>Animales en la vía</v>
          </cell>
        </row>
        <row r="37">
          <cell r="B37">
            <v>127</v>
          </cell>
          <cell r="D37" t="str">
            <v>Transitar en contravía</v>
          </cell>
        </row>
        <row r="38">
          <cell r="B38">
            <v>128</v>
          </cell>
          <cell r="D38" t="str">
            <v>Recoger o dejar pasajeros</v>
          </cell>
        </row>
        <row r="39">
          <cell r="B39">
            <v>129</v>
          </cell>
          <cell r="D39" t="str">
            <v>Transitar sin luces</v>
          </cell>
        </row>
        <row r="40">
          <cell r="B40">
            <v>130</v>
          </cell>
          <cell r="D40" t="str">
            <v>Salirse de la vía</v>
          </cell>
        </row>
        <row r="41">
          <cell r="B41">
            <v>131</v>
          </cell>
          <cell r="D41" t="str">
            <v>Subirse al andén</v>
          </cell>
        </row>
        <row r="42">
          <cell r="B42">
            <v>132</v>
          </cell>
          <cell r="D42" t="str">
            <v>No respetar prelación</v>
          </cell>
        </row>
        <row r="43">
          <cell r="B43">
            <v>133</v>
          </cell>
          <cell r="D43" t="str">
            <v>Reverso imprudente</v>
          </cell>
        </row>
        <row r="44">
          <cell r="B44">
            <v>134</v>
          </cell>
          <cell r="D44" t="str">
            <v>Impericia en el manejo</v>
          </cell>
        </row>
        <row r="45">
          <cell r="B45">
            <v>135</v>
          </cell>
          <cell r="D45" t="str">
            <v>Transitar por fuera del carril</v>
          </cell>
        </row>
        <row r="46">
          <cell r="B46">
            <v>136</v>
          </cell>
          <cell r="D46" t="str">
            <v>Transitar zigzagueando</v>
          </cell>
        </row>
        <row r="47">
          <cell r="B47">
            <v>137</v>
          </cell>
          <cell r="D47" t="str">
            <v>Remolque sin precaución</v>
          </cell>
        </row>
        <row r="48">
          <cell r="B48">
            <v>138</v>
          </cell>
          <cell r="D48" t="str">
            <v>Incendio por reparación indebida</v>
          </cell>
        </row>
        <row r="49">
          <cell r="B49">
            <v>139</v>
          </cell>
          <cell r="D49" t="str">
            <v>Falta de señales  vehículo varado</v>
          </cell>
        </row>
        <row r="50">
          <cell r="B50">
            <v>140</v>
          </cell>
          <cell r="D50" t="str">
            <v>Falta precaución niebla,lluvia,humo</v>
          </cell>
        </row>
        <row r="51">
          <cell r="B51">
            <v>141</v>
          </cell>
          <cell r="D51" t="str">
            <v>Vehículo mal estacionado</v>
          </cell>
        </row>
        <row r="52">
          <cell r="B52">
            <v>142</v>
          </cell>
          <cell r="D52" t="str">
            <v>Semáforo en rojo</v>
          </cell>
        </row>
        <row r="53">
          <cell r="B53">
            <v>143</v>
          </cell>
          <cell r="D53" t="str">
            <v>Poner marcha vehic. sin precauc.</v>
          </cell>
        </row>
        <row r="54">
          <cell r="B54">
            <v>201</v>
          </cell>
          <cell r="D54" t="str">
            <v>Fallas en las llantas</v>
          </cell>
        </row>
        <row r="55">
          <cell r="B55">
            <v>202</v>
          </cell>
          <cell r="D55" t="str">
            <v>Fallas en los frenos</v>
          </cell>
        </row>
        <row r="56">
          <cell r="B56">
            <v>203</v>
          </cell>
          <cell r="D56" t="str">
            <v>Fallas en la dirección</v>
          </cell>
        </row>
        <row r="57">
          <cell r="B57">
            <v>204</v>
          </cell>
          <cell r="D57" t="str">
            <v>Fallas en luces direccionales</v>
          </cell>
        </row>
        <row r="58">
          <cell r="B58">
            <v>205</v>
          </cell>
          <cell r="D58" t="str">
            <v>Fallas en luces de frenos</v>
          </cell>
        </row>
        <row r="59">
          <cell r="B59">
            <v>206</v>
          </cell>
          <cell r="D59" t="str">
            <v>Fallas en las luces delanteras</v>
          </cell>
        </row>
        <row r="60">
          <cell r="B60">
            <v>207</v>
          </cell>
          <cell r="D60" t="str">
            <v>Fallas en las luces posteriores</v>
          </cell>
        </row>
        <row r="61">
          <cell r="B61">
            <v>208</v>
          </cell>
          <cell r="D61" t="str">
            <v>Fallas en la bocina</v>
          </cell>
        </row>
        <row r="62">
          <cell r="B62">
            <v>209</v>
          </cell>
          <cell r="D62" t="str">
            <v>Fallas exosto (gases int. vehic.)</v>
          </cell>
        </row>
        <row r="63">
          <cell r="B63">
            <v>210</v>
          </cell>
          <cell r="D63" t="str">
            <v>Fallas en el limpiaparabrisas</v>
          </cell>
        </row>
        <row r="64">
          <cell r="B64">
            <v>211</v>
          </cell>
          <cell r="D64" t="str">
            <v>Fallas en el sistema eléctrico</v>
          </cell>
        </row>
        <row r="65">
          <cell r="B65">
            <v>212</v>
          </cell>
          <cell r="D65" t="str">
            <v>Fallas en las puertas</v>
          </cell>
        </row>
        <row r="66">
          <cell r="B66">
            <v>213</v>
          </cell>
          <cell r="D66" t="str">
            <v>Ausencia o deficiencia espejo retrovisor</v>
          </cell>
        </row>
        <row r="67">
          <cell r="B67">
            <v>214</v>
          </cell>
          <cell r="D67" t="str">
            <v>Vidrios en mal estado</v>
          </cell>
        </row>
        <row r="68">
          <cell r="B68">
            <v>215</v>
          </cell>
          <cell r="D68" t="str">
            <v>Fallas en la tapa del motor</v>
          </cell>
        </row>
        <row r="69">
          <cell r="B69">
            <v>304</v>
          </cell>
          <cell r="D69" t="str">
            <v>Superficie Húmeda</v>
          </cell>
        </row>
        <row r="70">
          <cell r="B70">
            <v>501</v>
          </cell>
          <cell r="D70" t="str">
            <v>Viajar colgado o en los estribos</v>
          </cell>
        </row>
        <row r="71">
          <cell r="B71">
            <v>502</v>
          </cell>
          <cell r="D71" t="str">
            <v>Descender o subir de vehic. en marcha</v>
          </cell>
        </row>
        <row r="72">
          <cell r="B72">
            <v>503</v>
          </cell>
          <cell r="D72" t="str">
            <v>Pasajero Embriagado</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4"/>
    </sheetNames>
    <sheetDataSet>
      <sheetData sheetId="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sheetName val="S.M.M.V"/>
      <sheetName val="AIU"/>
      <sheetName val="1.1"/>
      <sheetName val="1.2"/>
      <sheetName val="1.3"/>
      <sheetName val="1.4"/>
      <sheetName val="1.5"/>
      <sheetName val="1.6"/>
      <sheetName val="2.1"/>
      <sheetName val="2.2"/>
      <sheetName val="2.3"/>
      <sheetName val="2.4"/>
      <sheetName val="3.1"/>
      <sheetName val="4.1"/>
      <sheetName val="4.2"/>
      <sheetName val="4.3"/>
      <sheetName val="Hoja7"/>
    </sheetNames>
    <sheetDataSet>
      <sheetData sheetId="0"/>
      <sheetData sheetId="1">
        <row r="7">
          <cell r="A7" t="str">
            <v>1.1</v>
          </cell>
        </row>
      </sheetData>
      <sheetData sheetId="2">
        <row r="14">
          <cell r="C14">
            <v>689455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SUB_APU3"/>
      <sheetName val="RESUMEN_PRESUPU_3"/>
      <sheetName val="SUB_APU1"/>
      <sheetName val="RESUMEN_PRESUPU_1"/>
      <sheetName val="SUB_APU"/>
      <sheetName val="RESUMEN_PRESUPU_"/>
      <sheetName val="SUB_APU2"/>
      <sheetName val="RESUMEN_PRESUPU_2"/>
      <sheetName val="Indicadores"/>
      <sheetName val="SIMULACIÓNEDIFICIO.ok"/>
      <sheetName val="Propiedad"/>
      <sheetName val="Reparación"/>
      <sheetName val="SUB_APU4"/>
      <sheetName val="RESUMEN_PRESUPU_4"/>
      <sheetName val="REC-COD,"/>
      <sheetName val="DESPLEGABLE"/>
      <sheetName val="Hoja4"/>
      <sheetName val="PARQUE MALIBU"/>
      <sheetName val="Solicitud de Servicios"/>
      <sheetName val="anexo2"/>
      <sheetName val="Anexo 5-1"/>
      <sheetName val="Anexo 5"/>
      <sheetName val="CHECK LIST INFORME"/>
      <sheetName val="CERT. BIENES-SERV"/>
      <sheetName val="CHECK LIST"/>
      <sheetName val="FICHA FINANCIERA"/>
      <sheetName val="CONTROL ACTAS"/>
      <sheetName val="Seguimiento (2)"/>
      <sheetName val="Hoja1"/>
    </sheetNames>
    <sheetDataSet>
      <sheetData sheetId="0">
        <row r="1">
          <cell r="A1" t="str">
            <v>CODIGO</v>
          </cell>
        </row>
      </sheetData>
      <sheetData sheetId="1">
        <row r="1">
          <cell r="A1" t="str">
            <v>CODIGO</v>
          </cell>
        </row>
      </sheetData>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CODIGO</v>
          </cell>
        </row>
      </sheetData>
      <sheetData sheetId="17">
        <row r="1">
          <cell r="A1" t="str">
            <v>CODIGO</v>
          </cell>
        </row>
      </sheetData>
      <sheetData sheetId="18">
        <row r="1">
          <cell r="A1" t="str">
            <v>CODIGO</v>
          </cell>
        </row>
      </sheetData>
      <sheetData sheetId="19">
        <row r="1">
          <cell r="A1" t="str">
            <v>CODIGO</v>
          </cell>
        </row>
      </sheetData>
      <sheetData sheetId="20">
        <row r="1">
          <cell r="A1" t="str">
            <v>CODIGO</v>
          </cell>
        </row>
      </sheetData>
      <sheetData sheetId="21">
        <row r="1">
          <cell r="A1" t="str">
            <v>CODIGO</v>
          </cell>
        </row>
      </sheetData>
      <sheetData sheetId="22" refreshError="1"/>
      <sheetData sheetId="23" refreshError="1"/>
      <sheetData sheetId="24" refreshError="1"/>
      <sheetData sheetId="25" refreshError="1"/>
      <sheetData sheetId="26" refreshError="1"/>
      <sheetData sheetId="27" refreshError="1"/>
      <sheetData sheetId="28">
        <row r="1">
          <cell r="A1" t="str">
            <v>CODIGO</v>
          </cell>
        </row>
      </sheetData>
      <sheetData sheetId="29"/>
      <sheetData sheetId="30" refreshError="1"/>
      <sheetData sheetId="31" refreshError="1"/>
      <sheetData sheetId="32" refreshError="1"/>
      <sheetData sheetId="33">
        <row r="2">
          <cell r="A2">
            <v>0</v>
          </cell>
        </row>
      </sheetData>
      <sheetData sheetId="34" refreshError="1"/>
      <sheetData sheetId="35" refreshError="1"/>
      <sheetData sheetId="36"/>
      <sheetData sheetId="37">
        <row r="2">
          <cell r="A2">
            <v>0</v>
          </cell>
        </row>
      </sheetData>
      <sheetData sheetId="38"/>
      <sheetData sheetId="39"/>
      <sheetData sheetId="40"/>
      <sheetData sheetId="41"/>
      <sheetData sheetId="42">
        <row r="1">
          <cell r="A1">
            <v>0</v>
          </cell>
        </row>
      </sheetData>
      <sheetData sheetId="43"/>
      <sheetData sheetId="4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s>
    <sheetDataSet>
      <sheetData sheetId="0" refreshError="1">
        <row r="60">
          <cell r="F60">
            <v>80591.125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 con"/>
      <sheetName val="FACTORES"/>
      <sheetName val="ACOMETIDAS"/>
      <sheetName val="SUMA TUBERIA"/>
      <sheetName val="TUBERIA"/>
      <sheetName val="CONST DOM"/>
      <sheetName val="PAVIMENTO"/>
      <sheetName val="dem poz"/>
      <sheetName val="RESUMEN"/>
      <sheetName val="SAN BASILIO N"/>
      <sheetName val="TOTALES"/>
      <sheetName val="SAN BASILIO NEGRAS"/>
    </sheetNames>
    <sheetDataSet>
      <sheetData sheetId="0"/>
      <sheetData sheetId="1"/>
      <sheetData sheetId="2"/>
      <sheetData sheetId="3"/>
      <sheetData sheetId="4" refreshError="1">
        <row r="10">
          <cell r="AB10">
            <v>0</v>
          </cell>
        </row>
        <row r="14">
          <cell r="AB14">
            <v>0.56999999999999995</v>
          </cell>
        </row>
        <row r="15">
          <cell r="AB15">
            <v>0</v>
          </cell>
        </row>
        <row r="19">
          <cell r="AB19">
            <v>0.56999999999999995</v>
          </cell>
        </row>
        <row r="20">
          <cell r="AB20">
            <v>0</v>
          </cell>
        </row>
        <row r="24">
          <cell r="AB24">
            <v>0.56999999999999995</v>
          </cell>
        </row>
        <row r="25">
          <cell r="AB25">
            <v>0</v>
          </cell>
        </row>
        <row r="29">
          <cell r="AB29">
            <v>0.56999999999999995</v>
          </cell>
        </row>
        <row r="30">
          <cell r="AB30">
            <v>0</v>
          </cell>
        </row>
        <row r="34">
          <cell r="AB34">
            <v>0.56999999999999995</v>
          </cell>
        </row>
        <row r="35">
          <cell r="AB35">
            <v>0</v>
          </cell>
        </row>
        <row r="39">
          <cell r="AB39">
            <v>0</v>
          </cell>
        </row>
        <row r="40">
          <cell r="AB40">
            <v>0</v>
          </cell>
        </row>
        <row r="44">
          <cell r="AB44">
            <v>0.56999999999999995</v>
          </cell>
        </row>
        <row r="45">
          <cell r="AB45">
            <v>0</v>
          </cell>
        </row>
        <row r="49">
          <cell r="AB49">
            <v>0.56999999999999995</v>
          </cell>
        </row>
        <row r="50">
          <cell r="AB50">
            <v>0</v>
          </cell>
        </row>
        <row r="54">
          <cell r="AB54">
            <v>0.56999999999999995</v>
          </cell>
        </row>
        <row r="55">
          <cell r="AB55">
            <v>0</v>
          </cell>
        </row>
        <row r="59">
          <cell r="AB59">
            <v>0.56999999999999995</v>
          </cell>
        </row>
        <row r="60">
          <cell r="AB60">
            <v>0</v>
          </cell>
        </row>
        <row r="64">
          <cell r="AB64">
            <v>0.56999999999999995</v>
          </cell>
        </row>
        <row r="65">
          <cell r="AB65">
            <v>0</v>
          </cell>
        </row>
        <row r="69">
          <cell r="AB69">
            <v>0.56999999999999995</v>
          </cell>
        </row>
        <row r="70">
          <cell r="AB70">
            <v>0</v>
          </cell>
        </row>
        <row r="74">
          <cell r="AB74">
            <v>0.56999999999999995</v>
          </cell>
        </row>
        <row r="75">
          <cell r="AB75">
            <v>0</v>
          </cell>
        </row>
        <row r="79">
          <cell r="AB79">
            <v>0.56999999999999995</v>
          </cell>
        </row>
        <row r="80">
          <cell r="AB80">
            <v>0</v>
          </cell>
        </row>
        <row r="84">
          <cell r="AB84">
            <v>0.56999999999999995</v>
          </cell>
        </row>
      </sheetData>
      <sheetData sheetId="5"/>
      <sheetData sheetId="6"/>
      <sheetData sheetId="7"/>
      <sheetData sheetId="8"/>
      <sheetData sheetId="9"/>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TUBERIA"/>
      <sheetName val="ManoObra"/>
      <sheetName val="septiembre"/>
      <sheetName val="octubre impr (2)"/>
      <sheetName val="octubre"/>
      <sheetName val="octubre impr"/>
      <sheetName val="Tabla CONPES 3714"/>
    </sheetNames>
    <sheetDataSet>
      <sheetData sheetId="0" refreshError="1">
        <row r="8">
          <cell r="M8">
            <v>1.6584571641407996E-2</v>
          </cell>
        </row>
        <row r="9">
          <cell r="M9">
            <v>2.2426467938538669E-2</v>
          </cell>
        </row>
        <row r="10">
          <cell r="M10">
            <v>2.8274936599466664E-2</v>
          </cell>
        </row>
        <row r="11">
          <cell r="M11">
            <v>3.829661593736533E-2</v>
          </cell>
        </row>
        <row r="12">
          <cell r="M12">
            <v>4.5516980430421336E-2</v>
          </cell>
        </row>
        <row r="13">
          <cell r="M13">
            <v>5.3258333226048005E-2</v>
          </cell>
        </row>
        <row r="14">
          <cell r="M14">
            <v>6.1634517528832006E-2</v>
          </cell>
        </row>
        <row r="15">
          <cell r="M15">
            <v>7.0733394045866677E-2</v>
          </cell>
        </row>
        <row r="16">
          <cell r="M16">
            <v>9.5576087426047993E-2</v>
          </cell>
        </row>
        <row r="17">
          <cell r="M17">
            <v>0.12212833482117867</v>
          </cell>
        </row>
        <row r="18">
          <cell r="M18">
            <v>0.14359225586346663</v>
          </cell>
        </row>
        <row r="19">
          <cell r="M19">
            <v>0.17174652128076801</v>
          </cell>
        </row>
        <row r="20">
          <cell r="M20">
            <v>0.20882594236319996</v>
          </cell>
        </row>
        <row r="21">
          <cell r="M21">
            <v>0.24948355910860801</v>
          </cell>
        </row>
        <row r="22">
          <cell r="M22">
            <v>0.29331212464947198</v>
          </cell>
        </row>
        <row r="23">
          <cell r="M23">
            <v>0.50414299258879991</v>
          </cell>
        </row>
      </sheetData>
      <sheetData sheetId="1" refreshError="1"/>
      <sheetData sheetId="2" refreshError="1"/>
      <sheetData sheetId="3" refreshError="1"/>
      <sheetData sheetId="4" refreshError="1"/>
      <sheetData sheetId="5"/>
      <sheetData sheetId="6"/>
      <sheetData sheetId="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ALCANTARILLADO"/>
      <sheetName val="REDES SEC SUR"/>
      <sheetName val="APU REDES SEC SUR"/>
      <sheetName val="COLECTOR SUR "/>
      <sheetName val="APU COL SUR"/>
      <sheetName val="PTAR SUR"/>
      <sheetName val="REDES SEC NORTE"/>
      <sheetName val="APU REDES SEC NORTE"/>
      <sheetName val="COLECTOR NORTE"/>
      <sheetName val="APU COLEC NORTE"/>
      <sheetName val="PTAR NORTE"/>
      <sheetName val="APU PTAR NORTE"/>
      <sheetName val="REDES SEC Travesía."/>
      <sheetName val="APU REDES Travesía"/>
      <sheetName val="PTAR Travesía"/>
      <sheetName val="APU PTAR Travesía"/>
      <sheetName val="REDES SEC Mulatos"/>
      <sheetName val="APU REDES Mulatos"/>
      <sheetName val="PTAR Mulatos"/>
      <sheetName val="APU PTAR Mulatos"/>
      <sheetName val="REDES SEC Escuela"/>
      <sheetName val="APU REDES Escuela"/>
      <sheetName val="PTAR Escuela"/>
      <sheetName val="APU PTAR Escuela"/>
      <sheetName val="BASE CTOS"/>
      <sheetName val="BASE"/>
      <sheetName val="materiales"/>
      <sheetName val="APU PTAR SUR"/>
      <sheetName val="Tabla 1.1"/>
      <sheetName val="RESUMEN_OBRAS_ALCANTARILLADO"/>
      <sheetName val="REDES_SEC_SUR"/>
      <sheetName val="APU_REDES_SEC_SUR"/>
      <sheetName val="COLECTOR_SUR_"/>
      <sheetName val="APU_COL_SUR"/>
      <sheetName val="PTAR_SUR"/>
      <sheetName val="REDES_SEC_NORTE"/>
      <sheetName val="APU_REDES_SEC_NORTE"/>
      <sheetName val="COLECTOR_NORTE"/>
      <sheetName val="APU_COLEC_NORTE"/>
      <sheetName val="PTAR_NORTE"/>
      <sheetName val="APU_PTAR_NORTE"/>
      <sheetName val="REDES_SEC_Travesía_"/>
      <sheetName val="APU_REDES_Travesía"/>
      <sheetName val="PTAR_Travesía"/>
      <sheetName val="APU_PTAR_Travesía"/>
      <sheetName val="REDES_SEC_Mulatos"/>
      <sheetName val="APU_REDES_Mulatos"/>
      <sheetName val="PTAR_Mulatos"/>
      <sheetName val="APU_PTAR_Mulatos"/>
      <sheetName val="REDES_SEC_Escuela"/>
      <sheetName val="APU_REDES_Escuela"/>
      <sheetName val="PTAR_Escuela"/>
      <sheetName val="APU_PTAR_Escuela"/>
      <sheetName val="BASE_CTOS"/>
      <sheetName val="APU_PTAR_SUR"/>
      <sheetName val="Tabla_1_1"/>
      <sheetName val="RESUMEN_OBRAS_ALCANTARILLADO2"/>
      <sheetName val="REDES_SEC_SUR2"/>
      <sheetName val="APU_REDES_SEC_SUR2"/>
      <sheetName val="COLECTOR_SUR_2"/>
      <sheetName val="APU_COL_SUR2"/>
      <sheetName val="PTAR_SUR2"/>
      <sheetName val="REDES_SEC_NORTE2"/>
      <sheetName val="APU_REDES_SEC_NORTE2"/>
      <sheetName val="COLECTOR_NORTE2"/>
      <sheetName val="APU_COLEC_NORTE2"/>
      <sheetName val="PTAR_NORTE2"/>
      <sheetName val="APU_PTAR_NORTE2"/>
      <sheetName val="REDES_SEC_Travesía_2"/>
      <sheetName val="APU_REDES_Travesía2"/>
      <sheetName val="PTAR_Travesía2"/>
      <sheetName val="APU_PTAR_Travesía2"/>
      <sheetName val="REDES_SEC_Mulatos2"/>
      <sheetName val="APU_REDES_Mulatos2"/>
      <sheetName val="PTAR_Mulatos2"/>
      <sheetName val="APU_PTAR_Mulatos2"/>
      <sheetName val="REDES_SEC_Escuela2"/>
      <sheetName val="APU_REDES_Escuela2"/>
      <sheetName val="PTAR_Escuela2"/>
      <sheetName val="APU_PTAR_Escuela2"/>
      <sheetName val="BASE_CTOS2"/>
      <sheetName val="APU_PTAR_SUR2"/>
      <sheetName val="Tabla_1_12"/>
      <sheetName val="RESUMEN_OBRAS_ALCANTARILLADO1"/>
      <sheetName val="REDES_SEC_SUR1"/>
      <sheetName val="APU_REDES_SEC_SUR1"/>
      <sheetName val="COLECTOR_SUR_1"/>
      <sheetName val="APU_COL_SUR1"/>
      <sheetName val="PTAR_SUR1"/>
      <sheetName val="REDES_SEC_NORTE1"/>
      <sheetName val="APU_REDES_SEC_NORTE1"/>
      <sheetName val="COLECTOR_NORTE1"/>
      <sheetName val="APU_COLEC_NORTE1"/>
      <sheetName val="PTAR_NORTE1"/>
      <sheetName val="APU_PTAR_NORTE1"/>
      <sheetName val="REDES_SEC_Travesía_1"/>
      <sheetName val="APU_REDES_Travesía1"/>
      <sheetName val="PTAR_Travesía1"/>
      <sheetName val="APU_PTAR_Travesía1"/>
      <sheetName val="REDES_SEC_Mulatos1"/>
      <sheetName val="APU_REDES_Mulatos1"/>
      <sheetName val="PTAR_Mulatos1"/>
      <sheetName val="APU_PTAR_Mulatos1"/>
      <sheetName val="REDES_SEC_Escuela1"/>
      <sheetName val="APU_REDES_Escuela1"/>
      <sheetName val="PTAR_Escuela1"/>
      <sheetName val="APU_PTAR_Escuela1"/>
      <sheetName val="BASE_CTOS1"/>
      <sheetName val="APU_PTAR_SUR1"/>
      <sheetName val="Tabla_1_11"/>
      <sheetName val="SUB APU"/>
      <sheetName val="Hoja2"/>
      <sheetName val="OBRAS SES"/>
      <sheetName val="Ene-Feb"/>
      <sheetName val="Jul-Ago"/>
      <sheetName val="Mar-Abr"/>
      <sheetName val="May-Jun"/>
      <sheetName val="Nov-Dic"/>
      <sheetName val="Sep-O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
          <cell r="C3">
            <v>0.25</v>
          </cell>
        </row>
        <row r="306">
          <cell r="D306">
            <v>100</v>
          </cell>
        </row>
      </sheetData>
      <sheetData sheetId="26" refreshError="1"/>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datosluminariasRoyAlPHa"/>
      <sheetName val="Registros_de_Asistencia"/>
      <sheetName val="Simulación Inf."/>
      <sheetName val="APU2"/>
    </sheetNames>
    <sheetDataSet>
      <sheetData sheetId="0" refreshError="1">
        <row r="4">
          <cell r="A4" t="str">
            <v>CODIGO</v>
          </cell>
          <cell r="B4" t="str">
            <v>EQUIPOS</v>
          </cell>
          <cell r="C4" t="str">
            <v>TIPO</v>
          </cell>
          <cell r="D4" t="str">
            <v>TARIFA/HORA</v>
          </cell>
          <cell r="E4" t="str">
            <v>RENDIMIENTO</v>
          </cell>
        </row>
        <row r="5">
          <cell r="A5">
            <v>1</v>
          </cell>
          <cell r="B5" t="str">
            <v>RETROCARGADOR</v>
          </cell>
          <cell r="C5" t="str">
            <v>JD-510</v>
          </cell>
          <cell r="D5">
            <v>35000</v>
          </cell>
        </row>
        <row r="6">
          <cell r="A6">
            <v>2</v>
          </cell>
          <cell r="B6" t="str">
            <v>MOTONIVELADORA</v>
          </cell>
          <cell r="C6" t="str">
            <v xml:space="preserve">CAT </v>
          </cell>
          <cell r="D6">
            <v>45000</v>
          </cell>
        </row>
        <row r="7">
          <cell r="A7">
            <v>3</v>
          </cell>
          <cell r="B7" t="str">
            <v>VIBROCOMPACTADOR</v>
          </cell>
          <cell r="C7" t="str">
            <v xml:space="preserve">CAT </v>
          </cell>
          <cell r="D7">
            <v>45000</v>
          </cell>
        </row>
        <row r="8">
          <cell r="A8">
            <v>4</v>
          </cell>
          <cell r="B8" t="str">
            <v>RETROEXCAVADORA</v>
          </cell>
          <cell r="C8" t="str">
            <v xml:space="preserve">CAT </v>
          </cell>
          <cell r="D8">
            <v>60000</v>
          </cell>
        </row>
        <row r="9">
          <cell r="A9">
            <v>5</v>
          </cell>
          <cell r="B9" t="str">
            <v>BULLDOZER</v>
          </cell>
          <cell r="C9" t="str">
            <v>D6D</v>
          </cell>
          <cell r="D9">
            <v>45000</v>
          </cell>
        </row>
        <row r="10">
          <cell r="A10">
            <v>6</v>
          </cell>
          <cell r="B10" t="str">
            <v>VOLQUETA</v>
          </cell>
          <cell r="C10" t="str">
            <v>5m3</v>
          </cell>
          <cell r="D10">
            <v>22500</v>
          </cell>
        </row>
        <row r="11">
          <cell r="A11">
            <v>7</v>
          </cell>
          <cell r="B11" t="str">
            <v>MOTOBOMBA</v>
          </cell>
          <cell r="D11">
            <v>4000</v>
          </cell>
        </row>
        <row r="12">
          <cell r="A12">
            <v>8</v>
          </cell>
          <cell r="B12" t="str">
            <v>HERRAMIENTA 1O% M.O</v>
          </cell>
        </row>
        <row r="13">
          <cell r="A13">
            <v>9</v>
          </cell>
          <cell r="B13" t="str">
            <v xml:space="preserve">CARROTANQUE </v>
          </cell>
          <cell r="C13" t="str">
            <v>2500 GL</v>
          </cell>
          <cell r="D13">
            <v>22500</v>
          </cell>
        </row>
        <row r="14">
          <cell r="A14">
            <v>10</v>
          </cell>
          <cell r="B14" t="str">
            <v>FINISHER</v>
          </cell>
          <cell r="C14" t="str">
            <v xml:space="preserve">CAT </v>
          </cell>
          <cell r="D14">
            <v>80000</v>
          </cell>
        </row>
        <row r="15">
          <cell r="A15">
            <v>11</v>
          </cell>
          <cell r="B15" t="str">
            <v>TRITURADORA</v>
          </cell>
          <cell r="C15" t="str">
            <v xml:space="preserve">CAT </v>
          </cell>
          <cell r="D15">
            <v>100000</v>
          </cell>
        </row>
        <row r="16">
          <cell r="A16">
            <v>12</v>
          </cell>
          <cell r="B16" t="str">
            <v>CARGADOR</v>
          </cell>
          <cell r="C16" t="str">
            <v xml:space="preserve">CAT </v>
          </cell>
          <cell r="D16">
            <v>45000</v>
          </cell>
        </row>
        <row r="17">
          <cell r="A17">
            <v>13</v>
          </cell>
          <cell r="B17" t="str">
            <v>COMPACTADOR</v>
          </cell>
          <cell r="C17" t="str">
            <v xml:space="preserve">CAT </v>
          </cell>
          <cell r="D17">
            <v>45000</v>
          </cell>
        </row>
        <row r="18">
          <cell r="A18">
            <v>14</v>
          </cell>
          <cell r="B18" t="str">
            <v>IRRIGADOR</v>
          </cell>
          <cell r="C18" t="str">
            <v>600M2/h</v>
          </cell>
          <cell r="D18">
            <v>45000</v>
          </cell>
        </row>
        <row r="19">
          <cell r="A19">
            <v>15</v>
          </cell>
          <cell r="B19" t="str">
            <v>RANA</v>
          </cell>
          <cell r="C19" t="str">
            <v>5 HP</v>
          </cell>
          <cell r="D19">
            <v>5375</v>
          </cell>
        </row>
        <row r="20">
          <cell r="A20">
            <v>16</v>
          </cell>
          <cell r="B20" t="str">
            <v xml:space="preserve">MEZCLADORA </v>
          </cell>
          <cell r="C20" t="str">
            <v>1.5 Bultos</v>
          </cell>
          <cell r="D20">
            <v>6125</v>
          </cell>
        </row>
        <row r="21">
          <cell r="A21">
            <v>17</v>
          </cell>
          <cell r="B21" t="str">
            <v>MAQUINA DEMARCADORA</v>
          </cell>
          <cell r="C21" t="str">
            <v>CHORRO</v>
          </cell>
          <cell r="D21">
            <v>40000</v>
          </cell>
        </row>
        <row r="23">
          <cell r="A23" t="str">
            <v>CODIGO</v>
          </cell>
          <cell r="B23" t="str">
            <v>MATERIALES</v>
          </cell>
          <cell r="C23" t="str">
            <v>UNIDAD</v>
          </cell>
          <cell r="D23" t="str">
            <v>TARIFA</v>
          </cell>
        </row>
        <row r="24">
          <cell r="A24">
            <v>18</v>
          </cell>
          <cell r="B24" t="str">
            <v>LAMINA GALVANIZADA</v>
          </cell>
          <cell r="C24" t="str">
            <v>M2</v>
          </cell>
          <cell r="D24">
            <v>30000</v>
          </cell>
        </row>
        <row r="25">
          <cell r="A25">
            <v>19</v>
          </cell>
          <cell r="B25" t="str">
            <v>SOPORTES</v>
          </cell>
          <cell r="C25" t="str">
            <v>UNI.</v>
          </cell>
          <cell r="D25">
            <v>120000</v>
          </cell>
        </row>
        <row r="26">
          <cell r="A26">
            <v>20</v>
          </cell>
          <cell r="B26" t="str">
            <v>PINTURA</v>
          </cell>
          <cell r="C26" t="str">
            <v>GALON</v>
          </cell>
          <cell r="D26">
            <v>25000</v>
          </cell>
        </row>
        <row r="27">
          <cell r="A27">
            <v>21</v>
          </cell>
          <cell r="B27" t="str">
            <v>ARTE</v>
          </cell>
          <cell r="C27" t="str">
            <v>GLOBAL</v>
          </cell>
          <cell r="D27">
            <v>300000</v>
          </cell>
        </row>
        <row r="28">
          <cell r="A28">
            <v>22</v>
          </cell>
          <cell r="B28" t="str">
            <v>INSTALACION</v>
          </cell>
          <cell r="C28" t="str">
            <v>GLOBAL</v>
          </cell>
          <cell r="D28">
            <v>250000</v>
          </cell>
        </row>
        <row r="29">
          <cell r="A29">
            <v>23</v>
          </cell>
          <cell r="B29" t="str">
            <v>FABRICACION</v>
          </cell>
          <cell r="C29" t="str">
            <v>BLOBAL</v>
          </cell>
          <cell r="D29">
            <v>250000</v>
          </cell>
        </row>
        <row r="30">
          <cell r="A30">
            <v>24</v>
          </cell>
          <cell r="B30" t="str">
            <v>EQUIPO DE TOPOGRAFIA</v>
          </cell>
          <cell r="C30" t="str">
            <v>KEM</v>
          </cell>
          <cell r="D30">
            <v>7500</v>
          </cell>
        </row>
        <row r="31">
          <cell r="A31">
            <v>25</v>
          </cell>
          <cell r="B31" t="str">
            <v xml:space="preserve">ESTACAS </v>
          </cell>
          <cell r="C31" t="str">
            <v>GLOBAL</v>
          </cell>
          <cell r="D31">
            <v>20000</v>
          </cell>
        </row>
        <row r="32">
          <cell r="A32">
            <v>26</v>
          </cell>
          <cell r="B32" t="str">
            <v>CARTERAS</v>
          </cell>
          <cell r="C32" t="str">
            <v>GLOBAL</v>
          </cell>
          <cell r="D32">
            <v>30000</v>
          </cell>
        </row>
        <row r="33">
          <cell r="A33">
            <v>27</v>
          </cell>
          <cell r="B33" t="str">
            <v>PAPELERIA</v>
          </cell>
          <cell r="C33" t="str">
            <v>GLOBAL</v>
          </cell>
          <cell r="D33">
            <v>10000</v>
          </cell>
        </row>
        <row r="34">
          <cell r="A34">
            <v>28</v>
          </cell>
          <cell r="B34" t="str">
            <v>1 TOPOGRAFO</v>
          </cell>
          <cell r="C34">
            <v>35000</v>
          </cell>
          <cell r="D34">
            <v>92</v>
          </cell>
        </row>
        <row r="35">
          <cell r="A35">
            <v>29</v>
          </cell>
          <cell r="B35" t="str">
            <v>CADENERO</v>
          </cell>
          <cell r="C35">
            <v>15000</v>
          </cell>
          <cell r="D35">
            <v>92</v>
          </cell>
        </row>
        <row r="36">
          <cell r="A36">
            <v>30</v>
          </cell>
          <cell r="B36" t="str">
            <v>PORTAMIRA</v>
          </cell>
          <cell r="C36">
            <v>10000</v>
          </cell>
          <cell r="D36">
            <v>92</v>
          </cell>
        </row>
        <row r="37">
          <cell r="A37">
            <v>31</v>
          </cell>
          <cell r="B37" t="str">
            <v>1 AYUDANTE</v>
          </cell>
          <cell r="C37">
            <v>10000</v>
          </cell>
          <cell r="D37">
            <v>92</v>
          </cell>
        </row>
        <row r="38">
          <cell r="A38">
            <v>32</v>
          </cell>
          <cell r="B38" t="str">
            <v>HOYADORA</v>
          </cell>
          <cell r="C38" t="str">
            <v>GLOBAL</v>
          </cell>
          <cell r="D38">
            <v>10000</v>
          </cell>
        </row>
        <row r="39">
          <cell r="A39">
            <v>33</v>
          </cell>
          <cell r="B39" t="str">
            <v>POSTES EN CONCRETO 1.80 M.</v>
          </cell>
          <cell r="C39" t="str">
            <v>UNI.</v>
          </cell>
          <cell r="D39">
            <v>12000</v>
          </cell>
        </row>
        <row r="40">
          <cell r="A40">
            <v>34</v>
          </cell>
          <cell r="B40" t="str">
            <v>ALAMBRE</v>
          </cell>
          <cell r="C40" t="str">
            <v>ML</v>
          </cell>
          <cell r="D40">
            <v>100</v>
          </cell>
        </row>
        <row r="41">
          <cell r="A41">
            <v>35</v>
          </cell>
          <cell r="B41" t="str">
            <v>AMARRE</v>
          </cell>
          <cell r="C41" t="str">
            <v>GLOBAL</v>
          </cell>
          <cell r="D41">
            <v>20</v>
          </cell>
        </row>
        <row r="42">
          <cell r="A42">
            <v>36</v>
          </cell>
          <cell r="B42" t="str">
            <v>4 AYUDANTES</v>
          </cell>
          <cell r="C42">
            <v>40000</v>
          </cell>
          <cell r="D42">
            <v>92</v>
          </cell>
        </row>
        <row r="43">
          <cell r="A43">
            <v>37</v>
          </cell>
          <cell r="B43" t="str">
            <v>DERECHO DE EXPLOTACION</v>
          </cell>
          <cell r="C43" t="str">
            <v>M3</v>
          </cell>
          <cell r="D43">
            <v>22500</v>
          </cell>
        </row>
        <row r="44">
          <cell r="A44">
            <v>38</v>
          </cell>
          <cell r="B44" t="str">
            <v>MATERIAL DE TERRENOS</v>
          </cell>
          <cell r="C44">
            <v>1.25</v>
          </cell>
        </row>
        <row r="45">
          <cell r="A45">
            <v>39</v>
          </cell>
          <cell r="B45" t="str">
            <v>MATERIAL DE ALUVION</v>
          </cell>
          <cell r="C45" t="str">
            <v>M3</v>
          </cell>
          <cell r="D45">
            <v>7000</v>
          </cell>
        </row>
        <row r="46">
          <cell r="A46">
            <v>40</v>
          </cell>
          <cell r="B46" t="str">
            <v>Desp. POR COMPACTACION25%</v>
          </cell>
          <cell r="D46">
            <v>1750</v>
          </cell>
        </row>
        <row r="47">
          <cell r="A47">
            <v>41</v>
          </cell>
          <cell r="B47" t="str">
            <v>CLASIFICACION DE MATERIAL</v>
          </cell>
          <cell r="C47" t="str">
            <v>M3</v>
          </cell>
          <cell r="D47">
            <v>6000</v>
          </cell>
        </row>
        <row r="48">
          <cell r="A48">
            <v>42</v>
          </cell>
          <cell r="B48" t="str">
            <v>DESPERDICIO 5%</v>
          </cell>
          <cell r="D48">
            <v>350</v>
          </cell>
        </row>
        <row r="49">
          <cell r="A49">
            <v>43</v>
          </cell>
          <cell r="B49" t="str">
            <v>3 AYUDANTES</v>
          </cell>
          <cell r="C49">
            <v>30000</v>
          </cell>
          <cell r="D49">
            <v>92</v>
          </cell>
        </row>
        <row r="50">
          <cell r="A50">
            <v>44</v>
          </cell>
          <cell r="B50" t="str">
            <v>1 JEFE DE PLANTA</v>
          </cell>
          <cell r="C50">
            <v>25000</v>
          </cell>
          <cell r="D50">
            <v>92</v>
          </cell>
        </row>
        <row r="51">
          <cell r="A51">
            <v>45</v>
          </cell>
          <cell r="B51" t="str">
            <v>1 AUXILIAR</v>
          </cell>
          <cell r="C51">
            <v>20000</v>
          </cell>
          <cell r="D51">
            <v>92</v>
          </cell>
        </row>
        <row r="52">
          <cell r="A52">
            <v>46</v>
          </cell>
          <cell r="B52" t="str">
            <v>TRITURADO</v>
          </cell>
          <cell r="C52" t="str">
            <v>M3</v>
          </cell>
          <cell r="D52">
            <v>26998</v>
          </cell>
        </row>
      </sheetData>
      <sheetData sheetId="1" refreshError="1"/>
      <sheetData sheetId="2" refreshError="1"/>
      <sheetData sheetId="3" refreshError="1"/>
      <sheetData sheetId="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Hoja1"/>
      <sheetName val="Estructura de costo"/>
      <sheetName val="TARIFAS"/>
      <sheetName val="datosluminariasRoyAlPHa"/>
    </sheetNames>
    <sheetDataSet>
      <sheetData sheetId="0"/>
      <sheetData sheetId="1"/>
      <sheetData sheetId="2"/>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TRANSPORTE"/>
      <sheetName val="ESTADO VÍA-CRIT.TECNICO"/>
      <sheetName val="SUB APU"/>
      <sheetName val="PRECIOS"/>
      <sheetName val="PREACTA 6"/>
      <sheetName val="TABLA 2008"/>
      <sheetName val="CLASIFICACION"/>
      <sheetName val="PRESUPUESTO"/>
      <sheetName val="PUNITARIOS%20PARA%20241201%202S"/>
      <sheetName val=" Liquidacion de Obra por Tramos"/>
      <sheetName val="Excavación Mat. Común Estacione"/>
      <sheetName val="Demolición Pavimento"/>
      <sheetName val="A.P.U"/>
      <sheetName val="Equipo"/>
      <sheetName val="Insum"/>
      <sheetName val="GCB2000"/>
      <sheetName val="RELACION MES"/>
      <sheetName val="Listas"/>
      <sheetName val="A. P. U."/>
      <sheetName val="062"/>
      <sheetName val="PERSONAL"/>
      <sheetName val="Tarifa MT"/>
      <sheetName val="CODCONST"/>
      <sheetName val="Lp"/>
      <sheetName val="c2.5y2.6"/>
      <sheetName val="Presup_Cancha"/>
      <sheetName val="CRA.MODI"/>
      <sheetName val="FORMULA"/>
      <sheetName val="K16+000 AL K18+500"/>
      <sheetName val="K23+200 AL K24+700"/>
      <sheetName val="k18+500 AL K23+050"/>
      <sheetName val="Presupuesto PUENTE"/>
      <sheetName val="VOLUMENES (4)"/>
      <sheetName val="VOLUMENES (4SA)"/>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Bajadas"/>
      <sheetName val="NARIÑO"/>
      <sheetName val="REC-COD,"/>
      <sheetName val="PREACTA Y CONTRATISTAS"/>
      <sheetName val="5. ELECTRICO"/>
      <sheetName val="OCTUBRE"/>
      <sheetName val="2,2,6,1 Pilotes 0,30"/>
      <sheetName val="LISTA DE PRECIOS"/>
      <sheetName val="Listado"/>
      <sheetName val="FINANC"/>
      <sheetName val="TODAS"/>
      <sheetName val="PUNITARIOS_PARA_241201_2S10"/>
      <sheetName val="PR_110"/>
      <sheetName val="ESTADO_RED_TEC10"/>
      <sheetName val="PREACTA_1010"/>
      <sheetName val="PREACTA_910"/>
      <sheetName val="TRAPMO"/>
      <sheetName val="c2_5y2_6"/>
      <sheetName val="c2_5y2_62"/>
      <sheetName val="c2_5y2_61"/>
      <sheetName val="c2_5y2_63"/>
      <sheetName val="c2_5y2_65"/>
      <sheetName val="c2_5y2_64"/>
      <sheetName val="c2_5y2_66"/>
      <sheetName val="c2_5y2_67"/>
      <sheetName val="c2_5y2_68"/>
      <sheetName val="c2_5y2_69"/>
      <sheetName val="c2_5y2_610"/>
      <sheetName val="Materiales"/>
      <sheetName val="Requisición1"/>
      <sheetName val="SALARIOS"/>
      <sheetName val="APU NO PREVISTO"/>
      <sheetName val="PPTA (3)"/>
      <sheetName val="PPTA (2)"/>
      <sheetName val="PPTA"/>
      <sheetName val="Proveedores y acreedores"/>
      <sheetName val="PR_113"/>
      <sheetName val="PUNITARIOS_PARA_241201_2S13"/>
      <sheetName val="ESTADO_RED_TEC13"/>
      <sheetName val="PREACTA_1013"/>
      <sheetName val="PREACTA_913"/>
      <sheetName val="c2_5y2_613"/>
      <sheetName val="PREACTA_62"/>
      <sheetName val="TABLA_20082"/>
      <sheetName val="PR_112"/>
      <sheetName val="PUNITARIOS_PARA_241201_2S12"/>
      <sheetName val="ESTADO_RED_TEC12"/>
      <sheetName val="PREACTA_1012"/>
      <sheetName val="PREACTA_912"/>
      <sheetName val="c2_5y2_612"/>
      <sheetName val="PREACTA_61"/>
      <sheetName val="TABLA_20081"/>
      <sheetName val="PR_111"/>
      <sheetName val="PUNITARIOS_PARA_241201_2S11"/>
      <sheetName val="ESTADO_RED_TEC11"/>
      <sheetName val="PREACTA_1011"/>
      <sheetName val="PREACTA_911"/>
      <sheetName val="c2_5y2_611"/>
      <sheetName val="PREACTA_6"/>
      <sheetName val="TABLA_2008"/>
      <sheetName val="skj452"/>
      <sheetName val="ita878"/>
      <sheetName val="aea-944"/>
      <sheetName val="dub-823"/>
      <sheetName val="gpi 526"/>
      <sheetName val="xxj617"/>
      <sheetName val="sng_855"/>
      <sheetName val="vea 374"/>
      <sheetName val="hfb024"/>
      <sheetName val="paj825"/>
      <sheetName val="PLAN DE INVERSION ANTICIPO"/>
      <sheetName val="inv mensual"/>
      <sheetName val="borrador flujo inv"/>
      <sheetName val="social-ambiental"/>
      <sheetName val="AU"/>
      <sheetName val="Summary"/>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sheetData sheetId="134">
        <row r="48">
          <cell r="E48">
            <v>0</v>
          </cell>
        </row>
      </sheetData>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4"/>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s>
    <sheetDataSet>
      <sheetData sheetId="0"/>
      <sheetData sheetId="1"/>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0.17</v>
          </cell>
        </row>
      </sheetData>
      <sheetData sheetId="1">
        <row r="3">
          <cell r="C3" t="str">
            <v>CANCHA MÚLTIPLE 750 m2  ZONA ALTA "SUELO E"</v>
          </cell>
        </row>
        <row r="14">
          <cell r="J14" t="str">
            <v>M³</v>
          </cell>
        </row>
        <row r="15">
          <cell r="J15" t="str">
            <v>M²</v>
          </cell>
        </row>
        <row r="16">
          <cell r="J16" t="str">
            <v>M</v>
          </cell>
        </row>
        <row r="17">
          <cell r="J17" t="str">
            <v>Kg</v>
          </cell>
        </row>
        <row r="18">
          <cell r="J18" t="str">
            <v>Un</v>
          </cell>
        </row>
      </sheetData>
      <sheetData sheetId="2">
        <row r="26">
          <cell r="A26" t="str">
            <v>W09</v>
          </cell>
        </row>
      </sheetData>
      <sheetData sheetId="3">
        <row r="52">
          <cell r="I52">
            <v>44314</v>
          </cell>
        </row>
      </sheetData>
      <sheetData sheetId="4">
        <row r="48">
          <cell r="I48">
            <v>27898</v>
          </cell>
        </row>
      </sheetData>
      <sheetData sheetId="5">
        <row r="51">
          <cell r="R51">
            <v>99040</v>
          </cell>
        </row>
      </sheetData>
      <sheetData sheetId="6">
        <row r="53">
          <cell r="I53">
            <v>69159.47</v>
          </cell>
        </row>
      </sheetData>
      <sheetData sheetId="7">
        <row r="53">
          <cell r="I53">
            <v>628533.33799999999</v>
          </cell>
        </row>
      </sheetData>
      <sheetData sheetId="8">
        <row r="4">
          <cell r="A4" t="str">
            <v>A</v>
          </cell>
        </row>
      </sheetData>
      <sheetData sheetId="9">
        <row r="1">
          <cell r="A1" t="str">
            <v xml:space="preserve">Codigo </v>
          </cell>
        </row>
      </sheetData>
      <sheetData sheetId="10">
        <row r="37">
          <cell r="A37" t="str">
            <v>MO-01</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Y V "/>
      <sheetName val="AMBIENTES"/>
      <sheetName val="REVOQUE Y PISOS"/>
      <sheetName val="MAMPOSTERIA"/>
      <sheetName val="VIGAS FUNDACION"/>
      <sheetName val="REFUERZO"/>
      <sheetName val="VIGAS AEREAS"/>
    </sheetNames>
    <sheetDataSet>
      <sheetData sheetId="0"/>
      <sheetData sheetId="1"/>
      <sheetData sheetId="2"/>
      <sheetData sheetId="3"/>
      <sheetData sheetId="4"/>
      <sheetData sheetId="5"/>
      <sheetData sheetId="6">
        <row r="27">
          <cell r="B27" t="str">
            <v>VI2</v>
          </cell>
          <cell r="C27">
            <v>0.15</v>
          </cell>
          <cell r="D27">
            <v>0.2</v>
          </cell>
          <cell r="E27">
            <v>8.6</v>
          </cell>
          <cell r="F27">
            <v>0.25800000000000001</v>
          </cell>
        </row>
        <row r="28">
          <cell r="B28" t="str">
            <v>V2´</v>
          </cell>
          <cell r="C28">
            <v>0.15</v>
          </cell>
          <cell r="D28">
            <v>0.2</v>
          </cell>
          <cell r="E28">
            <v>3</v>
          </cell>
          <cell r="F28">
            <v>0.09</v>
          </cell>
        </row>
        <row r="29">
          <cell r="B29" t="str">
            <v>2´´ Y 2 ´´´</v>
          </cell>
          <cell r="C29">
            <v>0.15</v>
          </cell>
          <cell r="D29">
            <v>0.2</v>
          </cell>
          <cell r="E29">
            <v>1.2</v>
          </cell>
          <cell r="F29">
            <v>7.1999999999999995E-2</v>
          </cell>
        </row>
        <row r="30">
          <cell r="B30" t="str">
            <v>V2 ´´´´</v>
          </cell>
          <cell r="C30">
            <v>0.15</v>
          </cell>
          <cell r="D30">
            <v>0.2</v>
          </cell>
          <cell r="E30">
            <v>3.75</v>
          </cell>
          <cell r="F30">
            <v>0.11249999999999999</v>
          </cell>
        </row>
        <row r="31">
          <cell r="B31" t="str">
            <v>V3-BE</v>
          </cell>
          <cell r="C31">
            <v>0.15</v>
          </cell>
          <cell r="D31">
            <v>0.3</v>
          </cell>
          <cell r="E31">
            <v>8.6</v>
          </cell>
          <cell r="F31">
            <v>0.38699999999999996</v>
          </cell>
        </row>
        <row r="32">
          <cell r="B32" t="str">
            <v>VI3-BE</v>
          </cell>
          <cell r="C32">
            <v>0.15</v>
          </cell>
          <cell r="D32">
            <v>0.2</v>
          </cell>
          <cell r="E32">
            <v>8.6</v>
          </cell>
          <cell r="F32">
            <v>0.25800000000000001</v>
          </cell>
        </row>
        <row r="33">
          <cell r="B33" t="str">
            <v>V3-AB</v>
          </cell>
          <cell r="C33">
            <v>0.15</v>
          </cell>
          <cell r="D33">
            <v>0.2</v>
          </cell>
          <cell r="E33">
            <v>5.8</v>
          </cell>
          <cell r="F33">
            <v>0.17399999999999999</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ciones"/>
      <sheetName val="Bases"/>
      <sheetName val="Balance"/>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Registros_de_Asistencia"/>
      <sheetName val="RECT-1,05 x 0,75"/>
      <sheetName val="Modelo Financiero ACME Esquelet"/>
      <sheetName val="TARIFAS"/>
    </sheetNames>
    <sheetDataSet>
      <sheetData sheetId="0"/>
      <sheetData sheetId="1"/>
      <sheetData sheetId="2"/>
      <sheetData sheetId="3"/>
      <sheetData sheetId="4"/>
      <sheetData sheetId="5"/>
      <sheetData sheetId="6">
        <row r="3">
          <cell r="A3">
            <v>2.0000000000000001E-4</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Indirectos"/>
      <sheetName val="Proyeccción"/>
      <sheetName val="Mes a Mes"/>
      <sheetName val="Ajuste"/>
      <sheetName val="ForPago"/>
      <sheetName val="PryFinc"/>
      <sheetName val="APO"/>
      <sheetName val="Presup OPUS"/>
      <sheetName val="Cant mes a mes Opus"/>
      <sheetName val="Costo m a m OPUS"/>
      <sheetName val="Chequeos"/>
      <sheetName val="Simulación Inf."/>
      <sheetName val="TARIFAS"/>
    </sheetNames>
    <sheetDataSet>
      <sheetData sheetId="0" refreshError="1"/>
      <sheetData sheetId="1" refreshError="1"/>
      <sheetData sheetId="2" refreshError="1"/>
      <sheetData sheetId="3">
        <row r="95">
          <cell r="J95">
            <v>12820289481.820004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fisiográfica"/>
      <sheetName val="Caudales"/>
      <sheetName val="Tiempo de Concentración"/>
      <sheetName val="Curvas IDF"/>
      <sheetName val="Coeficiente Escorrentia"/>
      <sheetName val="Alcantarillas"/>
      <sheetName val="Cantidades"/>
      <sheetName val="Tipificación Escalones"/>
      <sheetName val="Cal B.C escalonados"/>
      <sheetName val="cotas obras"/>
      <sheetName val="Caida Escalonada Alcant"/>
      <sheetName val="Esquemas Cunetas y Escalones"/>
      <sheetName val="Cunetas"/>
      <sheetName val="Caida Escalonada"/>
      <sheetName val="DATOS-PLANTA-PERFIL"/>
      <sheetName val="Hoja1"/>
    </sheetNames>
    <sheetDataSet>
      <sheetData sheetId="0"/>
      <sheetData sheetId="1"/>
      <sheetData sheetId="2"/>
      <sheetData sheetId="3"/>
      <sheetData sheetId="4"/>
      <sheetData sheetId="5"/>
      <sheetData sheetId="6"/>
      <sheetData sheetId="7"/>
      <sheetData sheetId="8"/>
      <sheetData sheetId="9"/>
      <sheetData sheetId="10" refreshError="1">
        <row r="18">
          <cell r="AB18" t="e">
            <v>#REF!</v>
          </cell>
          <cell r="AC18" t="e">
            <v>#REF!</v>
          </cell>
          <cell r="AD18" t="e">
            <v>#REF!</v>
          </cell>
        </row>
        <row r="19">
          <cell r="AB19" t="e">
            <v>#REF!</v>
          </cell>
          <cell r="AC19" t="e">
            <v>#REF!</v>
          </cell>
          <cell r="AD19" t="e">
            <v>#REF!</v>
          </cell>
        </row>
        <row r="20">
          <cell r="AB20" t="e">
            <v>#REF!</v>
          </cell>
          <cell r="AC20" t="e">
            <v>#REF!</v>
          </cell>
          <cell r="AD20" t="e">
            <v>#REF!</v>
          </cell>
        </row>
        <row r="21">
          <cell r="AB21" t="e">
            <v>#REF!</v>
          </cell>
          <cell r="AC21" t="e">
            <v>#REF!</v>
          </cell>
          <cell r="AD21" t="e">
            <v>#REF!</v>
          </cell>
        </row>
        <row r="22">
          <cell r="AB22" t="e">
            <v>#REF!</v>
          </cell>
          <cell r="AC22" t="e">
            <v>#REF!</v>
          </cell>
          <cell r="AD22" t="e">
            <v>#REF!</v>
          </cell>
        </row>
        <row r="23">
          <cell r="AB23" t="e">
            <v>#REF!</v>
          </cell>
          <cell r="AC23" t="e">
            <v>#REF!</v>
          </cell>
          <cell r="AD23" t="e">
            <v>#REF!</v>
          </cell>
        </row>
        <row r="24">
          <cell r="AB24" t="e">
            <v>#REF!</v>
          </cell>
          <cell r="AC24" t="e">
            <v>#REF!</v>
          </cell>
          <cell r="AD24" t="e">
            <v>#REF!</v>
          </cell>
        </row>
        <row r="25">
          <cell r="AB25" t="e">
            <v>#REF!</v>
          </cell>
          <cell r="AC25" t="e">
            <v>#REF!</v>
          </cell>
          <cell r="AD25" t="e">
            <v>#REF!</v>
          </cell>
        </row>
        <row r="26">
          <cell r="AB26" t="e">
            <v>#REF!</v>
          </cell>
          <cell r="AC26" t="e">
            <v>#REF!</v>
          </cell>
          <cell r="AD26" t="e">
            <v>#REF!</v>
          </cell>
        </row>
        <row r="27">
          <cell r="AB27" t="e">
            <v>#REF!</v>
          </cell>
          <cell r="AC27" t="e">
            <v>#REF!</v>
          </cell>
          <cell r="AD27" t="e">
            <v>#REF!</v>
          </cell>
        </row>
        <row r="28">
          <cell r="AB28" t="e">
            <v>#REF!</v>
          </cell>
          <cell r="AC28" t="e">
            <v>#REF!</v>
          </cell>
          <cell r="AD28" t="e">
            <v>#REF!</v>
          </cell>
        </row>
        <row r="29">
          <cell r="AB29" t="e">
            <v>#REF!</v>
          </cell>
          <cell r="AC29" t="e">
            <v>#REF!</v>
          </cell>
          <cell r="AD29" t="e">
            <v>#REF!</v>
          </cell>
        </row>
        <row r="30">
          <cell r="AB30" t="e">
            <v>#REF!</v>
          </cell>
          <cell r="AC30" t="e">
            <v>#REF!</v>
          </cell>
          <cell r="AD30" t="e">
            <v>#REF!</v>
          </cell>
        </row>
        <row r="31">
          <cell r="AB31" t="e">
            <v>#REF!</v>
          </cell>
          <cell r="AC31" t="e">
            <v>#REF!</v>
          </cell>
          <cell r="AD31" t="e">
            <v>#REF!</v>
          </cell>
        </row>
        <row r="32">
          <cell r="AB32" t="e">
            <v>#REF!</v>
          </cell>
          <cell r="AC32" t="e">
            <v>#REF!</v>
          </cell>
          <cell r="AD32" t="e">
            <v>#REF!</v>
          </cell>
        </row>
        <row r="33">
          <cell r="AB33" t="e">
            <v>#REF!</v>
          </cell>
          <cell r="AC33" t="e">
            <v>#REF!</v>
          </cell>
          <cell r="AD33" t="e">
            <v>#REF!</v>
          </cell>
        </row>
        <row r="34">
          <cell r="AB34" t="e">
            <v>#REF!</v>
          </cell>
          <cell r="AC34" t="e">
            <v>#REF!</v>
          </cell>
          <cell r="AD34" t="e">
            <v>#REF!</v>
          </cell>
        </row>
        <row r="35">
          <cell r="AB35" t="e">
            <v>#REF!</v>
          </cell>
          <cell r="AC35" t="e">
            <v>#REF!</v>
          </cell>
          <cell r="AD35" t="e">
            <v>#REF!</v>
          </cell>
        </row>
        <row r="36">
          <cell r="AB36" t="e">
            <v>#REF!</v>
          </cell>
          <cell r="AC36" t="e">
            <v>#REF!</v>
          </cell>
          <cell r="AD36" t="e">
            <v>#REF!</v>
          </cell>
        </row>
        <row r="37">
          <cell r="AB37" t="e">
            <v>#REF!</v>
          </cell>
          <cell r="AC37" t="e">
            <v>#REF!</v>
          </cell>
          <cell r="AD37" t="e">
            <v>#REF!</v>
          </cell>
        </row>
        <row r="38">
          <cell r="AB38" t="e">
            <v>#REF!</v>
          </cell>
          <cell r="AC38" t="e">
            <v>#REF!</v>
          </cell>
          <cell r="AD38" t="e">
            <v>#REF!</v>
          </cell>
        </row>
        <row r="39">
          <cell r="AB39" t="e">
            <v>#REF!</v>
          </cell>
          <cell r="AC39" t="e">
            <v>#REF!</v>
          </cell>
          <cell r="AD39" t="e">
            <v>#REF!</v>
          </cell>
        </row>
        <row r="40">
          <cell r="AB40" t="e">
            <v>#REF!</v>
          </cell>
          <cell r="AC40" t="e">
            <v>#REF!</v>
          </cell>
          <cell r="AD40" t="e">
            <v>#REF!</v>
          </cell>
        </row>
        <row r="41">
          <cell r="AB41" t="e">
            <v>#REF!</v>
          </cell>
          <cell r="AC41" t="e">
            <v>#REF!</v>
          </cell>
          <cell r="AD41" t="e">
            <v>#REF!</v>
          </cell>
        </row>
        <row r="42">
          <cell r="AB42" t="e">
            <v>#REF!</v>
          </cell>
          <cell r="AC42" t="e">
            <v>#REF!</v>
          </cell>
          <cell r="AD42" t="e">
            <v>#REF!</v>
          </cell>
        </row>
        <row r="43">
          <cell r="AB43" t="e">
            <v>#REF!</v>
          </cell>
          <cell r="AC43" t="e">
            <v>#REF!</v>
          </cell>
          <cell r="AD43" t="e">
            <v>#REF!</v>
          </cell>
        </row>
        <row r="44">
          <cell r="AB44" t="e">
            <v>#REF!</v>
          </cell>
          <cell r="AC44" t="e">
            <v>#REF!</v>
          </cell>
          <cell r="AD44" t="e">
            <v>#REF!</v>
          </cell>
        </row>
        <row r="45">
          <cell r="AB45" t="e">
            <v>#REF!</v>
          </cell>
          <cell r="AC45" t="e">
            <v>#REF!</v>
          </cell>
          <cell r="AD45" t="e">
            <v>#REF!</v>
          </cell>
        </row>
        <row r="46">
          <cell r="AB46" t="e">
            <v>#REF!</v>
          </cell>
          <cell r="AC46" t="e">
            <v>#REF!</v>
          </cell>
          <cell r="AD46" t="e">
            <v>#REF!</v>
          </cell>
        </row>
        <row r="47">
          <cell r="AB47" t="e">
            <v>#REF!</v>
          </cell>
          <cell r="AC47" t="e">
            <v>#REF!</v>
          </cell>
          <cell r="AD47" t="e">
            <v>#REF!</v>
          </cell>
        </row>
        <row r="48">
          <cell r="AB48" t="e">
            <v>#REF!</v>
          </cell>
          <cell r="AC48" t="e">
            <v>#REF!</v>
          </cell>
          <cell r="AD48" t="e">
            <v>#REF!</v>
          </cell>
        </row>
        <row r="49">
          <cell r="AB49" t="e">
            <v>#REF!</v>
          </cell>
          <cell r="AC49" t="e">
            <v>#REF!</v>
          </cell>
          <cell r="AD49" t="e">
            <v>#REF!</v>
          </cell>
        </row>
        <row r="50">
          <cell r="AB50" t="e">
            <v>#REF!</v>
          </cell>
          <cell r="AC50" t="e">
            <v>#REF!</v>
          </cell>
          <cell r="AD50" t="e">
            <v>#REF!</v>
          </cell>
        </row>
        <row r="51">
          <cell r="AB51" t="e">
            <v>#REF!</v>
          </cell>
          <cell r="AC51" t="e">
            <v>#REF!</v>
          </cell>
          <cell r="AD51" t="e">
            <v>#REF!</v>
          </cell>
        </row>
        <row r="52">
          <cell r="AB52" t="e">
            <v>#REF!</v>
          </cell>
          <cell r="AC52" t="e">
            <v>#REF!</v>
          </cell>
          <cell r="AD52" t="e">
            <v>#REF!</v>
          </cell>
        </row>
        <row r="53">
          <cell r="AB53" t="e">
            <v>#REF!</v>
          </cell>
          <cell r="AC53" t="e">
            <v>#REF!</v>
          </cell>
          <cell r="AD53" t="e">
            <v>#REF!</v>
          </cell>
        </row>
        <row r="54">
          <cell r="AB54" t="e">
            <v>#REF!</v>
          </cell>
          <cell r="AC54" t="e">
            <v>#REF!</v>
          </cell>
          <cell r="AD54" t="e">
            <v>#REF!</v>
          </cell>
        </row>
        <row r="55">
          <cell r="AB55" t="e">
            <v>#REF!</v>
          </cell>
          <cell r="AC55" t="e">
            <v>#REF!</v>
          </cell>
          <cell r="AD55" t="e">
            <v>#REF!</v>
          </cell>
        </row>
        <row r="56">
          <cell r="AB56" t="e">
            <v>#REF!</v>
          </cell>
          <cell r="AC56" t="e">
            <v>#REF!</v>
          </cell>
          <cell r="AD56" t="e">
            <v>#REF!</v>
          </cell>
        </row>
        <row r="57">
          <cell r="AB57" t="e">
            <v>#REF!</v>
          </cell>
          <cell r="AC57" t="e">
            <v>#REF!</v>
          </cell>
          <cell r="AD57" t="e">
            <v>#REF!</v>
          </cell>
        </row>
        <row r="58">
          <cell r="AB58" t="e">
            <v>#REF!</v>
          </cell>
          <cell r="AC58" t="e">
            <v>#REF!</v>
          </cell>
          <cell r="AD58" t="e">
            <v>#REF!</v>
          </cell>
        </row>
        <row r="59">
          <cell r="AB59" t="e">
            <v>#REF!</v>
          </cell>
          <cell r="AC59" t="e">
            <v>#REF!</v>
          </cell>
          <cell r="AD59" t="e">
            <v>#REF!</v>
          </cell>
        </row>
        <row r="60">
          <cell r="AB60" t="e">
            <v>#REF!</v>
          </cell>
          <cell r="AC60" t="e">
            <v>#REF!</v>
          </cell>
          <cell r="AD60" t="e">
            <v>#REF!</v>
          </cell>
        </row>
        <row r="61">
          <cell r="AB61" t="e">
            <v>#REF!</v>
          </cell>
          <cell r="AC61" t="e">
            <v>#REF!</v>
          </cell>
          <cell r="AD61" t="e">
            <v>#REF!</v>
          </cell>
        </row>
        <row r="62">
          <cell r="AB62" t="e">
            <v>#REF!</v>
          </cell>
          <cell r="AC62" t="e">
            <v>#REF!</v>
          </cell>
          <cell r="AD62" t="e">
            <v>#REF!</v>
          </cell>
        </row>
        <row r="63">
          <cell r="AB63" t="e">
            <v>#REF!</v>
          </cell>
          <cell r="AC63" t="e">
            <v>#REF!</v>
          </cell>
          <cell r="AD63" t="e">
            <v>#REF!</v>
          </cell>
        </row>
        <row r="64">
          <cell r="AB64" t="e">
            <v>#REF!</v>
          </cell>
          <cell r="AC64" t="e">
            <v>#REF!</v>
          </cell>
          <cell r="AD64" t="e">
            <v>#REF!</v>
          </cell>
        </row>
        <row r="65">
          <cell r="AB65" t="e">
            <v>#REF!</v>
          </cell>
          <cell r="AC65" t="e">
            <v>#REF!</v>
          </cell>
          <cell r="AD65" t="e">
            <v>#REF!</v>
          </cell>
        </row>
        <row r="66">
          <cell r="AB66" t="e">
            <v>#REF!</v>
          </cell>
          <cell r="AC66" t="e">
            <v>#REF!</v>
          </cell>
          <cell r="AD66" t="e">
            <v>#REF!</v>
          </cell>
        </row>
        <row r="67">
          <cell r="AB67" t="e">
            <v>#REF!</v>
          </cell>
          <cell r="AC67" t="e">
            <v>#REF!</v>
          </cell>
          <cell r="AD67" t="e">
            <v>#REF!</v>
          </cell>
        </row>
        <row r="68">
          <cell r="AB68" t="e">
            <v>#REF!</v>
          </cell>
          <cell r="AC68" t="e">
            <v>#REF!</v>
          </cell>
          <cell r="AD68" t="e">
            <v>#REF!</v>
          </cell>
        </row>
        <row r="69">
          <cell r="AB69" t="e">
            <v>#REF!</v>
          </cell>
          <cell r="AC69" t="e">
            <v>#REF!</v>
          </cell>
          <cell r="AD69" t="e">
            <v>#REF!</v>
          </cell>
        </row>
        <row r="70">
          <cell r="AB70" t="e">
            <v>#REF!</v>
          </cell>
          <cell r="AC70" t="e">
            <v>#REF!</v>
          </cell>
          <cell r="AD70" t="e">
            <v>#REF!</v>
          </cell>
        </row>
        <row r="71">
          <cell r="AB71" t="e">
            <v>#REF!</v>
          </cell>
          <cell r="AC71" t="e">
            <v>#REF!</v>
          </cell>
          <cell r="AD71" t="e">
            <v>#REF!</v>
          </cell>
        </row>
        <row r="72">
          <cell r="AB72" t="e">
            <v>#REF!</v>
          </cell>
          <cell r="AC72" t="e">
            <v>#REF!</v>
          </cell>
          <cell r="AD72" t="e">
            <v>#REF!</v>
          </cell>
        </row>
        <row r="73">
          <cell r="AB73" t="e">
            <v>#REF!</v>
          </cell>
          <cell r="AC73" t="e">
            <v>#REF!</v>
          </cell>
          <cell r="AD73" t="e">
            <v>#REF!</v>
          </cell>
        </row>
        <row r="74">
          <cell r="AB74" t="e">
            <v>#REF!</v>
          </cell>
          <cell r="AC74" t="e">
            <v>#REF!</v>
          </cell>
          <cell r="AD74" t="e">
            <v>#REF!</v>
          </cell>
        </row>
        <row r="75">
          <cell r="AB75" t="e">
            <v>#REF!</v>
          </cell>
          <cell r="AC75" t="e">
            <v>#REF!</v>
          </cell>
          <cell r="AD75" t="e">
            <v>#REF!</v>
          </cell>
        </row>
        <row r="76">
          <cell r="AB76" t="e">
            <v>#REF!</v>
          </cell>
          <cell r="AC76" t="e">
            <v>#REF!</v>
          </cell>
          <cell r="AD76" t="e">
            <v>#REF!</v>
          </cell>
        </row>
        <row r="77">
          <cell r="AB77" t="e">
            <v>#REF!</v>
          </cell>
          <cell r="AC77" t="e">
            <v>#REF!</v>
          </cell>
          <cell r="AD77" t="e">
            <v>#REF!</v>
          </cell>
        </row>
        <row r="78">
          <cell r="AB78" t="e">
            <v>#REF!</v>
          </cell>
          <cell r="AC78" t="e">
            <v>#REF!</v>
          </cell>
          <cell r="AD78" t="e">
            <v>#REF!</v>
          </cell>
        </row>
        <row r="79">
          <cell r="AB79" t="e">
            <v>#REF!</v>
          </cell>
          <cell r="AC79" t="e">
            <v>#REF!</v>
          </cell>
          <cell r="AD79" t="e">
            <v>#REF!</v>
          </cell>
        </row>
        <row r="80">
          <cell r="AB80" t="e">
            <v>#REF!</v>
          </cell>
          <cell r="AC80" t="e">
            <v>#REF!</v>
          </cell>
          <cell r="AD80" t="e">
            <v>#REF!</v>
          </cell>
        </row>
        <row r="81">
          <cell r="AB81" t="e">
            <v>#REF!</v>
          </cell>
          <cell r="AC81" t="e">
            <v>#REF!</v>
          </cell>
          <cell r="AD81" t="e">
            <v>#REF!</v>
          </cell>
        </row>
        <row r="82">
          <cell r="AB82" t="e">
            <v>#REF!</v>
          </cell>
          <cell r="AC82" t="e">
            <v>#REF!</v>
          </cell>
          <cell r="AD82" t="e">
            <v>#REF!</v>
          </cell>
        </row>
        <row r="83">
          <cell r="AB83" t="e">
            <v>#REF!</v>
          </cell>
          <cell r="AC83" t="e">
            <v>#REF!</v>
          </cell>
          <cell r="AD83" t="e">
            <v>#REF!</v>
          </cell>
        </row>
        <row r="84">
          <cell r="AB84" t="e">
            <v>#REF!</v>
          </cell>
          <cell r="AC84" t="e">
            <v>#REF!</v>
          </cell>
          <cell r="AD84" t="e">
            <v>#REF!</v>
          </cell>
        </row>
        <row r="85">
          <cell r="AB85" t="e">
            <v>#REF!</v>
          </cell>
          <cell r="AC85" t="e">
            <v>#REF!</v>
          </cell>
          <cell r="AD85" t="e">
            <v>#REF!</v>
          </cell>
        </row>
        <row r="86">
          <cell r="AB86" t="e">
            <v>#REF!</v>
          </cell>
          <cell r="AC86" t="e">
            <v>#REF!</v>
          </cell>
          <cell r="AD86" t="e">
            <v>#REF!</v>
          </cell>
        </row>
        <row r="87">
          <cell r="AB87" t="e">
            <v>#REF!</v>
          </cell>
          <cell r="AC87" t="e">
            <v>#REF!</v>
          </cell>
          <cell r="AD87" t="e">
            <v>#REF!</v>
          </cell>
        </row>
        <row r="88">
          <cell r="AB88" t="e">
            <v>#REF!</v>
          </cell>
          <cell r="AC88" t="e">
            <v>#REF!</v>
          </cell>
          <cell r="AD88" t="e">
            <v>#REF!</v>
          </cell>
        </row>
        <row r="89">
          <cell r="AB89" t="e">
            <v>#REF!</v>
          </cell>
          <cell r="AC89" t="e">
            <v>#REF!</v>
          </cell>
          <cell r="AD89" t="e">
            <v>#REF!</v>
          </cell>
        </row>
        <row r="90">
          <cell r="AB90" t="e">
            <v>#REF!</v>
          </cell>
          <cell r="AC90" t="e">
            <v>#REF!</v>
          </cell>
          <cell r="AD90" t="e">
            <v>#REF!</v>
          </cell>
        </row>
        <row r="91">
          <cell r="AB91" t="e">
            <v>#REF!</v>
          </cell>
          <cell r="AC91" t="e">
            <v>#REF!</v>
          </cell>
          <cell r="AD91" t="e">
            <v>#REF!</v>
          </cell>
        </row>
        <row r="92">
          <cell r="AB92" t="e">
            <v>#REF!</v>
          </cell>
          <cell r="AC92" t="e">
            <v>#REF!</v>
          </cell>
          <cell r="AD92" t="e">
            <v>#REF!</v>
          </cell>
        </row>
        <row r="93">
          <cell r="AB93" t="e">
            <v>#REF!</v>
          </cell>
          <cell r="AC93" t="e">
            <v>#REF!</v>
          </cell>
          <cell r="AD93" t="e">
            <v>#REF!</v>
          </cell>
        </row>
        <row r="94">
          <cell r="AB94" t="e">
            <v>#REF!</v>
          </cell>
          <cell r="AC94" t="e">
            <v>#REF!</v>
          </cell>
          <cell r="AD94" t="e">
            <v>#REF!</v>
          </cell>
        </row>
        <row r="95">
          <cell r="AB95" t="e">
            <v>#REF!</v>
          </cell>
          <cell r="AC95" t="e">
            <v>#REF!</v>
          </cell>
          <cell r="AD95" t="e">
            <v>#REF!</v>
          </cell>
        </row>
        <row r="96">
          <cell r="AB96" t="e">
            <v>#REF!</v>
          </cell>
          <cell r="AC96" t="e">
            <v>#REF!</v>
          </cell>
          <cell r="AD96" t="e">
            <v>#REF!</v>
          </cell>
        </row>
        <row r="97">
          <cell r="AB97" t="e">
            <v>#REF!</v>
          </cell>
          <cell r="AC97" t="e">
            <v>#REF!</v>
          </cell>
          <cell r="AD97" t="e">
            <v>#REF!</v>
          </cell>
        </row>
        <row r="98">
          <cell r="AB98" t="e">
            <v>#REF!</v>
          </cell>
          <cell r="AC98" t="e">
            <v>#REF!</v>
          </cell>
          <cell r="AD98" t="e">
            <v>#REF!</v>
          </cell>
        </row>
        <row r="99">
          <cell r="AB99" t="e">
            <v>#REF!</v>
          </cell>
          <cell r="AC99" t="e">
            <v>#REF!</v>
          </cell>
          <cell r="AD99" t="e">
            <v>#REF!</v>
          </cell>
        </row>
        <row r="100">
          <cell r="AB100" t="e">
            <v>#REF!</v>
          </cell>
          <cell r="AC100" t="e">
            <v>#REF!</v>
          </cell>
          <cell r="AD100" t="e">
            <v>#REF!</v>
          </cell>
        </row>
        <row r="101">
          <cell r="AB101" t="e">
            <v>#REF!</v>
          </cell>
          <cell r="AC101" t="e">
            <v>#REF!</v>
          </cell>
          <cell r="AD101" t="e">
            <v>#REF!</v>
          </cell>
        </row>
        <row r="102">
          <cell r="AB102" t="e">
            <v>#REF!</v>
          </cell>
          <cell r="AC102" t="e">
            <v>#REF!</v>
          </cell>
          <cell r="AD102" t="e">
            <v>#REF!</v>
          </cell>
        </row>
        <row r="103">
          <cell r="AB103" t="e">
            <v>#REF!</v>
          </cell>
          <cell r="AC103" t="e">
            <v>#REF!</v>
          </cell>
          <cell r="AD103" t="e">
            <v>#REF!</v>
          </cell>
        </row>
        <row r="104">
          <cell r="AB104" t="e">
            <v>#REF!</v>
          </cell>
          <cell r="AC104" t="e">
            <v>#REF!</v>
          </cell>
          <cell r="AD104" t="e">
            <v>#REF!</v>
          </cell>
        </row>
        <row r="105">
          <cell r="AB105" t="e">
            <v>#REF!</v>
          </cell>
          <cell r="AC105" t="e">
            <v>#REF!</v>
          </cell>
          <cell r="AD105" t="e">
            <v>#REF!</v>
          </cell>
        </row>
        <row r="106">
          <cell r="AB106" t="e">
            <v>#REF!</v>
          </cell>
          <cell r="AC106" t="e">
            <v>#REF!</v>
          </cell>
          <cell r="AD106" t="e">
            <v>#REF!</v>
          </cell>
        </row>
        <row r="107">
          <cell r="AB107" t="e">
            <v>#REF!</v>
          </cell>
          <cell r="AC107" t="e">
            <v>#REF!</v>
          </cell>
          <cell r="AD107" t="e">
            <v>#REF!</v>
          </cell>
        </row>
        <row r="108">
          <cell r="AB108" t="e">
            <v>#REF!</v>
          </cell>
          <cell r="AC108" t="e">
            <v>#REF!</v>
          </cell>
          <cell r="AD108" t="e">
            <v>#REF!</v>
          </cell>
        </row>
        <row r="109">
          <cell r="AB109" t="e">
            <v>#REF!</v>
          </cell>
          <cell r="AC109" t="e">
            <v>#REF!</v>
          </cell>
          <cell r="AD109" t="e">
            <v>#REF!</v>
          </cell>
        </row>
        <row r="110">
          <cell r="AB110" t="e">
            <v>#REF!</v>
          </cell>
          <cell r="AC110" t="e">
            <v>#REF!</v>
          </cell>
          <cell r="AD110" t="e">
            <v>#REF!</v>
          </cell>
        </row>
        <row r="111">
          <cell r="AB111" t="e">
            <v>#REF!</v>
          </cell>
          <cell r="AC111" t="e">
            <v>#REF!</v>
          </cell>
          <cell r="AD111" t="e">
            <v>#REF!</v>
          </cell>
        </row>
        <row r="112">
          <cell r="AB112" t="e">
            <v>#REF!</v>
          </cell>
          <cell r="AC112" t="e">
            <v>#REF!</v>
          </cell>
          <cell r="AD112" t="e">
            <v>#REF!</v>
          </cell>
        </row>
        <row r="113">
          <cell r="AB113" t="e">
            <v>#REF!</v>
          </cell>
          <cell r="AC113" t="e">
            <v>#REF!</v>
          </cell>
          <cell r="AD113" t="e">
            <v>#REF!</v>
          </cell>
        </row>
        <row r="114">
          <cell r="AB114" t="e">
            <v>#REF!</v>
          </cell>
          <cell r="AC114" t="e">
            <v>#REF!</v>
          </cell>
          <cell r="AD114" t="e">
            <v>#REF!</v>
          </cell>
        </row>
        <row r="115">
          <cell r="AB115" t="e">
            <v>#REF!</v>
          </cell>
          <cell r="AC115" t="e">
            <v>#REF!</v>
          </cell>
          <cell r="AD115" t="e">
            <v>#REF!</v>
          </cell>
        </row>
        <row r="116">
          <cell r="AB116" t="e">
            <v>#REF!</v>
          </cell>
          <cell r="AC116" t="e">
            <v>#REF!</v>
          </cell>
          <cell r="AD116" t="e">
            <v>#REF!</v>
          </cell>
        </row>
        <row r="117">
          <cell r="AB117" t="e">
            <v>#REF!</v>
          </cell>
          <cell r="AC117" t="e">
            <v>#REF!</v>
          </cell>
          <cell r="AD117" t="e">
            <v>#REF!</v>
          </cell>
        </row>
        <row r="118">
          <cell r="AB118" t="e">
            <v>#REF!</v>
          </cell>
          <cell r="AC118" t="e">
            <v>#REF!</v>
          </cell>
          <cell r="AD118" t="e">
            <v>#REF!</v>
          </cell>
        </row>
        <row r="119">
          <cell r="AB119" t="e">
            <v>#REF!</v>
          </cell>
          <cell r="AC119" t="e">
            <v>#REF!</v>
          </cell>
          <cell r="AD119" t="e">
            <v>#REF!</v>
          </cell>
        </row>
        <row r="120">
          <cell r="AB120" t="e">
            <v>#REF!</v>
          </cell>
          <cell r="AC120" t="e">
            <v>#REF!</v>
          </cell>
          <cell r="AD120" t="e">
            <v>#REF!</v>
          </cell>
        </row>
        <row r="121">
          <cell r="AB121" t="e">
            <v>#REF!</v>
          </cell>
          <cell r="AC121" t="e">
            <v>#REF!</v>
          </cell>
          <cell r="AD121" t="e">
            <v>#REF!</v>
          </cell>
        </row>
        <row r="122">
          <cell r="AB122" t="e">
            <v>#REF!</v>
          </cell>
          <cell r="AC122" t="e">
            <v>#REF!</v>
          </cell>
          <cell r="AD122" t="e">
            <v>#REF!</v>
          </cell>
        </row>
        <row r="123">
          <cell r="AB123" t="e">
            <v>#REF!</v>
          </cell>
          <cell r="AC123" t="e">
            <v>#REF!</v>
          </cell>
          <cell r="AD123" t="e">
            <v>#REF!</v>
          </cell>
        </row>
        <row r="124">
          <cell r="AB124" t="e">
            <v>#REF!</v>
          </cell>
          <cell r="AC124" t="e">
            <v>#REF!</v>
          </cell>
          <cell r="AD124" t="e">
            <v>#REF!</v>
          </cell>
        </row>
        <row r="125">
          <cell r="AB125" t="e">
            <v>#REF!</v>
          </cell>
          <cell r="AC125" t="e">
            <v>#REF!</v>
          </cell>
          <cell r="AD125" t="e">
            <v>#REF!</v>
          </cell>
        </row>
        <row r="126">
          <cell r="AB126" t="e">
            <v>#REF!</v>
          </cell>
          <cell r="AC126" t="e">
            <v>#REF!</v>
          </cell>
          <cell r="AD126" t="e">
            <v>#REF!</v>
          </cell>
        </row>
        <row r="127">
          <cell r="AB127" t="e">
            <v>#REF!</v>
          </cell>
          <cell r="AC127" t="e">
            <v>#REF!</v>
          </cell>
          <cell r="AD127" t="e">
            <v>#REF!</v>
          </cell>
        </row>
        <row r="128">
          <cell r="AB128" t="e">
            <v>#REF!</v>
          </cell>
          <cell r="AC128" t="e">
            <v>#REF!</v>
          </cell>
          <cell r="AD128" t="e">
            <v>#REF!</v>
          </cell>
        </row>
        <row r="129">
          <cell r="AB129" t="e">
            <v>#REF!</v>
          </cell>
          <cell r="AC129" t="e">
            <v>#REF!</v>
          </cell>
          <cell r="AD129" t="e">
            <v>#REF!</v>
          </cell>
        </row>
        <row r="130">
          <cell r="AB130" t="e">
            <v>#REF!</v>
          </cell>
          <cell r="AC130" t="e">
            <v>#REF!</v>
          </cell>
          <cell r="AD130" t="e">
            <v>#REF!</v>
          </cell>
        </row>
        <row r="131">
          <cell r="AB131" t="e">
            <v>#REF!</v>
          </cell>
          <cell r="AC131" t="e">
            <v>#REF!</v>
          </cell>
          <cell r="AD131" t="e">
            <v>#REF!</v>
          </cell>
        </row>
        <row r="132">
          <cell r="AB132" t="e">
            <v>#REF!</v>
          </cell>
          <cell r="AC132" t="e">
            <v>#REF!</v>
          </cell>
          <cell r="AD132" t="e">
            <v>#REF!</v>
          </cell>
        </row>
        <row r="133">
          <cell r="AB133" t="e">
            <v>#REF!</v>
          </cell>
          <cell r="AC133" t="e">
            <v>#REF!</v>
          </cell>
          <cell r="AD133" t="e">
            <v>#REF!</v>
          </cell>
        </row>
        <row r="134">
          <cell r="AB134" t="e">
            <v>#REF!</v>
          </cell>
          <cell r="AC134" t="e">
            <v>#REF!</v>
          </cell>
          <cell r="AD134" t="e">
            <v>#REF!</v>
          </cell>
        </row>
        <row r="135">
          <cell r="AB135" t="e">
            <v>#REF!</v>
          </cell>
          <cell r="AC135" t="e">
            <v>#REF!</v>
          </cell>
          <cell r="AD135" t="e">
            <v>#REF!</v>
          </cell>
        </row>
        <row r="136">
          <cell r="AB136" t="e">
            <v>#REF!</v>
          </cell>
          <cell r="AC136" t="e">
            <v>#REF!</v>
          </cell>
          <cell r="AD136" t="e">
            <v>#REF!</v>
          </cell>
        </row>
        <row r="137">
          <cell r="AB137" t="e">
            <v>#REF!</v>
          </cell>
          <cell r="AC137" t="e">
            <v>#REF!</v>
          </cell>
          <cell r="AD137" t="e">
            <v>#REF!</v>
          </cell>
        </row>
        <row r="138">
          <cell r="AB138" t="e">
            <v>#REF!</v>
          </cell>
          <cell r="AC138" t="e">
            <v>#REF!</v>
          </cell>
          <cell r="AD138" t="e">
            <v>#REF!</v>
          </cell>
        </row>
        <row r="139">
          <cell r="AB139" t="e">
            <v>#REF!</v>
          </cell>
          <cell r="AC139" t="e">
            <v>#REF!</v>
          </cell>
          <cell r="AD139" t="e">
            <v>#REF!</v>
          </cell>
        </row>
        <row r="140">
          <cell r="AB140" t="e">
            <v>#REF!</v>
          </cell>
          <cell r="AC140" t="e">
            <v>#REF!</v>
          </cell>
          <cell r="AD140" t="e">
            <v>#REF!</v>
          </cell>
        </row>
        <row r="141">
          <cell r="AB141" t="e">
            <v>#REF!</v>
          </cell>
          <cell r="AC141" t="e">
            <v>#REF!</v>
          </cell>
          <cell r="AD141" t="e">
            <v>#REF!</v>
          </cell>
        </row>
        <row r="142">
          <cell r="AB142" t="e">
            <v>#REF!</v>
          </cell>
          <cell r="AC142" t="e">
            <v>#REF!</v>
          </cell>
          <cell r="AD142" t="e">
            <v>#REF!</v>
          </cell>
        </row>
        <row r="143">
          <cell r="AB143" t="e">
            <v>#REF!</v>
          </cell>
          <cell r="AC143" t="e">
            <v>#REF!</v>
          </cell>
          <cell r="AD143" t="e">
            <v>#REF!</v>
          </cell>
        </row>
        <row r="144">
          <cell r="AB144" t="e">
            <v>#REF!</v>
          </cell>
          <cell r="AC144" t="e">
            <v>#REF!</v>
          </cell>
          <cell r="AD144" t="e">
            <v>#REF!</v>
          </cell>
        </row>
        <row r="145">
          <cell r="AB145" t="e">
            <v>#REF!</v>
          </cell>
          <cell r="AC145" t="e">
            <v>#REF!</v>
          </cell>
          <cell r="AD145" t="e">
            <v>#REF!</v>
          </cell>
        </row>
        <row r="146">
          <cell r="AB146" t="e">
            <v>#REF!</v>
          </cell>
          <cell r="AC146" t="e">
            <v>#REF!</v>
          </cell>
          <cell r="AD146" t="e">
            <v>#REF!</v>
          </cell>
        </row>
        <row r="147">
          <cell r="AB147" t="e">
            <v>#REF!</v>
          </cell>
          <cell r="AC147" t="e">
            <v>#REF!</v>
          </cell>
          <cell r="AD147" t="e">
            <v>#REF!</v>
          </cell>
        </row>
        <row r="148">
          <cell r="AB148" t="e">
            <v>#REF!</v>
          </cell>
          <cell r="AC148" t="e">
            <v>#REF!</v>
          </cell>
          <cell r="AD148" t="e">
            <v>#REF!</v>
          </cell>
        </row>
        <row r="149">
          <cell r="AB149" t="e">
            <v>#REF!</v>
          </cell>
          <cell r="AC149" t="e">
            <v>#REF!</v>
          </cell>
          <cell r="AD149" t="e">
            <v>#REF!</v>
          </cell>
        </row>
        <row r="150">
          <cell r="AB150" t="e">
            <v>#REF!</v>
          </cell>
          <cell r="AC150" t="e">
            <v>#REF!</v>
          </cell>
          <cell r="AD150" t="e">
            <v>#REF!</v>
          </cell>
        </row>
        <row r="151">
          <cell r="AB151" t="e">
            <v>#REF!</v>
          </cell>
          <cell r="AC151" t="e">
            <v>#REF!</v>
          </cell>
          <cell r="AD151" t="e">
            <v>#REF!</v>
          </cell>
        </row>
        <row r="152">
          <cell r="AB152" t="e">
            <v>#REF!</v>
          </cell>
          <cell r="AC152" t="e">
            <v>#REF!</v>
          </cell>
          <cell r="AD152" t="e">
            <v>#REF!</v>
          </cell>
        </row>
        <row r="153">
          <cell r="AB153" t="e">
            <v>#REF!</v>
          </cell>
          <cell r="AC153" t="e">
            <v>#REF!</v>
          </cell>
          <cell r="AD153" t="e">
            <v>#REF!</v>
          </cell>
        </row>
        <row r="154">
          <cell r="AB154" t="e">
            <v>#REF!</v>
          </cell>
          <cell r="AC154" t="e">
            <v>#REF!</v>
          </cell>
          <cell r="AD154" t="e">
            <v>#REF!</v>
          </cell>
        </row>
        <row r="155">
          <cell r="AB155" t="e">
            <v>#REF!</v>
          </cell>
          <cell r="AC155" t="e">
            <v>#REF!</v>
          </cell>
          <cell r="AD155" t="e">
            <v>#REF!</v>
          </cell>
        </row>
        <row r="156">
          <cell r="AB156" t="e">
            <v>#REF!</v>
          </cell>
          <cell r="AC156" t="e">
            <v>#REF!</v>
          </cell>
          <cell r="AD156" t="e">
            <v>#REF!</v>
          </cell>
        </row>
        <row r="157">
          <cell r="AB157" t="e">
            <v>#REF!</v>
          </cell>
          <cell r="AC157" t="e">
            <v>#REF!</v>
          </cell>
          <cell r="AD157" t="e">
            <v>#REF!</v>
          </cell>
        </row>
        <row r="158">
          <cell r="AB158" t="e">
            <v>#REF!</v>
          </cell>
          <cell r="AC158" t="e">
            <v>#REF!</v>
          </cell>
          <cell r="AD158" t="e">
            <v>#REF!</v>
          </cell>
        </row>
        <row r="159">
          <cell r="AB159" t="e">
            <v>#REF!</v>
          </cell>
          <cell r="AC159" t="e">
            <v>#REF!</v>
          </cell>
          <cell r="AD159" t="e">
            <v>#REF!</v>
          </cell>
        </row>
        <row r="160">
          <cell r="AB160" t="e">
            <v>#REF!</v>
          </cell>
          <cell r="AC160" t="e">
            <v>#REF!</v>
          </cell>
          <cell r="AD160" t="e">
            <v>#REF!</v>
          </cell>
        </row>
        <row r="161">
          <cell r="AB161" t="e">
            <v>#REF!</v>
          </cell>
          <cell r="AC161" t="e">
            <v>#REF!</v>
          </cell>
          <cell r="AD161" t="e">
            <v>#REF!</v>
          </cell>
        </row>
        <row r="162">
          <cell r="AB162" t="e">
            <v>#REF!</v>
          </cell>
          <cell r="AC162" t="e">
            <v>#REF!</v>
          </cell>
          <cell r="AD162" t="e">
            <v>#REF!</v>
          </cell>
        </row>
        <row r="163">
          <cell r="AB163" t="e">
            <v>#REF!</v>
          </cell>
          <cell r="AC163" t="e">
            <v>#REF!</v>
          </cell>
          <cell r="AD163" t="e">
            <v>#REF!</v>
          </cell>
        </row>
        <row r="164">
          <cell r="AB164" t="e">
            <v>#REF!</v>
          </cell>
          <cell r="AC164" t="e">
            <v>#REF!</v>
          </cell>
          <cell r="AD164" t="e">
            <v>#REF!</v>
          </cell>
        </row>
        <row r="165">
          <cell r="AB165" t="e">
            <v>#REF!</v>
          </cell>
          <cell r="AC165" t="e">
            <v>#REF!</v>
          </cell>
          <cell r="AD165" t="e">
            <v>#REF!</v>
          </cell>
        </row>
        <row r="166">
          <cell r="AB166" t="e">
            <v>#REF!</v>
          </cell>
          <cell r="AC166" t="e">
            <v>#REF!</v>
          </cell>
          <cell r="AD166" t="e">
            <v>#REF!</v>
          </cell>
        </row>
        <row r="167">
          <cell r="AB167" t="e">
            <v>#REF!</v>
          </cell>
          <cell r="AC167" t="e">
            <v>#REF!</v>
          </cell>
          <cell r="AD167" t="e">
            <v>#REF!</v>
          </cell>
        </row>
        <row r="168">
          <cell r="AB168" t="e">
            <v>#REF!</v>
          </cell>
          <cell r="AC168" t="e">
            <v>#REF!</v>
          </cell>
          <cell r="AD168" t="e">
            <v>#REF!</v>
          </cell>
        </row>
        <row r="169">
          <cell r="AB169" t="e">
            <v>#REF!</v>
          </cell>
          <cell r="AC169" t="e">
            <v>#REF!</v>
          </cell>
          <cell r="AD169" t="e">
            <v>#REF!</v>
          </cell>
        </row>
        <row r="170">
          <cell r="AB170" t="e">
            <v>#REF!</v>
          </cell>
          <cell r="AC170" t="e">
            <v>#REF!</v>
          </cell>
          <cell r="AD170" t="e">
            <v>#REF!</v>
          </cell>
        </row>
        <row r="171">
          <cell r="AB171" t="e">
            <v>#REF!</v>
          </cell>
          <cell r="AC171" t="e">
            <v>#REF!</v>
          </cell>
          <cell r="AD171" t="e">
            <v>#REF!</v>
          </cell>
        </row>
        <row r="172">
          <cell r="AB172" t="e">
            <v>#REF!</v>
          </cell>
          <cell r="AC172" t="e">
            <v>#REF!</v>
          </cell>
          <cell r="AD172" t="e">
            <v>#REF!</v>
          </cell>
        </row>
        <row r="173">
          <cell r="AB173" t="e">
            <v>#REF!</v>
          </cell>
          <cell r="AC173" t="e">
            <v>#REF!</v>
          </cell>
          <cell r="AD173" t="e">
            <v>#REF!</v>
          </cell>
        </row>
        <row r="174">
          <cell r="AB174" t="e">
            <v>#REF!</v>
          </cell>
          <cell r="AC174" t="e">
            <v>#REF!</v>
          </cell>
          <cell r="AD174" t="e">
            <v>#REF!</v>
          </cell>
        </row>
        <row r="175">
          <cell r="AB175" t="e">
            <v>#REF!</v>
          </cell>
          <cell r="AC175" t="e">
            <v>#REF!</v>
          </cell>
          <cell r="AD175" t="e">
            <v>#REF!</v>
          </cell>
        </row>
        <row r="176">
          <cell r="AB176" t="e">
            <v>#REF!</v>
          </cell>
          <cell r="AC176" t="e">
            <v>#REF!</v>
          </cell>
          <cell r="AD176" t="e">
            <v>#REF!</v>
          </cell>
        </row>
        <row r="177">
          <cell r="AB177" t="e">
            <v>#REF!</v>
          </cell>
          <cell r="AC177" t="e">
            <v>#REF!</v>
          </cell>
          <cell r="AD177" t="e">
            <v>#REF!</v>
          </cell>
        </row>
        <row r="178">
          <cell r="AB178" t="e">
            <v>#REF!</v>
          </cell>
          <cell r="AC178" t="e">
            <v>#REF!</v>
          </cell>
          <cell r="AD178" t="e">
            <v>#REF!</v>
          </cell>
        </row>
        <row r="179">
          <cell r="AB179" t="e">
            <v>#REF!</v>
          </cell>
          <cell r="AC179" t="e">
            <v>#REF!</v>
          </cell>
          <cell r="AD179" t="e">
            <v>#REF!</v>
          </cell>
        </row>
        <row r="180">
          <cell r="AB180" t="e">
            <v>#REF!</v>
          </cell>
          <cell r="AC180" t="e">
            <v>#REF!</v>
          </cell>
          <cell r="AD180" t="e">
            <v>#REF!</v>
          </cell>
        </row>
        <row r="181">
          <cell r="AB181" t="e">
            <v>#REF!</v>
          </cell>
          <cell r="AC181" t="e">
            <v>#REF!</v>
          </cell>
          <cell r="AD181" t="e">
            <v>#REF!</v>
          </cell>
        </row>
        <row r="182">
          <cell r="AB182" t="e">
            <v>#REF!</v>
          </cell>
          <cell r="AC182" t="e">
            <v>#REF!</v>
          </cell>
          <cell r="AD182" t="e">
            <v>#REF!</v>
          </cell>
        </row>
        <row r="183">
          <cell r="AB183" t="e">
            <v>#REF!</v>
          </cell>
          <cell r="AC183" t="e">
            <v>#REF!</v>
          </cell>
          <cell r="AD183" t="e">
            <v>#REF!</v>
          </cell>
        </row>
        <row r="184">
          <cell r="AB184" t="e">
            <v>#REF!</v>
          </cell>
          <cell r="AC184" t="e">
            <v>#REF!</v>
          </cell>
          <cell r="AD184" t="e">
            <v>#REF!</v>
          </cell>
        </row>
        <row r="185">
          <cell r="AB185" t="e">
            <v>#REF!</v>
          </cell>
          <cell r="AC185" t="e">
            <v>#REF!</v>
          </cell>
          <cell r="AD185" t="e">
            <v>#REF!</v>
          </cell>
        </row>
        <row r="186">
          <cell r="AB186" t="e">
            <v>#REF!</v>
          </cell>
          <cell r="AC186" t="e">
            <v>#REF!</v>
          </cell>
          <cell r="AD186" t="e">
            <v>#REF!</v>
          </cell>
        </row>
        <row r="187">
          <cell r="AB187" t="e">
            <v>#REF!</v>
          </cell>
          <cell r="AC187" t="e">
            <v>#REF!</v>
          </cell>
          <cell r="AD187" t="e">
            <v>#REF!</v>
          </cell>
        </row>
        <row r="188">
          <cell r="AB188" t="e">
            <v>#REF!</v>
          </cell>
          <cell r="AC188" t="e">
            <v>#REF!</v>
          </cell>
          <cell r="AD188" t="e">
            <v>#REF!</v>
          </cell>
        </row>
        <row r="189">
          <cell r="AB189" t="e">
            <v>#REF!</v>
          </cell>
          <cell r="AC189" t="e">
            <v>#REF!</v>
          </cell>
          <cell r="AD189" t="e">
            <v>#REF!</v>
          </cell>
        </row>
        <row r="190">
          <cell r="AB190" t="e">
            <v>#REF!</v>
          </cell>
          <cell r="AC190" t="e">
            <v>#REF!</v>
          </cell>
          <cell r="AD190" t="e">
            <v>#REF!</v>
          </cell>
        </row>
        <row r="191">
          <cell r="AB191" t="e">
            <v>#REF!</v>
          </cell>
          <cell r="AC191" t="e">
            <v>#REF!</v>
          </cell>
          <cell r="AD191" t="e">
            <v>#REF!</v>
          </cell>
        </row>
        <row r="192">
          <cell r="AB192" t="e">
            <v>#REF!</v>
          </cell>
          <cell r="AC192" t="e">
            <v>#REF!</v>
          </cell>
          <cell r="AD192" t="e">
            <v>#REF!</v>
          </cell>
        </row>
        <row r="193">
          <cell r="AB193" t="e">
            <v>#REF!</v>
          </cell>
          <cell r="AC193" t="e">
            <v>#REF!</v>
          </cell>
          <cell r="AD193" t="e">
            <v>#REF!</v>
          </cell>
        </row>
        <row r="194">
          <cell r="AB194" t="e">
            <v>#REF!</v>
          </cell>
          <cell r="AC194" t="e">
            <v>#REF!</v>
          </cell>
          <cell r="AD194" t="e">
            <v>#REF!</v>
          </cell>
        </row>
        <row r="195">
          <cell r="AB195" t="e">
            <v>#REF!</v>
          </cell>
          <cell r="AC195" t="e">
            <v>#REF!</v>
          </cell>
          <cell r="AD195" t="e">
            <v>#REF!</v>
          </cell>
        </row>
        <row r="196">
          <cell r="AB196" t="e">
            <v>#REF!</v>
          </cell>
          <cell r="AC196" t="e">
            <v>#REF!</v>
          </cell>
          <cell r="AD196" t="e">
            <v>#REF!</v>
          </cell>
        </row>
        <row r="197">
          <cell r="AB197" t="e">
            <v>#REF!</v>
          </cell>
          <cell r="AC197" t="e">
            <v>#REF!</v>
          </cell>
          <cell r="AD197" t="e">
            <v>#REF!</v>
          </cell>
        </row>
        <row r="198">
          <cell r="AB198" t="e">
            <v>#REF!</v>
          </cell>
          <cell r="AC198" t="e">
            <v>#REF!</v>
          </cell>
          <cell r="AD198" t="e">
            <v>#REF!</v>
          </cell>
        </row>
        <row r="199">
          <cell r="AB199" t="e">
            <v>#REF!</v>
          </cell>
          <cell r="AC199" t="e">
            <v>#REF!</v>
          </cell>
          <cell r="AD199" t="e">
            <v>#REF!</v>
          </cell>
        </row>
        <row r="200">
          <cell r="AB200" t="e">
            <v>#REF!</v>
          </cell>
          <cell r="AC200" t="e">
            <v>#REF!</v>
          </cell>
          <cell r="AD200" t="e">
            <v>#REF!</v>
          </cell>
        </row>
        <row r="201">
          <cell r="AB201" t="e">
            <v>#REF!</v>
          </cell>
          <cell r="AC201" t="e">
            <v>#REF!</v>
          </cell>
          <cell r="AD201" t="e">
            <v>#REF!</v>
          </cell>
        </row>
        <row r="202">
          <cell r="AB202" t="e">
            <v>#REF!</v>
          </cell>
          <cell r="AC202" t="e">
            <v>#REF!</v>
          </cell>
          <cell r="AD202" t="e">
            <v>#REF!</v>
          </cell>
        </row>
        <row r="203">
          <cell r="AB203" t="e">
            <v>#REF!</v>
          </cell>
          <cell r="AC203" t="e">
            <v>#REF!</v>
          </cell>
          <cell r="AD203" t="e">
            <v>#REF!</v>
          </cell>
        </row>
        <row r="204">
          <cell r="AB204" t="e">
            <v>#REF!</v>
          </cell>
          <cell r="AC204" t="e">
            <v>#REF!</v>
          </cell>
          <cell r="AD204" t="e">
            <v>#REF!</v>
          </cell>
        </row>
        <row r="205">
          <cell r="AB205" t="e">
            <v>#REF!</v>
          </cell>
          <cell r="AC205" t="e">
            <v>#REF!</v>
          </cell>
          <cell r="AD205" t="e">
            <v>#REF!</v>
          </cell>
        </row>
        <row r="206">
          <cell r="AB206" t="e">
            <v>#REF!</v>
          </cell>
          <cell r="AC206" t="e">
            <v>#REF!</v>
          </cell>
          <cell r="AD206" t="e">
            <v>#REF!</v>
          </cell>
        </row>
        <row r="207">
          <cell r="AB207" t="e">
            <v>#REF!</v>
          </cell>
          <cell r="AC207" t="e">
            <v>#REF!</v>
          </cell>
          <cell r="AD207" t="e">
            <v>#REF!</v>
          </cell>
        </row>
        <row r="208">
          <cell r="AB208" t="e">
            <v>#REF!</v>
          </cell>
          <cell r="AC208" t="e">
            <v>#REF!</v>
          </cell>
          <cell r="AD208" t="e">
            <v>#REF!</v>
          </cell>
        </row>
        <row r="209">
          <cell r="AB209" t="e">
            <v>#REF!</v>
          </cell>
          <cell r="AC209" t="e">
            <v>#REF!</v>
          </cell>
          <cell r="AD209" t="e">
            <v>#REF!</v>
          </cell>
        </row>
        <row r="210">
          <cell r="AB210" t="e">
            <v>#REF!</v>
          </cell>
          <cell r="AC210" t="e">
            <v>#REF!</v>
          </cell>
          <cell r="AD210" t="e">
            <v>#REF!</v>
          </cell>
        </row>
        <row r="211">
          <cell r="AB211" t="e">
            <v>#REF!</v>
          </cell>
          <cell r="AC211" t="e">
            <v>#REF!</v>
          </cell>
          <cell r="AD211" t="e">
            <v>#REF!</v>
          </cell>
        </row>
        <row r="212">
          <cell r="AB212" t="e">
            <v>#REF!</v>
          </cell>
          <cell r="AC212" t="e">
            <v>#REF!</v>
          </cell>
          <cell r="AD212" t="e">
            <v>#REF!</v>
          </cell>
        </row>
        <row r="213">
          <cell r="AB213" t="e">
            <v>#REF!</v>
          </cell>
          <cell r="AC213" t="e">
            <v>#REF!</v>
          </cell>
          <cell r="AD213" t="e">
            <v>#REF!</v>
          </cell>
        </row>
        <row r="214">
          <cell r="AB214" t="e">
            <v>#REF!</v>
          </cell>
          <cell r="AC214" t="e">
            <v>#REF!</v>
          </cell>
          <cell r="AD214" t="e">
            <v>#REF!</v>
          </cell>
        </row>
        <row r="215">
          <cell r="AB215" t="e">
            <v>#REF!</v>
          </cell>
          <cell r="AC215" t="e">
            <v>#REF!</v>
          </cell>
          <cell r="AD215" t="e">
            <v>#REF!</v>
          </cell>
        </row>
        <row r="216">
          <cell r="AB216" t="e">
            <v>#REF!</v>
          </cell>
          <cell r="AC216" t="e">
            <v>#REF!</v>
          </cell>
          <cell r="AD216" t="e">
            <v>#REF!</v>
          </cell>
        </row>
        <row r="217">
          <cell r="AB217" t="e">
            <v>#REF!</v>
          </cell>
          <cell r="AC217" t="e">
            <v>#REF!</v>
          </cell>
          <cell r="AD217" t="e">
            <v>#REF!</v>
          </cell>
        </row>
        <row r="218">
          <cell r="AB218" t="e">
            <v>#REF!</v>
          </cell>
          <cell r="AC218" t="e">
            <v>#REF!</v>
          </cell>
          <cell r="AD218" t="e">
            <v>#REF!</v>
          </cell>
        </row>
        <row r="219">
          <cell r="AB219" t="e">
            <v>#REF!</v>
          </cell>
          <cell r="AC219" t="e">
            <v>#REF!</v>
          </cell>
          <cell r="AD219" t="e">
            <v>#REF!</v>
          </cell>
        </row>
        <row r="220">
          <cell r="AB220" t="e">
            <v>#REF!</v>
          </cell>
          <cell r="AC220" t="e">
            <v>#REF!</v>
          </cell>
          <cell r="AD220" t="e">
            <v>#REF!</v>
          </cell>
        </row>
        <row r="221">
          <cell r="AB221" t="e">
            <v>#REF!</v>
          </cell>
          <cell r="AC221" t="e">
            <v>#REF!</v>
          </cell>
          <cell r="AD221" t="e">
            <v>#REF!</v>
          </cell>
        </row>
        <row r="222">
          <cell r="AB222" t="e">
            <v>#REF!</v>
          </cell>
          <cell r="AC222" t="e">
            <v>#REF!</v>
          </cell>
          <cell r="AD222" t="e">
            <v>#REF!</v>
          </cell>
        </row>
        <row r="223">
          <cell r="AB223" t="e">
            <v>#REF!</v>
          </cell>
          <cell r="AC223" t="e">
            <v>#REF!</v>
          </cell>
          <cell r="AD223" t="e">
            <v>#REF!</v>
          </cell>
        </row>
        <row r="224">
          <cell r="AB224" t="e">
            <v>#REF!</v>
          </cell>
          <cell r="AC224" t="e">
            <v>#REF!</v>
          </cell>
          <cell r="AD224" t="e">
            <v>#REF!</v>
          </cell>
        </row>
        <row r="225">
          <cell r="AB225" t="e">
            <v>#REF!</v>
          </cell>
          <cell r="AC225" t="e">
            <v>#REF!</v>
          </cell>
          <cell r="AD225" t="e">
            <v>#REF!</v>
          </cell>
        </row>
        <row r="226">
          <cell r="AB226" t="e">
            <v>#REF!</v>
          </cell>
          <cell r="AC226" t="e">
            <v>#REF!</v>
          </cell>
          <cell r="AD226" t="e">
            <v>#REF!</v>
          </cell>
        </row>
        <row r="227">
          <cell r="AB227" t="e">
            <v>#REF!</v>
          </cell>
          <cell r="AC227" t="e">
            <v>#REF!</v>
          </cell>
          <cell r="AD227" t="e">
            <v>#REF!</v>
          </cell>
        </row>
        <row r="228">
          <cell r="AB228" t="e">
            <v>#REF!</v>
          </cell>
          <cell r="AC228" t="e">
            <v>#REF!</v>
          </cell>
          <cell r="AD228" t="e">
            <v>#REF!</v>
          </cell>
        </row>
        <row r="229">
          <cell r="AB229" t="e">
            <v>#REF!</v>
          </cell>
          <cell r="AC229" t="e">
            <v>#REF!</v>
          </cell>
          <cell r="AD229" t="e">
            <v>#REF!</v>
          </cell>
        </row>
        <row r="230">
          <cell r="AB230" t="e">
            <v>#REF!</v>
          </cell>
          <cell r="AC230" t="e">
            <v>#REF!</v>
          </cell>
          <cell r="AD230" t="e">
            <v>#REF!</v>
          </cell>
        </row>
        <row r="231">
          <cell r="AB231" t="e">
            <v>#REF!</v>
          </cell>
          <cell r="AC231" t="e">
            <v>#REF!</v>
          </cell>
          <cell r="AD231" t="e">
            <v>#REF!</v>
          </cell>
        </row>
        <row r="232">
          <cell r="AB232" t="e">
            <v>#REF!</v>
          </cell>
          <cell r="AC232" t="e">
            <v>#REF!</v>
          </cell>
          <cell r="AD232" t="e">
            <v>#REF!</v>
          </cell>
        </row>
        <row r="233">
          <cell r="AB233" t="e">
            <v>#REF!</v>
          </cell>
          <cell r="AC233" t="e">
            <v>#REF!</v>
          </cell>
          <cell r="AD233" t="e">
            <v>#REF!</v>
          </cell>
        </row>
        <row r="234">
          <cell r="AB234" t="e">
            <v>#REF!</v>
          </cell>
          <cell r="AC234" t="e">
            <v>#REF!</v>
          </cell>
          <cell r="AD234" t="e">
            <v>#REF!</v>
          </cell>
        </row>
        <row r="235">
          <cell r="AB235" t="e">
            <v>#REF!</v>
          </cell>
          <cell r="AC235" t="e">
            <v>#REF!</v>
          </cell>
          <cell r="AD235" t="e">
            <v>#REF!</v>
          </cell>
        </row>
        <row r="236">
          <cell r="AB236" t="e">
            <v>#REF!</v>
          </cell>
          <cell r="AC236" t="e">
            <v>#REF!</v>
          </cell>
          <cell r="AD236" t="e">
            <v>#REF!</v>
          </cell>
        </row>
        <row r="237">
          <cell r="AB237" t="e">
            <v>#REF!</v>
          </cell>
          <cell r="AC237" t="e">
            <v>#REF!</v>
          </cell>
          <cell r="AD237" t="e">
            <v>#REF!</v>
          </cell>
        </row>
        <row r="238">
          <cell r="AB238" t="e">
            <v>#REF!</v>
          </cell>
          <cell r="AC238" t="e">
            <v>#REF!</v>
          </cell>
          <cell r="AD238" t="e">
            <v>#REF!</v>
          </cell>
        </row>
        <row r="239">
          <cell r="AB239" t="e">
            <v>#REF!</v>
          </cell>
          <cell r="AC239" t="e">
            <v>#REF!</v>
          </cell>
          <cell r="AD239" t="e">
            <v>#REF!</v>
          </cell>
        </row>
        <row r="240">
          <cell r="AB240" t="e">
            <v>#REF!</v>
          </cell>
          <cell r="AC240" t="e">
            <v>#REF!</v>
          </cell>
          <cell r="AD240" t="e">
            <v>#REF!</v>
          </cell>
        </row>
        <row r="241">
          <cell r="AB241" t="e">
            <v>#REF!</v>
          </cell>
          <cell r="AC241" t="e">
            <v>#REF!</v>
          </cell>
          <cell r="AD241" t="e">
            <v>#REF!</v>
          </cell>
        </row>
        <row r="242">
          <cell r="AB242" t="e">
            <v>#REF!</v>
          </cell>
          <cell r="AC242" t="e">
            <v>#REF!</v>
          </cell>
          <cell r="AD242" t="e">
            <v>#REF!</v>
          </cell>
        </row>
        <row r="243">
          <cell r="AB243" t="e">
            <v>#REF!</v>
          </cell>
          <cell r="AC243" t="e">
            <v>#REF!</v>
          </cell>
          <cell r="AD243" t="e">
            <v>#REF!</v>
          </cell>
        </row>
        <row r="244">
          <cell r="AB244" t="e">
            <v>#REF!</v>
          </cell>
          <cell r="AC244" t="e">
            <v>#REF!</v>
          </cell>
          <cell r="AD244" t="e">
            <v>#REF!</v>
          </cell>
        </row>
        <row r="245">
          <cell r="AB245" t="e">
            <v>#REF!</v>
          </cell>
          <cell r="AC245" t="e">
            <v>#REF!</v>
          </cell>
          <cell r="AD245" t="e">
            <v>#REF!</v>
          </cell>
        </row>
        <row r="246">
          <cell r="AB246" t="e">
            <v>#REF!</v>
          </cell>
          <cell r="AC246" t="e">
            <v>#REF!</v>
          </cell>
          <cell r="AD246" t="e">
            <v>#REF!</v>
          </cell>
        </row>
      </sheetData>
      <sheetData sheetId="11"/>
      <sheetData sheetId="12"/>
      <sheetData sheetId="13"/>
      <sheetData sheetId="14"/>
      <sheetData sheetId="1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 val="Caida Escalonada Alcant"/>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V"/>
      <sheetName val="M5.35"/>
      <sheetName val="M46.69"/>
      <sheetName val="M6.30 mm2"/>
      <sheetName val="TPR5.35"/>
      <sheetName val="TLX5.35"/>
      <sheetName val="M5.35NC"/>
      <sheetName val="TK5.46"/>
      <sheetName val="CG"/>
      <sheetName val="Esp_AWG"/>
      <sheetName val="Dibujos"/>
      <sheetName val="T_Cu_ASTM"/>
      <sheetName val="D_AWG"/>
      <sheetName val="T_5_69"/>
      <sheetName val="T_XLPE-TK_acsr"/>
      <sheetName val="T_XLPE-TK_Cu"/>
      <sheetName val="D_mm2"/>
      <sheetName val="T_mm2"/>
      <sheetName val="Hoja1"/>
      <sheetName val="T_mm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T8">
            <v>1</v>
          </cell>
          <cell r="U8">
            <v>8</v>
          </cell>
          <cell r="V8" t="e">
            <v>#VALUE!</v>
          </cell>
          <cell r="W8">
            <v>24</v>
          </cell>
          <cell r="X8">
            <v>0.51100000000000001</v>
          </cell>
          <cell r="Y8">
            <v>6</v>
          </cell>
          <cell r="Z8">
            <v>16</v>
          </cell>
          <cell r="AA8">
            <v>1.2909999999999999</v>
          </cell>
          <cell r="AE8">
            <v>6</v>
          </cell>
          <cell r="AF8">
            <v>16</v>
          </cell>
          <cell r="AG8">
            <v>1.2909999999999999</v>
          </cell>
          <cell r="AH8">
            <v>6</v>
          </cell>
          <cell r="AI8">
            <v>16</v>
          </cell>
          <cell r="AJ8">
            <v>1.2909999999999999</v>
          </cell>
        </row>
        <row r="9">
          <cell r="T9">
            <v>2</v>
          </cell>
          <cell r="U9">
            <v>7</v>
          </cell>
          <cell r="V9" t="e">
            <v>#VALUE!</v>
          </cell>
          <cell r="W9">
            <v>24</v>
          </cell>
          <cell r="X9">
            <v>0.51100000000000001</v>
          </cell>
          <cell r="Y9">
            <v>8</v>
          </cell>
          <cell r="Z9">
            <v>16</v>
          </cell>
          <cell r="AA9">
            <v>1.2909999999999999</v>
          </cell>
          <cell r="AE9">
            <v>6</v>
          </cell>
          <cell r="AF9">
            <v>16</v>
          </cell>
          <cell r="AG9">
            <v>1.2909999999999999</v>
          </cell>
          <cell r="AH9">
            <v>6</v>
          </cell>
          <cell r="AI9">
            <v>16</v>
          </cell>
          <cell r="AJ9">
            <v>1.2909999999999999</v>
          </cell>
        </row>
        <row r="10">
          <cell r="T10">
            <v>3</v>
          </cell>
          <cell r="U10">
            <v>6</v>
          </cell>
          <cell r="V10" t="e">
            <v>#VALUE!</v>
          </cell>
          <cell r="W10">
            <v>24</v>
          </cell>
          <cell r="X10">
            <v>0.51100000000000001</v>
          </cell>
          <cell r="Y10">
            <v>10</v>
          </cell>
          <cell r="Z10">
            <v>16</v>
          </cell>
          <cell r="AA10">
            <v>1.2909999999999999</v>
          </cell>
          <cell r="AE10">
            <v>6</v>
          </cell>
          <cell r="AF10">
            <v>16</v>
          </cell>
          <cell r="AG10">
            <v>1.2909999999999999</v>
          </cell>
          <cell r="AH10">
            <v>6</v>
          </cell>
          <cell r="AI10">
            <v>16</v>
          </cell>
          <cell r="AJ10">
            <v>1.2909999999999999</v>
          </cell>
        </row>
        <row r="11">
          <cell r="T11">
            <v>4</v>
          </cell>
          <cell r="U11">
            <v>5</v>
          </cell>
          <cell r="V11" t="e">
            <v>#VALUE!</v>
          </cell>
          <cell r="W11">
            <v>24</v>
          </cell>
          <cell r="X11">
            <v>0.51100000000000001</v>
          </cell>
          <cell r="Y11">
            <v>13</v>
          </cell>
          <cell r="Z11">
            <v>16</v>
          </cell>
          <cell r="AA11">
            <v>1.2909999999999999</v>
          </cell>
          <cell r="AE11">
            <v>6</v>
          </cell>
          <cell r="AF11">
            <v>16</v>
          </cell>
          <cell r="AG11">
            <v>1.2909999999999999</v>
          </cell>
          <cell r="AH11">
            <v>6</v>
          </cell>
          <cell r="AI11">
            <v>16</v>
          </cell>
          <cell r="AJ11">
            <v>1.2909999999999999</v>
          </cell>
        </row>
        <row r="12">
          <cell r="T12">
            <v>5</v>
          </cell>
          <cell r="U12">
            <v>4</v>
          </cell>
          <cell r="V12" t="e">
            <v>#VALUE!</v>
          </cell>
          <cell r="W12">
            <v>24</v>
          </cell>
          <cell r="X12">
            <v>0.51100000000000001</v>
          </cell>
          <cell r="Y12">
            <v>16</v>
          </cell>
          <cell r="Z12">
            <v>16</v>
          </cell>
          <cell r="AA12">
            <v>1.2909999999999999</v>
          </cell>
          <cell r="AB12">
            <v>10</v>
          </cell>
          <cell r="AC12">
            <v>16</v>
          </cell>
          <cell r="AD12">
            <v>1.2909999999999999</v>
          </cell>
          <cell r="AE12">
            <v>6</v>
          </cell>
          <cell r="AF12">
            <v>16</v>
          </cell>
          <cell r="AG12">
            <v>1.2909999999999999</v>
          </cell>
          <cell r="AH12">
            <v>6</v>
          </cell>
          <cell r="AI12">
            <v>16</v>
          </cell>
          <cell r="AJ12">
            <v>1.2909999999999999</v>
          </cell>
        </row>
        <row r="13">
          <cell r="T13">
            <v>6</v>
          </cell>
          <cell r="U13">
            <v>3</v>
          </cell>
          <cell r="V13" t="e">
            <v>#VALUE!</v>
          </cell>
          <cell r="W13">
            <v>24</v>
          </cell>
          <cell r="X13">
            <v>0.51100000000000001</v>
          </cell>
          <cell r="Y13">
            <v>20</v>
          </cell>
          <cell r="Z13">
            <v>16</v>
          </cell>
          <cell r="AA13">
            <v>1.2909999999999999</v>
          </cell>
          <cell r="AB13">
            <v>13</v>
          </cell>
          <cell r="AC13">
            <v>16</v>
          </cell>
          <cell r="AD13">
            <v>1.2909999999999999</v>
          </cell>
          <cell r="AE13">
            <v>7</v>
          </cell>
          <cell r="AF13">
            <v>16</v>
          </cell>
          <cell r="AG13">
            <v>1.2909999999999999</v>
          </cell>
          <cell r="AH13">
            <v>6</v>
          </cell>
          <cell r="AI13">
            <v>16</v>
          </cell>
          <cell r="AJ13">
            <v>1.2909999999999999</v>
          </cell>
        </row>
        <row r="14">
          <cell r="T14">
            <v>7</v>
          </cell>
          <cell r="U14">
            <v>2</v>
          </cell>
          <cell r="V14">
            <v>11</v>
          </cell>
          <cell r="W14">
            <v>24</v>
          </cell>
          <cell r="X14">
            <v>0.51100000000000001</v>
          </cell>
          <cell r="Y14">
            <v>26</v>
          </cell>
          <cell r="Z14">
            <v>16</v>
          </cell>
          <cell r="AA14">
            <v>1.2909999999999999</v>
          </cell>
          <cell r="AB14">
            <v>16</v>
          </cell>
          <cell r="AC14">
            <v>16</v>
          </cell>
          <cell r="AD14">
            <v>1.2909999999999999</v>
          </cell>
          <cell r="AE14">
            <v>9</v>
          </cell>
          <cell r="AF14">
            <v>16</v>
          </cell>
          <cell r="AG14">
            <v>1.2909999999999999</v>
          </cell>
          <cell r="AH14">
            <v>6</v>
          </cell>
          <cell r="AI14">
            <v>16</v>
          </cell>
          <cell r="AJ14">
            <v>1.2909999999999999</v>
          </cell>
        </row>
        <row r="15">
          <cell r="T15">
            <v>8</v>
          </cell>
          <cell r="U15">
            <v>1</v>
          </cell>
          <cell r="V15">
            <v>11</v>
          </cell>
          <cell r="W15">
            <v>24</v>
          </cell>
          <cell r="X15">
            <v>0.51100000000000001</v>
          </cell>
          <cell r="Y15">
            <v>20</v>
          </cell>
          <cell r="Z15">
            <v>14</v>
          </cell>
          <cell r="AA15">
            <v>1.629</v>
          </cell>
          <cell r="AB15">
            <v>20</v>
          </cell>
          <cell r="AC15">
            <v>16</v>
          </cell>
          <cell r="AD15">
            <v>1.2909999999999999</v>
          </cell>
          <cell r="AE15">
            <v>11</v>
          </cell>
          <cell r="AF15">
            <v>16</v>
          </cell>
          <cell r="AG15">
            <v>1.2909999999999999</v>
          </cell>
          <cell r="AH15">
            <v>7</v>
          </cell>
          <cell r="AI15">
            <v>16</v>
          </cell>
          <cell r="AJ15">
            <v>1.2909999999999999</v>
          </cell>
        </row>
        <row r="16">
          <cell r="T16">
            <v>9</v>
          </cell>
          <cell r="U16" t="str">
            <v>1/0</v>
          </cell>
          <cell r="V16">
            <v>12</v>
          </cell>
          <cell r="W16">
            <v>24</v>
          </cell>
          <cell r="X16">
            <v>0.51100000000000001</v>
          </cell>
          <cell r="Y16">
            <v>25</v>
          </cell>
          <cell r="Z16">
            <v>14</v>
          </cell>
          <cell r="AA16">
            <v>1.629</v>
          </cell>
          <cell r="AB16">
            <v>26</v>
          </cell>
          <cell r="AC16">
            <v>16</v>
          </cell>
          <cell r="AD16">
            <v>1.2909999999999999</v>
          </cell>
          <cell r="AE16">
            <v>14</v>
          </cell>
          <cell r="AF16">
            <v>16</v>
          </cell>
          <cell r="AG16">
            <v>1.2909999999999999</v>
          </cell>
          <cell r="AH16">
            <v>9</v>
          </cell>
          <cell r="AI16">
            <v>16</v>
          </cell>
          <cell r="AJ16">
            <v>1.2909999999999999</v>
          </cell>
        </row>
        <row r="17">
          <cell r="T17">
            <v>10</v>
          </cell>
          <cell r="U17" t="str">
            <v>2/0</v>
          </cell>
          <cell r="V17">
            <v>12</v>
          </cell>
          <cell r="W17">
            <v>24</v>
          </cell>
          <cell r="X17">
            <v>0.51100000000000001</v>
          </cell>
          <cell r="Y17">
            <v>32</v>
          </cell>
          <cell r="Z17">
            <v>14</v>
          </cell>
          <cell r="AA17">
            <v>1.629</v>
          </cell>
          <cell r="AB17">
            <v>20</v>
          </cell>
          <cell r="AC17">
            <v>14</v>
          </cell>
          <cell r="AD17">
            <v>1.629</v>
          </cell>
          <cell r="AE17">
            <v>18</v>
          </cell>
          <cell r="AF17">
            <v>16</v>
          </cell>
          <cell r="AG17">
            <v>1.2909999999999999</v>
          </cell>
          <cell r="AH17">
            <v>11</v>
          </cell>
          <cell r="AI17">
            <v>16</v>
          </cell>
          <cell r="AJ17">
            <v>1.2909999999999999</v>
          </cell>
        </row>
        <row r="18">
          <cell r="T18">
            <v>11</v>
          </cell>
          <cell r="U18" t="str">
            <v>3/0</v>
          </cell>
          <cell r="V18">
            <v>13</v>
          </cell>
          <cell r="W18">
            <v>24</v>
          </cell>
          <cell r="X18">
            <v>0.51100000000000001</v>
          </cell>
          <cell r="Y18">
            <v>25</v>
          </cell>
          <cell r="Z18">
            <v>12</v>
          </cell>
          <cell r="AA18">
            <v>2.052</v>
          </cell>
          <cell r="AB18">
            <v>25</v>
          </cell>
          <cell r="AC18">
            <v>14</v>
          </cell>
          <cell r="AD18">
            <v>1.629</v>
          </cell>
          <cell r="AE18">
            <v>22</v>
          </cell>
          <cell r="AF18">
            <v>16</v>
          </cell>
          <cell r="AG18">
            <v>1.2909999999999999</v>
          </cell>
          <cell r="AH18">
            <v>14</v>
          </cell>
          <cell r="AI18">
            <v>16</v>
          </cell>
          <cell r="AJ18">
            <v>1.2909999999999999</v>
          </cell>
        </row>
        <row r="19">
          <cell r="T19">
            <v>12</v>
          </cell>
          <cell r="U19" t="str">
            <v>4/0</v>
          </cell>
          <cell r="V19">
            <v>14</v>
          </cell>
          <cell r="W19">
            <v>24</v>
          </cell>
          <cell r="X19">
            <v>0.51100000000000001</v>
          </cell>
          <cell r="Y19">
            <v>32</v>
          </cell>
          <cell r="Z19">
            <v>12</v>
          </cell>
          <cell r="AA19">
            <v>2.052</v>
          </cell>
          <cell r="AB19">
            <v>32</v>
          </cell>
          <cell r="AC19">
            <v>14</v>
          </cell>
          <cell r="AD19">
            <v>1.629</v>
          </cell>
          <cell r="AE19">
            <v>28</v>
          </cell>
          <cell r="AF19">
            <v>16</v>
          </cell>
          <cell r="AG19">
            <v>1.2909999999999999</v>
          </cell>
          <cell r="AH19">
            <v>17</v>
          </cell>
          <cell r="AI19">
            <v>16</v>
          </cell>
          <cell r="AJ19">
            <v>1.2909999999999999</v>
          </cell>
        </row>
        <row r="20">
          <cell r="T20">
            <v>13</v>
          </cell>
          <cell r="U20">
            <v>250</v>
          </cell>
          <cell r="V20">
            <v>14</v>
          </cell>
          <cell r="W20">
            <v>24</v>
          </cell>
          <cell r="X20">
            <v>0.51100000000000001</v>
          </cell>
          <cell r="Y20">
            <v>38</v>
          </cell>
          <cell r="Z20">
            <v>12</v>
          </cell>
          <cell r="AA20">
            <v>2.052</v>
          </cell>
          <cell r="AB20">
            <v>25</v>
          </cell>
          <cell r="AC20">
            <v>12</v>
          </cell>
          <cell r="AD20">
            <v>2.052</v>
          </cell>
          <cell r="AE20">
            <v>21</v>
          </cell>
          <cell r="AF20">
            <v>14</v>
          </cell>
          <cell r="AG20">
            <v>1.629</v>
          </cell>
          <cell r="AH20">
            <v>20</v>
          </cell>
          <cell r="AI20">
            <v>16</v>
          </cell>
          <cell r="AJ20">
            <v>1.2909999999999999</v>
          </cell>
        </row>
        <row r="21">
          <cell r="T21">
            <v>14</v>
          </cell>
          <cell r="U21">
            <v>300</v>
          </cell>
          <cell r="V21">
            <v>15</v>
          </cell>
          <cell r="W21">
            <v>24</v>
          </cell>
          <cell r="X21">
            <v>0.51100000000000001</v>
          </cell>
          <cell r="Y21">
            <v>28</v>
          </cell>
          <cell r="Z21">
            <v>10</v>
          </cell>
          <cell r="AA21">
            <v>2.5880000000000001</v>
          </cell>
          <cell r="AB21">
            <v>29</v>
          </cell>
          <cell r="AC21">
            <v>12</v>
          </cell>
          <cell r="AD21">
            <v>2.052</v>
          </cell>
          <cell r="AE21">
            <v>25</v>
          </cell>
          <cell r="AF21">
            <v>14</v>
          </cell>
          <cell r="AG21">
            <v>1.629</v>
          </cell>
          <cell r="AH21">
            <v>24</v>
          </cell>
          <cell r="AI21">
            <v>16</v>
          </cell>
          <cell r="AJ21">
            <v>1.2909999999999999</v>
          </cell>
        </row>
        <row r="22">
          <cell r="T22">
            <v>15</v>
          </cell>
          <cell r="U22">
            <v>350</v>
          </cell>
          <cell r="V22">
            <v>16</v>
          </cell>
          <cell r="W22">
            <v>24</v>
          </cell>
          <cell r="X22">
            <v>0.51100000000000001</v>
          </cell>
          <cell r="Y22">
            <v>33</v>
          </cell>
          <cell r="Z22">
            <v>10</v>
          </cell>
          <cell r="AA22">
            <v>2.5880000000000001</v>
          </cell>
          <cell r="AB22">
            <v>32</v>
          </cell>
          <cell r="AC22">
            <v>12</v>
          </cell>
          <cell r="AD22">
            <v>2.052</v>
          </cell>
          <cell r="AE22">
            <v>29</v>
          </cell>
          <cell r="AF22">
            <v>14</v>
          </cell>
          <cell r="AG22">
            <v>1.629</v>
          </cell>
          <cell r="AH22">
            <v>28</v>
          </cell>
          <cell r="AI22">
            <v>16</v>
          </cell>
          <cell r="AJ22">
            <v>1.2909999999999999</v>
          </cell>
        </row>
        <row r="23">
          <cell r="T23">
            <v>16</v>
          </cell>
          <cell r="U23">
            <v>400</v>
          </cell>
          <cell r="V23">
            <v>16</v>
          </cell>
          <cell r="W23">
            <v>24</v>
          </cell>
          <cell r="X23">
            <v>0.51100000000000001</v>
          </cell>
          <cell r="Y23">
            <v>38</v>
          </cell>
          <cell r="Z23">
            <v>10</v>
          </cell>
          <cell r="AA23">
            <v>2.5880000000000001</v>
          </cell>
          <cell r="AE23">
            <v>33</v>
          </cell>
          <cell r="AF23">
            <v>14</v>
          </cell>
          <cell r="AG23">
            <v>1.629</v>
          </cell>
          <cell r="AH23">
            <v>32</v>
          </cell>
          <cell r="AI23">
            <v>16</v>
          </cell>
          <cell r="AJ23">
            <v>1.2909999999999999</v>
          </cell>
        </row>
        <row r="24">
          <cell r="T24">
            <v>17</v>
          </cell>
          <cell r="U24">
            <v>450</v>
          </cell>
          <cell r="V24">
            <v>17</v>
          </cell>
          <cell r="W24">
            <v>24</v>
          </cell>
          <cell r="X24">
            <v>0.51100000000000001</v>
          </cell>
          <cell r="Y24">
            <v>34</v>
          </cell>
          <cell r="Z24">
            <v>9</v>
          </cell>
          <cell r="AA24">
            <v>2.9060000000000001</v>
          </cell>
          <cell r="AE24">
            <v>37</v>
          </cell>
          <cell r="AF24">
            <v>14</v>
          </cell>
          <cell r="AG24">
            <v>1.629</v>
          </cell>
          <cell r="AH24">
            <v>36</v>
          </cell>
          <cell r="AI24">
            <v>16</v>
          </cell>
          <cell r="AJ24">
            <v>1.2909999999999999</v>
          </cell>
        </row>
        <row r="25">
          <cell r="T25">
            <v>18</v>
          </cell>
          <cell r="U25">
            <v>500</v>
          </cell>
          <cell r="V25">
            <v>17</v>
          </cell>
          <cell r="W25">
            <v>24</v>
          </cell>
          <cell r="X25">
            <v>0.51100000000000001</v>
          </cell>
          <cell r="Y25">
            <v>38</v>
          </cell>
          <cell r="Z25">
            <v>9</v>
          </cell>
          <cell r="AA25">
            <v>2.9060000000000001</v>
          </cell>
          <cell r="AE25">
            <v>26</v>
          </cell>
          <cell r="AF25">
            <v>12</v>
          </cell>
          <cell r="AG25">
            <v>2.052</v>
          </cell>
          <cell r="AH25">
            <v>25</v>
          </cell>
          <cell r="AI25">
            <v>14</v>
          </cell>
          <cell r="AJ25">
            <v>1.629</v>
          </cell>
        </row>
        <row r="26">
          <cell r="T26">
            <v>19</v>
          </cell>
          <cell r="U26">
            <v>550</v>
          </cell>
          <cell r="V26">
            <v>18</v>
          </cell>
          <cell r="W26">
            <v>24</v>
          </cell>
          <cell r="X26">
            <v>0.51100000000000001</v>
          </cell>
          <cell r="AE26">
            <v>29</v>
          </cell>
          <cell r="AF26">
            <v>12</v>
          </cell>
          <cell r="AG26">
            <v>2.052</v>
          </cell>
          <cell r="AH26">
            <v>28</v>
          </cell>
          <cell r="AI26">
            <v>14</v>
          </cell>
          <cell r="AJ26">
            <v>1.629</v>
          </cell>
        </row>
        <row r="27">
          <cell r="T27">
            <v>20</v>
          </cell>
          <cell r="U27">
            <v>600</v>
          </cell>
          <cell r="V27">
            <v>18</v>
          </cell>
          <cell r="W27">
            <v>24</v>
          </cell>
          <cell r="X27">
            <v>0.51100000000000001</v>
          </cell>
          <cell r="AE27">
            <v>31</v>
          </cell>
          <cell r="AF27">
            <v>12</v>
          </cell>
          <cell r="AG27">
            <v>2.052</v>
          </cell>
          <cell r="AH27">
            <v>30</v>
          </cell>
          <cell r="AI27">
            <v>14</v>
          </cell>
          <cell r="AJ27">
            <v>1.629</v>
          </cell>
        </row>
        <row r="28">
          <cell r="T28">
            <v>21</v>
          </cell>
          <cell r="U28">
            <v>650</v>
          </cell>
          <cell r="V28">
            <v>19</v>
          </cell>
          <cell r="W28">
            <v>24</v>
          </cell>
          <cell r="X28">
            <v>0.51100000000000001</v>
          </cell>
          <cell r="AE28">
            <v>34</v>
          </cell>
          <cell r="AF28">
            <v>12</v>
          </cell>
          <cell r="AG28">
            <v>2.052</v>
          </cell>
          <cell r="AH28">
            <v>33</v>
          </cell>
          <cell r="AI28">
            <v>14</v>
          </cell>
          <cell r="AJ28">
            <v>1.629</v>
          </cell>
        </row>
        <row r="29">
          <cell r="T29">
            <v>22</v>
          </cell>
          <cell r="U29">
            <v>700</v>
          </cell>
          <cell r="V29">
            <v>19</v>
          </cell>
          <cell r="W29">
            <v>24</v>
          </cell>
          <cell r="X29">
            <v>0.51100000000000001</v>
          </cell>
          <cell r="AE29">
            <v>36</v>
          </cell>
          <cell r="AF29">
            <v>12</v>
          </cell>
          <cell r="AG29">
            <v>2.052</v>
          </cell>
          <cell r="AH29">
            <v>35</v>
          </cell>
          <cell r="AI29">
            <v>14</v>
          </cell>
          <cell r="AJ29">
            <v>1.629</v>
          </cell>
        </row>
        <row r="30">
          <cell r="T30">
            <v>23</v>
          </cell>
          <cell r="U30">
            <v>750</v>
          </cell>
          <cell r="V30">
            <v>19</v>
          </cell>
          <cell r="W30">
            <v>24</v>
          </cell>
          <cell r="X30">
            <v>0.51100000000000001</v>
          </cell>
          <cell r="AE30">
            <v>25</v>
          </cell>
          <cell r="AF30">
            <v>10</v>
          </cell>
          <cell r="AG30">
            <v>2.5880000000000001</v>
          </cell>
          <cell r="AH30">
            <v>24</v>
          </cell>
          <cell r="AI30">
            <v>12</v>
          </cell>
          <cell r="AJ30">
            <v>2.052</v>
          </cell>
        </row>
        <row r="31">
          <cell r="T31">
            <v>24</v>
          </cell>
          <cell r="U31">
            <v>800</v>
          </cell>
          <cell r="V31">
            <v>20</v>
          </cell>
          <cell r="W31">
            <v>24</v>
          </cell>
          <cell r="X31">
            <v>0.51100000000000001</v>
          </cell>
          <cell r="AE31">
            <v>26</v>
          </cell>
          <cell r="AF31">
            <v>10</v>
          </cell>
          <cell r="AG31">
            <v>2.5880000000000001</v>
          </cell>
          <cell r="AH31">
            <v>26</v>
          </cell>
          <cell r="AI31">
            <v>12</v>
          </cell>
          <cell r="AJ31">
            <v>2.052</v>
          </cell>
        </row>
        <row r="32">
          <cell r="T32">
            <v>25</v>
          </cell>
          <cell r="U32">
            <v>900</v>
          </cell>
          <cell r="V32">
            <v>21</v>
          </cell>
          <cell r="W32">
            <v>24</v>
          </cell>
          <cell r="X32">
            <v>0.51100000000000001</v>
          </cell>
          <cell r="AE32">
            <v>29</v>
          </cell>
          <cell r="AF32">
            <v>10</v>
          </cell>
          <cell r="AG32">
            <v>2.5880000000000001</v>
          </cell>
          <cell r="AH32">
            <v>29</v>
          </cell>
          <cell r="AI32">
            <v>12</v>
          </cell>
          <cell r="AJ32">
            <v>2.052</v>
          </cell>
        </row>
        <row r="33">
          <cell r="T33">
            <v>26</v>
          </cell>
          <cell r="U33">
            <v>1000</v>
          </cell>
          <cell r="V33">
            <v>21</v>
          </cell>
          <cell r="W33">
            <v>24</v>
          </cell>
          <cell r="X33">
            <v>0.51100000000000001</v>
          </cell>
          <cell r="AE33">
            <v>32</v>
          </cell>
          <cell r="AF33">
            <v>10</v>
          </cell>
          <cell r="AG33">
            <v>2.5880000000000001</v>
          </cell>
          <cell r="AH33">
            <v>31</v>
          </cell>
          <cell r="AI33">
            <v>12</v>
          </cell>
          <cell r="AJ33">
            <v>2.052</v>
          </cell>
        </row>
      </sheetData>
      <sheetData sheetId="12" refreshError="1">
        <row r="8">
          <cell r="I8">
            <v>0</v>
          </cell>
        </row>
        <row r="22">
          <cell r="E22">
            <v>60</v>
          </cell>
        </row>
        <row r="25">
          <cell r="C25">
            <v>2</v>
          </cell>
          <cell r="P25">
            <v>1</v>
          </cell>
        </row>
        <row r="26">
          <cell r="N26">
            <v>1.1299999999999999</v>
          </cell>
        </row>
        <row r="27">
          <cell r="N27">
            <v>1.18</v>
          </cell>
        </row>
        <row r="29">
          <cell r="D29">
            <v>2.7050000000000001</v>
          </cell>
          <cell r="G29">
            <v>28.172000000000001</v>
          </cell>
        </row>
        <row r="35">
          <cell r="O35">
            <v>0.92</v>
          </cell>
        </row>
        <row r="36">
          <cell r="S36" t="str">
            <v>-</v>
          </cell>
        </row>
        <row r="37">
          <cell r="V37">
            <v>1</v>
          </cell>
        </row>
        <row r="40">
          <cell r="H40">
            <v>7</v>
          </cell>
        </row>
        <row r="47">
          <cell r="AA47">
            <v>0</v>
          </cell>
        </row>
        <row r="51">
          <cell r="D51">
            <v>7</v>
          </cell>
          <cell r="E51">
            <v>0.72599999999999998</v>
          </cell>
        </row>
        <row r="52">
          <cell r="D52">
            <v>19</v>
          </cell>
          <cell r="E52">
            <v>0.75800000000000001</v>
          </cell>
        </row>
        <row r="53">
          <cell r="D53">
            <v>37</v>
          </cell>
          <cell r="E53">
            <v>0.76800000000000002</v>
          </cell>
        </row>
        <row r="54">
          <cell r="D54">
            <v>61</v>
          </cell>
          <cell r="E54">
            <v>0.77200000000000002</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_Via_distribuidora"/>
      <sheetName val="INSUMOS BASE"/>
      <sheetName val="costos mano obra"/>
      <sheetName val="Información"/>
      <sheetName val="ANEXOS QUE APLICAN"/>
      <sheetName val="DATOS GRALES"/>
      <sheetName val="PRESUPUESTO"/>
      <sheetName val="FORMATO AU"/>
      <sheetName val="CALCULO ANTICIPO"/>
      <sheetName val="GASTOS DE LEGALIZACIÓN"/>
      <sheetName val="APU AMBIENTAL"/>
      <sheetName val="LISTA VERIFICACIÓN "/>
      <sheetName val="INTERV AMBIENTAL"/>
      <sheetName val="IMPACTOS"/>
      <sheetName val="CRONOGRAMA"/>
      <sheetName val="APU"/>
      <sheetName val="APU labores arbolado 2014"/>
      <sheetName val="Presupuesto correigio nora mora"/>
      <sheetName val="INSUMOS_BASE1"/>
      <sheetName val="costos_mano_obra1"/>
      <sheetName val="ANEXOS_QUE_APLICAN1"/>
      <sheetName val="DATOS_GRALES1"/>
      <sheetName val="FORMATO_AU1"/>
      <sheetName val="CALCULO_ANTICIPO1"/>
      <sheetName val="GASTOS_DE_LEGALIZACIÓN1"/>
      <sheetName val="APU_AMBIENTAL1"/>
      <sheetName val="LISTA_VERIFICACIÓN_1"/>
      <sheetName val="INTERV_AMBIENTAL1"/>
      <sheetName val="APU_labores_arbolado_20141"/>
      <sheetName val="INSUMOS_BASE"/>
      <sheetName val="costos_mano_obra"/>
      <sheetName val="ANEXOS_QUE_APLICAN"/>
      <sheetName val="DATOS_GRALES"/>
      <sheetName val="FORMATO_AU"/>
      <sheetName val="CALCULO_ANTICIPO"/>
      <sheetName val="GASTOS_DE_LEGALIZACIÓN"/>
      <sheetName val="APU_AMBIENTAL"/>
      <sheetName val="LISTA_VERIFICACIÓN_"/>
      <sheetName val="INTERV_AMBIENTAL"/>
      <sheetName val="APU_labores_arbolado_2014"/>
    </sheetNames>
    <sheetDataSet>
      <sheetData sheetId="0" refreshError="1"/>
      <sheetData sheetId="1" refreshError="1"/>
      <sheetData sheetId="2" refreshError="1"/>
      <sheetData sheetId="3" refreshError="1"/>
      <sheetData sheetId="4">
        <row r="1">
          <cell r="C1">
            <v>0</v>
          </cell>
        </row>
      </sheetData>
      <sheetData sheetId="5"/>
      <sheetData sheetId="6">
        <row r="1">
          <cell r="C1">
            <v>0</v>
          </cell>
        </row>
      </sheetData>
      <sheetData sheetId="7"/>
      <sheetData sheetId="8"/>
      <sheetData sheetId="9"/>
      <sheetData sheetId="10"/>
      <sheetData sheetId="11"/>
      <sheetData sheetId="12"/>
      <sheetData sheetId="13"/>
      <sheetData sheetId="14"/>
      <sheetData sheetId="15"/>
      <sheetData sheetId="16"/>
      <sheetData sheetId="17" refreshError="1"/>
      <sheetData sheetId="18"/>
      <sheetData sheetId="19">
        <row r="1">
          <cell r="C1">
            <v>0</v>
          </cell>
        </row>
      </sheetData>
      <sheetData sheetId="20">
        <row r="1">
          <cell r="C1">
            <v>0</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abinetes agrup. CT's y PT's"/>
      <sheetName val="Gabinetes ctrol, prot. y med. "/>
      <sheetName val="Formulario de  precios"/>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
      <sheetName val="BASE"/>
      <sheetName val="BASE CTOS"/>
      <sheetName val="PRELIM"/>
      <sheetName val="TUBERIA"/>
      <sheetName val="EXCAVA"/>
      <sheetName val="RESUMEN OBRAS "/>
      <sheetName val="1. Caja de Control y Aforo"/>
      <sheetName val="1. APU CAJA CONTROL"/>
      <sheetName val="2. Desarenador"/>
      <sheetName val="2. APU DESARENADOR"/>
      <sheetName val="3. Conducción"/>
      <sheetName val="3. APU CONDUCCIÓN"/>
      <sheetName val="4. Tanques Existentes"/>
      <sheetName val="4. APU Tanques Existentes"/>
      <sheetName val="5. Red Distribución"/>
      <sheetName val="5. APU Red Distribución"/>
      <sheetName val="6.  Opt. PTAP existente"/>
      <sheetName val="6. APU OPT PTAP"/>
      <sheetName val="RES MATERERIALES ACUEDUCTO"/>
      <sheetName val="BASE_CTOS"/>
      <sheetName val="RESUMEN_OBRAS_"/>
      <sheetName val="1__Caja_de_Control_y_Aforo"/>
      <sheetName val="1__APU_CAJA_CONTROL"/>
      <sheetName val="2__Desarenador"/>
      <sheetName val="2__APU_DESARENADOR"/>
      <sheetName val="3__Conducción"/>
      <sheetName val="3__APU_CONDUCCIÓN"/>
      <sheetName val="4__Tanques_Existentes"/>
      <sheetName val="4__APU_Tanques_Existentes"/>
      <sheetName val="5__Red_Distribución"/>
      <sheetName val="5__APU_Red_Distribución"/>
      <sheetName val="6___Opt__PTAP_existente"/>
      <sheetName val="6__APU_OPT_PTAP"/>
      <sheetName val="RES_MATERERIALES_ACUEDUCTO"/>
      <sheetName val="BASE_CTOS2"/>
      <sheetName val="RESUMEN_OBRAS_2"/>
      <sheetName val="1__Caja_de_Control_y_Aforo2"/>
      <sheetName val="1__APU_CAJA_CONTROL2"/>
      <sheetName val="2__Desarenador2"/>
      <sheetName val="2__APU_DESARENADOR2"/>
      <sheetName val="3__Conducción2"/>
      <sheetName val="3__APU_CONDUCCIÓN2"/>
      <sheetName val="4__Tanques_Existentes2"/>
      <sheetName val="4__APU_Tanques_Existentes2"/>
      <sheetName val="5__Red_Distribución2"/>
      <sheetName val="5__APU_Red_Distribución2"/>
      <sheetName val="6___Opt__PTAP_existente2"/>
      <sheetName val="6__APU_OPT_PTAP2"/>
      <sheetName val="RES_MATERERIALES_ACUEDUCTO2"/>
      <sheetName val="BASE_CTOS1"/>
      <sheetName val="RESUMEN_OBRAS_1"/>
      <sheetName val="1__Caja_de_Control_y_Aforo1"/>
      <sheetName val="1__APU_CAJA_CONTROL1"/>
      <sheetName val="2__Desarenador1"/>
      <sheetName val="2__APU_DESARENADOR1"/>
      <sheetName val="3__Conducción1"/>
      <sheetName val="3__APU_CONDUCCIÓN1"/>
      <sheetName val="4__Tanques_Existentes1"/>
      <sheetName val="4__APU_Tanques_Existentes1"/>
      <sheetName val="5__Red_Distribución1"/>
      <sheetName val="5__APU_Red_Distribución1"/>
      <sheetName val="6___Opt__PTAP_existente1"/>
      <sheetName val="6__APU_OPT_PTAP1"/>
      <sheetName val="RES_MATERERIALES_ACUEDUCTO1"/>
    </sheetNames>
    <sheetDataSet>
      <sheetData sheetId="0">
        <row r="136">
          <cell r="D136">
            <v>18202.719999999998</v>
          </cell>
        </row>
      </sheetData>
      <sheetData sheetId="1">
        <row r="136">
          <cell r="D136">
            <v>18202.719999999998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A.N."/>
      <sheetName val="SOPORTES A.N."/>
      <sheetName val="DOMI.STA.CECILIA II"/>
      <sheetName val="ACTA"/>
      <sheetName val="BALANCE FINANCIERO"/>
      <sheetName val="AVANCE"/>
      <sheetName val="E.MERCANCIA"/>
      <sheetName val="tuberia"/>
      <sheetName val="CONT INSP Y ENSAYO"/>
    </sheetNames>
    <sheetDataSet>
      <sheetData sheetId="0" refreshError="1">
        <row r="15">
          <cell r="I15">
            <v>0.54751813668079397</v>
          </cell>
        </row>
        <row r="16">
          <cell r="I16">
            <v>0.67002611682034363</v>
          </cell>
        </row>
        <row r="17">
          <cell r="I17">
            <v>0.80535562905411928</v>
          </cell>
        </row>
        <row r="18">
          <cell r="I18">
            <v>0.89811116639918487</v>
          </cell>
        </row>
        <row r="19">
          <cell r="I19">
            <v>0.9744774270287262</v>
          </cell>
        </row>
        <row r="20">
          <cell r="I20">
            <v>1.1239471251137785</v>
          </cell>
        </row>
        <row r="21">
          <cell r="I21">
            <v>1.2825432987340994</v>
          </cell>
        </row>
        <row r="22">
          <cell r="I22">
            <v>1.4530556979861888</v>
          </cell>
        </row>
        <row r="23">
          <cell r="I23">
            <v>1.6392553722877783</v>
          </cell>
        </row>
        <row r="24">
          <cell r="I24">
            <v>1.8401475946639425</v>
          </cell>
        </row>
        <row r="25">
          <cell r="I25">
            <v>2.4052561673438118</v>
          </cell>
        </row>
        <row r="28">
          <cell r="I28">
            <v>3.6230056809750879</v>
          </cell>
        </row>
        <row r="29">
          <cell r="I29">
            <v>4.2349131863889973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G.G"/>
      <sheetName val="AC2_AG96"/>
      <sheetName val="Formulario N° 4"/>
      <sheetName val="MATERIALES"/>
      <sheetName val="EQUIPO"/>
      <sheetName val="Reprograma 4"/>
      <sheetName val="COSTOS"/>
      <sheetName val="Program"/>
      <sheetName val="EVA"/>
      <sheetName val="AIU"/>
      <sheetName val="BASE DATOS"/>
      <sheetName val="fdedo1"/>
      <sheetName val="INV"/>
      <sheetName val="Datos"/>
      <sheetName val="PROPUESTA PRESENTADA"/>
      <sheetName val="AASHTO"/>
      <sheetName val="PROPUESTA"/>
      <sheetName val="PREACTA"/>
      <sheetName val="ANEXO 7"/>
      <sheetName val="presupuesto"/>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U (2)"/>
      <sheetName val="PESOS"/>
      <sheetName val="G&amp;G"/>
      <sheetName val="COSTOS UNITARIOS"/>
      <sheetName val="CA-2909"/>
      <sheetName val="TRAYECTO 1"/>
      <sheetName val="CABG"/>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Información"/>
      <sheetName val="ACTIVIDADES"/>
      <sheetName val="Vario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ó&gt;j0$#j_$#LÓu"/>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6"/>
      <sheetName val="PU_(2)5"/>
      <sheetName val="COSTOS_UNITARIOS"/>
      <sheetName val="TRAYECTO_1"/>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VALOR_ENSAYOS"/>
      <sheetName val="resumen_preacta"/>
      <sheetName val="Resalto_en_asfalto"/>
      <sheetName val="Mat_fresado_para_ampliacion"/>
      <sheetName val="Tuberia_filtro_D=6&quot;"/>
      <sheetName val="Realce_de_bordillo"/>
      <sheetName val="Remocion_tuberia_d=24&quot;"/>
      <sheetName val="GRAVA_ATRAQUES_DE_ALCANTARILLA"/>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TORTA EST"/>
      <sheetName val="BD"/>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Tramo 2"/>
      <sheetName val="EMPRESAS"/>
      <sheetName val="Paral. 1"/>
      <sheetName val="Paral. 2"/>
      <sheetName val="Paral. 3"/>
      <sheetName val="Paral.4"/>
      <sheetName val="Hoja3"/>
      <sheetName val="Accidentalidad"/>
      <sheetName val="Causa Posible"/>
      <sheetName val="Base de Datos"/>
      <sheetName val="Elementos Involucrados"/>
      <sheetName val="TARIFAS MATERIALES"/>
      <sheetName val="TARIFAS EQUIPOS "/>
      <sheetName val="TARIFA SALARIOS"/>
      <sheetName val="PRES"/>
      <sheetName val="SNP7 Anclajes pasivos6j_x0000_"/>
      <sheetName val="ó&gt;_x005f_x0000__x005f_x0001__x005f_x0000__x005f_x0000__"/>
      <sheetName val="CRA.MODI"/>
      <sheetName val="MYE OBRA"/>
      <sheetName val="LISTADO_APU"/>
      <sheetName val="Operation"/>
      <sheetName val="Inputs"/>
      <sheetName val="Concesionaria_-_Administrativo1"/>
      <sheetName val="Concesionaria_-_Sistemas1"/>
      <sheetName val="Control"/>
      <sheetName val="Construction"/>
      <sheetName val="MDC-1 COLOCACION "/>
      <sheetName val="D-20 COLOCACION "/>
      <sheetName val="TRANSPORTE MEZCLA ASFALTICA"/>
      <sheetName val="Fresado"/>
      <sheetName val="EXT microagomerado"/>
      <sheetName val="Hoja5"/>
      <sheetName val="Hoja2"/>
      <sheetName val="Transportes"/>
      <sheetName val="Indicadores Y Listas"/>
      <sheetName val="Grafico Avance"/>
      <sheetName val="ó&gt;?_x0001_???j0$?#???j.$?#???L_x0012_Óu????"/>
      <sheetName val="AMOBLAMINETO"/>
      <sheetName val="LISTA"/>
      <sheetName val="BASE DE DATOS DE PRECIOS"/>
      <sheetName val="MATERIALES Y RECURSOS"/>
      <sheetName val="Lista ICCU"/>
      <sheetName val="ó&gt;"/>
      <sheetName val="resum96"/>
      <sheetName val="sap"/>
      <sheetName val="P2"/>
      <sheetName val="P1"/>
      <sheetName val="31-05-18"/>
      <sheetName val="F-7857-308"/>
      <sheetName val="Equipo Menor"/>
      <sheetName val="ALQUILADO F-7857-308 "/>
      <sheetName val="Real Para tarifas"/>
      <sheetName val="Patrimonio neto personal"/>
      <sheetName val="Cálculos"/>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dicadores_Y_Listas4"/>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Indicadores_Y_Listas"/>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resumen_preacta5"/>
      <sheetName val="Resalto_en_asfalto5"/>
      <sheetName val="Mat_fresado_para_ampliacion5"/>
      <sheetName val="Tuberia_filtro_D=6&quot;5"/>
      <sheetName val="Realce_de_bordillo5"/>
      <sheetName val="Remocion_tuberia_d=24&quot;5"/>
      <sheetName val="GRAVA_ATRAQUES_DE_ALCANTARILLA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Indicadores_Y_Listas1"/>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Indicadores_Y_Listas2"/>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Indicadores_Y_Listas3"/>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TORTA_EST9"/>
      <sheetName val="Indicadores_Y_Listas9"/>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Indicadores_Y_Listas5"/>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TORTA_EST6"/>
      <sheetName val="Indicadores_Y_Listas6"/>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TORTA_EST7"/>
      <sheetName val="Indicadores_Y_Listas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TORTA_EST8"/>
      <sheetName val="Indicadores_Y_Listas8"/>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TORTA_EST10"/>
      <sheetName val="Indicadores_Y_Listas10"/>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TORTA_EST11"/>
      <sheetName val="Indicadores_Y_Listas11"/>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TORTA_EST12"/>
      <sheetName val="Indicadores_Y_Listas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TORTA_EST13"/>
      <sheetName val="Indicadores_Y_Listas13"/>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TORTA_EST14"/>
      <sheetName val="Indicadores_Y_Listas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TORTA_EST15"/>
      <sheetName val="Indicadores_Y_Listas15"/>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TORTA_EST17"/>
      <sheetName val="Indicadores_Y_Listas17"/>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TORTA_EST16"/>
      <sheetName val="Indicadores_Y_Listas16"/>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TORTA_EST18"/>
      <sheetName val="Indicadores_Y_Listas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TORTA_EST19"/>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TORTA_EST20"/>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RESISTENCIA_"/>
      <sheetName val="Memorias"/>
      <sheetName val="CANOBRA"/>
      <sheetName val="INCREMENTOS"/>
      <sheetName val="LISTMATE"/>
      <sheetName val="MATERIALES"/>
      <sheetName val="CONSTANTES"/>
      <sheetName val="LISTAS"/>
      <sheetName val="CONSTANTES_"/>
      <sheetName val="41"/>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_x0000_㈀㰰⌀_x0000_㈀㰮⌀_x0000_䰀଒v_x0000__x0000__x0000_頀"/>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TARIFAS_MATERIALES"/>
      <sheetName val="TARIFAS_EQUIPOS_"/>
      <sheetName val="TARIFA_SALARIOS"/>
      <sheetName val="MYE_OBRA"/>
      <sheetName val="Tramo_2"/>
      <sheetName val="Equipo_Menor"/>
      <sheetName val="ALQUILADO_F-7857-308_"/>
      <sheetName val="Real_Para_tarifas"/>
      <sheetName val="Causa_Posible"/>
      <sheetName val="Base_de_Datos"/>
      <sheetName val="Elementos_Involucrados"/>
      <sheetName val="SNP7_Anclajes_pasivos6j"/>
      <sheetName val="CRA_MODI"/>
      <sheetName val="MDC-1_COLOCACION_"/>
      <sheetName val="D-20_COLOCACION_"/>
      <sheetName val="TRANSPORTE_MEZCLA_ASFALTICA"/>
      <sheetName val="EXT_microagomerado"/>
      <sheetName val="Grafico_Avance"/>
      <sheetName val="ó&gt;????j0$?#???j_$?#???LÓu????"/>
      <sheetName val="CORTE DE OBRA N° 1"/>
      <sheetName val="memoria"/>
      <sheetName val="memoria 1"/>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RUTA 10"/>
      <sheetName val="AFECTACION 10"/>
      <sheetName val="EJECUCION C. 10"/>
      <sheetName val="INF FINANCIERA 10"/>
      <sheetName val="RUTA 11"/>
      <sheetName val="AFECTACION 11"/>
      <sheetName val="EJECUCION C. 11"/>
      <sheetName val="INF FINANCIERA 11"/>
      <sheetName val="MINFRA-MN-IN-15-FR-13"/>
      <sheetName val="M.OBRA"/>
      <sheetName val="RELACION DE PRECIOS"/>
      <sheetName val="ACTA 5"/>
      <sheetName val="MODIF. 2"/>
      <sheetName val="MODIF. 3"/>
      <sheetName val="cant"/>
      <sheetName val="par mar19"/>
      <sheetName val="par"/>
      <sheetName val="CCONC"/>
      <sheetName val="ACTA PROVEEDORES"/>
      <sheetName val="ACTA INICIO"/>
      <sheetName val="ACTA PARCIAL"/>
      <sheetName val="ACTA TERMINACION"/>
      <sheetName val="Datos_CO"/>
      <sheetName val="Skid Lifting Lug"/>
      <sheetName val="Programacion"/>
      <sheetName val="ó&gt;_x0000__x0001__x0000__x0000__"/>
      <sheetName val="CABLE CONTROL"/>
      <sheetName val="PSM Monthly"/>
      <sheetName val="BQMPALOC"/>
      <sheetName val="ACTA No.5"/>
      <sheetName val="IV. MANO DE OBRA AIU"/>
      <sheetName val="MYE_OBRA1"/>
      <sheetName val="MDC-1_COLOCACION_1"/>
      <sheetName val="D-20_COLOCACION_1"/>
      <sheetName val="TRANSPORTE_MEZCLA_ASFALTICA1"/>
      <sheetName val="EXT_microagomerado1"/>
      <sheetName val="Grafico_Avance1"/>
      <sheetName val="Tramo_21"/>
      <sheetName val="BASE_DE_DATOS_DE_PRECIOS"/>
      <sheetName val="BASE_DE_DATOS_DE_PRECIOS1"/>
      <sheetName val="TARIFAS_MATERIALES1"/>
      <sheetName val="TARIFAS_EQUIPOS_1"/>
      <sheetName val="TARIFA_SALARIOS1"/>
      <sheetName val="MDC-1_COLOCACION_2"/>
      <sheetName val="D-20_COLOCACION_2"/>
      <sheetName val="TRANSPORTE_MEZCLA_ASFALTICA2"/>
      <sheetName val="EXT_microagomerado2"/>
      <sheetName val="Grafico_Avance2"/>
      <sheetName val="MYE_OBRA2"/>
      <sheetName val="TARIFAS_MATERIALES2"/>
      <sheetName val="TARIFAS_EQUIPOS_2"/>
      <sheetName val="TARIFA_SALARIOS2"/>
      <sheetName val="BASE_DE_DATOS_DE_PRECIOS2"/>
      <sheetName val="Tramo_22"/>
      <sheetName val="MDC-1_COLOCACION_3"/>
      <sheetName val="D-20_COLOCACION_3"/>
      <sheetName val="TRANSPORTE_MEZCLA_ASFALTICA3"/>
      <sheetName val="EXT_microagomerado3"/>
      <sheetName val="Grafico_Avance3"/>
      <sheetName val="MYE_OBRA3"/>
      <sheetName val="TARIFAS_MATERIALES3"/>
      <sheetName val="TARIFAS_EQUIPOS_3"/>
      <sheetName val="TARIFA_SALARIOS3"/>
      <sheetName val="BASE_DE_DATOS_DE_PRECIOS3"/>
      <sheetName val="Tramo_23"/>
      <sheetName val="MDC-1_COLOCACION_4"/>
      <sheetName val="D-20_COLOCACION_4"/>
      <sheetName val="TRANSPORTE_MEZCLA_ASFALTICA4"/>
      <sheetName val="EXT_microagomerado4"/>
      <sheetName val="Grafico_Avance4"/>
      <sheetName val="MYE_OBRA4"/>
      <sheetName val="TARIFAS_MATERIALES4"/>
      <sheetName val="TARIFAS_EQUIPOS_4"/>
      <sheetName val="TARIFA_SALARIOS4"/>
      <sheetName val="BASE_DE_DATOS_DE_PRECIOS4"/>
      <sheetName val="Tramo_24"/>
      <sheetName val="MDC-1_COLOCACION_5"/>
      <sheetName val="D-20_COLOCACION_5"/>
      <sheetName val="TRANSPORTE_MEZCLA_ASFALTICA5"/>
      <sheetName val="EXT_microagomerado5"/>
      <sheetName val="Grafico_Avance5"/>
      <sheetName val="MYE_OBRA5"/>
      <sheetName val="TARIFAS_MATERIALES5"/>
      <sheetName val="TARIFAS_EQUIPOS_5"/>
      <sheetName val="TARIFA_SALARIOS5"/>
      <sheetName val="BASE_DE_DATOS_DE_PRECIOS5"/>
      <sheetName val="Tramo_25"/>
      <sheetName val="&quot;PAGA&quot;"/>
      <sheetName val="REAJUSTESACTA1PROVI"/>
      <sheetName val="Listas de apoyo Social"/>
      <sheetName val="Listas de apoyo"/>
      <sheetName val="PRESUPUESTO V5"/>
      <sheetName val="1. Preliminares"/>
      <sheetName val="2. Demoliciones"/>
      <sheetName val="3. Elementos y Estructuras"/>
      <sheetName val="4. HVAC"/>
      <sheetName val="8. Recubrimientos y Acabados"/>
      <sheetName val="9. Otros"/>
      <sheetName val="10. Tramites y Licencias"/>
    </sheetNames>
    <sheetDataSet>
      <sheetData sheetId="0">
        <row r="2">
          <cell r="A2">
            <v>0</v>
          </cell>
        </row>
      </sheetData>
      <sheetData sheetId="1">
        <row r="2">
          <cell r="A2">
            <v>0</v>
          </cell>
        </row>
      </sheetData>
      <sheetData sheetId="2" refreshError="1">
        <row r="2">
          <cell r="A2">
            <v>0</v>
          </cell>
        </row>
        <row r="5">
          <cell r="A5" t="str">
            <v>S4</v>
          </cell>
          <cell r="B5" t="str">
            <v>T1</v>
          </cell>
          <cell r="C5" t="str">
            <v>T2</v>
          </cell>
          <cell r="D5" t="str">
            <v>T3</v>
          </cell>
          <cell r="F5">
            <v>20</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efreshError="1"/>
      <sheetData sheetId="55" refreshError="1"/>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row r="2">
          <cell r="A2">
            <v>0</v>
          </cell>
        </row>
      </sheetData>
      <sheetData sheetId="63" refreshError="1"/>
      <sheetData sheetId="64" refreshError="1"/>
      <sheetData sheetId="65" refreshError="1"/>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efreshError="1"/>
      <sheetData sheetId="72" refreshError="1"/>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2">
          <cell r="A2">
            <v>0</v>
          </cell>
        </row>
      </sheetData>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efreshError="1"/>
      <sheetData sheetId="213" refreshError="1"/>
      <sheetData sheetId="214" refreshError="1"/>
      <sheetData sheetId="215" refreshError="1"/>
      <sheetData sheetId="216" refreshError="1"/>
      <sheetData sheetId="217">
        <row r="2">
          <cell r="A2">
            <v>0</v>
          </cell>
        </row>
      </sheetData>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efreshError="1"/>
      <sheetData sheetId="235">
        <row r="2">
          <cell r="A2">
            <v>0</v>
          </cell>
        </row>
      </sheetData>
      <sheetData sheetId="236" refreshError="1"/>
      <sheetData sheetId="237" refreshError="1"/>
      <sheetData sheetId="238" refreshError="1"/>
      <sheetData sheetId="239">
        <row r="2">
          <cell r="A2">
            <v>0</v>
          </cell>
        </row>
      </sheetData>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ow r="2">
          <cell r="A2">
            <v>0</v>
          </cell>
        </row>
      </sheetData>
      <sheetData sheetId="269" refreshError="1"/>
      <sheetData sheetId="270" refreshError="1"/>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efreshError="1"/>
      <sheetData sheetId="352" refreshError="1"/>
      <sheetData sheetId="353" refreshError="1"/>
      <sheetData sheetId="354" refreshError="1"/>
      <sheetData sheetId="355" refreshError="1"/>
      <sheetData sheetId="356" refreshError="1"/>
      <sheetData sheetId="357" refreshError="1"/>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ow r="2">
          <cell r="A2">
            <v>0</v>
          </cell>
        </row>
      </sheetData>
      <sheetData sheetId="406" refreshError="1"/>
      <sheetData sheetId="407" refreshError="1"/>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v>0</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v>0</v>
          </cell>
        </row>
      </sheetData>
      <sheetData sheetId="474">
        <row r="2">
          <cell r="A2">
            <v>0</v>
          </cell>
        </row>
      </sheetData>
      <sheetData sheetId="475">
        <row r="2">
          <cell r="A2">
            <v>0</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efreshError="1"/>
      <sheetData sheetId="489" refreshError="1"/>
      <sheetData sheetId="490" refreshError="1"/>
      <sheetData sheetId="491" refreshError="1"/>
      <sheetData sheetId="492" refreshError="1"/>
      <sheetData sheetId="493" refreshError="1"/>
      <sheetData sheetId="494" refreshError="1"/>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ow r="2">
          <cell r="A2">
            <v>0</v>
          </cell>
        </row>
      </sheetData>
      <sheetData sheetId="645" refreshError="1"/>
      <sheetData sheetId="646" refreshError="1"/>
      <sheetData sheetId="647" refreshError="1"/>
      <sheetData sheetId="648" refreshError="1"/>
      <sheetData sheetId="649">
        <row r="2">
          <cell r="A2">
            <v>0</v>
          </cell>
        </row>
      </sheetData>
      <sheetData sheetId="650">
        <row r="2">
          <cell r="A2">
            <v>0</v>
          </cell>
        </row>
      </sheetData>
      <sheetData sheetId="651">
        <row r="2">
          <cell r="A2">
            <v>0</v>
          </cell>
        </row>
      </sheetData>
      <sheetData sheetId="652">
        <row r="2">
          <cell r="A2">
            <v>0</v>
          </cell>
        </row>
      </sheetData>
      <sheetData sheetId="653">
        <row r="2">
          <cell r="A2">
            <v>0</v>
          </cell>
        </row>
      </sheetData>
      <sheetData sheetId="654">
        <row r="2">
          <cell r="A2">
            <v>0</v>
          </cell>
        </row>
      </sheetData>
      <sheetData sheetId="655">
        <row r="2">
          <cell r="A2">
            <v>0</v>
          </cell>
        </row>
      </sheetData>
      <sheetData sheetId="656">
        <row r="2">
          <cell r="A2">
            <v>0</v>
          </cell>
        </row>
      </sheetData>
      <sheetData sheetId="657">
        <row r="2">
          <cell r="A2">
            <v>0</v>
          </cell>
        </row>
      </sheetData>
      <sheetData sheetId="658">
        <row r="2">
          <cell r="A2">
            <v>0</v>
          </cell>
        </row>
      </sheetData>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ow r="2">
          <cell r="A2">
            <v>0</v>
          </cell>
        </row>
      </sheetData>
      <sheetData sheetId="681">
        <row r="2">
          <cell r="A2">
            <v>0</v>
          </cell>
        </row>
      </sheetData>
      <sheetData sheetId="682">
        <row r="2">
          <cell r="A2">
            <v>0</v>
          </cell>
        </row>
      </sheetData>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ow r="2">
          <cell r="A2">
            <v>0</v>
          </cell>
        </row>
      </sheetData>
      <sheetData sheetId="738">
        <row r="2">
          <cell r="A2">
            <v>0</v>
          </cell>
        </row>
      </sheetData>
      <sheetData sheetId="739">
        <row r="2">
          <cell r="A2">
            <v>0</v>
          </cell>
        </row>
      </sheetData>
      <sheetData sheetId="740">
        <row r="2">
          <cell r="A2">
            <v>0</v>
          </cell>
        </row>
      </sheetData>
      <sheetData sheetId="741">
        <row r="2">
          <cell r="A2">
            <v>0</v>
          </cell>
        </row>
      </sheetData>
      <sheetData sheetId="742">
        <row r="2">
          <cell r="A2">
            <v>0</v>
          </cell>
        </row>
      </sheetData>
      <sheetData sheetId="743">
        <row r="2">
          <cell r="A2">
            <v>0</v>
          </cell>
        </row>
      </sheetData>
      <sheetData sheetId="744">
        <row r="2">
          <cell r="A2">
            <v>0</v>
          </cell>
        </row>
      </sheetData>
      <sheetData sheetId="745">
        <row r="2">
          <cell r="A2">
            <v>0</v>
          </cell>
        </row>
      </sheetData>
      <sheetData sheetId="746">
        <row r="2">
          <cell r="A2">
            <v>0</v>
          </cell>
        </row>
      </sheetData>
      <sheetData sheetId="747">
        <row r="2">
          <cell r="A2">
            <v>0</v>
          </cell>
        </row>
      </sheetData>
      <sheetData sheetId="748">
        <row r="2">
          <cell r="A2">
            <v>0</v>
          </cell>
        </row>
      </sheetData>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efreshError="1"/>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ow r="2">
          <cell r="A2">
            <v>0</v>
          </cell>
        </row>
      </sheetData>
      <sheetData sheetId="1041">
        <row r="2">
          <cell r="A2">
            <v>0</v>
          </cell>
        </row>
      </sheetData>
      <sheetData sheetId="1042">
        <row r="2">
          <cell r="A2">
            <v>0</v>
          </cell>
        </row>
      </sheetData>
      <sheetData sheetId="1043">
        <row r="2">
          <cell r="A2">
            <v>0</v>
          </cell>
        </row>
      </sheetData>
      <sheetData sheetId="1044" refreshError="1"/>
      <sheetData sheetId="1045">
        <row r="2">
          <cell r="A2">
            <v>0</v>
          </cell>
        </row>
      </sheetData>
      <sheetData sheetId="1046">
        <row r="2">
          <cell r="A2">
            <v>0</v>
          </cell>
        </row>
      </sheetData>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sheetData sheetId="1062" refreshError="1"/>
      <sheetData sheetId="1063" refreshError="1"/>
      <sheetData sheetId="1064" refreshError="1"/>
      <sheetData sheetId="1065" refreshError="1"/>
      <sheetData sheetId="1066">
        <row r="2">
          <cell r="A2">
            <v>0</v>
          </cell>
        </row>
      </sheetData>
      <sheetData sheetId="1067">
        <row r="2">
          <cell r="A2">
            <v>0</v>
          </cell>
        </row>
      </sheetData>
      <sheetData sheetId="1068">
        <row r="2">
          <cell r="A2">
            <v>0</v>
          </cell>
        </row>
      </sheetData>
      <sheetData sheetId="1069">
        <row r="2">
          <cell r="A2" t="str">
            <v>Locación</v>
          </cell>
        </row>
      </sheetData>
      <sheetData sheetId="1070">
        <row r="2">
          <cell r="A2">
            <v>0</v>
          </cell>
        </row>
      </sheetData>
      <sheetData sheetId="1071">
        <row r="2">
          <cell r="A2">
            <v>0</v>
          </cell>
        </row>
      </sheetData>
      <sheetData sheetId="1072"/>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ow r="2">
          <cell r="A2">
            <v>0</v>
          </cell>
        </row>
      </sheetData>
      <sheetData sheetId="1082">
        <row r="2">
          <cell r="A2">
            <v>0</v>
          </cell>
        </row>
      </sheetData>
      <sheetData sheetId="1083">
        <row r="2">
          <cell r="A2">
            <v>0</v>
          </cell>
        </row>
      </sheetData>
      <sheetData sheetId="1084">
        <row r="2">
          <cell r="A2">
            <v>0</v>
          </cell>
        </row>
      </sheetData>
      <sheetData sheetId="1085">
        <row r="2">
          <cell r="A2">
            <v>0</v>
          </cell>
        </row>
      </sheetData>
      <sheetData sheetId="1086">
        <row r="2">
          <cell r="A2">
            <v>0</v>
          </cell>
        </row>
      </sheetData>
      <sheetData sheetId="1087">
        <row r="2">
          <cell r="A2">
            <v>0</v>
          </cell>
        </row>
      </sheetData>
      <sheetData sheetId="1088">
        <row r="2">
          <cell r="A2">
            <v>0</v>
          </cell>
        </row>
      </sheetData>
      <sheetData sheetId="1089">
        <row r="2">
          <cell r="A2">
            <v>0</v>
          </cell>
        </row>
      </sheetData>
      <sheetData sheetId="1090">
        <row r="2">
          <cell r="A2">
            <v>0</v>
          </cell>
        </row>
      </sheetData>
      <sheetData sheetId="1091">
        <row r="2">
          <cell r="A2">
            <v>0</v>
          </cell>
        </row>
      </sheetData>
      <sheetData sheetId="1092">
        <row r="2">
          <cell r="A2">
            <v>0</v>
          </cell>
        </row>
      </sheetData>
      <sheetData sheetId="1093">
        <row r="2">
          <cell r="A2">
            <v>0</v>
          </cell>
        </row>
      </sheetData>
      <sheetData sheetId="1094">
        <row r="2">
          <cell r="A2">
            <v>0</v>
          </cell>
        </row>
      </sheetData>
      <sheetData sheetId="1095">
        <row r="2">
          <cell r="A2">
            <v>0</v>
          </cell>
        </row>
      </sheetData>
      <sheetData sheetId="1096">
        <row r="2">
          <cell r="A2">
            <v>0</v>
          </cell>
        </row>
      </sheetData>
      <sheetData sheetId="1097">
        <row r="2">
          <cell r="A2">
            <v>0</v>
          </cell>
        </row>
      </sheetData>
      <sheetData sheetId="1098">
        <row r="2">
          <cell r="A2">
            <v>0</v>
          </cell>
        </row>
      </sheetData>
      <sheetData sheetId="1099">
        <row r="2">
          <cell r="A2">
            <v>0</v>
          </cell>
        </row>
      </sheetData>
      <sheetData sheetId="1100">
        <row r="2">
          <cell r="A2">
            <v>0</v>
          </cell>
        </row>
      </sheetData>
      <sheetData sheetId="1101">
        <row r="2">
          <cell r="A2">
            <v>0</v>
          </cell>
        </row>
      </sheetData>
      <sheetData sheetId="1102">
        <row r="2">
          <cell r="A2">
            <v>0</v>
          </cell>
        </row>
      </sheetData>
      <sheetData sheetId="1103">
        <row r="2">
          <cell r="A2">
            <v>0</v>
          </cell>
        </row>
      </sheetData>
      <sheetData sheetId="1104">
        <row r="2">
          <cell r="A2">
            <v>0</v>
          </cell>
        </row>
      </sheetData>
      <sheetData sheetId="1105">
        <row r="2">
          <cell r="A2">
            <v>0</v>
          </cell>
        </row>
      </sheetData>
      <sheetData sheetId="1106">
        <row r="2">
          <cell r="A2">
            <v>0</v>
          </cell>
        </row>
      </sheetData>
      <sheetData sheetId="1107">
        <row r="2">
          <cell r="A2">
            <v>0</v>
          </cell>
        </row>
      </sheetData>
      <sheetData sheetId="1108">
        <row r="2">
          <cell r="A2">
            <v>0</v>
          </cell>
        </row>
      </sheetData>
      <sheetData sheetId="1109">
        <row r="2">
          <cell r="A2">
            <v>0</v>
          </cell>
        </row>
      </sheetData>
      <sheetData sheetId="1110">
        <row r="2">
          <cell r="A2">
            <v>0</v>
          </cell>
        </row>
      </sheetData>
      <sheetData sheetId="1111">
        <row r="2">
          <cell r="A2">
            <v>0</v>
          </cell>
        </row>
      </sheetData>
      <sheetData sheetId="1112">
        <row r="2">
          <cell r="A2">
            <v>0</v>
          </cell>
        </row>
      </sheetData>
      <sheetData sheetId="1113">
        <row r="2">
          <cell r="A2">
            <v>0</v>
          </cell>
        </row>
      </sheetData>
      <sheetData sheetId="1114">
        <row r="2">
          <cell r="A2">
            <v>0</v>
          </cell>
        </row>
      </sheetData>
      <sheetData sheetId="1115">
        <row r="2">
          <cell r="A2">
            <v>0</v>
          </cell>
        </row>
      </sheetData>
      <sheetData sheetId="1116">
        <row r="2">
          <cell r="A2">
            <v>0</v>
          </cell>
        </row>
      </sheetData>
      <sheetData sheetId="1117">
        <row r="2">
          <cell r="A2">
            <v>0</v>
          </cell>
        </row>
      </sheetData>
      <sheetData sheetId="1118">
        <row r="2">
          <cell r="A2">
            <v>0</v>
          </cell>
        </row>
      </sheetData>
      <sheetData sheetId="1119">
        <row r="2">
          <cell r="A2">
            <v>0</v>
          </cell>
        </row>
      </sheetData>
      <sheetData sheetId="1120">
        <row r="2">
          <cell r="A2">
            <v>0</v>
          </cell>
        </row>
      </sheetData>
      <sheetData sheetId="1121">
        <row r="2">
          <cell r="A2">
            <v>0</v>
          </cell>
        </row>
      </sheetData>
      <sheetData sheetId="1122">
        <row r="2">
          <cell r="A2">
            <v>0</v>
          </cell>
        </row>
      </sheetData>
      <sheetData sheetId="1123">
        <row r="2">
          <cell r="A2">
            <v>0</v>
          </cell>
        </row>
      </sheetData>
      <sheetData sheetId="1124">
        <row r="2">
          <cell r="A2">
            <v>0</v>
          </cell>
        </row>
      </sheetData>
      <sheetData sheetId="1125">
        <row r="2">
          <cell r="A2">
            <v>0</v>
          </cell>
        </row>
      </sheetData>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ow r="2">
          <cell r="A2">
            <v>0</v>
          </cell>
        </row>
      </sheetData>
      <sheetData sheetId="2170">
        <row r="2">
          <cell r="A2">
            <v>0</v>
          </cell>
        </row>
      </sheetData>
      <sheetData sheetId="2171">
        <row r="2">
          <cell r="A2">
            <v>0</v>
          </cell>
        </row>
      </sheetData>
      <sheetData sheetId="2172">
        <row r="2">
          <cell r="A2">
            <v>0</v>
          </cell>
        </row>
      </sheetData>
      <sheetData sheetId="2173">
        <row r="2">
          <cell r="A2">
            <v>0</v>
          </cell>
        </row>
      </sheetData>
      <sheetData sheetId="2174">
        <row r="2">
          <cell r="A2">
            <v>0</v>
          </cell>
        </row>
      </sheetData>
      <sheetData sheetId="2175">
        <row r="2">
          <cell r="A2">
            <v>0</v>
          </cell>
        </row>
      </sheetData>
      <sheetData sheetId="2176">
        <row r="2">
          <cell r="A2">
            <v>0</v>
          </cell>
        </row>
      </sheetData>
      <sheetData sheetId="2177">
        <row r="2">
          <cell r="A2">
            <v>0</v>
          </cell>
        </row>
      </sheetData>
      <sheetData sheetId="2178">
        <row r="2">
          <cell r="A2">
            <v>0</v>
          </cell>
        </row>
      </sheetData>
      <sheetData sheetId="2179">
        <row r="2">
          <cell r="A2">
            <v>0</v>
          </cell>
        </row>
      </sheetData>
      <sheetData sheetId="2180">
        <row r="2">
          <cell r="A2">
            <v>0</v>
          </cell>
        </row>
      </sheetData>
      <sheetData sheetId="2181">
        <row r="2">
          <cell r="A2">
            <v>0</v>
          </cell>
        </row>
      </sheetData>
      <sheetData sheetId="2182">
        <row r="2">
          <cell r="A2">
            <v>0</v>
          </cell>
        </row>
      </sheetData>
      <sheetData sheetId="2183">
        <row r="2">
          <cell r="A2">
            <v>0</v>
          </cell>
        </row>
      </sheetData>
      <sheetData sheetId="2184">
        <row r="2">
          <cell r="A2">
            <v>0</v>
          </cell>
        </row>
      </sheetData>
      <sheetData sheetId="2185">
        <row r="2">
          <cell r="A2">
            <v>0</v>
          </cell>
        </row>
      </sheetData>
      <sheetData sheetId="2186">
        <row r="2">
          <cell r="A2">
            <v>0</v>
          </cell>
        </row>
      </sheetData>
      <sheetData sheetId="2187">
        <row r="2">
          <cell r="A2">
            <v>0</v>
          </cell>
        </row>
      </sheetData>
      <sheetData sheetId="2188">
        <row r="2">
          <cell r="A2">
            <v>0</v>
          </cell>
        </row>
      </sheetData>
      <sheetData sheetId="2189">
        <row r="2">
          <cell r="A2">
            <v>0</v>
          </cell>
        </row>
      </sheetData>
      <sheetData sheetId="2190">
        <row r="2">
          <cell r="A2">
            <v>0</v>
          </cell>
        </row>
      </sheetData>
      <sheetData sheetId="2191">
        <row r="2">
          <cell r="A2">
            <v>0</v>
          </cell>
        </row>
      </sheetData>
      <sheetData sheetId="2192">
        <row r="2">
          <cell r="A2">
            <v>0</v>
          </cell>
        </row>
      </sheetData>
      <sheetData sheetId="2193">
        <row r="2">
          <cell r="A2">
            <v>0</v>
          </cell>
        </row>
      </sheetData>
      <sheetData sheetId="2194">
        <row r="2">
          <cell r="A2">
            <v>0</v>
          </cell>
        </row>
      </sheetData>
      <sheetData sheetId="2195">
        <row r="2">
          <cell r="A2">
            <v>0</v>
          </cell>
        </row>
      </sheetData>
      <sheetData sheetId="2196">
        <row r="2">
          <cell r="A2">
            <v>0</v>
          </cell>
        </row>
      </sheetData>
      <sheetData sheetId="2197">
        <row r="2">
          <cell r="A2">
            <v>0</v>
          </cell>
        </row>
      </sheetData>
      <sheetData sheetId="2198">
        <row r="2">
          <cell r="A2">
            <v>0</v>
          </cell>
        </row>
      </sheetData>
      <sheetData sheetId="2199">
        <row r="2">
          <cell r="A2">
            <v>0</v>
          </cell>
        </row>
      </sheetData>
      <sheetData sheetId="2200">
        <row r="2">
          <cell r="A2">
            <v>0</v>
          </cell>
        </row>
      </sheetData>
      <sheetData sheetId="2201">
        <row r="2">
          <cell r="A2">
            <v>0</v>
          </cell>
        </row>
      </sheetData>
      <sheetData sheetId="2202">
        <row r="2">
          <cell r="A2">
            <v>0</v>
          </cell>
        </row>
      </sheetData>
      <sheetData sheetId="2203">
        <row r="2">
          <cell r="A2">
            <v>0</v>
          </cell>
        </row>
      </sheetData>
      <sheetData sheetId="2204">
        <row r="2">
          <cell r="A2">
            <v>0</v>
          </cell>
        </row>
      </sheetData>
      <sheetData sheetId="2205">
        <row r="2">
          <cell r="A2">
            <v>0</v>
          </cell>
        </row>
      </sheetData>
      <sheetData sheetId="2206">
        <row r="2">
          <cell r="A2">
            <v>0</v>
          </cell>
        </row>
      </sheetData>
      <sheetData sheetId="2207">
        <row r="2">
          <cell r="A2">
            <v>0</v>
          </cell>
        </row>
      </sheetData>
      <sheetData sheetId="2208">
        <row r="2">
          <cell r="A2">
            <v>0</v>
          </cell>
        </row>
      </sheetData>
      <sheetData sheetId="2209">
        <row r="2">
          <cell r="A2">
            <v>0</v>
          </cell>
        </row>
      </sheetData>
      <sheetData sheetId="2210">
        <row r="2">
          <cell r="A2">
            <v>0</v>
          </cell>
        </row>
      </sheetData>
      <sheetData sheetId="2211">
        <row r="2">
          <cell r="A2">
            <v>0</v>
          </cell>
        </row>
      </sheetData>
      <sheetData sheetId="2212">
        <row r="2">
          <cell r="A2">
            <v>0</v>
          </cell>
        </row>
      </sheetData>
      <sheetData sheetId="2213">
        <row r="2">
          <cell r="A2">
            <v>0</v>
          </cell>
        </row>
      </sheetData>
      <sheetData sheetId="2214">
        <row r="2">
          <cell r="A2">
            <v>0</v>
          </cell>
        </row>
      </sheetData>
      <sheetData sheetId="2215">
        <row r="5">
          <cell r="B5" t="str">
            <v>T1</v>
          </cell>
        </row>
      </sheetData>
      <sheetData sheetId="2216">
        <row r="2">
          <cell r="A2">
            <v>0</v>
          </cell>
        </row>
      </sheetData>
      <sheetData sheetId="2217">
        <row r="2">
          <cell r="A2">
            <v>0</v>
          </cell>
        </row>
      </sheetData>
      <sheetData sheetId="2218">
        <row r="2">
          <cell r="A2">
            <v>0</v>
          </cell>
        </row>
      </sheetData>
      <sheetData sheetId="2219">
        <row r="2">
          <cell r="A2">
            <v>0</v>
          </cell>
        </row>
      </sheetData>
      <sheetData sheetId="2220">
        <row r="2">
          <cell r="A2">
            <v>0</v>
          </cell>
        </row>
      </sheetData>
      <sheetData sheetId="2221">
        <row r="2">
          <cell r="A2">
            <v>0</v>
          </cell>
        </row>
      </sheetData>
      <sheetData sheetId="2222">
        <row r="2">
          <cell r="A2">
            <v>0</v>
          </cell>
        </row>
      </sheetData>
      <sheetData sheetId="2223">
        <row r="2">
          <cell r="A2">
            <v>0</v>
          </cell>
        </row>
      </sheetData>
      <sheetData sheetId="2224">
        <row r="2">
          <cell r="A2">
            <v>0</v>
          </cell>
        </row>
      </sheetData>
      <sheetData sheetId="2225">
        <row r="2">
          <cell r="A2">
            <v>0</v>
          </cell>
        </row>
      </sheetData>
      <sheetData sheetId="2226">
        <row r="2">
          <cell r="A2">
            <v>0</v>
          </cell>
        </row>
      </sheetData>
      <sheetData sheetId="2227">
        <row r="2">
          <cell r="A2">
            <v>0</v>
          </cell>
        </row>
      </sheetData>
      <sheetData sheetId="2228">
        <row r="2">
          <cell r="A2">
            <v>0</v>
          </cell>
        </row>
      </sheetData>
      <sheetData sheetId="2229">
        <row r="2">
          <cell r="A2">
            <v>0</v>
          </cell>
        </row>
      </sheetData>
      <sheetData sheetId="2230">
        <row r="2">
          <cell r="A2">
            <v>0</v>
          </cell>
        </row>
      </sheetData>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row r="2">
          <cell r="A2">
            <v>0</v>
          </cell>
        </row>
      </sheetData>
      <sheetData sheetId="2239">
        <row r="2">
          <cell r="A2">
            <v>0</v>
          </cell>
        </row>
      </sheetData>
      <sheetData sheetId="2240">
        <row r="2">
          <cell r="A2">
            <v>0</v>
          </cell>
        </row>
      </sheetData>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row r="2">
          <cell r="A2">
            <v>0</v>
          </cell>
        </row>
      </sheetData>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row r="2">
          <cell r="A2">
            <v>0</v>
          </cell>
        </row>
      </sheetData>
      <sheetData sheetId="2256">
        <row r="2">
          <cell r="A2">
            <v>0</v>
          </cell>
        </row>
      </sheetData>
      <sheetData sheetId="2257">
        <row r="2">
          <cell r="A2">
            <v>0</v>
          </cell>
        </row>
      </sheetData>
      <sheetData sheetId="2258">
        <row r="2">
          <cell r="A2">
            <v>0</v>
          </cell>
        </row>
      </sheetData>
      <sheetData sheetId="2259">
        <row r="2">
          <cell r="A2">
            <v>0</v>
          </cell>
        </row>
      </sheetData>
      <sheetData sheetId="2260">
        <row r="2">
          <cell r="A2">
            <v>0</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2">
          <cell r="A2">
            <v>0</v>
          </cell>
        </row>
      </sheetData>
      <sheetData sheetId="2270">
        <row r="2">
          <cell r="A2">
            <v>0</v>
          </cell>
        </row>
      </sheetData>
      <sheetData sheetId="2271">
        <row r="2">
          <cell r="A2">
            <v>0</v>
          </cell>
        </row>
      </sheetData>
      <sheetData sheetId="2272">
        <row r="2">
          <cell r="A2">
            <v>0</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row r="2">
          <cell r="A2">
            <v>0</v>
          </cell>
        </row>
      </sheetData>
      <sheetData sheetId="2297">
        <row r="2">
          <cell r="A2">
            <v>0</v>
          </cell>
        </row>
      </sheetData>
      <sheetData sheetId="2298">
        <row r="2">
          <cell r="A2">
            <v>0</v>
          </cell>
        </row>
      </sheetData>
      <sheetData sheetId="2299">
        <row r="2">
          <cell r="A2">
            <v>0</v>
          </cell>
        </row>
      </sheetData>
      <sheetData sheetId="2300">
        <row r="2">
          <cell r="A2">
            <v>0</v>
          </cell>
        </row>
      </sheetData>
      <sheetData sheetId="2301">
        <row r="2">
          <cell r="A2">
            <v>0</v>
          </cell>
        </row>
      </sheetData>
      <sheetData sheetId="2302">
        <row r="2">
          <cell r="A2">
            <v>0</v>
          </cell>
        </row>
      </sheetData>
      <sheetData sheetId="2303">
        <row r="2">
          <cell r="A2">
            <v>0</v>
          </cell>
        </row>
      </sheetData>
      <sheetData sheetId="2304">
        <row r="2">
          <cell r="A2">
            <v>0</v>
          </cell>
        </row>
      </sheetData>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2">
          <cell r="A2">
            <v>0</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sheetData sheetId="2475">
        <row r="2">
          <cell r="A2">
            <v>0</v>
          </cell>
        </row>
      </sheetData>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row r="2">
          <cell r="A2">
            <v>0</v>
          </cell>
        </row>
      </sheetData>
      <sheetData sheetId="2503"/>
      <sheetData sheetId="2504"/>
      <sheetData sheetId="2505"/>
      <sheetData sheetId="2506"/>
      <sheetData sheetId="2507"/>
      <sheetData sheetId="2508"/>
      <sheetData sheetId="2509"/>
      <sheetData sheetId="2510"/>
      <sheetData sheetId="2511">
        <row r="2">
          <cell r="A2">
            <v>0</v>
          </cell>
        </row>
      </sheetData>
      <sheetData sheetId="2512">
        <row r="2">
          <cell r="A2">
            <v>0</v>
          </cell>
        </row>
      </sheetData>
      <sheetData sheetId="2513"/>
      <sheetData sheetId="2514"/>
      <sheetData sheetId="2515"/>
      <sheetData sheetId="2516"/>
      <sheetData sheetId="2517"/>
      <sheetData sheetId="2518"/>
      <sheetData sheetId="2519"/>
      <sheetData sheetId="2520"/>
      <sheetData sheetId="2521">
        <row r="2">
          <cell r="A2">
            <v>0</v>
          </cell>
        </row>
      </sheetData>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row r="2">
          <cell r="A2">
            <v>0</v>
          </cell>
        </row>
      </sheetData>
      <sheetData sheetId="2538">
        <row r="2">
          <cell r="A2">
            <v>0</v>
          </cell>
        </row>
      </sheetData>
      <sheetData sheetId="2539">
        <row r="2">
          <cell r="A2">
            <v>0</v>
          </cell>
        </row>
      </sheetData>
      <sheetData sheetId="2540">
        <row r="2">
          <cell r="A2">
            <v>0</v>
          </cell>
        </row>
      </sheetData>
      <sheetData sheetId="2541">
        <row r="2">
          <cell r="A2">
            <v>0</v>
          </cell>
        </row>
      </sheetData>
      <sheetData sheetId="2542">
        <row r="2">
          <cell r="A2">
            <v>0</v>
          </cell>
        </row>
      </sheetData>
      <sheetData sheetId="2543">
        <row r="2">
          <cell r="A2">
            <v>0</v>
          </cell>
        </row>
      </sheetData>
      <sheetData sheetId="2544"/>
      <sheetData sheetId="2545"/>
      <sheetData sheetId="2546">
        <row r="2">
          <cell r="A2">
            <v>0</v>
          </cell>
        </row>
      </sheetData>
      <sheetData sheetId="2547">
        <row r="2">
          <cell r="A2">
            <v>0</v>
          </cell>
        </row>
      </sheetData>
      <sheetData sheetId="2548">
        <row r="2">
          <cell r="A2">
            <v>0</v>
          </cell>
        </row>
      </sheetData>
      <sheetData sheetId="2549">
        <row r="2">
          <cell r="A2">
            <v>0</v>
          </cell>
        </row>
      </sheetData>
      <sheetData sheetId="2550">
        <row r="2">
          <cell r="A2">
            <v>0</v>
          </cell>
        </row>
      </sheetData>
      <sheetData sheetId="2551">
        <row r="2">
          <cell r="A2">
            <v>0</v>
          </cell>
        </row>
      </sheetData>
      <sheetData sheetId="2552">
        <row r="2">
          <cell r="A2">
            <v>0</v>
          </cell>
        </row>
      </sheetData>
      <sheetData sheetId="2553">
        <row r="2">
          <cell r="A2">
            <v>0</v>
          </cell>
        </row>
      </sheetData>
      <sheetData sheetId="2554"/>
      <sheetData sheetId="2555"/>
      <sheetData sheetId="2556"/>
      <sheetData sheetId="2557"/>
      <sheetData sheetId="2558">
        <row r="2">
          <cell r="A2">
            <v>0</v>
          </cell>
        </row>
      </sheetData>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row r="2">
          <cell r="A2">
            <v>0</v>
          </cell>
        </row>
      </sheetData>
      <sheetData sheetId="2584">
        <row r="2">
          <cell r="A2">
            <v>0</v>
          </cell>
        </row>
      </sheetData>
      <sheetData sheetId="2585">
        <row r="2">
          <cell r="A2">
            <v>0</v>
          </cell>
        </row>
      </sheetData>
      <sheetData sheetId="2586">
        <row r="2">
          <cell r="A2">
            <v>0</v>
          </cell>
        </row>
      </sheetData>
      <sheetData sheetId="2587">
        <row r="2">
          <cell r="A2">
            <v>0</v>
          </cell>
        </row>
      </sheetData>
      <sheetData sheetId="2588">
        <row r="2">
          <cell r="A2">
            <v>0</v>
          </cell>
        </row>
      </sheetData>
      <sheetData sheetId="2589">
        <row r="2">
          <cell r="A2">
            <v>0</v>
          </cell>
        </row>
      </sheetData>
      <sheetData sheetId="2590"/>
      <sheetData sheetId="2591"/>
      <sheetData sheetId="2592">
        <row r="2">
          <cell r="A2">
            <v>0</v>
          </cell>
        </row>
      </sheetData>
      <sheetData sheetId="2593">
        <row r="2">
          <cell r="A2">
            <v>0</v>
          </cell>
        </row>
      </sheetData>
      <sheetData sheetId="2594">
        <row r="2">
          <cell r="A2">
            <v>0</v>
          </cell>
        </row>
      </sheetData>
      <sheetData sheetId="2595">
        <row r="2">
          <cell r="A2">
            <v>0</v>
          </cell>
        </row>
      </sheetData>
      <sheetData sheetId="2596">
        <row r="2">
          <cell r="A2">
            <v>0</v>
          </cell>
        </row>
      </sheetData>
      <sheetData sheetId="2597">
        <row r="2">
          <cell r="A2">
            <v>0</v>
          </cell>
        </row>
      </sheetData>
      <sheetData sheetId="2598">
        <row r="2">
          <cell r="A2">
            <v>0</v>
          </cell>
        </row>
      </sheetData>
      <sheetData sheetId="2599">
        <row r="2">
          <cell r="A2">
            <v>0</v>
          </cell>
        </row>
      </sheetData>
      <sheetData sheetId="2600"/>
      <sheetData sheetId="2601">
        <row r="2">
          <cell r="A2">
            <v>0</v>
          </cell>
        </row>
      </sheetData>
      <sheetData sheetId="2602">
        <row r="2">
          <cell r="A2">
            <v>0</v>
          </cell>
        </row>
      </sheetData>
      <sheetData sheetId="2603">
        <row r="2">
          <cell r="A2">
            <v>0</v>
          </cell>
        </row>
      </sheetData>
      <sheetData sheetId="2604">
        <row r="2">
          <cell r="A2">
            <v>0</v>
          </cell>
        </row>
      </sheetData>
      <sheetData sheetId="2605">
        <row r="2">
          <cell r="A2">
            <v>0</v>
          </cell>
        </row>
      </sheetData>
      <sheetData sheetId="2606">
        <row r="2">
          <cell r="A2">
            <v>0</v>
          </cell>
        </row>
      </sheetData>
      <sheetData sheetId="2607">
        <row r="2">
          <cell r="A2">
            <v>0</v>
          </cell>
        </row>
      </sheetData>
      <sheetData sheetId="2608">
        <row r="2">
          <cell r="A2">
            <v>0</v>
          </cell>
        </row>
      </sheetData>
      <sheetData sheetId="2609">
        <row r="2">
          <cell r="A2">
            <v>0</v>
          </cell>
        </row>
      </sheetData>
      <sheetData sheetId="2610">
        <row r="2">
          <cell r="A2">
            <v>0</v>
          </cell>
        </row>
      </sheetData>
      <sheetData sheetId="2611">
        <row r="2">
          <cell r="A2">
            <v>0</v>
          </cell>
        </row>
      </sheetData>
      <sheetData sheetId="2612">
        <row r="2">
          <cell r="A2">
            <v>0</v>
          </cell>
        </row>
      </sheetData>
      <sheetData sheetId="2613">
        <row r="2">
          <cell r="A2">
            <v>0</v>
          </cell>
        </row>
      </sheetData>
      <sheetData sheetId="2614">
        <row r="2">
          <cell r="A2">
            <v>0</v>
          </cell>
        </row>
      </sheetData>
      <sheetData sheetId="2615">
        <row r="2">
          <cell r="A2">
            <v>0</v>
          </cell>
        </row>
      </sheetData>
      <sheetData sheetId="2616">
        <row r="2">
          <cell r="A2">
            <v>0</v>
          </cell>
        </row>
      </sheetData>
      <sheetData sheetId="2617">
        <row r="2">
          <cell r="A2">
            <v>0</v>
          </cell>
        </row>
      </sheetData>
      <sheetData sheetId="2618">
        <row r="2">
          <cell r="A2">
            <v>0</v>
          </cell>
        </row>
      </sheetData>
      <sheetData sheetId="2619">
        <row r="2">
          <cell r="A2">
            <v>0</v>
          </cell>
        </row>
      </sheetData>
      <sheetData sheetId="2620">
        <row r="2">
          <cell r="A2">
            <v>0</v>
          </cell>
        </row>
      </sheetData>
      <sheetData sheetId="2621">
        <row r="2">
          <cell r="A2">
            <v>0</v>
          </cell>
        </row>
      </sheetData>
      <sheetData sheetId="2622">
        <row r="2">
          <cell r="A2">
            <v>0</v>
          </cell>
        </row>
      </sheetData>
      <sheetData sheetId="2623">
        <row r="2">
          <cell r="A2">
            <v>0</v>
          </cell>
        </row>
      </sheetData>
      <sheetData sheetId="2624">
        <row r="2">
          <cell r="A2">
            <v>0</v>
          </cell>
        </row>
      </sheetData>
      <sheetData sheetId="2625">
        <row r="2">
          <cell r="A2">
            <v>0</v>
          </cell>
        </row>
      </sheetData>
      <sheetData sheetId="2626">
        <row r="2">
          <cell r="A2">
            <v>0</v>
          </cell>
        </row>
      </sheetData>
      <sheetData sheetId="2627">
        <row r="2">
          <cell r="A2">
            <v>0</v>
          </cell>
        </row>
      </sheetData>
      <sheetData sheetId="2628">
        <row r="2">
          <cell r="A2">
            <v>0</v>
          </cell>
        </row>
      </sheetData>
      <sheetData sheetId="2629">
        <row r="2">
          <cell r="A2">
            <v>0</v>
          </cell>
        </row>
      </sheetData>
      <sheetData sheetId="2630">
        <row r="2">
          <cell r="A2">
            <v>0</v>
          </cell>
        </row>
      </sheetData>
      <sheetData sheetId="2631">
        <row r="2">
          <cell r="A2">
            <v>0</v>
          </cell>
        </row>
      </sheetData>
      <sheetData sheetId="2632">
        <row r="2">
          <cell r="A2">
            <v>0</v>
          </cell>
        </row>
      </sheetData>
      <sheetData sheetId="2633">
        <row r="2">
          <cell r="A2">
            <v>0</v>
          </cell>
        </row>
      </sheetData>
      <sheetData sheetId="2634">
        <row r="2">
          <cell r="A2">
            <v>0</v>
          </cell>
        </row>
      </sheetData>
      <sheetData sheetId="2635">
        <row r="2">
          <cell r="A2">
            <v>0</v>
          </cell>
        </row>
      </sheetData>
      <sheetData sheetId="2636">
        <row r="2">
          <cell r="A2">
            <v>0</v>
          </cell>
        </row>
      </sheetData>
      <sheetData sheetId="2637">
        <row r="2">
          <cell r="A2">
            <v>0</v>
          </cell>
        </row>
      </sheetData>
      <sheetData sheetId="2638">
        <row r="2">
          <cell r="A2">
            <v>0</v>
          </cell>
        </row>
      </sheetData>
      <sheetData sheetId="2639">
        <row r="2">
          <cell r="A2">
            <v>0</v>
          </cell>
        </row>
      </sheetData>
      <sheetData sheetId="2640">
        <row r="2">
          <cell r="A2">
            <v>0</v>
          </cell>
        </row>
      </sheetData>
      <sheetData sheetId="2641">
        <row r="2">
          <cell r="A2">
            <v>0</v>
          </cell>
        </row>
      </sheetData>
      <sheetData sheetId="2642">
        <row r="2">
          <cell r="A2">
            <v>0</v>
          </cell>
        </row>
      </sheetData>
      <sheetData sheetId="2643">
        <row r="2">
          <cell r="A2">
            <v>0</v>
          </cell>
        </row>
      </sheetData>
      <sheetData sheetId="2644">
        <row r="2">
          <cell r="A2">
            <v>0</v>
          </cell>
        </row>
      </sheetData>
      <sheetData sheetId="2645">
        <row r="2">
          <cell r="A2">
            <v>0</v>
          </cell>
        </row>
      </sheetData>
      <sheetData sheetId="2646">
        <row r="2">
          <cell r="A2">
            <v>0</v>
          </cell>
        </row>
      </sheetData>
      <sheetData sheetId="2647">
        <row r="2">
          <cell r="A2">
            <v>0</v>
          </cell>
        </row>
      </sheetData>
      <sheetData sheetId="2648">
        <row r="2">
          <cell r="A2">
            <v>0</v>
          </cell>
        </row>
      </sheetData>
      <sheetData sheetId="2649">
        <row r="2">
          <cell r="A2">
            <v>0</v>
          </cell>
        </row>
      </sheetData>
      <sheetData sheetId="2650">
        <row r="2">
          <cell r="A2">
            <v>0</v>
          </cell>
        </row>
      </sheetData>
      <sheetData sheetId="2651">
        <row r="2">
          <cell r="A2">
            <v>0</v>
          </cell>
        </row>
      </sheetData>
      <sheetData sheetId="2652">
        <row r="2">
          <cell r="A2">
            <v>0</v>
          </cell>
        </row>
      </sheetData>
      <sheetData sheetId="2653">
        <row r="2">
          <cell r="A2">
            <v>0</v>
          </cell>
        </row>
      </sheetData>
      <sheetData sheetId="2654">
        <row r="2">
          <cell r="A2">
            <v>0</v>
          </cell>
        </row>
      </sheetData>
      <sheetData sheetId="2655">
        <row r="2">
          <cell r="A2">
            <v>0</v>
          </cell>
        </row>
      </sheetData>
      <sheetData sheetId="2656">
        <row r="2">
          <cell r="A2">
            <v>0</v>
          </cell>
        </row>
      </sheetData>
      <sheetData sheetId="2657">
        <row r="2">
          <cell r="A2">
            <v>0</v>
          </cell>
        </row>
      </sheetData>
      <sheetData sheetId="2658">
        <row r="2">
          <cell r="A2">
            <v>0</v>
          </cell>
        </row>
      </sheetData>
      <sheetData sheetId="2659">
        <row r="2">
          <cell r="A2">
            <v>0</v>
          </cell>
        </row>
      </sheetData>
      <sheetData sheetId="2660">
        <row r="2">
          <cell r="A2">
            <v>0</v>
          </cell>
        </row>
      </sheetData>
      <sheetData sheetId="2661">
        <row r="2">
          <cell r="A2">
            <v>0</v>
          </cell>
        </row>
      </sheetData>
      <sheetData sheetId="2662">
        <row r="2">
          <cell r="A2">
            <v>0</v>
          </cell>
        </row>
      </sheetData>
      <sheetData sheetId="2663">
        <row r="2">
          <cell r="A2">
            <v>0</v>
          </cell>
        </row>
      </sheetData>
      <sheetData sheetId="2664">
        <row r="2">
          <cell r="A2">
            <v>0</v>
          </cell>
        </row>
      </sheetData>
      <sheetData sheetId="2665">
        <row r="2">
          <cell r="A2">
            <v>0</v>
          </cell>
        </row>
      </sheetData>
      <sheetData sheetId="2666">
        <row r="2">
          <cell r="A2">
            <v>0</v>
          </cell>
        </row>
      </sheetData>
      <sheetData sheetId="2667">
        <row r="2">
          <cell r="A2">
            <v>0</v>
          </cell>
        </row>
      </sheetData>
      <sheetData sheetId="2668">
        <row r="2">
          <cell r="A2">
            <v>0</v>
          </cell>
        </row>
      </sheetData>
      <sheetData sheetId="2669">
        <row r="2">
          <cell r="A2">
            <v>0</v>
          </cell>
        </row>
      </sheetData>
      <sheetData sheetId="2670">
        <row r="2">
          <cell r="A2">
            <v>0</v>
          </cell>
        </row>
      </sheetData>
      <sheetData sheetId="2671">
        <row r="2">
          <cell r="A2">
            <v>0</v>
          </cell>
        </row>
      </sheetData>
      <sheetData sheetId="2672">
        <row r="2">
          <cell r="A2">
            <v>0</v>
          </cell>
        </row>
      </sheetData>
      <sheetData sheetId="2673">
        <row r="2">
          <cell r="A2">
            <v>0</v>
          </cell>
        </row>
      </sheetData>
      <sheetData sheetId="2674">
        <row r="2">
          <cell r="A2">
            <v>0</v>
          </cell>
        </row>
      </sheetData>
      <sheetData sheetId="2675">
        <row r="2">
          <cell r="A2">
            <v>0</v>
          </cell>
        </row>
      </sheetData>
      <sheetData sheetId="2676">
        <row r="2">
          <cell r="A2">
            <v>0</v>
          </cell>
        </row>
      </sheetData>
      <sheetData sheetId="2677">
        <row r="2">
          <cell r="A2">
            <v>0</v>
          </cell>
        </row>
      </sheetData>
      <sheetData sheetId="2678">
        <row r="2">
          <cell r="A2">
            <v>0</v>
          </cell>
        </row>
      </sheetData>
      <sheetData sheetId="2679">
        <row r="2">
          <cell r="A2">
            <v>0</v>
          </cell>
        </row>
      </sheetData>
      <sheetData sheetId="2680">
        <row r="2">
          <cell r="A2">
            <v>0</v>
          </cell>
        </row>
      </sheetData>
      <sheetData sheetId="2681">
        <row r="2">
          <cell r="A2">
            <v>0</v>
          </cell>
        </row>
      </sheetData>
      <sheetData sheetId="2682">
        <row r="2">
          <cell r="A2">
            <v>0</v>
          </cell>
        </row>
      </sheetData>
      <sheetData sheetId="2683">
        <row r="2">
          <cell r="A2">
            <v>0</v>
          </cell>
        </row>
      </sheetData>
      <sheetData sheetId="2684">
        <row r="2">
          <cell r="A2">
            <v>0</v>
          </cell>
        </row>
      </sheetData>
      <sheetData sheetId="2685">
        <row r="2">
          <cell r="A2">
            <v>0</v>
          </cell>
        </row>
      </sheetData>
      <sheetData sheetId="2686">
        <row r="2">
          <cell r="A2">
            <v>0</v>
          </cell>
        </row>
      </sheetData>
      <sheetData sheetId="2687">
        <row r="2">
          <cell r="A2">
            <v>0</v>
          </cell>
        </row>
      </sheetData>
      <sheetData sheetId="2688">
        <row r="2">
          <cell r="A2">
            <v>0</v>
          </cell>
        </row>
      </sheetData>
      <sheetData sheetId="2689">
        <row r="2">
          <cell r="A2">
            <v>0</v>
          </cell>
        </row>
      </sheetData>
      <sheetData sheetId="2690">
        <row r="2">
          <cell r="A2">
            <v>0</v>
          </cell>
        </row>
      </sheetData>
      <sheetData sheetId="2691">
        <row r="2">
          <cell r="A2">
            <v>0</v>
          </cell>
        </row>
      </sheetData>
      <sheetData sheetId="2692">
        <row r="2">
          <cell r="A2">
            <v>0</v>
          </cell>
        </row>
      </sheetData>
      <sheetData sheetId="2693">
        <row r="2">
          <cell r="A2">
            <v>0</v>
          </cell>
        </row>
      </sheetData>
      <sheetData sheetId="2694">
        <row r="2">
          <cell r="A2">
            <v>0</v>
          </cell>
        </row>
      </sheetData>
      <sheetData sheetId="2695">
        <row r="2">
          <cell r="A2">
            <v>0</v>
          </cell>
        </row>
      </sheetData>
      <sheetData sheetId="2696">
        <row r="2">
          <cell r="A2">
            <v>0</v>
          </cell>
        </row>
      </sheetData>
      <sheetData sheetId="2697">
        <row r="2">
          <cell r="A2">
            <v>0</v>
          </cell>
        </row>
      </sheetData>
      <sheetData sheetId="2698">
        <row r="2">
          <cell r="A2">
            <v>0</v>
          </cell>
        </row>
      </sheetData>
      <sheetData sheetId="2699">
        <row r="2">
          <cell r="A2">
            <v>0</v>
          </cell>
        </row>
      </sheetData>
      <sheetData sheetId="2700">
        <row r="2">
          <cell r="A2">
            <v>0</v>
          </cell>
        </row>
      </sheetData>
      <sheetData sheetId="2701">
        <row r="2">
          <cell r="A2">
            <v>0</v>
          </cell>
        </row>
      </sheetData>
      <sheetData sheetId="2702">
        <row r="2">
          <cell r="A2">
            <v>0</v>
          </cell>
        </row>
      </sheetData>
      <sheetData sheetId="2703">
        <row r="2">
          <cell r="A2">
            <v>0</v>
          </cell>
        </row>
      </sheetData>
      <sheetData sheetId="2704">
        <row r="2">
          <cell r="A2">
            <v>0</v>
          </cell>
        </row>
      </sheetData>
      <sheetData sheetId="2705">
        <row r="2">
          <cell r="A2">
            <v>0</v>
          </cell>
        </row>
      </sheetData>
      <sheetData sheetId="2706">
        <row r="2">
          <cell r="A2">
            <v>0</v>
          </cell>
        </row>
      </sheetData>
      <sheetData sheetId="2707">
        <row r="2">
          <cell r="A2">
            <v>0</v>
          </cell>
        </row>
      </sheetData>
      <sheetData sheetId="2708">
        <row r="2">
          <cell r="A2">
            <v>0</v>
          </cell>
        </row>
      </sheetData>
      <sheetData sheetId="2709">
        <row r="2">
          <cell r="A2">
            <v>0</v>
          </cell>
        </row>
      </sheetData>
      <sheetData sheetId="2710">
        <row r="2">
          <cell r="A2">
            <v>0</v>
          </cell>
        </row>
      </sheetData>
      <sheetData sheetId="2711">
        <row r="2">
          <cell r="A2">
            <v>0</v>
          </cell>
        </row>
      </sheetData>
      <sheetData sheetId="2712">
        <row r="2">
          <cell r="A2">
            <v>0</v>
          </cell>
        </row>
      </sheetData>
      <sheetData sheetId="2713">
        <row r="2">
          <cell r="A2">
            <v>0</v>
          </cell>
        </row>
      </sheetData>
      <sheetData sheetId="2714">
        <row r="2">
          <cell r="A2">
            <v>0</v>
          </cell>
        </row>
      </sheetData>
      <sheetData sheetId="2715">
        <row r="2">
          <cell r="A2">
            <v>0</v>
          </cell>
        </row>
      </sheetData>
      <sheetData sheetId="2716">
        <row r="2">
          <cell r="A2">
            <v>0</v>
          </cell>
        </row>
      </sheetData>
      <sheetData sheetId="2717">
        <row r="2">
          <cell r="A2">
            <v>0</v>
          </cell>
        </row>
      </sheetData>
      <sheetData sheetId="2718">
        <row r="2">
          <cell r="A2">
            <v>0</v>
          </cell>
        </row>
      </sheetData>
      <sheetData sheetId="2719">
        <row r="2">
          <cell r="A2">
            <v>0</v>
          </cell>
        </row>
      </sheetData>
      <sheetData sheetId="2720">
        <row r="2">
          <cell r="A2">
            <v>0</v>
          </cell>
        </row>
      </sheetData>
      <sheetData sheetId="2721">
        <row r="2">
          <cell r="A2">
            <v>0</v>
          </cell>
        </row>
      </sheetData>
      <sheetData sheetId="2722">
        <row r="2">
          <cell r="A2">
            <v>0</v>
          </cell>
        </row>
      </sheetData>
      <sheetData sheetId="2723">
        <row r="2">
          <cell r="A2">
            <v>0</v>
          </cell>
        </row>
      </sheetData>
      <sheetData sheetId="2724">
        <row r="2">
          <cell r="A2">
            <v>0</v>
          </cell>
        </row>
      </sheetData>
      <sheetData sheetId="2725">
        <row r="2">
          <cell r="A2">
            <v>0</v>
          </cell>
        </row>
      </sheetData>
      <sheetData sheetId="2726">
        <row r="2">
          <cell r="A2">
            <v>0</v>
          </cell>
        </row>
      </sheetData>
      <sheetData sheetId="2727">
        <row r="2">
          <cell r="A2">
            <v>0</v>
          </cell>
        </row>
      </sheetData>
      <sheetData sheetId="2728">
        <row r="2">
          <cell r="A2">
            <v>0</v>
          </cell>
        </row>
      </sheetData>
      <sheetData sheetId="2729">
        <row r="2">
          <cell r="A2">
            <v>0</v>
          </cell>
        </row>
      </sheetData>
      <sheetData sheetId="2730">
        <row r="2">
          <cell r="A2">
            <v>0</v>
          </cell>
        </row>
      </sheetData>
      <sheetData sheetId="2731">
        <row r="2">
          <cell r="A2">
            <v>0</v>
          </cell>
        </row>
      </sheetData>
      <sheetData sheetId="2732">
        <row r="2">
          <cell r="A2">
            <v>0</v>
          </cell>
        </row>
      </sheetData>
      <sheetData sheetId="2733">
        <row r="2">
          <cell r="A2">
            <v>0</v>
          </cell>
        </row>
      </sheetData>
      <sheetData sheetId="2734">
        <row r="2">
          <cell r="A2">
            <v>0</v>
          </cell>
        </row>
      </sheetData>
      <sheetData sheetId="2735">
        <row r="2">
          <cell r="A2">
            <v>0</v>
          </cell>
        </row>
      </sheetData>
      <sheetData sheetId="2736">
        <row r="2">
          <cell r="A2">
            <v>0</v>
          </cell>
        </row>
      </sheetData>
      <sheetData sheetId="2737">
        <row r="2">
          <cell r="A2">
            <v>0</v>
          </cell>
        </row>
      </sheetData>
      <sheetData sheetId="2738">
        <row r="2">
          <cell r="A2">
            <v>0</v>
          </cell>
        </row>
      </sheetData>
      <sheetData sheetId="2739">
        <row r="2">
          <cell r="A2">
            <v>0</v>
          </cell>
        </row>
      </sheetData>
      <sheetData sheetId="2740">
        <row r="2">
          <cell r="A2">
            <v>0</v>
          </cell>
        </row>
      </sheetData>
      <sheetData sheetId="2741">
        <row r="2">
          <cell r="A2">
            <v>0</v>
          </cell>
        </row>
      </sheetData>
      <sheetData sheetId="2742">
        <row r="2">
          <cell r="A2">
            <v>0</v>
          </cell>
        </row>
      </sheetData>
      <sheetData sheetId="2743">
        <row r="2">
          <cell r="A2">
            <v>0</v>
          </cell>
        </row>
      </sheetData>
      <sheetData sheetId="2744">
        <row r="2">
          <cell r="A2">
            <v>0</v>
          </cell>
        </row>
      </sheetData>
      <sheetData sheetId="2745">
        <row r="2">
          <cell r="A2">
            <v>0</v>
          </cell>
        </row>
      </sheetData>
      <sheetData sheetId="2746">
        <row r="2">
          <cell r="A2">
            <v>0</v>
          </cell>
        </row>
      </sheetData>
      <sheetData sheetId="2747">
        <row r="2">
          <cell r="A2">
            <v>0</v>
          </cell>
        </row>
      </sheetData>
      <sheetData sheetId="2748">
        <row r="2">
          <cell r="A2">
            <v>0</v>
          </cell>
        </row>
      </sheetData>
      <sheetData sheetId="2749">
        <row r="2">
          <cell r="A2">
            <v>0</v>
          </cell>
        </row>
      </sheetData>
      <sheetData sheetId="2750">
        <row r="2">
          <cell r="A2">
            <v>0</v>
          </cell>
        </row>
      </sheetData>
      <sheetData sheetId="2751">
        <row r="2">
          <cell r="A2">
            <v>0</v>
          </cell>
        </row>
      </sheetData>
      <sheetData sheetId="2752">
        <row r="2">
          <cell r="A2">
            <v>0</v>
          </cell>
        </row>
      </sheetData>
      <sheetData sheetId="2753">
        <row r="2">
          <cell r="A2">
            <v>0</v>
          </cell>
        </row>
      </sheetData>
      <sheetData sheetId="2754">
        <row r="2">
          <cell r="A2">
            <v>0</v>
          </cell>
        </row>
      </sheetData>
      <sheetData sheetId="2755">
        <row r="2">
          <cell r="A2">
            <v>0</v>
          </cell>
        </row>
      </sheetData>
      <sheetData sheetId="2756">
        <row r="2">
          <cell r="A2">
            <v>0</v>
          </cell>
        </row>
      </sheetData>
      <sheetData sheetId="2757">
        <row r="2">
          <cell r="A2">
            <v>0</v>
          </cell>
        </row>
      </sheetData>
      <sheetData sheetId="2758">
        <row r="2">
          <cell r="A2">
            <v>0</v>
          </cell>
        </row>
      </sheetData>
      <sheetData sheetId="2759">
        <row r="2">
          <cell r="A2">
            <v>0</v>
          </cell>
        </row>
      </sheetData>
      <sheetData sheetId="2760">
        <row r="2">
          <cell r="A2">
            <v>0</v>
          </cell>
        </row>
      </sheetData>
      <sheetData sheetId="2761">
        <row r="2">
          <cell r="A2">
            <v>0</v>
          </cell>
        </row>
      </sheetData>
      <sheetData sheetId="2762">
        <row r="2">
          <cell r="A2">
            <v>0</v>
          </cell>
        </row>
      </sheetData>
      <sheetData sheetId="2763">
        <row r="2">
          <cell r="A2">
            <v>0</v>
          </cell>
        </row>
      </sheetData>
      <sheetData sheetId="2764">
        <row r="2">
          <cell r="A2">
            <v>0</v>
          </cell>
        </row>
      </sheetData>
      <sheetData sheetId="2765">
        <row r="2">
          <cell r="A2">
            <v>0</v>
          </cell>
        </row>
      </sheetData>
      <sheetData sheetId="2766">
        <row r="2">
          <cell r="A2">
            <v>0</v>
          </cell>
        </row>
      </sheetData>
      <sheetData sheetId="2767">
        <row r="2">
          <cell r="A2">
            <v>0</v>
          </cell>
        </row>
      </sheetData>
      <sheetData sheetId="2768">
        <row r="2">
          <cell r="A2">
            <v>0</v>
          </cell>
        </row>
      </sheetData>
      <sheetData sheetId="2769">
        <row r="2">
          <cell r="A2">
            <v>0</v>
          </cell>
        </row>
      </sheetData>
      <sheetData sheetId="2770">
        <row r="2">
          <cell r="A2">
            <v>0</v>
          </cell>
        </row>
      </sheetData>
      <sheetData sheetId="2771">
        <row r="2">
          <cell r="A2">
            <v>0</v>
          </cell>
        </row>
      </sheetData>
      <sheetData sheetId="2772">
        <row r="2">
          <cell r="A2">
            <v>0</v>
          </cell>
        </row>
      </sheetData>
      <sheetData sheetId="2773">
        <row r="2">
          <cell r="A2">
            <v>0</v>
          </cell>
        </row>
      </sheetData>
      <sheetData sheetId="2774">
        <row r="2">
          <cell r="A2">
            <v>0</v>
          </cell>
        </row>
      </sheetData>
      <sheetData sheetId="2775">
        <row r="2">
          <cell r="A2">
            <v>0</v>
          </cell>
        </row>
      </sheetData>
      <sheetData sheetId="2776">
        <row r="2">
          <cell r="A2">
            <v>0</v>
          </cell>
        </row>
      </sheetData>
      <sheetData sheetId="2777">
        <row r="2">
          <cell r="A2">
            <v>0</v>
          </cell>
        </row>
      </sheetData>
      <sheetData sheetId="2778">
        <row r="2">
          <cell r="A2">
            <v>0</v>
          </cell>
        </row>
      </sheetData>
      <sheetData sheetId="2779">
        <row r="2">
          <cell r="A2">
            <v>0</v>
          </cell>
        </row>
      </sheetData>
      <sheetData sheetId="2780">
        <row r="2">
          <cell r="A2">
            <v>0</v>
          </cell>
        </row>
      </sheetData>
      <sheetData sheetId="2781">
        <row r="2">
          <cell r="A2">
            <v>0</v>
          </cell>
        </row>
      </sheetData>
      <sheetData sheetId="2782">
        <row r="2">
          <cell r="A2">
            <v>0</v>
          </cell>
        </row>
      </sheetData>
      <sheetData sheetId="2783">
        <row r="2">
          <cell r="A2">
            <v>0</v>
          </cell>
        </row>
      </sheetData>
      <sheetData sheetId="2784">
        <row r="2">
          <cell r="A2">
            <v>0</v>
          </cell>
        </row>
      </sheetData>
      <sheetData sheetId="2785">
        <row r="2">
          <cell r="A2">
            <v>0</v>
          </cell>
        </row>
      </sheetData>
      <sheetData sheetId="2786">
        <row r="2">
          <cell r="A2">
            <v>0</v>
          </cell>
        </row>
      </sheetData>
      <sheetData sheetId="2787">
        <row r="2">
          <cell r="A2">
            <v>0</v>
          </cell>
        </row>
      </sheetData>
      <sheetData sheetId="2788">
        <row r="2">
          <cell r="A2">
            <v>0</v>
          </cell>
        </row>
      </sheetData>
      <sheetData sheetId="2789">
        <row r="2">
          <cell r="A2">
            <v>0</v>
          </cell>
        </row>
      </sheetData>
      <sheetData sheetId="2790">
        <row r="2">
          <cell r="A2">
            <v>0</v>
          </cell>
        </row>
      </sheetData>
      <sheetData sheetId="2791">
        <row r="2">
          <cell r="A2">
            <v>0</v>
          </cell>
        </row>
      </sheetData>
      <sheetData sheetId="2792">
        <row r="2">
          <cell r="A2">
            <v>0</v>
          </cell>
        </row>
      </sheetData>
      <sheetData sheetId="2793">
        <row r="2">
          <cell r="A2">
            <v>0</v>
          </cell>
        </row>
      </sheetData>
      <sheetData sheetId="2794">
        <row r="2">
          <cell r="A2">
            <v>0</v>
          </cell>
        </row>
      </sheetData>
      <sheetData sheetId="2795">
        <row r="2">
          <cell r="A2">
            <v>0</v>
          </cell>
        </row>
      </sheetData>
      <sheetData sheetId="2796">
        <row r="2">
          <cell r="A2">
            <v>0</v>
          </cell>
        </row>
      </sheetData>
      <sheetData sheetId="2797">
        <row r="2">
          <cell r="A2">
            <v>0</v>
          </cell>
        </row>
      </sheetData>
      <sheetData sheetId="2798">
        <row r="2">
          <cell r="A2">
            <v>0</v>
          </cell>
        </row>
      </sheetData>
      <sheetData sheetId="2799">
        <row r="2">
          <cell r="A2">
            <v>0</v>
          </cell>
        </row>
      </sheetData>
      <sheetData sheetId="2800">
        <row r="2">
          <cell r="A2">
            <v>0</v>
          </cell>
        </row>
      </sheetData>
      <sheetData sheetId="2801">
        <row r="2">
          <cell r="A2">
            <v>0</v>
          </cell>
        </row>
      </sheetData>
      <sheetData sheetId="2802">
        <row r="2">
          <cell r="A2">
            <v>0</v>
          </cell>
        </row>
      </sheetData>
      <sheetData sheetId="2803">
        <row r="2">
          <cell r="A2">
            <v>0</v>
          </cell>
        </row>
      </sheetData>
      <sheetData sheetId="2804">
        <row r="2">
          <cell r="A2">
            <v>0</v>
          </cell>
        </row>
      </sheetData>
      <sheetData sheetId="2805">
        <row r="2">
          <cell r="A2">
            <v>0</v>
          </cell>
        </row>
      </sheetData>
      <sheetData sheetId="2806">
        <row r="2">
          <cell r="A2">
            <v>0</v>
          </cell>
        </row>
      </sheetData>
      <sheetData sheetId="2807">
        <row r="2">
          <cell r="A2">
            <v>0</v>
          </cell>
        </row>
      </sheetData>
      <sheetData sheetId="2808">
        <row r="2">
          <cell r="A2">
            <v>0</v>
          </cell>
        </row>
      </sheetData>
      <sheetData sheetId="2809">
        <row r="2">
          <cell r="A2">
            <v>0</v>
          </cell>
        </row>
      </sheetData>
      <sheetData sheetId="2810">
        <row r="2">
          <cell r="A2">
            <v>0</v>
          </cell>
        </row>
      </sheetData>
      <sheetData sheetId="2811">
        <row r="2">
          <cell r="A2">
            <v>0</v>
          </cell>
        </row>
      </sheetData>
      <sheetData sheetId="2812">
        <row r="2">
          <cell r="A2">
            <v>0</v>
          </cell>
        </row>
      </sheetData>
      <sheetData sheetId="2813">
        <row r="2">
          <cell r="A2">
            <v>0</v>
          </cell>
        </row>
      </sheetData>
      <sheetData sheetId="2814">
        <row r="2">
          <cell r="A2">
            <v>0</v>
          </cell>
        </row>
      </sheetData>
      <sheetData sheetId="2815">
        <row r="2">
          <cell r="A2">
            <v>0</v>
          </cell>
        </row>
      </sheetData>
      <sheetData sheetId="2816">
        <row r="2">
          <cell r="A2">
            <v>0</v>
          </cell>
        </row>
      </sheetData>
      <sheetData sheetId="2817">
        <row r="2">
          <cell r="A2">
            <v>0</v>
          </cell>
        </row>
      </sheetData>
      <sheetData sheetId="2818">
        <row r="2">
          <cell r="A2">
            <v>0</v>
          </cell>
        </row>
      </sheetData>
      <sheetData sheetId="2819">
        <row r="2">
          <cell r="A2">
            <v>0</v>
          </cell>
        </row>
      </sheetData>
      <sheetData sheetId="2820">
        <row r="2">
          <cell r="A2">
            <v>0</v>
          </cell>
        </row>
      </sheetData>
      <sheetData sheetId="2821">
        <row r="2">
          <cell r="A2">
            <v>0</v>
          </cell>
        </row>
      </sheetData>
      <sheetData sheetId="2822">
        <row r="2">
          <cell r="A2">
            <v>0</v>
          </cell>
        </row>
      </sheetData>
      <sheetData sheetId="2823">
        <row r="2">
          <cell r="A2">
            <v>0</v>
          </cell>
        </row>
      </sheetData>
      <sheetData sheetId="2824">
        <row r="2">
          <cell r="A2">
            <v>0</v>
          </cell>
        </row>
      </sheetData>
      <sheetData sheetId="2825">
        <row r="2">
          <cell r="A2">
            <v>0</v>
          </cell>
        </row>
      </sheetData>
      <sheetData sheetId="2826">
        <row r="2">
          <cell r="A2">
            <v>0</v>
          </cell>
        </row>
      </sheetData>
      <sheetData sheetId="2827">
        <row r="2">
          <cell r="A2">
            <v>0</v>
          </cell>
        </row>
      </sheetData>
      <sheetData sheetId="2828">
        <row r="2">
          <cell r="A2">
            <v>0</v>
          </cell>
        </row>
      </sheetData>
      <sheetData sheetId="2829">
        <row r="2">
          <cell r="A2">
            <v>0</v>
          </cell>
        </row>
      </sheetData>
      <sheetData sheetId="2830">
        <row r="2">
          <cell r="A2">
            <v>0</v>
          </cell>
        </row>
      </sheetData>
      <sheetData sheetId="2831">
        <row r="2">
          <cell r="A2">
            <v>0</v>
          </cell>
        </row>
      </sheetData>
      <sheetData sheetId="2832">
        <row r="2">
          <cell r="A2">
            <v>0</v>
          </cell>
        </row>
      </sheetData>
      <sheetData sheetId="2833">
        <row r="2">
          <cell r="A2">
            <v>0</v>
          </cell>
        </row>
      </sheetData>
      <sheetData sheetId="2834">
        <row r="2">
          <cell r="A2">
            <v>0</v>
          </cell>
        </row>
      </sheetData>
      <sheetData sheetId="2835">
        <row r="2">
          <cell r="A2">
            <v>0</v>
          </cell>
        </row>
      </sheetData>
      <sheetData sheetId="2836">
        <row r="2">
          <cell r="A2">
            <v>0</v>
          </cell>
        </row>
      </sheetData>
      <sheetData sheetId="2837">
        <row r="2">
          <cell r="A2">
            <v>0</v>
          </cell>
        </row>
      </sheetData>
      <sheetData sheetId="2838">
        <row r="2">
          <cell r="A2">
            <v>0</v>
          </cell>
        </row>
      </sheetData>
      <sheetData sheetId="2839">
        <row r="2">
          <cell r="A2">
            <v>0</v>
          </cell>
        </row>
      </sheetData>
      <sheetData sheetId="2840">
        <row r="2">
          <cell r="A2">
            <v>0</v>
          </cell>
        </row>
      </sheetData>
      <sheetData sheetId="2841">
        <row r="2">
          <cell r="A2">
            <v>0</v>
          </cell>
        </row>
      </sheetData>
      <sheetData sheetId="2842"/>
      <sheetData sheetId="2843"/>
      <sheetData sheetId="2844"/>
      <sheetData sheetId="2845">
        <row r="2">
          <cell r="A2">
            <v>0</v>
          </cell>
        </row>
      </sheetData>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row r="2">
          <cell r="A2">
            <v>0</v>
          </cell>
        </row>
      </sheetData>
      <sheetData sheetId="2873"/>
      <sheetData sheetId="2874"/>
      <sheetData sheetId="2875"/>
      <sheetData sheetId="2876"/>
      <sheetData sheetId="2877"/>
      <sheetData sheetId="2878"/>
      <sheetData sheetId="2879"/>
      <sheetData sheetId="2880"/>
      <sheetData sheetId="2881">
        <row r="2">
          <cell r="A2">
            <v>0</v>
          </cell>
        </row>
      </sheetData>
      <sheetData sheetId="2882">
        <row r="2">
          <cell r="A2">
            <v>0</v>
          </cell>
        </row>
      </sheetData>
      <sheetData sheetId="2883"/>
      <sheetData sheetId="2884"/>
      <sheetData sheetId="2885"/>
      <sheetData sheetId="2886"/>
      <sheetData sheetId="2887"/>
      <sheetData sheetId="2888"/>
      <sheetData sheetId="2889"/>
      <sheetData sheetId="2890"/>
      <sheetData sheetId="2891">
        <row r="2">
          <cell r="A2">
            <v>0</v>
          </cell>
        </row>
      </sheetData>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row r="2">
          <cell r="A2">
            <v>0</v>
          </cell>
        </row>
      </sheetData>
      <sheetData sheetId="2908">
        <row r="2">
          <cell r="A2">
            <v>0</v>
          </cell>
        </row>
      </sheetData>
      <sheetData sheetId="2909">
        <row r="2">
          <cell r="A2">
            <v>0</v>
          </cell>
        </row>
      </sheetData>
      <sheetData sheetId="2910">
        <row r="2">
          <cell r="A2">
            <v>0</v>
          </cell>
        </row>
      </sheetData>
      <sheetData sheetId="2911">
        <row r="2">
          <cell r="A2">
            <v>0</v>
          </cell>
        </row>
      </sheetData>
      <sheetData sheetId="2912">
        <row r="2">
          <cell r="A2">
            <v>0</v>
          </cell>
        </row>
      </sheetData>
      <sheetData sheetId="2913">
        <row r="2">
          <cell r="A2">
            <v>0</v>
          </cell>
        </row>
      </sheetData>
      <sheetData sheetId="2914"/>
      <sheetData sheetId="2915"/>
      <sheetData sheetId="2916">
        <row r="2">
          <cell r="A2">
            <v>0</v>
          </cell>
        </row>
      </sheetData>
      <sheetData sheetId="2917">
        <row r="2">
          <cell r="A2">
            <v>0</v>
          </cell>
        </row>
      </sheetData>
      <sheetData sheetId="2918">
        <row r="2">
          <cell r="A2">
            <v>0</v>
          </cell>
        </row>
      </sheetData>
      <sheetData sheetId="2919">
        <row r="2">
          <cell r="A2">
            <v>0</v>
          </cell>
        </row>
      </sheetData>
      <sheetData sheetId="2920">
        <row r="2">
          <cell r="A2">
            <v>0</v>
          </cell>
        </row>
      </sheetData>
      <sheetData sheetId="2921">
        <row r="2">
          <cell r="A2">
            <v>0</v>
          </cell>
        </row>
      </sheetData>
      <sheetData sheetId="2922">
        <row r="2">
          <cell r="A2">
            <v>0</v>
          </cell>
        </row>
      </sheetData>
      <sheetData sheetId="2923">
        <row r="2">
          <cell r="A2">
            <v>0</v>
          </cell>
        </row>
      </sheetData>
      <sheetData sheetId="2924"/>
      <sheetData sheetId="2925">
        <row r="2">
          <cell r="A2">
            <v>0</v>
          </cell>
        </row>
      </sheetData>
      <sheetData sheetId="2926">
        <row r="2">
          <cell r="A2">
            <v>0</v>
          </cell>
        </row>
      </sheetData>
      <sheetData sheetId="2927">
        <row r="2">
          <cell r="A2">
            <v>0</v>
          </cell>
        </row>
      </sheetData>
      <sheetData sheetId="2928">
        <row r="2">
          <cell r="A2">
            <v>0</v>
          </cell>
        </row>
      </sheetData>
      <sheetData sheetId="2929">
        <row r="2">
          <cell r="A2">
            <v>0</v>
          </cell>
        </row>
      </sheetData>
      <sheetData sheetId="2930">
        <row r="2">
          <cell r="A2">
            <v>0</v>
          </cell>
        </row>
      </sheetData>
      <sheetData sheetId="2931">
        <row r="2">
          <cell r="A2">
            <v>0</v>
          </cell>
        </row>
      </sheetData>
      <sheetData sheetId="2932">
        <row r="2">
          <cell r="A2">
            <v>0</v>
          </cell>
        </row>
      </sheetData>
      <sheetData sheetId="2933">
        <row r="2">
          <cell r="A2">
            <v>0</v>
          </cell>
        </row>
      </sheetData>
      <sheetData sheetId="2934">
        <row r="2">
          <cell r="A2">
            <v>0</v>
          </cell>
        </row>
      </sheetData>
      <sheetData sheetId="2935">
        <row r="2">
          <cell r="A2">
            <v>0</v>
          </cell>
        </row>
      </sheetData>
      <sheetData sheetId="2936">
        <row r="2">
          <cell r="A2">
            <v>0</v>
          </cell>
        </row>
      </sheetData>
      <sheetData sheetId="2937">
        <row r="2">
          <cell r="A2">
            <v>0</v>
          </cell>
        </row>
      </sheetData>
      <sheetData sheetId="2938">
        <row r="2">
          <cell r="A2">
            <v>0</v>
          </cell>
        </row>
      </sheetData>
      <sheetData sheetId="2939">
        <row r="2">
          <cell r="A2">
            <v>0</v>
          </cell>
        </row>
      </sheetData>
      <sheetData sheetId="2940">
        <row r="2">
          <cell r="A2">
            <v>0</v>
          </cell>
        </row>
      </sheetData>
      <sheetData sheetId="2941">
        <row r="2">
          <cell r="A2">
            <v>0</v>
          </cell>
        </row>
      </sheetData>
      <sheetData sheetId="2942">
        <row r="2">
          <cell r="A2">
            <v>0</v>
          </cell>
        </row>
      </sheetData>
      <sheetData sheetId="2943">
        <row r="2">
          <cell r="A2">
            <v>0</v>
          </cell>
        </row>
      </sheetData>
      <sheetData sheetId="2944">
        <row r="2">
          <cell r="A2">
            <v>0</v>
          </cell>
        </row>
      </sheetData>
      <sheetData sheetId="2945">
        <row r="2">
          <cell r="A2">
            <v>0</v>
          </cell>
        </row>
      </sheetData>
      <sheetData sheetId="2946">
        <row r="2">
          <cell r="A2">
            <v>0</v>
          </cell>
        </row>
      </sheetData>
      <sheetData sheetId="2947">
        <row r="2">
          <cell r="A2">
            <v>0</v>
          </cell>
        </row>
      </sheetData>
      <sheetData sheetId="2948">
        <row r="2">
          <cell r="A2">
            <v>0</v>
          </cell>
        </row>
      </sheetData>
      <sheetData sheetId="2949">
        <row r="2">
          <cell r="A2">
            <v>0</v>
          </cell>
        </row>
      </sheetData>
      <sheetData sheetId="2950">
        <row r="2">
          <cell r="A2">
            <v>0</v>
          </cell>
        </row>
      </sheetData>
      <sheetData sheetId="2951">
        <row r="2">
          <cell r="A2">
            <v>0</v>
          </cell>
        </row>
      </sheetData>
      <sheetData sheetId="2952">
        <row r="2">
          <cell r="A2">
            <v>0</v>
          </cell>
        </row>
      </sheetData>
      <sheetData sheetId="2953">
        <row r="2">
          <cell r="A2">
            <v>0</v>
          </cell>
        </row>
      </sheetData>
      <sheetData sheetId="2954">
        <row r="2">
          <cell r="A2">
            <v>0</v>
          </cell>
        </row>
      </sheetData>
      <sheetData sheetId="2955">
        <row r="2">
          <cell r="A2">
            <v>0</v>
          </cell>
        </row>
      </sheetData>
      <sheetData sheetId="2956">
        <row r="2">
          <cell r="A2">
            <v>0</v>
          </cell>
        </row>
      </sheetData>
      <sheetData sheetId="2957">
        <row r="2">
          <cell r="A2">
            <v>0</v>
          </cell>
        </row>
      </sheetData>
      <sheetData sheetId="2958">
        <row r="2">
          <cell r="A2">
            <v>0</v>
          </cell>
        </row>
      </sheetData>
      <sheetData sheetId="2959">
        <row r="2">
          <cell r="A2">
            <v>0</v>
          </cell>
        </row>
      </sheetData>
      <sheetData sheetId="2960">
        <row r="2">
          <cell r="A2">
            <v>0</v>
          </cell>
        </row>
      </sheetData>
      <sheetData sheetId="2961">
        <row r="2">
          <cell r="A2">
            <v>0</v>
          </cell>
        </row>
      </sheetData>
      <sheetData sheetId="2962">
        <row r="2">
          <cell r="A2">
            <v>0</v>
          </cell>
        </row>
      </sheetData>
      <sheetData sheetId="2963">
        <row r="2">
          <cell r="A2">
            <v>0</v>
          </cell>
        </row>
      </sheetData>
      <sheetData sheetId="2964">
        <row r="2">
          <cell r="A2">
            <v>0</v>
          </cell>
        </row>
      </sheetData>
      <sheetData sheetId="2965">
        <row r="2">
          <cell r="A2">
            <v>0</v>
          </cell>
        </row>
      </sheetData>
      <sheetData sheetId="2966">
        <row r="2">
          <cell r="A2">
            <v>0</v>
          </cell>
        </row>
      </sheetData>
      <sheetData sheetId="2967">
        <row r="2">
          <cell r="A2">
            <v>0</v>
          </cell>
        </row>
      </sheetData>
      <sheetData sheetId="2968">
        <row r="2">
          <cell r="A2">
            <v>0</v>
          </cell>
        </row>
      </sheetData>
      <sheetData sheetId="2969">
        <row r="2">
          <cell r="A2">
            <v>0</v>
          </cell>
        </row>
      </sheetData>
      <sheetData sheetId="2970">
        <row r="2">
          <cell r="A2">
            <v>0</v>
          </cell>
        </row>
      </sheetData>
      <sheetData sheetId="2971">
        <row r="2">
          <cell r="A2">
            <v>0</v>
          </cell>
        </row>
      </sheetData>
      <sheetData sheetId="2972">
        <row r="2">
          <cell r="A2">
            <v>0</v>
          </cell>
        </row>
      </sheetData>
      <sheetData sheetId="2973">
        <row r="2">
          <cell r="A2">
            <v>0</v>
          </cell>
        </row>
      </sheetData>
      <sheetData sheetId="2974">
        <row r="2">
          <cell r="A2">
            <v>0</v>
          </cell>
        </row>
      </sheetData>
      <sheetData sheetId="2975">
        <row r="2">
          <cell r="A2">
            <v>0</v>
          </cell>
        </row>
      </sheetData>
      <sheetData sheetId="2976">
        <row r="2">
          <cell r="A2">
            <v>0</v>
          </cell>
        </row>
      </sheetData>
      <sheetData sheetId="2977">
        <row r="2">
          <cell r="A2">
            <v>0</v>
          </cell>
        </row>
      </sheetData>
      <sheetData sheetId="2978">
        <row r="2">
          <cell r="A2">
            <v>0</v>
          </cell>
        </row>
      </sheetData>
      <sheetData sheetId="2979">
        <row r="2">
          <cell r="A2">
            <v>0</v>
          </cell>
        </row>
      </sheetData>
      <sheetData sheetId="2980">
        <row r="2">
          <cell r="A2">
            <v>0</v>
          </cell>
        </row>
      </sheetData>
      <sheetData sheetId="2981">
        <row r="2">
          <cell r="A2">
            <v>0</v>
          </cell>
        </row>
      </sheetData>
      <sheetData sheetId="2982">
        <row r="2">
          <cell r="A2">
            <v>0</v>
          </cell>
        </row>
      </sheetData>
      <sheetData sheetId="2983">
        <row r="2">
          <cell r="A2">
            <v>0</v>
          </cell>
        </row>
      </sheetData>
      <sheetData sheetId="2984">
        <row r="2">
          <cell r="A2">
            <v>0</v>
          </cell>
        </row>
      </sheetData>
      <sheetData sheetId="2985">
        <row r="2">
          <cell r="A2">
            <v>0</v>
          </cell>
        </row>
      </sheetData>
      <sheetData sheetId="2986">
        <row r="2">
          <cell r="A2">
            <v>0</v>
          </cell>
        </row>
      </sheetData>
      <sheetData sheetId="2987">
        <row r="2">
          <cell r="A2">
            <v>0</v>
          </cell>
        </row>
      </sheetData>
      <sheetData sheetId="2988">
        <row r="2">
          <cell r="A2">
            <v>0</v>
          </cell>
        </row>
      </sheetData>
      <sheetData sheetId="2989">
        <row r="2">
          <cell r="A2">
            <v>0</v>
          </cell>
        </row>
      </sheetData>
      <sheetData sheetId="2990">
        <row r="2">
          <cell r="A2">
            <v>0</v>
          </cell>
        </row>
      </sheetData>
      <sheetData sheetId="2991">
        <row r="2">
          <cell r="A2">
            <v>0</v>
          </cell>
        </row>
      </sheetData>
      <sheetData sheetId="2992">
        <row r="2">
          <cell r="A2">
            <v>0</v>
          </cell>
        </row>
      </sheetData>
      <sheetData sheetId="2993">
        <row r="2">
          <cell r="A2">
            <v>0</v>
          </cell>
        </row>
      </sheetData>
      <sheetData sheetId="2994">
        <row r="2">
          <cell r="A2">
            <v>0</v>
          </cell>
        </row>
      </sheetData>
      <sheetData sheetId="2995">
        <row r="2">
          <cell r="A2">
            <v>0</v>
          </cell>
        </row>
      </sheetData>
      <sheetData sheetId="2996">
        <row r="2">
          <cell r="A2">
            <v>0</v>
          </cell>
        </row>
      </sheetData>
      <sheetData sheetId="2997">
        <row r="2">
          <cell r="A2">
            <v>0</v>
          </cell>
        </row>
      </sheetData>
      <sheetData sheetId="2998">
        <row r="2">
          <cell r="A2">
            <v>0</v>
          </cell>
        </row>
      </sheetData>
      <sheetData sheetId="2999">
        <row r="2">
          <cell r="A2">
            <v>0</v>
          </cell>
        </row>
      </sheetData>
      <sheetData sheetId="3000">
        <row r="2">
          <cell r="A2">
            <v>0</v>
          </cell>
        </row>
      </sheetData>
      <sheetData sheetId="3001">
        <row r="2">
          <cell r="A2">
            <v>0</v>
          </cell>
        </row>
      </sheetData>
      <sheetData sheetId="3002">
        <row r="2">
          <cell r="A2">
            <v>0</v>
          </cell>
        </row>
      </sheetData>
      <sheetData sheetId="3003">
        <row r="2">
          <cell r="A2">
            <v>0</v>
          </cell>
        </row>
      </sheetData>
      <sheetData sheetId="3004">
        <row r="2">
          <cell r="A2">
            <v>0</v>
          </cell>
        </row>
      </sheetData>
      <sheetData sheetId="3005">
        <row r="2">
          <cell r="A2">
            <v>0</v>
          </cell>
        </row>
      </sheetData>
      <sheetData sheetId="3006">
        <row r="2">
          <cell r="A2">
            <v>0</v>
          </cell>
        </row>
      </sheetData>
      <sheetData sheetId="3007">
        <row r="2">
          <cell r="A2">
            <v>0</v>
          </cell>
        </row>
      </sheetData>
      <sheetData sheetId="3008">
        <row r="2">
          <cell r="A2">
            <v>0</v>
          </cell>
        </row>
      </sheetData>
      <sheetData sheetId="3009">
        <row r="2">
          <cell r="A2">
            <v>0</v>
          </cell>
        </row>
      </sheetData>
      <sheetData sheetId="3010">
        <row r="2">
          <cell r="A2">
            <v>0</v>
          </cell>
        </row>
      </sheetData>
      <sheetData sheetId="3011">
        <row r="2">
          <cell r="A2">
            <v>0</v>
          </cell>
        </row>
      </sheetData>
      <sheetData sheetId="3012">
        <row r="2">
          <cell r="A2">
            <v>0</v>
          </cell>
        </row>
      </sheetData>
      <sheetData sheetId="3013">
        <row r="2">
          <cell r="A2">
            <v>0</v>
          </cell>
        </row>
      </sheetData>
      <sheetData sheetId="3014">
        <row r="2">
          <cell r="A2">
            <v>0</v>
          </cell>
        </row>
      </sheetData>
      <sheetData sheetId="3015">
        <row r="2">
          <cell r="A2">
            <v>0</v>
          </cell>
        </row>
      </sheetData>
      <sheetData sheetId="3016">
        <row r="2">
          <cell r="A2">
            <v>0</v>
          </cell>
        </row>
      </sheetData>
      <sheetData sheetId="3017">
        <row r="2">
          <cell r="A2">
            <v>0</v>
          </cell>
        </row>
      </sheetData>
      <sheetData sheetId="3018">
        <row r="2">
          <cell r="A2">
            <v>0</v>
          </cell>
        </row>
      </sheetData>
      <sheetData sheetId="3019">
        <row r="2">
          <cell r="A2">
            <v>0</v>
          </cell>
        </row>
      </sheetData>
      <sheetData sheetId="3020">
        <row r="2">
          <cell r="A2">
            <v>0</v>
          </cell>
        </row>
      </sheetData>
      <sheetData sheetId="3021">
        <row r="2">
          <cell r="A2">
            <v>0</v>
          </cell>
        </row>
      </sheetData>
      <sheetData sheetId="3022">
        <row r="2">
          <cell r="A2">
            <v>0</v>
          </cell>
        </row>
      </sheetData>
      <sheetData sheetId="3023">
        <row r="2">
          <cell r="A2">
            <v>0</v>
          </cell>
        </row>
      </sheetData>
      <sheetData sheetId="3024">
        <row r="2">
          <cell r="A2">
            <v>0</v>
          </cell>
        </row>
      </sheetData>
      <sheetData sheetId="3025">
        <row r="2">
          <cell r="A2">
            <v>0</v>
          </cell>
        </row>
      </sheetData>
      <sheetData sheetId="3026">
        <row r="2">
          <cell r="A2">
            <v>0</v>
          </cell>
        </row>
      </sheetData>
      <sheetData sheetId="3027">
        <row r="2">
          <cell r="A2">
            <v>0</v>
          </cell>
        </row>
      </sheetData>
      <sheetData sheetId="3028">
        <row r="2">
          <cell r="A2">
            <v>0</v>
          </cell>
        </row>
      </sheetData>
      <sheetData sheetId="3029">
        <row r="2">
          <cell r="A2">
            <v>0</v>
          </cell>
        </row>
      </sheetData>
      <sheetData sheetId="3030">
        <row r="2">
          <cell r="A2">
            <v>0</v>
          </cell>
        </row>
      </sheetData>
      <sheetData sheetId="3031">
        <row r="2">
          <cell r="A2">
            <v>0</v>
          </cell>
        </row>
      </sheetData>
      <sheetData sheetId="3032">
        <row r="2">
          <cell r="A2">
            <v>0</v>
          </cell>
        </row>
      </sheetData>
      <sheetData sheetId="3033">
        <row r="2">
          <cell r="A2">
            <v>0</v>
          </cell>
        </row>
      </sheetData>
      <sheetData sheetId="3034">
        <row r="2">
          <cell r="A2">
            <v>0</v>
          </cell>
        </row>
      </sheetData>
      <sheetData sheetId="3035">
        <row r="2">
          <cell r="A2">
            <v>0</v>
          </cell>
        </row>
      </sheetData>
      <sheetData sheetId="3036">
        <row r="2">
          <cell r="A2">
            <v>0</v>
          </cell>
        </row>
      </sheetData>
      <sheetData sheetId="3037">
        <row r="2">
          <cell r="A2">
            <v>0</v>
          </cell>
        </row>
      </sheetData>
      <sheetData sheetId="3038">
        <row r="2">
          <cell r="A2">
            <v>0</v>
          </cell>
        </row>
      </sheetData>
      <sheetData sheetId="3039">
        <row r="2">
          <cell r="A2">
            <v>0</v>
          </cell>
        </row>
      </sheetData>
      <sheetData sheetId="3040">
        <row r="2">
          <cell r="A2">
            <v>0</v>
          </cell>
        </row>
      </sheetData>
      <sheetData sheetId="3041">
        <row r="2">
          <cell r="A2">
            <v>0</v>
          </cell>
        </row>
      </sheetData>
      <sheetData sheetId="3042">
        <row r="2">
          <cell r="A2">
            <v>0</v>
          </cell>
        </row>
      </sheetData>
      <sheetData sheetId="3043">
        <row r="2">
          <cell r="A2">
            <v>0</v>
          </cell>
        </row>
      </sheetData>
      <sheetData sheetId="3044">
        <row r="2">
          <cell r="A2">
            <v>0</v>
          </cell>
        </row>
      </sheetData>
      <sheetData sheetId="3045">
        <row r="2">
          <cell r="A2">
            <v>0</v>
          </cell>
        </row>
      </sheetData>
      <sheetData sheetId="3046">
        <row r="2">
          <cell r="A2">
            <v>0</v>
          </cell>
        </row>
      </sheetData>
      <sheetData sheetId="3047">
        <row r="2">
          <cell r="A2">
            <v>0</v>
          </cell>
        </row>
      </sheetData>
      <sheetData sheetId="3048">
        <row r="2">
          <cell r="A2">
            <v>0</v>
          </cell>
        </row>
      </sheetData>
      <sheetData sheetId="3049">
        <row r="2">
          <cell r="A2">
            <v>0</v>
          </cell>
        </row>
      </sheetData>
      <sheetData sheetId="3050">
        <row r="2">
          <cell r="A2">
            <v>0</v>
          </cell>
        </row>
      </sheetData>
      <sheetData sheetId="3051">
        <row r="2">
          <cell r="A2">
            <v>0</v>
          </cell>
        </row>
      </sheetData>
      <sheetData sheetId="3052">
        <row r="2">
          <cell r="A2">
            <v>0</v>
          </cell>
        </row>
      </sheetData>
      <sheetData sheetId="3053">
        <row r="2">
          <cell r="A2">
            <v>0</v>
          </cell>
        </row>
      </sheetData>
      <sheetData sheetId="3054">
        <row r="2">
          <cell r="A2">
            <v>0</v>
          </cell>
        </row>
      </sheetData>
      <sheetData sheetId="3055">
        <row r="2">
          <cell r="A2">
            <v>0</v>
          </cell>
        </row>
      </sheetData>
      <sheetData sheetId="3056">
        <row r="2">
          <cell r="A2">
            <v>0</v>
          </cell>
        </row>
      </sheetData>
      <sheetData sheetId="3057">
        <row r="2">
          <cell r="A2">
            <v>0</v>
          </cell>
        </row>
      </sheetData>
      <sheetData sheetId="3058">
        <row r="2">
          <cell r="A2">
            <v>0</v>
          </cell>
        </row>
      </sheetData>
      <sheetData sheetId="3059">
        <row r="2">
          <cell r="A2">
            <v>0</v>
          </cell>
        </row>
      </sheetData>
      <sheetData sheetId="3060">
        <row r="2">
          <cell r="A2">
            <v>0</v>
          </cell>
        </row>
      </sheetData>
      <sheetData sheetId="3061">
        <row r="2">
          <cell r="A2">
            <v>0</v>
          </cell>
        </row>
      </sheetData>
      <sheetData sheetId="3062">
        <row r="2">
          <cell r="A2">
            <v>0</v>
          </cell>
        </row>
      </sheetData>
      <sheetData sheetId="3063">
        <row r="2">
          <cell r="A2">
            <v>0</v>
          </cell>
        </row>
      </sheetData>
      <sheetData sheetId="3064">
        <row r="2">
          <cell r="A2">
            <v>0</v>
          </cell>
        </row>
      </sheetData>
      <sheetData sheetId="3065">
        <row r="2">
          <cell r="A2">
            <v>0</v>
          </cell>
        </row>
      </sheetData>
      <sheetData sheetId="3066">
        <row r="2">
          <cell r="A2">
            <v>0</v>
          </cell>
        </row>
      </sheetData>
      <sheetData sheetId="3067">
        <row r="2">
          <cell r="A2">
            <v>0</v>
          </cell>
        </row>
      </sheetData>
      <sheetData sheetId="3068">
        <row r="2">
          <cell r="A2">
            <v>0</v>
          </cell>
        </row>
      </sheetData>
      <sheetData sheetId="3069">
        <row r="2">
          <cell r="A2">
            <v>0</v>
          </cell>
        </row>
      </sheetData>
      <sheetData sheetId="3070">
        <row r="2">
          <cell r="A2">
            <v>0</v>
          </cell>
        </row>
      </sheetData>
      <sheetData sheetId="3071">
        <row r="2">
          <cell r="A2">
            <v>0</v>
          </cell>
        </row>
      </sheetData>
      <sheetData sheetId="3072">
        <row r="2">
          <cell r="A2">
            <v>0</v>
          </cell>
        </row>
      </sheetData>
      <sheetData sheetId="3073">
        <row r="2">
          <cell r="A2">
            <v>0</v>
          </cell>
        </row>
      </sheetData>
      <sheetData sheetId="3074">
        <row r="2">
          <cell r="A2">
            <v>0</v>
          </cell>
        </row>
      </sheetData>
      <sheetData sheetId="3075">
        <row r="2">
          <cell r="A2">
            <v>0</v>
          </cell>
        </row>
      </sheetData>
      <sheetData sheetId="3076">
        <row r="2">
          <cell r="A2">
            <v>0</v>
          </cell>
        </row>
      </sheetData>
      <sheetData sheetId="3077">
        <row r="2">
          <cell r="A2">
            <v>0</v>
          </cell>
        </row>
      </sheetData>
      <sheetData sheetId="3078">
        <row r="2">
          <cell r="A2">
            <v>0</v>
          </cell>
        </row>
      </sheetData>
      <sheetData sheetId="3079">
        <row r="2">
          <cell r="A2">
            <v>0</v>
          </cell>
        </row>
      </sheetData>
      <sheetData sheetId="3080">
        <row r="2">
          <cell r="A2">
            <v>0</v>
          </cell>
        </row>
      </sheetData>
      <sheetData sheetId="3081">
        <row r="2">
          <cell r="A2">
            <v>0</v>
          </cell>
        </row>
      </sheetData>
      <sheetData sheetId="3082">
        <row r="2">
          <cell r="A2">
            <v>0</v>
          </cell>
        </row>
      </sheetData>
      <sheetData sheetId="3083">
        <row r="2">
          <cell r="A2">
            <v>0</v>
          </cell>
        </row>
      </sheetData>
      <sheetData sheetId="3084">
        <row r="2">
          <cell r="A2">
            <v>0</v>
          </cell>
        </row>
      </sheetData>
      <sheetData sheetId="3085">
        <row r="2">
          <cell r="A2">
            <v>0</v>
          </cell>
        </row>
      </sheetData>
      <sheetData sheetId="3086">
        <row r="2">
          <cell r="A2">
            <v>0</v>
          </cell>
        </row>
      </sheetData>
      <sheetData sheetId="3087">
        <row r="2">
          <cell r="A2">
            <v>0</v>
          </cell>
        </row>
      </sheetData>
      <sheetData sheetId="3088">
        <row r="2">
          <cell r="A2">
            <v>0</v>
          </cell>
        </row>
      </sheetData>
      <sheetData sheetId="3089">
        <row r="2">
          <cell r="A2">
            <v>0</v>
          </cell>
        </row>
      </sheetData>
      <sheetData sheetId="3090">
        <row r="2">
          <cell r="A2">
            <v>0</v>
          </cell>
        </row>
      </sheetData>
      <sheetData sheetId="3091">
        <row r="2">
          <cell r="A2">
            <v>0</v>
          </cell>
        </row>
      </sheetData>
      <sheetData sheetId="3092">
        <row r="2">
          <cell r="A2">
            <v>0</v>
          </cell>
        </row>
      </sheetData>
      <sheetData sheetId="3093">
        <row r="2">
          <cell r="A2">
            <v>0</v>
          </cell>
        </row>
      </sheetData>
      <sheetData sheetId="3094">
        <row r="2">
          <cell r="A2">
            <v>0</v>
          </cell>
        </row>
      </sheetData>
      <sheetData sheetId="3095">
        <row r="2">
          <cell r="A2">
            <v>0</v>
          </cell>
        </row>
      </sheetData>
      <sheetData sheetId="3096">
        <row r="2">
          <cell r="A2">
            <v>0</v>
          </cell>
        </row>
      </sheetData>
      <sheetData sheetId="3097">
        <row r="2">
          <cell r="A2">
            <v>0</v>
          </cell>
        </row>
      </sheetData>
      <sheetData sheetId="3098">
        <row r="2">
          <cell r="A2">
            <v>0</v>
          </cell>
        </row>
      </sheetData>
      <sheetData sheetId="3099">
        <row r="2">
          <cell r="A2">
            <v>0</v>
          </cell>
        </row>
      </sheetData>
      <sheetData sheetId="3100">
        <row r="2">
          <cell r="A2">
            <v>0</v>
          </cell>
        </row>
      </sheetData>
      <sheetData sheetId="3101">
        <row r="2">
          <cell r="A2">
            <v>0</v>
          </cell>
        </row>
      </sheetData>
      <sheetData sheetId="3102">
        <row r="2">
          <cell r="A2">
            <v>0</v>
          </cell>
        </row>
      </sheetData>
      <sheetData sheetId="3103">
        <row r="2">
          <cell r="A2">
            <v>0</v>
          </cell>
        </row>
      </sheetData>
      <sheetData sheetId="3104">
        <row r="2">
          <cell r="A2">
            <v>0</v>
          </cell>
        </row>
      </sheetData>
      <sheetData sheetId="3105">
        <row r="2">
          <cell r="A2">
            <v>0</v>
          </cell>
        </row>
      </sheetData>
      <sheetData sheetId="3106">
        <row r="2">
          <cell r="A2">
            <v>0</v>
          </cell>
        </row>
      </sheetData>
      <sheetData sheetId="3107">
        <row r="2">
          <cell r="A2">
            <v>0</v>
          </cell>
        </row>
      </sheetData>
      <sheetData sheetId="3108">
        <row r="2">
          <cell r="A2">
            <v>0</v>
          </cell>
        </row>
      </sheetData>
      <sheetData sheetId="3109">
        <row r="2">
          <cell r="A2">
            <v>0</v>
          </cell>
        </row>
      </sheetData>
      <sheetData sheetId="3110">
        <row r="2">
          <cell r="A2">
            <v>0</v>
          </cell>
        </row>
      </sheetData>
      <sheetData sheetId="3111">
        <row r="2">
          <cell r="A2">
            <v>0</v>
          </cell>
        </row>
      </sheetData>
      <sheetData sheetId="3112">
        <row r="2">
          <cell r="A2">
            <v>0</v>
          </cell>
        </row>
      </sheetData>
      <sheetData sheetId="3113">
        <row r="2">
          <cell r="A2">
            <v>0</v>
          </cell>
        </row>
      </sheetData>
      <sheetData sheetId="3114">
        <row r="2">
          <cell r="A2">
            <v>0</v>
          </cell>
        </row>
      </sheetData>
      <sheetData sheetId="3115">
        <row r="2">
          <cell r="A2">
            <v>0</v>
          </cell>
        </row>
      </sheetData>
      <sheetData sheetId="3116">
        <row r="2">
          <cell r="A2">
            <v>0</v>
          </cell>
        </row>
      </sheetData>
      <sheetData sheetId="3117">
        <row r="2">
          <cell r="A2">
            <v>0</v>
          </cell>
        </row>
      </sheetData>
      <sheetData sheetId="3118">
        <row r="2">
          <cell r="A2">
            <v>0</v>
          </cell>
        </row>
      </sheetData>
      <sheetData sheetId="3119">
        <row r="2">
          <cell r="A2">
            <v>0</v>
          </cell>
        </row>
      </sheetData>
      <sheetData sheetId="3120">
        <row r="2">
          <cell r="A2">
            <v>0</v>
          </cell>
        </row>
      </sheetData>
      <sheetData sheetId="3121">
        <row r="2">
          <cell r="A2">
            <v>0</v>
          </cell>
        </row>
      </sheetData>
      <sheetData sheetId="3122">
        <row r="2">
          <cell r="A2">
            <v>0</v>
          </cell>
        </row>
      </sheetData>
      <sheetData sheetId="3123">
        <row r="2">
          <cell r="A2">
            <v>0</v>
          </cell>
        </row>
      </sheetData>
      <sheetData sheetId="3124">
        <row r="2">
          <cell r="A2">
            <v>0</v>
          </cell>
        </row>
      </sheetData>
      <sheetData sheetId="3125">
        <row r="2">
          <cell r="A2">
            <v>0</v>
          </cell>
        </row>
      </sheetData>
      <sheetData sheetId="3126">
        <row r="2">
          <cell r="A2">
            <v>0</v>
          </cell>
        </row>
      </sheetData>
      <sheetData sheetId="3127">
        <row r="2">
          <cell r="A2">
            <v>0</v>
          </cell>
        </row>
      </sheetData>
      <sheetData sheetId="3128">
        <row r="2">
          <cell r="A2">
            <v>0</v>
          </cell>
        </row>
      </sheetData>
      <sheetData sheetId="3129">
        <row r="2">
          <cell r="A2">
            <v>0</v>
          </cell>
        </row>
      </sheetData>
      <sheetData sheetId="3130">
        <row r="2">
          <cell r="A2">
            <v>0</v>
          </cell>
        </row>
      </sheetData>
      <sheetData sheetId="3131">
        <row r="2">
          <cell r="A2">
            <v>0</v>
          </cell>
        </row>
      </sheetData>
      <sheetData sheetId="3132">
        <row r="2">
          <cell r="A2">
            <v>0</v>
          </cell>
        </row>
      </sheetData>
      <sheetData sheetId="3133">
        <row r="2">
          <cell r="A2">
            <v>0</v>
          </cell>
        </row>
      </sheetData>
      <sheetData sheetId="3134">
        <row r="2">
          <cell r="A2">
            <v>0</v>
          </cell>
        </row>
      </sheetData>
      <sheetData sheetId="3135">
        <row r="2">
          <cell r="A2">
            <v>0</v>
          </cell>
        </row>
      </sheetData>
      <sheetData sheetId="3136">
        <row r="2">
          <cell r="A2">
            <v>0</v>
          </cell>
        </row>
      </sheetData>
      <sheetData sheetId="3137">
        <row r="2">
          <cell r="A2">
            <v>0</v>
          </cell>
        </row>
      </sheetData>
      <sheetData sheetId="3138">
        <row r="2">
          <cell r="A2">
            <v>0</v>
          </cell>
        </row>
      </sheetData>
      <sheetData sheetId="3139">
        <row r="2">
          <cell r="A2">
            <v>0</v>
          </cell>
        </row>
      </sheetData>
      <sheetData sheetId="3140">
        <row r="2">
          <cell r="A2">
            <v>0</v>
          </cell>
        </row>
      </sheetData>
      <sheetData sheetId="3141">
        <row r="2">
          <cell r="A2">
            <v>0</v>
          </cell>
        </row>
      </sheetData>
      <sheetData sheetId="3142">
        <row r="2">
          <cell r="A2">
            <v>0</v>
          </cell>
        </row>
      </sheetData>
      <sheetData sheetId="3143">
        <row r="2">
          <cell r="A2">
            <v>0</v>
          </cell>
        </row>
      </sheetData>
      <sheetData sheetId="3144">
        <row r="2">
          <cell r="A2">
            <v>0</v>
          </cell>
        </row>
      </sheetData>
      <sheetData sheetId="3145">
        <row r="2">
          <cell r="A2">
            <v>0</v>
          </cell>
        </row>
      </sheetData>
      <sheetData sheetId="3146">
        <row r="2">
          <cell r="A2">
            <v>0</v>
          </cell>
        </row>
      </sheetData>
      <sheetData sheetId="3147">
        <row r="2">
          <cell r="A2">
            <v>0</v>
          </cell>
        </row>
      </sheetData>
      <sheetData sheetId="3148">
        <row r="2">
          <cell r="A2">
            <v>0</v>
          </cell>
        </row>
      </sheetData>
      <sheetData sheetId="3149">
        <row r="2">
          <cell r="A2">
            <v>0</v>
          </cell>
        </row>
      </sheetData>
      <sheetData sheetId="3150">
        <row r="2">
          <cell r="A2">
            <v>0</v>
          </cell>
        </row>
      </sheetData>
      <sheetData sheetId="3151">
        <row r="2">
          <cell r="A2">
            <v>0</v>
          </cell>
        </row>
      </sheetData>
      <sheetData sheetId="3152">
        <row r="2">
          <cell r="A2">
            <v>0</v>
          </cell>
        </row>
      </sheetData>
      <sheetData sheetId="3153">
        <row r="2">
          <cell r="A2">
            <v>0</v>
          </cell>
        </row>
      </sheetData>
      <sheetData sheetId="3154">
        <row r="2">
          <cell r="A2">
            <v>0</v>
          </cell>
        </row>
      </sheetData>
      <sheetData sheetId="3155">
        <row r="2">
          <cell r="A2">
            <v>0</v>
          </cell>
        </row>
      </sheetData>
      <sheetData sheetId="3156">
        <row r="2">
          <cell r="A2">
            <v>0</v>
          </cell>
        </row>
      </sheetData>
      <sheetData sheetId="3157">
        <row r="2">
          <cell r="A2">
            <v>0</v>
          </cell>
        </row>
      </sheetData>
      <sheetData sheetId="3158">
        <row r="2">
          <cell r="A2">
            <v>0</v>
          </cell>
        </row>
      </sheetData>
      <sheetData sheetId="3159">
        <row r="2">
          <cell r="A2">
            <v>0</v>
          </cell>
        </row>
      </sheetData>
      <sheetData sheetId="3160">
        <row r="2">
          <cell r="A2">
            <v>0</v>
          </cell>
        </row>
      </sheetData>
      <sheetData sheetId="3161">
        <row r="2">
          <cell r="A2">
            <v>0</v>
          </cell>
        </row>
      </sheetData>
      <sheetData sheetId="3162">
        <row r="2">
          <cell r="A2">
            <v>0</v>
          </cell>
        </row>
      </sheetData>
      <sheetData sheetId="3163">
        <row r="2">
          <cell r="A2">
            <v>0</v>
          </cell>
        </row>
      </sheetData>
      <sheetData sheetId="3164">
        <row r="2">
          <cell r="A2">
            <v>0</v>
          </cell>
        </row>
      </sheetData>
      <sheetData sheetId="3165">
        <row r="2">
          <cell r="A2">
            <v>0</v>
          </cell>
        </row>
      </sheetData>
      <sheetData sheetId="3166">
        <row r="2">
          <cell r="A2">
            <v>0</v>
          </cell>
        </row>
      </sheetData>
      <sheetData sheetId="3167">
        <row r="2">
          <cell r="A2">
            <v>0</v>
          </cell>
        </row>
      </sheetData>
      <sheetData sheetId="3168">
        <row r="2">
          <cell r="A2">
            <v>0</v>
          </cell>
        </row>
      </sheetData>
      <sheetData sheetId="3169">
        <row r="2">
          <cell r="A2">
            <v>0</v>
          </cell>
        </row>
      </sheetData>
      <sheetData sheetId="3170">
        <row r="2">
          <cell r="A2">
            <v>0</v>
          </cell>
        </row>
      </sheetData>
      <sheetData sheetId="3171">
        <row r="2">
          <cell r="A2">
            <v>0</v>
          </cell>
        </row>
      </sheetData>
      <sheetData sheetId="3172">
        <row r="2">
          <cell r="A2">
            <v>0</v>
          </cell>
        </row>
      </sheetData>
      <sheetData sheetId="3173">
        <row r="2">
          <cell r="A2">
            <v>0</v>
          </cell>
        </row>
      </sheetData>
      <sheetData sheetId="3174">
        <row r="2">
          <cell r="A2">
            <v>0</v>
          </cell>
        </row>
      </sheetData>
      <sheetData sheetId="3175">
        <row r="2">
          <cell r="A2">
            <v>0</v>
          </cell>
        </row>
      </sheetData>
      <sheetData sheetId="3176">
        <row r="2">
          <cell r="A2">
            <v>0</v>
          </cell>
        </row>
      </sheetData>
      <sheetData sheetId="3177">
        <row r="2">
          <cell r="A2">
            <v>0</v>
          </cell>
        </row>
      </sheetData>
      <sheetData sheetId="3178">
        <row r="2">
          <cell r="A2">
            <v>0</v>
          </cell>
        </row>
      </sheetData>
      <sheetData sheetId="3179">
        <row r="2">
          <cell r="A2">
            <v>0</v>
          </cell>
        </row>
      </sheetData>
      <sheetData sheetId="3180">
        <row r="2">
          <cell r="A2">
            <v>0</v>
          </cell>
        </row>
      </sheetData>
      <sheetData sheetId="3181">
        <row r="2">
          <cell r="A2">
            <v>0</v>
          </cell>
        </row>
      </sheetData>
      <sheetData sheetId="3182">
        <row r="2">
          <cell r="A2">
            <v>0</v>
          </cell>
        </row>
      </sheetData>
      <sheetData sheetId="3183">
        <row r="2">
          <cell r="A2">
            <v>0</v>
          </cell>
        </row>
      </sheetData>
      <sheetData sheetId="3184">
        <row r="2">
          <cell r="A2">
            <v>0</v>
          </cell>
        </row>
      </sheetData>
      <sheetData sheetId="3185">
        <row r="2">
          <cell r="A2">
            <v>0</v>
          </cell>
        </row>
      </sheetData>
      <sheetData sheetId="3186">
        <row r="2">
          <cell r="A2">
            <v>0</v>
          </cell>
        </row>
      </sheetData>
      <sheetData sheetId="3187">
        <row r="2">
          <cell r="A2">
            <v>0</v>
          </cell>
        </row>
      </sheetData>
      <sheetData sheetId="3188">
        <row r="2">
          <cell r="A2">
            <v>0</v>
          </cell>
        </row>
      </sheetData>
      <sheetData sheetId="3189">
        <row r="2">
          <cell r="A2">
            <v>0</v>
          </cell>
        </row>
      </sheetData>
      <sheetData sheetId="3190">
        <row r="2">
          <cell r="A2">
            <v>0</v>
          </cell>
        </row>
      </sheetData>
      <sheetData sheetId="3191">
        <row r="2">
          <cell r="A2">
            <v>0</v>
          </cell>
        </row>
      </sheetData>
      <sheetData sheetId="3192">
        <row r="2">
          <cell r="A2">
            <v>0</v>
          </cell>
        </row>
      </sheetData>
      <sheetData sheetId="3193">
        <row r="2">
          <cell r="A2">
            <v>0</v>
          </cell>
        </row>
      </sheetData>
      <sheetData sheetId="3194">
        <row r="2">
          <cell r="A2">
            <v>0</v>
          </cell>
        </row>
      </sheetData>
      <sheetData sheetId="3195">
        <row r="2">
          <cell r="A2">
            <v>0</v>
          </cell>
        </row>
      </sheetData>
      <sheetData sheetId="3196">
        <row r="2">
          <cell r="A2">
            <v>0</v>
          </cell>
        </row>
      </sheetData>
      <sheetData sheetId="3197">
        <row r="2">
          <cell r="A2">
            <v>0</v>
          </cell>
        </row>
      </sheetData>
      <sheetData sheetId="3198">
        <row r="2">
          <cell r="A2">
            <v>0</v>
          </cell>
        </row>
      </sheetData>
      <sheetData sheetId="3199">
        <row r="2">
          <cell r="A2">
            <v>0</v>
          </cell>
        </row>
      </sheetData>
      <sheetData sheetId="3200">
        <row r="2">
          <cell r="A2">
            <v>0</v>
          </cell>
        </row>
      </sheetData>
      <sheetData sheetId="3201">
        <row r="2">
          <cell r="A2">
            <v>0</v>
          </cell>
        </row>
      </sheetData>
      <sheetData sheetId="3202">
        <row r="2">
          <cell r="A2">
            <v>0</v>
          </cell>
        </row>
      </sheetData>
      <sheetData sheetId="3203">
        <row r="2">
          <cell r="A2">
            <v>0</v>
          </cell>
        </row>
      </sheetData>
      <sheetData sheetId="3204">
        <row r="2">
          <cell r="A2">
            <v>0</v>
          </cell>
        </row>
      </sheetData>
      <sheetData sheetId="3205">
        <row r="2">
          <cell r="A2">
            <v>0</v>
          </cell>
        </row>
      </sheetData>
      <sheetData sheetId="3206">
        <row r="2">
          <cell r="A2">
            <v>0</v>
          </cell>
        </row>
      </sheetData>
      <sheetData sheetId="3207">
        <row r="2">
          <cell r="A2">
            <v>0</v>
          </cell>
        </row>
      </sheetData>
      <sheetData sheetId="3208">
        <row r="2">
          <cell r="A2">
            <v>0</v>
          </cell>
        </row>
      </sheetData>
      <sheetData sheetId="3209">
        <row r="2">
          <cell r="A2">
            <v>0</v>
          </cell>
        </row>
      </sheetData>
      <sheetData sheetId="3210">
        <row r="2">
          <cell r="A2">
            <v>0</v>
          </cell>
        </row>
      </sheetData>
      <sheetData sheetId="3211">
        <row r="2">
          <cell r="A2">
            <v>0</v>
          </cell>
        </row>
      </sheetData>
      <sheetData sheetId="3212"/>
      <sheetData sheetId="3213"/>
      <sheetData sheetId="3214"/>
      <sheetData sheetId="3215">
        <row r="2">
          <cell r="A2">
            <v>0</v>
          </cell>
        </row>
      </sheetData>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row r="2">
          <cell r="A2">
            <v>0</v>
          </cell>
        </row>
      </sheetData>
      <sheetData sheetId="3243"/>
      <sheetData sheetId="3244"/>
      <sheetData sheetId="3245"/>
      <sheetData sheetId="3246"/>
      <sheetData sheetId="3247"/>
      <sheetData sheetId="3248"/>
      <sheetData sheetId="3249"/>
      <sheetData sheetId="3250"/>
      <sheetData sheetId="3251">
        <row r="2">
          <cell r="A2">
            <v>0</v>
          </cell>
        </row>
      </sheetData>
      <sheetData sheetId="3252">
        <row r="2">
          <cell r="A2">
            <v>0</v>
          </cell>
        </row>
      </sheetData>
      <sheetData sheetId="3253"/>
      <sheetData sheetId="3254"/>
      <sheetData sheetId="3255"/>
      <sheetData sheetId="3256"/>
      <sheetData sheetId="3257"/>
      <sheetData sheetId="3258"/>
      <sheetData sheetId="3259"/>
      <sheetData sheetId="3260"/>
      <sheetData sheetId="3261">
        <row r="2">
          <cell r="A2">
            <v>0</v>
          </cell>
        </row>
      </sheetData>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row r="2">
          <cell r="A2">
            <v>0</v>
          </cell>
        </row>
      </sheetData>
      <sheetData sheetId="3278">
        <row r="2">
          <cell r="A2">
            <v>0</v>
          </cell>
        </row>
      </sheetData>
      <sheetData sheetId="3279">
        <row r="2">
          <cell r="A2">
            <v>0</v>
          </cell>
        </row>
      </sheetData>
      <sheetData sheetId="3280">
        <row r="2">
          <cell r="A2">
            <v>0</v>
          </cell>
        </row>
      </sheetData>
      <sheetData sheetId="3281">
        <row r="2">
          <cell r="A2">
            <v>0</v>
          </cell>
        </row>
      </sheetData>
      <sheetData sheetId="3282">
        <row r="2">
          <cell r="A2">
            <v>0</v>
          </cell>
        </row>
      </sheetData>
      <sheetData sheetId="3283">
        <row r="2">
          <cell r="A2">
            <v>0</v>
          </cell>
        </row>
      </sheetData>
      <sheetData sheetId="3284"/>
      <sheetData sheetId="3285"/>
      <sheetData sheetId="3286">
        <row r="2">
          <cell r="A2">
            <v>0</v>
          </cell>
        </row>
      </sheetData>
      <sheetData sheetId="3287">
        <row r="2">
          <cell r="A2">
            <v>0</v>
          </cell>
        </row>
      </sheetData>
      <sheetData sheetId="3288">
        <row r="2">
          <cell r="A2">
            <v>0</v>
          </cell>
        </row>
      </sheetData>
      <sheetData sheetId="3289">
        <row r="2">
          <cell r="A2">
            <v>0</v>
          </cell>
        </row>
      </sheetData>
      <sheetData sheetId="3290">
        <row r="2">
          <cell r="A2">
            <v>0</v>
          </cell>
        </row>
      </sheetData>
      <sheetData sheetId="3291">
        <row r="2">
          <cell r="A2">
            <v>0</v>
          </cell>
        </row>
      </sheetData>
      <sheetData sheetId="3292">
        <row r="2">
          <cell r="A2">
            <v>0</v>
          </cell>
        </row>
      </sheetData>
      <sheetData sheetId="3293">
        <row r="2">
          <cell r="A2">
            <v>0</v>
          </cell>
        </row>
      </sheetData>
      <sheetData sheetId="3294"/>
      <sheetData sheetId="3295">
        <row r="2">
          <cell r="A2">
            <v>0</v>
          </cell>
        </row>
      </sheetData>
      <sheetData sheetId="3296">
        <row r="2">
          <cell r="A2">
            <v>0</v>
          </cell>
        </row>
      </sheetData>
      <sheetData sheetId="3297">
        <row r="2">
          <cell r="A2">
            <v>0</v>
          </cell>
        </row>
      </sheetData>
      <sheetData sheetId="3298">
        <row r="2">
          <cell r="A2">
            <v>0</v>
          </cell>
        </row>
      </sheetData>
      <sheetData sheetId="3299">
        <row r="2">
          <cell r="A2">
            <v>0</v>
          </cell>
        </row>
      </sheetData>
      <sheetData sheetId="3300">
        <row r="2">
          <cell r="A2">
            <v>0</v>
          </cell>
        </row>
      </sheetData>
      <sheetData sheetId="3301">
        <row r="2">
          <cell r="A2">
            <v>0</v>
          </cell>
        </row>
      </sheetData>
      <sheetData sheetId="3302">
        <row r="2">
          <cell r="A2">
            <v>0</v>
          </cell>
        </row>
      </sheetData>
      <sheetData sheetId="3303">
        <row r="2">
          <cell r="A2">
            <v>0</v>
          </cell>
        </row>
      </sheetData>
      <sheetData sheetId="3304">
        <row r="2">
          <cell r="A2">
            <v>0</v>
          </cell>
        </row>
      </sheetData>
      <sheetData sheetId="3305">
        <row r="2">
          <cell r="A2">
            <v>0</v>
          </cell>
        </row>
      </sheetData>
      <sheetData sheetId="3306">
        <row r="2">
          <cell r="A2">
            <v>0</v>
          </cell>
        </row>
      </sheetData>
      <sheetData sheetId="3307">
        <row r="2">
          <cell r="A2">
            <v>0</v>
          </cell>
        </row>
      </sheetData>
      <sheetData sheetId="3308">
        <row r="2">
          <cell r="A2">
            <v>0</v>
          </cell>
        </row>
      </sheetData>
      <sheetData sheetId="3309">
        <row r="2">
          <cell r="A2">
            <v>0</v>
          </cell>
        </row>
      </sheetData>
      <sheetData sheetId="3310">
        <row r="2">
          <cell r="A2">
            <v>0</v>
          </cell>
        </row>
      </sheetData>
      <sheetData sheetId="3311">
        <row r="2">
          <cell r="A2">
            <v>0</v>
          </cell>
        </row>
      </sheetData>
      <sheetData sheetId="3312">
        <row r="2">
          <cell r="A2">
            <v>0</v>
          </cell>
        </row>
      </sheetData>
      <sheetData sheetId="3313">
        <row r="2">
          <cell r="A2">
            <v>0</v>
          </cell>
        </row>
      </sheetData>
      <sheetData sheetId="3314">
        <row r="2">
          <cell r="A2">
            <v>0</v>
          </cell>
        </row>
      </sheetData>
      <sheetData sheetId="3315">
        <row r="2">
          <cell r="A2">
            <v>0</v>
          </cell>
        </row>
      </sheetData>
      <sheetData sheetId="3316">
        <row r="2">
          <cell r="A2">
            <v>0</v>
          </cell>
        </row>
      </sheetData>
      <sheetData sheetId="3317">
        <row r="2">
          <cell r="A2">
            <v>0</v>
          </cell>
        </row>
      </sheetData>
      <sheetData sheetId="3318">
        <row r="2">
          <cell r="A2">
            <v>0</v>
          </cell>
        </row>
      </sheetData>
      <sheetData sheetId="3319">
        <row r="2">
          <cell r="A2">
            <v>0</v>
          </cell>
        </row>
      </sheetData>
      <sheetData sheetId="3320">
        <row r="2">
          <cell r="A2">
            <v>0</v>
          </cell>
        </row>
      </sheetData>
      <sheetData sheetId="3321">
        <row r="2">
          <cell r="A2">
            <v>0</v>
          </cell>
        </row>
      </sheetData>
      <sheetData sheetId="3322">
        <row r="2">
          <cell r="A2">
            <v>0</v>
          </cell>
        </row>
      </sheetData>
      <sheetData sheetId="3323">
        <row r="2">
          <cell r="A2">
            <v>0</v>
          </cell>
        </row>
      </sheetData>
      <sheetData sheetId="3324">
        <row r="2">
          <cell r="A2">
            <v>0</v>
          </cell>
        </row>
      </sheetData>
      <sheetData sheetId="3325">
        <row r="2">
          <cell r="A2">
            <v>0</v>
          </cell>
        </row>
      </sheetData>
      <sheetData sheetId="3326">
        <row r="2">
          <cell r="A2">
            <v>0</v>
          </cell>
        </row>
      </sheetData>
      <sheetData sheetId="3327">
        <row r="2">
          <cell r="A2">
            <v>0</v>
          </cell>
        </row>
      </sheetData>
      <sheetData sheetId="3328">
        <row r="2">
          <cell r="A2">
            <v>0</v>
          </cell>
        </row>
      </sheetData>
      <sheetData sheetId="3329">
        <row r="2">
          <cell r="A2">
            <v>0</v>
          </cell>
        </row>
      </sheetData>
      <sheetData sheetId="3330">
        <row r="2">
          <cell r="A2">
            <v>0</v>
          </cell>
        </row>
      </sheetData>
      <sheetData sheetId="3331">
        <row r="2">
          <cell r="A2">
            <v>0</v>
          </cell>
        </row>
      </sheetData>
      <sheetData sheetId="3332">
        <row r="2">
          <cell r="A2">
            <v>0</v>
          </cell>
        </row>
      </sheetData>
      <sheetData sheetId="3333">
        <row r="2">
          <cell r="A2">
            <v>0</v>
          </cell>
        </row>
      </sheetData>
      <sheetData sheetId="3334">
        <row r="2">
          <cell r="A2">
            <v>0</v>
          </cell>
        </row>
      </sheetData>
      <sheetData sheetId="3335">
        <row r="2">
          <cell r="A2">
            <v>0</v>
          </cell>
        </row>
      </sheetData>
      <sheetData sheetId="3336">
        <row r="2">
          <cell r="A2">
            <v>0</v>
          </cell>
        </row>
      </sheetData>
      <sheetData sheetId="3337">
        <row r="2">
          <cell r="A2">
            <v>0</v>
          </cell>
        </row>
      </sheetData>
      <sheetData sheetId="3338">
        <row r="2">
          <cell r="A2">
            <v>0</v>
          </cell>
        </row>
      </sheetData>
      <sheetData sheetId="3339">
        <row r="2">
          <cell r="A2">
            <v>0</v>
          </cell>
        </row>
      </sheetData>
      <sheetData sheetId="3340">
        <row r="2">
          <cell r="A2">
            <v>0</v>
          </cell>
        </row>
      </sheetData>
      <sheetData sheetId="3341">
        <row r="2">
          <cell r="A2">
            <v>0</v>
          </cell>
        </row>
      </sheetData>
      <sheetData sheetId="3342">
        <row r="2">
          <cell r="A2">
            <v>0</v>
          </cell>
        </row>
      </sheetData>
      <sheetData sheetId="3343">
        <row r="2">
          <cell r="A2">
            <v>0</v>
          </cell>
        </row>
      </sheetData>
      <sheetData sheetId="3344">
        <row r="2">
          <cell r="A2">
            <v>0</v>
          </cell>
        </row>
      </sheetData>
      <sheetData sheetId="3345">
        <row r="2">
          <cell r="A2">
            <v>0</v>
          </cell>
        </row>
      </sheetData>
      <sheetData sheetId="3346">
        <row r="2">
          <cell r="A2">
            <v>0</v>
          </cell>
        </row>
      </sheetData>
      <sheetData sheetId="3347">
        <row r="2">
          <cell r="A2">
            <v>0</v>
          </cell>
        </row>
      </sheetData>
      <sheetData sheetId="3348">
        <row r="2">
          <cell r="A2">
            <v>0</v>
          </cell>
        </row>
      </sheetData>
      <sheetData sheetId="3349">
        <row r="2">
          <cell r="A2">
            <v>0</v>
          </cell>
        </row>
      </sheetData>
      <sheetData sheetId="3350">
        <row r="2">
          <cell r="A2">
            <v>0</v>
          </cell>
        </row>
      </sheetData>
      <sheetData sheetId="3351">
        <row r="2">
          <cell r="A2">
            <v>0</v>
          </cell>
        </row>
      </sheetData>
      <sheetData sheetId="3352">
        <row r="2">
          <cell r="A2">
            <v>0</v>
          </cell>
        </row>
      </sheetData>
      <sheetData sheetId="3353">
        <row r="2">
          <cell r="A2">
            <v>0</v>
          </cell>
        </row>
      </sheetData>
      <sheetData sheetId="3354">
        <row r="2">
          <cell r="A2">
            <v>0</v>
          </cell>
        </row>
      </sheetData>
      <sheetData sheetId="3355">
        <row r="2">
          <cell r="A2">
            <v>0</v>
          </cell>
        </row>
      </sheetData>
      <sheetData sheetId="3356">
        <row r="2">
          <cell r="A2">
            <v>0</v>
          </cell>
        </row>
      </sheetData>
      <sheetData sheetId="3357">
        <row r="2">
          <cell r="A2">
            <v>0</v>
          </cell>
        </row>
      </sheetData>
      <sheetData sheetId="3358">
        <row r="2">
          <cell r="A2">
            <v>0</v>
          </cell>
        </row>
      </sheetData>
      <sheetData sheetId="3359">
        <row r="2">
          <cell r="A2">
            <v>0</v>
          </cell>
        </row>
      </sheetData>
      <sheetData sheetId="3360">
        <row r="2">
          <cell r="A2">
            <v>0</v>
          </cell>
        </row>
      </sheetData>
      <sheetData sheetId="3361">
        <row r="2">
          <cell r="A2">
            <v>0</v>
          </cell>
        </row>
      </sheetData>
      <sheetData sheetId="3362">
        <row r="2">
          <cell r="A2">
            <v>0</v>
          </cell>
        </row>
      </sheetData>
      <sheetData sheetId="3363">
        <row r="2">
          <cell r="A2">
            <v>0</v>
          </cell>
        </row>
      </sheetData>
      <sheetData sheetId="3364">
        <row r="2">
          <cell r="A2">
            <v>0</v>
          </cell>
        </row>
      </sheetData>
      <sheetData sheetId="3365">
        <row r="2">
          <cell r="A2">
            <v>0</v>
          </cell>
        </row>
      </sheetData>
      <sheetData sheetId="3366">
        <row r="2">
          <cell r="A2">
            <v>0</v>
          </cell>
        </row>
      </sheetData>
      <sheetData sheetId="3367">
        <row r="2">
          <cell r="A2">
            <v>0</v>
          </cell>
        </row>
      </sheetData>
      <sheetData sheetId="3368">
        <row r="2">
          <cell r="A2">
            <v>0</v>
          </cell>
        </row>
      </sheetData>
      <sheetData sheetId="3369">
        <row r="2">
          <cell r="A2">
            <v>0</v>
          </cell>
        </row>
      </sheetData>
      <sheetData sheetId="3370">
        <row r="2">
          <cell r="A2">
            <v>0</v>
          </cell>
        </row>
      </sheetData>
      <sheetData sheetId="3371">
        <row r="2">
          <cell r="A2">
            <v>0</v>
          </cell>
        </row>
      </sheetData>
      <sheetData sheetId="3372">
        <row r="2">
          <cell r="A2">
            <v>0</v>
          </cell>
        </row>
      </sheetData>
      <sheetData sheetId="3373">
        <row r="2">
          <cell r="A2">
            <v>0</v>
          </cell>
        </row>
      </sheetData>
      <sheetData sheetId="3374">
        <row r="2">
          <cell r="A2">
            <v>0</v>
          </cell>
        </row>
      </sheetData>
      <sheetData sheetId="3375">
        <row r="2">
          <cell r="A2">
            <v>0</v>
          </cell>
        </row>
      </sheetData>
      <sheetData sheetId="3376">
        <row r="2">
          <cell r="A2">
            <v>0</v>
          </cell>
        </row>
      </sheetData>
      <sheetData sheetId="3377">
        <row r="2">
          <cell r="A2">
            <v>0</v>
          </cell>
        </row>
      </sheetData>
      <sheetData sheetId="3378">
        <row r="2">
          <cell r="A2">
            <v>0</v>
          </cell>
        </row>
      </sheetData>
      <sheetData sheetId="3379">
        <row r="2">
          <cell r="A2">
            <v>0</v>
          </cell>
        </row>
      </sheetData>
      <sheetData sheetId="3380">
        <row r="2">
          <cell r="A2">
            <v>0</v>
          </cell>
        </row>
      </sheetData>
      <sheetData sheetId="3381">
        <row r="2">
          <cell r="A2">
            <v>0</v>
          </cell>
        </row>
      </sheetData>
      <sheetData sheetId="3382">
        <row r="2">
          <cell r="A2">
            <v>0</v>
          </cell>
        </row>
      </sheetData>
      <sheetData sheetId="3383">
        <row r="2">
          <cell r="A2">
            <v>0</v>
          </cell>
        </row>
      </sheetData>
      <sheetData sheetId="3384">
        <row r="2">
          <cell r="A2">
            <v>0</v>
          </cell>
        </row>
      </sheetData>
      <sheetData sheetId="3385">
        <row r="2">
          <cell r="A2">
            <v>0</v>
          </cell>
        </row>
      </sheetData>
      <sheetData sheetId="3386">
        <row r="2">
          <cell r="A2">
            <v>0</v>
          </cell>
        </row>
      </sheetData>
      <sheetData sheetId="3387">
        <row r="2">
          <cell r="A2">
            <v>0</v>
          </cell>
        </row>
      </sheetData>
      <sheetData sheetId="3388">
        <row r="2">
          <cell r="A2">
            <v>0</v>
          </cell>
        </row>
      </sheetData>
      <sheetData sheetId="3389">
        <row r="2">
          <cell r="A2">
            <v>0</v>
          </cell>
        </row>
      </sheetData>
      <sheetData sheetId="3390">
        <row r="2">
          <cell r="A2">
            <v>0</v>
          </cell>
        </row>
      </sheetData>
      <sheetData sheetId="3391">
        <row r="2">
          <cell r="A2">
            <v>0</v>
          </cell>
        </row>
      </sheetData>
      <sheetData sheetId="3392">
        <row r="2">
          <cell r="A2">
            <v>0</v>
          </cell>
        </row>
      </sheetData>
      <sheetData sheetId="3393">
        <row r="2">
          <cell r="A2">
            <v>0</v>
          </cell>
        </row>
      </sheetData>
      <sheetData sheetId="3394">
        <row r="2">
          <cell r="A2">
            <v>0</v>
          </cell>
        </row>
      </sheetData>
      <sheetData sheetId="3395">
        <row r="2">
          <cell r="A2">
            <v>0</v>
          </cell>
        </row>
      </sheetData>
      <sheetData sheetId="3396">
        <row r="2">
          <cell r="A2">
            <v>0</v>
          </cell>
        </row>
      </sheetData>
      <sheetData sheetId="3397">
        <row r="2">
          <cell r="A2">
            <v>0</v>
          </cell>
        </row>
      </sheetData>
      <sheetData sheetId="3398">
        <row r="2">
          <cell r="A2">
            <v>0</v>
          </cell>
        </row>
      </sheetData>
      <sheetData sheetId="3399">
        <row r="2">
          <cell r="A2">
            <v>0</v>
          </cell>
        </row>
      </sheetData>
      <sheetData sheetId="3400">
        <row r="2">
          <cell r="A2">
            <v>0</v>
          </cell>
        </row>
      </sheetData>
      <sheetData sheetId="3401">
        <row r="2">
          <cell r="A2">
            <v>0</v>
          </cell>
        </row>
      </sheetData>
      <sheetData sheetId="3402">
        <row r="2">
          <cell r="A2">
            <v>0</v>
          </cell>
        </row>
      </sheetData>
      <sheetData sheetId="3403">
        <row r="2">
          <cell r="A2">
            <v>0</v>
          </cell>
        </row>
      </sheetData>
      <sheetData sheetId="3404">
        <row r="2">
          <cell r="A2">
            <v>0</v>
          </cell>
        </row>
      </sheetData>
      <sheetData sheetId="3405">
        <row r="2">
          <cell r="A2">
            <v>0</v>
          </cell>
        </row>
      </sheetData>
      <sheetData sheetId="3406">
        <row r="2">
          <cell r="A2">
            <v>0</v>
          </cell>
        </row>
      </sheetData>
      <sheetData sheetId="3407">
        <row r="2">
          <cell r="A2">
            <v>0</v>
          </cell>
        </row>
      </sheetData>
      <sheetData sheetId="3408">
        <row r="2">
          <cell r="A2">
            <v>0</v>
          </cell>
        </row>
      </sheetData>
      <sheetData sheetId="3409">
        <row r="2">
          <cell r="A2">
            <v>0</v>
          </cell>
        </row>
      </sheetData>
      <sheetData sheetId="3410">
        <row r="2">
          <cell r="A2">
            <v>0</v>
          </cell>
        </row>
      </sheetData>
      <sheetData sheetId="3411">
        <row r="2">
          <cell r="A2">
            <v>0</v>
          </cell>
        </row>
      </sheetData>
      <sheetData sheetId="3412">
        <row r="2">
          <cell r="A2">
            <v>0</v>
          </cell>
        </row>
      </sheetData>
      <sheetData sheetId="3413">
        <row r="2">
          <cell r="A2">
            <v>0</v>
          </cell>
        </row>
      </sheetData>
      <sheetData sheetId="3414">
        <row r="2">
          <cell r="A2">
            <v>0</v>
          </cell>
        </row>
      </sheetData>
      <sheetData sheetId="3415">
        <row r="2">
          <cell r="A2">
            <v>0</v>
          </cell>
        </row>
      </sheetData>
      <sheetData sheetId="3416">
        <row r="2">
          <cell r="A2">
            <v>0</v>
          </cell>
        </row>
      </sheetData>
      <sheetData sheetId="3417">
        <row r="2">
          <cell r="A2">
            <v>0</v>
          </cell>
        </row>
      </sheetData>
      <sheetData sheetId="3418">
        <row r="2">
          <cell r="A2">
            <v>0</v>
          </cell>
        </row>
      </sheetData>
      <sheetData sheetId="3419">
        <row r="2">
          <cell r="A2">
            <v>0</v>
          </cell>
        </row>
      </sheetData>
      <sheetData sheetId="3420">
        <row r="2">
          <cell r="A2">
            <v>0</v>
          </cell>
        </row>
      </sheetData>
      <sheetData sheetId="3421">
        <row r="2">
          <cell r="A2">
            <v>0</v>
          </cell>
        </row>
      </sheetData>
      <sheetData sheetId="3422">
        <row r="2">
          <cell r="A2">
            <v>0</v>
          </cell>
        </row>
      </sheetData>
      <sheetData sheetId="3423">
        <row r="2">
          <cell r="A2">
            <v>0</v>
          </cell>
        </row>
      </sheetData>
      <sheetData sheetId="3424">
        <row r="2">
          <cell r="A2">
            <v>0</v>
          </cell>
        </row>
      </sheetData>
      <sheetData sheetId="3425">
        <row r="2">
          <cell r="A2">
            <v>0</v>
          </cell>
        </row>
      </sheetData>
      <sheetData sheetId="3426">
        <row r="2">
          <cell r="A2">
            <v>0</v>
          </cell>
        </row>
      </sheetData>
      <sheetData sheetId="3427">
        <row r="2">
          <cell r="A2">
            <v>0</v>
          </cell>
        </row>
      </sheetData>
      <sheetData sheetId="3428">
        <row r="2">
          <cell r="A2">
            <v>0</v>
          </cell>
        </row>
      </sheetData>
      <sheetData sheetId="3429">
        <row r="2">
          <cell r="A2">
            <v>0</v>
          </cell>
        </row>
      </sheetData>
      <sheetData sheetId="3430">
        <row r="2">
          <cell r="A2">
            <v>0</v>
          </cell>
        </row>
      </sheetData>
      <sheetData sheetId="3431">
        <row r="2">
          <cell r="A2">
            <v>0</v>
          </cell>
        </row>
      </sheetData>
      <sheetData sheetId="3432">
        <row r="2">
          <cell r="A2">
            <v>0</v>
          </cell>
        </row>
      </sheetData>
      <sheetData sheetId="3433">
        <row r="2">
          <cell r="A2">
            <v>0</v>
          </cell>
        </row>
      </sheetData>
      <sheetData sheetId="3434">
        <row r="2">
          <cell r="A2">
            <v>0</v>
          </cell>
        </row>
      </sheetData>
      <sheetData sheetId="3435">
        <row r="2">
          <cell r="A2">
            <v>0</v>
          </cell>
        </row>
      </sheetData>
      <sheetData sheetId="3436">
        <row r="2">
          <cell r="A2">
            <v>0</v>
          </cell>
        </row>
      </sheetData>
      <sheetData sheetId="3437">
        <row r="2">
          <cell r="A2">
            <v>0</v>
          </cell>
        </row>
      </sheetData>
      <sheetData sheetId="3438">
        <row r="2">
          <cell r="A2">
            <v>0</v>
          </cell>
        </row>
      </sheetData>
      <sheetData sheetId="3439">
        <row r="2">
          <cell r="A2">
            <v>0</v>
          </cell>
        </row>
      </sheetData>
      <sheetData sheetId="3440">
        <row r="2">
          <cell r="A2">
            <v>0</v>
          </cell>
        </row>
      </sheetData>
      <sheetData sheetId="3441">
        <row r="2">
          <cell r="A2">
            <v>0</v>
          </cell>
        </row>
      </sheetData>
      <sheetData sheetId="3442">
        <row r="2">
          <cell r="A2">
            <v>0</v>
          </cell>
        </row>
      </sheetData>
      <sheetData sheetId="3443">
        <row r="2">
          <cell r="A2">
            <v>0</v>
          </cell>
        </row>
      </sheetData>
      <sheetData sheetId="3444">
        <row r="2">
          <cell r="A2">
            <v>0</v>
          </cell>
        </row>
      </sheetData>
      <sheetData sheetId="3445">
        <row r="2">
          <cell r="A2">
            <v>0</v>
          </cell>
        </row>
      </sheetData>
      <sheetData sheetId="3446">
        <row r="2">
          <cell r="A2">
            <v>0</v>
          </cell>
        </row>
      </sheetData>
      <sheetData sheetId="3447">
        <row r="2">
          <cell r="A2">
            <v>0</v>
          </cell>
        </row>
      </sheetData>
      <sheetData sheetId="3448">
        <row r="2">
          <cell r="A2">
            <v>0</v>
          </cell>
        </row>
      </sheetData>
      <sheetData sheetId="3449">
        <row r="2">
          <cell r="A2">
            <v>0</v>
          </cell>
        </row>
      </sheetData>
      <sheetData sheetId="3450">
        <row r="2">
          <cell r="A2">
            <v>0</v>
          </cell>
        </row>
      </sheetData>
      <sheetData sheetId="3451">
        <row r="2">
          <cell r="A2">
            <v>0</v>
          </cell>
        </row>
      </sheetData>
      <sheetData sheetId="3452">
        <row r="2">
          <cell r="A2">
            <v>0</v>
          </cell>
        </row>
      </sheetData>
      <sheetData sheetId="3453">
        <row r="2">
          <cell r="A2">
            <v>0</v>
          </cell>
        </row>
      </sheetData>
      <sheetData sheetId="3454">
        <row r="2">
          <cell r="A2">
            <v>0</v>
          </cell>
        </row>
      </sheetData>
      <sheetData sheetId="3455">
        <row r="2">
          <cell r="A2">
            <v>0</v>
          </cell>
        </row>
      </sheetData>
      <sheetData sheetId="3456">
        <row r="2">
          <cell r="A2">
            <v>0</v>
          </cell>
        </row>
      </sheetData>
      <sheetData sheetId="3457">
        <row r="2">
          <cell r="A2">
            <v>0</v>
          </cell>
        </row>
      </sheetData>
      <sheetData sheetId="3458">
        <row r="2">
          <cell r="A2">
            <v>0</v>
          </cell>
        </row>
      </sheetData>
      <sheetData sheetId="3459">
        <row r="2">
          <cell r="A2">
            <v>0</v>
          </cell>
        </row>
      </sheetData>
      <sheetData sheetId="3460">
        <row r="2">
          <cell r="A2">
            <v>0</v>
          </cell>
        </row>
      </sheetData>
      <sheetData sheetId="3461">
        <row r="2">
          <cell r="A2">
            <v>0</v>
          </cell>
        </row>
      </sheetData>
      <sheetData sheetId="3462">
        <row r="2">
          <cell r="A2">
            <v>0</v>
          </cell>
        </row>
      </sheetData>
      <sheetData sheetId="3463">
        <row r="2">
          <cell r="A2">
            <v>0</v>
          </cell>
        </row>
      </sheetData>
      <sheetData sheetId="3464">
        <row r="2">
          <cell r="A2">
            <v>0</v>
          </cell>
        </row>
      </sheetData>
      <sheetData sheetId="3465">
        <row r="2">
          <cell r="A2">
            <v>0</v>
          </cell>
        </row>
      </sheetData>
      <sheetData sheetId="3466">
        <row r="2">
          <cell r="A2">
            <v>0</v>
          </cell>
        </row>
      </sheetData>
      <sheetData sheetId="3467">
        <row r="2">
          <cell r="A2">
            <v>0</v>
          </cell>
        </row>
      </sheetData>
      <sheetData sheetId="3468">
        <row r="2">
          <cell r="A2">
            <v>0</v>
          </cell>
        </row>
      </sheetData>
      <sheetData sheetId="3469">
        <row r="2">
          <cell r="A2">
            <v>0</v>
          </cell>
        </row>
      </sheetData>
      <sheetData sheetId="3470">
        <row r="2">
          <cell r="A2">
            <v>0</v>
          </cell>
        </row>
      </sheetData>
      <sheetData sheetId="3471">
        <row r="2">
          <cell r="A2">
            <v>0</v>
          </cell>
        </row>
      </sheetData>
      <sheetData sheetId="3472">
        <row r="2">
          <cell r="A2">
            <v>0</v>
          </cell>
        </row>
      </sheetData>
      <sheetData sheetId="3473">
        <row r="2">
          <cell r="A2">
            <v>0</v>
          </cell>
        </row>
      </sheetData>
      <sheetData sheetId="3474">
        <row r="2">
          <cell r="A2">
            <v>0</v>
          </cell>
        </row>
      </sheetData>
      <sheetData sheetId="3475">
        <row r="2">
          <cell r="A2">
            <v>0</v>
          </cell>
        </row>
      </sheetData>
      <sheetData sheetId="3476">
        <row r="2">
          <cell r="A2">
            <v>0</v>
          </cell>
        </row>
      </sheetData>
      <sheetData sheetId="3477">
        <row r="2">
          <cell r="A2">
            <v>0</v>
          </cell>
        </row>
      </sheetData>
      <sheetData sheetId="3478">
        <row r="2">
          <cell r="A2">
            <v>0</v>
          </cell>
        </row>
      </sheetData>
      <sheetData sheetId="3479">
        <row r="2">
          <cell r="A2">
            <v>0</v>
          </cell>
        </row>
      </sheetData>
      <sheetData sheetId="3480">
        <row r="2">
          <cell r="A2">
            <v>0</v>
          </cell>
        </row>
      </sheetData>
      <sheetData sheetId="3481">
        <row r="2">
          <cell r="A2">
            <v>0</v>
          </cell>
        </row>
      </sheetData>
      <sheetData sheetId="3482">
        <row r="2">
          <cell r="A2">
            <v>0</v>
          </cell>
        </row>
      </sheetData>
      <sheetData sheetId="3483">
        <row r="2">
          <cell r="A2">
            <v>0</v>
          </cell>
        </row>
      </sheetData>
      <sheetData sheetId="3484">
        <row r="2">
          <cell r="A2">
            <v>0</v>
          </cell>
        </row>
      </sheetData>
      <sheetData sheetId="3485">
        <row r="2">
          <cell r="A2">
            <v>0</v>
          </cell>
        </row>
      </sheetData>
      <sheetData sheetId="3486">
        <row r="2">
          <cell r="A2">
            <v>0</v>
          </cell>
        </row>
      </sheetData>
      <sheetData sheetId="3487">
        <row r="2">
          <cell r="A2">
            <v>0</v>
          </cell>
        </row>
      </sheetData>
      <sheetData sheetId="3488">
        <row r="2">
          <cell r="A2">
            <v>0</v>
          </cell>
        </row>
      </sheetData>
      <sheetData sheetId="3489">
        <row r="2">
          <cell r="A2">
            <v>0</v>
          </cell>
        </row>
      </sheetData>
      <sheetData sheetId="3490">
        <row r="2">
          <cell r="A2">
            <v>0</v>
          </cell>
        </row>
      </sheetData>
      <sheetData sheetId="3491">
        <row r="2">
          <cell r="A2">
            <v>0</v>
          </cell>
        </row>
      </sheetData>
      <sheetData sheetId="3492">
        <row r="2">
          <cell r="A2">
            <v>0</v>
          </cell>
        </row>
      </sheetData>
      <sheetData sheetId="3493">
        <row r="2">
          <cell r="A2">
            <v>0</v>
          </cell>
        </row>
      </sheetData>
      <sheetData sheetId="3494">
        <row r="2">
          <cell r="A2">
            <v>0</v>
          </cell>
        </row>
      </sheetData>
      <sheetData sheetId="3495">
        <row r="2">
          <cell r="A2">
            <v>0</v>
          </cell>
        </row>
      </sheetData>
      <sheetData sheetId="3496">
        <row r="2">
          <cell r="A2">
            <v>0</v>
          </cell>
        </row>
      </sheetData>
      <sheetData sheetId="3497">
        <row r="2">
          <cell r="A2">
            <v>0</v>
          </cell>
        </row>
      </sheetData>
      <sheetData sheetId="3498">
        <row r="2">
          <cell r="A2">
            <v>0</v>
          </cell>
        </row>
      </sheetData>
      <sheetData sheetId="3499">
        <row r="2">
          <cell r="A2">
            <v>0</v>
          </cell>
        </row>
      </sheetData>
      <sheetData sheetId="3500">
        <row r="2">
          <cell r="A2">
            <v>0</v>
          </cell>
        </row>
      </sheetData>
      <sheetData sheetId="3501">
        <row r="2">
          <cell r="A2">
            <v>0</v>
          </cell>
        </row>
      </sheetData>
      <sheetData sheetId="3502">
        <row r="2">
          <cell r="A2">
            <v>0</v>
          </cell>
        </row>
      </sheetData>
      <sheetData sheetId="3503">
        <row r="2">
          <cell r="A2">
            <v>0</v>
          </cell>
        </row>
      </sheetData>
      <sheetData sheetId="3504">
        <row r="2">
          <cell r="A2">
            <v>0</v>
          </cell>
        </row>
      </sheetData>
      <sheetData sheetId="3505">
        <row r="2">
          <cell r="A2">
            <v>0</v>
          </cell>
        </row>
      </sheetData>
      <sheetData sheetId="3506">
        <row r="2">
          <cell r="A2">
            <v>0</v>
          </cell>
        </row>
      </sheetData>
      <sheetData sheetId="3507">
        <row r="2">
          <cell r="A2">
            <v>0</v>
          </cell>
        </row>
      </sheetData>
      <sheetData sheetId="3508">
        <row r="2">
          <cell r="A2">
            <v>0</v>
          </cell>
        </row>
      </sheetData>
      <sheetData sheetId="3509">
        <row r="2">
          <cell r="A2">
            <v>0</v>
          </cell>
        </row>
      </sheetData>
      <sheetData sheetId="3510">
        <row r="2">
          <cell r="A2">
            <v>0</v>
          </cell>
        </row>
      </sheetData>
      <sheetData sheetId="3511">
        <row r="2">
          <cell r="A2">
            <v>0</v>
          </cell>
        </row>
      </sheetData>
      <sheetData sheetId="3512">
        <row r="2">
          <cell r="A2">
            <v>0</v>
          </cell>
        </row>
      </sheetData>
      <sheetData sheetId="3513">
        <row r="2">
          <cell r="A2">
            <v>0</v>
          </cell>
        </row>
      </sheetData>
      <sheetData sheetId="3514">
        <row r="2">
          <cell r="A2">
            <v>0</v>
          </cell>
        </row>
      </sheetData>
      <sheetData sheetId="3515">
        <row r="2">
          <cell r="A2">
            <v>0</v>
          </cell>
        </row>
      </sheetData>
      <sheetData sheetId="3516">
        <row r="2">
          <cell r="A2">
            <v>0</v>
          </cell>
        </row>
      </sheetData>
      <sheetData sheetId="3517">
        <row r="2">
          <cell r="A2">
            <v>0</v>
          </cell>
        </row>
      </sheetData>
      <sheetData sheetId="3518">
        <row r="2">
          <cell r="A2">
            <v>0</v>
          </cell>
        </row>
      </sheetData>
      <sheetData sheetId="3519">
        <row r="2">
          <cell r="A2">
            <v>0</v>
          </cell>
        </row>
      </sheetData>
      <sheetData sheetId="3520">
        <row r="2">
          <cell r="A2">
            <v>0</v>
          </cell>
        </row>
      </sheetData>
      <sheetData sheetId="3521">
        <row r="2">
          <cell r="A2">
            <v>0</v>
          </cell>
        </row>
      </sheetData>
      <sheetData sheetId="3522">
        <row r="2">
          <cell r="A2">
            <v>0</v>
          </cell>
        </row>
      </sheetData>
      <sheetData sheetId="3523">
        <row r="2">
          <cell r="A2">
            <v>0</v>
          </cell>
        </row>
      </sheetData>
      <sheetData sheetId="3524">
        <row r="2">
          <cell r="A2">
            <v>0</v>
          </cell>
        </row>
      </sheetData>
      <sheetData sheetId="3525">
        <row r="2">
          <cell r="A2">
            <v>0</v>
          </cell>
        </row>
      </sheetData>
      <sheetData sheetId="3526">
        <row r="2">
          <cell r="A2">
            <v>0</v>
          </cell>
        </row>
      </sheetData>
      <sheetData sheetId="3527">
        <row r="2">
          <cell r="A2">
            <v>0</v>
          </cell>
        </row>
      </sheetData>
      <sheetData sheetId="3528">
        <row r="2">
          <cell r="A2">
            <v>0</v>
          </cell>
        </row>
      </sheetData>
      <sheetData sheetId="3529">
        <row r="2">
          <cell r="A2">
            <v>0</v>
          </cell>
        </row>
      </sheetData>
      <sheetData sheetId="3530">
        <row r="2">
          <cell r="A2">
            <v>0</v>
          </cell>
        </row>
      </sheetData>
      <sheetData sheetId="3531">
        <row r="2">
          <cell r="A2">
            <v>0</v>
          </cell>
        </row>
      </sheetData>
      <sheetData sheetId="3532">
        <row r="2">
          <cell r="A2">
            <v>0</v>
          </cell>
        </row>
      </sheetData>
      <sheetData sheetId="3533">
        <row r="2">
          <cell r="A2">
            <v>0</v>
          </cell>
        </row>
      </sheetData>
      <sheetData sheetId="3534">
        <row r="2">
          <cell r="A2">
            <v>0</v>
          </cell>
        </row>
      </sheetData>
      <sheetData sheetId="3535">
        <row r="2">
          <cell r="A2">
            <v>0</v>
          </cell>
        </row>
      </sheetData>
      <sheetData sheetId="3536">
        <row r="2">
          <cell r="A2">
            <v>0</v>
          </cell>
        </row>
      </sheetData>
      <sheetData sheetId="3537">
        <row r="2">
          <cell r="A2">
            <v>0</v>
          </cell>
        </row>
      </sheetData>
      <sheetData sheetId="3538">
        <row r="2">
          <cell r="A2">
            <v>0</v>
          </cell>
        </row>
      </sheetData>
      <sheetData sheetId="3539">
        <row r="2">
          <cell r="A2">
            <v>0</v>
          </cell>
        </row>
      </sheetData>
      <sheetData sheetId="3540">
        <row r="2">
          <cell r="A2">
            <v>0</v>
          </cell>
        </row>
      </sheetData>
      <sheetData sheetId="3541">
        <row r="2">
          <cell r="A2">
            <v>0</v>
          </cell>
        </row>
      </sheetData>
      <sheetData sheetId="3542">
        <row r="2">
          <cell r="A2">
            <v>0</v>
          </cell>
        </row>
      </sheetData>
      <sheetData sheetId="3543">
        <row r="2">
          <cell r="A2">
            <v>0</v>
          </cell>
        </row>
      </sheetData>
      <sheetData sheetId="3544">
        <row r="2">
          <cell r="A2">
            <v>0</v>
          </cell>
        </row>
      </sheetData>
      <sheetData sheetId="3545">
        <row r="2">
          <cell r="A2">
            <v>0</v>
          </cell>
        </row>
      </sheetData>
      <sheetData sheetId="3546">
        <row r="2">
          <cell r="A2">
            <v>0</v>
          </cell>
        </row>
      </sheetData>
      <sheetData sheetId="3547">
        <row r="2">
          <cell r="A2">
            <v>0</v>
          </cell>
        </row>
      </sheetData>
      <sheetData sheetId="3548">
        <row r="2">
          <cell r="A2">
            <v>0</v>
          </cell>
        </row>
      </sheetData>
      <sheetData sheetId="3549">
        <row r="2">
          <cell r="A2">
            <v>0</v>
          </cell>
        </row>
      </sheetData>
      <sheetData sheetId="3550">
        <row r="2">
          <cell r="A2">
            <v>0</v>
          </cell>
        </row>
      </sheetData>
      <sheetData sheetId="3551">
        <row r="2">
          <cell r="A2">
            <v>0</v>
          </cell>
        </row>
      </sheetData>
      <sheetData sheetId="3552">
        <row r="2">
          <cell r="A2">
            <v>0</v>
          </cell>
        </row>
      </sheetData>
      <sheetData sheetId="3553">
        <row r="2">
          <cell r="A2">
            <v>0</v>
          </cell>
        </row>
      </sheetData>
      <sheetData sheetId="3554">
        <row r="2">
          <cell r="A2">
            <v>0</v>
          </cell>
        </row>
      </sheetData>
      <sheetData sheetId="3555">
        <row r="2">
          <cell r="A2">
            <v>0</v>
          </cell>
        </row>
      </sheetData>
      <sheetData sheetId="3556">
        <row r="2">
          <cell r="A2">
            <v>0</v>
          </cell>
        </row>
      </sheetData>
      <sheetData sheetId="3557">
        <row r="2">
          <cell r="A2">
            <v>0</v>
          </cell>
        </row>
      </sheetData>
      <sheetData sheetId="3558">
        <row r="2">
          <cell r="A2">
            <v>0</v>
          </cell>
        </row>
      </sheetData>
      <sheetData sheetId="3559">
        <row r="2">
          <cell r="A2">
            <v>0</v>
          </cell>
        </row>
      </sheetData>
      <sheetData sheetId="3560">
        <row r="2">
          <cell r="A2">
            <v>0</v>
          </cell>
        </row>
      </sheetData>
      <sheetData sheetId="3561">
        <row r="2">
          <cell r="A2">
            <v>0</v>
          </cell>
        </row>
      </sheetData>
      <sheetData sheetId="3562">
        <row r="2">
          <cell r="A2">
            <v>0</v>
          </cell>
        </row>
      </sheetData>
      <sheetData sheetId="3563">
        <row r="2">
          <cell r="A2">
            <v>0</v>
          </cell>
        </row>
      </sheetData>
      <sheetData sheetId="3564">
        <row r="2">
          <cell r="A2">
            <v>0</v>
          </cell>
        </row>
      </sheetData>
      <sheetData sheetId="3565">
        <row r="2">
          <cell r="A2">
            <v>0</v>
          </cell>
        </row>
      </sheetData>
      <sheetData sheetId="3566">
        <row r="2">
          <cell r="A2">
            <v>0</v>
          </cell>
        </row>
      </sheetData>
      <sheetData sheetId="3567">
        <row r="2">
          <cell r="A2">
            <v>0</v>
          </cell>
        </row>
      </sheetData>
      <sheetData sheetId="3568">
        <row r="2">
          <cell r="A2">
            <v>0</v>
          </cell>
        </row>
      </sheetData>
      <sheetData sheetId="3569">
        <row r="2">
          <cell r="A2">
            <v>0</v>
          </cell>
        </row>
      </sheetData>
      <sheetData sheetId="3570">
        <row r="2">
          <cell r="A2">
            <v>0</v>
          </cell>
        </row>
      </sheetData>
      <sheetData sheetId="3571">
        <row r="2">
          <cell r="A2">
            <v>0</v>
          </cell>
        </row>
      </sheetData>
      <sheetData sheetId="3572">
        <row r="2">
          <cell r="A2">
            <v>0</v>
          </cell>
        </row>
      </sheetData>
      <sheetData sheetId="3573">
        <row r="2">
          <cell r="A2">
            <v>0</v>
          </cell>
        </row>
      </sheetData>
      <sheetData sheetId="3574">
        <row r="2">
          <cell r="A2">
            <v>0</v>
          </cell>
        </row>
      </sheetData>
      <sheetData sheetId="3575">
        <row r="2">
          <cell r="A2">
            <v>0</v>
          </cell>
        </row>
      </sheetData>
      <sheetData sheetId="3576">
        <row r="2">
          <cell r="A2">
            <v>0</v>
          </cell>
        </row>
      </sheetData>
      <sheetData sheetId="3577">
        <row r="2">
          <cell r="A2">
            <v>0</v>
          </cell>
        </row>
      </sheetData>
      <sheetData sheetId="3578">
        <row r="2">
          <cell r="A2">
            <v>0</v>
          </cell>
        </row>
      </sheetData>
      <sheetData sheetId="3579">
        <row r="2">
          <cell r="A2">
            <v>0</v>
          </cell>
        </row>
      </sheetData>
      <sheetData sheetId="3580">
        <row r="2">
          <cell r="A2">
            <v>0</v>
          </cell>
        </row>
      </sheetData>
      <sheetData sheetId="3581">
        <row r="2">
          <cell r="A2">
            <v>0</v>
          </cell>
        </row>
      </sheetData>
      <sheetData sheetId="3582"/>
      <sheetData sheetId="3583"/>
      <sheetData sheetId="3584"/>
      <sheetData sheetId="3585">
        <row r="2">
          <cell r="A2">
            <v>0</v>
          </cell>
        </row>
      </sheetData>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row r="2">
          <cell r="A2">
            <v>0</v>
          </cell>
        </row>
      </sheetData>
      <sheetData sheetId="3613"/>
      <sheetData sheetId="3614"/>
      <sheetData sheetId="3615"/>
      <sheetData sheetId="3616"/>
      <sheetData sheetId="3617"/>
      <sheetData sheetId="3618"/>
      <sheetData sheetId="3619"/>
      <sheetData sheetId="3620"/>
      <sheetData sheetId="3621">
        <row r="2">
          <cell r="A2">
            <v>0</v>
          </cell>
        </row>
      </sheetData>
      <sheetData sheetId="3622">
        <row r="2">
          <cell r="A2">
            <v>0</v>
          </cell>
        </row>
      </sheetData>
      <sheetData sheetId="3623"/>
      <sheetData sheetId="3624"/>
      <sheetData sheetId="3625"/>
      <sheetData sheetId="3626"/>
      <sheetData sheetId="3627"/>
      <sheetData sheetId="3628"/>
      <sheetData sheetId="3629"/>
      <sheetData sheetId="3630"/>
      <sheetData sheetId="3631">
        <row r="2">
          <cell r="A2">
            <v>0</v>
          </cell>
        </row>
      </sheetData>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row r="2">
          <cell r="A2">
            <v>0</v>
          </cell>
        </row>
      </sheetData>
      <sheetData sheetId="3648">
        <row r="2">
          <cell r="A2">
            <v>0</v>
          </cell>
        </row>
      </sheetData>
      <sheetData sheetId="3649">
        <row r="2">
          <cell r="A2">
            <v>0</v>
          </cell>
        </row>
      </sheetData>
      <sheetData sheetId="3650">
        <row r="2">
          <cell r="A2">
            <v>0</v>
          </cell>
        </row>
      </sheetData>
      <sheetData sheetId="3651">
        <row r="2">
          <cell r="A2">
            <v>0</v>
          </cell>
        </row>
      </sheetData>
      <sheetData sheetId="3652">
        <row r="2">
          <cell r="A2">
            <v>0</v>
          </cell>
        </row>
      </sheetData>
      <sheetData sheetId="3653">
        <row r="2">
          <cell r="A2">
            <v>0</v>
          </cell>
        </row>
      </sheetData>
      <sheetData sheetId="3654"/>
      <sheetData sheetId="3655"/>
      <sheetData sheetId="3656">
        <row r="2">
          <cell r="A2">
            <v>0</v>
          </cell>
        </row>
      </sheetData>
      <sheetData sheetId="3657">
        <row r="2">
          <cell r="A2">
            <v>0</v>
          </cell>
        </row>
      </sheetData>
      <sheetData sheetId="3658">
        <row r="2">
          <cell r="A2">
            <v>0</v>
          </cell>
        </row>
      </sheetData>
      <sheetData sheetId="3659">
        <row r="2">
          <cell r="A2">
            <v>0</v>
          </cell>
        </row>
      </sheetData>
      <sheetData sheetId="3660">
        <row r="2">
          <cell r="A2">
            <v>0</v>
          </cell>
        </row>
      </sheetData>
      <sheetData sheetId="3661">
        <row r="2">
          <cell r="A2">
            <v>0</v>
          </cell>
        </row>
      </sheetData>
      <sheetData sheetId="3662">
        <row r="2">
          <cell r="A2">
            <v>0</v>
          </cell>
        </row>
      </sheetData>
      <sheetData sheetId="3663">
        <row r="2">
          <cell r="A2">
            <v>0</v>
          </cell>
        </row>
      </sheetData>
      <sheetData sheetId="3664"/>
      <sheetData sheetId="3665">
        <row r="2">
          <cell r="A2">
            <v>0</v>
          </cell>
        </row>
      </sheetData>
      <sheetData sheetId="3666">
        <row r="2">
          <cell r="A2">
            <v>0</v>
          </cell>
        </row>
      </sheetData>
      <sheetData sheetId="3667">
        <row r="2">
          <cell r="A2">
            <v>0</v>
          </cell>
        </row>
      </sheetData>
      <sheetData sheetId="3668">
        <row r="2">
          <cell r="A2">
            <v>0</v>
          </cell>
        </row>
      </sheetData>
      <sheetData sheetId="3669">
        <row r="2">
          <cell r="A2">
            <v>0</v>
          </cell>
        </row>
      </sheetData>
      <sheetData sheetId="3670">
        <row r="2">
          <cell r="A2">
            <v>0</v>
          </cell>
        </row>
      </sheetData>
      <sheetData sheetId="3671">
        <row r="2">
          <cell r="A2">
            <v>0</v>
          </cell>
        </row>
      </sheetData>
      <sheetData sheetId="3672">
        <row r="2">
          <cell r="A2">
            <v>0</v>
          </cell>
        </row>
      </sheetData>
      <sheetData sheetId="3673">
        <row r="2">
          <cell r="A2">
            <v>0</v>
          </cell>
        </row>
      </sheetData>
      <sheetData sheetId="3674">
        <row r="2">
          <cell r="A2">
            <v>0</v>
          </cell>
        </row>
      </sheetData>
      <sheetData sheetId="3675">
        <row r="2">
          <cell r="A2">
            <v>0</v>
          </cell>
        </row>
      </sheetData>
      <sheetData sheetId="3676">
        <row r="2">
          <cell r="A2">
            <v>0</v>
          </cell>
        </row>
      </sheetData>
      <sheetData sheetId="3677">
        <row r="2">
          <cell r="A2">
            <v>0</v>
          </cell>
        </row>
      </sheetData>
      <sheetData sheetId="3678">
        <row r="2">
          <cell r="A2">
            <v>0</v>
          </cell>
        </row>
      </sheetData>
      <sheetData sheetId="3679">
        <row r="2">
          <cell r="A2">
            <v>0</v>
          </cell>
        </row>
      </sheetData>
      <sheetData sheetId="3680">
        <row r="2">
          <cell r="A2">
            <v>0</v>
          </cell>
        </row>
      </sheetData>
      <sheetData sheetId="3681">
        <row r="2">
          <cell r="A2">
            <v>0</v>
          </cell>
        </row>
      </sheetData>
      <sheetData sheetId="3682">
        <row r="2">
          <cell r="A2">
            <v>0</v>
          </cell>
        </row>
      </sheetData>
      <sheetData sheetId="3683">
        <row r="2">
          <cell r="A2">
            <v>0</v>
          </cell>
        </row>
      </sheetData>
      <sheetData sheetId="3684">
        <row r="2">
          <cell r="A2">
            <v>0</v>
          </cell>
        </row>
      </sheetData>
      <sheetData sheetId="3685">
        <row r="2">
          <cell r="A2">
            <v>0</v>
          </cell>
        </row>
      </sheetData>
      <sheetData sheetId="3686">
        <row r="2">
          <cell r="A2">
            <v>0</v>
          </cell>
        </row>
      </sheetData>
      <sheetData sheetId="3687">
        <row r="2">
          <cell r="A2">
            <v>0</v>
          </cell>
        </row>
      </sheetData>
      <sheetData sheetId="3688">
        <row r="2">
          <cell r="A2">
            <v>0</v>
          </cell>
        </row>
      </sheetData>
      <sheetData sheetId="3689">
        <row r="2">
          <cell r="A2">
            <v>0</v>
          </cell>
        </row>
      </sheetData>
      <sheetData sheetId="3690">
        <row r="2">
          <cell r="A2">
            <v>0</v>
          </cell>
        </row>
      </sheetData>
      <sheetData sheetId="3691">
        <row r="2">
          <cell r="A2">
            <v>0</v>
          </cell>
        </row>
      </sheetData>
      <sheetData sheetId="3692">
        <row r="2">
          <cell r="A2">
            <v>0</v>
          </cell>
        </row>
      </sheetData>
      <sheetData sheetId="3693">
        <row r="2">
          <cell r="A2">
            <v>0</v>
          </cell>
        </row>
      </sheetData>
      <sheetData sheetId="3694">
        <row r="2">
          <cell r="A2">
            <v>0</v>
          </cell>
        </row>
      </sheetData>
      <sheetData sheetId="3695">
        <row r="2">
          <cell r="A2">
            <v>0</v>
          </cell>
        </row>
      </sheetData>
      <sheetData sheetId="3696">
        <row r="2">
          <cell r="A2">
            <v>0</v>
          </cell>
        </row>
      </sheetData>
      <sheetData sheetId="3697">
        <row r="2">
          <cell r="A2">
            <v>0</v>
          </cell>
        </row>
      </sheetData>
      <sheetData sheetId="3698">
        <row r="2">
          <cell r="A2">
            <v>0</v>
          </cell>
        </row>
      </sheetData>
      <sheetData sheetId="3699">
        <row r="2">
          <cell r="A2">
            <v>0</v>
          </cell>
        </row>
      </sheetData>
      <sheetData sheetId="3700">
        <row r="2">
          <cell r="A2">
            <v>0</v>
          </cell>
        </row>
      </sheetData>
      <sheetData sheetId="3701">
        <row r="2">
          <cell r="A2">
            <v>0</v>
          </cell>
        </row>
      </sheetData>
      <sheetData sheetId="3702">
        <row r="2">
          <cell r="A2">
            <v>0</v>
          </cell>
        </row>
      </sheetData>
      <sheetData sheetId="3703">
        <row r="2">
          <cell r="A2">
            <v>0</v>
          </cell>
        </row>
      </sheetData>
      <sheetData sheetId="3704">
        <row r="2">
          <cell r="A2">
            <v>0</v>
          </cell>
        </row>
      </sheetData>
      <sheetData sheetId="3705">
        <row r="2">
          <cell r="A2">
            <v>0</v>
          </cell>
        </row>
      </sheetData>
      <sheetData sheetId="3706">
        <row r="2">
          <cell r="A2">
            <v>0</v>
          </cell>
        </row>
      </sheetData>
      <sheetData sheetId="3707">
        <row r="2">
          <cell r="A2">
            <v>0</v>
          </cell>
        </row>
      </sheetData>
      <sheetData sheetId="3708">
        <row r="2">
          <cell r="A2">
            <v>0</v>
          </cell>
        </row>
      </sheetData>
      <sheetData sheetId="3709">
        <row r="2">
          <cell r="A2">
            <v>0</v>
          </cell>
        </row>
      </sheetData>
      <sheetData sheetId="3710">
        <row r="2">
          <cell r="A2">
            <v>0</v>
          </cell>
        </row>
      </sheetData>
      <sheetData sheetId="3711">
        <row r="2">
          <cell r="A2">
            <v>0</v>
          </cell>
        </row>
      </sheetData>
      <sheetData sheetId="3712">
        <row r="2">
          <cell r="A2">
            <v>0</v>
          </cell>
        </row>
      </sheetData>
      <sheetData sheetId="3713">
        <row r="2">
          <cell r="A2">
            <v>0</v>
          </cell>
        </row>
      </sheetData>
      <sheetData sheetId="3714">
        <row r="2">
          <cell r="A2">
            <v>0</v>
          </cell>
        </row>
      </sheetData>
      <sheetData sheetId="3715">
        <row r="2">
          <cell r="A2">
            <v>0</v>
          </cell>
        </row>
      </sheetData>
      <sheetData sheetId="3716">
        <row r="2">
          <cell r="A2">
            <v>0</v>
          </cell>
        </row>
      </sheetData>
      <sheetData sheetId="3717">
        <row r="2">
          <cell r="A2">
            <v>0</v>
          </cell>
        </row>
      </sheetData>
      <sheetData sheetId="3718">
        <row r="2">
          <cell r="A2">
            <v>0</v>
          </cell>
        </row>
      </sheetData>
      <sheetData sheetId="3719">
        <row r="2">
          <cell r="A2">
            <v>0</v>
          </cell>
        </row>
      </sheetData>
      <sheetData sheetId="3720">
        <row r="2">
          <cell r="A2">
            <v>0</v>
          </cell>
        </row>
      </sheetData>
      <sheetData sheetId="3721">
        <row r="2">
          <cell r="A2">
            <v>0</v>
          </cell>
        </row>
      </sheetData>
      <sheetData sheetId="3722">
        <row r="2">
          <cell r="A2">
            <v>0</v>
          </cell>
        </row>
      </sheetData>
      <sheetData sheetId="3723">
        <row r="2">
          <cell r="A2">
            <v>0</v>
          </cell>
        </row>
      </sheetData>
      <sheetData sheetId="3724">
        <row r="2">
          <cell r="A2">
            <v>0</v>
          </cell>
        </row>
      </sheetData>
      <sheetData sheetId="3725">
        <row r="2">
          <cell r="A2">
            <v>0</v>
          </cell>
        </row>
      </sheetData>
      <sheetData sheetId="3726">
        <row r="2">
          <cell r="A2">
            <v>0</v>
          </cell>
        </row>
      </sheetData>
      <sheetData sheetId="3727">
        <row r="2">
          <cell r="A2">
            <v>0</v>
          </cell>
        </row>
      </sheetData>
      <sheetData sheetId="3728">
        <row r="2">
          <cell r="A2">
            <v>0</v>
          </cell>
        </row>
      </sheetData>
      <sheetData sheetId="3729">
        <row r="2">
          <cell r="A2">
            <v>0</v>
          </cell>
        </row>
      </sheetData>
      <sheetData sheetId="3730">
        <row r="2">
          <cell r="A2">
            <v>0</v>
          </cell>
        </row>
      </sheetData>
      <sheetData sheetId="3731">
        <row r="2">
          <cell r="A2">
            <v>0</v>
          </cell>
        </row>
      </sheetData>
      <sheetData sheetId="3732">
        <row r="2">
          <cell r="A2">
            <v>0</v>
          </cell>
        </row>
      </sheetData>
      <sheetData sheetId="3733">
        <row r="2">
          <cell r="A2">
            <v>0</v>
          </cell>
        </row>
      </sheetData>
      <sheetData sheetId="3734">
        <row r="2">
          <cell r="A2">
            <v>0</v>
          </cell>
        </row>
      </sheetData>
      <sheetData sheetId="3735">
        <row r="2">
          <cell r="A2">
            <v>0</v>
          </cell>
        </row>
      </sheetData>
      <sheetData sheetId="3736">
        <row r="2">
          <cell r="A2">
            <v>0</v>
          </cell>
        </row>
      </sheetData>
      <sheetData sheetId="3737">
        <row r="2">
          <cell r="A2">
            <v>0</v>
          </cell>
        </row>
      </sheetData>
      <sheetData sheetId="3738">
        <row r="2">
          <cell r="A2">
            <v>0</v>
          </cell>
        </row>
      </sheetData>
      <sheetData sheetId="3739">
        <row r="2">
          <cell r="A2">
            <v>0</v>
          </cell>
        </row>
      </sheetData>
      <sheetData sheetId="3740">
        <row r="2">
          <cell r="A2">
            <v>0</v>
          </cell>
        </row>
      </sheetData>
      <sheetData sheetId="3741">
        <row r="2">
          <cell r="A2">
            <v>0</v>
          </cell>
        </row>
      </sheetData>
      <sheetData sheetId="3742">
        <row r="2">
          <cell r="A2">
            <v>0</v>
          </cell>
        </row>
      </sheetData>
      <sheetData sheetId="3743">
        <row r="2">
          <cell r="A2">
            <v>0</v>
          </cell>
        </row>
      </sheetData>
      <sheetData sheetId="3744">
        <row r="2">
          <cell r="A2">
            <v>0</v>
          </cell>
        </row>
      </sheetData>
      <sheetData sheetId="3745">
        <row r="2">
          <cell r="A2">
            <v>0</v>
          </cell>
        </row>
      </sheetData>
      <sheetData sheetId="3746">
        <row r="2">
          <cell r="A2">
            <v>0</v>
          </cell>
        </row>
      </sheetData>
      <sheetData sheetId="3747">
        <row r="2">
          <cell r="A2">
            <v>0</v>
          </cell>
        </row>
      </sheetData>
      <sheetData sheetId="3748">
        <row r="2">
          <cell r="A2">
            <v>0</v>
          </cell>
        </row>
      </sheetData>
      <sheetData sheetId="3749">
        <row r="2">
          <cell r="A2">
            <v>0</v>
          </cell>
        </row>
      </sheetData>
      <sheetData sheetId="3750">
        <row r="2">
          <cell r="A2">
            <v>0</v>
          </cell>
        </row>
      </sheetData>
      <sheetData sheetId="3751">
        <row r="2">
          <cell r="A2">
            <v>0</v>
          </cell>
        </row>
      </sheetData>
      <sheetData sheetId="3752">
        <row r="2">
          <cell r="A2">
            <v>0</v>
          </cell>
        </row>
      </sheetData>
      <sheetData sheetId="3753">
        <row r="2">
          <cell r="A2">
            <v>0</v>
          </cell>
        </row>
      </sheetData>
      <sheetData sheetId="3754">
        <row r="2">
          <cell r="A2">
            <v>0</v>
          </cell>
        </row>
      </sheetData>
      <sheetData sheetId="3755">
        <row r="2">
          <cell r="A2">
            <v>0</v>
          </cell>
        </row>
      </sheetData>
      <sheetData sheetId="3756">
        <row r="2">
          <cell r="A2">
            <v>0</v>
          </cell>
        </row>
      </sheetData>
      <sheetData sheetId="3757">
        <row r="2">
          <cell r="A2">
            <v>0</v>
          </cell>
        </row>
      </sheetData>
      <sheetData sheetId="3758">
        <row r="2">
          <cell r="A2">
            <v>0</v>
          </cell>
        </row>
      </sheetData>
      <sheetData sheetId="3759">
        <row r="2">
          <cell r="A2">
            <v>0</v>
          </cell>
        </row>
      </sheetData>
      <sheetData sheetId="3760">
        <row r="2">
          <cell r="A2">
            <v>0</v>
          </cell>
        </row>
      </sheetData>
      <sheetData sheetId="3761">
        <row r="2">
          <cell r="A2">
            <v>0</v>
          </cell>
        </row>
      </sheetData>
      <sheetData sheetId="3762">
        <row r="2">
          <cell r="A2">
            <v>0</v>
          </cell>
        </row>
      </sheetData>
      <sheetData sheetId="3763">
        <row r="2">
          <cell r="A2">
            <v>0</v>
          </cell>
        </row>
      </sheetData>
      <sheetData sheetId="3764">
        <row r="2">
          <cell r="A2">
            <v>0</v>
          </cell>
        </row>
      </sheetData>
      <sheetData sheetId="3765">
        <row r="2">
          <cell r="A2">
            <v>0</v>
          </cell>
        </row>
      </sheetData>
      <sheetData sheetId="3766">
        <row r="2">
          <cell r="A2">
            <v>0</v>
          </cell>
        </row>
      </sheetData>
      <sheetData sheetId="3767">
        <row r="2">
          <cell r="A2">
            <v>0</v>
          </cell>
        </row>
      </sheetData>
      <sheetData sheetId="3768">
        <row r="2">
          <cell r="A2">
            <v>0</v>
          </cell>
        </row>
      </sheetData>
      <sheetData sheetId="3769">
        <row r="2">
          <cell r="A2">
            <v>0</v>
          </cell>
        </row>
      </sheetData>
      <sheetData sheetId="3770">
        <row r="2">
          <cell r="A2">
            <v>0</v>
          </cell>
        </row>
      </sheetData>
      <sheetData sheetId="3771">
        <row r="2">
          <cell r="A2">
            <v>0</v>
          </cell>
        </row>
      </sheetData>
      <sheetData sheetId="3772">
        <row r="2">
          <cell r="A2">
            <v>0</v>
          </cell>
        </row>
      </sheetData>
      <sheetData sheetId="3773">
        <row r="2">
          <cell r="A2">
            <v>0</v>
          </cell>
        </row>
      </sheetData>
      <sheetData sheetId="3774">
        <row r="2">
          <cell r="A2">
            <v>0</v>
          </cell>
        </row>
      </sheetData>
      <sheetData sheetId="3775">
        <row r="2">
          <cell r="A2">
            <v>0</v>
          </cell>
        </row>
      </sheetData>
      <sheetData sheetId="3776">
        <row r="2">
          <cell r="A2">
            <v>0</v>
          </cell>
        </row>
      </sheetData>
      <sheetData sheetId="3777">
        <row r="2">
          <cell r="A2">
            <v>0</v>
          </cell>
        </row>
      </sheetData>
      <sheetData sheetId="3778">
        <row r="2">
          <cell r="A2">
            <v>0</v>
          </cell>
        </row>
      </sheetData>
      <sheetData sheetId="3779">
        <row r="2">
          <cell r="A2">
            <v>0</v>
          </cell>
        </row>
      </sheetData>
      <sheetData sheetId="3780">
        <row r="2">
          <cell r="A2">
            <v>0</v>
          </cell>
        </row>
      </sheetData>
      <sheetData sheetId="3781">
        <row r="2">
          <cell r="A2">
            <v>0</v>
          </cell>
        </row>
      </sheetData>
      <sheetData sheetId="3782">
        <row r="2">
          <cell r="A2">
            <v>0</v>
          </cell>
        </row>
      </sheetData>
      <sheetData sheetId="3783">
        <row r="2">
          <cell r="A2">
            <v>0</v>
          </cell>
        </row>
      </sheetData>
      <sheetData sheetId="3784">
        <row r="2">
          <cell r="A2">
            <v>0</v>
          </cell>
        </row>
      </sheetData>
      <sheetData sheetId="3785">
        <row r="2">
          <cell r="A2">
            <v>0</v>
          </cell>
        </row>
      </sheetData>
      <sheetData sheetId="3786">
        <row r="2">
          <cell r="A2">
            <v>0</v>
          </cell>
        </row>
      </sheetData>
      <sheetData sheetId="3787">
        <row r="2">
          <cell r="A2">
            <v>0</v>
          </cell>
        </row>
      </sheetData>
      <sheetData sheetId="3788">
        <row r="2">
          <cell r="A2">
            <v>0</v>
          </cell>
        </row>
      </sheetData>
      <sheetData sheetId="3789">
        <row r="2">
          <cell r="A2">
            <v>0</v>
          </cell>
        </row>
      </sheetData>
      <sheetData sheetId="3790">
        <row r="2">
          <cell r="A2">
            <v>0</v>
          </cell>
        </row>
      </sheetData>
      <sheetData sheetId="3791">
        <row r="2">
          <cell r="A2">
            <v>0</v>
          </cell>
        </row>
      </sheetData>
      <sheetData sheetId="3792">
        <row r="2">
          <cell r="A2">
            <v>0</v>
          </cell>
        </row>
      </sheetData>
      <sheetData sheetId="3793">
        <row r="2">
          <cell r="A2">
            <v>0</v>
          </cell>
        </row>
      </sheetData>
      <sheetData sheetId="3794">
        <row r="2">
          <cell r="A2">
            <v>0</v>
          </cell>
        </row>
      </sheetData>
      <sheetData sheetId="3795">
        <row r="2">
          <cell r="A2">
            <v>0</v>
          </cell>
        </row>
      </sheetData>
      <sheetData sheetId="3796">
        <row r="2">
          <cell r="A2">
            <v>0</v>
          </cell>
        </row>
      </sheetData>
      <sheetData sheetId="3797">
        <row r="2">
          <cell r="A2">
            <v>0</v>
          </cell>
        </row>
      </sheetData>
      <sheetData sheetId="3798">
        <row r="2">
          <cell r="A2">
            <v>0</v>
          </cell>
        </row>
      </sheetData>
      <sheetData sheetId="3799">
        <row r="2">
          <cell r="A2">
            <v>0</v>
          </cell>
        </row>
      </sheetData>
      <sheetData sheetId="3800">
        <row r="2">
          <cell r="A2">
            <v>0</v>
          </cell>
        </row>
      </sheetData>
      <sheetData sheetId="3801">
        <row r="2">
          <cell r="A2">
            <v>0</v>
          </cell>
        </row>
      </sheetData>
      <sheetData sheetId="3802">
        <row r="2">
          <cell r="A2">
            <v>0</v>
          </cell>
        </row>
      </sheetData>
      <sheetData sheetId="3803">
        <row r="2">
          <cell r="A2">
            <v>0</v>
          </cell>
        </row>
      </sheetData>
      <sheetData sheetId="3804">
        <row r="2">
          <cell r="A2">
            <v>0</v>
          </cell>
        </row>
      </sheetData>
      <sheetData sheetId="3805">
        <row r="2">
          <cell r="A2">
            <v>0</v>
          </cell>
        </row>
      </sheetData>
      <sheetData sheetId="3806">
        <row r="2">
          <cell r="A2">
            <v>0</v>
          </cell>
        </row>
      </sheetData>
      <sheetData sheetId="3807">
        <row r="2">
          <cell r="A2">
            <v>0</v>
          </cell>
        </row>
      </sheetData>
      <sheetData sheetId="3808">
        <row r="2">
          <cell r="A2">
            <v>0</v>
          </cell>
        </row>
      </sheetData>
      <sheetData sheetId="3809">
        <row r="2">
          <cell r="A2">
            <v>0</v>
          </cell>
        </row>
      </sheetData>
      <sheetData sheetId="3810">
        <row r="2">
          <cell r="A2">
            <v>0</v>
          </cell>
        </row>
      </sheetData>
      <sheetData sheetId="3811">
        <row r="2">
          <cell r="A2">
            <v>0</v>
          </cell>
        </row>
      </sheetData>
      <sheetData sheetId="3812">
        <row r="2">
          <cell r="A2">
            <v>0</v>
          </cell>
        </row>
      </sheetData>
      <sheetData sheetId="3813">
        <row r="2">
          <cell r="A2">
            <v>0</v>
          </cell>
        </row>
      </sheetData>
      <sheetData sheetId="3814">
        <row r="2">
          <cell r="A2">
            <v>0</v>
          </cell>
        </row>
      </sheetData>
      <sheetData sheetId="3815">
        <row r="2">
          <cell r="A2">
            <v>0</v>
          </cell>
        </row>
      </sheetData>
      <sheetData sheetId="3816">
        <row r="2">
          <cell r="A2">
            <v>0</v>
          </cell>
        </row>
      </sheetData>
      <sheetData sheetId="3817">
        <row r="2">
          <cell r="A2">
            <v>0</v>
          </cell>
        </row>
      </sheetData>
      <sheetData sheetId="3818">
        <row r="2">
          <cell r="A2">
            <v>0</v>
          </cell>
        </row>
      </sheetData>
      <sheetData sheetId="3819">
        <row r="2">
          <cell r="A2">
            <v>0</v>
          </cell>
        </row>
      </sheetData>
      <sheetData sheetId="3820">
        <row r="2">
          <cell r="A2">
            <v>0</v>
          </cell>
        </row>
      </sheetData>
      <sheetData sheetId="3821">
        <row r="2">
          <cell r="A2">
            <v>0</v>
          </cell>
        </row>
      </sheetData>
      <sheetData sheetId="3822">
        <row r="2">
          <cell r="A2">
            <v>0</v>
          </cell>
        </row>
      </sheetData>
      <sheetData sheetId="3823">
        <row r="2">
          <cell r="A2">
            <v>0</v>
          </cell>
        </row>
      </sheetData>
      <sheetData sheetId="3824">
        <row r="2">
          <cell r="A2">
            <v>0</v>
          </cell>
        </row>
      </sheetData>
      <sheetData sheetId="3825">
        <row r="2">
          <cell r="A2">
            <v>0</v>
          </cell>
        </row>
      </sheetData>
      <sheetData sheetId="3826">
        <row r="2">
          <cell r="A2">
            <v>0</v>
          </cell>
        </row>
      </sheetData>
      <sheetData sheetId="3827">
        <row r="2">
          <cell r="A2">
            <v>0</v>
          </cell>
        </row>
      </sheetData>
      <sheetData sheetId="3828">
        <row r="2">
          <cell r="A2">
            <v>0</v>
          </cell>
        </row>
      </sheetData>
      <sheetData sheetId="3829">
        <row r="2">
          <cell r="A2">
            <v>0</v>
          </cell>
        </row>
      </sheetData>
      <sheetData sheetId="3830">
        <row r="2">
          <cell r="A2">
            <v>0</v>
          </cell>
        </row>
      </sheetData>
      <sheetData sheetId="3831">
        <row r="2">
          <cell r="A2">
            <v>0</v>
          </cell>
        </row>
      </sheetData>
      <sheetData sheetId="3832">
        <row r="2">
          <cell r="A2">
            <v>0</v>
          </cell>
        </row>
      </sheetData>
      <sheetData sheetId="3833">
        <row r="2">
          <cell r="A2">
            <v>0</v>
          </cell>
        </row>
      </sheetData>
      <sheetData sheetId="3834">
        <row r="2">
          <cell r="A2">
            <v>0</v>
          </cell>
        </row>
      </sheetData>
      <sheetData sheetId="3835">
        <row r="2">
          <cell r="A2">
            <v>0</v>
          </cell>
        </row>
      </sheetData>
      <sheetData sheetId="3836">
        <row r="2">
          <cell r="A2">
            <v>0</v>
          </cell>
        </row>
      </sheetData>
      <sheetData sheetId="3837">
        <row r="2">
          <cell r="A2">
            <v>0</v>
          </cell>
        </row>
      </sheetData>
      <sheetData sheetId="3838">
        <row r="2">
          <cell r="A2">
            <v>0</v>
          </cell>
        </row>
      </sheetData>
      <sheetData sheetId="3839">
        <row r="2">
          <cell r="A2">
            <v>0</v>
          </cell>
        </row>
      </sheetData>
      <sheetData sheetId="3840">
        <row r="2">
          <cell r="A2">
            <v>0</v>
          </cell>
        </row>
      </sheetData>
      <sheetData sheetId="3841">
        <row r="2">
          <cell r="A2">
            <v>0</v>
          </cell>
        </row>
      </sheetData>
      <sheetData sheetId="3842">
        <row r="2">
          <cell r="A2">
            <v>0</v>
          </cell>
        </row>
      </sheetData>
      <sheetData sheetId="3843">
        <row r="2">
          <cell r="A2">
            <v>0</v>
          </cell>
        </row>
      </sheetData>
      <sheetData sheetId="3844">
        <row r="2">
          <cell r="A2">
            <v>0</v>
          </cell>
        </row>
      </sheetData>
      <sheetData sheetId="3845">
        <row r="2">
          <cell r="A2">
            <v>0</v>
          </cell>
        </row>
      </sheetData>
      <sheetData sheetId="3846">
        <row r="2">
          <cell r="A2">
            <v>0</v>
          </cell>
        </row>
      </sheetData>
      <sheetData sheetId="3847">
        <row r="2">
          <cell r="A2">
            <v>0</v>
          </cell>
        </row>
      </sheetData>
      <sheetData sheetId="3848">
        <row r="2">
          <cell r="A2">
            <v>0</v>
          </cell>
        </row>
      </sheetData>
      <sheetData sheetId="3849">
        <row r="2">
          <cell r="A2">
            <v>0</v>
          </cell>
        </row>
      </sheetData>
      <sheetData sheetId="3850">
        <row r="2">
          <cell r="A2">
            <v>0</v>
          </cell>
        </row>
      </sheetData>
      <sheetData sheetId="3851">
        <row r="2">
          <cell r="A2">
            <v>0</v>
          </cell>
        </row>
      </sheetData>
      <sheetData sheetId="3852">
        <row r="2">
          <cell r="A2">
            <v>0</v>
          </cell>
        </row>
      </sheetData>
      <sheetData sheetId="3853">
        <row r="2">
          <cell r="A2">
            <v>0</v>
          </cell>
        </row>
      </sheetData>
      <sheetData sheetId="3854">
        <row r="2">
          <cell r="A2">
            <v>0</v>
          </cell>
        </row>
      </sheetData>
      <sheetData sheetId="3855">
        <row r="2">
          <cell r="A2">
            <v>0</v>
          </cell>
        </row>
      </sheetData>
      <sheetData sheetId="3856">
        <row r="2">
          <cell r="A2">
            <v>0</v>
          </cell>
        </row>
      </sheetData>
      <sheetData sheetId="3857">
        <row r="2">
          <cell r="A2">
            <v>0</v>
          </cell>
        </row>
      </sheetData>
      <sheetData sheetId="3858">
        <row r="2">
          <cell r="A2">
            <v>0</v>
          </cell>
        </row>
      </sheetData>
      <sheetData sheetId="3859">
        <row r="2">
          <cell r="A2">
            <v>0</v>
          </cell>
        </row>
      </sheetData>
      <sheetData sheetId="3860">
        <row r="2">
          <cell r="A2">
            <v>0</v>
          </cell>
        </row>
      </sheetData>
      <sheetData sheetId="3861">
        <row r="2">
          <cell r="A2">
            <v>0</v>
          </cell>
        </row>
      </sheetData>
      <sheetData sheetId="3862">
        <row r="2">
          <cell r="A2">
            <v>0</v>
          </cell>
        </row>
      </sheetData>
      <sheetData sheetId="3863">
        <row r="2">
          <cell r="A2">
            <v>0</v>
          </cell>
        </row>
      </sheetData>
      <sheetData sheetId="3864">
        <row r="2">
          <cell r="A2">
            <v>0</v>
          </cell>
        </row>
      </sheetData>
      <sheetData sheetId="3865">
        <row r="2">
          <cell r="A2">
            <v>0</v>
          </cell>
        </row>
      </sheetData>
      <sheetData sheetId="3866">
        <row r="2">
          <cell r="A2">
            <v>0</v>
          </cell>
        </row>
      </sheetData>
      <sheetData sheetId="3867">
        <row r="2">
          <cell r="A2">
            <v>0</v>
          </cell>
        </row>
      </sheetData>
      <sheetData sheetId="3868">
        <row r="2">
          <cell r="A2">
            <v>0</v>
          </cell>
        </row>
      </sheetData>
      <sheetData sheetId="3869">
        <row r="2">
          <cell r="A2">
            <v>0</v>
          </cell>
        </row>
      </sheetData>
      <sheetData sheetId="3870">
        <row r="2">
          <cell r="A2">
            <v>0</v>
          </cell>
        </row>
      </sheetData>
      <sheetData sheetId="3871">
        <row r="2">
          <cell r="A2">
            <v>0</v>
          </cell>
        </row>
      </sheetData>
      <sheetData sheetId="3872">
        <row r="2">
          <cell r="A2">
            <v>0</v>
          </cell>
        </row>
      </sheetData>
      <sheetData sheetId="3873">
        <row r="2">
          <cell r="A2">
            <v>0</v>
          </cell>
        </row>
      </sheetData>
      <sheetData sheetId="3874">
        <row r="2">
          <cell r="A2">
            <v>0</v>
          </cell>
        </row>
      </sheetData>
      <sheetData sheetId="3875">
        <row r="2">
          <cell r="A2">
            <v>0</v>
          </cell>
        </row>
      </sheetData>
      <sheetData sheetId="3876">
        <row r="2">
          <cell r="A2">
            <v>0</v>
          </cell>
        </row>
      </sheetData>
      <sheetData sheetId="3877">
        <row r="2">
          <cell r="A2">
            <v>0</v>
          </cell>
        </row>
      </sheetData>
      <sheetData sheetId="3878">
        <row r="2">
          <cell r="A2">
            <v>0</v>
          </cell>
        </row>
      </sheetData>
      <sheetData sheetId="3879">
        <row r="2">
          <cell r="A2">
            <v>0</v>
          </cell>
        </row>
      </sheetData>
      <sheetData sheetId="3880">
        <row r="2">
          <cell r="A2">
            <v>0</v>
          </cell>
        </row>
      </sheetData>
      <sheetData sheetId="3881">
        <row r="2">
          <cell r="A2">
            <v>0</v>
          </cell>
        </row>
      </sheetData>
      <sheetData sheetId="3882">
        <row r="2">
          <cell r="A2">
            <v>0</v>
          </cell>
        </row>
      </sheetData>
      <sheetData sheetId="3883">
        <row r="2">
          <cell r="A2">
            <v>0</v>
          </cell>
        </row>
      </sheetData>
      <sheetData sheetId="3884">
        <row r="2">
          <cell r="A2">
            <v>0</v>
          </cell>
        </row>
      </sheetData>
      <sheetData sheetId="3885">
        <row r="2">
          <cell r="A2">
            <v>0</v>
          </cell>
        </row>
      </sheetData>
      <sheetData sheetId="3886">
        <row r="2">
          <cell r="A2">
            <v>0</v>
          </cell>
        </row>
      </sheetData>
      <sheetData sheetId="3887">
        <row r="2">
          <cell r="A2">
            <v>0</v>
          </cell>
        </row>
      </sheetData>
      <sheetData sheetId="3888">
        <row r="2">
          <cell r="A2">
            <v>0</v>
          </cell>
        </row>
      </sheetData>
      <sheetData sheetId="3889">
        <row r="2">
          <cell r="A2">
            <v>0</v>
          </cell>
        </row>
      </sheetData>
      <sheetData sheetId="3890">
        <row r="2">
          <cell r="A2">
            <v>0</v>
          </cell>
        </row>
      </sheetData>
      <sheetData sheetId="3891">
        <row r="2">
          <cell r="A2">
            <v>0</v>
          </cell>
        </row>
      </sheetData>
      <sheetData sheetId="3892">
        <row r="2">
          <cell r="A2">
            <v>0</v>
          </cell>
        </row>
      </sheetData>
      <sheetData sheetId="3893">
        <row r="2">
          <cell r="A2">
            <v>0</v>
          </cell>
        </row>
      </sheetData>
      <sheetData sheetId="3894">
        <row r="2">
          <cell r="A2">
            <v>0</v>
          </cell>
        </row>
      </sheetData>
      <sheetData sheetId="3895">
        <row r="2">
          <cell r="A2">
            <v>0</v>
          </cell>
        </row>
      </sheetData>
      <sheetData sheetId="3896">
        <row r="2">
          <cell r="A2">
            <v>0</v>
          </cell>
        </row>
      </sheetData>
      <sheetData sheetId="3897">
        <row r="2">
          <cell r="A2">
            <v>0</v>
          </cell>
        </row>
      </sheetData>
      <sheetData sheetId="3898">
        <row r="2">
          <cell r="A2">
            <v>0</v>
          </cell>
        </row>
      </sheetData>
      <sheetData sheetId="3899">
        <row r="2">
          <cell r="A2">
            <v>0</v>
          </cell>
        </row>
      </sheetData>
      <sheetData sheetId="3900">
        <row r="2">
          <cell r="A2">
            <v>0</v>
          </cell>
        </row>
      </sheetData>
      <sheetData sheetId="3901">
        <row r="2">
          <cell r="A2">
            <v>0</v>
          </cell>
        </row>
      </sheetData>
      <sheetData sheetId="3902">
        <row r="2">
          <cell r="A2">
            <v>0</v>
          </cell>
        </row>
      </sheetData>
      <sheetData sheetId="3903">
        <row r="2">
          <cell r="A2">
            <v>0</v>
          </cell>
        </row>
      </sheetData>
      <sheetData sheetId="3904">
        <row r="2">
          <cell r="A2">
            <v>0</v>
          </cell>
        </row>
      </sheetData>
      <sheetData sheetId="3905">
        <row r="2">
          <cell r="A2">
            <v>0</v>
          </cell>
        </row>
      </sheetData>
      <sheetData sheetId="3906">
        <row r="2">
          <cell r="A2">
            <v>0</v>
          </cell>
        </row>
      </sheetData>
      <sheetData sheetId="3907">
        <row r="2">
          <cell r="A2">
            <v>0</v>
          </cell>
        </row>
      </sheetData>
      <sheetData sheetId="3908">
        <row r="2">
          <cell r="A2">
            <v>0</v>
          </cell>
        </row>
      </sheetData>
      <sheetData sheetId="3909">
        <row r="2">
          <cell r="A2">
            <v>0</v>
          </cell>
        </row>
      </sheetData>
      <sheetData sheetId="3910">
        <row r="2">
          <cell r="A2">
            <v>0</v>
          </cell>
        </row>
      </sheetData>
      <sheetData sheetId="3911">
        <row r="2">
          <cell r="A2">
            <v>0</v>
          </cell>
        </row>
      </sheetData>
      <sheetData sheetId="3912">
        <row r="2">
          <cell r="A2">
            <v>0</v>
          </cell>
        </row>
      </sheetData>
      <sheetData sheetId="3913">
        <row r="2">
          <cell r="A2">
            <v>0</v>
          </cell>
        </row>
      </sheetData>
      <sheetData sheetId="3914">
        <row r="2">
          <cell r="A2">
            <v>0</v>
          </cell>
        </row>
      </sheetData>
      <sheetData sheetId="3915">
        <row r="2">
          <cell r="A2">
            <v>0</v>
          </cell>
        </row>
      </sheetData>
      <sheetData sheetId="3916">
        <row r="2">
          <cell r="A2">
            <v>0</v>
          </cell>
        </row>
      </sheetData>
      <sheetData sheetId="3917">
        <row r="2">
          <cell r="A2">
            <v>0</v>
          </cell>
        </row>
      </sheetData>
      <sheetData sheetId="3918">
        <row r="2">
          <cell r="A2">
            <v>0</v>
          </cell>
        </row>
      </sheetData>
      <sheetData sheetId="3919">
        <row r="2">
          <cell r="A2">
            <v>0</v>
          </cell>
        </row>
      </sheetData>
      <sheetData sheetId="3920">
        <row r="2">
          <cell r="A2">
            <v>0</v>
          </cell>
        </row>
      </sheetData>
      <sheetData sheetId="3921">
        <row r="2">
          <cell r="A2">
            <v>0</v>
          </cell>
        </row>
      </sheetData>
      <sheetData sheetId="3922">
        <row r="2">
          <cell r="A2">
            <v>0</v>
          </cell>
        </row>
      </sheetData>
      <sheetData sheetId="3923">
        <row r="2">
          <cell r="A2">
            <v>0</v>
          </cell>
        </row>
      </sheetData>
      <sheetData sheetId="3924">
        <row r="2">
          <cell r="A2">
            <v>0</v>
          </cell>
        </row>
      </sheetData>
      <sheetData sheetId="3925">
        <row r="2">
          <cell r="A2">
            <v>0</v>
          </cell>
        </row>
      </sheetData>
      <sheetData sheetId="3926">
        <row r="2">
          <cell r="A2">
            <v>0</v>
          </cell>
        </row>
      </sheetData>
      <sheetData sheetId="3927">
        <row r="2">
          <cell r="A2">
            <v>0</v>
          </cell>
        </row>
      </sheetData>
      <sheetData sheetId="3928">
        <row r="2">
          <cell r="A2">
            <v>0</v>
          </cell>
        </row>
      </sheetData>
      <sheetData sheetId="3929">
        <row r="2">
          <cell r="A2">
            <v>0</v>
          </cell>
        </row>
      </sheetData>
      <sheetData sheetId="3930">
        <row r="2">
          <cell r="A2">
            <v>0</v>
          </cell>
        </row>
      </sheetData>
      <sheetData sheetId="3931">
        <row r="2">
          <cell r="A2">
            <v>0</v>
          </cell>
        </row>
      </sheetData>
      <sheetData sheetId="3932">
        <row r="2">
          <cell r="A2">
            <v>0</v>
          </cell>
        </row>
      </sheetData>
      <sheetData sheetId="3933">
        <row r="2">
          <cell r="A2">
            <v>0</v>
          </cell>
        </row>
      </sheetData>
      <sheetData sheetId="3934">
        <row r="2">
          <cell r="A2">
            <v>0</v>
          </cell>
        </row>
      </sheetData>
      <sheetData sheetId="3935">
        <row r="2">
          <cell r="A2">
            <v>0</v>
          </cell>
        </row>
      </sheetData>
      <sheetData sheetId="3936">
        <row r="2">
          <cell r="A2">
            <v>0</v>
          </cell>
        </row>
      </sheetData>
      <sheetData sheetId="3937">
        <row r="2">
          <cell r="A2">
            <v>0</v>
          </cell>
        </row>
      </sheetData>
      <sheetData sheetId="3938">
        <row r="2">
          <cell r="A2">
            <v>0</v>
          </cell>
        </row>
      </sheetData>
      <sheetData sheetId="3939">
        <row r="2">
          <cell r="A2">
            <v>0</v>
          </cell>
        </row>
      </sheetData>
      <sheetData sheetId="3940">
        <row r="2">
          <cell r="A2">
            <v>0</v>
          </cell>
        </row>
      </sheetData>
      <sheetData sheetId="3941">
        <row r="2">
          <cell r="A2">
            <v>0</v>
          </cell>
        </row>
      </sheetData>
      <sheetData sheetId="3942">
        <row r="2">
          <cell r="A2">
            <v>0</v>
          </cell>
        </row>
      </sheetData>
      <sheetData sheetId="3943">
        <row r="2">
          <cell r="A2">
            <v>0</v>
          </cell>
        </row>
      </sheetData>
      <sheetData sheetId="3944">
        <row r="2">
          <cell r="A2">
            <v>0</v>
          </cell>
        </row>
      </sheetData>
      <sheetData sheetId="3945">
        <row r="2">
          <cell r="A2">
            <v>0</v>
          </cell>
        </row>
      </sheetData>
      <sheetData sheetId="3946">
        <row r="2">
          <cell r="A2">
            <v>0</v>
          </cell>
        </row>
      </sheetData>
      <sheetData sheetId="3947">
        <row r="2">
          <cell r="A2">
            <v>0</v>
          </cell>
        </row>
      </sheetData>
      <sheetData sheetId="3948">
        <row r="2">
          <cell r="A2">
            <v>0</v>
          </cell>
        </row>
      </sheetData>
      <sheetData sheetId="3949">
        <row r="2">
          <cell r="A2">
            <v>0</v>
          </cell>
        </row>
      </sheetData>
      <sheetData sheetId="3950">
        <row r="2">
          <cell r="A2">
            <v>0</v>
          </cell>
        </row>
      </sheetData>
      <sheetData sheetId="3951">
        <row r="2">
          <cell r="A2">
            <v>0</v>
          </cell>
        </row>
      </sheetData>
      <sheetData sheetId="3952"/>
      <sheetData sheetId="3953"/>
      <sheetData sheetId="3954"/>
      <sheetData sheetId="3955">
        <row r="2">
          <cell r="A2">
            <v>0</v>
          </cell>
        </row>
      </sheetData>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row r="2">
          <cell r="A2">
            <v>0</v>
          </cell>
        </row>
      </sheetData>
      <sheetData sheetId="3992"/>
      <sheetData sheetId="3993"/>
      <sheetData sheetId="3994"/>
      <sheetData sheetId="3995"/>
      <sheetData sheetId="3996"/>
      <sheetData sheetId="3997"/>
      <sheetData sheetId="3998"/>
      <sheetData sheetId="3999"/>
      <sheetData sheetId="4000"/>
      <sheetData sheetId="4001">
        <row r="2">
          <cell r="A2">
            <v>0</v>
          </cell>
        </row>
      </sheetData>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row r="2">
          <cell r="A2">
            <v>0</v>
          </cell>
        </row>
      </sheetData>
      <sheetData sheetId="4168"/>
      <sheetData sheetId="4169"/>
      <sheetData sheetId="4170"/>
      <sheetData sheetId="4171"/>
      <sheetData sheetId="4172"/>
      <sheetData sheetId="4173"/>
      <sheetData sheetId="4174"/>
      <sheetData sheetId="4175"/>
      <sheetData sheetId="4176"/>
      <sheetData sheetId="4177">
        <row r="2">
          <cell r="A2">
            <v>0</v>
          </cell>
        </row>
      </sheetData>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row r="2">
          <cell r="A2">
            <v>0</v>
          </cell>
        </row>
      </sheetData>
      <sheetData sheetId="4214"/>
      <sheetData sheetId="4215"/>
      <sheetData sheetId="4216"/>
      <sheetData sheetId="4217"/>
      <sheetData sheetId="4218"/>
      <sheetData sheetId="4219"/>
      <sheetData sheetId="4220"/>
      <sheetData sheetId="4221"/>
      <sheetData sheetId="4222"/>
      <sheetData sheetId="4223">
        <row r="2">
          <cell r="A2">
            <v>0</v>
          </cell>
        </row>
      </sheetData>
      <sheetData sheetId="4224"/>
      <sheetData sheetId="4225"/>
      <sheetData sheetId="4226"/>
      <sheetData sheetId="4227"/>
      <sheetData sheetId="4228"/>
      <sheetData sheetId="4229"/>
      <sheetData sheetId="4230"/>
      <sheetData sheetId="4231"/>
      <sheetData sheetId="4232"/>
      <sheetData sheetId="4233">
        <row r="2">
          <cell r="A2">
            <v>0</v>
          </cell>
        </row>
      </sheetData>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row r="2">
          <cell r="A2">
            <v>0</v>
          </cell>
        </row>
      </sheetData>
      <sheetData sheetId="4260"/>
      <sheetData sheetId="4261"/>
      <sheetData sheetId="4262"/>
      <sheetData sheetId="4263"/>
      <sheetData sheetId="4264"/>
      <sheetData sheetId="4265"/>
      <sheetData sheetId="4266"/>
      <sheetData sheetId="4267"/>
      <sheetData sheetId="4268"/>
      <sheetData sheetId="4269">
        <row r="2">
          <cell r="A2">
            <v>0</v>
          </cell>
        </row>
      </sheetData>
      <sheetData sheetId="4270"/>
      <sheetData sheetId="4271"/>
      <sheetData sheetId="4272"/>
      <sheetData sheetId="4273"/>
      <sheetData sheetId="4274"/>
      <sheetData sheetId="4275"/>
      <sheetData sheetId="4276"/>
      <sheetData sheetId="4277"/>
      <sheetData sheetId="4278"/>
      <sheetData sheetId="4279">
        <row r="2">
          <cell r="A2">
            <v>0</v>
          </cell>
        </row>
      </sheetData>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row r="2">
          <cell r="A2">
            <v>0</v>
          </cell>
        </row>
      </sheetData>
      <sheetData sheetId="4306"/>
      <sheetData sheetId="4307"/>
      <sheetData sheetId="4308"/>
      <sheetData sheetId="4309"/>
      <sheetData sheetId="4310"/>
      <sheetData sheetId="4311"/>
      <sheetData sheetId="4312"/>
      <sheetData sheetId="4313"/>
      <sheetData sheetId="4314"/>
      <sheetData sheetId="4315">
        <row r="2">
          <cell r="A2">
            <v>0</v>
          </cell>
        </row>
      </sheetData>
      <sheetData sheetId="4316"/>
      <sheetData sheetId="4317"/>
      <sheetData sheetId="4318"/>
      <sheetData sheetId="4319"/>
      <sheetData sheetId="4320"/>
      <sheetData sheetId="4321"/>
      <sheetData sheetId="4322"/>
      <sheetData sheetId="4323"/>
      <sheetData sheetId="4324"/>
      <sheetData sheetId="4325">
        <row r="2">
          <cell r="A2">
            <v>0</v>
          </cell>
        </row>
      </sheetData>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row r="2">
          <cell r="A2">
            <v>0</v>
          </cell>
        </row>
      </sheetData>
      <sheetData sheetId="4353"/>
      <sheetData sheetId="4354"/>
      <sheetData sheetId="4355"/>
      <sheetData sheetId="4356"/>
      <sheetData sheetId="4357"/>
      <sheetData sheetId="4358"/>
      <sheetData sheetId="4359"/>
      <sheetData sheetId="4360"/>
      <sheetData sheetId="4361">
        <row r="2">
          <cell r="A2">
            <v>0</v>
          </cell>
        </row>
      </sheetData>
      <sheetData sheetId="4362">
        <row r="2">
          <cell r="A2">
            <v>0</v>
          </cell>
        </row>
      </sheetData>
      <sheetData sheetId="4363"/>
      <sheetData sheetId="4364"/>
      <sheetData sheetId="4365"/>
      <sheetData sheetId="4366"/>
      <sheetData sheetId="4367"/>
      <sheetData sheetId="4368"/>
      <sheetData sheetId="4369"/>
      <sheetData sheetId="4370"/>
      <sheetData sheetId="4371">
        <row r="2">
          <cell r="A2">
            <v>0</v>
          </cell>
        </row>
      </sheetData>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row r="2">
          <cell r="A2">
            <v>0</v>
          </cell>
        </row>
      </sheetData>
      <sheetData sheetId="4399"/>
      <sheetData sheetId="4400"/>
      <sheetData sheetId="4401"/>
      <sheetData sheetId="4402"/>
      <sheetData sheetId="4403"/>
      <sheetData sheetId="4404"/>
      <sheetData sheetId="4405"/>
      <sheetData sheetId="4406"/>
      <sheetData sheetId="4407"/>
      <sheetData sheetId="4408">
        <row r="2">
          <cell r="A2">
            <v>0</v>
          </cell>
        </row>
      </sheetData>
      <sheetData sheetId="4409"/>
      <sheetData sheetId="4410"/>
      <sheetData sheetId="4411"/>
      <sheetData sheetId="4412"/>
      <sheetData sheetId="4413"/>
      <sheetData sheetId="4414"/>
      <sheetData sheetId="4415"/>
      <sheetData sheetId="4416"/>
      <sheetData sheetId="4417"/>
      <sheetData sheetId="4418">
        <row r="2">
          <cell r="A2">
            <v>0</v>
          </cell>
        </row>
      </sheetData>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row r="2">
          <cell r="A2">
            <v>0</v>
          </cell>
        </row>
      </sheetData>
      <sheetData sheetId="4445"/>
      <sheetData sheetId="4446"/>
      <sheetData sheetId="4447"/>
      <sheetData sheetId="4448"/>
      <sheetData sheetId="4449"/>
      <sheetData sheetId="4450"/>
      <sheetData sheetId="4451"/>
      <sheetData sheetId="4452"/>
      <sheetData sheetId="4453"/>
      <sheetData sheetId="4454">
        <row r="2">
          <cell r="A2">
            <v>0</v>
          </cell>
        </row>
      </sheetData>
      <sheetData sheetId="4455"/>
      <sheetData sheetId="4456"/>
      <sheetData sheetId="4457"/>
      <sheetData sheetId="4458"/>
      <sheetData sheetId="4459"/>
      <sheetData sheetId="4460"/>
      <sheetData sheetId="4461"/>
      <sheetData sheetId="4462"/>
      <sheetData sheetId="4463"/>
      <sheetData sheetId="4464">
        <row r="2">
          <cell r="A2">
            <v>0</v>
          </cell>
        </row>
      </sheetData>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row r="2">
          <cell r="A2">
            <v>0</v>
          </cell>
        </row>
      </sheetData>
      <sheetData sheetId="4491"/>
      <sheetData sheetId="4492"/>
      <sheetData sheetId="4493"/>
      <sheetData sheetId="4494"/>
      <sheetData sheetId="4495"/>
      <sheetData sheetId="4496"/>
      <sheetData sheetId="4497"/>
      <sheetData sheetId="4498"/>
      <sheetData sheetId="4499"/>
      <sheetData sheetId="4500">
        <row r="2">
          <cell r="A2">
            <v>0</v>
          </cell>
        </row>
      </sheetData>
      <sheetData sheetId="4501"/>
      <sheetData sheetId="4502"/>
      <sheetData sheetId="4503"/>
      <sheetData sheetId="4504"/>
      <sheetData sheetId="4505"/>
      <sheetData sheetId="4506"/>
      <sheetData sheetId="4507"/>
      <sheetData sheetId="4508"/>
      <sheetData sheetId="4509"/>
      <sheetData sheetId="4510">
        <row r="2">
          <cell r="A2">
            <v>0</v>
          </cell>
        </row>
      </sheetData>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row r="2">
          <cell r="A2">
            <v>0</v>
          </cell>
        </row>
      </sheetData>
      <sheetData sheetId="4538"/>
      <sheetData sheetId="4539"/>
      <sheetData sheetId="4540"/>
      <sheetData sheetId="4541"/>
      <sheetData sheetId="4542"/>
      <sheetData sheetId="4543"/>
      <sheetData sheetId="4544"/>
      <sheetData sheetId="4545"/>
      <sheetData sheetId="4546">
        <row r="2">
          <cell r="A2">
            <v>0</v>
          </cell>
        </row>
      </sheetData>
      <sheetData sheetId="4547">
        <row r="2">
          <cell r="A2">
            <v>0</v>
          </cell>
        </row>
      </sheetData>
      <sheetData sheetId="4548"/>
      <sheetData sheetId="4549"/>
      <sheetData sheetId="4550"/>
      <sheetData sheetId="4551"/>
      <sheetData sheetId="4552"/>
      <sheetData sheetId="4553"/>
      <sheetData sheetId="4554"/>
      <sheetData sheetId="4555"/>
      <sheetData sheetId="4556">
        <row r="2">
          <cell r="A2">
            <v>0</v>
          </cell>
        </row>
      </sheetData>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row r="2">
          <cell r="A2">
            <v>0</v>
          </cell>
        </row>
      </sheetData>
      <sheetData sheetId="4573">
        <row r="2">
          <cell r="A2">
            <v>0</v>
          </cell>
        </row>
      </sheetData>
      <sheetData sheetId="4574">
        <row r="2">
          <cell r="A2">
            <v>0</v>
          </cell>
        </row>
      </sheetData>
      <sheetData sheetId="4575">
        <row r="2">
          <cell r="A2">
            <v>0</v>
          </cell>
        </row>
      </sheetData>
      <sheetData sheetId="4576">
        <row r="2">
          <cell r="A2">
            <v>0</v>
          </cell>
        </row>
      </sheetData>
      <sheetData sheetId="4577">
        <row r="2">
          <cell r="A2">
            <v>0</v>
          </cell>
        </row>
      </sheetData>
      <sheetData sheetId="4578">
        <row r="2">
          <cell r="A2">
            <v>0</v>
          </cell>
        </row>
      </sheetData>
      <sheetData sheetId="4579"/>
      <sheetData sheetId="4580"/>
      <sheetData sheetId="4581">
        <row r="2">
          <cell r="A2">
            <v>0</v>
          </cell>
        </row>
      </sheetData>
      <sheetData sheetId="4582">
        <row r="2">
          <cell r="A2">
            <v>0</v>
          </cell>
        </row>
      </sheetData>
      <sheetData sheetId="4583">
        <row r="2">
          <cell r="A2">
            <v>0</v>
          </cell>
        </row>
      </sheetData>
      <sheetData sheetId="4584">
        <row r="2">
          <cell r="A2">
            <v>0</v>
          </cell>
        </row>
      </sheetData>
      <sheetData sheetId="4585">
        <row r="2">
          <cell r="A2">
            <v>0</v>
          </cell>
        </row>
      </sheetData>
      <sheetData sheetId="4586">
        <row r="2">
          <cell r="A2">
            <v>0</v>
          </cell>
        </row>
      </sheetData>
      <sheetData sheetId="4587">
        <row r="2">
          <cell r="A2">
            <v>0</v>
          </cell>
        </row>
      </sheetData>
      <sheetData sheetId="4588">
        <row r="2">
          <cell r="A2">
            <v>0</v>
          </cell>
        </row>
      </sheetData>
      <sheetData sheetId="4589"/>
      <sheetData sheetId="4590">
        <row r="2">
          <cell r="A2">
            <v>0</v>
          </cell>
        </row>
      </sheetData>
      <sheetData sheetId="4591">
        <row r="2">
          <cell r="A2">
            <v>0</v>
          </cell>
        </row>
      </sheetData>
      <sheetData sheetId="4592">
        <row r="2">
          <cell r="A2">
            <v>0</v>
          </cell>
        </row>
      </sheetData>
      <sheetData sheetId="4593">
        <row r="2">
          <cell r="A2">
            <v>0</v>
          </cell>
        </row>
      </sheetData>
      <sheetData sheetId="4594">
        <row r="2">
          <cell r="A2">
            <v>0</v>
          </cell>
        </row>
      </sheetData>
      <sheetData sheetId="4595">
        <row r="2">
          <cell r="A2">
            <v>0</v>
          </cell>
        </row>
      </sheetData>
      <sheetData sheetId="4596">
        <row r="2">
          <cell r="A2">
            <v>0</v>
          </cell>
        </row>
      </sheetData>
      <sheetData sheetId="4597">
        <row r="2">
          <cell r="A2">
            <v>0</v>
          </cell>
        </row>
      </sheetData>
      <sheetData sheetId="4598">
        <row r="2">
          <cell r="A2">
            <v>0</v>
          </cell>
        </row>
      </sheetData>
      <sheetData sheetId="4599">
        <row r="2">
          <cell r="A2">
            <v>0</v>
          </cell>
        </row>
      </sheetData>
      <sheetData sheetId="4600">
        <row r="2">
          <cell r="A2">
            <v>0</v>
          </cell>
        </row>
      </sheetData>
      <sheetData sheetId="4601">
        <row r="2">
          <cell r="A2">
            <v>0</v>
          </cell>
        </row>
      </sheetData>
      <sheetData sheetId="4602">
        <row r="2">
          <cell r="A2">
            <v>0</v>
          </cell>
        </row>
      </sheetData>
      <sheetData sheetId="4603">
        <row r="2">
          <cell r="A2">
            <v>0</v>
          </cell>
        </row>
      </sheetData>
      <sheetData sheetId="4604">
        <row r="2">
          <cell r="A2">
            <v>0</v>
          </cell>
        </row>
      </sheetData>
      <sheetData sheetId="4605">
        <row r="2">
          <cell r="A2">
            <v>0</v>
          </cell>
        </row>
      </sheetData>
      <sheetData sheetId="4606">
        <row r="2">
          <cell r="A2">
            <v>0</v>
          </cell>
        </row>
      </sheetData>
      <sheetData sheetId="4607">
        <row r="2">
          <cell r="A2">
            <v>0</v>
          </cell>
        </row>
      </sheetData>
      <sheetData sheetId="4608">
        <row r="2">
          <cell r="A2">
            <v>0</v>
          </cell>
        </row>
      </sheetData>
      <sheetData sheetId="4609">
        <row r="2">
          <cell r="A2">
            <v>0</v>
          </cell>
        </row>
      </sheetData>
      <sheetData sheetId="4610">
        <row r="2">
          <cell r="A2">
            <v>0</v>
          </cell>
        </row>
      </sheetData>
      <sheetData sheetId="4611">
        <row r="2">
          <cell r="A2">
            <v>0</v>
          </cell>
        </row>
      </sheetData>
      <sheetData sheetId="4612">
        <row r="2">
          <cell r="A2">
            <v>0</v>
          </cell>
        </row>
      </sheetData>
      <sheetData sheetId="4613">
        <row r="2">
          <cell r="A2">
            <v>0</v>
          </cell>
        </row>
      </sheetData>
      <sheetData sheetId="4614">
        <row r="2">
          <cell r="A2">
            <v>0</v>
          </cell>
        </row>
      </sheetData>
      <sheetData sheetId="4615">
        <row r="2">
          <cell r="A2">
            <v>0</v>
          </cell>
        </row>
      </sheetData>
      <sheetData sheetId="4616">
        <row r="2">
          <cell r="A2">
            <v>0</v>
          </cell>
        </row>
      </sheetData>
      <sheetData sheetId="4617">
        <row r="2">
          <cell r="A2">
            <v>0</v>
          </cell>
        </row>
      </sheetData>
      <sheetData sheetId="4618">
        <row r="2">
          <cell r="A2">
            <v>0</v>
          </cell>
        </row>
      </sheetData>
      <sheetData sheetId="4619">
        <row r="2">
          <cell r="A2">
            <v>0</v>
          </cell>
        </row>
      </sheetData>
      <sheetData sheetId="4620">
        <row r="2">
          <cell r="A2">
            <v>0</v>
          </cell>
        </row>
      </sheetData>
      <sheetData sheetId="4621">
        <row r="2">
          <cell r="A2">
            <v>0</v>
          </cell>
        </row>
      </sheetData>
      <sheetData sheetId="4622">
        <row r="2">
          <cell r="A2">
            <v>0</v>
          </cell>
        </row>
      </sheetData>
      <sheetData sheetId="4623">
        <row r="2">
          <cell r="A2">
            <v>0</v>
          </cell>
        </row>
      </sheetData>
      <sheetData sheetId="4624">
        <row r="2">
          <cell r="A2">
            <v>0</v>
          </cell>
        </row>
      </sheetData>
      <sheetData sheetId="4625">
        <row r="2">
          <cell r="A2">
            <v>0</v>
          </cell>
        </row>
      </sheetData>
      <sheetData sheetId="4626">
        <row r="2">
          <cell r="A2">
            <v>0</v>
          </cell>
        </row>
      </sheetData>
      <sheetData sheetId="4627">
        <row r="2">
          <cell r="A2">
            <v>0</v>
          </cell>
        </row>
      </sheetData>
      <sheetData sheetId="4628">
        <row r="2">
          <cell r="A2">
            <v>0</v>
          </cell>
        </row>
      </sheetData>
      <sheetData sheetId="4629">
        <row r="2">
          <cell r="A2">
            <v>0</v>
          </cell>
        </row>
      </sheetData>
      <sheetData sheetId="4630">
        <row r="2">
          <cell r="A2">
            <v>0</v>
          </cell>
        </row>
      </sheetData>
      <sheetData sheetId="4631">
        <row r="2">
          <cell r="A2">
            <v>0</v>
          </cell>
        </row>
      </sheetData>
      <sheetData sheetId="4632">
        <row r="2">
          <cell r="A2">
            <v>0</v>
          </cell>
        </row>
      </sheetData>
      <sheetData sheetId="4633">
        <row r="2">
          <cell r="A2">
            <v>0</v>
          </cell>
        </row>
      </sheetData>
      <sheetData sheetId="4634">
        <row r="2">
          <cell r="A2">
            <v>0</v>
          </cell>
        </row>
      </sheetData>
      <sheetData sheetId="4635">
        <row r="2">
          <cell r="A2">
            <v>0</v>
          </cell>
        </row>
      </sheetData>
      <sheetData sheetId="4636">
        <row r="2">
          <cell r="A2">
            <v>0</v>
          </cell>
        </row>
      </sheetData>
      <sheetData sheetId="4637">
        <row r="2">
          <cell r="A2">
            <v>0</v>
          </cell>
        </row>
      </sheetData>
      <sheetData sheetId="4638">
        <row r="2">
          <cell r="A2">
            <v>0</v>
          </cell>
        </row>
      </sheetData>
      <sheetData sheetId="4639">
        <row r="2">
          <cell r="A2">
            <v>0</v>
          </cell>
        </row>
      </sheetData>
      <sheetData sheetId="4640">
        <row r="2">
          <cell r="A2">
            <v>0</v>
          </cell>
        </row>
      </sheetData>
      <sheetData sheetId="4641">
        <row r="2">
          <cell r="A2">
            <v>0</v>
          </cell>
        </row>
      </sheetData>
      <sheetData sheetId="4642">
        <row r="2">
          <cell r="A2">
            <v>0</v>
          </cell>
        </row>
      </sheetData>
      <sheetData sheetId="4643">
        <row r="2">
          <cell r="A2">
            <v>0</v>
          </cell>
        </row>
      </sheetData>
      <sheetData sheetId="4644">
        <row r="2">
          <cell r="A2">
            <v>0</v>
          </cell>
        </row>
      </sheetData>
      <sheetData sheetId="4645">
        <row r="2">
          <cell r="A2">
            <v>0</v>
          </cell>
        </row>
      </sheetData>
      <sheetData sheetId="4646">
        <row r="2">
          <cell r="A2">
            <v>0</v>
          </cell>
        </row>
      </sheetData>
      <sheetData sheetId="4647">
        <row r="2">
          <cell r="A2">
            <v>0</v>
          </cell>
        </row>
      </sheetData>
      <sheetData sheetId="4648">
        <row r="2">
          <cell r="A2">
            <v>0</v>
          </cell>
        </row>
      </sheetData>
      <sheetData sheetId="4649">
        <row r="2">
          <cell r="A2">
            <v>0</v>
          </cell>
        </row>
      </sheetData>
      <sheetData sheetId="4650">
        <row r="2">
          <cell r="A2">
            <v>0</v>
          </cell>
        </row>
      </sheetData>
      <sheetData sheetId="4651">
        <row r="2">
          <cell r="A2">
            <v>0</v>
          </cell>
        </row>
      </sheetData>
      <sheetData sheetId="4652">
        <row r="2">
          <cell r="A2">
            <v>0</v>
          </cell>
        </row>
      </sheetData>
      <sheetData sheetId="4653">
        <row r="2">
          <cell r="A2">
            <v>0</v>
          </cell>
        </row>
      </sheetData>
      <sheetData sheetId="4654">
        <row r="2">
          <cell r="A2">
            <v>0</v>
          </cell>
        </row>
      </sheetData>
      <sheetData sheetId="4655">
        <row r="2">
          <cell r="A2">
            <v>0</v>
          </cell>
        </row>
      </sheetData>
      <sheetData sheetId="4656">
        <row r="2">
          <cell r="A2">
            <v>0</v>
          </cell>
        </row>
      </sheetData>
      <sheetData sheetId="4657">
        <row r="2">
          <cell r="A2">
            <v>0</v>
          </cell>
        </row>
      </sheetData>
      <sheetData sheetId="4658">
        <row r="2">
          <cell r="A2">
            <v>0</v>
          </cell>
        </row>
      </sheetData>
      <sheetData sheetId="4659">
        <row r="2">
          <cell r="A2">
            <v>0</v>
          </cell>
        </row>
      </sheetData>
      <sheetData sheetId="4660">
        <row r="2">
          <cell r="A2">
            <v>0</v>
          </cell>
        </row>
      </sheetData>
      <sheetData sheetId="4661">
        <row r="2">
          <cell r="A2">
            <v>0</v>
          </cell>
        </row>
      </sheetData>
      <sheetData sheetId="4662">
        <row r="2">
          <cell r="A2">
            <v>0</v>
          </cell>
        </row>
      </sheetData>
      <sheetData sheetId="4663">
        <row r="2">
          <cell r="A2">
            <v>0</v>
          </cell>
        </row>
      </sheetData>
      <sheetData sheetId="4664">
        <row r="2">
          <cell r="A2">
            <v>0</v>
          </cell>
        </row>
      </sheetData>
      <sheetData sheetId="4665">
        <row r="2">
          <cell r="A2">
            <v>0</v>
          </cell>
        </row>
      </sheetData>
      <sheetData sheetId="4666">
        <row r="2">
          <cell r="A2">
            <v>0</v>
          </cell>
        </row>
      </sheetData>
      <sheetData sheetId="4667">
        <row r="2">
          <cell r="A2">
            <v>0</v>
          </cell>
        </row>
      </sheetData>
      <sheetData sheetId="4668">
        <row r="2">
          <cell r="A2">
            <v>0</v>
          </cell>
        </row>
      </sheetData>
      <sheetData sheetId="4669">
        <row r="2">
          <cell r="A2">
            <v>0</v>
          </cell>
        </row>
      </sheetData>
      <sheetData sheetId="4670">
        <row r="2">
          <cell r="A2">
            <v>0</v>
          </cell>
        </row>
      </sheetData>
      <sheetData sheetId="4671">
        <row r="2">
          <cell r="A2">
            <v>0</v>
          </cell>
        </row>
      </sheetData>
      <sheetData sheetId="4672">
        <row r="2">
          <cell r="A2">
            <v>0</v>
          </cell>
        </row>
      </sheetData>
      <sheetData sheetId="4673">
        <row r="2">
          <cell r="A2">
            <v>0</v>
          </cell>
        </row>
      </sheetData>
      <sheetData sheetId="4674">
        <row r="2">
          <cell r="A2">
            <v>0</v>
          </cell>
        </row>
      </sheetData>
      <sheetData sheetId="4675">
        <row r="2">
          <cell r="A2">
            <v>0</v>
          </cell>
        </row>
      </sheetData>
      <sheetData sheetId="4676">
        <row r="2">
          <cell r="A2">
            <v>0</v>
          </cell>
        </row>
      </sheetData>
      <sheetData sheetId="4677">
        <row r="2">
          <cell r="A2">
            <v>0</v>
          </cell>
        </row>
      </sheetData>
      <sheetData sheetId="4678">
        <row r="2">
          <cell r="A2">
            <v>0</v>
          </cell>
        </row>
      </sheetData>
      <sheetData sheetId="4679">
        <row r="2">
          <cell r="A2">
            <v>0</v>
          </cell>
        </row>
      </sheetData>
      <sheetData sheetId="4680">
        <row r="2">
          <cell r="A2">
            <v>0</v>
          </cell>
        </row>
      </sheetData>
      <sheetData sheetId="4681">
        <row r="2">
          <cell r="A2">
            <v>0</v>
          </cell>
        </row>
      </sheetData>
      <sheetData sheetId="4682">
        <row r="2">
          <cell r="A2">
            <v>0</v>
          </cell>
        </row>
      </sheetData>
      <sheetData sheetId="4683">
        <row r="2">
          <cell r="A2">
            <v>0</v>
          </cell>
        </row>
      </sheetData>
      <sheetData sheetId="4684">
        <row r="2">
          <cell r="A2">
            <v>0</v>
          </cell>
        </row>
      </sheetData>
      <sheetData sheetId="4685">
        <row r="2">
          <cell r="A2">
            <v>0</v>
          </cell>
        </row>
      </sheetData>
      <sheetData sheetId="4686">
        <row r="2">
          <cell r="A2">
            <v>0</v>
          </cell>
        </row>
      </sheetData>
      <sheetData sheetId="4687">
        <row r="2">
          <cell r="A2">
            <v>0</v>
          </cell>
        </row>
      </sheetData>
      <sheetData sheetId="4688">
        <row r="2">
          <cell r="A2">
            <v>0</v>
          </cell>
        </row>
      </sheetData>
      <sheetData sheetId="4689">
        <row r="2">
          <cell r="A2">
            <v>0</v>
          </cell>
        </row>
      </sheetData>
      <sheetData sheetId="4690">
        <row r="2">
          <cell r="A2">
            <v>0</v>
          </cell>
        </row>
      </sheetData>
      <sheetData sheetId="4691">
        <row r="2">
          <cell r="A2">
            <v>0</v>
          </cell>
        </row>
      </sheetData>
      <sheetData sheetId="4692">
        <row r="2">
          <cell r="A2">
            <v>0</v>
          </cell>
        </row>
      </sheetData>
      <sheetData sheetId="4693">
        <row r="2">
          <cell r="A2">
            <v>0</v>
          </cell>
        </row>
      </sheetData>
      <sheetData sheetId="4694">
        <row r="2">
          <cell r="A2">
            <v>0</v>
          </cell>
        </row>
      </sheetData>
      <sheetData sheetId="4695">
        <row r="2">
          <cell r="A2">
            <v>0</v>
          </cell>
        </row>
      </sheetData>
      <sheetData sheetId="4696">
        <row r="2">
          <cell r="A2">
            <v>0</v>
          </cell>
        </row>
      </sheetData>
      <sheetData sheetId="4697">
        <row r="2">
          <cell r="A2">
            <v>0</v>
          </cell>
        </row>
      </sheetData>
      <sheetData sheetId="4698">
        <row r="2">
          <cell r="A2">
            <v>0</v>
          </cell>
        </row>
      </sheetData>
      <sheetData sheetId="4699">
        <row r="2">
          <cell r="A2">
            <v>0</v>
          </cell>
        </row>
      </sheetData>
      <sheetData sheetId="4700">
        <row r="2">
          <cell r="A2">
            <v>0</v>
          </cell>
        </row>
      </sheetData>
      <sheetData sheetId="4701">
        <row r="2">
          <cell r="A2">
            <v>0</v>
          </cell>
        </row>
      </sheetData>
      <sheetData sheetId="4702">
        <row r="2">
          <cell r="A2">
            <v>0</v>
          </cell>
        </row>
      </sheetData>
      <sheetData sheetId="4703">
        <row r="2">
          <cell r="A2">
            <v>0</v>
          </cell>
        </row>
      </sheetData>
      <sheetData sheetId="4704">
        <row r="2">
          <cell r="A2">
            <v>0</v>
          </cell>
        </row>
      </sheetData>
      <sheetData sheetId="4705">
        <row r="2">
          <cell r="A2">
            <v>0</v>
          </cell>
        </row>
      </sheetData>
      <sheetData sheetId="4706">
        <row r="2">
          <cell r="A2">
            <v>0</v>
          </cell>
        </row>
      </sheetData>
      <sheetData sheetId="4707">
        <row r="2">
          <cell r="A2">
            <v>0</v>
          </cell>
        </row>
      </sheetData>
      <sheetData sheetId="4708">
        <row r="2">
          <cell r="A2">
            <v>0</v>
          </cell>
        </row>
      </sheetData>
      <sheetData sheetId="4709">
        <row r="2">
          <cell r="A2">
            <v>0</v>
          </cell>
        </row>
      </sheetData>
      <sheetData sheetId="4710">
        <row r="2">
          <cell r="A2">
            <v>0</v>
          </cell>
        </row>
      </sheetData>
      <sheetData sheetId="4711">
        <row r="2">
          <cell r="A2">
            <v>0</v>
          </cell>
        </row>
      </sheetData>
      <sheetData sheetId="4712">
        <row r="2">
          <cell r="A2">
            <v>0</v>
          </cell>
        </row>
      </sheetData>
      <sheetData sheetId="4713">
        <row r="2">
          <cell r="A2">
            <v>0</v>
          </cell>
        </row>
      </sheetData>
      <sheetData sheetId="4714">
        <row r="2">
          <cell r="A2">
            <v>0</v>
          </cell>
        </row>
      </sheetData>
      <sheetData sheetId="4715">
        <row r="2">
          <cell r="A2">
            <v>0</v>
          </cell>
        </row>
      </sheetData>
      <sheetData sheetId="4716">
        <row r="2">
          <cell r="A2">
            <v>0</v>
          </cell>
        </row>
      </sheetData>
      <sheetData sheetId="4717">
        <row r="2">
          <cell r="A2">
            <v>0</v>
          </cell>
        </row>
      </sheetData>
      <sheetData sheetId="4718">
        <row r="2">
          <cell r="A2">
            <v>0</v>
          </cell>
        </row>
      </sheetData>
      <sheetData sheetId="4719">
        <row r="2">
          <cell r="A2">
            <v>0</v>
          </cell>
        </row>
      </sheetData>
      <sheetData sheetId="4720">
        <row r="2">
          <cell r="A2">
            <v>0</v>
          </cell>
        </row>
      </sheetData>
      <sheetData sheetId="4721">
        <row r="2">
          <cell r="A2">
            <v>0</v>
          </cell>
        </row>
      </sheetData>
      <sheetData sheetId="4722">
        <row r="2">
          <cell r="A2">
            <v>0</v>
          </cell>
        </row>
      </sheetData>
      <sheetData sheetId="4723">
        <row r="2">
          <cell r="A2">
            <v>0</v>
          </cell>
        </row>
      </sheetData>
      <sheetData sheetId="4724">
        <row r="2">
          <cell r="A2">
            <v>0</v>
          </cell>
        </row>
      </sheetData>
      <sheetData sheetId="4725">
        <row r="2">
          <cell r="A2">
            <v>0</v>
          </cell>
        </row>
      </sheetData>
      <sheetData sheetId="4726">
        <row r="2">
          <cell r="A2">
            <v>0</v>
          </cell>
        </row>
      </sheetData>
      <sheetData sheetId="4727">
        <row r="2">
          <cell r="A2">
            <v>0</v>
          </cell>
        </row>
      </sheetData>
      <sheetData sheetId="4728">
        <row r="2">
          <cell r="A2">
            <v>0</v>
          </cell>
        </row>
      </sheetData>
      <sheetData sheetId="4729">
        <row r="2">
          <cell r="A2">
            <v>0</v>
          </cell>
        </row>
      </sheetData>
      <sheetData sheetId="4730">
        <row r="2">
          <cell r="A2">
            <v>0</v>
          </cell>
        </row>
      </sheetData>
      <sheetData sheetId="4731">
        <row r="2">
          <cell r="A2">
            <v>0</v>
          </cell>
        </row>
      </sheetData>
      <sheetData sheetId="4732">
        <row r="2">
          <cell r="A2">
            <v>0</v>
          </cell>
        </row>
      </sheetData>
      <sheetData sheetId="4733">
        <row r="2">
          <cell r="A2">
            <v>0</v>
          </cell>
        </row>
      </sheetData>
      <sheetData sheetId="4734">
        <row r="2">
          <cell r="A2">
            <v>0</v>
          </cell>
        </row>
      </sheetData>
      <sheetData sheetId="4735">
        <row r="2">
          <cell r="A2">
            <v>0</v>
          </cell>
        </row>
      </sheetData>
      <sheetData sheetId="4736">
        <row r="2">
          <cell r="A2">
            <v>0</v>
          </cell>
        </row>
      </sheetData>
      <sheetData sheetId="4737">
        <row r="2">
          <cell r="A2">
            <v>0</v>
          </cell>
        </row>
      </sheetData>
      <sheetData sheetId="4738">
        <row r="2">
          <cell r="A2">
            <v>0</v>
          </cell>
        </row>
      </sheetData>
      <sheetData sheetId="4739">
        <row r="2">
          <cell r="A2">
            <v>0</v>
          </cell>
        </row>
      </sheetData>
      <sheetData sheetId="4740">
        <row r="2">
          <cell r="A2">
            <v>0</v>
          </cell>
        </row>
      </sheetData>
      <sheetData sheetId="4741">
        <row r="2">
          <cell r="A2">
            <v>0</v>
          </cell>
        </row>
      </sheetData>
      <sheetData sheetId="4742">
        <row r="2">
          <cell r="A2">
            <v>0</v>
          </cell>
        </row>
      </sheetData>
      <sheetData sheetId="4743">
        <row r="2">
          <cell r="A2">
            <v>0</v>
          </cell>
        </row>
      </sheetData>
      <sheetData sheetId="4744">
        <row r="2">
          <cell r="A2">
            <v>0</v>
          </cell>
        </row>
      </sheetData>
      <sheetData sheetId="4745">
        <row r="2">
          <cell r="A2">
            <v>0</v>
          </cell>
        </row>
      </sheetData>
      <sheetData sheetId="4746">
        <row r="2">
          <cell r="A2">
            <v>0</v>
          </cell>
        </row>
      </sheetData>
      <sheetData sheetId="4747">
        <row r="2">
          <cell r="A2">
            <v>0</v>
          </cell>
        </row>
      </sheetData>
      <sheetData sheetId="4748">
        <row r="2">
          <cell r="A2">
            <v>0</v>
          </cell>
        </row>
      </sheetData>
      <sheetData sheetId="4749">
        <row r="2">
          <cell r="A2">
            <v>0</v>
          </cell>
        </row>
      </sheetData>
      <sheetData sheetId="4750">
        <row r="2">
          <cell r="A2">
            <v>0</v>
          </cell>
        </row>
      </sheetData>
      <sheetData sheetId="4751">
        <row r="2">
          <cell r="A2">
            <v>0</v>
          </cell>
        </row>
      </sheetData>
      <sheetData sheetId="4752">
        <row r="2">
          <cell r="A2">
            <v>0</v>
          </cell>
        </row>
      </sheetData>
      <sheetData sheetId="4753">
        <row r="2">
          <cell r="A2">
            <v>0</v>
          </cell>
        </row>
      </sheetData>
      <sheetData sheetId="4754">
        <row r="2">
          <cell r="A2">
            <v>0</v>
          </cell>
        </row>
      </sheetData>
      <sheetData sheetId="4755">
        <row r="2">
          <cell r="A2">
            <v>0</v>
          </cell>
        </row>
      </sheetData>
      <sheetData sheetId="4756">
        <row r="2">
          <cell r="A2">
            <v>0</v>
          </cell>
        </row>
      </sheetData>
      <sheetData sheetId="4757">
        <row r="2">
          <cell r="A2">
            <v>0</v>
          </cell>
        </row>
      </sheetData>
      <sheetData sheetId="4758">
        <row r="2">
          <cell r="A2">
            <v>0</v>
          </cell>
        </row>
      </sheetData>
      <sheetData sheetId="4759">
        <row r="2">
          <cell r="A2">
            <v>0</v>
          </cell>
        </row>
      </sheetData>
      <sheetData sheetId="4760">
        <row r="2">
          <cell r="A2">
            <v>0</v>
          </cell>
        </row>
      </sheetData>
      <sheetData sheetId="4761">
        <row r="2">
          <cell r="A2">
            <v>0</v>
          </cell>
        </row>
      </sheetData>
      <sheetData sheetId="4762">
        <row r="2">
          <cell r="A2">
            <v>0</v>
          </cell>
        </row>
      </sheetData>
      <sheetData sheetId="4763">
        <row r="2">
          <cell r="A2">
            <v>0</v>
          </cell>
        </row>
      </sheetData>
      <sheetData sheetId="4764">
        <row r="2">
          <cell r="A2">
            <v>0</v>
          </cell>
        </row>
      </sheetData>
      <sheetData sheetId="4765">
        <row r="2">
          <cell r="A2">
            <v>0</v>
          </cell>
        </row>
      </sheetData>
      <sheetData sheetId="4766">
        <row r="2">
          <cell r="A2">
            <v>0</v>
          </cell>
        </row>
      </sheetData>
      <sheetData sheetId="4767">
        <row r="2">
          <cell r="A2">
            <v>0</v>
          </cell>
        </row>
      </sheetData>
      <sheetData sheetId="4768">
        <row r="2">
          <cell r="A2">
            <v>0</v>
          </cell>
        </row>
      </sheetData>
      <sheetData sheetId="4769">
        <row r="2">
          <cell r="A2">
            <v>0</v>
          </cell>
        </row>
      </sheetData>
      <sheetData sheetId="4770">
        <row r="2">
          <cell r="A2">
            <v>0</v>
          </cell>
        </row>
      </sheetData>
      <sheetData sheetId="4771">
        <row r="2">
          <cell r="A2">
            <v>0</v>
          </cell>
        </row>
      </sheetData>
      <sheetData sheetId="4772">
        <row r="2">
          <cell r="A2">
            <v>0</v>
          </cell>
        </row>
      </sheetData>
      <sheetData sheetId="4773">
        <row r="2">
          <cell r="A2">
            <v>0</v>
          </cell>
        </row>
      </sheetData>
      <sheetData sheetId="4774">
        <row r="2">
          <cell r="A2">
            <v>0</v>
          </cell>
        </row>
      </sheetData>
      <sheetData sheetId="4775">
        <row r="2">
          <cell r="A2">
            <v>0</v>
          </cell>
        </row>
      </sheetData>
      <sheetData sheetId="4776">
        <row r="2">
          <cell r="A2">
            <v>0</v>
          </cell>
        </row>
      </sheetData>
      <sheetData sheetId="4777">
        <row r="2">
          <cell r="A2">
            <v>0</v>
          </cell>
        </row>
      </sheetData>
      <sheetData sheetId="4778">
        <row r="2">
          <cell r="A2">
            <v>0</v>
          </cell>
        </row>
      </sheetData>
      <sheetData sheetId="4779">
        <row r="2">
          <cell r="A2">
            <v>0</v>
          </cell>
        </row>
      </sheetData>
      <sheetData sheetId="4780">
        <row r="2">
          <cell r="A2">
            <v>0</v>
          </cell>
        </row>
      </sheetData>
      <sheetData sheetId="4781">
        <row r="2">
          <cell r="A2">
            <v>0</v>
          </cell>
        </row>
      </sheetData>
      <sheetData sheetId="4782">
        <row r="2">
          <cell r="A2">
            <v>0</v>
          </cell>
        </row>
      </sheetData>
      <sheetData sheetId="4783">
        <row r="2">
          <cell r="A2">
            <v>0</v>
          </cell>
        </row>
      </sheetData>
      <sheetData sheetId="4784">
        <row r="2">
          <cell r="A2">
            <v>0</v>
          </cell>
        </row>
      </sheetData>
      <sheetData sheetId="4785">
        <row r="2">
          <cell r="A2">
            <v>0</v>
          </cell>
        </row>
      </sheetData>
      <sheetData sheetId="4786">
        <row r="2">
          <cell r="A2">
            <v>0</v>
          </cell>
        </row>
      </sheetData>
      <sheetData sheetId="4787">
        <row r="2">
          <cell r="A2">
            <v>0</v>
          </cell>
        </row>
      </sheetData>
      <sheetData sheetId="4788">
        <row r="2">
          <cell r="A2">
            <v>0</v>
          </cell>
        </row>
      </sheetData>
      <sheetData sheetId="4789">
        <row r="2">
          <cell r="A2">
            <v>0</v>
          </cell>
        </row>
      </sheetData>
      <sheetData sheetId="4790">
        <row r="2">
          <cell r="A2">
            <v>0</v>
          </cell>
        </row>
      </sheetData>
      <sheetData sheetId="4791">
        <row r="2">
          <cell r="A2">
            <v>0</v>
          </cell>
        </row>
      </sheetData>
      <sheetData sheetId="4792">
        <row r="2">
          <cell r="A2">
            <v>0</v>
          </cell>
        </row>
      </sheetData>
      <sheetData sheetId="4793">
        <row r="2">
          <cell r="A2">
            <v>0</v>
          </cell>
        </row>
      </sheetData>
      <sheetData sheetId="4794">
        <row r="2">
          <cell r="A2">
            <v>0</v>
          </cell>
        </row>
      </sheetData>
      <sheetData sheetId="4795">
        <row r="2">
          <cell r="A2">
            <v>0</v>
          </cell>
        </row>
      </sheetData>
      <sheetData sheetId="4796">
        <row r="2">
          <cell r="A2">
            <v>0</v>
          </cell>
        </row>
      </sheetData>
      <sheetData sheetId="4797">
        <row r="2">
          <cell r="A2">
            <v>0</v>
          </cell>
        </row>
      </sheetData>
      <sheetData sheetId="4798">
        <row r="2">
          <cell r="A2">
            <v>0</v>
          </cell>
        </row>
      </sheetData>
      <sheetData sheetId="4799">
        <row r="2">
          <cell r="A2">
            <v>0</v>
          </cell>
        </row>
      </sheetData>
      <sheetData sheetId="4800">
        <row r="2">
          <cell r="A2">
            <v>0</v>
          </cell>
        </row>
      </sheetData>
      <sheetData sheetId="4801">
        <row r="2">
          <cell r="A2">
            <v>0</v>
          </cell>
        </row>
      </sheetData>
      <sheetData sheetId="4802">
        <row r="2">
          <cell r="A2">
            <v>0</v>
          </cell>
        </row>
      </sheetData>
      <sheetData sheetId="4803">
        <row r="2">
          <cell r="A2">
            <v>0</v>
          </cell>
        </row>
      </sheetData>
      <sheetData sheetId="4804">
        <row r="2">
          <cell r="A2">
            <v>0</v>
          </cell>
        </row>
      </sheetData>
      <sheetData sheetId="4805">
        <row r="2">
          <cell r="A2">
            <v>0</v>
          </cell>
        </row>
      </sheetData>
      <sheetData sheetId="4806">
        <row r="2">
          <cell r="A2">
            <v>0</v>
          </cell>
        </row>
      </sheetData>
      <sheetData sheetId="4807">
        <row r="2">
          <cell r="A2">
            <v>0</v>
          </cell>
        </row>
      </sheetData>
      <sheetData sheetId="4808">
        <row r="2">
          <cell r="A2">
            <v>0</v>
          </cell>
        </row>
      </sheetData>
      <sheetData sheetId="4809">
        <row r="2">
          <cell r="A2">
            <v>0</v>
          </cell>
        </row>
      </sheetData>
      <sheetData sheetId="4810">
        <row r="2">
          <cell r="A2">
            <v>0</v>
          </cell>
        </row>
      </sheetData>
      <sheetData sheetId="4811">
        <row r="2">
          <cell r="A2">
            <v>0</v>
          </cell>
        </row>
      </sheetData>
      <sheetData sheetId="4812">
        <row r="2">
          <cell r="A2">
            <v>0</v>
          </cell>
        </row>
      </sheetData>
      <sheetData sheetId="4813">
        <row r="2">
          <cell r="A2">
            <v>0</v>
          </cell>
        </row>
      </sheetData>
      <sheetData sheetId="4814">
        <row r="2">
          <cell r="A2">
            <v>0</v>
          </cell>
        </row>
      </sheetData>
      <sheetData sheetId="4815">
        <row r="2">
          <cell r="A2">
            <v>0</v>
          </cell>
        </row>
      </sheetData>
      <sheetData sheetId="4816">
        <row r="2">
          <cell r="A2">
            <v>0</v>
          </cell>
        </row>
      </sheetData>
      <sheetData sheetId="4817">
        <row r="2">
          <cell r="A2">
            <v>0</v>
          </cell>
        </row>
      </sheetData>
      <sheetData sheetId="4818">
        <row r="2">
          <cell r="A2">
            <v>0</v>
          </cell>
        </row>
      </sheetData>
      <sheetData sheetId="4819">
        <row r="2">
          <cell r="A2">
            <v>0</v>
          </cell>
        </row>
      </sheetData>
      <sheetData sheetId="4820">
        <row r="2">
          <cell r="A2">
            <v>0</v>
          </cell>
        </row>
      </sheetData>
      <sheetData sheetId="4821">
        <row r="2">
          <cell r="A2">
            <v>0</v>
          </cell>
        </row>
      </sheetData>
      <sheetData sheetId="4822">
        <row r="2">
          <cell r="A2">
            <v>0</v>
          </cell>
        </row>
      </sheetData>
      <sheetData sheetId="4823">
        <row r="2">
          <cell r="A2">
            <v>0</v>
          </cell>
        </row>
      </sheetData>
      <sheetData sheetId="4824">
        <row r="2">
          <cell r="A2">
            <v>0</v>
          </cell>
        </row>
      </sheetData>
      <sheetData sheetId="4825">
        <row r="2">
          <cell r="A2">
            <v>0</v>
          </cell>
        </row>
      </sheetData>
      <sheetData sheetId="4826">
        <row r="2">
          <cell r="A2">
            <v>0</v>
          </cell>
        </row>
      </sheetData>
      <sheetData sheetId="4827">
        <row r="2">
          <cell r="A2">
            <v>0</v>
          </cell>
        </row>
      </sheetData>
      <sheetData sheetId="4828">
        <row r="2">
          <cell r="A2">
            <v>0</v>
          </cell>
        </row>
      </sheetData>
      <sheetData sheetId="4829">
        <row r="2">
          <cell r="A2">
            <v>0</v>
          </cell>
        </row>
      </sheetData>
      <sheetData sheetId="4830">
        <row r="2">
          <cell r="A2">
            <v>0</v>
          </cell>
        </row>
      </sheetData>
      <sheetData sheetId="4831">
        <row r="2">
          <cell r="A2">
            <v>0</v>
          </cell>
        </row>
      </sheetData>
      <sheetData sheetId="4832">
        <row r="2">
          <cell r="A2">
            <v>0</v>
          </cell>
        </row>
      </sheetData>
      <sheetData sheetId="4833">
        <row r="2">
          <cell r="A2">
            <v>0</v>
          </cell>
        </row>
      </sheetData>
      <sheetData sheetId="4834">
        <row r="2">
          <cell r="A2">
            <v>0</v>
          </cell>
        </row>
      </sheetData>
      <sheetData sheetId="4835">
        <row r="2">
          <cell r="A2">
            <v>0</v>
          </cell>
        </row>
      </sheetData>
      <sheetData sheetId="4836">
        <row r="2">
          <cell r="A2">
            <v>0</v>
          </cell>
        </row>
      </sheetData>
      <sheetData sheetId="4837">
        <row r="2">
          <cell r="A2">
            <v>0</v>
          </cell>
        </row>
      </sheetData>
      <sheetData sheetId="4838">
        <row r="2">
          <cell r="A2">
            <v>0</v>
          </cell>
        </row>
      </sheetData>
      <sheetData sheetId="4839">
        <row r="2">
          <cell r="A2">
            <v>0</v>
          </cell>
        </row>
      </sheetData>
      <sheetData sheetId="4840">
        <row r="2">
          <cell r="A2">
            <v>0</v>
          </cell>
        </row>
      </sheetData>
      <sheetData sheetId="4841">
        <row r="2">
          <cell r="A2">
            <v>0</v>
          </cell>
        </row>
      </sheetData>
      <sheetData sheetId="4842">
        <row r="2">
          <cell r="A2">
            <v>0</v>
          </cell>
        </row>
      </sheetData>
      <sheetData sheetId="4843">
        <row r="2">
          <cell r="A2">
            <v>0</v>
          </cell>
        </row>
      </sheetData>
      <sheetData sheetId="4844">
        <row r="2">
          <cell r="A2">
            <v>0</v>
          </cell>
        </row>
      </sheetData>
      <sheetData sheetId="4845">
        <row r="2">
          <cell r="A2">
            <v>0</v>
          </cell>
        </row>
      </sheetData>
      <sheetData sheetId="4846">
        <row r="2">
          <cell r="A2">
            <v>0</v>
          </cell>
        </row>
      </sheetData>
      <sheetData sheetId="4847">
        <row r="2">
          <cell r="A2">
            <v>0</v>
          </cell>
        </row>
      </sheetData>
      <sheetData sheetId="4848">
        <row r="2">
          <cell r="A2">
            <v>0</v>
          </cell>
        </row>
      </sheetData>
      <sheetData sheetId="4849">
        <row r="2">
          <cell r="A2">
            <v>0</v>
          </cell>
        </row>
      </sheetData>
      <sheetData sheetId="4850">
        <row r="2">
          <cell r="A2">
            <v>0</v>
          </cell>
        </row>
      </sheetData>
      <sheetData sheetId="4851">
        <row r="2">
          <cell r="A2">
            <v>0</v>
          </cell>
        </row>
      </sheetData>
      <sheetData sheetId="4852">
        <row r="2">
          <cell r="A2">
            <v>0</v>
          </cell>
        </row>
      </sheetData>
      <sheetData sheetId="4853">
        <row r="2">
          <cell r="A2">
            <v>0</v>
          </cell>
        </row>
      </sheetData>
      <sheetData sheetId="4854">
        <row r="2">
          <cell r="A2">
            <v>0</v>
          </cell>
        </row>
      </sheetData>
      <sheetData sheetId="4855">
        <row r="2">
          <cell r="A2">
            <v>0</v>
          </cell>
        </row>
      </sheetData>
      <sheetData sheetId="4856">
        <row r="2">
          <cell r="A2">
            <v>0</v>
          </cell>
        </row>
      </sheetData>
      <sheetData sheetId="4857">
        <row r="2">
          <cell r="A2">
            <v>0</v>
          </cell>
        </row>
      </sheetData>
      <sheetData sheetId="4858">
        <row r="2">
          <cell r="A2">
            <v>0</v>
          </cell>
        </row>
      </sheetData>
      <sheetData sheetId="4859">
        <row r="2">
          <cell r="A2">
            <v>0</v>
          </cell>
        </row>
      </sheetData>
      <sheetData sheetId="4860">
        <row r="2">
          <cell r="A2">
            <v>0</v>
          </cell>
        </row>
      </sheetData>
      <sheetData sheetId="4861">
        <row r="2">
          <cell r="A2">
            <v>0</v>
          </cell>
        </row>
      </sheetData>
      <sheetData sheetId="4862">
        <row r="2">
          <cell r="A2">
            <v>0</v>
          </cell>
        </row>
      </sheetData>
      <sheetData sheetId="4863">
        <row r="2">
          <cell r="A2">
            <v>0</v>
          </cell>
        </row>
      </sheetData>
      <sheetData sheetId="4864">
        <row r="2">
          <cell r="A2">
            <v>0</v>
          </cell>
        </row>
      </sheetData>
      <sheetData sheetId="4865">
        <row r="2">
          <cell r="A2">
            <v>0</v>
          </cell>
        </row>
      </sheetData>
      <sheetData sheetId="4866">
        <row r="2">
          <cell r="A2">
            <v>0</v>
          </cell>
        </row>
      </sheetData>
      <sheetData sheetId="4867">
        <row r="2">
          <cell r="A2">
            <v>0</v>
          </cell>
        </row>
      </sheetData>
      <sheetData sheetId="4868">
        <row r="2">
          <cell r="A2">
            <v>0</v>
          </cell>
        </row>
      </sheetData>
      <sheetData sheetId="4869">
        <row r="2">
          <cell r="A2">
            <v>0</v>
          </cell>
        </row>
      </sheetData>
      <sheetData sheetId="4870">
        <row r="2">
          <cell r="A2">
            <v>0</v>
          </cell>
        </row>
      </sheetData>
      <sheetData sheetId="4871">
        <row r="2">
          <cell r="A2">
            <v>0</v>
          </cell>
        </row>
      </sheetData>
      <sheetData sheetId="4872">
        <row r="2">
          <cell r="A2">
            <v>0</v>
          </cell>
        </row>
      </sheetData>
      <sheetData sheetId="4873">
        <row r="2">
          <cell r="A2">
            <v>0</v>
          </cell>
        </row>
      </sheetData>
      <sheetData sheetId="4874">
        <row r="2">
          <cell r="A2">
            <v>0</v>
          </cell>
        </row>
      </sheetData>
      <sheetData sheetId="4875">
        <row r="2">
          <cell r="A2">
            <v>0</v>
          </cell>
        </row>
      </sheetData>
      <sheetData sheetId="4876">
        <row r="2">
          <cell r="A2">
            <v>0</v>
          </cell>
        </row>
      </sheetData>
      <sheetData sheetId="4877"/>
      <sheetData sheetId="4878"/>
      <sheetData sheetId="4879"/>
      <sheetData sheetId="4880">
        <row r="2">
          <cell r="A2">
            <v>0</v>
          </cell>
        </row>
      </sheetData>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row r="2">
          <cell r="A2">
            <v>0</v>
          </cell>
        </row>
      </sheetData>
      <sheetData sheetId="4908"/>
      <sheetData sheetId="4909"/>
      <sheetData sheetId="4910"/>
      <sheetData sheetId="4911"/>
      <sheetData sheetId="4912"/>
      <sheetData sheetId="4913"/>
      <sheetData sheetId="4914"/>
      <sheetData sheetId="4915"/>
      <sheetData sheetId="4916">
        <row r="2">
          <cell r="A2">
            <v>0</v>
          </cell>
        </row>
      </sheetData>
      <sheetData sheetId="4917">
        <row r="2">
          <cell r="A2">
            <v>0</v>
          </cell>
        </row>
      </sheetData>
      <sheetData sheetId="4918"/>
      <sheetData sheetId="4919"/>
      <sheetData sheetId="4920"/>
      <sheetData sheetId="4921"/>
      <sheetData sheetId="4922"/>
      <sheetData sheetId="4923"/>
      <sheetData sheetId="4924"/>
      <sheetData sheetId="4925"/>
      <sheetData sheetId="4926">
        <row r="2">
          <cell r="A2">
            <v>0</v>
          </cell>
        </row>
      </sheetData>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row r="2">
          <cell r="A2">
            <v>0</v>
          </cell>
        </row>
      </sheetData>
      <sheetData sheetId="4954"/>
      <sheetData sheetId="4955"/>
      <sheetData sheetId="4956"/>
      <sheetData sheetId="4957"/>
      <sheetData sheetId="4958"/>
      <sheetData sheetId="4959"/>
      <sheetData sheetId="4960"/>
      <sheetData sheetId="4961"/>
      <sheetData sheetId="4962"/>
      <sheetData sheetId="4963">
        <row r="2">
          <cell r="A2">
            <v>0</v>
          </cell>
        </row>
      </sheetData>
      <sheetData sheetId="4964"/>
      <sheetData sheetId="4965"/>
      <sheetData sheetId="4966"/>
      <sheetData sheetId="4967"/>
      <sheetData sheetId="4968"/>
      <sheetData sheetId="4969"/>
      <sheetData sheetId="4970"/>
      <sheetData sheetId="4971"/>
      <sheetData sheetId="4972"/>
      <sheetData sheetId="4973">
        <row r="2">
          <cell r="A2">
            <v>0</v>
          </cell>
        </row>
      </sheetData>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row r="2">
          <cell r="A2">
            <v>0</v>
          </cell>
        </row>
      </sheetData>
      <sheetData sheetId="5000"/>
      <sheetData sheetId="5001"/>
      <sheetData sheetId="5002"/>
      <sheetData sheetId="5003"/>
      <sheetData sheetId="5004"/>
      <sheetData sheetId="5005"/>
      <sheetData sheetId="5006"/>
      <sheetData sheetId="5007"/>
      <sheetData sheetId="5008"/>
      <sheetData sheetId="5009">
        <row r="2">
          <cell r="A2">
            <v>0</v>
          </cell>
        </row>
      </sheetData>
      <sheetData sheetId="5010"/>
      <sheetData sheetId="5011"/>
      <sheetData sheetId="5012"/>
      <sheetData sheetId="5013"/>
      <sheetData sheetId="5014"/>
      <sheetData sheetId="5015"/>
      <sheetData sheetId="5016"/>
      <sheetData sheetId="5017"/>
      <sheetData sheetId="5018"/>
      <sheetData sheetId="5019">
        <row r="2">
          <cell r="A2">
            <v>0</v>
          </cell>
        </row>
      </sheetData>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row r="2">
          <cell r="A2">
            <v>0</v>
          </cell>
        </row>
      </sheetData>
      <sheetData sheetId="5046"/>
      <sheetData sheetId="5047"/>
      <sheetData sheetId="5048"/>
      <sheetData sheetId="5049"/>
      <sheetData sheetId="5050"/>
      <sheetData sheetId="5051"/>
      <sheetData sheetId="5052"/>
      <sheetData sheetId="5053"/>
      <sheetData sheetId="5054"/>
      <sheetData sheetId="5055">
        <row r="2">
          <cell r="A2">
            <v>0</v>
          </cell>
        </row>
      </sheetData>
      <sheetData sheetId="5056"/>
      <sheetData sheetId="5057"/>
      <sheetData sheetId="5058"/>
      <sheetData sheetId="5059"/>
      <sheetData sheetId="5060"/>
      <sheetData sheetId="5061"/>
      <sheetData sheetId="5062"/>
      <sheetData sheetId="5063"/>
      <sheetData sheetId="5064"/>
      <sheetData sheetId="5065">
        <row r="2">
          <cell r="A2">
            <v>0</v>
          </cell>
        </row>
      </sheetData>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2">
          <cell r="A2">
            <v>0</v>
          </cell>
        </row>
      </sheetData>
      <sheetData sheetId="5093"/>
      <sheetData sheetId="5094"/>
      <sheetData sheetId="5095"/>
      <sheetData sheetId="5096"/>
      <sheetData sheetId="5097"/>
      <sheetData sheetId="5098"/>
      <sheetData sheetId="5099"/>
      <sheetData sheetId="5100"/>
      <sheetData sheetId="5101">
        <row r="2">
          <cell r="A2">
            <v>0</v>
          </cell>
        </row>
      </sheetData>
      <sheetData sheetId="5102">
        <row r="2">
          <cell r="A2">
            <v>0</v>
          </cell>
        </row>
      </sheetData>
      <sheetData sheetId="5103"/>
      <sheetData sheetId="5104"/>
      <sheetData sheetId="5105"/>
      <sheetData sheetId="5106"/>
      <sheetData sheetId="5107"/>
      <sheetData sheetId="5108"/>
      <sheetData sheetId="5109"/>
      <sheetData sheetId="5110"/>
      <sheetData sheetId="5111">
        <row r="2">
          <cell r="A2">
            <v>0</v>
          </cell>
        </row>
      </sheetData>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row r="2">
          <cell r="A2">
            <v>0</v>
          </cell>
        </row>
      </sheetData>
      <sheetData sheetId="5128">
        <row r="2">
          <cell r="A2">
            <v>0</v>
          </cell>
        </row>
      </sheetData>
      <sheetData sheetId="5129">
        <row r="2">
          <cell r="A2">
            <v>0</v>
          </cell>
        </row>
      </sheetData>
      <sheetData sheetId="5130">
        <row r="2">
          <cell r="A2">
            <v>0</v>
          </cell>
        </row>
      </sheetData>
      <sheetData sheetId="5131">
        <row r="2">
          <cell r="A2">
            <v>0</v>
          </cell>
        </row>
      </sheetData>
      <sheetData sheetId="5132">
        <row r="2">
          <cell r="A2">
            <v>0</v>
          </cell>
        </row>
      </sheetData>
      <sheetData sheetId="5133">
        <row r="2">
          <cell r="A2">
            <v>0</v>
          </cell>
        </row>
      </sheetData>
      <sheetData sheetId="5134"/>
      <sheetData sheetId="5135"/>
      <sheetData sheetId="5136">
        <row r="2">
          <cell r="A2">
            <v>0</v>
          </cell>
        </row>
      </sheetData>
      <sheetData sheetId="5137">
        <row r="2">
          <cell r="A2">
            <v>0</v>
          </cell>
        </row>
      </sheetData>
      <sheetData sheetId="5138">
        <row r="2">
          <cell r="A2">
            <v>0</v>
          </cell>
        </row>
      </sheetData>
      <sheetData sheetId="5139">
        <row r="2">
          <cell r="A2">
            <v>0</v>
          </cell>
        </row>
      </sheetData>
      <sheetData sheetId="5140">
        <row r="2">
          <cell r="A2">
            <v>0</v>
          </cell>
        </row>
      </sheetData>
      <sheetData sheetId="5141">
        <row r="2">
          <cell r="A2">
            <v>0</v>
          </cell>
        </row>
      </sheetData>
      <sheetData sheetId="5142">
        <row r="2">
          <cell r="A2">
            <v>0</v>
          </cell>
        </row>
      </sheetData>
      <sheetData sheetId="5143">
        <row r="2">
          <cell r="A2">
            <v>0</v>
          </cell>
        </row>
      </sheetData>
      <sheetData sheetId="5144"/>
      <sheetData sheetId="5145">
        <row r="2">
          <cell r="A2">
            <v>0</v>
          </cell>
        </row>
      </sheetData>
      <sheetData sheetId="5146">
        <row r="2">
          <cell r="A2">
            <v>0</v>
          </cell>
        </row>
      </sheetData>
      <sheetData sheetId="5147">
        <row r="2">
          <cell r="A2">
            <v>0</v>
          </cell>
        </row>
      </sheetData>
      <sheetData sheetId="5148">
        <row r="2">
          <cell r="A2">
            <v>0</v>
          </cell>
        </row>
      </sheetData>
      <sheetData sheetId="5149">
        <row r="2">
          <cell r="A2">
            <v>0</v>
          </cell>
        </row>
      </sheetData>
      <sheetData sheetId="5150">
        <row r="2">
          <cell r="A2">
            <v>0</v>
          </cell>
        </row>
      </sheetData>
      <sheetData sheetId="5151">
        <row r="2">
          <cell r="A2">
            <v>0</v>
          </cell>
        </row>
      </sheetData>
      <sheetData sheetId="5152">
        <row r="2">
          <cell r="A2">
            <v>0</v>
          </cell>
        </row>
      </sheetData>
      <sheetData sheetId="5153">
        <row r="2">
          <cell r="A2">
            <v>0</v>
          </cell>
        </row>
      </sheetData>
      <sheetData sheetId="5154">
        <row r="2">
          <cell r="A2">
            <v>0</v>
          </cell>
        </row>
      </sheetData>
      <sheetData sheetId="5155">
        <row r="2">
          <cell r="A2">
            <v>0</v>
          </cell>
        </row>
      </sheetData>
      <sheetData sheetId="5156">
        <row r="2">
          <cell r="A2">
            <v>0</v>
          </cell>
        </row>
      </sheetData>
      <sheetData sheetId="5157">
        <row r="2">
          <cell r="A2">
            <v>0</v>
          </cell>
        </row>
      </sheetData>
      <sheetData sheetId="5158">
        <row r="2">
          <cell r="A2">
            <v>0</v>
          </cell>
        </row>
      </sheetData>
      <sheetData sheetId="5159">
        <row r="2">
          <cell r="A2">
            <v>0</v>
          </cell>
        </row>
      </sheetData>
      <sheetData sheetId="5160">
        <row r="2">
          <cell r="A2">
            <v>0</v>
          </cell>
        </row>
      </sheetData>
      <sheetData sheetId="5161">
        <row r="2">
          <cell r="A2">
            <v>0</v>
          </cell>
        </row>
      </sheetData>
      <sheetData sheetId="5162">
        <row r="2">
          <cell r="A2">
            <v>0</v>
          </cell>
        </row>
      </sheetData>
      <sheetData sheetId="5163">
        <row r="2">
          <cell r="A2">
            <v>0</v>
          </cell>
        </row>
      </sheetData>
      <sheetData sheetId="5164">
        <row r="2">
          <cell r="A2">
            <v>0</v>
          </cell>
        </row>
      </sheetData>
      <sheetData sheetId="5165">
        <row r="2">
          <cell r="A2">
            <v>0</v>
          </cell>
        </row>
      </sheetData>
      <sheetData sheetId="5166">
        <row r="2">
          <cell r="A2">
            <v>0</v>
          </cell>
        </row>
      </sheetData>
      <sheetData sheetId="5167">
        <row r="2">
          <cell r="A2">
            <v>0</v>
          </cell>
        </row>
      </sheetData>
      <sheetData sheetId="5168">
        <row r="2">
          <cell r="A2">
            <v>0</v>
          </cell>
        </row>
      </sheetData>
      <sheetData sheetId="5169">
        <row r="2">
          <cell r="A2">
            <v>0</v>
          </cell>
        </row>
      </sheetData>
      <sheetData sheetId="5170">
        <row r="2">
          <cell r="A2">
            <v>0</v>
          </cell>
        </row>
      </sheetData>
      <sheetData sheetId="5171">
        <row r="2">
          <cell r="A2">
            <v>0</v>
          </cell>
        </row>
      </sheetData>
      <sheetData sheetId="5172">
        <row r="2">
          <cell r="A2">
            <v>0</v>
          </cell>
        </row>
      </sheetData>
      <sheetData sheetId="5173">
        <row r="2">
          <cell r="A2">
            <v>0</v>
          </cell>
        </row>
      </sheetData>
      <sheetData sheetId="5174">
        <row r="2">
          <cell r="A2">
            <v>0</v>
          </cell>
        </row>
      </sheetData>
      <sheetData sheetId="5175">
        <row r="2">
          <cell r="A2">
            <v>0</v>
          </cell>
        </row>
      </sheetData>
      <sheetData sheetId="5176">
        <row r="2">
          <cell r="A2">
            <v>0</v>
          </cell>
        </row>
      </sheetData>
      <sheetData sheetId="5177">
        <row r="2">
          <cell r="A2">
            <v>0</v>
          </cell>
        </row>
      </sheetData>
      <sheetData sheetId="5178">
        <row r="2">
          <cell r="A2">
            <v>0</v>
          </cell>
        </row>
      </sheetData>
      <sheetData sheetId="5179">
        <row r="2">
          <cell r="A2">
            <v>0</v>
          </cell>
        </row>
      </sheetData>
      <sheetData sheetId="5180">
        <row r="2">
          <cell r="A2">
            <v>0</v>
          </cell>
        </row>
      </sheetData>
      <sheetData sheetId="5181">
        <row r="2">
          <cell r="A2">
            <v>0</v>
          </cell>
        </row>
      </sheetData>
      <sheetData sheetId="5182">
        <row r="2">
          <cell r="A2">
            <v>0</v>
          </cell>
        </row>
      </sheetData>
      <sheetData sheetId="5183">
        <row r="2">
          <cell r="A2">
            <v>0</v>
          </cell>
        </row>
      </sheetData>
      <sheetData sheetId="5184">
        <row r="2">
          <cell r="A2">
            <v>0</v>
          </cell>
        </row>
      </sheetData>
      <sheetData sheetId="5185">
        <row r="2">
          <cell r="A2">
            <v>0</v>
          </cell>
        </row>
      </sheetData>
      <sheetData sheetId="5186">
        <row r="2">
          <cell r="A2">
            <v>0</v>
          </cell>
        </row>
      </sheetData>
      <sheetData sheetId="5187">
        <row r="2">
          <cell r="A2">
            <v>0</v>
          </cell>
        </row>
      </sheetData>
      <sheetData sheetId="5188">
        <row r="2">
          <cell r="A2">
            <v>0</v>
          </cell>
        </row>
      </sheetData>
      <sheetData sheetId="5189">
        <row r="2">
          <cell r="A2">
            <v>0</v>
          </cell>
        </row>
      </sheetData>
      <sheetData sheetId="5190">
        <row r="2">
          <cell r="A2">
            <v>0</v>
          </cell>
        </row>
      </sheetData>
      <sheetData sheetId="5191">
        <row r="2">
          <cell r="A2">
            <v>0</v>
          </cell>
        </row>
      </sheetData>
      <sheetData sheetId="5192">
        <row r="2">
          <cell r="A2">
            <v>0</v>
          </cell>
        </row>
      </sheetData>
      <sheetData sheetId="5193">
        <row r="2">
          <cell r="A2">
            <v>0</v>
          </cell>
        </row>
      </sheetData>
      <sheetData sheetId="5194">
        <row r="2">
          <cell r="A2">
            <v>0</v>
          </cell>
        </row>
      </sheetData>
      <sheetData sheetId="5195">
        <row r="2">
          <cell r="A2">
            <v>0</v>
          </cell>
        </row>
      </sheetData>
      <sheetData sheetId="5196">
        <row r="2">
          <cell r="A2">
            <v>0</v>
          </cell>
        </row>
      </sheetData>
      <sheetData sheetId="5197">
        <row r="2">
          <cell r="A2">
            <v>0</v>
          </cell>
        </row>
      </sheetData>
      <sheetData sheetId="5198">
        <row r="2">
          <cell r="A2">
            <v>0</v>
          </cell>
        </row>
      </sheetData>
      <sheetData sheetId="5199">
        <row r="2">
          <cell r="A2">
            <v>0</v>
          </cell>
        </row>
      </sheetData>
      <sheetData sheetId="5200">
        <row r="2">
          <cell r="A2">
            <v>0</v>
          </cell>
        </row>
      </sheetData>
      <sheetData sheetId="5201">
        <row r="2">
          <cell r="A2">
            <v>0</v>
          </cell>
        </row>
      </sheetData>
      <sheetData sheetId="5202">
        <row r="2">
          <cell r="A2">
            <v>0</v>
          </cell>
        </row>
      </sheetData>
      <sheetData sheetId="5203">
        <row r="2">
          <cell r="A2">
            <v>0</v>
          </cell>
        </row>
      </sheetData>
      <sheetData sheetId="5204">
        <row r="2">
          <cell r="A2">
            <v>0</v>
          </cell>
        </row>
      </sheetData>
      <sheetData sheetId="5205">
        <row r="2">
          <cell r="A2">
            <v>0</v>
          </cell>
        </row>
      </sheetData>
      <sheetData sheetId="5206">
        <row r="2">
          <cell r="A2">
            <v>0</v>
          </cell>
        </row>
      </sheetData>
      <sheetData sheetId="5207">
        <row r="2">
          <cell r="A2">
            <v>0</v>
          </cell>
        </row>
      </sheetData>
      <sheetData sheetId="5208">
        <row r="2">
          <cell r="A2">
            <v>0</v>
          </cell>
        </row>
      </sheetData>
      <sheetData sheetId="5209">
        <row r="2">
          <cell r="A2">
            <v>0</v>
          </cell>
        </row>
      </sheetData>
      <sheetData sheetId="5210">
        <row r="2">
          <cell r="A2">
            <v>0</v>
          </cell>
        </row>
      </sheetData>
      <sheetData sheetId="5211">
        <row r="2">
          <cell r="A2">
            <v>0</v>
          </cell>
        </row>
      </sheetData>
      <sheetData sheetId="5212">
        <row r="2">
          <cell r="A2">
            <v>0</v>
          </cell>
        </row>
      </sheetData>
      <sheetData sheetId="5213">
        <row r="2">
          <cell r="A2">
            <v>0</v>
          </cell>
        </row>
      </sheetData>
      <sheetData sheetId="5214">
        <row r="2">
          <cell r="A2">
            <v>0</v>
          </cell>
        </row>
      </sheetData>
      <sheetData sheetId="5215">
        <row r="2">
          <cell r="A2">
            <v>0</v>
          </cell>
        </row>
      </sheetData>
      <sheetData sheetId="5216">
        <row r="2">
          <cell r="A2">
            <v>0</v>
          </cell>
        </row>
      </sheetData>
      <sheetData sheetId="5217">
        <row r="2">
          <cell r="A2">
            <v>0</v>
          </cell>
        </row>
      </sheetData>
      <sheetData sheetId="5218">
        <row r="2">
          <cell r="A2">
            <v>0</v>
          </cell>
        </row>
      </sheetData>
      <sheetData sheetId="5219">
        <row r="2">
          <cell r="A2">
            <v>0</v>
          </cell>
        </row>
      </sheetData>
      <sheetData sheetId="5220">
        <row r="2">
          <cell r="A2">
            <v>0</v>
          </cell>
        </row>
      </sheetData>
      <sheetData sheetId="5221">
        <row r="2">
          <cell r="A2">
            <v>0</v>
          </cell>
        </row>
      </sheetData>
      <sheetData sheetId="5222">
        <row r="2">
          <cell r="A2">
            <v>0</v>
          </cell>
        </row>
      </sheetData>
      <sheetData sheetId="5223">
        <row r="2">
          <cell r="A2">
            <v>0</v>
          </cell>
        </row>
      </sheetData>
      <sheetData sheetId="5224">
        <row r="2">
          <cell r="A2">
            <v>0</v>
          </cell>
        </row>
      </sheetData>
      <sheetData sheetId="5225">
        <row r="2">
          <cell r="A2">
            <v>0</v>
          </cell>
        </row>
      </sheetData>
      <sheetData sheetId="5226">
        <row r="2">
          <cell r="A2">
            <v>0</v>
          </cell>
        </row>
      </sheetData>
      <sheetData sheetId="5227">
        <row r="2">
          <cell r="A2">
            <v>0</v>
          </cell>
        </row>
      </sheetData>
      <sheetData sheetId="5228">
        <row r="2">
          <cell r="A2">
            <v>0</v>
          </cell>
        </row>
      </sheetData>
      <sheetData sheetId="5229">
        <row r="2">
          <cell r="A2">
            <v>0</v>
          </cell>
        </row>
      </sheetData>
      <sheetData sheetId="5230">
        <row r="2">
          <cell r="A2">
            <v>0</v>
          </cell>
        </row>
      </sheetData>
      <sheetData sheetId="5231">
        <row r="2">
          <cell r="A2">
            <v>0</v>
          </cell>
        </row>
      </sheetData>
      <sheetData sheetId="5232">
        <row r="2">
          <cell r="A2">
            <v>0</v>
          </cell>
        </row>
      </sheetData>
      <sheetData sheetId="5233">
        <row r="2">
          <cell r="A2">
            <v>0</v>
          </cell>
        </row>
      </sheetData>
      <sheetData sheetId="5234">
        <row r="2">
          <cell r="A2">
            <v>0</v>
          </cell>
        </row>
      </sheetData>
      <sheetData sheetId="5235">
        <row r="2">
          <cell r="A2">
            <v>0</v>
          </cell>
        </row>
      </sheetData>
      <sheetData sheetId="5236">
        <row r="2">
          <cell r="A2">
            <v>0</v>
          </cell>
        </row>
      </sheetData>
      <sheetData sheetId="5237">
        <row r="2">
          <cell r="A2">
            <v>0</v>
          </cell>
        </row>
      </sheetData>
      <sheetData sheetId="5238">
        <row r="2">
          <cell r="A2">
            <v>0</v>
          </cell>
        </row>
      </sheetData>
      <sheetData sheetId="5239">
        <row r="2">
          <cell r="A2">
            <v>0</v>
          </cell>
        </row>
      </sheetData>
      <sheetData sheetId="5240">
        <row r="2">
          <cell r="A2">
            <v>0</v>
          </cell>
        </row>
      </sheetData>
      <sheetData sheetId="5241">
        <row r="2">
          <cell r="A2">
            <v>0</v>
          </cell>
        </row>
      </sheetData>
      <sheetData sheetId="5242">
        <row r="2">
          <cell r="A2">
            <v>0</v>
          </cell>
        </row>
      </sheetData>
      <sheetData sheetId="5243">
        <row r="2">
          <cell r="A2">
            <v>0</v>
          </cell>
        </row>
      </sheetData>
      <sheetData sheetId="5244">
        <row r="2">
          <cell r="A2">
            <v>0</v>
          </cell>
        </row>
      </sheetData>
      <sheetData sheetId="5245">
        <row r="2">
          <cell r="A2">
            <v>0</v>
          </cell>
        </row>
      </sheetData>
      <sheetData sheetId="5246">
        <row r="2">
          <cell r="A2">
            <v>0</v>
          </cell>
        </row>
      </sheetData>
      <sheetData sheetId="5247">
        <row r="2">
          <cell r="A2">
            <v>0</v>
          </cell>
        </row>
      </sheetData>
      <sheetData sheetId="5248">
        <row r="2">
          <cell r="A2">
            <v>0</v>
          </cell>
        </row>
      </sheetData>
      <sheetData sheetId="5249">
        <row r="2">
          <cell r="A2">
            <v>0</v>
          </cell>
        </row>
      </sheetData>
      <sheetData sheetId="5250">
        <row r="2">
          <cell r="A2">
            <v>0</v>
          </cell>
        </row>
      </sheetData>
      <sheetData sheetId="5251">
        <row r="2">
          <cell r="A2">
            <v>0</v>
          </cell>
        </row>
      </sheetData>
      <sheetData sheetId="5252">
        <row r="2">
          <cell r="A2">
            <v>0</v>
          </cell>
        </row>
      </sheetData>
      <sheetData sheetId="5253">
        <row r="2">
          <cell r="A2">
            <v>0</v>
          </cell>
        </row>
      </sheetData>
      <sheetData sheetId="5254">
        <row r="2">
          <cell r="A2">
            <v>0</v>
          </cell>
        </row>
      </sheetData>
      <sheetData sheetId="5255">
        <row r="2">
          <cell r="A2">
            <v>0</v>
          </cell>
        </row>
      </sheetData>
      <sheetData sheetId="5256">
        <row r="2">
          <cell r="A2">
            <v>0</v>
          </cell>
        </row>
      </sheetData>
      <sheetData sheetId="5257">
        <row r="2">
          <cell r="A2">
            <v>0</v>
          </cell>
        </row>
      </sheetData>
      <sheetData sheetId="5258">
        <row r="2">
          <cell r="A2">
            <v>0</v>
          </cell>
        </row>
      </sheetData>
      <sheetData sheetId="5259">
        <row r="2">
          <cell r="A2">
            <v>0</v>
          </cell>
        </row>
      </sheetData>
      <sheetData sheetId="5260">
        <row r="2">
          <cell r="A2">
            <v>0</v>
          </cell>
        </row>
      </sheetData>
      <sheetData sheetId="5261">
        <row r="2">
          <cell r="A2">
            <v>0</v>
          </cell>
        </row>
      </sheetData>
      <sheetData sheetId="5262">
        <row r="2">
          <cell r="A2">
            <v>0</v>
          </cell>
        </row>
      </sheetData>
      <sheetData sheetId="5263">
        <row r="2">
          <cell r="A2">
            <v>0</v>
          </cell>
        </row>
      </sheetData>
      <sheetData sheetId="5264">
        <row r="2">
          <cell r="A2">
            <v>0</v>
          </cell>
        </row>
      </sheetData>
      <sheetData sheetId="5265">
        <row r="2">
          <cell r="A2">
            <v>0</v>
          </cell>
        </row>
      </sheetData>
      <sheetData sheetId="5266">
        <row r="2">
          <cell r="A2">
            <v>0</v>
          </cell>
        </row>
      </sheetData>
      <sheetData sheetId="5267">
        <row r="2">
          <cell r="A2">
            <v>0</v>
          </cell>
        </row>
      </sheetData>
      <sheetData sheetId="5268">
        <row r="2">
          <cell r="A2">
            <v>0</v>
          </cell>
        </row>
      </sheetData>
      <sheetData sheetId="5269">
        <row r="2">
          <cell r="A2">
            <v>0</v>
          </cell>
        </row>
      </sheetData>
      <sheetData sheetId="5270">
        <row r="2">
          <cell r="A2">
            <v>0</v>
          </cell>
        </row>
      </sheetData>
      <sheetData sheetId="5271">
        <row r="2">
          <cell r="A2">
            <v>0</v>
          </cell>
        </row>
      </sheetData>
      <sheetData sheetId="5272">
        <row r="2">
          <cell r="A2">
            <v>0</v>
          </cell>
        </row>
      </sheetData>
      <sheetData sheetId="5273">
        <row r="2">
          <cell r="A2">
            <v>0</v>
          </cell>
        </row>
      </sheetData>
      <sheetData sheetId="5274">
        <row r="2">
          <cell r="A2">
            <v>0</v>
          </cell>
        </row>
      </sheetData>
      <sheetData sheetId="5275">
        <row r="2">
          <cell r="A2">
            <v>0</v>
          </cell>
        </row>
      </sheetData>
      <sheetData sheetId="5276">
        <row r="2">
          <cell r="A2">
            <v>0</v>
          </cell>
        </row>
      </sheetData>
      <sheetData sheetId="5277">
        <row r="2">
          <cell r="A2">
            <v>0</v>
          </cell>
        </row>
      </sheetData>
      <sheetData sheetId="5278">
        <row r="2">
          <cell r="A2">
            <v>0</v>
          </cell>
        </row>
      </sheetData>
      <sheetData sheetId="5279">
        <row r="2">
          <cell r="A2">
            <v>0</v>
          </cell>
        </row>
      </sheetData>
      <sheetData sheetId="5280">
        <row r="2">
          <cell r="A2">
            <v>0</v>
          </cell>
        </row>
      </sheetData>
      <sheetData sheetId="5281">
        <row r="2">
          <cell r="A2">
            <v>0</v>
          </cell>
        </row>
      </sheetData>
      <sheetData sheetId="5282">
        <row r="2">
          <cell r="A2">
            <v>0</v>
          </cell>
        </row>
      </sheetData>
      <sheetData sheetId="5283">
        <row r="2">
          <cell r="A2">
            <v>0</v>
          </cell>
        </row>
      </sheetData>
      <sheetData sheetId="5284">
        <row r="2">
          <cell r="A2">
            <v>0</v>
          </cell>
        </row>
      </sheetData>
      <sheetData sheetId="5285">
        <row r="2">
          <cell r="A2">
            <v>0</v>
          </cell>
        </row>
      </sheetData>
      <sheetData sheetId="5286">
        <row r="2">
          <cell r="A2">
            <v>0</v>
          </cell>
        </row>
      </sheetData>
      <sheetData sheetId="5287">
        <row r="2">
          <cell r="A2">
            <v>0</v>
          </cell>
        </row>
      </sheetData>
      <sheetData sheetId="5288">
        <row r="2">
          <cell r="A2">
            <v>0</v>
          </cell>
        </row>
      </sheetData>
      <sheetData sheetId="5289">
        <row r="2">
          <cell r="A2">
            <v>0</v>
          </cell>
        </row>
      </sheetData>
      <sheetData sheetId="5290">
        <row r="2">
          <cell r="A2">
            <v>0</v>
          </cell>
        </row>
      </sheetData>
      <sheetData sheetId="5291">
        <row r="2">
          <cell r="A2">
            <v>0</v>
          </cell>
        </row>
      </sheetData>
      <sheetData sheetId="5292">
        <row r="2">
          <cell r="A2">
            <v>0</v>
          </cell>
        </row>
      </sheetData>
      <sheetData sheetId="5293">
        <row r="2">
          <cell r="A2">
            <v>0</v>
          </cell>
        </row>
      </sheetData>
      <sheetData sheetId="5294">
        <row r="2">
          <cell r="A2">
            <v>0</v>
          </cell>
        </row>
      </sheetData>
      <sheetData sheetId="5295">
        <row r="2">
          <cell r="A2">
            <v>0</v>
          </cell>
        </row>
      </sheetData>
      <sheetData sheetId="5296">
        <row r="2">
          <cell r="A2">
            <v>0</v>
          </cell>
        </row>
      </sheetData>
      <sheetData sheetId="5297">
        <row r="2">
          <cell r="A2">
            <v>0</v>
          </cell>
        </row>
      </sheetData>
      <sheetData sheetId="5298">
        <row r="2">
          <cell r="A2">
            <v>0</v>
          </cell>
        </row>
      </sheetData>
      <sheetData sheetId="5299">
        <row r="2">
          <cell r="A2">
            <v>0</v>
          </cell>
        </row>
      </sheetData>
      <sheetData sheetId="5300">
        <row r="2">
          <cell r="A2">
            <v>0</v>
          </cell>
        </row>
      </sheetData>
      <sheetData sheetId="5301">
        <row r="2">
          <cell r="A2">
            <v>0</v>
          </cell>
        </row>
      </sheetData>
      <sheetData sheetId="5302">
        <row r="2">
          <cell r="A2">
            <v>0</v>
          </cell>
        </row>
      </sheetData>
      <sheetData sheetId="5303">
        <row r="2">
          <cell r="A2">
            <v>0</v>
          </cell>
        </row>
      </sheetData>
      <sheetData sheetId="5304">
        <row r="2">
          <cell r="A2">
            <v>0</v>
          </cell>
        </row>
      </sheetData>
      <sheetData sheetId="5305">
        <row r="2">
          <cell r="A2">
            <v>0</v>
          </cell>
        </row>
      </sheetData>
      <sheetData sheetId="5306">
        <row r="2">
          <cell r="A2">
            <v>0</v>
          </cell>
        </row>
      </sheetData>
      <sheetData sheetId="5307">
        <row r="2">
          <cell r="A2">
            <v>0</v>
          </cell>
        </row>
      </sheetData>
      <sheetData sheetId="5308">
        <row r="2">
          <cell r="A2">
            <v>0</v>
          </cell>
        </row>
      </sheetData>
      <sheetData sheetId="5309">
        <row r="2">
          <cell r="A2">
            <v>0</v>
          </cell>
        </row>
      </sheetData>
      <sheetData sheetId="5310">
        <row r="2">
          <cell r="A2">
            <v>0</v>
          </cell>
        </row>
      </sheetData>
      <sheetData sheetId="5311">
        <row r="2">
          <cell r="A2">
            <v>0</v>
          </cell>
        </row>
      </sheetData>
      <sheetData sheetId="5312">
        <row r="2">
          <cell r="A2">
            <v>0</v>
          </cell>
        </row>
      </sheetData>
      <sheetData sheetId="5313">
        <row r="2">
          <cell r="A2">
            <v>0</v>
          </cell>
        </row>
      </sheetData>
      <sheetData sheetId="5314">
        <row r="2">
          <cell r="A2">
            <v>0</v>
          </cell>
        </row>
      </sheetData>
      <sheetData sheetId="5315">
        <row r="2">
          <cell r="A2">
            <v>0</v>
          </cell>
        </row>
      </sheetData>
      <sheetData sheetId="5316">
        <row r="2">
          <cell r="A2">
            <v>0</v>
          </cell>
        </row>
      </sheetData>
      <sheetData sheetId="5317">
        <row r="2">
          <cell r="A2">
            <v>0</v>
          </cell>
        </row>
      </sheetData>
      <sheetData sheetId="5318">
        <row r="2">
          <cell r="A2">
            <v>0</v>
          </cell>
        </row>
      </sheetData>
      <sheetData sheetId="5319">
        <row r="2">
          <cell r="A2">
            <v>0</v>
          </cell>
        </row>
      </sheetData>
      <sheetData sheetId="5320">
        <row r="2">
          <cell r="A2">
            <v>0</v>
          </cell>
        </row>
      </sheetData>
      <sheetData sheetId="5321">
        <row r="2">
          <cell r="A2">
            <v>0</v>
          </cell>
        </row>
      </sheetData>
      <sheetData sheetId="5322">
        <row r="2">
          <cell r="A2">
            <v>0</v>
          </cell>
        </row>
      </sheetData>
      <sheetData sheetId="5323">
        <row r="2">
          <cell r="A2">
            <v>0</v>
          </cell>
        </row>
      </sheetData>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ow r="2">
          <cell r="A2">
            <v>0</v>
          </cell>
        </row>
      </sheetData>
      <sheetData sheetId="5335" refreshError="1"/>
      <sheetData sheetId="5336">
        <row r="2">
          <cell r="A2">
            <v>0</v>
          </cell>
        </row>
      </sheetData>
      <sheetData sheetId="5337">
        <row r="2">
          <cell r="A2">
            <v>0</v>
          </cell>
        </row>
      </sheetData>
      <sheetData sheetId="5338">
        <row r="2">
          <cell r="A2">
            <v>0</v>
          </cell>
        </row>
      </sheetData>
      <sheetData sheetId="5339">
        <row r="2">
          <cell r="A2">
            <v>0</v>
          </cell>
        </row>
      </sheetData>
      <sheetData sheetId="5340">
        <row r="2">
          <cell r="A2">
            <v>0</v>
          </cell>
        </row>
      </sheetData>
      <sheetData sheetId="5341">
        <row r="2">
          <cell r="A2">
            <v>0</v>
          </cell>
        </row>
      </sheetData>
      <sheetData sheetId="5342">
        <row r="2">
          <cell r="A2">
            <v>0</v>
          </cell>
        </row>
      </sheetData>
      <sheetData sheetId="5343">
        <row r="2">
          <cell r="A2">
            <v>0</v>
          </cell>
        </row>
      </sheetData>
      <sheetData sheetId="5344" refreshError="1"/>
      <sheetData sheetId="5345">
        <row r="2">
          <cell r="A2">
            <v>0</v>
          </cell>
        </row>
      </sheetData>
      <sheetData sheetId="5346">
        <row r="2">
          <cell r="A2">
            <v>0</v>
          </cell>
        </row>
      </sheetData>
      <sheetData sheetId="5347">
        <row r="2">
          <cell r="A2">
            <v>0</v>
          </cell>
        </row>
      </sheetData>
      <sheetData sheetId="5348">
        <row r="2">
          <cell r="A2">
            <v>0</v>
          </cell>
        </row>
      </sheetData>
      <sheetData sheetId="5349">
        <row r="2">
          <cell r="A2">
            <v>0</v>
          </cell>
        </row>
      </sheetData>
      <sheetData sheetId="5350">
        <row r="2">
          <cell r="A2">
            <v>0</v>
          </cell>
        </row>
      </sheetData>
      <sheetData sheetId="5351">
        <row r="2">
          <cell r="A2">
            <v>0</v>
          </cell>
        </row>
      </sheetData>
      <sheetData sheetId="5352">
        <row r="2">
          <cell r="A2">
            <v>0</v>
          </cell>
        </row>
      </sheetData>
      <sheetData sheetId="5353">
        <row r="2">
          <cell r="A2">
            <v>0</v>
          </cell>
        </row>
      </sheetData>
      <sheetData sheetId="5354">
        <row r="2">
          <cell r="A2">
            <v>0</v>
          </cell>
        </row>
      </sheetData>
      <sheetData sheetId="5355">
        <row r="2">
          <cell r="A2">
            <v>0</v>
          </cell>
        </row>
      </sheetData>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ow r="2">
          <cell r="A2">
            <v>0</v>
          </cell>
        </row>
      </sheetData>
      <sheetData sheetId="5366">
        <row r="2">
          <cell r="A2">
            <v>0</v>
          </cell>
        </row>
      </sheetData>
      <sheetData sheetId="5367">
        <row r="2">
          <cell r="A2">
            <v>0</v>
          </cell>
        </row>
      </sheetData>
      <sheetData sheetId="5368">
        <row r="2">
          <cell r="A2">
            <v>0</v>
          </cell>
        </row>
      </sheetData>
      <sheetData sheetId="5369">
        <row r="2">
          <cell r="A2">
            <v>0</v>
          </cell>
        </row>
      </sheetData>
      <sheetData sheetId="5370">
        <row r="2">
          <cell r="A2">
            <v>0</v>
          </cell>
        </row>
      </sheetData>
      <sheetData sheetId="5371">
        <row r="2">
          <cell r="A2">
            <v>0</v>
          </cell>
        </row>
      </sheetData>
      <sheetData sheetId="5372">
        <row r="2">
          <cell r="A2">
            <v>0</v>
          </cell>
        </row>
      </sheetData>
      <sheetData sheetId="5373">
        <row r="2">
          <cell r="A2">
            <v>0</v>
          </cell>
        </row>
      </sheetData>
      <sheetData sheetId="5374">
        <row r="2">
          <cell r="A2">
            <v>0</v>
          </cell>
        </row>
      </sheetData>
      <sheetData sheetId="5375">
        <row r="2">
          <cell r="A2">
            <v>0</v>
          </cell>
        </row>
      </sheetData>
      <sheetData sheetId="5376">
        <row r="2">
          <cell r="A2">
            <v>0</v>
          </cell>
        </row>
      </sheetData>
      <sheetData sheetId="5377">
        <row r="2">
          <cell r="A2">
            <v>0</v>
          </cell>
        </row>
      </sheetData>
      <sheetData sheetId="5378">
        <row r="2">
          <cell r="A2">
            <v>0</v>
          </cell>
        </row>
      </sheetData>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ow r="2">
          <cell r="A2">
            <v>0</v>
          </cell>
        </row>
      </sheetData>
      <sheetData sheetId="5389" refreshError="1"/>
      <sheetData sheetId="5390">
        <row r="2">
          <cell r="A2">
            <v>0</v>
          </cell>
        </row>
      </sheetData>
      <sheetData sheetId="5391">
        <row r="2">
          <cell r="A2">
            <v>0</v>
          </cell>
        </row>
      </sheetData>
      <sheetData sheetId="5392">
        <row r="2">
          <cell r="A2">
            <v>0</v>
          </cell>
        </row>
      </sheetData>
      <sheetData sheetId="5393">
        <row r="2">
          <cell r="A2">
            <v>0</v>
          </cell>
        </row>
      </sheetData>
      <sheetData sheetId="5394">
        <row r="2">
          <cell r="A2">
            <v>0</v>
          </cell>
        </row>
      </sheetData>
      <sheetData sheetId="5395">
        <row r="2">
          <cell r="A2">
            <v>0</v>
          </cell>
        </row>
      </sheetData>
      <sheetData sheetId="5396">
        <row r="2">
          <cell r="A2">
            <v>0</v>
          </cell>
        </row>
      </sheetData>
      <sheetData sheetId="5397">
        <row r="2">
          <cell r="A2">
            <v>0</v>
          </cell>
        </row>
      </sheetData>
      <sheetData sheetId="5398">
        <row r="2">
          <cell r="A2">
            <v>0</v>
          </cell>
        </row>
      </sheetData>
      <sheetData sheetId="5399">
        <row r="2">
          <cell r="A2">
            <v>0</v>
          </cell>
        </row>
      </sheetData>
      <sheetData sheetId="5400">
        <row r="2">
          <cell r="A2">
            <v>0</v>
          </cell>
        </row>
      </sheetData>
      <sheetData sheetId="5401">
        <row r="2">
          <cell r="A2">
            <v>0</v>
          </cell>
        </row>
      </sheetData>
      <sheetData sheetId="5402">
        <row r="2">
          <cell r="A2">
            <v>0</v>
          </cell>
        </row>
      </sheetData>
      <sheetData sheetId="5403">
        <row r="2">
          <cell r="A2">
            <v>0</v>
          </cell>
        </row>
      </sheetData>
      <sheetData sheetId="5404">
        <row r="2">
          <cell r="A2">
            <v>0</v>
          </cell>
        </row>
      </sheetData>
      <sheetData sheetId="5405">
        <row r="2">
          <cell r="A2">
            <v>0</v>
          </cell>
        </row>
      </sheetData>
      <sheetData sheetId="5406">
        <row r="2">
          <cell r="A2">
            <v>0</v>
          </cell>
        </row>
      </sheetData>
      <sheetData sheetId="5407">
        <row r="2">
          <cell r="A2">
            <v>0</v>
          </cell>
        </row>
      </sheetData>
      <sheetData sheetId="5408">
        <row r="2">
          <cell r="A2">
            <v>0</v>
          </cell>
        </row>
      </sheetData>
      <sheetData sheetId="5409">
        <row r="2">
          <cell r="A2">
            <v>0</v>
          </cell>
        </row>
      </sheetData>
      <sheetData sheetId="5410">
        <row r="2">
          <cell r="A2">
            <v>0</v>
          </cell>
        </row>
      </sheetData>
      <sheetData sheetId="5411">
        <row r="2">
          <cell r="A2">
            <v>0</v>
          </cell>
        </row>
      </sheetData>
      <sheetData sheetId="5412">
        <row r="2">
          <cell r="A2">
            <v>0</v>
          </cell>
        </row>
      </sheetData>
      <sheetData sheetId="5413">
        <row r="2">
          <cell r="A2">
            <v>0</v>
          </cell>
        </row>
      </sheetData>
      <sheetData sheetId="5414">
        <row r="2">
          <cell r="A2">
            <v>0</v>
          </cell>
        </row>
      </sheetData>
      <sheetData sheetId="5415">
        <row r="2">
          <cell r="A2">
            <v>0</v>
          </cell>
        </row>
      </sheetData>
      <sheetData sheetId="5416">
        <row r="2">
          <cell r="A2">
            <v>0</v>
          </cell>
        </row>
      </sheetData>
      <sheetData sheetId="5417">
        <row r="2">
          <cell r="A2">
            <v>0</v>
          </cell>
        </row>
      </sheetData>
      <sheetData sheetId="5418">
        <row r="2">
          <cell r="A2">
            <v>0</v>
          </cell>
        </row>
      </sheetData>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row r="2">
          <cell r="A2">
            <v>0</v>
          </cell>
        </row>
      </sheetData>
      <sheetData sheetId="5438">
        <row r="2">
          <cell r="A2">
            <v>0</v>
          </cell>
        </row>
      </sheetData>
      <sheetData sheetId="5439">
        <row r="2">
          <cell r="A2">
            <v>0</v>
          </cell>
        </row>
      </sheetData>
      <sheetData sheetId="5440">
        <row r="2">
          <cell r="A2">
            <v>0</v>
          </cell>
        </row>
      </sheetData>
      <sheetData sheetId="5441">
        <row r="2">
          <cell r="A2">
            <v>0</v>
          </cell>
        </row>
      </sheetData>
      <sheetData sheetId="5442"/>
      <sheetData sheetId="5443" refreshError="1"/>
      <sheetData sheetId="5444" refreshError="1"/>
      <sheetData sheetId="5445"/>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sheetData sheetId="5459"/>
      <sheetData sheetId="5460"/>
      <sheetData sheetId="5461"/>
      <sheetData sheetId="5462"/>
      <sheetData sheetId="5463"/>
      <sheetData sheetId="5464"/>
      <sheetData sheetId="5465"/>
      <sheetData sheetId="5466" refreshError="1"/>
      <sheetData sheetId="5467" refreshError="1"/>
      <sheetData sheetId="5468"/>
      <sheetData sheetId="5469"/>
      <sheetData sheetId="5470" refreshError="1"/>
      <sheetData sheetId="5471" refreshError="1"/>
      <sheetData sheetId="5472"/>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sheetData sheetId="5482"/>
      <sheetData sheetId="5483"/>
      <sheetData sheetId="5484"/>
      <sheetData sheetId="5485"/>
      <sheetData sheetId="5486"/>
      <sheetData sheetId="5487"/>
      <sheetData sheetId="5488"/>
      <sheetData sheetId="5489"/>
      <sheetData sheetId="5490" refreshError="1"/>
      <sheetData sheetId="5491" refreshError="1"/>
      <sheetData sheetId="5492" refreshError="1"/>
      <sheetData sheetId="5493" refreshError="1"/>
      <sheetData sheetId="5494" refreshError="1"/>
      <sheetData sheetId="5495" refreshError="1"/>
      <sheetData sheetId="5496">
        <row r="2">
          <cell r="A2" t="str">
            <v>FORMULARIO N° 4</v>
          </cell>
        </row>
      </sheetData>
      <sheetData sheetId="5497">
        <row r="2">
          <cell r="A2">
            <v>0</v>
          </cell>
        </row>
      </sheetData>
      <sheetData sheetId="5498">
        <row r="2">
          <cell r="A2">
            <v>0</v>
          </cell>
        </row>
      </sheetData>
      <sheetData sheetId="5499">
        <row r="2">
          <cell r="A2">
            <v>0</v>
          </cell>
        </row>
      </sheetData>
      <sheetData sheetId="5500">
        <row r="2">
          <cell r="A2">
            <v>0</v>
          </cell>
        </row>
      </sheetData>
      <sheetData sheetId="5501"/>
      <sheetData sheetId="5502"/>
      <sheetData sheetId="5503">
        <row r="2">
          <cell r="A2">
            <v>0</v>
          </cell>
        </row>
      </sheetData>
      <sheetData sheetId="5504"/>
      <sheetData sheetId="5505">
        <row r="2">
          <cell r="A2">
            <v>0</v>
          </cell>
        </row>
      </sheetData>
      <sheetData sheetId="5506"/>
      <sheetData sheetId="5507"/>
      <sheetData sheetId="5508">
        <row r="2">
          <cell r="A2" t="str">
            <v>Locación</v>
          </cell>
        </row>
      </sheetData>
      <sheetData sheetId="5509" refreshError="1"/>
      <sheetData sheetId="5510" refreshError="1"/>
      <sheetData sheetId="5511" refreshError="1"/>
      <sheetData sheetId="5512">
        <row r="2">
          <cell r="A2">
            <v>0</v>
          </cell>
        </row>
      </sheetData>
      <sheetData sheetId="5513" refreshError="1"/>
      <sheetData sheetId="5514" refreshError="1"/>
      <sheetData sheetId="5515" refreshError="1"/>
      <sheetData sheetId="5516" refreshError="1"/>
      <sheetData sheetId="5517"/>
      <sheetData sheetId="5518"/>
      <sheetData sheetId="5519"/>
      <sheetData sheetId="5520"/>
      <sheetData sheetId="5521"/>
      <sheetData sheetId="5522"/>
      <sheetData sheetId="5523"/>
      <sheetData sheetId="5524"/>
      <sheetData sheetId="5525" refreshError="1"/>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row r="2">
          <cell r="A2" t="str">
            <v xml:space="preserve">PROYECTO: Elaborar los estudios y diseños Técnicos para llevar a cabo las obras de adecuación y remodelación de las oficinas 204, 205, 206, 1004, 1005, y 1006, y primero y segundo piso del edificio 9-57 en la Calle 78 No. 9-57 Bogotá, D.C. </v>
          </cell>
        </row>
      </sheetData>
      <sheetData sheetId="5565"/>
      <sheetData sheetId="5566"/>
      <sheetData sheetId="5567"/>
      <sheetData sheetId="5568"/>
      <sheetData sheetId="5569"/>
      <sheetData sheetId="5570"/>
      <sheetData sheetId="5571"/>
      <sheetData sheetId="5572"/>
      <sheetData sheetId="5573" refreshError="1"/>
      <sheetData sheetId="5574" refreshError="1"/>
      <sheetData sheetId="5575" refreshError="1"/>
      <sheetData sheetId="5576" refreshError="1"/>
      <sheetData sheetId="5577">
        <row r="2">
          <cell r="A2" t="str">
            <v xml:space="preserve">PROYECTO: Elaborar los estudios y diseños Técnicos para llevar a cabo las obras de adecuación y remodelación de las oficinas 204, 205, 206, 1004, 1005, y 1006, y primero y segundo piso del edificio 9-57 en la Calle 78 No. 9-57 Bogotá, D.C. </v>
          </cell>
        </row>
      </sheetData>
      <sheetData sheetId="5578">
        <row r="2">
          <cell r="A2">
            <v>0</v>
          </cell>
        </row>
      </sheetData>
      <sheetData sheetId="5579"/>
      <sheetData sheetId="5580"/>
      <sheetData sheetId="5581"/>
      <sheetData sheetId="5582"/>
      <sheetData sheetId="5583">
        <row r="2">
          <cell r="B2">
            <v>0</v>
          </cell>
        </row>
      </sheetData>
      <sheetData sheetId="558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LISTADO DE MATERIALES Y EQUIPOS"/>
      <sheetName val="cantidades"/>
      <sheetName val="APUS BASIC"/>
      <sheetName val="APU"/>
      <sheetName val="Analisis AIU"/>
      <sheetName val="Hoja1"/>
    </sheetNames>
    <sheetDataSet>
      <sheetData sheetId="0"/>
      <sheetData sheetId="1">
        <row r="6">
          <cell r="B6">
            <v>25000</v>
          </cell>
        </row>
        <row r="8">
          <cell r="B8">
            <v>50000</v>
          </cell>
        </row>
        <row r="10">
          <cell r="B10">
            <v>85000</v>
          </cell>
        </row>
        <row r="11">
          <cell r="B11">
            <v>1250</v>
          </cell>
        </row>
        <row r="12">
          <cell r="B12">
            <v>560</v>
          </cell>
        </row>
        <row r="14">
          <cell r="B14">
            <v>2750</v>
          </cell>
        </row>
        <row r="15">
          <cell r="B15">
            <v>3950</v>
          </cell>
        </row>
        <row r="16">
          <cell r="B16">
            <v>300</v>
          </cell>
        </row>
        <row r="18">
          <cell r="B18">
            <v>60</v>
          </cell>
        </row>
        <row r="19">
          <cell r="B19">
            <v>1200</v>
          </cell>
        </row>
        <row r="22">
          <cell r="B22">
            <v>14500</v>
          </cell>
        </row>
        <row r="24">
          <cell r="B24">
            <v>3400</v>
          </cell>
        </row>
        <row r="25">
          <cell r="B25">
            <v>9900</v>
          </cell>
        </row>
        <row r="29">
          <cell r="B29">
            <v>3760</v>
          </cell>
        </row>
        <row r="30">
          <cell r="B30">
            <v>5180</v>
          </cell>
        </row>
        <row r="31">
          <cell r="B31">
            <v>45000</v>
          </cell>
        </row>
        <row r="32">
          <cell r="B32">
            <v>60000</v>
          </cell>
        </row>
        <row r="33">
          <cell r="B33">
            <v>55000</v>
          </cell>
        </row>
        <row r="42">
          <cell r="B42">
            <v>75000</v>
          </cell>
        </row>
        <row r="44">
          <cell r="B44">
            <v>1100</v>
          </cell>
        </row>
        <row r="45">
          <cell r="B45">
            <v>10000</v>
          </cell>
        </row>
        <row r="47">
          <cell r="B47">
            <v>1042</v>
          </cell>
        </row>
        <row r="53">
          <cell r="B53">
            <v>9361.6666666666661</v>
          </cell>
        </row>
        <row r="56">
          <cell r="B56">
            <v>34400</v>
          </cell>
        </row>
        <row r="57">
          <cell r="B57">
            <v>14520</v>
          </cell>
        </row>
        <row r="58">
          <cell r="B58">
            <v>51400</v>
          </cell>
        </row>
        <row r="59">
          <cell r="B59">
            <v>66900</v>
          </cell>
        </row>
        <row r="60">
          <cell r="B60">
            <v>37800</v>
          </cell>
        </row>
        <row r="61">
          <cell r="B61">
            <v>61800</v>
          </cell>
        </row>
        <row r="62">
          <cell r="B62">
            <v>15800</v>
          </cell>
        </row>
        <row r="64">
          <cell r="B64">
            <v>10980</v>
          </cell>
        </row>
        <row r="65">
          <cell r="B65">
            <v>32500</v>
          </cell>
        </row>
        <row r="66">
          <cell r="B66">
            <v>30900</v>
          </cell>
        </row>
        <row r="67">
          <cell r="B67">
            <v>5000</v>
          </cell>
        </row>
        <row r="69">
          <cell r="B69">
            <v>319900</v>
          </cell>
        </row>
        <row r="70">
          <cell r="B70">
            <v>2500</v>
          </cell>
        </row>
        <row r="72">
          <cell r="B72">
            <v>3150</v>
          </cell>
        </row>
        <row r="79">
          <cell r="B79">
            <v>49900</v>
          </cell>
        </row>
        <row r="87">
          <cell r="B87">
            <v>169900</v>
          </cell>
        </row>
        <row r="88">
          <cell r="B88">
            <v>228350</v>
          </cell>
        </row>
        <row r="90">
          <cell r="B90">
            <v>98333</v>
          </cell>
        </row>
        <row r="93">
          <cell r="B93">
            <v>1500</v>
          </cell>
        </row>
        <row r="94">
          <cell r="B94">
            <v>1120</v>
          </cell>
        </row>
        <row r="95">
          <cell r="B95">
            <v>750</v>
          </cell>
        </row>
        <row r="96">
          <cell r="B96">
            <v>18900</v>
          </cell>
        </row>
        <row r="97">
          <cell r="B97">
            <v>22500</v>
          </cell>
        </row>
        <row r="98">
          <cell r="B98">
            <v>235000</v>
          </cell>
        </row>
        <row r="99">
          <cell r="B99">
            <v>15000</v>
          </cell>
        </row>
        <row r="100">
          <cell r="B100">
            <v>3080</v>
          </cell>
        </row>
        <row r="101">
          <cell r="B101">
            <v>4340</v>
          </cell>
        </row>
        <row r="102">
          <cell r="B102">
            <v>4340</v>
          </cell>
        </row>
        <row r="103">
          <cell r="B103">
            <v>21</v>
          </cell>
        </row>
        <row r="104">
          <cell r="B104">
            <v>21</v>
          </cell>
        </row>
        <row r="105">
          <cell r="B105">
            <v>630</v>
          </cell>
        </row>
        <row r="106">
          <cell r="B106">
            <v>54800</v>
          </cell>
        </row>
        <row r="107">
          <cell r="B107">
            <v>13350</v>
          </cell>
        </row>
        <row r="108">
          <cell r="B108">
            <v>1200</v>
          </cell>
        </row>
        <row r="109">
          <cell r="B109">
            <v>2850</v>
          </cell>
        </row>
        <row r="110">
          <cell r="B110">
            <v>9500</v>
          </cell>
        </row>
        <row r="113">
          <cell r="B113">
            <v>47200</v>
          </cell>
        </row>
        <row r="114">
          <cell r="B114">
            <v>6900</v>
          </cell>
        </row>
        <row r="115">
          <cell r="B115">
            <v>7900</v>
          </cell>
        </row>
        <row r="116">
          <cell r="B116">
            <v>9900</v>
          </cell>
        </row>
        <row r="117">
          <cell r="B117">
            <v>1350000</v>
          </cell>
        </row>
        <row r="118">
          <cell r="B118">
            <v>1854900</v>
          </cell>
        </row>
        <row r="119">
          <cell r="B119">
            <v>31900</v>
          </cell>
        </row>
        <row r="121">
          <cell r="B121">
            <v>10900</v>
          </cell>
        </row>
        <row r="123">
          <cell r="B123">
            <v>600</v>
          </cell>
        </row>
        <row r="124">
          <cell r="B124">
            <v>1200</v>
          </cell>
        </row>
        <row r="125">
          <cell r="B125">
            <v>620</v>
          </cell>
        </row>
        <row r="128">
          <cell r="B128">
            <v>14500</v>
          </cell>
        </row>
      </sheetData>
      <sheetData sheetId="2"/>
      <sheetData sheetId="3">
        <row r="80">
          <cell r="G80">
            <v>353855</v>
          </cell>
        </row>
        <row r="122">
          <cell r="G122">
            <v>322507</v>
          </cell>
        </row>
        <row r="165">
          <cell r="G165">
            <v>291336</v>
          </cell>
        </row>
        <row r="208">
          <cell r="G208">
            <v>277044</v>
          </cell>
        </row>
        <row r="252">
          <cell r="G252">
            <v>254696</v>
          </cell>
        </row>
        <row r="296">
          <cell r="G296">
            <v>206485</v>
          </cell>
        </row>
        <row r="340">
          <cell r="G340">
            <v>4057</v>
          </cell>
        </row>
      </sheetData>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NEC. 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NSA"/>
      <sheetName val="COMENT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_Via_distribuidora"/>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CONTENIDO"/>
      <sheetName val="GENERALIDADES"/>
      <sheetName val="CUMPLIMIENTO"/>
      <sheetName val="EST.RED"/>
      <sheetName val="SEMAFORO"/>
      <sheetName val="Comp. TORTAS "/>
      <sheetName val="CRITE. TECN."/>
      <sheetName val="MAPA EST RED"/>
      <sheetName val="NECESIDAD VIA"/>
      <sheetName val="Necesidades cr."/>
      <sheetName val="CANTID.Y COSTOS NEC."/>
      <sheetName val="SITIOS CRITICOS"/>
      <sheetName val="EMERG."/>
      <sheetName val="PUENTES"/>
      <sheetName val="PRIOR-PTES"/>
      <sheetName val="PONTONES"/>
      <sheetName val="señal v"/>
      <sheetName val="señal H"/>
      <sheetName val="Accidentalidad"/>
      <sheetName val="Mapa- Acci."/>
      <sheetName val="DEFENSA VIAS"/>
      <sheetName val="SEGUIMIENTO"/>
      <sheetName val="CUANTI AMV"/>
      <sheetName val="CUALI AMV"/>
      <sheetName val="CUANTI MICRO"/>
      <sheetName val="CUALI MICRO"/>
      <sheetName val="COMENTAR.GLES"/>
      <sheetName val="RES.FOTO."/>
    </sheetNames>
    <sheetDataSet>
      <sheetData sheetId="0"/>
      <sheetData sheetId="1"/>
      <sheetData sheetId="2">
        <row r="5">
          <cell r="C5" t="str">
            <v>INGEVIALESV E.U.</v>
          </cell>
          <cell r="M5" t="str">
            <v>TRIMESTRE: DICIEMBRE DE 2005 - FEBRERO DE 2006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Evaluac. Rmendtos"/>
      <sheetName val="INDICMICROEMP"/>
      <sheetName val="PUENTES"/>
      <sheetName val="CONTRATEJEC."/>
      <sheetName val="INF. EMERGENCIAS"/>
      <sheetName val="NECESID. VIA"/>
      <sheetName val="CALC. CANTIDADES"/>
      <sheetName val="CUADRO SEGUIMIENTO"/>
      <sheetName val="ACCIDENTALIDAD"/>
      <sheetName val="ESTADO GENERAL"/>
      <sheetName val="TORTAS VIAS"/>
      <sheetName val="COMENTARIOS"/>
      <sheetName val="ANEXO FOTOGR."/>
    </sheetNames>
    <sheetDataSet>
      <sheetData sheetId="0" refreshError="1"/>
      <sheetData sheetId="1" refreshError="1"/>
      <sheetData sheetId="2" refreshError="1">
        <row r="20">
          <cell r="A20" t="str">
            <v>ADMINISTRADOR VIAL: ARMANDO SANCHEZ SANCHEZ</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N° 4"/>
      <sheetName val="CAPITULO II"/>
      <sheetName val="CAPITULO III"/>
      <sheetName val="CAPITULO IV"/>
      <sheetName val="CAPITULO V "/>
      <sheetName val="CAPITULO VI"/>
      <sheetName val="AUXILIAR CONCRETOS"/>
      <sheetName val="CAPITULO VII"/>
      <sheetName val="CAPITULO VIII"/>
      <sheetName val="CAPITULO IX"/>
      <sheetName val="MATERIALES"/>
      <sheetName val="EQUIPO"/>
      <sheetName val="AUXILIAR MEZCLA Y TRITURACION"/>
      <sheetName val="AC2-AG96"/>
    </sheetNames>
    <sheetDataSet>
      <sheetData sheetId="0" refreshError="1">
        <row r="129">
          <cell r="F129">
            <v>0.22</v>
          </cell>
        </row>
        <row r="130">
          <cell r="F130">
            <v>0.03</v>
          </cell>
        </row>
        <row r="131">
          <cell r="F131">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D2">
            <v>17269.396666666667</v>
          </cell>
        </row>
        <row r="3">
          <cell r="D3">
            <v>17269.396666666667</v>
          </cell>
        </row>
      </sheetData>
      <sheetData sheetId="11" refreshError="1">
        <row r="5">
          <cell r="D5">
            <v>40000</v>
          </cell>
        </row>
        <row r="10">
          <cell r="D10">
            <v>80000</v>
          </cell>
        </row>
        <row r="27">
          <cell r="D27">
            <v>3300</v>
          </cell>
        </row>
      </sheetData>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EMS"/>
      <sheetName val="precios-básicos2002"/>
      <sheetName val="UNITARIO"/>
      <sheetName val="Hoja3"/>
      <sheetName val="RESUMEN"/>
      <sheetName val="lecho rio"/>
    </sheetNames>
    <sheetDataSet>
      <sheetData sheetId="0" refreshError="1">
        <row r="9">
          <cell r="A9" t="str">
            <v>Zipaquirá - Ubaté, Briceño - Chocontá, Briceño - "T" de Nemocón, Sisga - Brisas, Chocontá - Guateque</v>
          </cell>
        </row>
        <row r="14">
          <cell r="B14">
            <v>1.1000000000000001</v>
          </cell>
        </row>
        <row r="16">
          <cell r="B16">
            <v>0.18</v>
          </cell>
        </row>
        <row r="17">
          <cell r="B17">
            <v>0.06</v>
          </cell>
        </row>
        <row r="18">
          <cell r="B18">
            <v>0.06</v>
          </cell>
        </row>
      </sheetData>
      <sheetData sheetId="1" refreshError="1">
        <row r="6">
          <cell r="B6">
            <v>200.1</v>
          </cell>
        </row>
        <row r="7">
          <cell r="B7">
            <v>200.2</v>
          </cell>
        </row>
        <row r="8">
          <cell r="B8">
            <v>201.1</v>
          </cell>
        </row>
        <row r="9">
          <cell r="B9">
            <v>201.2</v>
          </cell>
        </row>
        <row r="10">
          <cell r="B10">
            <v>201.3</v>
          </cell>
        </row>
        <row r="11">
          <cell r="B11">
            <v>201.4</v>
          </cell>
        </row>
        <row r="12">
          <cell r="B12">
            <v>201.5</v>
          </cell>
        </row>
        <row r="13">
          <cell r="B13">
            <v>201.6</v>
          </cell>
        </row>
        <row r="14">
          <cell r="B14" t="str">
            <v xml:space="preserve">201.6P </v>
          </cell>
        </row>
        <row r="15">
          <cell r="B15" t="str">
            <v xml:space="preserve">201.7 </v>
          </cell>
        </row>
        <row r="16">
          <cell r="B16">
            <v>201.8</v>
          </cell>
        </row>
        <row r="17">
          <cell r="B17">
            <v>201.9</v>
          </cell>
        </row>
        <row r="18">
          <cell r="B18">
            <v>201.1</v>
          </cell>
        </row>
        <row r="19">
          <cell r="B19">
            <v>201.11</v>
          </cell>
        </row>
        <row r="20">
          <cell r="B20">
            <v>201.12</v>
          </cell>
        </row>
        <row r="21">
          <cell r="B21">
            <v>201.13</v>
          </cell>
        </row>
        <row r="22">
          <cell r="B22">
            <v>201.14</v>
          </cell>
        </row>
        <row r="23">
          <cell r="B23">
            <v>201.15</v>
          </cell>
        </row>
        <row r="24">
          <cell r="B24">
            <v>210.1</v>
          </cell>
        </row>
        <row r="25">
          <cell r="B25">
            <v>210.2</v>
          </cell>
        </row>
        <row r="26">
          <cell r="B26">
            <v>210.3</v>
          </cell>
        </row>
        <row r="27">
          <cell r="B27">
            <v>211</v>
          </cell>
        </row>
        <row r="28">
          <cell r="B28">
            <v>220</v>
          </cell>
        </row>
        <row r="29">
          <cell r="B29">
            <v>221.1</v>
          </cell>
        </row>
        <row r="30">
          <cell r="B30">
            <v>221.2</v>
          </cell>
        </row>
        <row r="31">
          <cell r="B31">
            <v>230.1</v>
          </cell>
        </row>
        <row r="32">
          <cell r="B32">
            <v>230.2</v>
          </cell>
        </row>
        <row r="33">
          <cell r="B33">
            <v>310</v>
          </cell>
        </row>
        <row r="34">
          <cell r="B34">
            <v>311</v>
          </cell>
        </row>
        <row r="35">
          <cell r="B35">
            <v>320.10000000000002</v>
          </cell>
        </row>
        <row r="36">
          <cell r="B36">
            <v>320.2</v>
          </cell>
        </row>
        <row r="37">
          <cell r="B37" t="str">
            <v>320.3</v>
          </cell>
        </row>
        <row r="38">
          <cell r="B38">
            <v>320.39999999999998</v>
          </cell>
        </row>
        <row r="39">
          <cell r="B39" t="str">
            <v>330.1</v>
          </cell>
        </row>
        <row r="40">
          <cell r="B40">
            <v>330.2</v>
          </cell>
        </row>
        <row r="41">
          <cell r="B41">
            <v>340.1</v>
          </cell>
        </row>
        <row r="42">
          <cell r="B42">
            <v>340.2</v>
          </cell>
        </row>
        <row r="43">
          <cell r="B43">
            <v>340.3</v>
          </cell>
        </row>
        <row r="44">
          <cell r="B44">
            <v>341.1</v>
          </cell>
        </row>
        <row r="45">
          <cell r="B45">
            <v>341.2</v>
          </cell>
        </row>
        <row r="46">
          <cell r="B46">
            <v>410</v>
          </cell>
        </row>
        <row r="47">
          <cell r="B47">
            <v>411.1</v>
          </cell>
        </row>
        <row r="48">
          <cell r="B48">
            <v>411.2</v>
          </cell>
        </row>
        <row r="49">
          <cell r="B49">
            <v>411.3</v>
          </cell>
        </row>
        <row r="50">
          <cell r="B50">
            <v>413</v>
          </cell>
        </row>
        <row r="51">
          <cell r="B51">
            <v>420</v>
          </cell>
        </row>
        <row r="52">
          <cell r="B52">
            <v>421</v>
          </cell>
        </row>
        <row r="53">
          <cell r="B53">
            <v>430</v>
          </cell>
        </row>
        <row r="54">
          <cell r="B54">
            <v>431</v>
          </cell>
        </row>
        <row r="55">
          <cell r="B55">
            <v>432</v>
          </cell>
        </row>
        <row r="56">
          <cell r="B56">
            <v>433</v>
          </cell>
        </row>
        <row r="57">
          <cell r="B57">
            <v>440.1</v>
          </cell>
        </row>
        <row r="58">
          <cell r="B58">
            <v>440.2</v>
          </cell>
        </row>
        <row r="59">
          <cell r="B59">
            <v>440.3</v>
          </cell>
        </row>
        <row r="60">
          <cell r="B60">
            <v>440.4</v>
          </cell>
        </row>
        <row r="61">
          <cell r="B61">
            <v>441.1</v>
          </cell>
        </row>
        <row r="62">
          <cell r="B62">
            <v>441.2</v>
          </cell>
        </row>
        <row r="63">
          <cell r="B63">
            <v>441.3</v>
          </cell>
        </row>
        <row r="64">
          <cell r="B64">
            <v>441.4</v>
          </cell>
        </row>
        <row r="65">
          <cell r="B65">
            <v>450.1</v>
          </cell>
        </row>
        <row r="66">
          <cell r="B66">
            <v>450.2</v>
          </cell>
        </row>
        <row r="67">
          <cell r="B67">
            <v>450.3</v>
          </cell>
        </row>
        <row r="68">
          <cell r="B68">
            <v>450.4</v>
          </cell>
        </row>
        <row r="69">
          <cell r="B69" t="str">
            <v>450.6P</v>
          </cell>
        </row>
        <row r="70">
          <cell r="B70" t="str">
            <v xml:space="preserve">450.7 </v>
          </cell>
        </row>
        <row r="71">
          <cell r="B71">
            <v>451.1</v>
          </cell>
        </row>
        <row r="72">
          <cell r="B72">
            <v>451.2</v>
          </cell>
        </row>
        <row r="73">
          <cell r="B73">
            <v>451.3</v>
          </cell>
        </row>
        <row r="74">
          <cell r="B74">
            <v>460</v>
          </cell>
        </row>
        <row r="75">
          <cell r="B75">
            <v>461</v>
          </cell>
        </row>
        <row r="76">
          <cell r="B76" t="str">
            <v xml:space="preserve">461.P </v>
          </cell>
        </row>
        <row r="77">
          <cell r="B77">
            <v>462.1</v>
          </cell>
        </row>
        <row r="78">
          <cell r="B78">
            <v>462.2</v>
          </cell>
        </row>
        <row r="79">
          <cell r="B79">
            <v>462.3</v>
          </cell>
        </row>
        <row r="80">
          <cell r="B80">
            <v>462.4</v>
          </cell>
        </row>
        <row r="81">
          <cell r="B81">
            <v>500</v>
          </cell>
        </row>
        <row r="82">
          <cell r="B82">
            <v>510</v>
          </cell>
        </row>
        <row r="83">
          <cell r="B83">
            <v>600.1</v>
          </cell>
        </row>
        <row r="84">
          <cell r="B84">
            <v>600.20000000000005</v>
          </cell>
        </row>
        <row r="85">
          <cell r="B85">
            <v>600.29999999999995</v>
          </cell>
        </row>
        <row r="86">
          <cell r="B86">
            <v>600.4</v>
          </cell>
        </row>
        <row r="87">
          <cell r="B87">
            <v>600.5</v>
          </cell>
        </row>
        <row r="88">
          <cell r="B88" t="str">
            <v>610.1</v>
          </cell>
        </row>
        <row r="89">
          <cell r="B89">
            <v>610.20000000000005</v>
          </cell>
        </row>
        <row r="90">
          <cell r="B90" t="str">
            <v xml:space="preserve">45.4P </v>
          </cell>
        </row>
        <row r="91">
          <cell r="B91" t="str">
            <v xml:space="preserve">45,5P </v>
          </cell>
        </row>
        <row r="92">
          <cell r="B92">
            <v>620.1</v>
          </cell>
        </row>
        <row r="93">
          <cell r="B93">
            <v>620.20000000000005</v>
          </cell>
        </row>
        <row r="94">
          <cell r="B94">
            <v>620.29999999999995</v>
          </cell>
        </row>
        <row r="95">
          <cell r="B95">
            <v>621.1</v>
          </cell>
        </row>
        <row r="96">
          <cell r="B96">
            <v>621.20000000000005</v>
          </cell>
        </row>
        <row r="97">
          <cell r="B97">
            <v>621.29999999999995</v>
          </cell>
        </row>
        <row r="98">
          <cell r="B98">
            <v>621.4</v>
          </cell>
        </row>
        <row r="99">
          <cell r="B99">
            <v>621.5</v>
          </cell>
        </row>
        <row r="100">
          <cell r="B100">
            <v>621.6</v>
          </cell>
        </row>
        <row r="101">
          <cell r="B101">
            <v>622.1</v>
          </cell>
        </row>
        <row r="102">
          <cell r="B102">
            <v>622.20000000000005</v>
          </cell>
        </row>
        <row r="103">
          <cell r="B103">
            <v>622.29999999999995</v>
          </cell>
        </row>
        <row r="104">
          <cell r="B104">
            <v>622.4</v>
          </cell>
        </row>
        <row r="105">
          <cell r="B105">
            <v>622.5</v>
          </cell>
        </row>
        <row r="106">
          <cell r="B106">
            <v>630.1</v>
          </cell>
        </row>
        <row r="107">
          <cell r="B107" t="str">
            <v>630.1P</v>
          </cell>
        </row>
        <row r="108">
          <cell r="B108">
            <v>630.20000000000005</v>
          </cell>
        </row>
        <row r="109">
          <cell r="B109" t="str">
            <v xml:space="preserve">630.3 </v>
          </cell>
        </row>
        <row r="110">
          <cell r="B110">
            <v>630.4</v>
          </cell>
        </row>
        <row r="111">
          <cell r="B111" t="str">
            <v xml:space="preserve">630,4P </v>
          </cell>
        </row>
        <row r="112">
          <cell r="B112">
            <v>630.5</v>
          </cell>
        </row>
        <row r="113">
          <cell r="B113" t="str">
            <v>630.6</v>
          </cell>
        </row>
        <row r="114">
          <cell r="B114" t="str">
            <v>630.7</v>
          </cell>
        </row>
        <row r="115">
          <cell r="B115">
            <v>632</v>
          </cell>
        </row>
        <row r="116">
          <cell r="B116" t="str">
            <v>632.A</v>
          </cell>
        </row>
        <row r="117">
          <cell r="B117" t="str">
            <v xml:space="preserve">640.1 </v>
          </cell>
        </row>
        <row r="118">
          <cell r="B118">
            <v>640.20000000000005</v>
          </cell>
        </row>
        <row r="119">
          <cell r="B119">
            <v>640.29999999999995</v>
          </cell>
        </row>
        <row r="120">
          <cell r="B120" t="str">
            <v xml:space="preserve">640.5 </v>
          </cell>
        </row>
        <row r="121">
          <cell r="B121">
            <v>641</v>
          </cell>
        </row>
        <row r="122">
          <cell r="B122">
            <v>642.1</v>
          </cell>
        </row>
        <row r="123">
          <cell r="B123">
            <v>642.20000000000005</v>
          </cell>
        </row>
        <row r="124">
          <cell r="B124">
            <v>650.1</v>
          </cell>
        </row>
        <row r="125">
          <cell r="B125">
            <v>650.20000000000005</v>
          </cell>
        </row>
        <row r="126">
          <cell r="B126">
            <v>650.29999999999995</v>
          </cell>
        </row>
        <row r="127">
          <cell r="B127">
            <v>650.4</v>
          </cell>
        </row>
        <row r="128">
          <cell r="B128">
            <v>660.1</v>
          </cell>
        </row>
        <row r="129">
          <cell r="B129">
            <v>660.2</v>
          </cell>
        </row>
        <row r="130">
          <cell r="B130">
            <v>660.3</v>
          </cell>
        </row>
        <row r="131">
          <cell r="B131">
            <v>661</v>
          </cell>
        </row>
        <row r="132">
          <cell r="B132">
            <v>662.1</v>
          </cell>
        </row>
        <row r="133">
          <cell r="B133">
            <v>662.2</v>
          </cell>
        </row>
        <row r="134">
          <cell r="B134">
            <v>670.1</v>
          </cell>
        </row>
        <row r="135">
          <cell r="B135">
            <v>670.2</v>
          </cell>
        </row>
        <row r="136">
          <cell r="B136">
            <v>671</v>
          </cell>
        </row>
        <row r="137">
          <cell r="B137">
            <v>672</v>
          </cell>
        </row>
        <row r="138">
          <cell r="B138">
            <v>673</v>
          </cell>
        </row>
        <row r="139">
          <cell r="B139" t="str">
            <v>674.P</v>
          </cell>
        </row>
        <row r="140">
          <cell r="B140" t="str">
            <v>674.P</v>
          </cell>
        </row>
        <row r="141">
          <cell r="B141" t="str">
            <v>674.P</v>
          </cell>
        </row>
        <row r="142">
          <cell r="B142" t="str">
            <v xml:space="preserve">675.P </v>
          </cell>
        </row>
        <row r="143">
          <cell r="B143">
            <v>680.1</v>
          </cell>
        </row>
        <row r="144">
          <cell r="B144">
            <v>680.2</v>
          </cell>
        </row>
        <row r="145">
          <cell r="B145">
            <v>680.3</v>
          </cell>
        </row>
        <row r="146">
          <cell r="B146">
            <v>681.1</v>
          </cell>
        </row>
        <row r="147">
          <cell r="B147">
            <v>682</v>
          </cell>
        </row>
        <row r="148">
          <cell r="B148" t="str">
            <v>683,P</v>
          </cell>
        </row>
        <row r="149">
          <cell r="B149">
            <v>700.1</v>
          </cell>
        </row>
        <row r="150">
          <cell r="B150">
            <v>700.2</v>
          </cell>
        </row>
        <row r="151">
          <cell r="B151">
            <v>701</v>
          </cell>
        </row>
        <row r="152">
          <cell r="B152">
            <v>710.1</v>
          </cell>
        </row>
        <row r="153">
          <cell r="B153">
            <v>710.2</v>
          </cell>
        </row>
        <row r="154">
          <cell r="B154">
            <v>710.3</v>
          </cell>
        </row>
        <row r="155">
          <cell r="B155">
            <v>710.4</v>
          </cell>
        </row>
        <row r="156">
          <cell r="B156">
            <v>710.5</v>
          </cell>
        </row>
        <row r="157">
          <cell r="B157" t="str">
            <v>710.6P</v>
          </cell>
        </row>
        <row r="158">
          <cell r="B158">
            <v>720</v>
          </cell>
        </row>
        <row r="159">
          <cell r="B159">
            <v>730.1</v>
          </cell>
        </row>
        <row r="160">
          <cell r="B160">
            <v>730.2</v>
          </cell>
        </row>
        <row r="161">
          <cell r="B161">
            <v>730.3</v>
          </cell>
        </row>
        <row r="162">
          <cell r="B162" t="str">
            <v>731,P</v>
          </cell>
        </row>
        <row r="163">
          <cell r="B163">
            <v>740</v>
          </cell>
        </row>
        <row r="164">
          <cell r="B164">
            <v>741</v>
          </cell>
        </row>
        <row r="165">
          <cell r="B165" t="str">
            <v>750.P</v>
          </cell>
        </row>
        <row r="166">
          <cell r="B166">
            <v>800.1</v>
          </cell>
        </row>
        <row r="167">
          <cell r="B167">
            <v>800.2</v>
          </cell>
        </row>
        <row r="168">
          <cell r="B168">
            <v>800.3</v>
          </cell>
        </row>
        <row r="169">
          <cell r="B169">
            <v>800.4</v>
          </cell>
        </row>
        <row r="170">
          <cell r="B170">
            <v>810.1</v>
          </cell>
        </row>
        <row r="171">
          <cell r="B171">
            <v>810.2</v>
          </cell>
        </row>
        <row r="172">
          <cell r="B172">
            <v>820.1</v>
          </cell>
        </row>
        <row r="173">
          <cell r="B173">
            <v>820.2</v>
          </cell>
        </row>
        <row r="174">
          <cell r="B174">
            <v>900.1</v>
          </cell>
        </row>
        <row r="175">
          <cell r="B175">
            <v>900.2</v>
          </cell>
        </row>
        <row r="176">
          <cell r="B176">
            <v>900.3</v>
          </cell>
        </row>
      </sheetData>
      <sheetData sheetId="2" refreshError="1">
        <row r="12">
          <cell r="C12" t="str">
            <v>Andamio tubular</v>
          </cell>
          <cell r="D12" t="str">
            <v>SEC/DIA</v>
          </cell>
          <cell r="E12">
            <v>110</v>
          </cell>
        </row>
        <row r="13">
          <cell r="C13" t="str">
            <v>Buldozer Tipo D-4 o equivalente</v>
          </cell>
          <cell r="D13" t="str">
            <v>Hora</v>
          </cell>
          <cell r="E13">
            <v>40000</v>
          </cell>
        </row>
        <row r="14">
          <cell r="C14" t="str">
            <v>Buldozer Tipo D-6 o equivalente</v>
          </cell>
          <cell r="D14" t="str">
            <v>Hora</v>
          </cell>
          <cell r="E14">
            <v>45000</v>
          </cell>
        </row>
        <row r="15">
          <cell r="C15" t="str">
            <v>Buldozer Tipo D-7 o equivalente</v>
          </cell>
          <cell r="D15" t="str">
            <v>Hora</v>
          </cell>
          <cell r="E15">
            <v>50000</v>
          </cell>
        </row>
        <row r="16">
          <cell r="C16" t="str">
            <v>Camabaja</v>
          </cell>
          <cell r="D16" t="str">
            <v>Hora</v>
          </cell>
          <cell r="E16">
            <v>40000</v>
          </cell>
        </row>
        <row r="17">
          <cell r="C17" t="str">
            <v>Camioneta tipo 300</v>
          </cell>
          <cell r="D17" t="str">
            <v>Hora</v>
          </cell>
          <cell r="E17">
            <v>6000</v>
          </cell>
        </row>
        <row r="18">
          <cell r="C18" t="str">
            <v>Campero</v>
          </cell>
          <cell r="D18" t="str">
            <v>Hora</v>
          </cell>
          <cell r="E18">
            <v>5000</v>
          </cell>
        </row>
        <row r="19">
          <cell r="C19" t="str">
            <v>Cargador tipo CAT 910 o equivalente</v>
          </cell>
          <cell r="D19" t="str">
            <v>Hora</v>
          </cell>
          <cell r="E19">
            <v>30000</v>
          </cell>
        </row>
        <row r="20">
          <cell r="C20" t="str">
            <v>Cargador tipo CAT 920 o equivalente</v>
          </cell>
          <cell r="D20" t="str">
            <v>Hora</v>
          </cell>
          <cell r="E20">
            <v>35000</v>
          </cell>
        </row>
        <row r="21">
          <cell r="C21" t="str">
            <v>Cargador tipo CAT 930 o equivalente</v>
          </cell>
          <cell r="D21" t="str">
            <v>Hora</v>
          </cell>
          <cell r="E21">
            <v>40000</v>
          </cell>
        </row>
        <row r="22">
          <cell r="C22" t="str">
            <v>Cargador tipo CAT 950 o equivalente</v>
          </cell>
          <cell r="D22" t="str">
            <v>Hora</v>
          </cell>
          <cell r="E22">
            <v>42000</v>
          </cell>
        </row>
        <row r="23">
          <cell r="C23" t="str">
            <v>Carrotanque de agua (1000 galones)</v>
          </cell>
          <cell r="D23" t="str">
            <v>Hora</v>
          </cell>
          <cell r="E23">
            <v>25000</v>
          </cell>
        </row>
        <row r="24">
          <cell r="C24" t="str">
            <v>Compactador vibratorio autopropulsado Tipo Dyn-CA-15</v>
          </cell>
          <cell r="D24" t="str">
            <v>Hora</v>
          </cell>
          <cell r="E24">
            <v>35000</v>
          </cell>
        </row>
        <row r="25">
          <cell r="C25" t="str">
            <v>Cilindro compactador tipo triciclo</v>
          </cell>
          <cell r="D25" t="str">
            <v>Hora</v>
          </cell>
          <cell r="E25">
            <v>20000</v>
          </cell>
        </row>
        <row r="26">
          <cell r="C26" t="str">
            <v>Compactador manual vibratorio (rana)</v>
          </cell>
          <cell r="D26" t="str">
            <v>Día</v>
          </cell>
          <cell r="E26">
            <v>25000</v>
          </cell>
        </row>
        <row r="27">
          <cell r="C27" t="str">
            <v>Compresor (125 pies3) con martillos</v>
          </cell>
          <cell r="D27" t="str">
            <v>Hora</v>
          </cell>
          <cell r="E27">
            <v>30000</v>
          </cell>
        </row>
        <row r="28">
          <cell r="C28" t="str">
            <v>Camión doble troque</v>
          </cell>
          <cell r="D28" t="str">
            <v>Hora</v>
          </cell>
          <cell r="E28">
            <v>40000</v>
          </cell>
        </row>
        <row r="29">
          <cell r="C29" t="str">
            <v>Equipo de sand blasting (chorro de arena)</v>
          </cell>
          <cell r="D29" t="str">
            <v>Día</v>
          </cell>
          <cell r="E29">
            <v>50000</v>
          </cell>
        </row>
        <row r="30">
          <cell r="C30" t="str">
            <v>Equipo de oxycorte (acetileno)</v>
          </cell>
          <cell r="D30" t="str">
            <v>Día</v>
          </cell>
          <cell r="E30">
            <v>30000</v>
          </cell>
        </row>
        <row r="31">
          <cell r="C31" t="str">
            <v>Equipo de perforación</v>
          </cell>
          <cell r="D31" t="str">
            <v>Hora</v>
          </cell>
          <cell r="E31">
            <v>45000</v>
          </cell>
        </row>
        <row r="32">
          <cell r="C32" t="str">
            <v>Equipo de topografía (tránsito y nivel)</v>
          </cell>
          <cell r="D32" t="str">
            <v>Día</v>
          </cell>
          <cell r="E32">
            <v>23000</v>
          </cell>
        </row>
        <row r="33">
          <cell r="C33" t="str">
            <v>Equipo para pintura</v>
          </cell>
          <cell r="D33" t="str">
            <v>Hora</v>
          </cell>
          <cell r="E33">
            <v>57180</v>
          </cell>
        </row>
        <row r="34">
          <cell r="C34" t="str">
            <v>Escoba mecánica (Barredora)</v>
          </cell>
          <cell r="D34" t="str">
            <v>Hora</v>
          </cell>
          <cell r="E34">
            <v>17600</v>
          </cell>
        </row>
        <row r="35">
          <cell r="C35" t="str">
            <v>Esparcidor de gravilla</v>
          </cell>
          <cell r="D35" t="str">
            <v>Hora</v>
          </cell>
          <cell r="E35">
            <v>12450</v>
          </cell>
        </row>
        <row r="36">
          <cell r="C36" t="str">
            <v>Fresadora para pavimento</v>
          </cell>
          <cell r="D36" t="str">
            <v>Hora</v>
          </cell>
          <cell r="E36">
            <v>400000</v>
          </cell>
        </row>
        <row r="37">
          <cell r="C37" t="str">
            <v>Guadaña mecánica</v>
          </cell>
          <cell r="D37" t="str">
            <v>Día</v>
          </cell>
          <cell r="E37">
            <v>60000</v>
          </cell>
        </row>
        <row r="38">
          <cell r="C38" t="str">
            <v>Irrigador de asfalto (1000 galones)</v>
          </cell>
          <cell r="D38" t="str">
            <v>Hora</v>
          </cell>
          <cell r="E38">
            <v>30000</v>
          </cell>
        </row>
        <row r="39">
          <cell r="C39" t="str">
            <v>Mezcladora de concreto (1 bulto)</v>
          </cell>
          <cell r="D39" t="str">
            <v>Día</v>
          </cell>
          <cell r="E39">
            <v>13200</v>
          </cell>
        </row>
        <row r="40">
          <cell r="C40" t="str">
            <v>Motobomba de 3"</v>
          </cell>
          <cell r="D40" t="str">
            <v>Día</v>
          </cell>
          <cell r="E40">
            <v>13200</v>
          </cell>
        </row>
        <row r="41">
          <cell r="C41" t="str">
            <v>Motobomba de 4"</v>
          </cell>
          <cell r="D41" t="str">
            <v>Día</v>
          </cell>
          <cell r="E41">
            <v>45000</v>
          </cell>
        </row>
        <row r="42">
          <cell r="C42" t="str">
            <v>Motoniveladora Tipo CAT 120 o equivalente</v>
          </cell>
          <cell r="D42" t="str">
            <v>Hora</v>
          </cell>
          <cell r="E42">
            <v>70000</v>
          </cell>
        </row>
        <row r="43">
          <cell r="C43" t="str">
            <v>Retroexcavadora sobre llanta Tipo JD 410 o equivalente</v>
          </cell>
          <cell r="D43" t="str">
            <v>Hora</v>
          </cell>
          <cell r="E43">
            <v>55000</v>
          </cell>
        </row>
        <row r="44">
          <cell r="C44" t="str">
            <v>Retroexcavadora sobre oruga Tipo JD 690 o equivalente</v>
          </cell>
          <cell r="D44" t="str">
            <v>Hora</v>
          </cell>
          <cell r="E44">
            <v>60000</v>
          </cell>
        </row>
        <row r="45">
          <cell r="C45" t="str">
            <v>Terminadora de asfalto (Finisher)</v>
          </cell>
          <cell r="D45" t="str">
            <v>Hora</v>
          </cell>
          <cell r="E45">
            <v>40000</v>
          </cell>
        </row>
        <row r="46">
          <cell r="C46" t="str">
            <v>Trituradora</v>
          </cell>
          <cell r="D46" t="str">
            <v>Hora</v>
          </cell>
          <cell r="E46">
            <v>300000</v>
          </cell>
        </row>
        <row r="47">
          <cell r="C47" t="str">
            <v>Vehículo delineador</v>
          </cell>
          <cell r="D47" t="str">
            <v>Hora</v>
          </cell>
          <cell r="E47">
            <v>100000</v>
          </cell>
        </row>
        <row r="48">
          <cell r="C48" t="str">
            <v>Vibrador de concreto</v>
          </cell>
          <cell r="D48" t="str">
            <v>Día</v>
          </cell>
          <cell r="E48">
            <v>19000</v>
          </cell>
        </row>
        <row r="49">
          <cell r="C49" t="str">
            <v>Volqueta de 6 m3</v>
          </cell>
          <cell r="D49" t="str">
            <v>Hora</v>
          </cell>
          <cell r="E49">
            <v>30000</v>
          </cell>
        </row>
        <row r="50">
          <cell r="C50" t="str">
            <v>Motosierra</v>
          </cell>
          <cell r="D50" t="str">
            <v>Hora</v>
          </cell>
          <cell r="E50">
            <v>6800</v>
          </cell>
        </row>
        <row r="51">
          <cell r="C51" t="str">
            <v>Compactador neumático</v>
          </cell>
          <cell r="D51" t="str">
            <v>Hora</v>
          </cell>
          <cell r="E51">
            <v>30000</v>
          </cell>
        </row>
        <row r="52">
          <cell r="C52" t="str">
            <v>Pavimentadora deslizante (para conctreto hidraúlico))</v>
          </cell>
          <cell r="D52" t="str">
            <v>Hora</v>
          </cell>
          <cell r="E52">
            <v>18000</v>
          </cell>
        </row>
        <row r="53">
          <cell r="C53" t="str">
            <v>Cortadora (para pavimento)</v>
          </cell>
          <cell r="D53" t="str">
            <v>Hora</v>
          </cell>
          <cell r="E53">
            <v>20000</v>
          </cell>
        </row>
        <row r="54">
          <cell r="C54" t="str">
            <v>Herramienta menor ( 5% de mano de obra )</v>
          </cell>
          <cell r="D54" t="str">
            <v>gl</v>
          </cell>
          <cell r="E54">
            <v>0.05</v>
          </cell>
        </row>
        <row r="55">
          <cell r="C55" t="str">
            <v>Herramienta menor ( 10% de mano de obra )</v>
          </cell>
          <cell r="D55" t="str">
            <v>gl</v>
          </cell>
          <cell r="E55">
            <v>0.1</v>
          </cell>
        </row>
        <row r="56">
          <cell r="C56" t="str">
            <v>Herramienta menor ( 15% de mano de obra )</v>
          </cell>
          <cell r="D56" t="str">
            <v>gl</v>
          </cell>
          <cell r="E56">
            <v>0.15</v>
          </cell>
        </row>
        <row r="59">
          <cell r="C59" t="str">
            <v>Asfalto natural (asfaltita)</v>
          </cell>
          <cell r="D59" t="str">
            <v>M3</v>
          </cell>
        </row>
        <row r="60">
          <cell r="C60" t="str">
            <v>Asfalto líquido (Ligante)</v>
          </cell>
          <cell r="D60" t="str">
            <v>LT</v>
          </cell>
          <cell r="E60">
            <v>500</v>
          </cell>
        </row>
        <row r="61">
          <cell r="C61" t="str">
            <v>Mezcla densa en caliente MDC3 (mezcla en planta)</v>
          </cell>
          <cell r="D61" t="str">
            <v>m3</v>
          </cell>
          <cell r="E61">
            <v>190957</v>
          </cell>
        </row>
        <row r="62">
          <cell r="C62" t="str">
            <v>Mezcla densa en caliente MDC2 (mezcla en planta)</v>
          </cell>
          <cell r="D62" t="str">
            <v>m3</v>
          </cell>
          <cell r="E62">
            <v>184939</v>
          </cell>
        </row>
        <row r="63">
          <cell r="C63" t="str">
            <v>Mezcla densa en caliente MDC1 (mezcla en planta)</v>
          </cell>
          <cell r="D63" t="str">
            <v>m3</v>
          </cell>
          <cell r="E63">
            <v>178920</v>
          </cell>
        </row>
        <row r="64">
          <cell r="C64" t="str">
            <v>Cemento asfáltico (ligante)</v>
          </cell>
          <cell r="D64" t="str">
            <v>KG</v>
          </cell>
          <cell r="E64">
            <v>800</v>
          </cell>
        </row>
        <row r="65">
          <cell r="C65" t="str">
            <v>Emulsión asfáltica de rotura lenta</v>
          </cell>
          <cell r="D65" t="str">
            <v>lt</v>
          </cell>
          <cell r="E65">
            <v>650</v>
          </cell>
        </row>
        <row r="66">
          <cell r="C66" t="str">
            <v>Emulsión asfáltica de rotura rápida</v>
          </cell>
          <cell r="D66" t="str">
            <v>lt</v>
          </cell>
          <cell r="E66">
            <v>650</v>
          </cell>
        </row>
        <row r="67">
          <cell r="C67" t="str">
            <v>Mezcla con emulsión (mezcla en planta)</v>
          </cell>
          <cell r="D67" t="str">
            <v>M3</v>
          </cell>
          <cell r="E67">
            <v>28000</v>
          </cell>
        </row>
        <row r="68">
          <cell r="C68" t="str">
            <v>Agregado pétreo para mezclas asfálticas</v>
          </cell>
          <cell r="D68" t="str">
            <v>M3</v>
          </cell>
          <cell r="E68">
            <v>22500</v>
          </cell>
        </row>
        <row r="69">
          <cell r="C69" t="str">
            <v>Agregado pétreo para concreto hidráulico</v>
          </cell>
          <cell r="D69" t="str">
            <v>M3</v>
          </cell>
          <cell r="E69">
            <v>32000</v>
          </cell>
        </row>
        <row r="70">
          <cell r="C70" t="str">
            <v>Arena lavada</v>
          </cell>
          <cell r="D70" t="str">
            <v>M3</v>
          </cell>
          <cell r="E70">
            <v>32000</v>
          </cell>
        </row>
        <row r="71">
          <cell r="C71" t="str">
            <v>Arena semilavada</v>
          </cell>
          <cell r="D71" t="str">
            <v>M3</v>
          </cell>
          <cell r="E71">
            <v>30000</v>
          </cell>
        </row>
        <row r="72">
          <cell r="C72" t="str">
            <v>Material triturado para filtros</v>
          </cell>
          <cell r="D72" t="str">
            <v>m3</v>
          </cell>
          <cell r="E72">
            <v>35000</v>
          </cell>
        </row>
        <row r="73">
          <cell r="C73" t="str">
            <v>Material de afirmado</v>
          </cell>
          <cell r="D73" t="str">
            <v>M3</v>
          </cell>
          <cell r="E73">
            <v>8000</v>
          </cell>
        </row>
        <row r="74">
          <cell r="C74" t="str">
            <v xml:space="preserve">Material seleccionado para relleno </v>
          </cell>
          <cell r="D74" t="str">
            <v>M3</v>
          </cell>
          <cell r="E74">
            <v>15000</v>
          </cell>
        </row>
        <row r="75">
          <cell r="C75" t="str">
            <v>Base granular</v>
          </cell>
          <cell r="D75" t="str">
            <v>M3</v>
          </cell>
          <cell r="E75">
            <v>25000</v>
          </cell>
        </row>
        <row r="76">
          <cell r="C76" t="str">
            <v>Subbase granular</v>
          </cell>
          <cell r="D76" t="str">
            <v>M3</v>
          </cell>
          <cell r="E76">
            <v>20000</v>
          </cell>
        </row>
        <row r="77">
          <cell r="C77" t="str">
            <v>Acero de refuerzo A-37</v>
          </cell>
          <cell r="D77" t="str">
            <v>KG</v>
          </cell>
          <cell r="E77">
            <v>992</v>
          </cell>
        </row>
        <row r="78">
          <cell r="C78" t="str">
            <v>Acero de refuerzo PDR-60</v>
          </cell>
          <cell r="D78" t="str">
            <v>KG</v>
          </cell>
          <cell r="E78">
            <v>863</v>
          </cell>
        </row>
        <row r="79">
          <cell r="C79" t="str">
            <v>Alambre negro para amarre</v>
          </cell>
          <cell r="D79" t="str">
            <v>KG</v>
          </cell>
          <cell r="E79">
            <v>1724.14</v>
          </cell>
        </row>
        <row r="80">
          <cell r="C80" t="str">
            <v>Alambre galvanizado</v>
          </cell>
          <cell r="D80" t="str">
            <v>KG</v>
          </cell>
          <cell r="E80">
            <v>2242</v>
          </cell>
        </row>
        <row r="81">
          <cell r="C81" t="str">
            <v>Cemento gris</v>
          </cell>
          <cell r="D81" t="str">
            <v>KG</v>
          </cell>
          <cell r="E81">
            <v>328</v>
          </cell>
        </row>
        <row r="82">
          <cell r="C82" t="str">
            <v>Formaleta</v>
          </cell>
          <cell r="D82" t="str">
            <v>M2</v>
          </cell>
          <cell r="E82">
            <v>5000</v>
          </cell>
        </row>
        <row r="83">
          <cell r="C83" t="str">
            <v>Malla para gaviones (2 M3)</v>
          </cell>
          <cell r="D83" t="str">
            <v>UN</v>
          </cell>
          <cell r="E83">
            <v>28000</v>
          </cell>
        </row>
        <row r="84">
          <cell r="C84" t="str">
            <v>Piedra para gaviones</v>
          </cell>
          <cell r="D84" t="str">
            <v>M3</v>
          </cell>
          <cell r="E84">
            <v>35000</v>
          </cell>
        </row>
        <row r="85">
          <cell r="C85" t="str">
            <v>Piedra para mampostería</v>
          </cell>
          <cell r="D85" t="str">
            <v>M3</v>
          </cell>
          <cell r="E85">
            <v>35000</v>
          </cell>
        </row>
        <row r="86">
          <cell r="C86" t="str">
            <v>Tubería  de concreto simple, diametro 60 cms</v>
          </cell>
          <cell r="D86" t="str">
            <v>ML</v>
          </cell>
          <cell r="E86">
            <v>48000</v>
          </cell>
        </row>
        <row r="87">
          <cell r="C87" t="str">
            <v>Tubería concreto reforzado diametro 90 cm</v>
          </cell>
          <cell r="D87" t="str">
            <v>ML</v>
          </cell>
          <cell r="E87">
            <v>108000</v>
          </cell>
        </row>
        <row r="88">
          <cell r="C88" t="str">
            <v>Aditivo acelerante</v>
          </cell>
          <cell r="D88" t="str">
            <v>KG</v>
          </cell>
          <cell r="E88">
            <v>4750</v>
          </cell>
        </row>
        <row r="89">
          <cell r="C89" t="str">
            <v>Agua</v>
          </cell>
          <cell r="D89" t="str">
            <v>LT</v>
          </cell>
          <cell r="E89">
            <v>45</v>
          </cell>
        </row>
        <row r="90">
          <cell r="C90" t="str">
            <v>Tubería PVC diametro 2 pulgadas</v>
          </cell>
          <cell r="D90" t="str">
            <v>ML</v>
          </cell>
          <cell r="E90">
            <v>7125</v>
          </cell>
        </row>
        <row r="91">
          <cell r="C91" t="str">
            <v>Tubería PVC perforada diametro 2.5 pulgadas</v>
          </cell>
          <cell r="D91" t="str">
            <v>ML</v>
          </cell>
          <cell r="E91">
            <v>10765</v>
          </cell>
        </row>
        <row r="92">
          <cell r="C92" t="str">
            <v>Tubería perforada PVC diametro 3 pulgadas</v>
          </cell>
          <cell r="D92" t="str">
            <v>ML</v>
          </cell>
          <cell r="E92">
            <v>14600</v>
          </cell>
        </row>
        <row r="93">
          <cell r="C93" t="str">
            <v>Tubería PVC diametro 4 pulgadas</v>
          </cell>
          <cell r="D93" t="str">
            <v>ML</v>
          </cell>
          <cell r="E93">
            <v>24091</v>
          </cell>
        </row>
        <row r="94">
          <cell r="C94" t="str">
            <v>Tubería perforada PVC diametro 4 pulgadas</v>
          </cell>
          <cell r="D94" t="str">
            <v>ML</v>
          </cell>
          <cell r="E94">
            <v>18158</v>
          </cell>
        </row>
        <row r="95">
          <cell r="C95" t="str">
            <v>Cimbra</v>
          </cell>
          <cell r="D95" t="str">
            <v>M2</v>
          </cell>
          <cell r="E95">
            <v>1650</v>
          </cell>
        </row>
        <row r="96">
          <cell r="C96" t="str">
            <v>Geotextil tipo tejido</v>
          </cell>
          <cell r="D96" t="str">
            <v>m2</v>
          </cell>
          <cell r="E96">
            <v>1087</v>
          </cell>
        </row>
        <row r="97">
          <cell r="C97" t="str">
            <v>Geotextil tipo no tejido</v>
          </cell>
          <cell r="D97" t="str">
            <v>m2</v>
          </cell>
          <cell r="E97">
            <v>1072</v>
          </cell>
        </row>
        <row r="98">
          <cell r="C98" t="str">
            <v>Captafaro</v>
          </cell>
          <cell r="D98" t="str">
            <v>UN</v>
          </cell>
          <cell r="E98">
            <v>600</v>
          </cell>
        </row>
        <row r="99">
          <cell r="C99" t="str">
            <v>Defensa metálica y accsesorios</v>
          </cell>
          <cell r="D99" t="str">
            <v>ML</v>
          </cell>
          <cell r="E99">
            <v>67000</v>
          </cell>
        </row>
        <row r="100">
          <cell r="C100" t="str">
            <v>Indicador de alineamiento</v>
          </cell>
          <cell r="D100" t="str">
            <v>UN</v>
          </cell>
          <cell r="E100">
            <v>82000</v>
          </cell>
        </row>
        <row r="101">
          <cell r="C101" t="str">
            <v>Lámina metálica para señales</v>
          </cell>
          <cell r="D101" t="str">
            <v>UN</v>
          </cell>
          <cell r="E101">
            <v>19000</v>
          </cell>
        </row>
        <row r="102">
          <cell r="C102" t="str">
            <v>Mojón o poste de referencia</v>
          </cell>
          <cell r="D102" t="str">
            <v>UN</v>
          </cell>
          <cell r="E102">
            <v>68000</v>
          </cell>
        </row>
        <row r="103">
          <cell r="C103" t="str">
            <v>Pegante epóxico</v>
          </cell>
          <cell r="D103" t="str">
            <v>LT</v>
          </cell>
          <cell r="E103">
            <v>25600</v>
          </cell>
        </row>
        <row r="104">
          <cell r="C104" t="str">
            <v>Poste para señales</v>
          </cell>
          <cell r="D104" t="str">
            <v>UN</v>
          </cell>
          <cell r="E104">
            <v>32800</v>
          </cell>
        </row>
        <row r="106">
          <cell r="C106" t="str">
            <v>MATERIALES</v>
          </cell>
          <cell r="D106" t="str">
            <v>UNIDAD</v>
          </cell>
        </row>
        <row r="107">
          <cell r="C107" t="str">
            <v>Poste para defensa metálica</v>
          </cell>
          <cell r="D107" t="str">
            <v>UN</v>
          </cell>
          <cell r="E107">
            <v>38000</v>
          </cell>
        </row>
        <row r="108">
          <cell r="C108" t="str">
            <v>Señal temporal</v>
          </cell>
          <cell r="D108" t="str">
            <v>UN</v>
          </cell>
          <cell r="E108">
            <v>116000</v>
          </cell>
        </row>
        <row r="109">
          <cell r="C109" t="str">
            <v>Tacha reflectiva</v>
          </cell>
          <cell r="D109" t="str">
            <v>UN</v>
          </cell>
          <cell r="E109">
            <v>4850</v>
          </cell>
        </row>
        <row r="110">
          <cell r="C110" t="str">
            <v>Terminal y accesorios para defensa metálica</v>
          </cell>
          <cell r="D110" t="str">
            <v>UN</v>
          </cell>
          <cell r="E110">
            <v>54000</v>
          </cell>
        </row>
        <row r="111">
          <cell r="C111" t="str">
            <v>Esferas reflectivas</v>
          </cell>
          <cell r="D111" t="str">
            <v>KG</v>
          </cell>
          <cell r="E111">
            <v>2400</v>
          </cell>
        </row>
        <row r="112">
          <cell r="C112" t="str">
            <v>Pintura de tráfico</v>
          </cell>
          <cell r="D112" t="str">
            <v>GL</v>
          </cell>
          <cell r="E112">
            <v>34000</v>
          </cell>
        </row>
        <row r="113">
          <cell r="C113" t="str">
            <v>Pintura de aluminio</v>
          </cell>
          <cell r="D113" t="str">
            <v>GL</v>
          </cell>
          <cell r="E113">
            <v>32000</v>
          </cell>
        </row>
        <row r="114">
          <cell r="C114" t="str">
            <v>Pintura anticorrosiva</v>
          </cell>
          <cell r="D114" t="str">
            <v>GL</v>
          </cell>
          <cell r="E114">
            <v>26000</v>
          </cell>
        </row>
        <row r="115">
          <cell r="C115" t="str">
            <v>Arbol (hasta 30 cm)</v>
          </cell>
          <cell r="D115" t="str">
            <v>UN</v>
          </cell>
          <cell r="E115">
            <v>3000</v>
          </cell>
        </row>
        <row r="116">
          <cell r="C116" t="str">
            <v>Cespedones</v>
          </cell>
          <cell r="D116" t="str">
            <v>M2</v>
          </cell>
          <cell r="E116">
            <v>2000</v>
          </cell>
        </row>
        <row r="117">
          <cell r="C117" t="str">
            <v>Semillas para empradizar</v>
          </cell>
          <cell r="D117" t="str">
            <v>KG</v>
          </cell>
          <cell r="E117">
            <v>10600</v>
          </cell>
        </row>
        <row r="118">
          <cell r="C118" t="str">
            <v>Tierra abonada</v>
          </cell>
          <cell r="D118" t="str">
            <v>M3</v>
          </cell>
          <cell r="E118">
            <v>25000</v>
          </cell>
        </row>
        <row r="119">
          <cell r="C119" t="str">
            <v>Explosivos 75%</v>
          </cell>
          <cell r="D119" t="str">
            <v>LB</v>
          </cell>
          <cell r="E119">
            <v>2410</v>
          </cell>
        </row>
        <row r="120">
          <cell r="C120" t="str">
            <v>Fulminantes</v>
          </cell>
          <cell r="D120" t="str">
            <v>UN</v>
          </cell>
          <cell r="E120">
            <v>320</v>
          </cell>
        </row>
        <row r="121">
          <cell r="C121" t="str">
            <v>Mecha lenta</v>
          </cell>
          <cell r="D121" t="str">
            <v>ML</v>
          </cell>
          <cell r="E121">
            <v>305</v>
          </cell>
        </row>
        <row r="122">
          <cell r="C122" t="str">
            <v>Cordón detonante</v>
          </cell>
          <cell r="D122" t="str">
            <v>ML</v>
          </cell>
          <cell r="E122">
            <v>385</v>
          </cell>
        </row>
        <row r="123">
          <cell r="C123" t="str">
            <v>Cepillo</v>
          </cell>
          <cell r="D123" t="str">
            <v>UN</v>
          </cell>
          <cell r="E123">
            <v>3966</v>
          </cell>
        </row>
        <row r="124">
          <cell r="C124" t="str">
            <v>Jabón detergente</v>
          </cell>
          <cell r="D124" t="str">
            <v>KG</v>
          </cell>
          <cell r="E124">
            <v>5000</v>
          </cell>
        </row>
        <row r="125">
          <cell r="C125" t="str">
            <v>Enzimas orgánicas</v>
          </cell>
          <cell r="D125" t="str">
            <v>lt</v>
          </cell>
          <cell r="E125">
            <v>10000</v>
          </cell>
        </row>
        <row r="126">
          <cell r="C126" t="str">
            <v>Concreto hidraúlico para pavimento MR-40</v>
          </cell>
          <cell r="D126" t="str">
            <v>m3</v>
          </cell>
          <cell r="E126">
            <v>263100</v>
          </cell>
        </row>
        <row r="127">
          <cell r="C127" t="str">
            <v>Formaleta Metálica</v>
          </cell>
          <cell r="D127" t="str">
            <v>M2</v>
          </cell>
          <cell r="E127">
            <v>2420</v>
          </cell>
        </row>
        <row r="131">
          <cell r="C131" t="str">
            <v>Maestro</v>
          </cell>
          <cell r="D131" t="str">
            <v>DÍA</v>
          </cell>
          <cell r="E131">
            <v>28000</v>
          </cell>
        </row>
        <row r="132">
          <cell r="C132" t="str">
            <v>Mampostero</v>
          </cell>
          <cell r="D132" t="str">
            <v>DÍA</v>
          </cell>
          <cell r="E132">
            <v>25000</v>
          </cell>
        </row>
        <row r="133">
          <cell r="C133" t="str">
            <v>Obrero</v>
          </cell>
          <cell r="D133" t="str">
            <v>DÍA</v>
          </cell>
          <cell r="E133">
            <v>11000</v>
          </cell>
        </row>
        <row r="134">
          <cell r="C134" t="str">
            <v>Oficial</v>
          </cell>
          <cell r="D134" t="str">
            <v>DÍA</v>
          </cell>
          <cell r="E134">
            <v>19000</v>
          </cell>
        </row>
        <row r="135">
          <cell r="C135" t="str">
            <v>Pintor</v>
          </cell>
          <cell r="D135" t="str">
            <v>DÍA</v>
          </cell>
          <cell r="E135">
            <v>21000</v>
          </cell>
        </row>
        <row r="136">
          <cell r="C136" t="str">
            <v>Ayudante</v>
          </cell>
          <cell r="D136" t="str">
            <v>DÍA</v>
          </cell>
          <cell r="E136">
            <v>11000</v>
          </cell>
        </row>
        <row r="137">
          <cell r="C137" t="str">
            <v>Inspector</v>
          </cell>
          <cell r="D137" t="str">
            <v>DÍA</v>
          </cell>
          <cell r="E137">
            <v>35000</v>
          </cell>
        </row>
        <row r="138">
          <cell r="C138" t="str">
            <v>Ingeniero</v>
          </cell>
          <cell r="D138" t="str">
            <v>MES</v>
          </cell>
          <cell r="E138">
            <v>3300000</v>
          </cell>
        </row>
        <row r="139">
          <cell r="C139" t="str">
            <v>Topógrafo</v>
          </cell>
          <cell r="D139" t="str">
            <v>DÍA</v>
          </cell>
          <cell r="E139">
            <v>45000</v>
          </cell>
        </row>
        <row r="140">
          <cell r="C140" t="str">
            <v>Cadenero</v>
          </cell>
          <cell r="D140" t="str">
            <v>DÍA</v>
          </cell>
          <cell r="E140">
            <v>40000</v>
          </cell>
        </row>
      </sheetData>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EMS"/>
      <sheetName val="precios-básicos2002"/>
      <sheetName val="UNITARIO"/>
      <sheetName val="Hoja3"/>
      <sheetName val="RESUMEN"/>
      <sheetName val="lecho rio"/>
    </sheetNames>
    <sheetDataSet>
      <sheetData sheetId="0" refreshError="1">
        <row r="16">
          <cell r="B16">
            <v>0.18</v>
          </cell>
        </row>
      </sheetData>
      <sheetData sheetId="1" refreshError="1"/>
      <sheetData sheetId="2" refreshError="1">
        <row r="12">
          <cell r="C12" t="str">
            <v>Andamio tubular</v>
          </cell>
        </row>
        <row r="13">
          <cell r="C13" t="str">
            <v>Buldozer Tipo D-4 o equivalente</v>
          </cell>
        </row>
        <row r="14">
          <cell r="C14" t="str">
            <v>Buldozer Tipo D-6 o equivalente</v>
          </cell>
        </row>
        <row r="15">
          <cell r="C15" t="str">
            <v>Buldozer Tipo D-7 o equivalente</v>
          </cell>
        </row>
        <row r="16">
          <cell r="C16" t="str">
            <v>Camabaja</v>
          </cell>
        </row>
        <row r="17">
          <cell r="C17" t="str">
            <v>Camioneta tipo 300</v>
          </cell>
        </row>
        <row r="18">
          <cell r="C18" t="str">
            <v>Campero</v>
          </cell>
        </row>
        <row r="19">
          <cell r="C19" t="str">
            <v>Cargador tipo CAT 910 o equivalente</v>
          </cell>
        </row>
        <row r="20">
          <cell r="C20" t="str">
            <v>Cargador tipo CAT 920 o equivalente</v>
          </cell>
        </row>
        <row r="21">
          <cell r="C21" t="str">
            <v>Cargador tipo CAT 930 o equivalente</v>
          </cell>
        </row>
        <row r="22">
          <cell r="C22" t="str">
            <v>Cargador tipo CAT 950 o equivalente</v>
          </cell>
        </row>
        <row r="23">
          <cell r="C23" t="str">
            <v>Carrotanque de agua (1000 galones)</v>
          </cell>
        </row>
        <row r="24">
          <cell r="C24" t="str">
            <v>Compactador vibratorio autopropulsado Tipo Dyn-CA-15</v>
          </cell>
        </row>
        <row r="25">
          <cell r="C25" t="str">
            <v>Cilindro compactador tipo triciclo</v>
          </cell>
        </row>
        <row r="26">
          <cell r="C26" t="str">
            <v>Compactador manual vibratorio (rana)</v>
          </cell>
        </row>
        <row r="27">
          <cell r="C27" t="str">
            <v>Compresor (125 pies3) con martillos</v>
          </cell>
        </row>
        <row r="28">
          <cell r="C28" t="str">
            <v>Camión doble troque</v>
          </cell>
        </row>
        <row r="29">
          <cell r="C29" t="str">
            <v>Equipo de sand blasting (chorro de arena)</v>
          </cell>
        </row>
        <row r="30">
          <cell r="C30" t="str">
            <v>Equipo de oxycorte (acetileno)</v>
          </cell>
        </row>
        <row r="31">
          <cell r="C31" t="str">
            <v>Equipo de perforación</v>
          </cell>
        </row>
        <row r="32">
          <cell r="C32" t="str">
            <v>Equipo de topografía (tránsito y nivel)</v>
          </cell>
        </row>
        <row r="33">
          <cell r="C33" t="str">
            <v>Equipo para pintura</v>
          </cell>
        </row>
        <row r="34">
          <cell r="C34" t="str">
            <v>Escoba mecánica (Barredora)</v>
          </cell>
        </row>
        <row r="35">
          <cell r="C35" t="str">
            <v>Esparcidor de gravilla</v>
          </cell>
        </row>
        <row r="36">
          <cell r="C36" t="str">
            <v>Fresadora para pavimento</v>
          </cell>
        </row>
        <row r="37">
          <cell r="C37" t="str">
            <v>Guadaña mecánica</v>
          </cell>
        </row>
        <row r="38">
          <cell r="C38" t="str">
            <v>Irrigador de asfalto (1000 galones)</v>
          </cell>
        </row>
        <row r="39">
          <cell r="C39" t="str">
            <v>Mezcladora de concreto (1 bulto)</v>
          </cell>
        </row>
        <row r="40">
          <cell r="C40" t="str">
            <v>Motobomba de 3"</v>
          </cell>
        </row>
        <row r="41">
          <cell r="C41" t="str">
            <v>Motobomba de 4"</v>
          </cell>
        </row>
        <row r="42">
          <cell r="C42" t="str">
            <v>Motoniveladora Tipo CAT 120 o equivalente</v>
          </cell>
        </row>
        <row r="43">
          <cell r="C43" t="str">
            <v>Retroexcavadora sobre llanta Tipo JD 410 o equivalente</v>
          </cell>
        </row>
        <row r="44">
          <cell r="C44" t="str">
            <v>Retroexcavadora sobre oruga Tipo JD 690 o equivalente</v>
          </cell>
        </row>
        <row r="45">
          <cell r="C45" t="str">
            <v>Terminadora de asfalto (Finisher)</v>
          </cell>
        </row>
        <row r="46">
          <cell r="C46" t="str">
            <v>Trituradora</v>
          </cell>
        </row>
        <row r="47">
          <cell r="C47" t="str">
            <v>Vehículo delineador</v>
          </cell>
        </row>
        <row r="48">
          <cell r="C48" t="str">
            <v>Vibrador de concreto</v>
          </cell>
        </row>
        <row r="49">
          <cell r="C49" t="str">
            <v>Volqueta de 6 m3</v>
          </cell>
        </row>
        <row r="50">
          <cell r="C50" t="str">
            <v>Motosierra</v>
          </cell>
        </row>
        <row r="51">
          <cell r="C51" t="str">
            <v>Compactador neumático</v>
          </cell>
        </row>
        <row r="52">
          <cell r="C52" t="str">
            <v>Pavimentadora deslizante (para conctreto hidraúlico))</v>
          </cell>
        </row>
        <row r="53">
          <cell r="C53" t="str">
            <v>Cortadora (para pavimento)</v>
          </cell>
        </row>
        <row r="54">
          <cell r="C54" t="str">
            <v>Herramienta menor ( 5% de mano de obra )</v>
          </cell>
        </row>
        <row r="55">
          <cell r="C55" t="str">
            <v>Herramienta menor ( 10% de mano de obra )</v>
          </cell>
        </row>
        <row r="56">
          <cell r="C56" t="str">
            <v>Herramienta menor ( 15% de mano de obra )</v>
          </cell>
        </row>
      </sheetData>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REF"/>
      <sheetName val="INDICMICROEMP"/>
      <sheetName val="Informacion"/>
      <sheetName val="Hoja1"/>
      <sheetName val="AMC"/>
      <sheetName val="Basico"/>
      <sheetName val="Iva"/>
      <sheetName val="Total"/>
      <sheetName val="amc_acta"/>
      <sheetName val="amc_bas"/>
      <sheetName val="amc_iva"/>
      <sheetName val="amc_total"/>
      <sheetName val="amc_anticip"/>
      <sheetName val="Datos"/>
      <sheetName val="aCCIDENTES%20DE%201995%20-%2019"/>
      <sheetName val="aCCIDENTES DE 1995 - 1996.xls"/>
      <sheetName val="CONT_ADI"/>
      <sheetName val="items"/>
      <sheetName val="ACTA DE MODIFICACION  (2)"/>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aactividad"/>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_a  aaInformación GRUPO 4_A MIn"/>
      <sheetName val="precios-básicos2002"/>
      <sheetName val="APUs"/>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Users\USUARIO\Downloads\a  aaI"/>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s>
    <definedNames>
      <definedName name="absc"/>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 val="INV"/>
      <sheetName val="AASHTO"/>
    </sheetNames>
    <sheetDataSet>
      <sheetData sheetId="0"/>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17 DIC"/>
      <sheetName val="HOJA RESUMEN"/>
      <sheetName val="PROGRAMACION"/>
      <sheetName val="Presupuesto"/>
      <sheetName val="APUS 31 DIC"/>
      <sheetName val="AIU obra"/>
      <sheetName val="Interventoria"/>
      <sheetName val="AIU Interventoria"/>
      <sheetName val="Costo socioambiental obra"/>
    </sheetNames>
    <sheetDataSet>
      <sheetData sheetId="0"/>
      <sheetData sheetId="1"/>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RESUMEN"/>
      <sheetName val="PROGRAMACION"/>
      <sheetName val="Presupuesto"/>
      <sheetName val="AIU obra"/>
      <sheetName val="Interventoria"/>
      <sheetName val="AIU Interventoria"/>
      <sheetName val="Costo socioambiental obra"/>
      <sheetName val="Analisis de Precios"/>
    </sheetNames>
    <sheetDataSet>
      <sheetData sheetId="0" refreshError="1"/>
      <sheetData sheetId="1" refreshError="1"/>
      <sheetData sheetId="2" refreshError="1">
        <row r="63">
          <cell r="G63">
            <v>38037860</v>
          </cell>
        </row>
        <row r="64">
          <cell r="G64">
            <v>24054366</v>
          </cell>
        </row>
        <row r="65">
          <cell r="G65">
            <v>4749472</v>
          </cell>
        </row>
        <row r="66">
          <cell r="G66">
            <v>13345728</v>
          </cell>
        </row>
        <row r="70">
          <cell r="G70">
            <v>110865660</v>
          </cell>
        </row>
        <row r="71">
          <cell r="G71">
            <v>15622140</v>
          </cell>
        </row>
        <row r="72">
          <cell r="G72">
            <v>13120000</v>
          </cell>
        </row>
        <row r="133">
          <cell r="G133">
            <v>3412257</v>
          </cell>
        </row>
        <row r="134">
          <cell r="G134">
            <v>10218015</v>
          </cell>
        </row>
        <row r="135">
          <cell r="G135">
            <v>13018508</v>
          </cell>
        </row>
        <row r="136">
          <cell r="G136">
            <v>11580417</v>
          </cell>
        </row>
        <row r="137">
          <cell r="G137">
            <v>2165490</v>
          </cell>
        </row>
        <row r="138">
          <cell r="G138">
            <v>7320960</v>
          </cell>
        </row>
        <row r="139">
          <cell r="G139">
            <v>29469199</v>
          </cell>
        </row>
        <row r="140">
          <cell r="G140">
            <v>368970</v>
          </cell>
        </row>
        <row r="141">
          <cell r="G141">
            <v>1884126</v>
          </cell>
        </row>
        <row r="142">
          <cell r="G142">
            <v>5555240</v>
          </cell>
        </row>
        <row r="143">
          <cell r="G143">
            <v>8192095</v>
          </cell>
        </row>
        <row r="144">
          <cell r="G144">
            <v>7180260</v>
          </cell>
        </row>
        <row r="145">
          <cell r="G145">
            <v>10148231</v>
          </cell>
        </row>
        <row r="146">
          <cell r="G146">
            <v>191743010</v>
          </cell>
        </row>
        <row r="148">
          <cell r="G148">
            <v>133013</v>
          </cell>
        </row>
        <row r="149">
          <cell r="G149">
            <v>88675</v>
          </cell>
        </row>
        <row r="150">
          <cell r="G150">
            <v>9984377</v>
          </cell>
        </row>
        <row r="151">
          <cell r="G151">
            <v>110844</v>
          </cell>
        </row>
        <row r="152">
          <cell r="G152">
            <v>69439691</v>
          </cell>
        </row>
        <row r="153">
          <cell r="G153">
            <v>2951779</v>
          </cell>
        </row>
        <row r="154">
          <cell r="G154">
            <v>52784760</v>
          </cell>
        </row>
        <row r="155">
          <cell r="G155">
            <v>341365697</v>
          </cell>
        </row>
        <row r="156">
          <cell r="G156">
            <v>10300031</v>
          </cell>
        </row>
        <row r="157">
          <cell r="G157">
            <v>9981474</v>
          </cell>
        </row>
        <row r="158">
          <cell r="G158">
            <v>5203109</v>
          </cell>
        </row>
        <row r="159">
          <cell r="G159">
            <v>854873</v>
          </cell>
        </row>
        <row r="160">
          <cell r="G160">
            <v>4749295</v>
          </cell>
        </row>
        <row r="161">
          <cell r="G161">
            <v>5699153</v>
          </cell>
        </row>
        <row r="162">
          <cell r="G162">
            <v>1044845</v>
          </cell>
        </row>
        <row r="163">
          <cell r="G163">
            <v>1804732</v>
          </cell>
        </row>
        <row r="164">
          <cell r="G164">
            <v>3185577</v>
          </cell>
        </row>
        <row r="165">
          <cell r="G165">
            <v>4980209</v>
          </cell>
        </row>
        <row r="166">
          <cell r="G166">
            <v>434075</v>
          </cell>
        </row>
        <row r="167">
          <cell r="G167">
            <v>607719</v>
          </cell>
        </row>
        <row r="168">
          <cell r="G168">
            <v>1330956</v>
          </cell>
        </row>
        <row r="940">
          <cell r="G940">
            <v>106903692</v>
          </cell>
        </row>
        <row r="941">
          <cell r="G941">
            <v>3898960</v>
          </cell>
        </row>
        <row r="942">
          <cell r="G942">
            <v>2534420</v>
          </cell>
        </row>
        <row r="943">
          <cell r="G943">
            <v>5018148</v>
          </cell>
        </row>
        <row r="944">
          <cell r="G944">
            <v>43270542</v>
          </cell>
        </row>
        <row r="945">
          <cell r="G945">
            <v>5848440</v>
          </cell>
        </row>
      </sheetData>
      <sheetData sheetId="3" refreshError="1"/>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G2. Sur - LOS PARRAS  3472"/>
      <sheetName val="SABANETA 3335"/>
      <sheetName val="AJIZAL 3335"/>
      <sheetName val="BASE"/>
      <sheetName val="4__G2__Sur_-_LOS_PARRAS__3472"/>
      <sheetName val="SABANETA_3335"/>
      <sheetName val="AJIZAL_3335"/>
      <sheetName val="AC2-AG96"/>
    </sheetNames>
    <sheetDataSet>
      <sheetData sheetId="0"/>
      <sheetData sheetId="1" refreshError="1">
        <row r="7">
          <cell r="C7" t="str">
            <v>301, 301.A1</v>
          </cell>
          <cell r="D7">
            <v>1</v>
          </cell>
          <cell r="E7" t="str">
            <v>Corte, retiro y botada de pavimento:</v>
          </cell>
        </row>
        <row r="8">
          <cell r="C8" t="str">
            <v xml:space="preserve"> </v>
          </cell>
        </row>
        <row r="9">
          <cell r="B9">
            <v>4030101</v>
          </cell>
          <cell r="D9" t="str">
            <v>1.1</v>
          </cell>
          <cell r="E9" t="str">
            <v>Asfaltico (flexible)</v>
          </cell>
          <cell r="F9" t="str">
            <v>m3</v>
          </cell>
          <cell r="G9">
            <v>381</v>
          </cell>
          <cell r="I9">
            <v>43791</v>
          </cell>
          <cell r="J9">
            <v>58395.298499999997</v>
          </cell>
          <cell r="K9">
            <v>16684371</v>
          </cell>
        </row>
        <row r="10">
          <cell r="G10">
            <v>0</v>
          </cell>
        </row>
        <row r="11">
          <cell r="B11">
            <v>4030103</v>
          </cell>
          <cell r="D11" t="str">
            <v>1.2</v>
          </cell>
          <cell r="E11" t="str">
            <v>Concreto (rigido), incluye rieles o piedra pegada</v>
          </cell>
          <cell r="F11" t="str">
            <v>m3</v>
          </cell>
          <cell r="G11">
            <v>10</v>
          </cell>
          <cell r="I11">
            <v>56124</v>
          </cell>
          <cell r="J11">
            <v>74841.353999999992</v>
          </cell>
          <cell r="K11">
            <v>561240</v>
          </cell>
        </row>
        <row r="12">
          <cell r="G12">
            <v>0</v>
          </cell>
        </row>
        <row r="13">
          <cell r="B13">
            <v>4040345</v>
          </cell>
          <cell r="C13" t="str">
            <v>309, 309.A1</v>
          </cell>
          <cell r="D13">
            <v>2</v>
          </cell>
          <cell r="E13" t="str">
            <v>Retiro, almacenamiento y colocación de adoquines de concreto (no incluye suministro)</v>
          </cell>
          <cell r="F13" t="str">
            <v>m2</v>
          </cell>
          <cell r="G13">
            <v>42</v>
          </cell>
          <cell r="I13">
            <v>13527</v>
          </cell>
          <cell r="J13">
            <v>18038.254499999999</v>
          </cell>
          <cell r="K13">
            <v>568134</v>
          </cell>
        </row>
        <row r="14">
          <cell r="B14">
            <v>4040215</v>
          </cell>
          <cell r="C14" t="str">
            <v>105, 105.A2</v>
          </cell>
          <cell r="D14">
            <v>3</v>
          </cell>
          <cell r="E14" t="str">
            <v>Retiro, almacenamiento y colocación de cordones de concreto (no incluye suministro)</v>
          </cell>
          <cell r="F14" t="str">
            <v>m</v>
          </cell>
          <cell r="G14">
            <v>25</v>
          </cell>
          <cell r="I14">
            <v>13280</v>
          </cell>
          <cell r="J14">
            <v>17708.879999999997</v>
          </cell>
          <cell r="K14">
            <v>332000</v>
          </cell>
        </row>
        <row r="15">
          <cell r="G15">
            <v>0</v>
          </cell>
        </row>
        <row r="16">
          <cell r="C16" t="str">
            <v>100, 105</v>
          </cell>
          <cell r="D16">
            <v>4</v>
          </cell>
          <cell r="E16" t="str">
            <v>Demolición, cargue, retiro y botada de:</v>
          </cell>
          <cell r="F16" t="str">
            <v xml:space="preserve"> </v>
          </cell>
          <cell r="G16">
            <v>0</v>
          </cell>
        </row>
        <row r="17">
          <cell r="G17">
            <v>0</v>
          </cell>
        </row>
        <row r="18">
          <cell r="B18">
            <v>4015201</v>
          </cell>
          <cell r="C18" t="str">
            <v xml:space="preserve"> 105.2, 105.2.A1</v>
          </cell>
          <cell r="D18">
            <v>4.0999999999999996</v>
          </cell>
          <cell r="E18" t="str">
            <v>Andenes con y sin escalas, en cualquier material (simples o reforzado)</v>
          </cell>
          <cell r="F18" t="str">
            <v xml:space="preserve"> m3</v>
          </cell>
          <cell r="G18">
            <v>8</v>
          </cell>
          <cell r="I18">
            <v>44732</v>
          </cell>
          <cell r="J18">
            <v>59650.121999999996</v>
          </cell>
          <cell r="K18">
            <v>357856</v>
          </cell>
        </row>
        <row r="19">
          <cell r="G19">
            <v>0</v>
          </cell>
        </row>
        <row r="20">
          <cell r="B20">
            <v>4015103</v>
          </cell>
          <cell r="C20" t="str">
            <v xml:space="preserve"> 105.1, 105.1.A1</v>
          </cell>
          <cell r="D20">
            <v>4.2</v>
          </cell>
          <cell r="E20" t="str">
            <v>Cordones (retiro si son prefabricados)</v>
          </cell>
          <cell r="F20" t="str">
            <v xml:space="preserve"> m3</v>
          </cell>
          <cell r="G20">
            <v>3</v>
          </cell>
          <cell r="I20">
            <v>49008</v>
          </cell>
          <cell r="J20">
            <v>65352.167999999998</v>
          </cell>
          <cell r="K20">
            <v>147024</v>
          </cell>
        </row>
        <row r="21">
          <cell r="K21">
            <v>0</v>
          </cell>
        </row>
        <row r="22">
          <cell r="B22">
            <v>4015536</v>
          </cell>
          <cell r="C22" t="str">
            <v xml:space="preserve"> 105.2, 105.1.A3</v>
          </cell>
          <cell r="D22">
            <v>4.3</v>
          </cell>
          <cell r="E22" t="str">
            <v>Concreto simple o reforzado</v>
          </cell>
          <cell r="F22" t="str">
            <v xml:space="preserve"> m3</v>
          </cell>
          <cell r="G22">
            <v>3</v>
          </cell>
          <cell r="I22">
            <v>65047</v>
          </cell>
          <cell r="J22">
            <v>86740.174499999994</v>
          </cell>
          <cell r="K22">
            <v>195141</v>
          </cell>
        </row>
        <row r="24">
          <cell r="C24" t="str">
            <v xml:space="preserve"> 103, 104, 107, 107.1, 107.A1, 201, 201.A1</v>
          </cell>
          <cell r="D24">
            <v>5</v>
          </cell>
          <cell r="E24" t="str">
            <v>Excavación, manual o mecánica, en cualquier material y grado de humedad, a las siguientes profundidades:</v>
          </cell>
          <cell r="G24">
            <v>0</v>
          </cell>
        </row>
        <row r="25">
          <cell r="G25">
            <v>0</v>
          </cell>
        </row>
        <row r="26">
          <cell r="B26">
            <v>4021103</v>
          </cell>
          <cell r="D26">
            <v>5.0999999999999996</v>
          </cell>
          <cell r="E26" t="str">
            <v>Entre 0 y 2,0 m de profundidad</v>
          </cell>
          <cell r="F26" t="str">
            <v>m3</v>
          </cell>
          <cell r="G26">
            <v>3585</v>
          </cell>
          <cell r="I26">
            <v>7189</v>
          </cell>
          <cell r="J26">
            <v>9586.5314999999991</v>
          </cell>
          <cell r="K26">
            <v>25772565</v>
          </cell>
        </row>
        <row r="27">
          <cell r="G27">
            <v>0</v>
          </cell>
        </row>
        <row r="28">
          <cell r="B28">
            <v>4021303</v>
          </cell>
          <cell r="C28">
            <v>107.2</v>
          </cell>
          <cell r="D28">
            <v>5.2</v>
          </cell>
          <cell r="E28" t="str">
            <v>En roca, a cualquier profundidad</v>
          </cell>
          <cell r="F28" t="str">
            <v>m3</v>
          </cell>
          <cell r="G28">
            <v>7</v>
          </cell>
          <cell r="I28">
            <v>53529</v>
          </cell>
          <cell r="J28">
            <v>71380.921499999997</v>
          </cell>
          <cell r="K28">
            <v>374703</v>
          </cell>
        </row>
        <row r="29">
          <cell r="G29">
            <v>0</v>
          </cell>
        </row>
        <row r="30">
          <cell r="B30">
            <v>4021503</v>
          </cell>
          <cell r="D30">
            <v>5.3</v>
          </cell>
          <cell r="E30" t="str">
            <v>Para nichos de investigación entre 0 y 2 m (incluye lleno con material de la escavación y botada de escombros)</v>
          </cell>
          <cell r="F30" t="str">
            <v>m3</v>
          </cell>
          <cell r="G30">
            <v>150</v>
          </cell>
          <cell r="I30">
            <v>18551</v>
          </cell>
          <cell r="J30">
            <v>24737.7585</v>
          </cell>
          <cell r="K30">
            <v>2782650</v>
          </cell>
        </row>
        <row r="31">
          <cell r="C31" t="str">
            <v xml:space="preserve"> </v>
          </cell>
          <cell r="G31">
            <v>0</v>
          </cell>
        </row>
        <row r="32">
          <cell r="B32">
            <v>4025001</v>
          </cell>
          <cell r="C32">
            <v>205</v>
          </cell>
          <cell r="D32">
            <v>6</v>
          </cell>
          <cell r="E32" t="str">
            <v>Cargue, retiro y botada de material sobrante y escombros, a cualquier distancia (incluye acarreo en sitio sin acceso vehicular)</v>
          </cell>
          <cell r="F32" t="str">
            <v>m3</v>
          </cell>
          <cell r="G32">
            <v>2257</v>
          </cell>
          <cell r="I32">
            <v>16625</v>
          </cell>
          <cell r="J32">
            <v>22169.4375</v>
          </cell>
          <cell r="K32">
            <v>37522625</v>
          </cell>
        </row>
        <row r="33">
          <cell r="G33">
            <v>0</v>
          </cell>
        </row>
        <row r="34">
          <cell r="C34" t="str">
            <v>204, 204.A1, 206</v>
          </cell>
          <cell r="D34">
            <v>7</v>
          </cell>
          <cell r="E34" t="str">
            <v>Llenos compactados en zanjas y apiques:</v>
          </cell>
          <cell r="G34">
            <v>0</v>
          </cell>
        </row>
        <row r="35">
          <cell r="G35">
            <v>0</v>
          </cell>
        </row>
        <row r="36">
          <cell r="B36">
            <v>4024103</v>
          </cell>
          <cell r="D36">
            <v>7.1</v>
          </cell>
          <cell r="E36" t="str">
            <v>Con material selecto de excavación</v>
          </cell>
          <cell r="F36" t="str">
            <v>m3</v>
          </cell>
          <cell r="G36">
            <v>1330</v>
          </cell>
          <cell r="I36">
            <v>8051</v>
          </cell>
          <cell r="J36">
            <v>10736.0085</v>
          </cell>
          <cell r="K36">
            <v>10707830</v>
          </cell>
        </row>
        <row r="37">
          <cell r="G37">
            <v>0</v>
          </cell>
        </row>
        <row r="38">
          <cell r="B38">
            <v>4024112</v>
          </cell>
          <cell r="D38">
            <v>7.2</v>
          </cell>
          <cell r="E38" t="str">
            <v>Con material de préstamo (arenilla o similar)</v>
          </cell>
          <cell r="F38" t="str">
            <v>m3</v>
          </cell>
          <cell r="G38">
            <v>1015</v>
          </cell>
          <cell r="I38">
            <v>15712</v>
          </cell>
          <cell r="J38">
            <v>20951.951999999997</v>
          </cell>
          <cell r="K38">
            <v>15947680</v>
          </cell>
        </row>
        <row r="39">
          <cell r="G39">
            <v>0</v>
          </cell>
        </row>
        <row r="40">
          <cell r="B40">
            <v>4030301</v>
          </cell>
          <cell r="C40">
            <v>303</v>
          </cell>
          <cell r="D40">
            <v>7.3</v>
          </cell>
          <cell r="E40" t="str">
            <v>Con material granular para base</v>
          </cell>
          <cell r="F40" t="str">
            <v>m3</v>
          </cell>
          <cell r="G40">
            <v>951</v>
          </cell>
          <cell r="I40">
            <v>41911</v>
          </cell>
          <cell r="J40">
            <v>55888.318499999994</v>
          </cell>
          <cell r="K40">
            <v>39857361</v>
          </cell>
        </row>
        <row r="41">
          <cell r="G41">
            <v>0</v>
          </cell>
        </row>
        <row r="42">
          <cell r="B42">
            <v>4040401</v>
          </cell>
          <cell r="C42">
            <v>404</v>
          </cell>
          <cell r="D42">
            <v>8</v>
          </cell>
          <cell r="E42" t="str">
            <v>Suministro, transporte e instalación de entresuelo para apoyo de tubería, en arenilla</v>
          </cell>
          <cell r="F42" t="str">
            <v>m3</v>
          </cell>
          <cell r="G42">
            <v>220</v>
          </cell>
          <cell r="I42">
            <v>37094</v>
          </cell>
          <cell r="J42">
            <v>49464.848999999995</v>
          </cell>
          <cell r="K42">
            <v>8160680</v>
          </cell>
        </row>
        <row r="43">
          <cell r="G43">
            <v>0</v>
          </cell>
        </row>
        <row r="44">
          <cell r="B44">
            <v>4040301</v>
          </cell>
          <cell r="C44" t="str">
            <v>403, 403.A2, 501, 506, 507</v>
          </cell>
          <cell r="D44">
            <v>9</v>
          </cell>
          <cell r="E44" t="str">
            <v>Reconstrucción de andenes en concreto, con y sin escalas</v>
          </cell>
          <cell r="F44" t="str">
            <v>m2</v>
          </cell>
          <cell r="G44">
            <v>70</v>
          </cell>
          <cell r="I44">
            <v>32102</v>
          </cell>
          <cell r="J44">
            <v>42808.017</v>
          </cell>
          <cell r="K44">
            <v>2247140</v>
          </cell>
        </row>
        <row r="45">
          <cell r="G45">
            <v>0</v>
          </cell>
        </row>
        <row r="46">
          <cell r="B46">
            <v>4040220</v>
          </cell>
          <cell r="C46">
            <v>402</v>
          </cell>
          <cell r="D46">
            <v>10</v>
          </cell>
          <cell r="E46" t="str">
            <v>Reconstrucción de cordones simples, de dos o tres caras, prefabricados o vaciados  en el sitio de cualquier dimensión.</v>
          </cell>
          <cell r="F46" t="str">
            <v>m</v>
          </cell>
          <cell r="G46">
            <v>50</v>
          </cell>
          <cell r="I46">
            <v>16358</v>
          </cell>
          <cell r="J46">
            <v>21813.393</v>
          </cell>
          <cell r="K46">
            <v>817900</v>
          </cell>
        </row>
        <row r="48">
          <cell r="B48">
            <v>4040130</v>
          </cell>
          <cell r="C48" t="str">
            <v>401, 401.A1, 501, 506, 507</v>
          </cell>
          <cell r="D48">
            <v>11</v>
          </cell>
          <cell r="E48" t="str">
            <v>Reconstrucción de cunetas o cordón cuneta, cualquier tipo de sección</v>
          </cell>
          <cell r="F48" t="str">
            <v>m</v>
          </cell>
          <cell r="G48">
            <v>5</v>
          </cell>
          <cell r="I48">
            <v>21714</v>
          </cell>
          <cell r="J48">
            <v>28955.618999999999</v>
          </cell>
          <cell r="K48">
            <v>108570</v>
          </cell>
        </row>
        <row r="49">
          <cell r="G49">
            <v>0</v>
          </cell>
        </row>
        <row r="50">
          <cell r="C50" t="str">
            <v>406, 406.A1, 407.A1</v>
          </cell>
          <cell r="D50">
            <v>12</v>
          </cell>
          <cell r="E50" t="str">
            <v>Reconstrucción de engramados</v>
          </cell>
          <cell r="G50">
            <v>0</v>
          </cell>
        </row>
        <row r="51">
          <cell r="G51">
            <v>0</v>
          </cell>
        </row>
        <row r="52">
          <cell r="B52">
            <v>4040601</v>
          </cell>
          <cell r="D52">
            <v>12.1</v>
          </cell>
          <cell r="E52" t="str">
            <v>Con reutilización de grama existente:</v>
          </cell>
          <cell r="F52" t="str">
            <v>m2</v>
          </cell>
          <cell r="G52">
            <v>5</v>
          </cell>
          <cell r="I52">
            <v>3997</v>
          </cell>
          <cell r="J52">
            <v>5329.9994999999999</v>
          </cell>
          <cell r="K52">
            <v>19985</v>
          </cell>
        </row>
        <row r="53">
          <cell r="G53">
            <v>0</v>
          </cell>
        </row>
        <row r="54">
          <cell r="B54">
            <v>4040603</v>
          </cell>
          <cell r="D54">
            <v>12.2</v>
          </cell>
          <cell r="E54" t="str">
            <v>Con suministro, transporte y colocación de grama</v>
          </cell>
          <cell r="F54" t="str">
            <v>m2</v>
          </cell>
          <cell r="G54">
            <v>30</v>
          </cell>
          <cell r="I54">
            <v>6637</v>
          </cell>
          <cell r="J54">
            <v>8850.4394999999986</v>
          </cell>
          <cell r="K54">
            <v>199110</v>
          </cell>
        </row>
        <row r="56">
          <cell r="B56">
            <v>4051101</v>
          </cell>
          <cell r="C56" t="str">
            <v xml:space="preserve"> 306, 306.A1, 307</v>
          </cell>
          <cell r="D56">
            <v>13</v>
          </cell>
          <cell r="E56" t="str">
            <v>Suministro, transporte, colocación  de concreto de 21  Mpa  para el vaciado de fundaciones, apoyo de anclajes y  elementos de confinación de pavimentos.</v>
          </cell>
          <cell r="F56" t="str">
            <v>m3</v>
          </cell>
          <cell r="G56">
            <v>15</v>
          </cell>
          <cell r="I56">
            <v>203228</v>
          </cell>
          <cell r="J56">
            <v>271004.538</v>
          </cell>
          <cell r="K56">
            <v>3048420</v>
          </cell>
        </row>
        <row r="57">
          <cell r="G57">
            <v>0</v>
          </cell>
        </row>
        <row r="58">
          <cell r="C58" t="str">
            <v>305, 306, 306.A1, 307</v>
          </cell>
          <cell r="D58">
            <v>14</v>
          </cell>
          <cell r="E58" t="str">
            <v xml:space="preserve">Suministro, transporte, colocación y compactación de pavimento asfáltico, para: </v>
          </cell>
          <cell r="G58">
            <v>0</v>
          </cell>
        </row>
        <row r="60">
          <cell r="B60">
            <v>4030701</v>
          </cell>
          <cell r="D60">
            <v>14.1</v>
          </cell>
          <cell r="E60" t="str">
            <v>Pavimentación total de la vía</v>
          </cell>
          <cell r="F60" t="str">
            <v>m3</v>
          </cell>
          <cell r="G60">
            <v>5</v>
          </cell>
          <cell r="I60">
            <v>293063</v>
          </cell>
          <cell r="J60">
            <v>390799.51049999997</v>
          </cell>
          <cell r="K60">
            <v>1465315</v>
          </cell>
        </row>
        <row r="61">
          <cell r="G61">
            <v>0</v>
          </cell>
        </row>
        <row r="62">
          <cell r="B62">
            <v>4030705</v>
          </cell>
          <cell r="D62">
            <v>14.2</v>
          </cell>
          <cell r="E62" t="str">
            <v>Para parcheo</v>
          </cell>
          <cell r="F62" t="str">
            <v>m3</v>
          </cell>
          <cell r="G62">
            <v>496</v>
          </cell>
          <cell r="I62">
            <v>368064</v>
          </cell>
          <cell r="J62">
            <v>490813.34399999998</v>
          </cell>
          <cell r="K62">
            <v>182559744</v>
          </cell>
        </row>
        <row r="63">
          <cell r="G63">
            <v>0</v>
          </cell>
        </row>
        <row r="64">
          <cell r="B64" t="str">
            <v xml:space="preserve">TUBERIAS Y ACCESORIOS  PARA REDES DE ACUEDUCTO </v>
          </cell>
        </row>
        <row r="65">
          <cell r="C65" t="str">
            <v>701, 701.1, 701.1.A1, 704</v>
          </cell>
          <cell r="D65">
            <v>15</v>
          </cell>
          <cell r="E65" t="str">
            <v>Suministro, transporte y colocación de tubería de acero para acueducto schedule 40 (incluye protección y tratamiento), en los siguientes diámetros:</v>
          </cell>
          <cell r="G65">
            <v>0</v>
          </cell>
        </row>
        <row r="66">
          <cell r="B66">
            <v>4071008</v>
          </cell>
          <cell r="D66">
            <v>15.1</v>
          </cell>
          <cell r="E66" t="str">
            <v>75 mm (3")</v>
          </cell>
          <cell r="F66" t="str">
            <v>m</v>
          </cell>
          <cell r="G66">
            <v>4</v>
          </cell>
          <cell r="I66">
            <v>62066</v>
          </cell>
          <cell r="J66">
            <v>82765.010999999999</v>
          </cell>
          <cell r="K66">
            <v>248264</v>
          </cell>
        </row>
        <row r="67">
          <cell r="G67">
            <v>0</v>
          </cell>
        </row>
        <row r="68">
          <cell r="B68">
            <v>4071010</v>
          </cell>
          <cell r="D68">
            <v>15.2</v>
          </cell>
          <cell r="E68" t="str">
            <v>100 mm (4")</v>
          </cell>
          <cell r="F68" t="str">
            <v>m</v>
          </cell>
          <cell r="G68">
            <v>40</v>
          </cell>
          <cell r="I68">
            <v>78590</v>
          </cell>
          <cell r="J68">
            <v>104799.765</v>
          </cell>
          <cell r="K68">
            <v>3143600</v>
          </cell>
        </row>
        <row r="69">
          <cell r="G69">
            <v>0</v>
          </cell>
        </row>
        <row r="70">
          <cell r="B70">
            <v>4071014</v>
          </cell>
          <cell r="D70">
            <v>15.3</v>
          </cell>
          <cell r="E70" t="str">
            <v>150 mm (6")</v>
          </cell>
          <cell r="F70" t="str">
            <v>m</v>
          </cell>
          <cell r="G70">
            <v>9</v>
          </cell>
          <cell r="I70">
            <v>121932</v>
          </cell>
          <cell r="J70">
            <v>162596.32199999999</v>
          </cell>
          <cell r="K70">
            <v>1097388</v>
          </cell>
        </row>
        <row r="72">
          <cell r="B72">
            <v>4071018</v>
          </cell>
          <cell r="D72">
            <v>15.4</v>
          </cell>
          <cell r="E72" t="str">
            <v>250 mm (10")</v>
          </cell>
          <cell r="F72" t="str">
            <v>m</v>
          </cell>
          <cell r="G72">
            <v>3</v>
          </cell>
          <cell r="I72">
            <v>280343</v>
          </cell>
          <cell r="J72">
            <v>373837.39049999998</v>
          </cell>
          <cell r="K72">
            <v>841029</v>
          </cell>
        </row>
        <row r="74">
          <cell r="C74" t="str">
            <v>701, 701.3, 701.3.A1, 704</v>
          </cell>
          <cell r="D74">
            <v>16</v>
          </cell>
          <cell r="E74" t="str">
            <v>Transporte y colocación  tubería   PVC-P  RDE 13.5  para acueducto ( Las Empresas suministran la tubería,  los empaques y el lubricante requerido, en los siguientes diámetros:</v>
          </cell>
          <cell r="G74">
            <v>0</v>
          </cell>
        </row>
        <row r="75">
          <cell r="B75">
            <v>4073012</v>
          </cell>
          <cell r="D75">
            <v>16.100000000000001</v>
          </cell>
          <cell r="E75" t="str">
            <v>100 mm (4")</v>
          </cell>
          <cell r="F75" t="str">
            <v>m</v>
          </cell>
          <cell r="G75">
            <v>3200</v>
          </cell>
          <cell r="I75">
            <v>11091</v>
          </cell>
          <cell r="J75">
            <v>14789.848499999998</v>
          </cell>
          <cell r="K75">
            <v>35491200</v>
          </cell>
        </row>
        <row r="76">
          <cell r="G76">
            <v>0</v>
          </cell>
        </row>
        <row r="77">
          <cell r="B77">
            <v>4073014</v>
          </cell>
          <cell r="D77">
            <v>16.2</v>
          </cell>
          <cell r="E77" t="str">
            <v>150 mm (6")</v>
          </cell>
          <cell r="F77" t="str">
            <v>m</v>
          </cell>
          <cell r="G77">
            <v>900</v>
          </cell>
          <cell r="I77">
            <v>12377</v>
          </cell>
          <cell r="J77">
            <v>16504.729499999998</v>
          </cell>
          <cell r="K77">
            <v>11139300</v>
          </cell>
        </row>
        <row r="79">
          <cell r="C79" t="str">
            <v>701, 701.1, 701.1.A1, 704</v>
          </cell>
          <cell r="D79">
            <v>17</v>
          </cell>
          <cell r="E79" t="str">
            <v>Transporte y colocación de tubería de hierro dúctil para acueducto  TK9 unión mécanica  ( Las empresas suministran  la tubería ,los empaques y el lubricante, en los siguientes diámetros:</v>
          </cell>
          <cell r="G79">
            <v>0</v>
          </cell>
        </row>
        <row r="80">
          <cell r="B80">
            <v>4072012</v>
          </cell>
          <cell r="D80">
            <v>17.100000000000001</v>
          </cell>
          <cell r="E80" t="str">
            <v>300 mm (12")</v>
          </cell>
          <cell r="F80" t="str">
            <v>m</v>
          </cell>
          <cell r="G80">
            <v>500</v>
          </cell>
          <cell r="I80">
            <v>22472</v>
          </cell>
          <cell r="J80">
            <v>29966.411999999997</v>
          </cell>
          <cell r="K80">
            <v>11236000</v>
          </cell>
        </row>
        <row r="82">
          <cell r="B82">
            <v>4072014</v>
          </cell>
          <cell r="D82">
            <v>17.2</v>
          </cell>
          <cell r="E82" t="str">
            <v>350 mm (14")</v>
          </cell>
          <cell r="F82" t="str">
            <v>m</v>
          </cell>
          <cell r="G82">
            <v>450</v>
          </cell>
          <cell r="I82">
            <v>27858</v>
          </cell>
          <cell r="J82">
            <v>37148.642999999996</v>
          </cell>
          <cell r="K82">
            <v>12536100</v>
          </cell>
        </row>
        <row r="83">
          <cell r="G83">
            <v>0</v>
          </cell>
        </row>
        <row r="84">
          <cell r="B84">
            <v>4071068</v>
          </cell>
          <cell r="C84" t="str">
            <v>706, 701.N1</v>
          </cell>
          <cell r="D84">
            <v>18</v>
          </cell>
          <cell r="E84" t="str">
            <v>Suministro, transporte y colocación de tubería galvanizada de 37.5 mm (1 1/2") para atraque de tuberias (incluye cortes y soldaduras)</v>
          </cell>
          <cell r="F84" t="str">
            <v>m</v>
          </cell>
          <cell r="G84">
            <v>20</v>
          </cell>
          <cell r="I84">
            <v>12099</v>
          </cell>
          <cell r="J84">
            <v>16134.0165</v>
          </cell>
          <cell r="K84">
            <v>241980</v>
          </cell>
        </row>
        <row r="86">
          <cell r="C86" t="str">
            <v>803, 707, 707.A2</v>
          </cell>
          <cell r="D86">
            <v>19</v>
          </cell>
          <cell r="E86" t="str">
            <v>Suministro, transporte y colocación de tubería PVC-Sanitaria para desagües de cajas de válvulas, incluye suministro, transporte e instalación de rejilla en aluminio en la caja y las perforaciones, emboquilladas y resanes tanto en la caja como en la cámara</v>
          </cell>
        </row>
        <row r="87">
          <cell r="B87">
            <v>4083178</v>
          </cell>
          <cell r="D87">
            <v>19.100000000000001</v>
          </cell>
          <cell r="E87" t="str">
            <v>100 mm (4")</v>
          </cell>
          <cell r="F87" t="str">
            <v>m</v>
          </cell>
          <cell r="G87">
            <v>80</v>
          </cell>
          <cell r="I87">
            <v>24899</v>
          </cell>
          <cell r="J87">
            <v>33202.816500000001</v>
          </cell>
          <cell r="K87">
            <v>1991920</v>
          </cell>
        </row>
        <row r="88">
          <cell r="G88">
            <v>0</v>
          </cell>
        </row>
        <row r="89">
          <cell r="C89">
            <v>601</v>
          </cell>
          <cell r="D89">
            <v>20</v>
          </cell>
          <cell r="E89" t="str">
            <v>Suministro, transporte, figuración y colocación de  acero de refuerzo en los siguientes diámetros :</v>
          </cell>
        </row>
        <row r="90">
          <cell r="B90">
            <v>4060122</v>
          </cell>
          <cell r="D90">
            <v>20.100000000000001</v>
          </cell>
          <cell r="E90" t="str">
            <v>9.52 mm  (3/8")  grado 60</v>
          </cell>
          <cell r="F90" t="str">
            <v>kg</v>
          </cell>
          <cell r="G90">
            <v>75</v>
          </cell>
          <cell r="I90">
            <v>3162</v>
          </cell>
          <cell r="J90">
            <v>4216.527</v>
          </cell>
          <cell r="K90">
            <v>237150</v>
          </cell>
        </row>
        <row r="92">
          <cell r="B92">
            <v>4060120</v>
          </cell>
          <cell r="D92">
            <v>20.2</v>
          </cell>
          <cell r="E92" t="str">
            <v>12.70 mm  (1/2")  grado 60</v>
          </cell>
          <cell r="F92" t="str">
            <v>kg</v>
          </cell>
          <cell r="G92">
            <v>16</v>
          </cell>
          <cell r="I92">
            <v>2244</v>
          </cell>
          <cell r="J92">
            <v>2992.3739999999998</v>
          </cell>
          <cell r="K92">
            <v>35904</v>
          </cell>
        </row>
        <row r="94">
          <cell r="B94">
            <v>4060124</v>
          </cell>
          <cell r="D94">
            <v>20.3</v>
          </cell>
          <cell r="E94" t="str">
            <v>12.70 mm  (5/8")  grado 60</v>
          </cell>
          <cell r="F94" t="str">
            <v>kg</v>
          </cell>
          <cell r="G94">
            <v>20</v>
          </cell>
          <cell r="I94">
            <v>2261</v>
          </cell>
          <cell r="J94">
            <v>3015.0434999999998</v>
          </cell>
          <cell r="K94">
            <v>45220</v>
          </cell>
        </row>
        <row r="95">
          <cell r="E95" t="str">
            <v>ACCESORIOS</v>
          </cell>
        </row>
        <row r="96">
          <cell r="G96">
            <v>0</v>
          </cell>
        </row>
        <row r="97">
          <cell r="C97" t="str">
            <v>705, 706</v>
          </cell>
          <cell r="D97">
            <v>21</v>
          </cell>
          <cell r="E97" t="str">
            <v>Suministro, transporte y colocación de unión de reparación universal, en los siguientes diámetros:</v>
          </cell>
          <cell r="G97">
            <v>0</v>
          </cell>
        </row>
        <row r="98">
          <cell r="B98">
            <v>4079150</v>
          </cell>
          <cell r="D98">
            <v>21.1</v>
          </cell>
          <cell r="E98" t="str">
            <v>De 75 mm (3") - Rango de atención en extemos de 88.1 mm a 102.4</v>
          </cell>
          <cell r="F98" t="str">
            <v>un</v>
          </cell>
          <cell r="G98">
            <v>6</v>
          </cell>
          <cell r="I98">
            <v>79749</v>
          </cell>
          <cell r="J98">
            <v>106345.29149999999</v>
          </cell>
          <cell r="K98">
            <v>478494</v>
          </cell>
        </row>
        <row r="99">
          <cell r="G99">
            <v>0</v>
          </cell>
        </row>
        <row r="100">
          <cell r="B100">
            <v>4079152</v>
          </cell>
          <cell r="D100">
            <v>21.2</v>
          </cell>
          <cell r="E100" t="str">
            <v>De 100 mm (4") - Rango de atención en extremos de 109 mm a 127.8 mm</v>
          </cell>
          <cell r="F100" t="str">
            <v>un</v>
          </cell>
          <cell r="G100">
            <v>58</v>
          </cell>
          <cell r="I100">
            <v>81189</v>
          </cell>
          <cell r="J100">
            <v>108265.5315</v>
          </cell>
          <cell r="K100">
            <v>4708962</v>
          </cell>
        </row>
        <row r="101">
          <cell r="G101">
            <v>0</v>
          </cell>
        </row>
        <row r="102">
          <cell r="B102">
            <v>4079154</v>
          </cell>
          <cell r="D102">
            <v>21.3</v>
          </cell>
          <cell r="E102" t="str">
            <v>De 150 mm (6") - Rango de atención en extremos de 159.2 mm a 181.6 mm</v>
          </cell>
          <cell r="F102" t="str">
            <v>un</v>
          </cell>
          <cell r="G102">
            <v>17</v>
          </cell>
          <cell r="I102">
            <v>131600</v>
          </cell>
          <cell r="J102">
            <v>175488.59999999998</v>
          </cell>
          <cell r="K102">
            <v>2237200</v>
          </cell>
        </row>
        <row r="103">
          <cell r="G103">
            <v>0</v>
          </cell>
        </row>
        <row r="104">
          <cell r="B104">
            <v>4079156</v>
          </cell>
          <cell r="D104">
            <v>21.4</v>
          </cell>
          <cell r="E104" t="str">
            <v>De 200 mm (8") - Rango de atención en extremos de 218.1 mm a 235.0 mm</v>
          </cell>
          <cell r="F104" t="str">
            <v>un</v>
          </cell>
          <cell r="G104">
            <v>1</v>
          </cell>
          <cell r="I104">
            <v>206927</v>
          </cell>
          <cell r="J104">
            <v>275937.1545</v>
          </cell>
          <cell r="K104">
            <v>206927</v>
          </cell>
        </row>
        <row r="105">
          <cell r="G105">
            <v>0</v>
          </cell>
        </row>
        <row r="106">
          <cell r="B106">
            <v>4079158</v>
          </cell>
          <cell r="D106">
            <v>21.5</v>
          </cell>
          <cell r="E106" t="str">
            <v>De 250 mm (10") - Rango de atención en extremos de 272 mm a 289 mm</v>
          </cell>
          <cell r="F106" t="str">
            <v>un</v>
          </cell>
          <cell r="G106">
            <v>2</v>
          </cell>
          <cell r="I106">
            <v>309361</v>
          </cell>
          <cell r="J106">
            <v>412532.89349999995</v>
          </cell>
          <cell r="K106">
            <v>618722</v>
          </cell>
        </row>
        <row r="108">
          <cell r="B108">
            <v>4079160</v>
          </cell>
          <cell r="D108">
            <v>21.6</v>
          </cell>
          <cell r="E108" t="str">
            <v>De 300 mm (12") - Rango de atención en extremos de XXX  mm   a  XXX mm</v>
          </cell>
          <cell r="F108" t="str">
            <v>un</v>
          </cell>
          <cell r="G108">
            <v>5</v>
          </cell>
          <cell r="I108">
            <v>443745</v>
          </cell>
          <cell r="J108">
            <v>591733.9574999999</v>
          </cell>
          <cell r="K108">
            <v>2218725</v>
          </cell>
        </row>
        <row r="110">
          <cell r="D110">
            <v>21.7</v>
          </cell>
          <cell r="E110" t="str">
            <v>De 350 mm (14") - Rango de atención en extremos de XXX mm a  XXX mm</v>
          </cell>
          <cell r="F110" t="str">
            <v>un</v>
          </cell>
          <cell r="G110">
            <v>4</v>
          </cell>
          <cell r="I110">
            <v>580000</v>
          </cell>
          <cell r="J110">
            <v>773430</v>
          </cell>
          <cell r="K110">
            <v>2320000</v>
          </cell>
        </row>
        <row r="112">
          <cell r="C112" t="str">
            <v>701, 701.2, 701.7, 704, 706</v>
          </cell>
          <cell r="D112">
            <v>22</v>
          </cell>
          <cell r="E112" t="str">
            <v>Suministro, transporte y colocación de tees en hierro fundido o hierro ductil para tubería PVC RDE 13.5, en los siguientes diámetros:</v>
          </cell>
        </row>
        <row r="113">
          <cell r="B113">
            <v>4072360</v>
          </cell>
          <cell r="D113">
            <v>22.1</v>
          </cell>
          <cell r="E113" t="str">
            <v>De 100 mm x 100 mm (4" x 4")</v>
          </cell>
          <cell r="F113" t="str">
            <v>un</v>
          </cell>
          <cell r="G113">
            <v>8</v>
          </cell>
          <cell r="I113">
            <v>110895</v>
          </cell>
          <cell r="J113">
            <v>147878.48249999998</v>
          </cell>
          <cell r="K113">
            <v>887160</v>
          </cell>
        </row>
        <row r="114">
          <cell r="G114">
            <v>0</v>
          </cell>
        </row>
        <row r="115">
          <cell r="B115">
            <v>4072343</v>
          </cell>
          <cell r="D115">
            <v>22.2</v>
          </cell>
          <cell r="E115" t="str">
            <v>De 150 mm x 75 mm (6" x 3")</v>
          </cell>
          <cell r="F115" t="str">
            <v>un</v>
          </cell>
          <cell r="G115">
            <v>1</v>
          </cell>
          <cell r="I115">
            <v>173198</v>
          </cell>
          <cell r="J115">
            <v>230959.533</v>
          </cell>
          <cell r="K115">
            <v>173198</v>
          </cell>
        </row>
        <row r="116">
          <cell r="G116">
            <v>0</v>
          </cell>
        </row>
        <row r="117">
          <cell r="B117">
            <v>4072366</v>
          </cell>
          <cell r="D117">
            <v>22.3</v>
          </cell>
          <cell r="E117" t="str">
            <v>De 150 mm x 100 mm (6" x 4")</v>
          </cell>
          <cell r="F117" t="str">
            <v>un</v>
          </cell>
          <cell r="G117">
            <v>9</v>
          </cell>
          <cell r="I117">
            <v>205678</v>
          </cell>
          <cell r="J117">
            <v>274271.61299999995</v>
          </cell>
          <cell r="K117">
            <v>1851102</v>
          </cell>
        </row>
        <row r="118">
          <cell r="G118">
            <v>0</v>
          </cell>
        </row>
        <row r="119">
          <cell r="C119" t="str">
            <v>706.A2</v>
          </cell>
          <cell r="D119">
            <v>24</v>
          </cell>
          <cell r="E119" t="str">
            <v>Suministro, transporte y colocación de de tee partida para  intercalado de hidrantes ( el hidrante y el codo lo suministran las Empresas ), incluye válvula de compuerta elástica bridada, adaptador de transicón brida x unta rápida y anclaje de la válvula ,</v>
          </cell>
          <cell r="G119">
            <v>0</v>
          </cell>
        </row>
        <row r="120">
          <cell r="B120">
            <v>4071559</v>
          </cell>
          <cell r="D120">
            <v>24.1</v>
          </cell>
          <cell r="E120" t="str">
            <v>75 mm x  75 mm (3" x 3")</v>
          </cell>
          <cell r="F120" t="str">
            <v>un</v>
          </cell>
          <cell r="G120">
            <v>1</v>
          </cell>
          <cell r="I120">
            <v>1939239</v>
          </cell>
          <cell r="J120">
            <v>2585975.2064999999</v>
          </cell>
          <cell r="K120">
            <v>1939239</v>
          </cell>
        </row>
        <row r="122">
          <cell r="B122">
            <v>4071563</v>
          </cell>
          <cell r="D122">
            <v>24.2</v>
          </cell>
          <cell r="E122" t="str">
            <v>150 mm x 150 mm ( 6" x  6")</v>
          </cell>
          <cell r="F122" t="str">
            <v>un</v>
          </cell>
          <cell r="G122">
            <v>6</v>
          </cell>
          <cell r="I122">
            <v>3504563</v>
          </cell>
          <cell r="J122">
            <v>4673334.7604999999</v>
          </cell>
          <cell r="K122">
            <v>21027378</v>
          </cell>
        </row>
        <row r="123">
          <cell r="G123">
            <v>0</v>
          </cell>
        </row>
        <row r="124">
          <cell r="C124" t="str">
            <v>701, 701.2, 701.3, 701.7, 704, 706</v>
          </cell>
          <cell r="D124">
            <v>25</v>
          </cell>
          <cell r="E124" t="str">
            <v>Suministro, transporte y colocación de codos de hierro fundido o hierro dúctil para hierro dúctil, en los siguientes diámetros:</v>
          </cell>
          <cell r="G124">
            <v>0</v>
          </cell>
        </row>
        <row r="125">
          <cell r="B125">
            <v>4076072</v>
          </cell>
          <cell r="D125">
            <v>25.1</v>
          </cell>
          <cell r="E125" t="str">
            <v>300 mm (12") de 90°</v>
          </cell>
          <cell r="F125" t="str">
            <v>un</v>
          </cell>
          <cell r="G125">
            <v>1</v>
          </cell>
          <cell r="I125">
            <v>1108425</v>
          </cell>
          <cell r="J125">
            <v>1478084.7374999998</v>
          </cell>
          <cell r="K125">
            <v>1108425</v>
          </cell>
        </row>
        <row r="126">
          <cell r="G126">
            <v>0</v>
          </cell>
        </row>
        <row r="127">
          <cell r="B127">
            <v>4076124</v>
          </cell>
          <cell r="D127">
            <v>25.2</v>
          </cell>
          <cell r="E127" t="str">
            <v>300 mm (12") de 45°</v>
          </cell>
          <cell r="F127" t="str">
            <v>un</v>
          </cell>
          <cell r="G127">
            <v>2</v>
          </cell>
          <cell r="I127">
            <v>893825</v>
          </cell>
          <cell r="J127">
            <v>1191915.6375</v>
          </cell>
          <cell r="K127">
            <v>1787650</v>
          </cell>
        </row>
        <row r="128">
          <cell r="G128">
            <v>0</v>
          </cell>
        </row>
        <row r="129">
          <cell r="B129">
            <v>4076160</v>
          </cell>
          <cell r="D129">
            <v>25.3</v>
          </cell>
          <cell r="E129" t="str">
            <v>300 mm (12") de 22.5°</v>
          </cell>
          <cell r="F129" t="str">
            <v>un</v>
          </cell>
          <cell r="G129">
            <v>7</v>
          </cell>
          <cell r="I129">
            <v>747665</v>
          </cell>
          <cell r="J129">
            <v>997011.27749999997</v>
          </cell>
          <cell r="K129">
            <v>5233655</v>
          </cell>
        </row>
        <row r="130">
          <cell r="G130">
            <v>0</v>
          </cell>
        </row>
        <row r="131">
          <cell r="B131">
            <v>4076204</v>
          </cell>
          <cell r="D131">
            <v>25.4</v>
          </cell>
          <cell r="E131" t="str">
            <v>300 mm (12") de 11.25°</v>
          </cell>
          <cell r="F131" t="str">
            <v>un</v>
          </cell>
          <cell r="G131">
            <v>5</v>
          </cell>
          <cell r="I131">
            <v>747665</v>
          </cell>
          <cell r="J131">
            <v>997011.27749999997</v>
          </cell>
          <cell r="K131">
            <v>3738325</v>
          </cell>
        </row>
        <row r="133">
          <cell r="B133">
            <v>4076101</v>
          </cell>
          <cell r="D133">
            <v>25.5</v>
          </cell>
          <cell r="E133" t="str">
            <v>350 mm (14") de 90°</v>
          </cell>
          <cell r="F133" t="str">
            <v>un</v>
          </cell>
          <cell r="G133">
            <v>3</v>
          </cell>
          <cell r="I133">
            <v>1867519</v>
          </cell>
          <cell r="J133">
            <v>2490336.5864999997</v>
          </cell>
          <cell r="K133">
            <v>5602557</v>
          </cell>
        </row>
        <row r="134">
          <cell r="G134">
            <v>0</v>
          </cell>
        </row>
        <row r="135">
          <cell r="B135">
            <v>4076126</v>
          </cell>
          <cell r="D135">
            <v>25.6</v>
          </cell>
          <cell r="E135" t="str">
            <v>350 mm (14") de 45°</v>
          </cell>
          <cell r="F135" t="str">
            <v>un</v>
          </cell>
          <cell r="G135">
            <v>4</v>
          </cell>
          <cell r="I135">
            <v>1303574</v>
          </cell>
          <cell r="J135">
            <v>1738315.9289999998</v>
          </cell>
          <cell r="K135">
            <v>5214296</v>
          </cell>
        </row>
        <row r="136">
          <cell r="G136">
            <v>0</v>
          </cell>
        </row>
        <row r="137">
          <cell r="B137">
            <v>4076214</v>
          </cell>
          <cell r="D137">
            <v>25.7</v>
          </cell>
          <cell r="E137" t="str">
            <v>350 mm (14") de 22.5°</v>
          </cell>
          <cell r="F137" t="str">
            <v>un</v>
          </cell>
          <cell r="G137">
            <v>1</v>
          </cell>
          <cell r="I137">
            <v>1303574</v>
          </cell>
          <cell r="J137">
            <v>1738315.9289999998</v>
          </cell>
          <cell r="K137">
            <v>1303574</v>
          </cell>
        </row>
        <row r="138">
          <cell r="G138">
            <v>0</v>
          </cell>
        </row>
        <row r="139">
          <cell r="B139">
            <v>4076214</v>
          </cell>
          <cell r="D139">
            <v>25.8</v>
          </cell>
          <cell r="E139" t="str">
            <v>350 mm (14") de 11.25°</v>
          </cell>
          <cell r="F139" t="str">
            <v>un</v>
          </cell>
          <cell r="G139">
            <v>1</v>
          </cell>
          <cell r="I139">
            <v>1303574</v>
          </cell>
          <cell r="J139">
            <v>1738315.9289999998</v>
          </cell>
          <cell r="K139">
            <v>1303574</v>
          </cell>
        </row>
        <row r="140">
          <cell r="G140">
            <v>0</v>
          </cell>
        </row>
        <row r="141">
          <cell r="C141" t="str">
            <v>701, 701.2, 701.3, 701.7, 704, 706</v>
          </cell>
          <cell r="D141">
            <v>26</v>
          </cell>
          <cell r="E141" t="str">
            <v>Suministro, transporte y colocación de codos de PVC-P, hierro fundido o hierro dúctil para tubería PVC  RDE 13.5  , en los siguientes diámetros:</v>
          </cell>
        </row>
        <row r="142">
          <cell r="B142">
            <v>4072124</v>
          </cell>
          <cell r="D142">
            <v>26.1</v>
          </cell>
          <cell r="E142" t="str">
            <v>150 mm (6") de 90°</v>
          </cell>
          <cell r="F142" t="str">
            <v>un</v>
          </cell>
          <cell r="G142">
            <v>1</v>
          </cell>
          <cell r="I142">
            <v>256880</v>
          </cell>
          <cell r="J142">
            <v>342549.48</v>
          </cell>
          <cell r="K142">
            <v>256880</v>
          </cell>
        </row>
        <row r="144">
          <cell r="B144">
            <v>4072152</v>
          </cell>
          <cell r="D144">
            <v>26.2</v>
          </cell>
          <cell r="E144" t="str">
            <v>150 mm (6") de 45°</v>
          </cell>
          <cell r="F144" t="str">
            <v>un</v>
          </cell>
          <cell r="G144">
            <v>4</v>
          </cell>
          <cell r="I144">
            <v>181480</v>
          </cell>
          <cell r="J144">
            <v>242003.58</v>
          </cell>
          <cell r="K144">
            <v>725920</v>
          </cell>
        </row>
        <row r="146">
          <cell r="B146">
            <v>4072174</v>
          </cell>
          <cell r="D146">
            <v>26.3</v>
          </cell>
          <cell r="E146" t="str">
            <v>150 mm (6") de 22.5°</v>
          </cell>
          <cell r="F146" t="str">
            <v>un</v>
          </cell>
          <cell r="G146">
            <v>4</v>
          </cell>
          <cell r="I146">
            <v>165240</v>
          </cell>
          <cell r="J146">
            <v>220347.53999999998</v>
          </cell>
          <cell r="K146">
            <v>660960</v>
          </cell>
        </row>
        <row r="148">
          <cell r="B148">
            <v>4072192</v>
          </cell>
          <cell r="D148">
            <v>26.4</v>
          </cell>
          <cell r="E148" t="str">
            <v>150 mm (6") de 11.25°</v>
          </cell>
          <cell r="F148" t="str">
            <v>un</v>
          </cell>
          <cell r="G148">
            <v>6</v>
          </cell>
          <cell r="I148">
            <v>154047</v>
          </cell>
          <cell r="J148">
            <v>205421.67449999999</v>
          </cell>
          <cell r="K148">
            <v>924282</v>
          </cell>
        </row>
        <row r="150">
          <cell r="B150">
            <v>4072122</v>
          </cell>
          <cell r="D150">
            <v>26.5</v>
          </cell>
          <cell r="E150" t="str">
            <v>100 mm (4") de 90°</v>
          </cell>
          <cell r="F150" t="str">
            <v>un</v>
          </cell>
          <cell r="G150">
            <v>2</v>
          </cell>
          <cell r="I150">
            <v>104389</v>
          </cell>
          <cell r="J150">
            <v>139202.73149999999</v>
          </cell>
          <cell r="K150">
            <v>208778</v>
          </cell>
        </row>
        <row r="152">
          <cell r="B152">
            <v>4072150</v>
          </cell>
          <cell r="D152">
            <v>26.6</v>
          </cell>
          <cell r="E152" t="str">
            <v>100 mm (4") de 45°</v>
          </cell>
          <cell r="F152" t="str">
            <v>un</v>
          </cell>
          <cell r="G152">
            <v>5</v>
          </cell>
          <cell r="I152">
            <v>86989</v>
          </cell>
          <cell r="J152">
            <v>115999.83149999999</v>
          </cell>
          <cell r="K152">
            <v>434945</v>
          </cell>
        </row>
        <row r="154">
          <cell r="B154">
            <v>4072173</v>
          </cell>
          <cell r="D154">
            <v>26.7</v>
          </cell>
          <cell r="E154" t="str">
            <v>100 mm (4") de 22.5°</v>
          </cell>
          <cell r="F154" t="str">
            <v>un</v>
          </cell>
          <cell r="G154">
            <v>4</v>
          </cell>
          <cell r="I154">
            <v>74229</v>
          </cell>
          <cell r="J154">
            <v>98984.371499999994</v>
          </cell>
          <cell r="K154">
            <v>296916</v>
          </cell>
        </row>
        <row r="156">
          <cell r="B156">
            <v>4072194</v>
          </cell>
          <cell r="D156">
            <v>26.8</v>
          </cell>
          <cell r="E156" t="str">
            <v>100 mm (4") de 11,2.5°</v>
          </cell>
          <cell r="F156" t="str">
            <v>un</v>
          </cell>
          <cell r="G156">
            <v>4</v>
          </cell>
          <cell r="I156">
            <v>74229</v>
          </cell>
          <cell r="J156">
            <v>98984.371499999994</v>
          </cell>
          <cell r="K156">
            <v>296916</v>
          </cell>
        </row>
        <row r="158">
          <cell r="C158" t="str">
            <v>701, 701.1.A1, 701.2, 701.7, 704, 706</v>
          </cell>
          <cell r="D158">
            <v>27</v>
          </cell>
          <cell r="E158" t="str">
            <v>Suministro, transporte y colocación de reducciones hierro fundido, hierro dúctil o acero, J.R en los siguientes diametros:</v>
          </cell>
          <cell r="G158">
            <v>0</v>
          </cell>
        </row>
        <row r="159">
          <cell r="B159">
            <v>4076652</v>
          </cell>
          <cell r="D159">
            <v>27.1</v>
          </cell>
          <cell r="E159" t="str">
            <v>150 mm x 100 mm (6" x 4")</v>
          </cell>
          <cell r="F159" t="str">
            <v>un</v>
          </cell>
          <cell r="G159">
            <v>2</v>
          </cell>
          <cell r="I159">
            <v>127958</v>
          </cell>
          <cell r="J159">
            <v>170631.99299999999</v>
          </cell>
          <cell r="K159">
            <v>255916</v>
          </cell>
        </row>
        <row r="161">
          <cell r="B161">
            <v>4079811</v>
          </cell>
          <cell r="C161">
            <v>711</v>
          </cell>
          <cell r="D161">
            <v>28</v>
          </cell>
          <cell r="E161" t="str">
            <v>Retiro de válvulas de compuerta e hidrantes, tal y como se encuentren en el terreno, en cualquier diámetro</v>
          </cell>
          <cell r="F161" t="str">
            <v>un</v>
          </cell>
          <cell r="G161">
            <v>11</v>
          </cell>
          <cell r="I161">
            <v>41969</v>
          </cell>
          <cell r="J161">
            <v>55965.661499999995</v>
          </cell>
          <cell r="K161">
            <v>461659</v>
          </cell>
        </row>
        <row r="162">
          <cell r="G162">
            <v>0</v>
          </cell>
        </row>
        <row r="163">
          <cell r="C163" t="str">
            <v>703, 703.A1</v>
          </cell>
          <cell r="D163">
            <v>29</v>
          </cell>
          <cell r="E163" t="str">
            <v>Transporte y colocación de hidrantes en los siguientes diámetros:</v>
          </cell>
          <cell r="G163">
            <v>0</v>
          </cell>
        </row>
        <row r="164">
          <cell r="B164">
            <v>4078706</v>
          </cell>
          <cell r="D164">
            <v>30.1</v>
          </cell>
          <cell r="E164" t="str">
            <v>De 75 mm (3")</v>
          </cell>
          <cell r="F164" t="str">
            <v>un</v>
          </cell>
          <cell r="G164">
            <v>1</v>
          </cell>
          <cell r="I164">
            <v>67049</v>
          </cell>
          <cell r="J164">
            <v>89409.841499999995</v>
          </cell>
          <cell r="K164">
            <v>67049</v>
          </cell>
        </row>
        <row r="166">
          <cell r="B166">
            <v>4078728</v>
          </cell>
          <cell r="D166">
            <v>30.2</v>
          </cell>
          <cell r="E166" t="str">
            <v>De 150 mm (6")</v>
          </cell>
          <cell r="F166" t="str">
            <v>un</v>
          </cell>
          <cell r="G166">
            <v>6</v>
          </cell>
          <cell r="I166">
            <v>200173</v>
          </cell>
          <cell r="J166">
            <v>266930.69549999997</v>
          </cell>
          <cell r="K166">
            <v>1201038</v>
          </cell>
        </row>
        <row r="167">
          <cell r="G167">
            <v>0</v>
          </cell>
        </row>
        <row r="168">
          <cell r="C168" t="str">
            <v>702, 702.1 y 702.1.A1</v>
          </cell>
          <cell r="D168">
            <v>31</v>
          </cell>
          <cell r="E168" t="str">
            <v>Transporte y colocación de válvulas de compuerta elásticas de vástago no ascendente  CxC  en los siguientes diámetros:</v>
          </cell>
          <cell r="G168">
            <v>0</v>
          </cell>
        </row>
        <row r="169">
          <cell r="B169">
            <v>4078204</v>
          </cell>
          <cell r="D169">
            <v>31.1</v>
          </cell>
          <cell r="E169" t="str">
            <v>75 mm (3")</v>
          </cell>
          <cell r="F169" t="str">
            <v>un</v>
          </cell>
          <cell r="G169">
            <v>1</v>
          </cell>
          <cell r="I169">
            <v>13556.01</v>
          </cell>
          <cell r="J169">
            <v>18076.939334999999</v>
          </cell>
          <cell r="K169">
            <v>13556.01</v>
          </cell>
        </row>
        <row r="170">
          <cell r="G170">
            <v>0</v>
          </cell>
        </row>
        <row r="171">
          <cell r="B171">
            <v>4078206</v>
          </cell>
          <cell r="D171">
            <v>31.2</v>
          </cell>
          <cell r="E171" t="str">
            <v>100 mm (4")</v>
          </cell>
          <cell r="F171" t="str">
            <v>un</v>
          </cell>
          <cell r="G171">
            <v>5</v>
          </cell>
          <cell r="I171">
            <v>16947.759999999998</v>
          </cell>
          <cell r="J171">
            <v>22599.837959999997</v>
          </cell>
          <cell r="K171">
            <v>84738.799999999988</v>
          </cell>
        </row>
        <row r="172">
          <cell r="G172">
            <v>0</v>
          </cell>
        </row>
        <row r="173">
          <cell r="B173">
            <v>4078208</v>
          </cell>
          <cell r="D173">
            <v>31.3</v>
          </cell>
          <cell r="E173" t="str">
            <v>150 mm (6")</v>
          </cell>
          <cell r="F173" t="str">
            <v>un</v>
          </cell>
          <cell r="G173">
            <v>14</v>
          </cell>
          <cell r="I173">
            <v>40161.769999999997</v>
          </cell>
          <cell r="J173">
            <v>53555.720294999992</v>
          </cell>
          <cell r="K173">
            <v>562264.77999999991</v>
          </cell>
        </row>
        <row r="174">
          <cell r="G174">
            <v>0</v>
          </cell>
        </row>
        <row r="175">
          <cell r="B175">
            <v>4078210</v>
          </cell>
          <cell r="D175">
            <v>31.4</v>
          </cell>
          <cell r="E175" t="str">
            <v>200 mm (8")</v>
          </cell>
          <cell r="F175" t="str">
            <v>un</v>
          </cell>
          <cell r="G175">
            <v>0</v>
          </cell>
          <cell r="I175">
            <v>50270.95</v>
          </cell>
          <cell r="J175">
            <v>67036.311824999997</v>
          </cell>
        </row>
        <row r="176">
          <cell r="G176">
            <v>0</v>
          </cell>
        </row>
        <row r="177">
          <cell r="B177">
            <v>4078282</v>
          </cell>
          <cell r="D177">
            <v>31.5</v>
          </cell>
          <cell r="E177" t="str">
            <v>250 mm (10")</v>
          </cell>
          <cell r="F177" t="str">
            <v>un</v>
          </cell>
          <cell r="G177">
            <v>0</v>
          </cell>
          <cell r="I177">
            <v>55994.62</v>
          </cell>
          <cell r="J177">
            <v>74668.825769999996</v>
          </cell>
        </row>
        <row r="179">
          <cell r="B179">
            <v>4078284</v>
          </cell>
          <cell r="D179">
            <v>31.6</v>
          </cell>
          <cell r="E179" t="str">
            <v>300 mm (12")</v>
          </cell>
          <cell r="F179" t="str">
            <v>un</v>
          </cell>
          <cell r="G179">
            <v>2</v>
          </cell>
          <cell r="I179">
            <v>62933</v>
          </cell>
          <cell r="J179">
            <v>83921.155499999993</v>
          </cell>
          <cell r="K179">
            <v>125866</v>
          </cell>
        </row>
        <row r="180">
          <cell r="G180">
            <v>0</v>
          </cell>
        </row>
        <row r="181">
          <cell r="C181" t="str">
            <v>702, 702.1, 702.1.A2, 704</v>
          </cell>
          <cell r="D181">
            <v>32</v>
          </cell>
          <cell r="E181" t="str">
            <v>Transporte e intercalado de válvulas de compuerta en redes existentes, incluye niples y uniones, en los siguientes diametros:</v>
          </cell>
          <cell r="G181">
            <v>0</v>
          </cell>
        </row>
        <row r="182">
          <cell r="B182">
            <v>4078371</v>
          </cell>
          <cell r="D182">
            <v>32.1</v>
          </cell>
          <cell r="E182" t="str">
            <v>De 75 mm (3")</v>
          </cell>
          <cell r="F182" t="str">
            <v>un</v>
          </cell>
          <cell r="G182">
            <v>2</v>
          </cell>
          <cell r="I182">
            <v>166343</v>
          </cell>
          <cell r="J182">
            <v>221818.39049999998</v>
          </cell>
          <cell r="K182">
            <v>332686</v>
          </cell>
        </row>
        <row r="183">
          <cell r="G183">
            <v>0</v>
          </cell>
        </row>
        <row r="184">
          <cell r="B184">
            <v>4078372</v>
          </cell>
          <cell r="D184">
            <v>32.200000000000003</v>
          </cell>
          <cell r="E184" t="str">
            <v>De 100 mm (4")</v>
          </cell>
          <cell r="F184" t="str">
            <v>un</v>
          </cell>
          <cell r="G184">
            <v>8</v>
          </cell>
          <cell r="I184">
            <v>184800</v>
          </cell>
          <cell r="J184">
            <v>246430.8</v>
          </cell>
          <cell r="K184">
            <v>1478400</v>
          </cell>
        </row>
        <row r="185">
          <cell r="G185">
            <v>0</v>
          </cell>
        </row>
        <row r="186">
          <cell r="B186">
            <v>4078373</v>
          </cell>
          <cell r="D186">
            <v>32.299999999999997</v>
          </cell>
          <cell r="E186" t="str">
            <v>De 150 mm (6")</v>
          </cell>
          <cell r="F186" t="str">
            <v>un</v>
          </cell>
          <cell r="G186">
            <v>2</v>
          </cell>
          <cell r="I186">
            <v>280633</v>
          </cell>
          <cell r="J186">
            <v>374224.10549999995</v>
          </cell>
          <cell r="K186">
            <v>561266</v>
          </cell>
        </row>
        <row r="188">
          <cell r="B188">
            <v>4078374</v>
          </cell>
          <cell r="D188">
            <v>32.4</v>
          </cell>
          <cell r="E188" t="str">
            <v>De 200 mm (8")</v>
          </cell>
          <cell r="F188" t="str">
            <v>un</v>
          </cell>
          <cell r="G188">
            <v>4</v>
          </cell>
          <cell r="I188">
            <v>422153</v>
          </cell>
          <cell r="J188">
            <v>562941.02549999999</v>
          </cell>
          <cell r="K188">
            <v>1688612</v>
          </cell>
        </row>
        <row r="190">
          <cell r="B190">
            <v>4078375</v>
          </cell>
          <cell r="D190">
            <v>32.5</v>
          </cell>
          <cell r="E190" t="str">
            <v>De 250 mm ( 10")</v>
          </cell>
          <cell r="F190" t="str">
            <v>un</v>
          </cell>
          <cell r="G190">
            <v>1</v>
          </cell>
          <cell r="I190">
            <v>639337</v>
          </cell>
          <cell r="J190">
            <v>852555.88949999993</v>
          </cell>
          <cell r="K190">
            <v>639337</v>
          </cell>
        </row>
        <row r="192">
          <cell r="B192">
            <v>4079302</v>
          </cell>
          <cell r="C192" t="str">
            <v>707, 707.A1</v>
          </cell>
          <cell r="D192">
            <v>33</v>
          </cell>
          <cell r="E192" t="str">
            <v>Construcción de cajas para válvulas, según esquema 1, incluye suministro y transporte de materiales y marco de concreto</v>
          </cell>
          <cell r="F192" t="str">
            <v>un</v>
          </cell>
          <cell r="G192">
            <v>43</v>
          </cell>
          <cell r="I192">
            <v>134381</v>
          </cell>
          <cell r="J192">
            <v>179197.06349999999</v>
          </cell>
          <cell r="K192">
            <v>5778383</v>
          </cell>
        </row>
        <row r="194">
          <cell r="C194" t="str">
            <v>702, 702.1 y 702.1.A1</v>
          </cell>
          <cell r="D194">
            <v>34</v>
          </cell>
          <cell r="E194" t="str">
            <v>Transporte y colocación de válvulas mariposa   en los siguientes diámetros:</v>
          </cell>
          <cell r="G194">
            <v>0</v>
          </cell>
        </row>
        <row r="195">
          <cell r="B195">
            <v>4078414</v>
          </cell>
          <cell r="D195">
            <v>34.1</v>
          </cell>
          <cell r="E195" t="str">
            <v>De 350 mm (14")</v>
          </cell>
          <cell r="F195" t="str">
            <v>un</v>
          </cell>
          <cell r="G195">
            <v>2</v>
          </cell>
          <cell r="I195">
            <v>250000</v>
          </cell>
          <cell r="J195">
            <v>333375</v>
          </cell>
          <cell r="K195">
            <v>500000</v>
          </cell>
        </row>
        <row r="197">
          <cell r="C197" t="str">
            <v>702, 702.1 y 702.1.A1</v>
          </cell>
          <cell r="D197">
            <v>35</v>
          </cell>
          <cell r="E197" t="str">
            <v>Transporte y colocación de válvulas reguladoras de presión,  la Empresa suminitrará las válvulas  reguladoras y  el contratista suministrará las reduciones, los niples de acero soldados  y roscados, las bridas , ventosas, manometros , filtro en y y las de</v>
          </cell>
          <cell r="G197">
            <v>0</v>
          </cell>
        </row>
        <row r="198">
          <cell r="B198">
            <v>4078414</v>
          </cell>
          <cell r="D198">
            <v>35.1</v>
          </cell>
          <cell r="E198" t="str">
            <v>100 mm (4")</v>
          </cell>
          <cell r="F198" t="str">
            <v>un</v>
          </cell>
          <cell r="G198">
            <v>1</v>
          </cell>
          <cell r="I198">
            <v>2319080</v>
          </cell>
          <cell r="J198">
            <v>3092493.1799999997</v>
          </cell>
          <cell r="K198">
            <v>2319080</v>
          </cell>
        </row>
        <row r="200">
          <cell r="C200" t="str">
            <v>702, 702.1 y 702.1.A1</v>
          </cell>
          <cell r="D200">
            <v>36</v>
          </cell>
          <cell r="E200" t="str">
            <v>Construción de las  cajas  para la estación reguladora de presión en donde se alojarán las VRP,  en los siguientes diámetros, segun plano ACC-02-05-0119-16, e incluye la excavación, llenos y la botada de  los ecombros:</v>
          </cell>
          <cell r="G200">
            <v>0</v>
          </cell>
        </row>
        <row r="201">
          <cell r="B201">
            <v>4079320</v>
          </cell>
          <cell r="D201">
            <v>36.1</v>
          </cell>
          <cell r="E201" t="str">
            <v>100 mm (4")</v>
          </cell>
          <cell r="F201" t="str">
            <v>un</v>
          </cell>
          <cell r="G201">
            <v>1</v>
          </cell>
          <cell r="I201">
            <v>1439463</v>
          </cell>
          <cell r="J201">
            <v>1919523.9104999998</v>
          </cell>
          <cell r="K201">
            <v>1439463</v>
          </cell>
        </row>
        <row r="203">
          <cell r="B203" t="str">
            <v xml:space="preserve">                                OTROS ACCESORIOS </v>
          </cell>
        </row>
        <row r="204">
          <cell r="C204" t="str">
            <v>708, 708.A1</v>
          </cell>
          <cell r="D204">
            <v>37</v>
          </cell>
          <cell r="E204" t="str">
            <v xml:space="preserve">  Suministro,transporte y colocación de collares de derivación en hierro dúctil para tubería PVC-P, en los siguientes diámetros:</v>
          </cell>
          <cell r="G204">
            <v>0</v>
          </cell>
        </row>
        <row r="205">
          <cell r="B205">
            <v>4079460</v>
          </cell>
          <cell r="D205">
            <v>37.1</v>
          </cell>
          <cell r="E205" t="str">
            <v xml:space="preserve"> De 100 mm (4") a 13 mm (1/2")</v>
          </cell>
          <cell r="F205" t="str">
            <v>un</v>
          </cell>
          <cell r="G205">
            <v>175</v>
          </cell>
          <cell r="I205">
            <v>27249</v>
          </cell>
          <cell r="J205">
            <v>36336.541499999999</v>
          </cell>
          <cell r="K205">
            <v>4768575</v>
          </cell>
        </row>
        <row r="206">
          <cell r="G206">
            <v>0</v>
          </cell>
        </row>
        <row r="207">
          <cell r="B207">
            <v>4079461</v>
          </cell>
          <cell r="D207">
            <v>37.200000000000003</v>
          </cell>
          <cell r="E207" t="str">
            <v xml:space="preserve"> De 150 mm (6") a 13 mm (1/2")</v>
          </cell>
          <cell r="F207" t="str">
            <v>un</v>
          </cell>
          <cell r="G207">
            <v>65</v>
          </cell>
          <cell r="I207">
            <v>38220</v>
          </cell>
          <cell r="J207">
            <v>50966.369999999995</v>
          </cell>
          <cell r="K207">
            <v>2484300</v>
          </cell>
        </row>
        <row r="209">
          <cell r="D209">
            <v>38</v>
          </cell>
          <cell r="E209" t="str">
            <v>Cortes de tubería (incluye biselada):</v>
          </cell>
          <cell r="G209">
            <v>0</v>
          </cell>
        </row>
        <row r="210">
          <cell r="B210">
            <v>4041101</v>
          </cell>
          <cell r="C210">
            <v>411</v>
          </cell>
          <cell r="D210">
            <v>38.1</v>
          </cell>
          <cell r="E210" t="str">
            <v>Con acetileno</v>
          </cell>
          <cell r="F210" t="str">
            <v xml:space="preserve"> cm</v>
          </cell>
          <cell r="G210">
            <v>4276</v>
          </cell>
          <cell r="I210">
            <v>604</v>
          </cell>
          <cell r="J210">
            <v>805.43399999999997</v>
          </cell>
          <cell r="K210">
            <v>2582704</v>
          </cell>
        </row>
        <row r="211">
          <cell r="G211">
            <v>0</v>
          </cell>
        </row>
        <row r="212">
          <cell r="B212">
            <v>4041201</v>
          </cell>
          <cell r="C212">
            <v>412</v>
          </cell>
          <cell r="D212">
            <v>38.200000000000003</v>
          </cell>
          <cell r="E212" t="str">
            <v>Sin acetileno</v>
          </cell>
          <cell r="F212" t="str">
            <v xml:space="preserve"> cm</v>
          </cell>
          <cell r="G212">
            <v>2076</v>
          </cell>
          <cell r="I212">
            <v>604</v>
          </cell>
          <cell r="J212">
            <v>805.43399999999997</v>
          </cell>
          <cell r="K212">
            <v>1253904</v>
          </cell>
        </row>
        <row r="213">
          <cell r="G213">
            <v>0</v>
          </cell>
        </row>
        <row r="214">
          <cell r="B214">
            <v>4041301</v>
          </cell>
          <cell r="C214">
            <v>413</v>
          </cell>
          <cell r="D214">
            <v>39</v>
          </cell>
          <cell r="E214" t="str">
            <v>Suministro, transporte y colocación de cordón de soldadura completo</v>
          </cell>
          <cell r="F214" t="str">
            <v>cm</v>
          </cell>
          <cell r="G214">
            <v>3600</v>
          </cell>
          <cell r="I214">
            <v>881</v>
          </cell>
          <cell r="J214">
            <v>1174.8135</v>
          </cell>
          <cell r="K214">
            <v>3171600</v>
          </cell>
        </row>
        <row r="216">
          <cell r="B216">
            <v>4042294</v>
          </cell>
          <cell r="C216" t="str">
            <v>411,411,A1,413</v>
          </cell>
          <cell r="D216">
            <v>40</v>
          </cell>
          <cell r="E216" t="str">
            <v>Suministro transporte y  figuración. Corte y biselado de lámina de acero, espesor 6.25 mm. ( 1/4 ")</v>
          </cell>
          <cell r="F216" t="str">
            <v>un</v>
          </cell>
          <cell r="G216">
            <v>200</v>
          </cell>
          <cell r="I216">
            <v>186</v>
          </cell>
          <cell r="J216">
            <v>248.03099999999998</v>
          </cell>
          <cell r="K216">
            <v>37200</v>
          </cell>
        </row>
        <row r="218">
          <cell r="B218" t="str">
            <v xml:space="preserve">                                                                                                                       TUBERIAS Y ACCESORIOS PARA LAS ACOMETIDAS DE ACUEDUCTO</v>
          </cell>
        </row>
        <row r="220">
          <cell r="B220">
            <v>4079545</v>
          </cell>
          <cell r="C220" t="str">
            <v>704, 708.A1</v>
          </cell>
          <cell r="D220">
            <v>41</v>
          </cell>
          <cell r="E220" t="str">
            <v xml:space="preserve"> Suministro, transporte y colocación de tubería domiciliaria de acueducto en cualquier material, utilizando barreno para su instalaión, diámetro 12.7 mm (1/2")</v>
          </cell>
          <cell r="F220" t="str">
            <v>m</v>
          </cell>
          <cell r="G220">
            <v>60</v>
          </cell>
          <cell r="I220">
            <v>24350</v>
          </cell>
          <cell r="J220">
            <v>32470.724999999999</v>
          </cell>
          <cell r="K220">
            <v>1461000</v>
          </cell>
        </row>
        <row r="222">
          <cell r="C222">
            <v>708</v>
          </cell>
          <cell r="D222">
            <v>42</v>
          </cell>
          <cell r="E222" t="str">
            <v>Suministro, transporte y colocación de uniones dos y tres partes de 13 mm (1/2") para acometidas de acueducto en tubería de polietileno con alma de aluminio, de:</v>
          </cell>
        </row>
        <row r="223">
          <cell r="B223">
            <v>4075520</v>
          </cell>
          <cell r="D223">
            <v>42.1</v>
          </cell>
          <cell r="E223" t="str">
            <v>Tres partes</v>
          </cell>
          <cell r="F223" t="str">
            <v>un</v>
          </cell>
          <cell r="G223">
            <v>232</v>
          </cell>
          <cell r="I223">
            <v>4073</v>
          </cell>
          <cell r="J223">
            <v>5431.3454999999994</v>
          </cell>
          <cell r="K223">
            <v>944936</v>
          </cell>
        </row>
        <row r="225">
          <cell r="B225">
            <v>4079414</v>
          </cell>
          <cell r="C225" t="str">
            <v>708, 708.A1</v>
          </cell>
          <cell r="D225">
            <v>43</v>
          </cell>
          <cell r="E225" t="str">
            <v>Suministro , transporte y colocación de llaves de acera, diámetro 13 mm (1/2"), con racor, para tuberías de cobre, PE-AL-PE o polietileno (20 mm)</v>
          </cell>
          <cell r="F225" t="str">
            <v>un</v>
          </cell>
          <cell r="G225">
            <v>15</v>
          </cell>
          <cell r="I225">
            <v>18171</v>
          </cell>
          <cell r="J225">
            <v>24231.028499999997</v>
          </cell>
          <cell r="K225">
            <v>272565</v>
          </cell>
        </row>
        <row r="227">
          <cell r="C227" t="str">
            <v>708, 708.A1</v>
          </cell>
          <cell r="D227">
            <v>44</v>
          </cell>
          <cell r="E227" t="str">
            <v>Suministro, transporte y colocación de llaves de contención, en los siguientes diámetros:</v>
          </cell>
        </row>
        <row r="228">
          <cell r="B228">
            <v>4079449</v>
          </cell>
          <cell r="D228">
            <v>44.1</v>
          </cell>
          <cell r="E228" t="str">
            <v>13 mm (1/2")</v>
          </cell>
          <cell r="F228" t="str">
            <v>un</v>
          </cell>
          <cell r="G228">
            <v>10</v>
          </cell>
          <cell r="I228">
            <v>22886</v>
          </cell>
          <cell r="J228">
            <v>30518.480999999996</v>
          </cell>
          <cell r="K228">
            <v>228860</v>
          </cell>
        </row>
        <row r="230">
          <cell r="B230">
            <v>4079451</v>
          </cell>
          <cell r="D230">
            <v>44.2</v>
          </cell>
          <cell r="E230" t="str">
            <v>25 mm (1")</v>
          </cell>
          <cell r="F230" t="str">
            <v>un</v>
          </cell>
          <cell r="G230">
            <v>3</v>
          </cell>
          <cell r="I230">
            <v>48404</v>
          </cell>
          <cell r="J230">
            <v>64546.733999999997</v>
          </cell>
          <cell r="K230">
            <v>145212</v>
          </cell>
        </row>
        <row r="231">
          <cell r="K231">
            <v>0</v>
          </cell>
        </row>
        <row r="232">
          <cell r="B232">
            <v>4079426</v>
          </cell>
          <cell r="C232" t="str">
            <v>708, 708.A1</v>
          </cell>
          <cell r="D232">
            <v>45</v>
          </cell>
          <cell r="E232" t="str">
            <v xml:space="preserve"> Suministro, transporte y colocación de llaves de incorporación cónica o cilíndrica, diámetro 13 mm (1/2"), con racor, para tuberías de cobre, PE-AL-PE o polietileno (20 mm)</v>
          </cell>
          <cell r="F232" t="str">
            <v>un</v>
          </cell>
          <cell r="G232">
            <v>375</v>
          </cell>
          <cell r="I232">
            <v>21666.03</v>
          </cell>
          <cell r="J232">
            <v>28891.651004999996</v>
          </cell>
          <cell r="K232">
            <v>8124761.25</v>
          </cell>
        </row>
        <row r="234">
          <cell r="C234">
            <v>708</v>
          </cell>
          <cell r="D234">
            <v>46</v>
          </cell>
          <cell r="E234" t="str">
            <v>Cambio de toma (no necesita unión de tres partes ni cobre)</v>
          </cell>
        </row>
        <row r="235">
          <cell r="B235">
            <v>4250103</v>
          </cell>
          <cell r="D235">
            <v>46.1</v>
          </cell>
          <cell r="E235" t="str">
            <v xml:space="preserve"> 13 mm (1/2")</v>
          </cell>
          <cell r="F235" t="str">
            <v>un</v>
          </cell>
          <cell r="G235">
            <v>260</v>
          </cell>
          <cell r="I235">
            <v>8685</v>
          </cell>
          <cell r="J235">
            <v>11581.447499999998</v>
          </cell>
          <cell r="K235">
            <v>2258100</v>
          </cell>
        </row>
        <row r="237">
          <cell r="C237" t="str">
            <v>ACTIVIDADES COMPLEMENTARIAS</v>
          </cell>
        </row>
        <row r="238">
          <cell r="B238">
            <v>4042117</v>
          </cell>
          <cell r="C238" t="str">
            <v>423.N1</v>
          </cell>
          <cell r="D238">
            <v>47</v>
          </cell>
          <cell r="E238" t="str">
            <v>Suministro, transporte e instalación de cinta en polietileno para señalización de redes de acueducto</v>
          </cell>
          <cell r="F238" t="str">
            <v>m</v>
          </cell>
          <cell r="G238">
            <v>3950</v>
          </cell>
          <cell r="I238">
            <v>1082</v>
          </cell>
          <cell r="J238">
            <v>1442.847</v>
          </cell>
          <cell r="K238">
            <v>4273900</v>
          </cell>
        </row>
        <row r="240">
          <cell r="C240" t="str">
            <v>422.N1</v>
          </cell>
          <cell r="D240">
            <v>48</v>
          </cell>
          <cell r="E240" t="str">
            <v>Mano de obra (incluye prestaciones sociales)</v>
          </cell>
        </row>
        <row r="241">
          <cell r="B241">
            <v>4042152</v>
          </cell>
          <cell r="D241">
            <v>48.1</v>
          </cell>
          <cell r="E241" t="str">
            <v>Oficial</v>
          </cell>
          <cell r="F241" t="str">
            <v>h</v>
          </cell>
          <cell r="G241">
            <v>40</v>
          </cell>
          <cell r="I241">
            <v>8395.14</v>
          </cell>
          <cell r="J241">
            <v>11194.919189999999</v>
          </cell>
          <cell r="K241">
            <v>335805.6</v>
          </cell>
        </row>
        <row r="243">
          <cell r="B243">
            <v>4042150</v>
          </cell>
          <cell r="D243">
            <v>48.2</v>
          </cell>
          <cell r="E243" t="str">
            <v>Ayudante</v>
          </cell>
          <cell r="F243" t="str">
            <v>h</v>
          </cell>
          <cell r="G243">
            <v>40</v>
          </cell>
          <cell r="I243">
            <v>4095.26</v>
          </cell>
          <cell r="J243">
            <v>5461.0292099999997</v>
          </cell>
          <cell r="K243">
            <v>163810.40000000002</v>
          </cell>
        </row>
        <row r="246">
          <cell r="E246" t="str">
            <v xml:space="preserve">VALOR TOTAL DE LAS OBRAS EN NUMEROS </v>
          </cell>
          <cell r="K246">
            <v>546504406.83999991</v>
          </cell>
        </row>
        <row r="248">
          <cell r="E248" t="str">
            <v>VALOR TOTAL DE LAS OBRAS EN  LETRAS</v>
          </cell>
        </row>
        <row r="249">
          <cell r="C249" t="str">
            <v>Total suma AIUI</v>
          </cell>
          <cell r="E249">
            <v>0.33350000000000002</v>
          </cell>
        </row>
        <row r="251">
          <cell r="C251" t="str">
            <v xml:space="preserve">Además.              </v>
          </cell>
          <cell r="E251" t="str">
            <v xml:space="preserve">  _____________________%  (Especificar y soportar)</v>
          </cell>
        </row>
        <row r="253">
          <cell r="C253" t="str">
            <v>Firma del proponente. __________________________________________________________________________________</v>
          </cell>
        </row>
        <row r="255">
          <cell r="C255" t="str">
            <v>Nota:  El proponente  debe estudiar  todas y cada  una de  la especificaciones señaladas en los  ítem, para la elaboración de su oferta.</v>
          </cell>
        </row>
      </sheetData>
      <sheetData sheetId="2" refreshError="1">
        <row r="7">
          <cell r="D7" t="str">
            <v>ACTIVIDADES PRELIMINARES</v>
          </cell>
        </row>
        <row r="8">
          <cell r="B8" t="str">
            <v>103, 104,107 ,107A1, 201</v>
          </cell>
          <cell r="C8">
            <v>1</v>
          </cell>
          <cell r="D8" t="str">
            <v xml:space="preserve">Excavación manual o mecánica, en cualquier material y cualquier grado de humedad a las siguientes profundidades </v>
          </cell>
        </row>
        <row r="9">
          <cell r="A9">
            <v>4021103</v>
          </cell>
          <cell r="C9">
            <v>1.1000000000000001</v>
          </cell>
          <cell r="D9" t="str">
            <v>Excavación de zanjas entre 0 y 2,00 m de profundidad para redes de acueducto</v>
          </cell>
          <cell r="E9" t="str">
            <v>m3</v>
          </cell>
          <cell r="F9">
            <v>158</v>
          </cell>
          <cell r="G9">
            <v>11798</v>
          </cell>
          <cell r="H9">
            <v>7189</v>
          </cell>
          <cell r="I9">
            <v>9586.5314999999991</v>
          </cell>
          <cell r="J9">
            <v>1514671.977</v>
          </cell>
        </row>
        <row r="10">
          <cell r="A10">
            <v>4021130</v>
          </cell>
          <cell r="C10">
            <v>1.2</v>
          </cell>
          <cell r="D10" t="str">
            <v>Excavación de zanjas entre  2,00 y 4.00  m de profundidad para redes de acueducto</v>
          </cell>
          <cell r="E10" t="str">
            <v>m3</v>
          </cell>
          <cell r="F10">
            <v>65</v>
          </cell>
          <cell r="G10">
            <v>11798</v>
          </cell>
          <cell r="H10">
            <v>7962</v>
          </cell>
          <cell r="I10">
            <v>10617.326999999999</v>
          </cell>
          <cell r="J10">
            <v>690126.255</v>
          </cell>
        </row>
        <row r="11">
          <cell r="A11">
            <v>4021503</v>
          </cell>
          <cell r="C11">
            <v>1.3</v>
          </cell>
          <cell r="D11" t="str">
            <v>Excavaciòn para nichos de investigaciòn entre 0 y 2.00 metros  de profundidad (incluye lleno con material sobrante de la excavación y botada de los escombros)</v>
          </cell>
          <cell r="E11" t="str">
            <v>m3</v>
          </cell>
          <cell r="F11">
            <v>12</v>
          </cell>
          <cell r="G11">
            <v>15761</v>
          </cell>
          <cell r="H11">
            <v>18551</v>
          </cell>
          <cell r="I11">
            <v>24737.7585</v>
          </cell>
          <cell r="J11">
            <v>296853.10200000001</v>
          </cell>
        </row>
        <row r="12">
          <cell r="A12">
            <v>4021303</v>
          </cell>
          <cell r="C12">
            <v>1.4</v>
          </cell>
          <cell r="D12" t="str">
            <v>Excavación en roca, a cualquier profundidad</v>
          </cell>
          <cell r="E12" t="str">
            <v>m3</v>
          </cell>
          <cell r="F12">
            <v>5</v>
          </cell>
          <cell r="G12">
            <v>48891</v>
          </cell>
          <cell r="H12">
            <v>55428</v>
          </cell>
          <cell r="I12">
            <v>73913.237999999998</v>
          </cell>
          <cell r="J12">
            <v>369566.19</v>
          </cell>
        </row>
        <row r="14">
          <cell r="B14" t="str">
            <v>204, 204.A1,206,303,404</v>
          </cell>
          <cell r="C14">
            <v>2</v>
          </cell>
          <cell r="D14" t="str">
            <v>Llenos compactados en  zanjas y apiques:</v>
          </cell>
        </row>
        <row r="15">
          <cell r="A15">
            <v>4024103</v>
          </cell>
          <cell r="C15">
            <v>2.1</v>
          </cell>
          <cell r="D15" t="str">
            <v>Con material selecto de la excavación</v>
          </cell>
          <cell r="E15" t="str">
            <v>m3</v>
          </cell>
          <cell r="F15">
            <v>135</v>
          </cell>
          <cell r="G15">
            <v>6847</v>
          </cell>
          <cell r="H15">
            <v>8147</v>
          </cell>
          <cell r="I15">
            <v>10864.0245</v>
          </cell>
          <cell r="J15">
            <v>1466643.3074999999</v>
          </cell>
        </row>
        <row r="16">
          <cell r="A16">
            <v>4024112</v>
          </cell>
          <cell r="C16">
            <v>2.2000000000000002</v>
          </cell>
          <cell r="D16" t="str">
            <v>Con material de préstamo (arenilla o similar)</v>
          </cell>
          <cell r="E16" t="str">
            <v>m3</v>
          </cell>
          <cell r="F16">
            <v>90</v>
          </cell>
          <cell r="G16">
            <v>14409</v>
          </cell>
          <cell r="H16">
            <v>16896</v>
          </cell>
          <cell r="I16">
            <v>22530.815999999999</v>
          </cell>
          <cell r="J16">
            <v>2027773.44</v>
          </cell>
        </row>
        <row r="18">
          <cell r="A18">
            <v>4040401</v>
          </cell>
          <cell r="B18">
            <v>404</v>
          </cell>
          <cell r="C18">
            <v>3</v>
          </cell>
          <cell r="D18" t="str">
            <v>Suministro, transporte e instalación de entresuelo en arenilla, para apoyo de tubería.</v>
          </cell>
          <cell r="E18" t="str">
            <v>m3</v>
          </cell>
          <cell r="F18">
            <v>33</v>
          </cell>
          <cell r="G18">
            <v>30914</v>
          </cell>
          <cell r="H18">
            <v>40308</v>
          </cell>
          <cell r="I18">
            <v>53750.717999999993</v>
          </cell>
          <cell r="J18">
            <v>1773773.6939999997</v>
          </cell>
        </row>
        <row r="20">
          <cell r="A20">
            <v>4025001</v>
          </cell>
          <cell r="B20">
            <v>205</v>
          </cell>
          <cell r="C20">
            <v>4</v>
          </cell>
          <cell r="D20" t="str">
            <v>Cargue, retiro y botada de material sobrante y escombros, a cualquier distancia (incluye acarreo en sitio sin acceso vehicular)</v>
          </cell>
          <cell r="E20" t="str">
            <v>m3</v>
          </cell>
          <cell r="F20">
            <v>130</v>
          </cell>
          <cell r="G20">
            <v>19849</v>
          </cell>
          <cell r="H20">
            <v>16765</v>
          </cell>
          <cell r="I20">
            <v>22356.127499999999</v>
          </cell>
          <cell r="J20">
            <v>2906296.5749999997</v>
          </cell>
        </row>
        <row r="22">
          <cell r="B22">
            <v>202</v>
          </cell>
          <cell r="C22">
            <v>5</v>
          </cell>
          <cell r="D22" t="str">
            <v>Entibado de madera:</v>
          </cell>
        </row>
        <row r="23">
          <cell r="A23">
            <v>4022120</v>
          </cell>
          <cell r="C23">
            <v>5.0999999999999996</v>
          </cell>
          <cell r="D23" t="str">
            <v>Temporal</v>
          </cell>
          <cell r="E23" t="str">
            <v>m2</v>
          </cell>
          <cell r="F23">
            <v>30</v>
          </cell>
          <cell r="H23">
            <v>9932</v>
          </cell>
          <cell r="I23">
            <v>13244.321999999998</v>
          </cell>
          <cell r="J23">
            <v>397329.66</v>
          </cell>
        </row>
        <row r="25">
          <cell r="A25">
            <v>4023003</v>
          </cell>
          <cell r="B25">
            <v>203</v>
          </cell>
          <cell r="C25">
            <v>6</v>
          </cell>
          <cell r="D25" t="str">
            <v>Trinchos de madera permanente</v>
          </cell>
          <cell r="E25" t="str">
            <v>m2</v>
          </cell>
          <cell r="F25">
            <v>15</v>
          </cell>
          <cell r="H25">
            <v>7888</v>
          </cell>
          <cell r="I25">
            <v>10518.647999999999</v>
          </cell>
          <cell r="J25">
            <v>157779.72</v>
          </cell>
        </row>
        <row r="27">
          <cell r="B27" t="str">
            <v>701, 701.2, 704</v>
          </cell>
          <cell r="C27">
            <v>7</v>
          </cell>
          <cell r="D27" t="str">
            <v>Transporte y colocación de tubería de hierro dúctil TK9, unión mecánica, incluye el suministro y aplicación del lubricante requerido, en los siguientes diámetros:</v>
          </cell>
        </row>
        <row r="28">
          <cell r="A28">
            <v>4072006</v>
          </cell>
          <cell r="C28">
            <v>7.1</v>
          </cell>
          <cell r="D28" t="str">
            <v>De 150mm (6")</v>
          </cell>
          <cell r="E28" t="str">
            <v>m</v>
          </cell>
          <cell r="F28">
            <v>273</v>
          </cell>
          <cell r="G28">
            <v>16000</v>
          </cell>
          <cell r="H28">
            <v>10166</v>
          </cell>
          <cell r="I28">
            <v>13556.360999999999</v>
          </cell>
          <cell r="J28">
            <v>3700886.5529999998</v>
          </cell>
        </row>
        <row r="30">
          <cell r="A30">
            <v>4071068</v>
          </cell>
          <cell r="B30" t="str">
            <v>701, 701.N1</v>
          </cell>
          <cell r="C30">
            <v>8</v>
          </cell>
          <cell r="D30" t="str">
            <v xml:space="preserve">Suministro, transporte y colocación de tubería galvanizada de 37.5 mm (1 1/2") para atraque de tuberías ( incluye cortes y soldaduras) </v>
          </cell>
          <cell r="E30" t="str">
            <v>m</v>
          </cell>
          <cell r="F30">
            <v>25</v>
          </cell>
          <cell r="G30">
            <v>11908</v>
          </cell>
          <cell r="H30">
            <v>12099</v>
          </cell>
          <cell r="I30">
            <v>16134.0165</v>
          </cell>
          <cell r="J30">
            <v>403350.41249999998</v>
          </cell>
        </row>
        <row r="32">
          <cell r="B32" t="str">
            <v>705, 706, 701, 701.3</v>
          </cell>
          <cell r="C32">
            <v>9</v>
          </cell>
          <cell r="D32" t="str">
            <v>Suministro, transporte y colocación de unión de reparación universal , en los siguientes diámetros:</v>
          </cell>
        </row>
        <row r="33">
          <cell r="A33">
            <v>4079154</v>
          </cell>
          <cell r="C33">
            <v>9.1</v>
          </cell>
          <cell r="D33" t="str">
            <v>De 150 mm (6") - Rango de atención en extremos de 159.2 mm a 181.6 mm</v>
          </cell>
          <cell r="E33" t="str">
            <v>un</v>
          </cell>
          <cell r="F33">
            <v>6</v>
          </cell>
          <cell r="G33">
            <v>89697</v>
          </cell>
          <cell r="H33">
            <v>131600</v>
          </cell>
          <cell r="I33">
            <v>175488.59999999998</v>
          </cell>
          <cell r="J33">
            <v>1052931.5999999999</v>
          </cell>
        </row>
        <row r="35">
          <cell r="B35" t="str">
            <v>705, 706, 701, 701.3.A1</v>
          </cell>
          <cell r="C35">
            <v>10</v>
          </cell>
          <cell r="D35" t="str">
            <v>Suministro, transporte y colocación de unión de construcción  ( unión mecánica) en PVC RDE 21, en los siguientes diámetros:</v>
          </cell>
        </row>
        <row r="36">
          <cell r="A36">
            <v>4078992</v>
          </cell>
          <cell r="C36">
            <v>10.1</v>
          </cell>
          <cell r="D36" t="str">
            <v>De 150 mm (6")</v>
          </cell>
          <cell r="E36" t="str">
            <v>un</v>
          </cell>
          <cell r="F36">
            <v>4</v>
          </cell>
          <cell r="G36">
            <v>58514</v>
          </cell>
          <cell r="H36">
            <v>142805</v>
          </cell>
          <cell r="I36">
            <v>190430.4675</v>
          </cell>
          <cell r="J36">
            <v>761721.87</v>
          </cell>
        </row>
        <row r="37">
          <cell r="A37">
            <v>4078990</v>
          </cell>
          <cell r="B37" t="str">
            <v>701, 706, 701.2, 701.3, 701.7</v>
          </cell>
          <cell r="C37">
            <v>12</v>
          </cell>
          <cell r="D37" t="str">
            <v>Suministro, transporte y colocación de codos en hierro fundido o hierro dúctil, en los siguientes diámetros y ángulos</v>
          </cell>
          <cell r="I37">
            <v>0</v>
          </cell>
          <cell r="J37">
            <v>0</v>
          </cell>
        </row>
        <row r="38">
          <cell r="A38">
            <v>4078990</v>
          </cell>
          <cell r="C38">
            <v>12.1</v>
          </cell>
          <cell r="D38" t="str">
            <v>De 100 mm (4"), 90 grados</v>
          </cell>
          <cell r="E38" t="str">
            <v>un</v>
          </cell>
          <cell r="G38">
            <v>84875</v>
          </cell>
          <cell r="H38">
            <v>103265</v>
          </cell>
          <cell r="I38">
            <v>137703.8775</v>
          </cell>
          <cell r="J38">
            <v>0</v>
          </cell>
        </row>
        <row r="39">
          <cell r="A39">
            <v>4078990</v>
          </cell>
          <cell r="C39">
            <v>12.2</v>
          </cell>
          <cell r="D39" t="str">
            <v>De 100 mm (4"), 45 grados</v>
          </cell>
          <cell r="E39" t="str">
            <v>un</v>
          </cell>
          <cell r="G39">
            <v>178309</v>
          </cell>
          <cell r="H39">
            <v>85865</v>
          </cell>
          <cell r="I39">
            <v>114500.97749999999</v>
          </cell>
          <cell r="J39">
            <v>0</v>
          </cell>
        </row>
        <row r="40">
          <cell r="A40">
            <v>4078990</v>
          </cell>
          <cell r="C40">
            <v>12.3</v>
          </cell>
          <cell r="D40" t="str">
            <v>De 100 mm (4"), 22,50 grados</v>
          </cell>
          <cell r="E40" t="str">
            <v>un</v>
          </cell>
          <cell r="G40">
            <v>61225</v>
          </cell>
          <cell r="H40">
            <v>73105</v>
          </cell>
          <cell r="I40">
            <v>97485.517499999987</v>
          </cell>
          <cell r="J40">
            <v>0</v>
          </cell>
        </row>
        <row r="41">
          <cell r="A41">
            <v>4078990</v>
          </cell>
          <cell r="C41">
            <v>12.4</v>
          </cell>
          <cell r="D41" t="str">
            <v>De 100 mm (4"), 11,25 grados</v>
          </cell>
          <cell r="E41" t="str">
            <v>un</v>
          </cell>
          <cell r="G41">
            <v>61095</v>
          </cell>
          <cell r="H41">
            <v>73105</v>
          </cell>
          <cell r="I41">
            <v>97485.517499999987</v>
          </cell>
          <cell r="J41">
            <v>0</v>
          </cell>
        </row>
        <row r="42">
          <cell r="A42">
            <v>4078990</v>
          </cell>
          <cell r="C42">
            <v>12.5</v>
          </cell>
          <cell r="D42" t="str">
            <v>De 150 mm (6"), 90 grados</v>
          </cell>
          <cell r="E42" t="str">
            <v>un</v>
          </cell>
          <cell r="G42">
            <v>84875</v>
          </cell>
          <cell r="H42">
            <v>255194</v>
          </cell>
          <cell r="I42">
            <v>340301.19899999996</v>
          </cell>
          <cell r="J42">
            <v>0</v>
          </cell>
        </row>
        <row r="43">
          <cell r="A43">
            <v>4078990</v>
          </cell>
          <cell r="C43">
            <v>12.6</v>
          </cell>
          <cell r="D43" t="str">
            <v>De 150 mm (6"), 45 grados</v>
          </cell>
          <cell r="E43" t="str">
            <v>un</v>
          </cell>
          <cell r="G43">
            <v>178309</v>
          </cell>
          <cell r="H43">
            <v>179794</v>
          </cell>
          <cell r="I43">
            <v>239755.29899999997</v>
          </cell>
          <cell r="J43">
            <v>0</v>
          </cell>
        </row>
        <row r="44">
          <cell r="A44">
            <v>4078990</v>
          </cell>
          <cell r="C44">
            <v>12.7</v>
          </cell>
          <cell r="D44" t="str">
            <v>De 150 mm (6"), 22,50 grados</v>
          </cell>
          <cell r="E44" t="str">
            <v>un</v>
          </cell>
          <cell r="G44">
            <v>61225</v>
          </cell>
          <cell r="H44">
            <v>163554</v>
          </cell>
          <cell r="I44">
            <v>218099.25899999999</v>
          </cell>
          <cell r="J44">
            <v>0</v>
          </cell>
        </row>
        <row r="45">
          <cell r="A45">
            <v>4078990</v>
          </cell>
          <cell r="C45">
            <v>12.8</v>
          </cell>
          <cell r="D45" t="str">
            <v>De 150 mm (6"), 11,25 grados</v>
          </cell>
          <cell r="E45" t="str">
            <v>un</v>
          </cell>
          <cell r="G45">
            <v>61095</v>
          </cell>
          <cell r="H45">
            <v>153204</v>
          </cell>
          <cell r="I45">
            <v>204297.53399999999</v>
          </cell>
          <cell r="J45">
            <v>0</v>
          </cell>
        </row>
        <row r="46">
          <cell r="A46">
            <v>4078990</v>
          </cell>
          <cell r="C46">
            <v>12.9</v>
          </cell>
          <cell r="D46" t="str">
            <v>De 200 mm (8"), 90 grados</v>
          </cell>
          <cell r="E46" t="str">
            <v>un</v>
          </cell>
          <cell r="G46">
            <v>84875</v>
          </cell>
          <cell r="H46">
            <v>443863</v>
          </cell>
          <cell r="I46">
            <v>591891.31049999991</v>
          </cell>
          <cell r="J46">
            <v>0</v>
          </cell>
        </row>
        <row r="47">
          <cell r="A47">
            <v>4078990</v>
          </cell>
          <cell r="C47">
            <v>12.1</v>
          </cell>
          <cell r="D47" t="str">
            <v>De 200 mm (8"), 45 grados</v>
          </cell>
          <cell r="E47" t="str">
            <v>un</v>
          </cell>
          <cell r="G47">
            <v>178309</v>
          </cell>
          <cell r="H47">
            <v>359183</v>
          </cell>
          <cell r="I47">
            <v>478970.53049999999</v>
          </cell>
          <cell r="J47">
            <v>0</v>
          </cell>
        </row>
        <row r="48">
          <cell r="A48">
            <v>4078990</v>
          </cell>
          <cell r="C48">
            <v>12.11</v>
          </cell>
          <cell r="D48" t="str">
            <v>De 200 mm (8"), 22,50 grados</v>
          </cell>
          <cell r="E48" t="str">
            <v>un</v>
          </cell>
          <cell r="G48">
            <v>61225</v>
          </cell>
          <cell r="I48">
            <v>0</v>
          </cell>
          <cell r="J48">
            <v>0</v>
          </cell>
        </row>
        <row r="49">
          <cell r="A49">
            <v>4078990</v>
          </cell>
          <cell r="C49">
            <v>12.12</v>
          </cell>
          <cell r="D49" t="str">
            <v>De 200 mm (8"), 11,25 grados</v>
          </cell>
          <cell r="E49" t="str">
            <v>un</v>
          </cell>
          <cell r="G49">
            <v>61095</v>
          </cell>
          <cell r="I49">
            <v>0</v>
          </cell>
          <cell r="J49">
            <v>0</v>
          </cell>
        </row>
        <row r="50">
          <cell r="A50">
            <v>4078990</v>
          </cell>
          <cell r="B50" t="str">
            <v>701, 701.2, 706</v>
          </cell>
          <cell r="C50">
            <v>13</v>
          </cell>
          <cell r="D50" t="str">
            <v>Suministro, transporte y colocación de tees en hierro dúctil en los siguientes diámetros:</v>
          </cell>
          <cell r="I50">
            <v>0</v>
          </cell>
          <cell r="J50">
            <v>0</v>
          </cell>
        </row>
        <row r="51">
          <cell r="A51">
            <v>4078990</v>
          </cell>
          <cell r="C51">
            <v>13.1</v>
          </cell>
          <cell r="D51" t="str">
            <v>De 100mm x 100mm (4"x4")</v>
          </cell>
          <cell r="E51" t="str">
            <v>un</v>
          </cell>
          <cell r="G51">
            <v>79073</v>
          </cell>
          <cell r="H51">
            <v>109630</v>
          </cell>
          <cell r="I51">
            <v>146191.60499999998</v>
          </cell>
          <cell r="J51">
            <v>0</v>
          </cell>
        </row>
        <row r="52">
          <cell r="A52">
            <v>4078990</v>
          </cell>
          <cell r="C52">
            <v>13.2</v>
          </cell>
          <cell r="D52" t="str">
            <v>De 100 mm x 75 mm (4" x 3")</v>
          </cell>
          <cell r="E52" t="str">
            <v>un</v>
          </cell>
          <cell r="G52">
            <v>168813</v>
          </cell>
          <cell r="H52">
            <v>90287</v>
          </cell>
          <cell r="I52">
            <v>120397.71449999999</v>
          </cell>
          <cell r="J52">
            <v>0</v>
          </cell>
        </row>
        <row r="53">
          <cell r="A53">
            <v>4078990</v>
          </cell>
          <cell r="C53">
            <v>13.3</v>
          </cell>
          <cell r="D53" t="str">
            <v>De 150 mm x 150 mm (6" x 6")</v>
          </cell>
          <cell r="E53" t="str">
            <v>un</v>
          </cell>
          <cell r="G53">
            <v>168813</v>
          </cell>
          <cell r="H53">
            <v>228014</v>
          </cell>
          <cell r="I53">
            <v>304056.66899999999</v>
          </cell>
          <cell r="J53">
            <v>0</v>
          </cell>
        </row>
        <row r="54">
          <cell r="A54">
            <v>4078990</v>
          </cell>
          <cell r="C54">
            <v>13.4</v>
          </cell>
          <cell r="D54" t="str">
            <v>De 150 mm x 100 mm (6" x 4")</v>
          </cell>
          <cell r="E54" t="str">
            <v>un</v>
          </cell>
          <cell r="G54">
            <v>168813</v>
          </cell>
          <cell r="H54">
            <v>215254</v>
          </cell>
          <cell r="I54">
            <v>287041.20899999997</v>
          </cell>
          <cell r="J54">
            <v>0</v>
          </cell>
        </row>
        <row r="55">
          <cell r="A55">
            <v>4078990</v>
          </cell>
          <cell r="C55">
            <v>13.5</v>
          </cell>
          <cell r="D55" t="str">
            <v>De 200 mm x 200 mm (8" x 8")</v>
          </cell>
          <cell r="E55" t="str">
            <v>un</v>
          </cell>
          <cell r="H55">
            <v>0</v>
          </cell>
          <cell r="I55">
            <v>0</v>
          </cell>
          <cell r="J55">
            <v>0</v>
          </cell>
        </row>
        <row r="56">
          <cell r="A56">
            <v>4078990</v>
          </cell>
          <cell r="C56">
            <v>13.6</v>
          </cell>
          <cell r="D56" t="str">
            <v>De 200 mm x 150 mm (8" x 6")</v>
          </cell>
          <cell r="E56" t="str">
            <v>un</v>
          </cell>
          <cell r="H56">
            <v>365394</v>
          </cell>
          <cell r="I56">
            <v>487252.89899999998</v>
          </cell>
          <cell r="J56">
            <v>0</v>
          </cell>
        </row>
        <row r="57">
          <cell r="A57">
            <v>4078990</v>
          </cell>
          <cell r="C57">
            <v>13.7</v>
          </cell>
          <cell r="D57" t="str">
            <v>De 200 mm x 100 mm (8" x 4")</v>
          </cell>
          <cell r="E57" t="str">
            <v>un</v>
          </cell>
          <cell r="H57">
            <v>365394</v>
          </cell>
          <cell r="I57">
            <v>487252.89899999998</v>
          </cell>
          <cell r="J57">
            <v>0</v>
          </cell>
        </row>
        <row r="59">
          <cell r="B59" t="str">
            <v>701, 701.2, 701.7, 706</v>
          </cell>
          <cell r="C59">
            <v>11</v>
          </cell>
          <cell r="D59" t="str">
            <v>Suministro, transporte y colocación de tees en hierro fundido o hierro ductil para hierro dúctil, en los siguientes diámetros:</v>
          </cell>
          <cell r="F59">
            <v>0</v>
          </cell>
        </row>
        <row r="60">
          <cell r="F60">
            <v>0</v>
          </cell>
        </row>
        <row r="61">
          <cell r="A61">
            <v>4072345</v>
          </cell>
          <cell r="C61">
            <v>11.1</v>
          </cell>
          <cell r="D61" t="str">
            <v>150 mm x 150 mm (6" x 6")</v>
          </cell>
          <cell r="E61" t="str">
            <v>un</v>
          </cell>
          <cell r="F61">
            <v>2</v>
          </cell>
          <cell r="H61">
            <v>230038</v>
          </cell>
          <cell r="I61">
            <v>306755.67299999995</v>
          </cell>
          <cell r="J61">
            <v>613511.3459999999</v>
          </cell>
        </row>
        <row r="62">
          <cell r="F62">
            <v>0</v>
          </cell>
        </row>
        <row r="63">
          <cell r="B63" t="str">
            <v>701, 701.2,  701.3,  701.7, 706</v>
          </cell>
          <cell r="C63">
            <v>12</v>
          </cell>
          <cell r="D63" t="str">
            <v>Suministro, transporte y colocación de codos de hierro fundido o hierro dúctil para hierro dúctil, en los siguientes diámetros:</v>
          </cell>
        </row>
        <row r="64">
          <cell r="A64">
            <v>4072174</v>
          </cell>
          <cell r="C64">
            <v>12.1</v>
          </cell>
          <cell r="D64" t="str">
            <v>150  mm (6") de 22.5°</v>
          </cell>
          <cell r="E64" t="str">
            <v>un</v>
          </cell>
          <cell r="F64">
            <v>7</v>
          </cell>
          <cell r="H64">
            <v>165240</v>
          </cell>
          <cell r="I64">
            <v>220347.53999999998</v>
          </cell>
          <cell r="J64">
            <v>1542432.7799999998</v>
          </cell>
        </row>
        <row r="66">
          <cell r="A66">
            <v>4072192</v>
          </cell>
          <cell r="C66">
            <v>12.2</v>
          </cell>
          <cell r="D66" t="str">
            <v>150  mm  (6") de 11.25°</v>
          </cell>
          <cell r="E66" t="str">
            <v>un</v>
          </cell>
          <cell r="F66">
            <v>6</v>
          </cell>
          <cell r="H66">
            <v>154047</v>
          </cell>
          <cell r="I66">
            <v>205421.67449999999</v>
          </cell>
          <cell r="J66">
            <v>1232530.047</v>
          </cell>
        </row>
        <row r="68">
          <cell r="A68">
            <v>4072124</v>
          </cell>
          <cell r="C68">
            <v>12.3</v>
          </cell>
          <cell r="D68" t="str">
            <v>150 mm (16") de 90°</v>
          </cell>
          <cell r="E68" t="str">
            <v>un</v>
          </cell>
          <cell r="F68">
            <v>1</v>
          </cell>
          <cell r="H68">
            <v>256880</v>
          </cell>
          <cell r="I68">
            <v>342549.48</v>
          </cell>
          <cell r="J68">
            <v>342549.48</v>
          </cell>
        </row>
        <row r="70">
          <cell r="A70">
            <v>4072152</v>
          </cell>
          <cell r="C70">
            <v>12.4</v>
          </cell>
          <cell r="D70" t="str">
            <v>150 mm  (6") de 45°</v>
          </cell>
          <cell r="E70" t="str">
            <v>un</v>
          </cell>
          <cell r="F70">
            <v>9</v>
          </cell>
          <cell r="H70">
            <v>181480</v>
          </cell>
          <cell r="I70">
            <v>242003.58</v>
          </cell>
          <cell r="J70">
            <v>2178032.2199999997</v>
          </cell>
        </row>
        <row r="72">
          <cell r="B72" t="str">
            <v>707, 707.A1</v>
          </cell>
          <cell r="C72">
            <v>13</v>
          </cell>
          <cell r="D72" t="str">
            <v>Construcción de cajas para  válvulas incluye tapa y marco, según esquema No.1 de la norma 707</v>
          </cell>
        </row>
        <row r="73">
          <cell r="A73">
            <v>4079302</v>
          </cell>
          <cell r="C73">
            <v>13.1</v>
          </cell>
          <cell r="D73" t="str">
            <v xml:space="preserve">Para válvulas de  diámetro  6 "  </v>
          </cell>
          <cell r="E73" t="str">
            <v>un</v>
          </cell>
          <cell r="F73">
            <v>2</v>
          </cell>
          <cell r="G73">
            <v>140354</v>
          </cell>
          <cell r="H73">
            <v>134682</v>
          </cell>
          <cell r="I73">
            <v>179598.44699999999</v>
          </cell>
          <cell r="J73">
            <v>359196.89399999997</v>
          </cell>
        </row>
        <row r="74">
          <cell r="A74">
            <v>4079302</v>
          </cell>
          <cell r="C74">
            <v>13.2</v>
          </cell>
          <cell r="D74" t="str">
            <v xml:space="preserve">Para válvulas de  diámetro  2 "  </v>
          </cell>
          <cell r="E74" t="str">
            <v>un</v>
          </cell>
          <cell r="F74">
            <v>2</v>
          </cell>
          <cell r="G74">
            <v>140354</v>
          </cell>
          <cell r="H74">
            <v>134682</v>
          </cell>
          <cell r="I74">
            <v>179598.44699999999</v>
          </cell>
          <cell r="J74">
            <v>359196.89399999997</v>
          </cell>
        </row>
        <row r="76">
          <cell r="B76" t="str">
            <v>702, 702.1 y 702.1.A1</v>
          </cell>
          <cell r="C76">
            <v>14</v>
          </cell>
          <cell r="D76" t="str">
            <v>Transporte y colocación de válvulas de compuerta elástica de vástago no ascendente extremo CxC (junta perdida con empaque), en los siguientes diámetros:</v>
          </cell>
        </row>
        <row r="77">
          <cell r="A77">
            <v>4077725</v>
          </cell>
          <cell r="C77">
            <v>24.1</v>
          </cell>
          <cell r="D77" t="str">
            <v xml:space="preserve">De 50 mm (2") </v>
          </cell>
          <cell r="E77" t="str">
            <v>un</v>
          </cell>
          <cell r="F77">
            <v>2</v>
          </cell>
          <cell r="H77">
            <v>23200</v>
          </cell>
          <cell r="I77">
            <v>30937.199999999997</v>
          </cell>
          <cell r="J77">
            <v>61874.399999999994</v>
          </cell>
        </row>
        <row r="78">
          <cell r="A78">
            <v>4078208</v>
          </cell>
          <cell r="C78">
            <v>14.1</v>
          </cell>
          <cell r="D78" t="str">
            <v xml:space="preserve">De 150 mm (6") </v>
          </cell>
          <cell r="E78" t="str">
            <v>un</v>
          </cell>
          <cell r="F78">
            <v>2</v>
          </cell>
          <cell r="H78">
            <v>40162</v>
          </cell>
          <cell r="I78">
            <v>53556.026999999995</v>
          </cell>
          <cell r="J78">
            <v>107112.05399999999</v>
          </cell>
        </row>
        <row r="79">
          <cell r="B79" t="str">
            <v>411,    411.A1</v>
          </cell>
          <cell r="C79">
            <v>15</v>
          </cell>
          <cell r="D79" t="str">
            <v>Cortes de tubería  (incluye biselada)</v>
          </cell>
          <cell r="I79">
            <v>0</v>
          </cell>
          <cell r="J79">
            <v>0</v>
          </cell>
        </row>
        <row r="80">
          <cell r="C80">
            <v>15.1</v>
          </cell>
          <cell r="D80" t="str">
            <v>Con acetileno</v>
          </cell>
          <cell r="E80" t="str">
            <v>cm</v>
          </cell>
          <cell r="G80">
            <v>611</v>
          </cell>
          <cell r="I80">
            <v>0</v>
          </cell>
          <cell r="J80">
            <v>0</v>
          </cell>
        </row>
        <row r="81">
          <cell r="C81">
            <v>15.2</v>
          </cell>
          <cell r="D81" t="str">
            <v>Sin acetileno</v>
          </cell>
          <cell r="E81" t="str">
            <v>cm</v>
          </cell>
          <cell r="G81">
            <v>611</v>
          </cell>
          <cell r="I81">
            <v>0</v>
          </cell>
          <cell r="J81">
            <v>0</v>
          </cell>
        </row>
        <row r="82">
          <cell r="I82">
            <v>0</v>
          </cell>
          <cell r="J82">
            <v>0</v>
          </cell>
        </row>
        <row r="83">
          <cell r="B83" t="str">
            <v>411, 411.A.1</v>
          </cell>
          <cell r="C83">
            <v>16</v>
          </cell>
          <cell r="D83" t="str">
            <v>Suministro, transporte y colocación de cordón de soldadura completo</v>
          </cell>
          <cell r="E83" t="str">
            <v>cm</v>
          </cell>
          <cell r="G83">
            <v>826</v>
          </cell>
          <cell r="I83">
            <v>0</v>
          </cell>
          <cell r="J83">
            <v>0</v>
          </cell>
        </row>
        <row r="84">
          <cell r="B84" t="str">
            <v>711, 702.N4</v>
          </cell>
          <cell r="C84">
            <v>27</v>
          </cell>
          <cell r="D84" t="str">
            <v>Retiro de válvulas de compuerta e hidrantes y reintegro al almacén de EPM en Guayabal, tal y como se encuentren en el terreno, en cualquier diámetro</v>
          </cell>
          <cell r="E84" t="str">
            <v>un</v>
          </cell>
          <cell r="I84">
            <v>0</v>
          </cell>
          <cell r="J84">
            <v>0</v>
          </cell>
        </row>
        <row r="86">
          <cell r="B86" t="str">
            <v>703, 703.A1</v>
          </cell>
          <cell r="C86">
            <v>17</v>
          </cell>
          <cell r="D86" t="str">
            <v xml:space="preserve">Transporte y colocación de hidrante suministrado por EPM (no incluye la válvula), en los siguientes diámetros. </v>
          </cell>
        </row>
        <row r="87">
          <cell r="A87">
            <v>4078716</v>
          </cell>
          <cell r="C87">
            <v>15.1</v>
          </cell>
          <cell r="D87" t="str">
            <v xml:space="preserve">De  100 mm (4") </v>
          </cell>
          <cell r="E87" t="str">
            <v>un</v>
          </cell>
          <cell r="F87">
            <v>3</v>
          </cell>
          <cell r="G87">
            <v>30104</v>
          </cell>
          <cell r="H87">
            <v>67049</v>
          </cell>
          <cell r="I87">
            <v>89409.841499999995</v>
          </cell>
          <cell r="J87">
            <v>268229.5245</v>
          </cell>
        </row>
        <row r="89">
          <cell r="A89">
            <v>4042117</v>
          </cell>
          <cell r="B89" t="str">
            <v>423.N1</v>
          </cell>
          <cell r="C89">
            <v>16</v>
          </cell>
          <cell r="D89" t="str">
            <v>Suministro, transporte e instalación de cinta en polietileno para señalización de redes de acueducto</v>
          </cell>
          <cell r="E89" t="str">
            <v>m</v>
          </cell>
          <cell r="F89">
            <v>280</v>
          </cell>
          <cell r="H89">
            <v>1082</v>
          </cell>
          <cell r="I89">
            <v>1442.847</v>
          </cell>
          <cell r="J89">
            <v>403997.16</v>
          </cell>
        </row>
        <row r="91">
          <cell r="B91" t="str">
            <v>702.2, 702.2A1</v>
          </cell>
          <cell r="C91">
            <v>17</v>
          </cell>
          <cell r="D91" t="str">
            <v>Suministro, transporte y colocación de válvulas reguladoras de presión, incluye las reducciones niples de acero soldados y roscados, bridas, válvula de admisión y expulsión de aire, válvula de guarda, manómetros, filtro en Y, válvulas auxiliares de entrad</v>
          </cell>
        </row>
        <row r="92">
          <cell r="A92">
            <v>4078414</v>
          </cell>
          <cell r="C92">
            <v>17.100000000000001</v>
          </cell>
          <cell r="D92" t="str">
            <v>75 mm (3")</v>
          </cell>
          <cell r="E92" t="str">
            <v>un</v>
          </cell>
          <cell r="F92">
            <v>2</v>
          </cell>
          <cell r="H92">
            <v>2319080</v>
          </cell>
          <cell r="I92">
            <v>3092493.1799999997</v>
          </cell>
          <cell r="J92">
            <v>6184986.3599999994</v>
          </cell>
        </row>
        <row r="94">
          <cell r="B94">
            <v>707</v>
          </cell>
          <cell r="C94">
            <v>18</v>
          </cell>
          <cell r="D94" t="str">
            <v>Construcción de cajas para estación reguladora de presión según plano ACC-02-05-0119-16, se incluye excavación, lleno y botada de escombros, en los siguientes diámetros:</v>
          </cell>
        </row>
        <row r="95">
          <cell r="A95">
            <v>4079320</v>
          </cell>
          <cell r="C95">
            <v>18.100000000000001</v>
          </cell>
          <cell r="D95" t="str">
            <v>75 mm (3")</v>
          </cell>
          <cell r="E95" t="str">
            <v>un</v>
          </cell>
          <cell r="F95">
            <v>2</v>
          </cell>
          <cell r="H95">
            <v>1451620</v>
          </cell>
          <cell r="I95">
            <v>1935735.2699999998</v>
          </cell>
          <cell r="J95">
            <v>3871470.5399999996</v>
          </cell>
        </row>
        <row r="97">
          <cell r="D97" t="str">
            <v>ACTIVIDADES COMPLEMENTARIAS</v>
          </cell>
        </row>
        <row r="98">
          <cell r="A98">
            <v>4051101</v>
          </cell>
          <cell r="B98" t="str">
            <v>306, 306.A1,   307</v>
          </cell>
          <cell r="C98">
            <v>19</v>
          </cell>
          <cell r="D98" t="str">
            <v>Suministro, transporte y colocación de concreto (incluye aditivos requeridos por la mezcla), de f'c=21 MPa (210 kg/cm2) para vaciado de anclajes, fundaciones, apoyos de la tubería</v>
          </cell>
          <cell r="E98" t="str">
            <v>m3</v>
          </cell>
          <cell r="F98">
            <v>10</v>
          </cell>
          <cell r="G98">
            <v>201419</v>
          </cell>
          <cell r="H98">
            <v>206324</v>
          </cell>
          <cell r="I98">
            <v>275133.054</v>
          </cell>
          <cell r="J98">
            <v>2751330.54</v>
          </cell>
        </row>
        <row r="100">
          <cell r="B100">
            <v>601</v>
          </cell>
          <cell r="C100">
            <v>20</v>
          </cell>
          <cell r="D100" t="str">
            <v>Suministro, transporte, figuración y colocación de acero de refuerzo, en los siguientes diametros:</v>
          </cell>
        </row>
        <row r="101">
          <cell r="A101">
            <v>4060122</v>
          </cell>
          <cell r="C101">
            <v>20.100000000000001</v>
          </cell>
          <cell r="D101" t="str">
            <v>9,52 mm  (3/8"), grado 60</v>
          </cell>
          <cell r="E101" t="str">
            <v>Kg</v>
          </cell>
          <cell r="F101">
            <v>50</v>
          </cell>
          <cell r="G101">
            <v>0</v>
          </cell>
          <cell r="H101">
            <v>3162</v>
          </cell>
          <cell r="I101">
            <v>4216.527</v>
          </cell>
          <cell r="J101">
            <v>210826.35</v>
          </cell>
        </row>
        <row r="102">
          <cell r="A102">
            <v>4060120</v>
          </cell>
          <cell r="C102">
            <v>20.2</v>
          </cell>
          <cell r="D102" t="str">
            <v>12,70 mm  (1/2"), grado 60</v>
          </cell>
          <cell r="E102" t="str">
            <v>Kg</v>
          </cell>
          <cell r="F102">
            <v>250</v>
          </cell>
          <cell r="G102">
            <v>0</v>
          </cell>
          <cell r="H102">
            <v>2244</v>
          </cell>
          <cell r="I102">
            <v>2992.3739999999998</v>
          </cell>
          <cell r="J102">
            <v>748093.5</v>
          </cell>
        </row>
        <row r="104">
          <cell r="B104" t="str">
            <v>422.N1</v>
          </cell>
          <cell r="C104">
            <v>21</v>
          </cell>
          <cell r="D104" t="str">
            <v>Mano de obra (incluye prestaciones sociales, y herramienta menor)</v>
          </cell>
        </row>
        <row r="105">
          <cell r="A105">
            <v>4042152</v>
          </cell>
          <cell r="C105">
            <v>21.1</v>
          </cell>
          <cell r="D105" t="str">
            <v>Oficial</v>
          </cell>
          <cell r="E105" t="str">
            <v>h</v>
          </cell>
          <cell r="F105">
            <v>56</v>
          </cell>
          <cell r="G105">
            <v>6500</v>
          </cell>
          <cell r="H105">
            <v>8395</v>
          </cell>
          <cell r="I105">
            <v>11194.7325</v>
          </cell>
          <cell r="J105">
            <v>626905.02</v>
          </cell>
        </row>
        <row r="106">
          <cell r="A106">
            <v>4042150</v>
          </cell>
          <cell r="C106">
            <v>21.2</v>
          </cell>
          <cell r="D106" t="str">
            <v>Ayudante</v>
          </cell>
          <cell r="E106" t="str">
            <v>h</v>
          </cell>
          <cell r="F106">
            <v>150</v>
          </cell>
          <cell r="G106">
            <v>12000</v>
          </cell>
          <cell r="H106">
            <v>4095</v>
          </cell>
          <cell r="I106">
            <v>5460.6824999999999</v>
          </cell>
          <cell r="J106">
            <v>819102.375</v>
          </cell>
        </row>
        <row r="107">
          <cell r="G107" t="str">
            <v>SUBTOTAL     $</v>
          </cell>
          <cell r="J107">
            <v>40201081.840500005</v>
          </cell>
        </row>
        <row r="109">
          <cell r="D109" t="str">
            <v>VALOR TOTAL DE LAS OBRAS ( en números)</v>
          </cell>
        </row>
        <row r="110">
          <cell r="D110" t="str">
            <v xml:space="preserve">VALOR TOTAL DE LAS OBRAS ( en letras) </v>
          </cell>
        </row>
        <row r="111">
          <cell r="D111" t="str">
            <v xml:space="preserve">PLAZO (en días comunes o solares, cuarenta y cinco dias) </v>
          </cell>
        </row>
        <row r="113">
          <cell r="D113" t="str">
            <v>LOS PRECIOS ANTERIORES SON A TODO COSTO (incluyen costos directos más indirectos)</v>
          </cell>
        </row>
        <row r="114">
          <cell r="D114" t="str">
            <v>ADMINISTRACIÓN                                        21.50  %</v>
          </cell>
        </row>
        <row r="115">
          <cell r="D115" t="str">
            <v>IMPREVISTOS                                                 2.00  %</v>
          </cell>
        </row>
        <row r="116">
          <cell r="D116" t="str">
            <v>UTILIDADES                                                    6.00   %</v>
          </cell>
        </row>
        <row r="117">
          <cell r="D117" t="str">
            <v>IMPACTO COMUNITARIO                            47.85  %</v>
          </cell>
        </row>
        <row r="118">
          <cell r="D118" t="str">
            <v xml:space="preserve">TOTAL SUMA AIU                                          33.35  %               </v>
          </cell>
        </row>
        <row r="119">
          <cell r="D119" t="str">
            <v>OTROS (especificar y soportar)                             %</v>
          </cell>
        </row>
        <row r="124">
          <cell r="C124" t="str">
            <v>FIRMA DEL PROPONENTE</v>
          </cell>
          <cell r="E124" t="str">
            <v>FIRMA DEL INGENIERO QUE ABONA LA PROPUESTA</v>
          </cell>
        </row>
        <row r="129">
          <cell r="D129" t="str">
            <v xml:space="preserve">Zona Sur </v>
          </cell>
        </row>
        <row r="130">
          <cell r="D130" t="str">
            <v>Plan de la Infraestructura</v>
          </cell>
        </row>
        <row r="131">
          <cell r="D131" t="str">
            <v>En abril 21 de 2004 :</v>
          </cell>
        </row>
        <row r="133">
          <cell r="H133">
            <v>40201082</v>
          </cell>
        </row>
        <row r="134">
          <cell r="H134">
            <v>1126112260</v>
          </cell>
        </row>
        <row r="135">
          <cell r="H135">
            <v>728763626</v>
          </cell>
        </row>
        <row r="136">
          <cell r="D136" t="str">
            <v xml:space="preserve">Lo que vale actualmente </v>
          </cell>
          <cell r="H136">
            <v>1895076968</v>
          </cell>
        </row>
        <row r="140">
          <cell r="H140">
            <v>580859771</v>
          </cell>
        </row>
        <row r="141">
          <cell r="H141">
            <v>83769871</v>
          </cell>
        </row>
        <row r="142">
          <cell r="H142">
            <v>31130992</v>
          </cell>
        </row>
      </sheetData>
      <sheetData sheetId="3" refreshError="1"/>
      <sheetData sheetId="4"/>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REF"/>
      <sheetName val="\MANTENIMIENTO RUTA 1001_MARZO "/>
      <sheetName val="Presupuesto"/>
      <sheetName val="Datos"/>
      <sheetName val="Cuadrillas"/>
      <sheetName val="Jornal"/>
      <sheetName val="Formulario N° 4"/>
      <sheetName val="MATERIALES"/>
      <sheetName val="EQUIPO"/>
      <sheetName val="ANEXO IX"/>
      <sheetName val="APUs"/>
      <sheetName val="INSUMOS"/>
      <sheetName val="PptoGral"/>
      <sheetName val="\I\MANTENIMIENTO RUTA 1001_MARZ"/>
      <sheetName val="\F\MANTENIMIENTO RUTA 1001_MARZ"/>
      <sheetName val="a__aaInformación"/>
      <sheetName val="a__aaInformación1"/>
      <sheetName val="a__aaInformación2"/>
      <sheetName val="otros"/>
      <sheetName val="\\SERVIDOR\Public2\MANTENIMIENT"/>
      <sheetName val="CONT_ADI"/>
      <sheetName val="PRESUP"/>
      <sheetName val="Concretos y morteros"/>
      <sheetName val="Datos iniciales "/>
      <sheetName val="Transporte"/>
      <sheetName val="\Users\USUARIO\Downloads\MANTEN"/>
      <sheetName val="\G\I\MANTENIMIENTO RUTA 1001_MA"/>
      <sheetName val="\D\MANTENIMIENTO RUTA 1001_MARZ"/>
      <sheetName val="\G\D\MANTENIMIENTO RUTA 1001_MA"/>
      <sheetName val="Fornato 6"/>
      <sheetName val="\I\I\MANTENIMIENTO RUTA 1001_MA"/>
      <sheetName val="\Users\Personal\Downloads\MANTE"/>
      <sheetName val="TOTALES"/>
      <sheetName val="INDICMICROEMP"/>
      <sheetName val="INDICE"/>
      <sheetName val="[a  aaInformación][a  aaInforma"/>
      <sheetName val="lisprecios"/>
      <sheetName val="PERSONAL"/>
      <sheetName val="PRESTACIONES SOCIALES"/>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PLAN DE INVERSION ANTICIPO"/>
      <sheetName val="inv mensual"/>
      <sheetName val="borrador flujo inv"/>
      <sheetName val="social-ambiental"/>
      <sheetName val="AU"/>
      <sheetName val="[a  aaInformación]__cceficien_2"/>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 P. U."/>
      <sheetName val="Análisis de precios"/>
      <sheetName val="ANEXO 7"/>
      <sheetName val="DATOS"/>
      <sheetName val="PREACTA"/>
      <sheetName val="equipos"/>
      <sheetName val="indice alfabetico"/>
      <sheetName val="materiales"/>
      <sheetName val="otros"/>
    </sheetNames>
    <sheetDataSet>
      <sheetData sheetId="0" refreshError="1">
        <row r="26">
          <cell r="E26">
            <v>36739</v>
          </cell>
        </row>
        <row r="27">
          <cell r="E27">
            <v>18</v>
          </cell>
        </row>
        <row r="31">
          <cell r="B31">
            <v>31000000</v>
          </cell>
          <cell r="E31">
            <v>0.1</v>
          </cell>
        </row>
        <row r="33">
          <cell r="B33">
            <v>0.3</v>
          </cell>
        </row>
        <row r="41">
          <cell r="E41">
            <v>261</v>
          </cell>
        </row>
      </sheetData>
      <sheetData sheetId="1" refreshError="1"/>
      <sheetData sheetId="2" refreshError="1">
        <row r="8">
          <cell r="G8">
            <v>32500000.417525001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DATOS"/>
      <sheetName val="PREACTA"/>
      <sheetName val="Informacion"/>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NEC. 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NSA"/>
      <sheetName val="COMENTARIOS"/>
    </sheetNames>
    <sheetDataSet>
      <sheetData sheetId="0" refreshError="1"/>
      <sheetData sheetId="1" refreshError="1"/>
      <sheetData sheetId="2" refreshError="1"/>
      <sheetData sheetId="3" refreshError="1"/>
      <sheetData sheetId="4" refreshError="1"/>
      <sheetData sheetId="5" refreshError="1"/>
      <sheetData sheetId="6" refreshError="1">
        <row r="8">
          <cell r="E8" t="str">
            <v>BIMESTRE: Noviembre y Diciembre de 2002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CDItem"/>
      <sheetName val="Acc Ago-Sep.xls"/>
      <sheetName val="ESTADO RED"/>
      <sheetName val="Plan auditoría"/>
      <sheetName val="Presupuesto"/>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Acc%20Ago-Sep.xls"/>
      <sheetName val="Materiales"/>
      <sheetName val="Cuadrillas"/>
      <sheetName val="Concretos y morteros"/>
      <sheetName val="Equipo"/>
      <sheetName val="Datos iniciales "/>
      <sheetName val="Transporte"/>
      <sheetName val="ANEXO 7"/>
      <sheetName val="Información de la Empresa"/>
      <sheetName val="List. Análisis"/>
      <sheetName val="List. Materiales"/>
      <sheetName val="List. Equipo"/>
      <sheetName val="List. Mano de Obra"/>
      <sheetName val="Módulo2"/>
      <sheetName val="Módulo3"/>
      <sheetName val="CANTIDADES"/>
      <sheetName val="resumen de cantidades"/>
      <sheetName val="1,01"/>
      <sheetName val="1,02"/>
      <sheetName val="2,01"/>
      <sheetName val="2,02"/>
      <sheetName val="3,01"/>
      <sheetName val="3,02"/>
      <sheetName val="3,03"/>
      <sheetName val="3,04"/>
      <sheetName val="3,05"/>
      <sheetName val="3,06"/>
      <sheetName val="3,07"/>
      <sheetName val="4,01"/>
      <sheetName val="4,02"/>
      <sheetName val="4,07"/>
      <sheetName val="4,09"/>
      <sheetName val="4,10"/>
      <sheetName val="4,11"/>
      <sheetName val="5,01"/>
      <sheetName val="5,02"/>
      <sheetName val="5,03"/>
      <sheetName val="5,04"/>
      <sheetName val="5,05"/>
      <sheetName val="5,06"/>
      <sheetName val="6,01"/>
      <sheetName val="6,02"/>
      <sheetName val="6,03"/>
      <sheetName val="6,04"/>
      <sheetName val="6,05"/>
      <sheetName val="Hoja12"/>
      <sheetName val="8,01"/>
      <sheetName val="\\Amd\documentos c\Documento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2">
          <cell r="R2">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
      <sheetName val="Insum"/>
      <sheetName val="Apu"/>
      <sheetName val="Ppto"/>
      <sheetName val="PreciosApto"/>
      <sheetName val="InsAct"/>
      <sheetName val="Ejecut"/>
      <sheetName val="Hoja2"/>
      <sheetName val="Hoja3"/>
    </sheetNames>
    <sheetDataSet>
      <sheetData sheetId="0" refreshError="1"/>
      <sheetData sheetId="1" refreshError="1"/>
      <sheetData sheetId="2" refreshError="1">
        <row r="8">
          <cell r="N8" t="str">
            <v>Vr. MATERIALES</v>
          </cell>
          <cell r="O8" t="str">
            <v>Vr. M.O</v>
          </cell>
          <cell r="P8" t="str">
            <v>Vr. VARIOS</v>
          </cell>
          <cell r="Q8" t="str">
            <v>Vr. A.I.U</v>
          </cell>
          <cell r="R8" t="str">
            <v>EQUIPO</v>
          </cell>
          <cell r="S8" t="str">
            <v>REPOSICION</v>
          </cell>
          <cell r="T8" t="str">
            <v>REPUESTOS</v>
          </cell>
          <cell r="U8" t="str">
            <v>MANTENIMIENTO</v>
          </cell>
          <cell r="V8" t="str">
            <v>COMBUSTIBLE</v>
          </cell>
          <cell r="W8" t="str">
            <v>OPERADOR</v>
          </cell>
          <cell r="X8">
            <v>2288419024.0599999</v>
          </cell>
          <cell r="AA8" t="str">
            <v>Vr. MATERIALES</v>
          </cell>
          <cell r="AB8" t="str">
            <v>Vr. M.O</v>
          </cell>
          <cell r="AC8" t="str">
            <v>Vr. VARIOS</v>
          </cell>
        </row>
        <row r="9">
          <cell r="E9" t="str">
            <v>ITEM</v>
          </cell>
        </row>
        <row r="10">
          <cell r="D10" t="str">
            <v>TPCAMPA</v>
          </cell>
          <cell r="E10" t="str">
            <v>Campamento alquilado</v>
          </cell>
          <cell r="G10" t="str">
            <v>UN.</v>
          </cell>
          <cell r="H10" t="str">
            <v>Un</v>
          </cell>
          <cell r="I10" t="e">
            <v>#N/A</v>
          </cell>
          <cell r="K10">
            <v>0</v>
          </cell>
          <cell r="L10" t="e">
            <v>#N/A</v>
          </cell>
          <cell r="N10">
            <v>46364</v>
          </cell>
          <cell r="O10" t="e">
            <v>#N/A</v>
          </cell>
          <cell r="P10">
            <v>660000</v>
          </cell>
          <cell r="Q10" t="e">
            <v>#N/A</v>
          </cell>
          <cell r="X10" t="e">
            <v>#N/A</v>
          </cell>
          <cell r="Z10" t="e">
            <v>#VALUE!</v>
          </cell>
          <cell r="AA10" t="e">
            <v>#VALUE!</v>
          </cell>
          <cell r="AB10" t="e">
            <v>#VALUE!</v>
          </cell>
          <cell r="AC10" t="e">
            <v>#VALUE!</v>
          </cell>
        </row>
        <row r="12">
          <cell r="D12" t="str">
            <v>CODIGO</v>
          </cell>
          <cell r="E12" t="str">
            <v>DESCRIPCION</v>
          </cell>
          <cell r="F12" t="str">
            <v>UN</v>
          </cell>
          <cell r="G12" t="str">
            <v>CANT</v>
          </cell>
          <cell r="H12" t="str">
            <v>V/UNIT.</v>
          </cell>
          <cell r="I12" t="str">
            <v>V/TOTAL</v>
          </cell>
          <cell r="K12" t="str">
            <v>CANT TOTAL</v>
          </cell>
          <cell r="L12" t="str">
            <v>Vr TOTAL</v>
          </cell>
          <cell r="Y12" t="str">
            <v>CANT.</v>
          </cell>
          <cell r="Z12" t="str">
            <v>V/TOTAL</v>
          </cell>
        </row>
        <row r="13">
          <cell r="E13" t="str">
            <v>MATERIALES</v>
          </cell>
          <cell r="I13">
            <v>46364</v>
          </cell>
          <cell r="L13">
            <v>0</v>
          </cell>
          <cell r="Z13" t="e">
            <v>#VALUE!</v>
          </cell>
        </row>
        <row r="14">
          <cell r="D14" t="str">
            <v>MA25DURM</v>
          </cell>
          <cell r="E14" t="str">
            <v>Durmiente</v>
          </cell>
          <cell r="F14" t="str">
            <v>Un</v>
          </cell>
          <cell r="G14">
            <v>10</v>
          </cell>
          <cell r="H14">
            <v>2000</v>
          </cell>
          <cell r="I14">
            <v>20000</v>
          </cell>
          <cell r="J14">
            <v>0</v>
          </cell>
          <cell r="K14">
            <v>0</v>
          </cell>
          <cell r="L14">
            <v>0</v>
          </cell>
          <cell r="Y14" t="e">
            <v>#VALUE!</v>
          </cell>
          <cell r="Z14" t="e">
            <v>#VALUE!</v>
          </cell>
        </row>
        <row r="15">
          <cell r="D15" t="str">
            <v>MA19PC25</v>
          </cell>
          <cell r="E15" t="str">
            <v>Puntilla con cabeza 2,5"</v>
          </cell>
          <cell r="F15" t="str">
            <v>Lb</v>
          </cell>
          <cell r="G15">
            <v>4</v>
          </cell>
          <cell r="H15">
            <v>1216</v>
          </cell>
          <cell r="I15">
            <v>4864</v>
          </cell>
          <cell r="J15">
            <v>0</v>
          </cell>
          <cell r="K15">
            <v>0</v>
          </cell>
          <cell r="L15">
            <v>0</v>
          </cell>
          <cell r="Y15" t="e">
            <v>#VALUE!</v>
          </cell>
          <cell r="Z15" t="e">
            <v>#VALUE!</v>
          </cell>
        </row>
        <row r="16">
          <cell r="D16" t="str">
            <v>MA17CAND</v>
          </cell>
          <cell r="E16" t="str">
            <v>Candado</v>
          </cell>
          <cell r="F16" t="str">
            <v>Un</v>
          </cell>
          <cell r="G16">
            <v>1</v>
          </cell>
          <cell r="H16">
            <v>9000</v>
          </cell>
          <cell r="I16">
            <v>9000</v>
          </cell>
          <cell r="J16">
            <v>0</v>
          </cell>
          <cell r="K16">
            <v>0</v>
          </cell>
          <cell r="L16">
            <v>0</v>
          </cell>
          <cell r="Y16" t="e">
            <v>#VALUE!</v>
          </cell>
          <cell r="Z16" t="e">
            <v>#VALUE!</v>
          </cell>
        </row>
        <row r="17">
          <cell r="D17" t="str">
            <v>MA17CADE1</v>
          </cell>
          <cell r="E17" t="str">
            <v>Cadena 1"</v>
          </cell>
          <cell r="F17" t="str">
            <v>Ml</v>
          </cell>
          <cell r="G17">
            <v>5</v>
          </cell>
          <cell r="H17">
            <v>2500</v>
          </cell>
          <cell r="I17">
            <v>12500</v>
          </cell>
          <cell r="J17">
            <v>0</v>
          </cell>
          <cell r="K17">
            <v>0</v>
          </cell>
          <cell r="L17">
            <v>0</v>
          </cell>
          <cell r="Y17" t="e">
            <v>#VALUE!</v>
          </cell>
          <cell r="Z17" t="e">
            <v>#VALUE!</v>
          </cell>
        </row>
        <row r="20">
          <cell r="E20" t="str">
            <v>MANO DE OBRA</v>
          </cell>
          <cell r="I20" t="e">
            <v>#N/A</v>
          </cell>
          <cell r="L20" t="e">
            <v>#N/A</v>
          </cell>
          <cell r="Z20" t="e">
            <v>#VALUE!</v>
          </cell>
        </row>
        <row r="21">
          <cell r="D21" t="str">
            <v>MOTPICAMP</v>
          </cell>
          <cell r="E21" t="e">
            <v>#N/A</v>
          </cell>
          <cell r="F21" t="e">
            <v>#N/A</v>
          </cell>
          <cell r="G21">
            <v>1</v>
          </cell>
          <cell r="H21" t="e">
            <v>#N/A</v>
          </cell>
          <cell r="I21" t="e">
            <v>#N/A</v>
          </cell>
          <cell r="J21" t="e">
            <v>#N/A</v>
          </cell>
          <cell r="K21">
            <v>0</v>
          </cell>
          <cell r="L21" t="e">
            <v>#N/A</v>
          </cell>
          <cell r="Y21" t="e">
            <v>#VALUE!</v>
          </cell>
          <cell r="Z21" t="e">
            <v>#VALUE!</v>
          </cell>
        </row>
        <row r="23">
          <cell r="E23" t="str">
            <v>VARIOS</v>
          </cell>
          <cell r="I23">
            <v>660000</v>
          </cell>
          <cell r="L23">
            <v>0</v>
          </cell>
          <cell r="Z23" t="e">
            <v>#VALUE!</v>
          </cell>
        </row>
        <row r="24">
          <cell r="D24" t="str">
            <v>AL03CAMPA</v>
          </cell>
          <cell r="E24" t="str">
            <v>Alquiler campamento</v>
          </cell>
          <cell r="F24" t="str">
            <v>mes</v>
          </cell>
          <cell r="G24">
            <v>7</v>
          </cell>
          <cell r="H24">
            <v>80000</v>
          </cell>
          <cell r="I24">
            <v>560000</v>
          </cell>
          <cell r="J24">
            <v>0</v>
          </cell>
          <cell r="K24">
            <v>0</v>
          </cell>
          <cell r="L24">
            <v>0</v>
          </cell>
          <cell r="Y24" t="e">
            <v>#VALUE!</v>
          </cell>
          <cell r="Z24" t="e">
            <v>#VALUE!</v>
          </cell>
        </row>
        <row r="25">
          <cell r="D25" t="str">
            <v>TC60TCAMP</v>
          </cell>
          <cell r="E25" t="str">
            <v>Transporte campamento</v>
          </cell>
          <cell r="F25" t="str">
            <v>Un</v>
          </cell>
          <cell r="G25">
            <v>1</v>
          </cell>
          <cell r="H25">
            <v>100000</v>
          </cell>
          <cell r="I25">
            <v>100000</v>
          </cell>
          <cell r="J25">
            <v>0</v>
          </cell>
          <cell r="K25">
            <v>0</v>
          </cell>
          <cell r="L25">
            <v>0</v>
          </cell>
          <cell r="Y25" t="e">
            <v>#VALUE!</v>
          </cell>
          <cell r="Z25" t="e">
            <v>#VALUE!</v>
          </cell>
        </row>
        <row r="27">
          <cell r="E27" t="str">
            <v>SUBTOTAL</v>
          </cell>
          <cell r="I27" t="e">
            <v>#N/A</v>
          </cell>
          <cell r="L27" t="e">
            <v>#N/A</v>
          </cell>
          <cell r="Z27" t="e">
            <v>#VALUE!</v>
          </cell>
        </row>
        <row r="28">
          <cell r="E28" t="str">
            <v>A.I.U</v>
          </cell>
          <cell r="I28" t="e">
            <v>#N/A</v>
          </cell>
          <cell r="L28" t="e">
            <v>#N/A</v>
          </cell>
          <cell r="Z28" t="e">
            <v>#N/A</v>
          </cell>
        </row>
        <row r="29">
          <cell r="D29" t="str">
            <v>AIUAADMON</v>
          </cell>
          <cell r="E29" t="str">
            <v>Admon</v>
          </cell>
          <cell r="F29">
            <v>0</v>
          </cell>
          <cell r="I29" t="e">
            <v>#N/A</v>
          </cell>
          <cell r="J29">
            <v>0</v>
          </cell>
          <cell r="L29" t="e">
            <v>#N/A</v>
          </cell>
          <cell r="Z29" t="e">
            <v>#N/A</v>
          </cell>
        </row>
        <row r="30">
          <cell r="D30" t="str">
            <v>AIUAIMPRE</v>
          </cell>
          <cell r="E30" t="str">
            <v>Imprevistos</v>
          </cell>
          <cell r="F30">
            <v>0</v>
          </cell>
          <cell r="I30" t="e">
            <v>#N/A</v>
          </cell>
          <cell r="J30">
            <v>0</v>
          </cell>
          <cell r="L30" t="e">
            <v>#N/A</v>
          </cell>
          <cell r="Z30" t="e">
            <v>#N/A</v>
          </cell>
        </row>
        <row r="31">
          <cell r="D31" t="str">
            <v>AIUAUTILI</v>
          </cell>
          <cell r="E31" t="str">
            <v>Utilidad</v>
          </cell>
          <cell r="F31">
            <v>0</v>
          </cell>
          <cell r="I31" t="e">
            <v>#N/A</v>
          </cell>
          <cell r="J31">
            <v>0</v>
          </cell>
          <cell r="L31" t="e">
            <v>#N/A</v>
          </cell>
          <cell r="Z31" t="e">
            <v>#N/A</v>
          </cell>
        </row>
        <row r="32">
          <cell r="D32" t="str">
            <v>AIUAIVAUTI</v>
          </cell>
          <cell r="E32" t="str">
            <v>IVA utilidad</v>
          </cell>
          <cell r="F32">
            <v>0</v>
          </cell>
          <cell r="I32" t="e">
            <v>#N/A</v>
          </cell>
          <cell r="J32">
            <v>0</v>
          </cell>
          <cell r="L32" t="e">
            <v>#N/A</v>
          </cell>
          <cell r="Z32" t="e">
            <v>#N/A</v>
          </cell>
        </row>
        <row r="34">
          <cell r="E34" t="str">
            <v>ITEM</v>
          </cell>
        </row>
        <row r="35">
          <cell r="D35" t="str">
            <v>TPCAMP</v>
          </cell>
          <cell r="E35" t="str">
            <v xml:space="preserve">Campamento </v>
          </cell>
          <cell r="G35" t="str">
            <v>UN.</v>
          </cell>
          <cell r="H35" t="str">
            <v>M2</v>
          </cell>
          <cell r="I35" t="e">
            <v>#N/A</v>
          </cell>
          <cell r="K35">
            <v>0</v>
          </cell>
          <cell r="L35" t="e">
            <v>#N/A</v>
          </cell>
          <cell r="N35">
            <v>4205.4799999999996</v>
          </cell>
          <cell r="O35" t="e">
            <v>#N/A</v>
          </cell>
          <cell r="P35" t="e">
            <v>#N/A</v>
          </cell>
          <cell r="Q35" t="e">
            <v>#N/A</v>
          </cell>
          <cell r="X35" t="e">
            <v>#N/A</v>
          </cell>
          <cell r="Z35" t="e">
            <v>#VALUE!</v>
          </cell>
          <cell r="AA35" t="e">
            <v>#VALUE!</v>
          </cell>
          <cell r="AB35" t="e">
            <v>#VALUE!</v>
          </cell>
          <cell r="AC35" t="e">
            <v>#VALUE!</v>
          </cell>
        </row>
        <row r="37">
          <cell r="D37" t="str">
            <v>CODIGO</v>
          </cell>
          <cell r="E37" t="str">
            <v>DESCRIPCION</v>
          </cell>
          <cell r="F37" t="str">
            <v>UN</v>
          </cell>
          <cell r="G37" t="str">
            <v>CANT</v>
          </cell>
          <cell r="H37" t="str">
            <v>V/UNIT.</v>
          </cell>
          <cell r="I37" t="str">
            <v>V/TOTAL</v>
          </cell>
          <cell r="K37" t="str">
            <v>CANT TOTAL</v>
          </cell>
          <cell r="L37" t="str">
            <v>Vr TOTAL</v>
          </cell>
          <cell r="Y37" t="str">
            <v>CANT.</v>
          </cell>
          <cell r="Z37" t="str">
            <v>V/TOTAL</v>
          </cell>
        </row>
        <row r="38">
          <cell r="E38" t="str">
            <v>MATERIALES</v>
          </cell>
          <cell r="I38">
            <v>4205.4799999999996</v>
          </cell>
          <cell r="L38">
            <v>0</v>
          </cell>
          <cell r="Z38" t="e">
            <v>#VALUE!</v>
          </cell>
        </row>
        <row r="39">
          <cell r="D39" t="str">
            <v>MA25DURM</v>
          </cell>
          <cell r="E39" t="str">
            <v>Durmiente</v>
          </cell>
          <cell r="F39" t="str">
            <v>Un</v>
          </cell>
          <cell r="G39">
            <v>2</v>
          </cell>
          <cell r="H39">
            <v>2000</v>
          </cell>
          <cell r="I39">
            <v>4000</v>
          </cell>
          <cell r="J39">
            <v>0</v>
          </cell>
          <cell r="K39">
            <v>0</v>
          </cell>
          <cell r="L39">
            <v>0</v>
          </cell>
          <cell r="Y39" t="e">
            <v>#VALUE!</v>
          </cell>
          <cell r="Z39" t="e">
            <v>#VALUE!</v>
          </cell>
        </row>
        <row r="40">
          <cell r="D40" t="str">
            <v>MA19PC25</v>
          </cell>
          <cell r="E40" t="str">
            <v>Puntilla con cabeza 2,5"</v>
          </cell>
          <cell r="F40" t="str">
            <v>Lb</v>
          </cell>
          <cell r="G40">
            <v>0.03</v>
          </cell>
          <cell r="H40">
            <v>1216</v>
          </cell>
          <cell r="I40">
            <v>36.479999999999997</v>
          </cell>
          <cell r="J40">
            <v>0</v>
          </cell>
          <cell r="K40">
            <v>0</v>
          </cell>
          <cell r="L40">
            <v>0</v>
          </cell>
          <cell r="Y40" t="e">
            <v>#VALUE!</v>
          </cell>
          <cell r="Z40" t="e">
            <v>#VALUE!</v>
          </cell>
        </row>
        <row r="41">
          <cell r="D41" t="str">
            <v>MA17CAND</v>
          </cell>
          <cell r="E41" t="str">
            <v>Candado</v>
          </cell>
          <cell r="F41" t="str">
            <v>Un</v>
          </cell>
          <cell r="G41">
            <v>1.6E-2</v>
          </cell>
          <cell r="H41">
            <v>9000</v>
          </cell>
          <cell r="I41">
            <v>144</v>
          </cell>
          <cell r="J41">
            <v>0</v>
          </cell>
          <cell r="K41">
            <v>0</v>
          </cell>
          <cell r="L41">
            <v>0</v>
          </cell>
          <cell r="Y41" t="e">
            <v>#VALUE!</v>
          </cell>
          <cell r="Z41" t="e">
            <v>#VALUE!</v>
          </cell>
        </row>
        <row r="42">
          <cell r="D42" t="str">
            <v>MA17CADE1</v>
          </cell>
          <cell r="E42" t="str">
            <v>Cadena 1"</v>
          </cell>
          <cell r="F42" t="str">
            <v>Ml</v>
          </cell>
          <cell r="G42">
            <v>0.01</v>
          </cell>
          <cell r="H42">
            <v>2500</v>
          </cell>
          <cell r="I42">
            <v>25</v>
          </cell>
          <cell r="J42">
            <v>0</v>
          </cell>
          <cell r="K42">
            <v>0</v>
          </cell>
          <cell r="L42">
            <v>0</v>
          </cell>
          <cell r="Y42" t="e">
            <v>#VALUE!</v>
          </cell>
          <cell r="Z42" t="e">
            <v>#VALUE!</v>
          </cell>
        </row>
        <row r="45">
          <cell r="E45" t="str">
            <v>MANO DE OBRA</v>
          </cell>
          <cell r="I45" t="e">
            <v>#N/A</v>
          </cell>
          <cell r="L45" t="e">
            <v>#N/A</v>
          </cell>
          <cell r="Z45" t="e">
            <v>#VALUE!</v>
          </cell>
        </row>
        <row r="46">
          <cell r="D46" t="str">
            <v>MOTPICAMP</v>
          </cell>
          <cell r="E46" t="e">
            <v>#N/A</v>
          </cell>
          <cell r="F46" t="e">
            <v>#N/A</v>
          </cell>
          <cell r="G46">
            <v>0</v>
          </cell>
          <cell r="H46" t="e">
            <v>#N/A</v>
          </cell>
          <cell r="I46" t="e">
            <v>#N/A</v>
          </cell>
          <cell r="J46" t="e">
            <v>#N/A</v>
          </cell>
          <cell r="K46">
            <v>0</v>
          </cell>
          <cell r="L46" t="e">
            <v>#N/A</v>
          </cell>
          <cell r="Y46" t="e">
            <v>#VALUE!</v>
          </cell>
          <cell r="Z46" t="e">
            <v>#VALUE!</v>
          </cell>
        </row>
        <row r="48">
          <cell r="E48" t="str">
            <v>VARIOS</v>
          </cell>
          <cell r="I48" t="e">
            <v>#N/A</v>
          </cell>
          <cell r="L48" t="e">
            <v>#N/A</v>
          </cell>
          <cell r="Z48" t="e">
            <v>#VALUE!</v>
          </cell>
        </row>
        <row r="49">
          <cell r="D49" t="str">
            <v>TC03CAMP</v>
          </cell>
          <cell r="E49" t="e">
            <v>#N/A</v>
          </cell>
          <cell r="F49" t="e">
            <v>#N/A</v>
          </cell>
          <cell r="G49">
            <v>1</v>
          </cell>
          <cell r="H49" t="e">
            <v>#N/A</v>
          </cell>
          <cell r="I49" t="e">
            <v>#N/A</v>
          </cell>
          <cell r="J49" t="e">
            <v>#N/A</v>
          </cell>
          <cell r="K49">
            <v>0</v>
          </cell>
          <cell r="L49" t="e">
            <v>#N/A</v>
          </cell>
          <cell r="Y49" t="e">
            <v>#VALUE!</v>
          </cell>
          <cell r="Z49" t="e">
            <v>#VALUE!</v>
          </cell>
        </row>
        <row r="52">
          <cell r="E52" t="str">
            <v>SUBTOTAL</v>
          </cell>
          <cell r="I52" t="e">
            <v>#N/A</v>
          </cell>
          <cell r="L52" t="e">
            <v>#N/A</v>
          </cell>
          <cell r="Z52" t="e">
            <v>#VALUE!</v>
          </cell>
        </row>
        <row r="53">
          <cell r="E53" t="str">
            <v>A.I.U</v>
          </cell>
          <cell r="I53" t="e">
            <v>#N/A</v>
          </cell>
          <cell r="L53" t="e">
            <v>#N/A</v>
          </cell>
          <cell r="Z53" t="e">
            <v>#N/A</v>
          </cell>
        </row>
        <row r="54">
          <cell r="D54" t="str">
            <v>AIUAADMON</v>
          </cell>
          <cell r="E54" t="str">
            <v>Admon</v>
          </cell>
          <cell r="F54">
            <v>0</v>
          </cell>
          <cell r="I54" t="e">
            <v>#N/A</v>
          </cell>
          <cell r="J54">
            <v>0</v>
          </cell>
          <cell r="L54" t="e">
            <v>#N/A</v>
          </cell>
          <cell r="Z54" t="e">
            <v>#N/A</v>
          </cell>
        </row>
        <row r="55">
          <cell r="D55" t="str">
            <v>AIUAIMPRE</v>
          </cell>
          <cell r="E55" t="str">
            <v>Imprevistos</v>
          </cell>
          <cell r="F55">
            <v>0</v>
          </cell>
          <cell r="I55" t="e">
            <v>#N/A</v>
          </cell>
          <cell r="J55">
            <v>0</v>
          </cell>
          <cell r="L55" t="e">
            <v>#N/A</v>
          </cell>
          <cell r="Z55" t="e">
            <v>#N/A</v>
          </cell>
        </row>
        <row r="56">
          <cell r="D56" t="str">
            <v>AIUAUTILI</v>
          </cell>
          <cell r="E56" t="str">
            <v>Utilidad</v>
          </cell>
          <cell r="F56">
            <v>0</v>
          </cell>
          <cell r="I56" t="e">
            <v>#N/A</v>
          </cell>
          <cell r="J56">
            <v>0</v>
          </cell>
          <cell r="L56" t="e">
            <v>#N/A</v>
          </cell>
          <cell r="Z56" t="e">
            <v>#N/A</v>
          </cell>
        </row>
        <row r="57">
          <cell r="D57" t="str">
            <v>AIUAIVAUTI</v>
          </cell>
          <cell r="E57" t="str">
            <v>IVA utilidad</v>
          </cell>
          <cell r="F57">
            <v>0</v>
          </cell>
          <cell r="I57" t="e">
            <v>#N/A</v>
          </cell>
          <cell r="J57">
            <v>0</v>
          </cell>
          <cell r="L57" t="e">
            <v>#N/A</v>
          </cell>
          <cell r="Z57" t="e">
            <v>#N/A</v>
          </cell>
        </row>
        <row r="59">
          <cell r="E59" t="str">
            <v>ITEM</v>
          </cell>
        </row>
        <row r="60">
          <cell r="D60" t="str">
            <v>TPCLZ</v>
          </cell>
          <cell r="E60" t="str">
            <v>Cerramiento Lámina de Zinc H=2,00 m</v>
          </cell>
          <cell r="G60" t="str">
            <v>UN.</v>
          </cell>
          <cell r="H60" t="str">
            <v>Ml</v>
          </cell>
          <cell r="I60" t="e">
            <v>#N/A</v>
          </cell>
          <cell r="K60">
            <v>0</v>
          </cell>
          <cell r="L60" t="e">
            <v>#N/A</v>
          </cell>
          <cell r="N60" t="e">
            <v>#N/A</v>
          </cell>
          <cell r="O60">
            <v>2000</v>
          </cell>
          <cell r="P60" t="e">
            <v>#N/A</v>
          </cell>
          <cell r="Q60" t="e">
            <v>#N/A</v>
          </cell>
          <cell r="X60" t="e">
            <v>#N/A</v>
          </cell>
          <cell r="Z60" t="e">
            <v>#VALUE!</v>
          </cell>
          <cell r="AA60" t="e">
            <v>#VALUE!</v>
          </cell>
          <cell r="AB60" t="e">
            <v>#VALUE!</v>
          </cell>
          <cell r="AC60" t="e">
            <v>#VALUE!</v>
          </cell>
        </row>
        <row r="62">
          <cell r="D62" t="str">
            <v>CODIGO</v>
          </cell>
          <cell r="E62" t="str">
            <v>DESCRIPCION</v>
          </cell>
          <cell r="F62" t="str">
            <v>UN</v>
          </cell>
          <cell r="G62" t="str">
            <v>CANT</v>
          </cell>
          <cell r="H62" t="str">
            <v>V/UNIT.</v>
          </cell>
          <cell r="I62" t="str">
            <v>V/TOTAL</v>
          </cell>
          <cell r="K62" t="str">
            <v>CANT TOTAL</v>
          </cell>
          <cell r="L62" t="str">
            <v>Vr TOTAL</v>
          </cell>
          <cell r="Y62" t="str">
            <v>CANT.</v>
          </cell>
          <cell r="Z62" t="str">
            <v>V/TOTAL</v>
          </cell>
        </row>
        <row r="63">
          <cell r="E63" t="str">
            <v>MATERIALES</v>
          </cell>
          <cell r="I63" t="e">
            <v>#N/A</v>
          </cell>
          <cell r="L63" t="e">
            <v>#N/A</v>
          </cell>
          <cell r="Z63" t="e">
            <v>#VALUE!</v>
          </cell>
        </row>
        <row r="64">
          <cell r="D64" t="str">
            <v>MA29TZ</v>
          </cell>
          <cell r="E64" t="e">
            <v>#N/A</v>
          </cell>
          <cell r="F64" t="e">
            <v>#N/A</v>
          </cell>
          <cell r="G64">
            <v>1.5</v>
          </cell>
          <cell r="H64" t="e">
            <v>#N/A</v>
          </cell>
          <cell r="I64" t="e">
            <v>#N/A</v>
          </cell>
          <cell r="J64" t="e">
            <v>#N/A</v>
          </cell>
          <cell r="K64">
            <v>0</v>
          </cell>
          <cell r="L64" t="e">
            <v>#N/A</v>
          </cell>
          <cell r="Y64" t="e">
            <v>#VALUE!</v>
          </cell>
          <cell r="Z64" t="e">
            <v>#VALUE!</v>
          </cell>
        </row>
        <row r="65">
          <cell r="D65" t="str">
            <v>MA19PC25</v>
          </cell>
          <cell r="E65" t="str">
            <v>Puntilla con cabeza 2,5"</v>
          </cell>
          <cell r="F65" t="str">
            <v>Lb</v>
          </cell>
          <cell r="G65">
            <v>0.05</v>
          </cell>
          <cell r="H65">
            <v>1216</v>
          </cell>
          <cell r="I65">
            <v>60.800000000000004</v>
          </cell>
          <cell r="J65">
            <v>0</v>
          </cell>
          <cell r="K65">
            <v>0</v>
          </cell>
          <cell r="L65">
            <v>0</v>
          </cell>
          <cell r="Y65" t="e">
            <v>#VALUE!</v>
          </cell>
          <cell r="Z65" t="e">
            <v>#VALUE!</v>
          </cell>
        </row>
        <row r="66">
          <cell r="D66" t="str">
            <v>MA25VL6</v>
          </cell>
          <cell r="E66" t="str">
            <v>Vara Limaton 6m Diametro 12-15</v>
          </cell>
          <cell r="F66" t="str">
            <v>Un</v>
          </cell>
          <cell r="G66">
            <v>0.5</v>
          </cell>
          <cell r="H66">
            <v>18560</v>
          </cell>
          <cell r="I66">
            <v>9280</v>
          </cell>
          <cell r="J66">
            <v>0</v>
          </cell>
          <cell r="K66">
            <v>0</v>
          </cell>
          <cell r="L66">
            <v>0</v>
          </cell>
          <cell r="Y66" t="e">
            <v>#VALUE!</v>
          </cell>
          <cell r="Z66" t="e">
            <v>#VALUE!</v>
          </cell>
        </row>
        <row r="67">
          <cell r="D67" t="str">
            <v>MA29CTZ</v>
          </cell>
          <cell r="E67" t="e">
            <v>#N/A</v>
          </cell>
          <cell r="F67" t="e">
            <v>#N/A</v>
          </cell>
          <cell r="G67">
            <v>0.09</v>
          </cell>
          <cell r="H67" t="e">
            <v>#N/A</v>
          </cell>
          <cell r="I67" t="e">
            <v>#N/A</v>
          </cell>
          <cell r="J67" t="e">
            <v>#N/A</v>
          </cell>
          <cell r="K67">
            <v>0</v>
          </cell>
          <cell r="L67" t="e">
            <v>#N/A</v>
          </cell>
          <cell r="Y67" t="e">
            <v>#VALUE!</v>
          </cell>
          <cell r="Z67" t="e">
            <v>#VALUE!</v>
          </cell>
        </row>
        <row r="70">
          <cell r="E70" t="str">
            <v>MANO DE OBRA</v>
          </cell>
          <cell r="I70">
            <v>2000</v>
          </cell>
          <cell r="L70">
            <v>0</v>
          </cell>
          <cell r="Z70" t="e">
            <v>#VALUE!</v>
          </cell>
        </row>
        <row r="71">
          <cell r="D71" t="str">
            <v>MOTPCZ</v>
          </cell>
          <cell r="E71" t="str">
            <v>M.O. Cerramiento Teja Zinc</v>
          </cell>
          <cell r="F71" t="str">
            <v>Ml</v>
          </cell>
          <cell r="G71">
            <v>1</v>
          </cell>
          <cell r="H71">
            <v>2000</v>
          </cell>
          <cell r="I71">
            <v>2000</v>
          </cell>
          <cell r="J71">
            <v>0</v>
          </cell>
          <cell r="K71">
            <v>0</v>
          </cell>
          <cell r="L71">
            <v>0</v>
          </cell>
          <cell r="Y71" t="e">
            <v>#VALUE!</v>
          </cell>
          <cell r="Z71" t="e">
            <v>#VALUE!</v>
          </cell>
        </row>
        <row r="73">
          <cell r="E73" t="str">
            <v>VARIOS</v>
          </cell>
          <cell r="I73" t="e">
            <v>#N/A</v>
          </cell>
          <cell r="L73" t="e">
            <v>#N/A</v>
          </cell>
          <cell r="Z73" t="e">
            <v>#VALUE!</v>
          </cell>
        </row>
        <row r="74">
          <cell r="D74" t="str">
            <v>TC46VTEJ</v>
          </cell>
          <cell r="E74" t="e">
            <v>#N/A</v>
          </cell>
          <cell r="F74" t="e">
            <v>#N/A</v>
          </cell>
          <cell r="G74">
            <v>2</v>
          </cell>
          <cell r="H74" t="e">
            <v>#N/A</v>
          </cell>
          <cell r="I74" t="e">
            <v>#N/A</v>
          </cell>
          <cell r="J74" t="e">
            <v>#N/A</v>
          </cell>
          <cell r="K74">
            <v>0</v>
          </cell>
          <cell r="L74" t="e">
            <v>#N/A</v>
          </cell>
          <cell r="Y74" t="e">
            <v>#VALUE!</v>
          </cell>
          <cell r="Z74" t="e">
            <v>#VALUE!</v>
          </cell>
        </row>
        <row r="75">
          <cell r="D75" t="str">
            <v>TC07H500</v>
          </cell>
          <cell r="E75" t="str">
            <v>Herramienta y Varios</v>
          </cell>
          <cell r="F75" t="str">
            <v>Gb</v>
          </cell>
          <cell r="G75">
            <v>1</v>
          </cell>
          <cell r="H75">
            <v>500</v>
          </cell>
          <cell r="I75">
            <v>500</v>
          </cell>
          <cell r="J75">
            <v>0</v>
          </cell>
          <cell r="K75">
            <v>0</v>
          </cell>
          <cell r="L75">
            <v>0</v>
          </cell>
          <cell r="Y75" t="e">
            <v>#VALUE!</v>
          </cell>
          <cell r="Z75" t="e">
            <v>#VALUE!</v>
          </cell>
        </row>
        <row r="77">
          <cell r="E77" t="str">
            <v>SUBTOTAL</v>
          </cell>
          <cell r="I77" t="e">
            <v>#N/A</v>
          </cell>
          <cell r="L77" t="e">
            <v>#N/A</v>
          </cell>
          <cell r="Z77" t="e">
            <v>#VALUE!</v>
          </cell>
        </row>
        <row r="78">
          <cell r="E78" t="str">
            <v>A.I.U</v>
          </cell>
          <cell r="I78" t="e">
            <v>#N/A</v>
          </cell>
          <cell r="L78" t="e">
            <v>#N/A</v>
          </cell>
          <cell r="Z78" t="e">
            <v>#N/A</v>
          </cell>
        </row>
        <row r="79">
          <cell r="D79" t="str">
            <v>AIUAADMON</v>
          </cell>
          <cell r="E79" t="str">
            <v>Admon</v>
          </cell>
          <cell r="F79">
            <v>0</v>
          </cell>
          <cell r="I79" t="e">
            <v>#N/A</v>
          </cell>
          <cell r="J79">
            <v>0</v>
          </cell>
          <cell r="L79" t="e">
            <v>#N/A</v>
          </cell>
          <cell r="Z79" t="e">
            <v>#N/A</v>
          </cell>
        </row>
        <row r="80">
          <cell r="D80" t="str">
            <v>AIUAIMPRE</v>
          </cell>
          <cell r="E80" t="str">
            <v>Imprevistos</v>
          </cell>
          <cell r="F80">
            <v>0</v>
          </cell>
          <cell r="I80" t="e">
            <v>#N/A</v>
          </cell>
          <cell r="J80">
            <v>0</v>
          </cell>
          <cell r="L80" t="e">
            <v>#N/A</v>
          </cell>
          <cell r="Z80" t="e">
            <v>#N/A</v>
          </cell>
        </row>
        <row r="81">
          <cell r="D81" t="str">
            <v>AIUAUTILI</v>
          </cell>
          <cell r="E81" t="str">
            <v>Utilidad</v>
          </cell>
          <cell r="F81">
            <v>0</v>
          </cell>
          <cell r="I81" t="e">
            <v>#N/A</v>
          </cell>
          <cell r="J81">
            <v>0</v>
          </cell>
          <cell r="L81" t="e">
            <v>#N/A</v>
          </cell>
          <cell r="Z81" t="e">
            <v>#N/A</v>
          </cell>
        </row>
        <row r="82">
          <cell r="D82" t="str">
            <v>AIUAIVAUTI</v>
          </cell>
          <cell r="E82" t="str">
            <v>IVA utilidad</v>
          </cell>
          <cell r="F82">
            <v>0</v>
          </cell>
          <cell r="I82" t="e">
            <v>#N/A</v>
          </cell>
          <cell r="J82">
            <v>0</v>
          </cell>
          <cell r="L82" t="e">
            <v>#N/A</v>
          </cell>
          <cell r="Z82" t="e">
            <v>#N/A</v>
          </cell>
        </row>
        <row r="84">
          <cell r="E84" t="str">
            <v>ITEM</v>
          </cell>
        </row>
        <row r="85">
          <cell r="D85" t="str">
            <v>TPCMP</v>
          </cell>
          <cell r="E85" t="str">
            <v>Cerramiento Malla Protección</v>
          </cell>
          <cell r="G85" t="str">
            <v>UN.</v>
          </cell>
          <cell r="H85" t="str">
            <v>Ml</v>
          </cell>
          <cell r="I85" t="e">
            <v>#N/A</v>
          </cell>
          <cell r="K85">
            <v>0</v>
          </cell>
          <cell r="L85" t="e">
            <v>#N/A</v>
          </cell>
          <cell r="N85" t="e">
            <v>#N/A</v>
          </cell>
          <cell r="O85">
            <v>2000</v>
          </cell>
          <cell r="P85">
            <v>500</v>
          </cell>
          <cell r="Q85" t="e">
            <v>#N/A</v>
          </cell>
          <cell r="X85" t="e">
            <v>#N/A</v>
          </cell>
          <cell r="Z85" t="e">
            <v>#VALUE!</v>
          </cell>
          <cell r="AA85" t="e">
            <v>#VALUE!</v>
          </cell>
          <cell r="AB85" t="e">
            <v>#VALUE!</v>
          </cell>
          <cell r="AC85" t="e">
            <v>#VALUE!</v>
          </cell>
        </row>
        <row r="87">
          <cell r="D87" t="str">
            <v>CODIGO</v>
          </cell>
          <cell r="E87" t="str">
            <v>DESCRIPCION</v>
          </cell>
          <cell r="F87" t="str">
            <v>UN</v>
          </cell>
          <cell r="G87" t="str">
            <v>CANT</v>
          </cell>
          <cell r="H87" t="str">
            <v>V/UNIT.</v>
          </cell>
          <cell r="I87" t="str">
            <v>V/TOTAL</v>
          </cell>
          <cell r="K87" t="str">
            <v>CANT TOTAL</v>
          </cell>
          <cell r="L87" t="str">
            <v>Vr TOTAL</v>
          </cell>
          <cell r="Y87" t="str">
            <v>CANT.</v>
          </cell>
          <cell r="Z87" t="str">
            <v>V/TOTAL</v>
          </cell>
        </row>
        <row r="88">
          <cell r="E88" t="str">
            <v>MATERIALES</v>
          </cell>
          <cell r="I88" t="e">
            <v>#N/A</v>
          </cell>
          <cell r="L88" t="e">
            <v>#N/A</v>
          </cell>
          <cell r="Z88" t="e">
            <v>#VALUE!</v>
          </cell>
        </row>
        <row r="89">
          <cell r="D89" t="str">
            <v>MA17MP</v>
          </cell>
          <cell r="E89" t="e">
            <v>#N/A</v>
          </cell>
          <cell r="F89" t="e">
            <v>#N/A</v>
          </cell>
          <cell r="G89">
            <v>4</v>
          </cell>
          <cell r="H89" t="e">
            <v>#N/A</v>
          </cell>
          <cell r="I89" t="e">
            <v>#N/A</v>
          </cell>
          <cell r="J89" t="e">
            <v>#N/A</v>
          </cell>
          <cell r="K89">
            <v>0</v>
          </cell>
          <cell r="L89" t="e">
            <v>#N/A</v>
          </cell>
          <cell r="Y89" t="e">
            <v>#VALUE!</v>
          </cell>
          <cell r="Z89" t="e">
            <v>#VALUE!</v>
          </cell>
        </row>
        <row r="90">
          <cell r="D90" t="str">
            <v>MA19PC25</v>
          </cell>
          <cell r="E90" t="str">
            <v>Puntilla con cabeza 2,5"</v>
          </cell>
          <cell r="F90" t="str">
            <v>Lb</v>
          </cell>
          <cell r="G90">
            <v>0.05</v>
          </cell>
          <cell r="H90">
            <v>1216</v>
          </cell>
          <cell r="I90">
            <v>60.800000000000004</v>
          </cell>
          <cell r="J90">
            <v>0</v>
          </cell>
          <cell r="K90">
            <v>0</v>
          </cell>
          <cell r="L90">
            <v>0</v>
          </cell>
          <cell r="Y90" t="e">
            <v>#VALUE!</v>
          </cell>
          <cell r="Z90" t="e">
            <v>#VALUE!</v>
          </cell>
        </row>
        <row r="91">
          <cell r="D91" t="str">
            <v>MA25VC6</v>
          </cell>
          <cell r="E91" t="str">
            <v>Vara de Corredor 6 ml</v>
          </cell>
          <cell r="F91" t="str">
            <v>Un</v>
          </cell>
          <cell r="G91">
            <v>0.34</v>
          </cell>
          <cell r="H91">
            <v>6900</v>
          </cell>
          <cell r="I91">
            <v>2346</v>
          </cell>
          <cell r="J91">
            <v>0</v>
          </cell>
          <cell r="K91">
            <v>0</v>
          </cell>
          <cell r="L91">
            <v>0</v>
          </cell>
          <cell r="Y91" t="e">
            <v>#VALUE!</v>
          </cell>
          <cell r="Z91" t="e">
            <v>#VALUE!</v>
          </cell>
        </row>
        <row r="92">
          <cell r="D92" t="str">
            <v>MA17APU</v>
          </cell>
          <cell r="E92" t="e">
            <v>#N/A</v>
          </cell>
          <cell r="F92" t="e">
            <v>#N/A</v>
          </cell>
          <cell r="G92">
            <v>2.7E-2</v>
          </cell>
          <cell r="H92" t="e">
            <v>#N/A</v>
          </cell>
          <cell r="I92" t="e">
            <v>#N/A</v>
          </cell>
          <cell r="J92" t="e">
            <v>#N/A</v>
          </cell>
          <cell r="K92">
            <v>0</v>
          </cell>
          <cell r="L92" t="e">
            <v>#N/A</v>
          </cell>
          <cell r="Y92" t="e">
            <v>#VALUE!</v>
          </cell>
          <cell r="Z92" t="e">
            <v>#VALUE!</v>
          </cell>
        </row>
        <row r="93">
          <cell r="D93" t="str">
            <v>MA17GAP</v>
          </cell>
          <cell r="E93" t="e">
            <v>#N/A</v>
          </cell>
          <cell r="F93" t="e">
            <v>#N/A</v>
          </cell>
          <cell r="G93">
            <v>0.03</v>
          </cell>
          <cell r="H93" t="e">
            <v>#N/A</v>
          </cell>
          <cell r="I93" t="e">
            <v>#N/A</v>
          </cell>
          <cell r="J93" t="e">
            <v>#N/A</v>
          </cell>
          <cell r="K93">
            <v>0</v>
          </cell>
          <cell r="L93" t="e">
            <v>#N/A</v>
          </cell>
          <cell r="Y93" t="e">
            <v>#VALUE!</v>
          </cell>
          <cell r="Z93" t="e">
            <v>#VALUE!</v>
          </cell>
        </row>
        <row r="94">
          <cell r="I94">
            <v>0</v>
          </cell>
          <cell r="J94">
            <v>0</v>
          </cell>
          <cell r="K94">
            <v>0</v>
          </cell>
          <cell r="L94">
            <v>0</v>
          </cell>
          <cell r="Z94">
            <v>0</v>
          </cell>
        </row>
        <row r="95">
          <cell r="E95" t="str">
            <v>MANO DE OBRA</v>
          </cell>
          <cell r="I95">
            <v>2000</v>
          </cell>
          <cell r="L95">
            <v>0</v>
          </cell>
          <cell r="Z95" t="e">
            <v>#VALUE!</v>
          </cell>
        </row>
        <row r="96">
          <cell r="D96" t="str">
            <v>MOTPCMP</v>
          </cell>
          <cell r="E96" t="str">
            <v>M.O. Cerramiento Malla Protección</v>
          </cell>
          <cell r="F96" t="str">
            <v>Ml</v>
          </cell>
          <cell r="G96">
            <v>1</v>
          </cell>
          <cell r="H96">
            <v>2000</v>
          </cell>
          <cell r="I96">
            <v>2000</v>
          </cell>
          <cell r="J96">
            <v>0</v>
          </cell>
          <cell r="K96">
            <v>0</v>
          </cell>
          <cell r="L96">
            <v>0</v>
          </cell>
          <cell r="Y96" t="e">
            <v>#VALUE!</v>
          </cell>
          <cell r="Z96" t="e">
            <v>#VALUE!</v>
          </cell>
        </row>
        <row r="98">
          <cell r="E98" t="str">
            <v>VARIOS</v>
          </cell>
          <cell r="I98">
            <v>500</v>
          </cell>
          <cell r="L98">
            <v>0</v>
          </cell>
          <cell r="Z98" t="e">
            <v>#VALUE!</v>
          </cell>
        </row>
        <row r="99">
          <cell r="D99" t="str">
            <v>TC07H500</v>
          </cell>
          <cell r="E99" t="str">
            <v>Herramienta y Varios</v>
          </cell>
          <cell r="F99" t="str">
            <v>Gb</v>
          </cell>
          <cell r="G99">
            <v>1</v>
          </cell>
          <cell r="H99">
            <v>500</v>
          </cell>
          <cell r="I99">
            <v>500</v>
          </cell>
          <cell r="J99">
            <v>0</v>
          </cell>
          <cell r="K99">
            <v>0</v>
          </cell>
          <cell r="L99">
            <v>0</v>
          </cell>
          <cell r="Y99" t="e">
            <v>#VALUE!</v>
          </cell>
          <cell r="Z99" t="e">
            <v>#VALUE!</v>
          </cell>
        </row>
        <row r="102">
          <cell r="E102" t="str">
            <v>SUBTOTAL</v>
          </cell>
          <cell r="I102" t="e">
            <v>#N/A</v>
          </cell>
          <cell r="L102" t="e">
            <v>#N/A</v>
          </cell>
          <cell r="Z102" t="e">
            <v>#VALUE!</v>
          </cell>
        </row>
        <row r="103">
          <cell r="E103" t="str">
            <v>A.I.U</v>
          </cell>
          <cell r="I103" t="e">
            <v>#N/A</v>
          </cell>
          <cell r="L103" t="e">
            <v>#N/A</v>
          </cell>
          <cell r="Z103" t="e">
            <v>#N/A</v>
          </cell>
        </row>
        <row r="104">
          <cell r="D104" t="str">
            <v>AIUAADMON</v>
          </cell>
          <cell r="E104" t="str">
            <v>Admon</v>
          </cell>
          <cell r="F104">
            <v>0</v>
          </cell>
          <cell r="I104" t="e">
            <v>#N/A</v>
          </cell>
          <cell r="J104">
            <v>0</v>
          </cell>
          <cell r="L104" t="e">
            <v>#N/A</v>
          </cell>
          <cell r="Z104" t="e">
            <v>#N/A</v>
          </cell>
        </row>
        <row r="105">
          <cell r="D105" t="str">
            <v>AIUAIMPRE</v>
          </cell>
          <cell r="E105" t="str">
            <v>Imprevistos</v>
          </cell>
          <cell r="F105">
            <v>0</v>
          </cell>
          <cell r="I105" t="e">
            <v>#N/A</v>
          </cell>
          <cell r="J105">
            <v>0</v>
          </cell>
          <cell r="L105" t="e">
            <v>#N/A</v>
          </cell>
          <cell r="Z105" t="e">
            <v>#N/A</v>
          </cell>
        </row>
        <row r="106">
          <cell r="D106" t="str">
            <v>AIUAUTILI</v>
          </cell>
          <cell r="E106" t="str">
            <v>Utilidad</v>
          </cell>
          <cell r="F106">
            <v>0</v>
          </cell>
          <cell r="I106" t="e">
            <v>#N/A</v>
          </cell>
          <cell r="J106">
            <v>0</v>
          </cell>
          <cell r="L106" t="e">
            <v>#N/A</v>
          </cell>
          <cell r="Z106" t="e">
            <v>#N/A</v>
          </cell>
        </row>
        <row r="107">
          <cell r="D107" t="str">
            <v>AIUAIVAUTI</v>
          </cell>
          <cell r="E107" t="str">
            <v>IVA utilidad</v>
          </cell>
          <cell r="F107">
            <v>0</v>
          </cell>
          <cell r="I107" t="e">
            <v>#N/A</v>
          </cell>
          <cell r="J107">
            <v>0</v>
          </cell>
          <cell r="L107" t="e">
            <v>#N/A</v>
          </cell>
          <cell r="Z107" t="e">
            <v>#N/A</v>
          </cell>
        </row>
        <row r="110">
          <cell r="E110" t="str">
            <v>ITEM</v>
          </cell>
        </row>
        <row r="111">
          <cell r="D111" t="str">
            <v>MTEMRT</v>
          </cell>
          <cell r="E111" t="str">
            <v>Excavacion Manual y Relleno Tuberia</v>
          </cell>
          <cell r="G111" t="str">
            <v>UN.</v>
          </cell>
          <cell r="H111" t="str">
            <v>M3</v>
          </cell>
          <cell r="I111">
            <v>7280</v>
          </cell>
          <cell r="K111">
            <v>0</v>
          </cell>
          <cell r="L111">
            <v>0</v>
          </cell>
          <cell r="N111">
            <v>0</v>
          </cell>
          <cell r="O111">
            <v>6500</v>
          </cell>
          <cell r="P111">
            <v>780</v>
          </cell>
          <cell r="Q111">
            <v>0</v>
          </cell>
          <cell r="X111">
            <v>0</v>
          </cell>
          <cell r="Z111" t="e">
            <v>#VALUE!</v>
          </cell>
          <cell r="AA111">
            <v>0</v>
          </cell>
          <cell r="AB111" t="e">
            <v>#VALUE!</v>
          </cell>
          <cell r="AC111" t="e">
            <v>#VALUE!</v>
          </cell>
        </row>
        <row r="113">
          <cell r="D113" t="str">
            <v>CODIGO</v>
          </cell>
          <cell r="E113" t="str">
            <v>DESCRIPCION</v>
          </cell>
          <cell r="F113" t="str">
            <v>UN</v>
          </cell>
          <cell r="G113" t="str">
            <v>CANT</v>
          </cell>
          <cell r="H113" t="str">
            <v>V/UNIT.</v>
          </cell>
          <cell r="I113" t="str">
            <v>V/TOTAL</v>
          </cell>
          <cell r="K113" t="str">
            <v>CANT TOTAL</v>
          </cell>
          <cell r="L113" t="str">
            <v>Vr TOTAL</v>
          </cell>
          <cell r="Y113" t="str">
            <v>CANT.</v>
          </cell>
          <cell r="Z113" t="str">
            <v>V/TOTAL</v>
          </cell>
        </row>
        <row r="114">
          <cell r="E114" t="str">
            <v>MATERIALES</v>
          </cell>
          <cell r="I114">
            <v>0</v>
          </cell>
          <cell r="L114">
            <v>0</v>
          </cell>
          <cell r="Z114">
            <v>0</v>
          </cell>
        </row>
        <row r="118">
          <cell r="E118" t="str">
            <v>MANO DE OBRA</v>
          </cell>
          <cell r="I118">
            <v>6500</v>
          </cell>
          <cell r="L118">
            <v>0</v>
          </cell>
          <cell r="Z118" t="e">
            <v>#VALUE!</v>
          </cell>
        </row>
        <row r="119">
          <cell r="D119" t="str">
            <v>MOMTEM</v>
          </cell>
          <cell r="E119" t="str">
            <v>Excavacion a Mano</v>
          </cell>
          <cell r="F119" t="str">
            <v>M3</v>
          </cell>
          <cell r="G119">
            <v>1</v>
          </cell>
          <cell r="H119">
            <v>4500</v>
          </cell>
          <cell r="I119">
            <v>4500</v>
          </cell>
          <cell r="J119">
            <v>0</v>
          </cell>
          <cell r="K119">
            <v>0</v>
          </cell>
          <cell r="L119">
            <v>0</v>
          </cell>
          <cell r="Y119" t="e">
            <v>#VALUE!</v>
          </cell>
          <cell r="Z119" t="e">
            <v>#VALUE!</v>
          </cell>
        </row>
        <row r="120">
          <cell r="D120" t="str">
            <v>MOMTRETU</v>
          </cell>
          <cell r="E120" t="str">
            <v xml:space="preserve">Recubrimiento Tuberia </v>
          </cell>
          <cell r="F120" t="str">
            <v>M3</v>
          </cell>
          <cell r="G120">
            <v>1</v>
          </cell>
          <cell r="H120">
            <v>2000</v>
          </cell>
          <cell r="I120">
            <v>2000</v>
          </cell>
          <cell r="J120">
            <v>0</v>
          </cell>
          <cell r="K120">
            <v>0</v>
          </cell>
          <cell r="L120">
            <v>0</v>
          </cell>
          <cell r="Y120" t="e">
            <v>#VALUE!</v>
          </cell>
          <cell r="Z120" t="e">
            <v>#VALUE!</v>
          </cell>
        </row>
        <row r="121">
          <cell r="E121" t="str">
            <v>VARIOS</v>
          </cell>
          <cell r="I121">
            <v>780</v>
          </cell>
          <cell r="L121">
            <v>0</v>
          </cell>
          <cell r="Z121" t="e">
            <v>#VALUE!</v>
          </cell>
        </row>
        <row r="122">
          <cell r="D122" t="str">
            <v>AL04APIS</v>
          </cell>
          <cell r="E122" t="str">
            <v>Apisonador</v>
          </cell>
          <cell r="F122" t="str">
            <v>Dia</v>
          </cell>
          <cell r="G122">
            <v>0.01</v>
          </cell>
          <cell r="H122">
            <v>33000</v>
          </cell>
          <cell r="I122">
            <v>330</v>
          </cell>
          <cell r="J122">
            <v>0</v>
          </cell>
          <cell r="K122">
            <v>0</v>
          </cell>
          <cell r="L122">
            <v>0</v>
          </cell>
          <cell r="Y122" t="e">
            <v>#VALUE!</v>
          </cell>
          <cell r="Z122" t="e">
            <v>#VALUE!</v>
          </cell>
        </row>
        <row r="123">
          <cell r="D123" t="str">
            <v>TC07h450</v>
          </cell>
          <cell r="E123" t="str">
            <v>Herramienta</v>
          </cell>
          <cell r="F123" t="str">
            <v>Gb</v>
          </cell>
          <cell r="G123">
            <v>1</v>
          </cell>
          <cell r="H123">
            <v>450</v>
          </cell>
          <cell r="I123">
            <v>450</v>
          </cell>
          <cell r="J123">
            <v>0</v>
          </cell>
          <cell r="K123">
            <v>0</v>
          </cell>
          <cell r="L123">
            <v>0</v>
          </cell>
          <cell r="Y123" t="e">
            <v>#VALUE!</v>
          </cell>
          <cell r="Z123" t="e">
            <v>#VALUE!</v>
          </cell>
        </row>
        <row r="125">
          <cell r="E125" t="str">
            <v>SUBTOTAL</v>
          </cell>
          <cell r="I125">
            <v>7280</v>
          </cell>
          <cell r="L125">
            <v>0</v>
          </cell>
          <cell r="Z125" t="e">
            <v>#VALUE!</v>
          </cell>
        </row>
        <row r="126">
          <cell r="E126" t="str">
            <v>A.I.U</v>
          </cell>
          <cell r="I126">
            <v>0</v>
          </cell>
          <cell r="L126">
            <v>0</v>
          </cell>
          <cell r="Z126">
            <v>0</v>
          </cell>
        </row>
        <row r="127">
          <cell r="D127" t="str">
            <v>AIUAADMON</v>
          </cell>
          <cell r="E127" t="str">
            <v>Admon</v>
          </cell>
          <cell r="F127">
            <v>0</v>
          </cell>
          <cell r="I127">
            <v>0</v>
          </cell>
          <cell r="J127">
            <v>0</v>
          </cell>
          <cell r="L127">
            <v>0</v>
          </cell>
          <cell r="Z127">
            <v>0</v>
          </cell>
        </row>
        <row r="128">
          <cell r="D128" t="str">
            <v>AIUAIMPRE</v>
          </cell>
          <cell r="E128" t="str">
            <v>Imprevistos</v>
          </cell>
          <cell r="F128">
            <v>0</v>
          </cell>
          <cell r="I128">
            <v>0</v>
          </cell>
          <cell r="J128">
            <v>0</v>
          </cell>
          <cell r="L128">
            <v>0</v>
          </cell>
          <cell r="Z128">
            <v>0</v>
          </cell>
        </row>
        <row r="129">
          <cell r="D129" t="str">
            <v>AIUAUTILI</v>
          </cell>
          <cell r="E129" t="str">
            <v>Utilidad</v>
          </cell>
          <cell r="F129">
            <v>0</v>
          </cell>
          <cell r="I129">
            <v>0</v>
          </cell>
          <cell r="J129">
            <v>0</v>
          </cell>
          <cell r="L129">
            <v>0</v>
          </cell>
          <cell r="Z129">
            <v>0</v>
          </cell>
        </row>
        <row r="130">
          <cell r="D130" t="str">
            <v>AIUAIVAUTI</v>
          </cell>
          <cell r="E130" t="str">
            <v>IVA utilidad</v>
          </cell>
          <cell r="F130">
            <v>0</v>
          </cell>
          <cell r="I130">
            <v>0</v>
          </cell>
          <cell r="J130">
            <v>0</v>
          </cell>
          <cell r="L130">
            <v>0</v>
          </cell>
          <cell r="Z130">
            <v>0</v>
          </cell>
        </row>
        <row r="132">
          <cell r="E132" t="str">
            <v>ITEM</v>
          </cell>
        </row>
        <row r="133">
          <cell r="D133" t="str">
            <v>MTERETROG</v>
          </cell>
          <cell r="E133" t="str">
            <v>Excavación Retro Oruga Grande</v>
          </cell>
          <cell r="G133" t="str">
            <v>UN.</v>
          </cell>
          <cell r="H133" t="str">
            <v>Hr</v>
          </cell>
          <cell r="I133">
            <v>90000</v>
          </cell>
          <cell r="K133">
            <v>0</v>
          </cell>
          <cell r="L133">
            <v>0</v>
          </cell>
          <cell r="N133">
            <v>0</v>
          </cell>
          <cell r="O133">
            <v>0</v>
          </cell>
          <cell r="P133">
            <v>90000</v>
          </cell>
          <cell r="Q133">
            <v>0</v>
          </cell>
          <cell r="X133">
            <v>0</v>
          </cell>
          <cell r="Z133" t="e">
            <v>#VALUE!</v>
          </cell>
          <cell r="AA133">
            <v>0</v>
          </cell>
          <cell r="AB133">
            <v>0</v>
          </cell>
          <cell r="AC133" t="e">
            <v>#VALUE!</v>
          </cell>
        </row>
        <row r="135">
          <cell r="D135" t="str">
            <v>CODIGO</v>
          </cell>
          <cell r="E135" t="str">
            <v>DESCRIPCION</v>
          </cell>
          <cell r="F135" t="str">
            <v>UN</v>
          </cell>
          <cell r="G135" t="str">
            <v>CANT</v>
          </cell>
          <cell r="H135" t="str">
            <v>V/UNIT.</v>
          </cell>
          <cell r="I135" t="str">
            <v>V/TOTAL</v>
          </cell>
          <cell r="K135" t="str">
            <v>CANT TOTAL</v>
          </cell>
          <cell r="L135" t="str">
            <v>Vr TOTAL</v>
          </cell>
          <cell r="Y135" t="str">
            <v>CANT.</v>
          </cell>
          <cell r="Z135" t="str">
            <v>V/TOTAL</v>
          </cell>
        </row>
        <row r="136">
          <cell r="E136" t="str">
            <v>HERRAMIENTA</v>
          </cell>
          <cell r="I136">
            <v>0</v>
          </cell>
          <cell r="L136">
            <v>0</v>
          </cell>
          <cell r="Z136">
            <v>0</v>
          </cell>
        </row>
        <row r="137">
          <cell r="I137">
            <v>0</v>
          </cell>
          <cell r="J137">
            <v>0</v>
          </cell>
          <cell r="K137">
            <v>0</v>
          </cell>
          <cell r="L137">
            <v>0</v>
          </cell>
          <cell r="Z137">
            <v>0</v>
          </cell>
        </row>
        <row r="139">
          <cell r="E139" t="str">
            <v>MANO DE OBRA</v>
          </cell>
          <cell r="I139">
            <v>0</v>
          </cell>
          <cell r="L139">
            <v>0</v>
          </cell>
          <cell r="Z139">
            <v>0</v>
          </cell>
        </row>
        <row r="140">
          <cell r="I140">
            <v>0</v>
          </cell>
          <cell r="J140">
            <v>0</v>
          </cell>
          <cell r="K140">
            <v>0</v>
          </cell>
          <cell r="L140">
            <v>0</v>
          </cell>
          <cell r="Z140">
            <v>0</v>
          </cell>
        </row>
        <row r="142">
          <cell r="E142" t="str">
            <v>VARIOS</v>
          </cell>
          <cell r="I142">
            <v>90000</v>
          </cell>
          <cell r="L142">
            <v>0</v>
          </cell>
          <cell r="Z142" t="e">
            <v>#VALUE!</v>
          </cell>
        </row>
        <row r="143">
          <cell r="D143" t="str">
            <v>AL04RETROG</v>
          </cell>
          <cell r="E143" t="str">
            <v>Retro Oruga 320</v>
          </cell>
          <cell r="F143" t="str">
            <v>Hr</v>
          </cell>
          <cell r="G143">
            <v>1</v>
          </cell>
          <cell r="H143">
            <v>90000</v>
          </cell>
          <cell r="I143">
            <v>90000</v>
          </cell>
          <cell r="J143">
            <v>0</v>
          </cell>
          <cell r="K143">
            <v>0</v>
          </cell>
          <cell r="L143">
            <v>0</v>
          </cell>
          <cell r="Y143" t="e">
            <v>#VALUE!</v>
          </cell>
          <cell r="Z143" t="e">
            <v>#VALUE!</v>
          </cell>
        </row>
        <row r="145">
          <cell r="E145" t="str">
            <v>SUBTOTAL</v>
          </cell>
          <cell r="I145">
            <v>90000</v>
          </cell>
          <cell r="L145">
            <v>0</v>
          </cell>
          <cell r="Z145" t="e">
            <v>#VALUE!</v>
          </cell>
        </row>
        <row r="146">
          <cell r="E146" t="str">
            <v>A.I.U</v>
          </cell>
          <cell r="I146">
            <v>0</v>
          </cell>
          <cell r="L146">
            <v>0</v>
          </cell>
          <cell r="Z146">
            <v>0</v>
          </cell>
        </row>
        <row r="147">
          <cell r="D147" t="str">
            <v>AIUAADMON</v>
          </cell>
          <cell r="E147" t="str">
            <v>Admon</v>
          </cell>
          <cell r="F147">
            <v>0</v>
          </cell>
          <cell r="I147">
            <v>0</v>
          </cell>
          <cell r="J147">
            <v>0</v>
          </cell>
          <cell r="L147">
            <v>0</v>
          </cell>
          <cell r="Z147">
            <v>0</v>
          </cell>
        </row>
        <row r="148">
          <cell r="D148" t="str">
            <v>AIUAIMPRE</v>
          </cell>
          <cell r="E148" t="str">
            <v>Imprevistos</v>
          </cell>
          <cell r="F148">
            <v>0</v>
          </cell>
          <cell r="I148">
            <v>0</v>
          </cell>
          <cell r="J148">
            <v>0</v>
          </cell>
          <cell r="L148">
            <v>0</v>
          </cell>
          <cell r="Z148">
            <v>0</v>
          </cell>
        </row>
        <row r="149">
          <cell r="D149" t="str">
            <v>AIUAUTILI</v>
          </cell>
          <cell r="E149" t="str">
            <v>Utilidad</v>
          </cell>
          <cell r="F149">
            <v>0</v>
          </cell>
          <cell r="I149">
            <v>0</v>
          </cell>
          <cell r="J149">
            <v>0</v>
          </cell>
          <cell r="L149">
            <v>0</v>
          </cell>
          <cell r="Z149">
            <v>0</v>
          </cell>
        </row>
        <row r="150">
          <cell r="D150" t="str">
            <v>AIUAIVAUTI</v>
          </cell>
          <cell r="E150" t="str">
            <v>IVA utilidad</v>
          </cell>
          <cell r="F150">
            <v>0</v>
          </cell>
          <cell r="I150">
            <v>0</v>
          </cell>
          <cell r="J150">
            <v>0</v>
          </cell>
          <cell r="L150">
            <v>0</v>
          </cell>
          <cell r="Z150">
            <v>0</v>
          </cell>
        </row>
        <row r="152">
          <cell r="E152" t="str">
            <v>ITEM</v>
          </cell>
        </row>
        <row r="153">
          <cell r="D153" t="str">
            <v>MTERETRO</v>
          </cell>
          <cell r="E153" t="str">
            <v>Excavación Retro Oruga</v>
          </cell>
          <cell r="G153" t="str">
            <v>UN.</v>
          </cell>
          <cell r="H153" t="str">
            <v>Hr</v>
          </cell>
          <cell r="I153">
            <v>60000</v>
          </cell>
          <cell r="K153">
            <v>0</v>
          </cell>
          <cell r="L153">
            <v>0</v>
          </cell>
          <cell r="N153">
            <v>0</v>
          </cell>
          <cell r="O153">
            <v>0</v>
          </cell>
          <cell r="P153">
            <v>60000</v>
          </cell>
          <cell r="Q153">
            <v>0</v>
          </cell>
          <cell r="X153">
            <v>0</v>
          </cell>
          <cell r="Z153" t="e">
            <v>#VALUE!</v>
          </cell>
          <cell r="AA153">
            <v>0</v>
          </cell>
          <cell r="AB153">
            <v>0</v>
          </cell>
          <cell r="AC153" t="e">
            <v>#VALUE!</v>
          </cell>
        </row>
        <row r="155">
          <cell r="D155" t="str">
            <v>CODIGO</v>
          </cell>
          <cell r="E155" t="str">
            <v>DESCRIPCION</v>
          </cell>
          <cell r="F155" t="str">
            <v>UN</v>
          </cell>
          <cell r="G155" t="str">
            <v>CANT</v>
          </cell>
          <cell r="H155" t="str">
            <v>V/UNIT.</v>
          </cell>
          <cell r="I155" t="str">
            <v>V/TOTAL</v>
          </cell>
          <cell r="K155" t="str">
            <v>CANT TOTAL</v>
          </cell>
          <cell r="L155" t="str">
            <v>Vr TOTAL</v>
          </cell>
          <cell r="Y155" t="str">
            <v>CANT.</v>
          </cell>
          <cell r="Z155" t="str">
            <v>V/TOTAL</v>
          </cell>
        </row>
        <row r="156">
          <cell r="E156" t="str">
            <v>HERRAMIENTA</v>
          </cell>
          <cell r="I156">
            <v>0</v>
          </cell>
          <cell r="L156">
            <v>0</v>
          </cell>
          <cell r="Z156">
            <v>0</v>
          </cell>
        </row>
        <row r="157">
          <cell r="I157">
            <v>0</v>
          </cell>
          <cell r="J157">
            <v>0</v>
          </cell>
          <cell r="K157">
            <v>0</v>
          </cell>
          <cell r="L157">
            <v>0</v>
          </cell>
          <cell r="Z157">
            <v>0</v>
          </cell>
        </row>
        <row r="159">
          <cell r="E159" t="str">
            <v>MANO DE OBRA</v>
          </cell>
          <cell r="I159">
            <v>0</v>
          </cell>
          <cell r="L159">
            <v>0</v>
          </cell>
          <cell r="Z159">
            <v>0</v>
          </cell>
        </row>
        <row r="160">
          <cell r="I160">
            <v>0</v>
          </cell>
          <cell r="J160">
            <v>0</v>
          </cell>
          <cell r="K160">
            <v>0</v>
          </cell>
          <cell r="L160">
            <v>0</v>
          </cell>
          <cell r="Z160">
            <v>0</v>
          </cell>
        </row>
        <row r="162">
          <cell r="E162" t="str">
            <v>VARIOS</v>
          </cell>
          <cell r="I162">
            <v>60000</v>
          </cell>
          <cell r="L162">
            <v>0</v>
          </cell>
          <cell r="Z162" t="e">
            <v>#VALUE!</v>
          </cell>
        </row>
        <row r="163">
          <cell r="D163" t="str">
            <v>AL04RETROE</v>
          </cell>
          <cell r="E163" t="str">
            <v>Retro Oruga</v>
          </cell>
          <cell r="F163" t="str">
            <v>Hr</v>
          </cell>
          <cell r="G163">
            <v>1</v>
          </cell>
          <cell r="H163">
            <v>60000</v>
          </cell>
          <cell r="I163">
            <v>60000</v>
          </cell>
          <cell r="J163">
            <v>0</v>
          </cell>
          <cell r="K163">
            <v>0</v>
          </cell>
          <cell r="L163">
            <v>0</v>
          </cell>
          <cell r="Y163" t="e">
            <v>#VALUE!</v>
          </cell>
          <cell r="Z163" t="e">
            <v>#VALUE!</v>
          </cell>
        </row>
        <row r="165">
          <cell r="E165" t="str">
            <v>SUBTOTAL</v>
          </cell>
          <cell r="I165">
            <v>60000</v>
          </cell>
          <cell r="L165">
            <v>0</v>
          </cell>
          <cell r="Z165" t="e">
            <v>#VALUE!</v>
          </cell>
        </row>
        <row r="166">
          <cell r="E166" t="str">
            <v>A.I.U</v>
          </cell>
          <cell r="I166">
            <v>0</v>
          </cell>
          <cell r="L166">
            <v>0</v>
          </cell>
          <cell r="Z166">
            <v>0</v>
          </cell>
        </row>
        <row r="167">
          <cell r="D167" t="str">
            <v>AIUAADMON</v>
          </cell>
          <cell r="E167" t="str">
            <v>Admon</v>
          </cell>
          <cell r="F167">
            <v>0</v>
          </cell>
          <cell r="I167">
            <v>0</v>
          </cell>
          <cell r="J167">
            <v>0</v>
          </cell>
          <cell r="L167">
            <v>0</v>
          </cell>
          <cell r="Z167">
            <v>0</v>
          </cell>
        </row>
        <row r="168">
          <cell r="D168" t="str">
            <v>AIUAIMPRE</v>
          </cell>
          <cell r="E168" t="str">
            <v>Imprevistos</v>
          </cell>
          <cell r="F168">
            <v>0</v>
          </cell>
          <cell r="I168">
            <v>0</v>
          </cell>
          <cell r="J168">
            <v>0</v>
          </cell>
          <cell r="L168">
            <v>0</v>
          </cell>
          <cell r="Z168">
            <v>0</v>
          </cell>
        </row>
        <row r="169">
          <cell r="D169" t="str">
            <v>AIUAUTILI</v>
          </cell>
          <cell r="E169" t="str">
            <v>Utilidad</v>
          </cell>
          <cell r="F169">
            <v>0</v>
          </cell>
          <cell r="I169">
            <v>0</v>
          </cell>
          <cell r="J169">
            <v>0</v>
          </cell>
          <cell r="L169">
            <v>0</v>
          </cell>
          <cell r="Z169">
            <v>0</v>
          </cell>
        </row>
        <row r="170">
          <cell r="D170" t="str">
            <v>AIUAIVAUTI</v>
          </cell>
          <cell r="E170" t="str">
            <v>IVA utilidad</v>
          </cell>
          <cell r="F170">
            <v>0</v>
          </cell>
          <cell r="I170">
            <v>0</v>
          </cell>
          <cell r="J170">
            <v>0</v>
          </cell>
          <cell r="L170">
            <v>0</v>
          </cell>
          <cell r="Z170">
            <v>0</v>
          </cell>
        </row>
        <row r="172">
          <cell r="E172" t="str">
            <v>ITEM</v>
          </cell>
        </row>
        <row r="173">
          <cell r="D173" t="str">
            <v>MTRETUREMA</v>
          </cell>
          <cell r="E173" t="str">
            <v>Recubrimento Tuberia en Recebo a Mano</v>
          </cell>
          <cell r="G173" t="str">
            <v>UN.</v>
          </cell>
          <cell r="H173" t="str">
            <v>M3</v>
          </cell>
          <cell r="I173">
            <v>29260</v>
          </cell>
          <cell r="K173">
            <v>7270.15</v>
          </cell>
          <cell r="L173">
            <v>212724589</v>
          </cell>
          <cell r="N173">
            <v>24510</v>
          </cell>
          <cell r="O173">
            <v>2000</v>
          </cell>
          <cell r="P173">
            <v>2750</v>
          </cell>
          <cell r="Q173">
            <v>0</v>
          </cell>
          <cell r="X173">
            <v>212724589</v>
          </cell>
          <cell r="Z173" t="e">
            <v>#N/A</v>
          </cell>
          <cell r="AA173" t="e">
            <v>#VALUE!</v>
          </cell>
          <cell r="AB173" t="e">
            <v>#VALUE!</v>
          </cell>
          <cell r="AC173" t="e">
            <v>#N/A</v>
          </cell>
        </row>
        <row r="175">
          <cell r="D175" t="str">
            <v>CODIGO</v>
          </cell>
          <cell r="E175" t="str">
            <v>DESCRIPCION</v>
          </cell>
          <cell r="F175" t="str">
            <v>UN</v>
          </cell>
          <cell r="G175" t="str">
            <v>CANT</v>
          </cell>
          <cell r="H175" t="str">
            <v>V/UNIT.</v>
          </cell>
          <cell r="I175" t="str">
            <v>V/TOTAL</v>
          </cell>
          <cell r="K175" t="str">
            <v>CANT TOTAL</v>
          </cell>
          <cell r="L175" t="str">
            <v>Vr TOTAL</v>
          </cell>
          <cell r="Y175" t="str">
            <v>CANT.</v>
          </cell>
          <cell r="Z175" t="str">
            <v>V/TOTAL</v>
          </cell>
        </row>
        <row r="176">
          <cell r="E176" t="str">
            <v>MATERIALES</v>
          </cell>
          <cell r="I176">
            <v>24510</v>
          </cell>
          <cell r="L176">
            <v>178191376.5</v>
          </cell>
          <cell r="Z176" t="e">
            <v>#VALUE!</v>
          </cell>
        </row>
        <row r="177">
          <cell r="D177" t="str">
            <v>MA02RMC</v>
          </cell>
          <cell r="E177" t="str">
            <v>Recebo en Cantera</v>
          </cell>
          <cell r="F177" t="str">
            <v>M3</v>
          </cell>
          <cell r="G177">
            <v>1.25</v>
          </cell>
          <cell r="H177">
            <v>6000</v>
          </cell>
          <cell r="I177">
            <v>7500</v>
          </cell>
          <cell r="J177">
            <v>0</v>
          </cell>
          <cell r="K177">
            <v>9087.6875</v>
          </cell>
          <cell r="L177">
            <v>54526125</v>
          </cell>
          <cell r="Y177" t="e">
            <v>#VALUE!</v>
          </cell>
          <cell r="Z177" t="e">
            <v>#VALUE!</v>
          </cell>
        </row>
        <row r="178">
          <cell r="D178" t="str">
            <v>TC09TR</v>
          </cell>
          <cell r="E178" t="str">
            <v>Transporte Recebo</v>
          </cell>
          <cell r="F178" t="str">
            <v>Vj</v>
          </cell>
          <cell r="G178">
            <v>0.21</v>
          </cell>
          <cell r="H178">
            <v>81000</v>
          </cell>
          <cell r="I178">
            <v>17010</v>
          </cell>
          <cell r="J178">
            <v>0</v>
          </cell>
          <cell r="K178">
            <v>1526.7314999999999</v>
          </cell>
          <cell r="L178">
            <v>123665251.49999999</v>
          </cell>
          <cell r="Y178" t="e">
            <v>#VALUE!</v>
          </cell>
          <cell r="Z178" t="e">
            <v>#VALUE!</v>
          </cell>
        </row>
        <row r="180">
          <cell r="E180" t="str">
            <v>MANO DE OBRA</v>
          </cell>
          <cell r="I180">
            <v>2000</v>
          </cell>
          <cell r="L180">
            <v>14540300</v>
          </cell>
          <cell r="Z180" t="e">
            <v>#VALUE!</v>
          </cell>
        </row>
        <row r="181">
          <cell r="D181" t="str">
            <v>MOMTRETU</v>
          </cell>
          <cell r="E181" t="str">
            <v xml:space="preserve">Recubrimiento Tuberia </v>
          </cell>
          <cell r="F181" t="str">
            <v>M3</v>
          </cell>
          <cell r="G181">
            <v>1</v>
          </cell>
          <cell r="H181">
            <v>2000</v>
          </cell>
          <cell r="I181">
            <v>2000</v>
          </cell>
          <cell r="J181">
            <v>0</v>
          </cell>
          <cell r="K181">
            <v>7270.15</v>
          </cell>
          <cell r="L181">
            <v>14540300</v>
          </cell>
          <cell r="Y181" t="e">
            <v>#VALUE!</v>
          </cell>
          <cell r="Z181" t="e">
            <v>#VALUE!</v>
          </cell>
        </row>
        <row r="183">
          <cell r="E183" t="str">
            <v>VARIOS</v>
          </cell>
          <cell r="I183">
            <v>2750</v>
          </cell>
          <cell r="L183">
            <v>19992912.5</v>
          </cell>
          <cell r="Z183" t="e">
            <v>#N/A</v>
          </cell>
        </row>
        <row r="184">
          <cell r="D184" t="str">
            <v>AL04BENIT</v>
          </cell>
          <cell r="E184" t="str">
            <v>Benitin</v>
          </cell>
          <cell r="F184" t="str">
            <v>Dia</v>
          </cell>
          <cell r="G184">
            <v>1.6E-2</v>
          </cell>
          <cell r="H184">
            <v>150000</v>
          </cell>
          <cell r="I184">
            <v>2400</v>
          </cell>
          <cell r="J184">
            <v>0</v>
          </cell>
          <cell r="K184">
            <v>116.3224</v>
          </cell>
          <cell r="L184">
            <v>17448360</v>
          </cell>
          <cell r="Y184" t="e">
            <v>#N/A</v>
          </cell>
          <cell r="Z184" t="e">
            <v>#N/A</v>
          </cell>
        </row>
        <row r="185">
          <cell r="D185" t="str">
            <v>TC07H150</v>
          </cell>
          <cell r="E185" t="str">
            <v>Herramienta</v>
          </cell>
          <cell r="F185" t="str">
            <v>Gb</v>
          </cell>
          <cell r="G185">
            <v>1</v>
          </cell>
          <cell r="H185">
            <v>350</v>
          </cell>
          <cell r="I185">
            <v>350</v>
          </cell>
          <cell r="J185">
            <v>0</v>
          </cell>
          <cell r="K185">
            <v>7270.15</v>
          </cell>
          <cell r="L185">
            <v>2544552.5</v>
          </cell>
          <cell r="Y185" t="e">
            <v>#N/A</v>
          </cell>
          <cell r="Z185" t="e">
            <v>#N/A</v>
          </cell>
        </row>
        <row r="186">
          <cell r="E186" t="str">
            <v>SUBTOTAL</v>
          </cell>
          <cell r="I186">
            <v>29260</v>
          </cell>
          <cell r="L186">
            <v>212724589</v>
          </cell>
          <cell r="Z186" t="e">
            <v>#N/A</v>
          </cell>
        </row>
        <row r="187">
          <cell r="E187" t="str">
            <v>A.I.U</v>
          </cell>
          <cell r="I187">
            <v>0</v>
          </cell>
          <cell r="L187">
            <v>0</v>
          </cell>
          <cell r="Z187">
            <v>0</v>
          </cell>
        </row>
        <row r="188">
          <cell r="D188" t="str">
            <v>AIUAADMON</v>
          </cell>
          <cell r="E188" t="str">
            <v>Admon</v>
          </cell>
          <cell r="F188">
            <v>0</v>
          </cell>
          <cell r="I188">
            <v>0</v>
          </cell>
          <cell r="J188">
            <v>0</v>
          </cell>
          <cell r="L188">
            <v>0</v>
          </cell>
          <cell r="Z188">
            <v>0</v>
          </cell>
        </row>
        <row r="189">
          <cell r="D189" t="str">
            <v>AIUAIMPRE</v>
          </cell>
          <cell r="E189" t="str">
            <v>Imprevistos</v>
          </cell>
          <cell r="F189">
            <v>0</v>
          </cell>
          <cell r="I189">
            <v>0</v>
          </cell>
          <cell r="J189">
            <v>0</v>
          </cell>
          <cell r="L189">
            <v>0</v>
          </cell>
          <cell r="Z189">
            <v>0</v>
          </cell>
        </row>
        <row r="190">
          <cell r="D190" t="str">
            <v>AIUAUTILI</v>
          </cell>
          <cell r="E190" t="str">
            <v>Utilidad</v>
          </cell>
          <cell r="F190">
            <v>0</v>
          </cell>
          <cell r="I190">
            <v>0</v>
          </cell>
          <cell r="J190">
            <v>0</v>
          </cell>
          <cell r="L190">
            <v>0</v>
          </cell>
          <cell r="Z190">
            <v>0</v>
          </cell>
        </row>
        <row r="191">
          <cell r="D191" t="str">
            <v>AIUAIVAUTI</v>
          </cell>
          <cell r="E191" t="str">
            <v>IVA utilidad</v>
          </cell>
          <cell r="F191">
            <v>0</v>
          </cell>
          <cell r="I191">
            <v>0</v>
          </cell>
          <cell r="J191">
            <v>0</v>
          </cell>
          <cell r="L191">
            <v>0</v>
          </cell>
          <cell r="Z191">
            <v>0</v>
          </cell>
        </row>
        <row r="193">
          <cell r="E193" t="str">
            <v>ITEM</v>
          </cell>
        </row>
        <row r="194">
          <cell r="D194" t="str">
            <v>MTRTRI</v>
          </cell>
          <cell r="E194" t="str">
            <v>Relleno Gravilla o Triturado</v>
          </cell>
          <cell r="G194" t="str">
            <v>UN.</v>
          </cell>
          <cell r="H194" t="str">
            <v>M3</v>
          </cell>
          <cell r="I194">
            <v>29070</v>
          </cell>
          <cell r="K194">
            <v>4144</v>
          </cell>
          <cell r="L194">
            <v>120466080</v>
          </cell>
          <cell r="N194">
            <v>29070</v>
          </cell>
          <cell r="O194">
            <v>0</v>
          </cell>
          <cell r="P194">
            <v>0</v>
          </cell>
          <cell r="Q194">
            <v>0</v>
          </cell>
          <cell r="X194">
            <v>120466080</v>
          </cell>
          <cell r="Z194" t="e">
            <v>#N/A</v>
          </cell>
          <cell r="AA194" t="e">
            <v>#N/A</v>
          </cell>
          <cell r="AB194">
            <v>0</v>
          </cell>
          <cell r="AC194">
            <v>0</v>
          </cell>
        </row>
        <row r="196">
          <cell r="D196" t="str">
            <v>CODIGO</v>
          </cell>
          <cell r="E196" t="str">
            <v>DESCRIPCION</v>
          </cell>
          <cell r="F196" t="str">
            <v>UN</v>
          </cell>
          <cell r="G196" t="str">
            <v>CANT</v>
          </cell>
          <cell r="H196" t="str">
            <v>V/UNIT.</v>
          </cell>
          <cell r="I196" t="str">
            <v>V/TOTAL</v>
          </cell>
          <cell r="K196" t="str">
            <v>CANT TOTAL</v>
          </cell>
          <cell r="L196" t="str">
            <v>Vr TOTAL</v>
          </cell>
          <cell r="Y196" t="str">
            <v>CANT.</v>
          </cell>
          <cell r="Z196" t="str">
            <v>V/TOTAL</v>
          </cell>
        </row>
        <row r="197">
          <cell r="E197" t="str">
            <v>MATERIALES</v>
          </cell>
          <cell r="I197">
            <v>29070</v>
          </cell>
          <cell r="L197">
            <v>120466080</v>
          </cell>
          <cell r="Z197" t="e">
            <v>#N/A</v>
          </cell>
        </row>
        <row r="198">
          <cell r="D198" t="str">
            <v>MA02TRITU</v>
          </cell>
          <cell r="E198" t="str">
            <v>Triturado</v>
          </cell>
          <cell r="F198" t="str">
            <v>m3</v>
          </cell>
          <cell r="G198">
            <v>1.02</v>
          </cell>
          <cell r="H198">
            <v>28500</v>
          </cell>
          <cell r="I198">
            <v>29070</v>
          </cell>
          <cell r="J198">
            <v>0</v>
          </cell>
          <cell r="K198">
            <v>4226.88</v>
          </cell>
          <cell r="L198">
            <v>120466080</v>
          </cell>
          <cell r="Y198" t="e">
            <v>#N/A</v>
          </cell>
          <cell r="Z198" t="e">
            <v>#N/A</v>
          </cell>
        </row>
        <row r="199">
          <cell r="I199">
            <v>0</v>
          </cell>
          <cell r="J199">
            <v>0</v>
          </cell>
          <cell r="K199">
            <v>0</v>
          </cell>
          <cell r="L199">
            <v>0</v>
          </cell>
          <cell r="Y199">
            <v>0</v>
          </cell>
          <cell r="Z199">
            <v>0</v>
          </cell>
        </row>
        <row r="201">
          <cell r="E201" t="str">
            <v>MANO DE OBRA</v>
          </cell>
          <cell r="I201">
            <v>0</v>
          </cell>
          <cell r="L201">
            <v>0</v>
          </cell>
          <cell r="Z201">
            <v>0</v>
          </cell>
        </row>
        <row r="202">
          <cell r="I202">
            <v>0</v>
          </cell>
          <cell r="J202">
            <v>0</v>
          </cell>
          <cell r="K202">
            <v>0</v>
          </cell>
          <cell r="L202">
            <v>0</v>
          </cell>
          <cell r="Y202">
            <v>0</v>
          </cell>
          <cell r="Z202">
            <v>0</v>
          </cell>
        </row>
        <row r="204">
          <cell r="E204" t="str">
            <v>VARIOS</v>
          </cell>
          <cell r="I204">
            <v>0</v>
          </cell>
          <cell r="L204">
            <v>0</v>
          </cell>
          <cell r="Z204">
            <v>0</v>
          </cell>
        </row>
        <row r="205">
          <cell r="I205">
            <v>0</v>
          </cell>
          <cell r="J205">
            <v>0</v>
          </cell>
          <cell r="K205">
            <v>0</v>
          </cell>
          <cell r="L205">
            <v>0</v>
          </cell>
          <cell r="Y205">
            <v>0</v>
          </cell>
          <cell r="Z205">
            <v>0</v>
          </cell>
        </row>
        <row r="206">
          <cell r="I206">
            <v>0</v>
          </cell>
          <cell r="J206">
            <v>0</v>
          </cell>
          <cell r="K206">
            <v>0</v>
          </cell>
          <cell r="L206">
            <v>0</v>
          </cell>
          <cell r="Y206">
            <v>0</v>
          </cell>
          <cell r="Z206">
            <v>0</v>
          </cell>
        </row>
        <row r="207">
          <cell r="E207" t="str">
            <v>SUBTOTAL</v>
          </cell>
          <cell r="I207">
            <v>29070</v>
          </cell>
          <cell r="L207">
            <v>120466080</v>
          </cell>
          <cell r="Z207" t="e">
            <v>#N/A</v>
          </cell>
        </row>
        <row r="208">
          <cell r="E208" t="str">
            <v>A.I.U</v>
          </cell>
          <cell r="I208">
            <v>0</v>
          </cell>
          <cell r="L208">
            <v>0</v>
          </cell>
          <cell r="Z208">
            <v>0</v>
          </cell>
        </row>
        <row r="209">
          <cell r="D209" t="str">
            <v>AIUAADMON</v>
          </cell>
          <cell r="E209" t="str">
            <v>Admon</v>
          </cell>
          <cell r="F209">
            <v>0</v>
          </cell>
          <cell r="I209">
            <v>0</v>
          </cell>
          <cell r="J209">
            <v>0</v>
          </cell>
          <cell r="L209">
            <v>0</v>
          </cell>
          <cell r="Z209">
            <v>0</v>
          </cell>
        </row>
        <row r="210">
          <cell r="D210" t="str">
            <v>AIUAIMPRE</v>
          </cell>
          <cell r="E210" t="str">
            <v>Imprevistos</v>
          </cell>
          <cell r="F210">
            <v>0</v>
          </cell>
          <cell r="I210">
            <v>0</v>
          </cell>
          <cell r="J210">
            <v>0</v>
          </cell>
          <cell r="L210">
            <v>0</v>
          </cell>
          <cell r="Z210">
            <v>0</v>
          </cell>
        </row>
        <row r="211">
          <cell r="D211" t="str">
            <v>AIUAUTILI</v>
          </cell>
          <cell r="E211" t="str">
            <v>Utilidad</v>
          </cell>
          <cell r="F211">
            <v>0</v>
          </cell>
          <cell r="I211">
            <v>0</v>
          </cell>
          <cell r="J211">
            <v>0</v>
          </cell>
          <cell r="L211">
            <v>0</v>
          </cell>
          <cell r="Z211">
            <v>0</v>
          </cell>
        </row>
        <row r="212">
          <cell r="D212" t="str">
            <v>AIUAIVAUTI</v>
          </cell>
          <cell r="E212" t="str">
            <v>IVA utilidad</v>
          </cell>
          <cell r="F212">
            <v>0</v>
          </cell>
          <cell r="I212">
            <v>0</v>
          </cell>
          <cell r="J212">
            <v>0</v>
          </cell>
          <cell r="L212">
            <v>0</v>
          </cell>
          <cell r="Z212">
            <v>0</v>
          </cell>
        </row>
        <row r="214">
          <cell r="E214" t="str">
            <v>ITEM</v>
          </cell>
        </row>
        <row r="215">
          <cell r="D215" t="str">
            <v>MTRRM</v>
          </cell>
          <cell r="E215" t="str">
            <v>Relleno Recebo a Mano</v>
          </cell>
          <cell r="G215" t="str">
            <v>UN.</v>
          </cell>
          <cell r="H215" t="str">
            <v>M3</v>
          </cell>
          <cell r="I215">
            <v>30330</v>
          </cell>
          <cell r="K215">
            <v>2758.85</v>
          </cell>
          <cell r="L215">
            <v>83675920.5</v>
          </cell>
          <cell r="N215">
            <v>24510</v>
          </cell>
          <cell r="O215">
            <v>4000</v>
          </cell>
          <cell r="P215">
            <v>1820</v>
          </cell>
          <cell r="Q215">
            <v>0</v>
          </cell>
          <cell r="X215">
            <v>83675920.5</v>
          </cell>
          <cell r="Z215" t="e">
            <v>#VALUE!</v>
          </cell>
          <cell r="AA215" t="e">
            <v>#VALUE!</v>
          </cell>
          <cell r="AB215" t="e">
            <v>#VALUE!</v>
          </cell>
          <cell r="AC215" t="e">
            <v>#VALUE!</v>
          </cell>
        </row>
        <row r="217">
          <cell r="D217" t="str">
            <v>CODIGO</v>
          </cell>
          <cell r="E217" t="str">
            <v>DESCRIPCION</v>
          </cell>
          <cell r="F217" t="str">
            <v>UN</v>
          </cell>
          <cell r="G217" t="str">
            <v>CANT</v>
          </cell>
          <cell r="H217" t="str">
            <v>V/UNIT.</v>
          </cell>
          <cell r="I217" t="str">
            <v>V/TOTAL</v>
          </cell>
          <cell r="K217" t="str">
            <v>CANT TOTAL</v>
          </cell>
          <cell r="L217" t="str">
            <v>Vr TOTAL</v>
          </cell>
          <cell r="Y217" t="str">
            <v>CANT.</v>
          </cell>
          <cell r="Z217" t="str">
            <v>V/TOTAL</v>
          </cell>
        </row>
        <row r="218">
          <cell r="E218" t="str">
            <v>MATERIALES</v>
          </cell>
          <cell r="I218">
            <v>24510</v>
          </cell>
          <cell r="L218">
            <v>67619413.5</v>
          </cell>
          <cell r="Z218" t="e">
            <v>#VALUE!</v>
          </cell>
        </row>
        <row r="219">
          <cell r="D219" t="str">
            <v>MA02RMC</v>
          </cell>
          <cell r="E219" t="str">
            <v>Recebo en Cantera</v>
          </cell>
          <cell r="F219" t="str">
            <v>M3</v>
          </cell>
          <cell r="G219">
            <v>1.25</v>
          </cell>
          <cell r="H219">
            <v>6000</v>
          </cell>
          <cell r="I219">
            <v>7500</v>
          </cell>
          <cell r="J219">
            <v>0</v>
          </cell>
          <cell r="K219">
            <v>3448.5625</v>
          </cell>
          <cell r="L219">
            <v>20691375</v>
          </cell>
          <cell r="Y219" t="e">
            <v>#VALUE!</v>
          </cell>
          <cell r="Z219" t="e">
            <v>#VALUE!</v>
          </cell>
        </row>
        <row r="220">
          <cell r="D220" t="str">
            <v>TC09TR</v>
          </cell>
          <cell r="E220" t="str">
            <v>Transporte Recebo</v>
          </cell>
          <cell r="F220" t="str">
            <v>Vj</v>
          </cell>
          <cell r="G220">
            <v>0.21</v>
          </cell>
          <cell r="H220">
            <v>81000</v>
          </cell>
          <cell r="I220">
            <v>17010</v>
          </cell>
          <cell r="J220">
            <v>0</v>
          </cell>
          <cell r="K220">
            <v>579.35849999999994</v>
          </cell>
          <cell r="L220">
            <v>46928038.499999993</v>
          </cell>
          <cell r="Y220" t="e">
            <v>#VALUE!</v>
          </cell>
          <cell r="Z220" t="e">
            <v>#VALUE!</v>
          </cell>
        </row>
        <row r="222">
          <cell r="E222" t="str">
            <v>MANO DE OBRA</v>
          </cell>
          <cell r="I222">
            <v>4000</v>
          </cell>
          <cell r="L222">
            <v>11035400</v>
          </cell>
          <cell r="Z222" t="e">
            <v>#VALUE!</v>
          </cell>
        </row>
        <row r="223">
          <cell r="D223" t="str">
            <v>MOMTRRM</v>
          </cell>
          <cell r="E223" t="str">
            <v>Relleno Receno a Mano</v>
          </cell>
          <cell r="F223" t="str">
            <v>M3</v>
          </cell>
          <cell r="G223">
            <v>1</v>
          </cell>
          <cell r="H223">
            <v>4000</v>
          </cell>
          <cell r="I223">
            <v>4000</v>
          </cell>
          <cell r="J223">
            <v>0</v>
          </cell>
          <cell r="K223">
            <v>2758.85</v>
          </cell>
          <cell r="L223">
            <v>11035400</v>
          </cell>
          <cell r="Y223" t="e">
            <v>#VALUE!</v>
          </cell>
          <cell r="Z223" t="e">
            <v>#VALUE!</v>
          </cell>
        </row>
        <row r="225">
          <cell r="E225" t="str">
            <v>VARIOS</v>
          </cell>
          <cell r="I225">
            <v>1820</v>
          </cell>
          <cell r="L225">
            <v>5021107</v>
          </cell>
          <cell r="Z225" t="e">
            <v>#VALUE!</v>
          </cell>
        </row>
        <row r="226">
          <cell r="D226" t="str">
            <v>AL04APIS</v>
          </cell>
          <cell r="E226" t="str">
            <v>Apisonador</v>
          </cell>
          <cell r="F226" t="str">
            <v>Dia</v>
          </cell>
          <cell r="G226">
            <v>0.04</v>
          </cell>
          <cell r="H226">
            <v>33000</v>
          </cell>
          <cell r="I226">
            <v>1320</v>
          </cell>
          <cell r="J226">
            <v>0</v>
          </cell>
          <cell r="K226">
            <v>110.354</v>
          </cell>
          <cell r="L226">
            <v>3641682</v>
          </cell>
          <cell r="Y226" t="e">
            <v>#VALUE!</v>
          </cell>
          <cell r="Z226" t="e">
            <v>#VALUE!</v>
          </cell>
        </row>
        <row r="227">
          <cell r="D227" t="str">
            <v>TC07H500</v>
          </cell>
          <cell r="E227" t="str">
            <v>Herramienta y Varios</v>
          </cell>
          <cell r="F227" t="str">
            <v>Gb</v>
          </cell>
          <cell r="G227">
            <v>1</v>
          </cell>
          <cell r="H227">
            <v>500</v>
          </cell>
          <cell r="I227">
            <v>500</v>
          </cell>
          <cell r="J227">
            <v>0</v>
          </cell>
          <cell r="K227">
            <v>2758.85</v>
          </cell>
          <cell r="L227">
            <v>1379425</v>
          </cell>
          <cell r="Y227" t="e">
            <v>#VALUE!</v>
          </cell>
          <cell r="Z227" t="e">
            <v>#VALUE!</v>
          </cell>
        </row>
        <row r="228">
          <cell r="E228" t="str">
            <v>SUBTOTAL</v>
          </cell>
          <cell r="I228">
            <v>30330</v>
          </cell>
          <cell r="L228">
            <v>83675920.5</v>
          </cell>
          <cell r="Z228" t="e">
            <v>#VALUE!</v>
          </cell>
        </row>
        <row r="229">
          <cell r="E229" t="str">
            <v>A.I.U</v>
          </cell>
          <cell r="I229">
            <v>0</v>
          </cell>
          <cell r="L229">
            <v>0</v>
          </cell>
          <cell r="Z229">
            <v>0</v>
          </cell>
        </row>
        <row r="230">
          <cell r="D230" t="str">
            <v>AIUAADMON</v>
          </cell>
          <cell r="E230" t="str">
            <v>Admon</v>
          </cell>
          <cell r="F230">
            <v>0</v>
          </cell>
          <cell r="I230">
            <v>0</v>
          </cell>
          <cell r="J230">
            <v>0</v>
          </cell>
          <cell r="L230">
            <v>0</v>
          </cell>
          <cell r="Z230">
            <v>0</v>
          </cell>
        </row>
        <row r="231">
          <cell r="D231" t="str">
            <v>AIUAIMPRE</v>
          </cell>
          <cell r="E231" t="str">
            <v>Imprevistos</v>
          </cell>
          <cell r="F231">
            <v>0</v>
          </cell>
          <cell r="I231">
            <v>0</v>
          </cell>
          <cell r="J231">
            <v>0</v>
          </cell>
          <cell r="L231">
            <v>0</v>
          </cell>
          <cell r="Z231">
            <v>0</v>
          </cell>
        </row>
        <row r="232">
          <cell r="D232" t="str">
            <v>AIUAUTILI</v>
          </cell>
          <cell r="E232" t="str">
            <v>Utilidad</v>
          </cell>
          <cell r="F232">
            <v>0</v>
          </cell>
          <cell r="I232">
            <v>0</v>
          </cell>
          <cell r="J232">
            <v>0</v>
          </cell>
          <cell r="L232">
            <v>0</v>
          </cell>
          <cell r="Z232">
            <v>0</v>
          </cell>
        </row>
        <row r="233">
          <cell r="D233" t="str">
            <v>AIUAIVAUTI</v>
          </cell>
          <cell r="E233" t="str">
            <v>IVA utilidad</v>
          </cell>
          <cell r="F233">
            <v>0</v>
          </cell>
          <cell r="I233">
            <v>0</v>
          </cell>
          <cell r="J233">
            <v>0</v>
          </cell>
          <cell r="L233">
            <v>0</v>
          </cell>
          <cell r="Z233">
            <v>0</v>
          </cell>
        </row>
        <row r="235">
          <cell r="E235" t="str">
            <v>ITEM</v>
          </cell>
        </row>
        <row r="236">
          <cell r="D236" t="str">
            <v>MTRMEX</v>
          </cell>
          <cell r="E236" t="str">
            <v>Retiro Material de Excavacion</v>
          </cell>
          <cell r="G236" t="str">
            <v>UN.</v>
          </cell>
          <cell r="H236" t="str">
            <v>M3</v>
          </cell>
          <cell r="I236">
            <v>11090</v>
          </cell>
          <cell r="K236">
            <v>22649</v>
          </cell>
          <cell r="L236">
            <v>251177410</v>
          </cell>
          <cell r="N236">
            <v>0</v>
          </cell>
          <cell r="O236">
            <v>0</v>
          </cell>
          <cell r="P236">
            <v>11090</v>
          </cell>
          <cell r="Q236">
            <v>0</v>
          </cell>
          <cell r="X236">
            <v>251177410</v>
          </cell>
          <cell r="Z236" t="e">
            <v>#N/A</v>
          </cell>
          <cell r="AA236">
            <v>0</v>
          </cell>
          <cell r="AB236">
            <v>0</v>
          </cell>
          <cell r="AC236" t="e">
            <v>#N/A</v>
          </cell>
        </row>
        <row r="238">
          <cell r="D238" t="str">
            <v>CODIGO</v>
          </cell>
          <cell r="E238" t="str">
            <v>DESCRIPCION</v>
          </cell>
          <cell r="F238" t="str">
            <v>UN</v>
          </cell>
          <cell r="G238" t="str">
            <v>CANT</v>
          </cell>
          <cell r="H238" t="str">
            <v>V/UNIT.</v>
          </cell>
          <cell r="I238" t="str">
            <v>V/TOTAL</v>
          </cell>
          <cell r="K238" t="str">
            <v>CANT TOTAL</v>
          </cell>
          <cell r="L238" t="str">
            <v>Vr TOTAL</v>
          </cell>
          <cell r="Y238" t="str">
            <v>CANT.</v>
          </cell>
          <cell r="Z238" t="str">
            <v>V/TOTAL</v>
          </cell>
        </row>
        <row r="239">
          <cell r="E239" t="str">
            <v>MATERIALES</v>
          </cell>
          <cell r="I239">
            <v>0</v>
          </cell>
          <cell r="L239">
            <v>0</v>
          </cell>
          <cell r="Z239">
            <v>0</v>
          </cell>
        </row>
        <row r="242">
          <cell r="E242" t="str">
            <v>MANO DE OBRA</v>
          </cell>
          <cell r="I242">
            <v>0</v>
          </cell>
          <cell r="L242">
            <v>0</v>
          </cell>
          <cell r="Z242">
            <v>0</v>
          </cell>
        </row>
        <row r="245">
          <cell r="E245" t="str">
            <v>VARIOS</v>
          </cell>
          <cell r="I245">
            <v>11090</v>
          </cell>
          <cell r="L245">
            <v>251177410</v>
          </cell>
          <cell r="Z245" t="e">
            <v>#N/A</v>
          </cell>
        </row>
        <row r="246">
          <cell r="D246" t="str">
            <v>TC09VOLN</v>
          </cell>
          <cell r="E246" t="str">
            <v>Volqueta</v>
          </cell>
          <cell r="F246" t="str">
            <v>M3</v>
          </cell>
          <cell r="G246">
            <v>1.3</v>
          </cell>
          <cell r="H246">
            <v>6667</v>
          </cell>
          <cell r="I246">
            <v>8667</v>
          </cell>
          <cell r="J246">
            <v>0</v>
          </cell>
          <cell r="K246">
            <v>29443.7</v>
          </cell>
          <cell r="L246">
            <v>196301147.90000001</v>
          </cell>
          <cell r="N246">
            <v>0.16666666666666666</v>
          </cell>
          <cell r="Y246" t="e">
            <v>#N/A</v>
          </cell>
          <cell r="Z246" t="e">
            <v>#N/A</v>
          </cell>
          <cell r="AA246">
            <v>0.16666666666666666</v>
          </cell>
        </row>
        <row r="247">
          <cell r="D247" t="str">
            <v>TC09BOT</v>
          </cell>
          <cell r="E247" t="str">
            <v>Botadero</v>
          </cell>
          <cell r="F247" t="str">
            <v>Vj</v>
          </cell>
          <cell r="G247">
            <v>0.3029</v>
          </cell>
          <cell r="H247">
            <v>8000</v>
          </cell>
          <cell r="I247">
            <v>2423</v>
          </cell>
          <cell r="J247">
            <v>0</v>
          </cell>
          <cell r="K247">
            <v>6860.3820999999998</v>
          </cell>
          <cell r="L247">
            <v>54883056.799999997</v>
          </cell>
          <cell r="Y247" t="e">
            <v>#N/A</v>
          </cell>
          <cell r="Z247" t="e">
            <v>#N/A</v>
          </cell>
        </row>
        <row r="248">
          <cell r="E248" t="str">
            <v>SUBTOTAL</v>
          </cell>
          <cell r="I248">
            <v>11090</v>
          </cell>
          <cell r="L248">
            <v>251177410</v>
          </cell>
          <cell r="Z248" t="e">
            <v>#N/A</v>
          </cell>
        </row>
        <row r="249">
          <cell r="E249" t="str">
            <v>A.I.U</v>
          </cell>
          <cell r="I249">
            <v>0</v>
          </cell>
          <cell r="L249">
            <v>0</v>
          </cell>
          <cell r="Z249">
            <v>0</v>
          </cell>
        </row>
        <row r="250">
          <cell r="D250" t="str">
            <v>AIUAADMON</v>
          </cell>
          <cell r="E250" t="str">
            <v>Admon</v>
          </cell>
          <cell r="F250">
            <v>0</v>
          </cell>
          <cell r="I250">
            <v>0</v>
          </cell>
          <cell r="J250">
            <v>0</v>
          </cell>
          <cell r="L250">
            <v>0</v>
          </cell>
          <cell r="Z250">
            <v>0</v>
          </cell>
        </row>
        <row r="251">
          <cell r="D251" t="str">
            <v>AIUAIMPRE</v>
          </cell>
          <cell r="E251" t="str">
            <v>Imprevistos</v>
          </cell>
          <cell r="F251">
            <v>0</v>
          </cell>
          <cell r="I251">
            <v>0</v>
          </cell>
          <cell r="J251">
            <v>0</v>
          </cell>
          <cell r="L251">
            <v>0</v>
          </cell>
          <cell r="Z251">
            <v>0</v>
          </cell>
        </row>
        <row r="252">
          <cell r="D252" t="str">
            <v>AIUAUTILI</v>
          </cell>
          <cell r="E252" t="str">
            <v>Utilidad</v>
          </cell>
          <cell r="F252">
            <v>0</v>
          </cell>
          <cell r="I252">
            <v>0</v>
          </cell>
          <cell r="J252">
            <v>0</v>
          </cell>
          <cell r="L252">
            <v>0</v>
          </cell>
          <cell r="Z252">
            <v>0</v>
          </cell>
        </row>
        <row r="253">
          <cell r="D253" t="str">
            <v>AIUAIVAUTI</v>
          </cell>
          <cell r="E253" t="str">
            <v>IVA utilidad</v>
          </cell>
          <cell r="F253">
            <v>0</v>
          </cell>
          <cell r="I253">
            <v>0</v>
          </cell>
          <cell r="J253">
            <v>0</v>
          </cell>
          <cell r="L253">
            <v>0</v>
          </cell>
          <cell r="Z253">
            <v>0</v>
          </cell>
        </row>
        <row r="255">
          <cell r="D255" t="str">
            <v>MTEXRGTU</v>
          </cell>
          <cell r="E255" t="str">
            <v>Excavacion Mecanica Retro 320 Tuberia</v>
          </cell>
          <cell r="G255" t="str">
            <v>UN.</v>
          </cell>
          <cell r="H255" t="str">
            <v>M3</v>
          </cell>
          <cell r="I255">
            <v>3060</v>
          </cell>
          <cell r="K255">
            <v>9100</v>
          </cell>
          <cell r="L255">
            <v>27846000</v>
          </cell>
          <cell r="N255">
            <v>0</v>
          </cell>
          <cell r="O255">
            <v>0</v>
          </cell>
          <cell r="P255">
            <v>3060</v>
          </cell>
          <cell r="Q255">
            <v>0</v>
          </cell>
          <cell r="X255">
            <v>27846000</v>
          </cell>
          <cell r="Z255" t="e">
            <v>#N/A</v>
          </cell>
          <cell r="AA255">
            <v>0</v>
          </cell>
          <cell r="AB255">
            <v>0</v>
          </cell>
          <cell r="AC255" t="e">
            <v>#N/A</v>
          </cell>
        </row>
        <row r="257">
          <cell r="D257" t="str">
            <v>CODIGO</v>
          </cell>
          <cell r="E257" t="str">
            <v>DESCRIPCION</v>
          </cell>
          <cell r="F257" t="str">
            <v>UN</v>
          </cell>
          <cell r="G257" t="str">
            <v>CANT</v>
          </cell>
          <cell r="H257" t="str">
            <v>V/UNIT.</v>
          </cell>
          <cell r="I257" t="str">
            <v>V/TOTAL</v>
          </cell>
          <cell r="K257" t="str">
            <v>CANT TOTAL</v>
          </cell>
          <cell r="L257" t="str">
            <v>Vr TOTAL</v>
          </cell>
          <cell r="Y257" t="str">
            <v>CANT.</v>
          </cell>
          <cell r="Z257" t="str">
            <v>V/TOTAL</v>
          </cell>
        </row>
        <row r="258">
          <cell r="E258" t="str">
            <v>HERRAMIENTA</v>
          </cell>
          <cell r="I258">
            <v>0</v>
          </cell>
          <cell r="L258">
            <v>0</v>
          </cell>
          <cell r="Z258">
            <v>0</v>
          </cell>
        </row>
        <row r="259">
          <cell r="I259">
            <v>0</v>
          </cell>
          <cell r="J259">
            <v>0</v>
          </cell>
          <cell r="K259">
            <v>0</v>
          </cell>
          <cell r="L259">
            <v>0</v>
          </cell>
          <cell r="Z259">
            <v>0</v>
          </cell>
        </row>
        <row r="261">
          <cell r="E261" t="str">
            <v>MANO DE OBRA</v>
          </cell>
          <cell r="I261">
            <v>0</v>
          </cell>
          <cell r="L261">
            <v>0</v>
          </cell>
          <cell r="Z261">
            <v>0</v>
          </cell>
        </row>
        <row r="262">
          <cell r="I262">
            <v>0</v>
          </cell>
          <cell r="J262">
            <v>0</v>
          </cell>
          <cell r="K262">
            <v>0</v>
          </cell>
          <cell r="L262">
            <v>0</v>
          </cell>
          <cell r="Z262">
            <v>0</v>
          </cell>
        </row>
        <row r="264">
          <cell r="E264" t="str">
            <v>VARIOS</v>
          </cell>
          <cell r="I264">
            <v>3060</v>
          </cell>
          <cell r="L264">
            <v>27846000</v>
          </cell>
          <cell r="Z264" t="e">
            <v>#N/A</v>
          </cell>
        </row>
        <row r="265">
          <cell r="D265" t="str">
            <v>AL04RETROG</v>
          </cell>
          <cell r="E265" t="str">
            <v>Retro Oruga 320</v>
          </cell>
          <cell r="F265" t="str">
            <v>Hr</v>
          </cell>
          <cell r="G265">
            <v>3.4000000000000002E-2</v>
          </cell>
          <cell r="H265">
            <v>90000</v>
          </cell>
          <cell r="I265">
            <v>3060</v>
          </cell>
          <cell r="J265">
            <v>0</v>
          </cell>
          <cell r="K265">
            <v>309.40000000000003</v>
          </cell>
          <cell r="L265">
            <v>27846000.000000004</v>
          </cell>
          <cell r="Y265" t="e">
            <v>#N/A</v>
          </cell>
          <cell r="Z265" t="e">
            <v>#N/A</v>
          </cell>
        </row>
        <row r="267">
          <cell r="E267" t="str">
            <v>SUBTOTAL</v>
          </cell>
          <cell r="I267">
            <v>3060</v>
          </cell>
          <cell r="L267">
            <v>27846000</v>
          </cell>
          <cell r="Z267" t="e">
            <v>#N/A</v>
          </cell>
        </row>
        <row r="268">
          <cell r="E268" t="str">
            <v>A.I.U</v>
          </cell>
          <cell r="I268">
            <v>0</v>
          </cell>
          <cell r="L268">
            <v>0</v>
          </cell>
          <cell r="Z268">
            <v>0</v>
          </cell>
        </row>
        <row r="269">
          <cell r="D269" t="str">
            <v>AIUAADMON</v>
          </cell>
          <cell r="E269" t="str">
            <v>Admon</v>
          </cell>
          <cell r="F269">
            <v>0</v>
          </cell>
          <cell r="I269">
            <v>0</v>
          </cell>
          <cell r="J269">
            <v>0</v>
          </cell>
          <cell r="L269">
            <v>0</v>
          </cell>
          <cell r="Z269">
            <v>0</v>
          </cell>
        </row>
        <row r="270">
          <cell r="D270" t="str">
            <v>AIUAIMPRE</v>
          </cell>
          <cell r="E270" t="str">
            <v>Imprevistos</v>
          </cell>
          <cell r="F270">
            <v>0</v>
          </cell>
          <cell r="I270">
            <v>0</v>
          </cell>
          <cell r="J270">
            <v>0</v>
          </cell>
          <cell r="L270">
            <v>0</v>
          </cell>
          <cell r="Z270">
            <v>0</v>
          </cell>
        </row>
        <row r="271">
          <cell r="D271" t="str">
            <v>AIUAUTILI</v>
          </cell>
          <cell r="E271" t="str">
            <v>Utilidad</v>
          </cell>
          <cell r="F271">
            <v>0</v>
          </cell>
          <cell r="I271">
            <v>0</v>
          </cell>
          <cell r="J271">
            <v>0</v>
          </cell>
          <cell r="L271">
            <v>0</v>
          </cell>
          <cell r="Z271">
            <v>0</v>
          </cell>
        </row>
        <row r="272">
          <cell r="D272" t="str">
            <v>AIUAIVAUTI</v>
          </cell>
          <cell r="E272" t="str">
            <v>IVA utilidad</v>
          </cell>
          <cell r="F272">
            <v>0</v>
          </cell>
          <cell r="I272">
            <v>0</v>
          </cell>
          <cell r="J272">
            <v>0</v>
          </cell>
          <cell r="L272">
            <v>0</v>
          </cell>
          <cell r="Z272">
            <v>0</v>
          </cell>
        </row>
        <row r="274">
          <cell r="D274" t="str">
            <v>MTEXRMTU</v>
          </cell>
          <cell r="E274" t="str">
            <v>Excavacion Mecanica Retro 200 Tuberia</v>
          </cell>
          <cell r="G274" t="str">
            <v>UN.</v>
          </cell>
          <cell r="H274" t="str">
            <v>M3</v>
          </cell>
          <cell r="I274">
            <v>3180</v>
          </cell>
          <cell r="K274">
            <v>10016</v>
          </cell>
          <cell r="L274">
            <v>31850880</v>
          </cell>
          <cell r="N274">
            <v>0</v>
          </cell>
          <cell r="O274">
            <v>0</v>
          </cell>
          <cell r="P274">
            <v>3180</v>
          </cell>
          <cell r="Q274">
            <v>0</v>
          </cell>
          <cell r="X274">
            <v>31850880</v>
          </cell>
          <cell r="Z274" t="e">
            <v>#N/A</v>
          </cell>
          <cell r="AA274">
            <v>0</v>
          </cell>
          <cell r="AB274">
            <v>0</v>
          </cell>
          <cell r="AC274" t="e">
            <v>#N/A</v>
          </cell>
        </row>
        <row r="276">
          <cell r="D276" t="str">
            <v>CODIGO</v>
          </cell>
          <cell r="E276" t="str">
            <v>DESCRIPCION</v>
          </cell>
          <cell r="F276" t="str">
            <v>UN</v>
          </cell>
          <cell r="G276" t="str">
            <v>CANT</v>
          </cell>
          <cell r="H276" t="str">
            <v>V/UNIT.</v>
          </cell>
          <cell r="I276" t="str">
            <v>V/TOTAL</v>
          </cell>
          <cell r="K276" t="str">
            <v>CANT TOTAL</v>
          </cell>
          <cell r="L276" t="str">
            <v>Vr TOTAL</v>
          </cell>
          <cell r="Y276" t="str">
            <v>CANT.</v>
          </cell>
          <cell r="Z276" t="str">
            <v>V/TOTAL</v>
          </cell>
        </row>
        <row r="277">
          <cell r="E277" t="str">
            <v>HERRAMIENTA</v>
          </cell>
          <cell r="I277">
            <v>0</v>
          </cell>
          <cell r="L277">
            <v>0</v>
          </cell>
          <cell r="Z277">
            <v>0</v>
          </cell>
        </row>
        <row r="278">
          <cell r="I278">
            <v>0</v>
          </cell>
          <cell r="J278">
            <v>0</v>
          </cell>
          <cell r="K278">
            <v>0</v>
          </cell>
          <cell r="L278">
            <v>0</v>
          </cell>
          <cell r="Z278">
            <v>0</v>
          </cell>
        </row>
        <row r="280">
          <cell r="E280" t="str">
            <v>MANO DE OBRA</v>
          </cell>
          <cell r="I280">
            <v>0</v>
          </cell>
          <cell r="L280">
            <v>0</v>
          </cell>
          <cell r="Z280">
            <v>0</v>
          </cell>
        </row>
        <row r="281">
          <cell r="I281">
            <v>0</v>
          </cell>
          <cell r="J281">
            <v>0</v>
          </cell>
          <cell r="K281">
            <v>0</v>
          </cell>
          <cell r="L281">
            <v>0</v>
          </cell>
          <cell r="Z281">
            <v>0</v>
          </cell>
        </row>
        <row r="283">
          <cell r="E283" t="str">
            <v>VARIOS</v>
          </cell>
          <cell r="I283">
            <v>3180</v>
          </cell>
          <cell r="L283">
            <v>31850880</v>
          </cell>
          <cell r="Z283" t="e">
            <v>#N/A</v>
          </cell>
        </row>
        <row r="284">
          <cell r="D284" t="str">
            <v>AL04RETROE</v>
          </cell>
          <cell r="E284" t="str">
            <v>Retro Oruga</v>
          </cell>
          <cell r="F284" t="str">
            <v>Hr</v>
          </cell>
          <cell r="G284">
            <v>5.2999999999999999E-2</v>
          </cell>
          <cell r="H284">
            <v>60000</v>
          </cell>
          <cell r="I284">
            <v>3180</v>
          </cell>
          <cell r="J284">
            <v>0</v>
          </cell>
          <cell r="K284">
            <v>530.84799999999996</v>
          </cell>
          <cell r="L284">
            <v>31850879.999999996</v>
          </cell>
          <cell r="Y284" t="e">
            <v>#N/A</v>
          </cell>
          <cell r="Z284" t="e">
            <v>#N/A</v>
          </cell>
        </row>
        <row r="285">
          <cell r="H285">
            <v>112</v>
          </cell>
        </row>
        <row r="286">
          <cell r="E286" t="str">
            <v>SUBTOTAL</v>
          </cell>
          <cell r="I286">
            <v>3180</v>
          </cell>
          <cell r="L286">
            <v>31850880</v>
          </cell>
          <cell r="Z286" t="e">
            <v>#N/A</v>
          </cell>
        </row>
        <row r="287">
          <cell r="E287" t="str">
            <v>A.I.U</v>
          </cell>
          <cell r="I287">
            <v>0</v>
          </cell>
          <cell r="L287">
            <v>0</v>
          </cell>
          <cell r="Z287">
            <v>0</v>
          </cell>
        </row>
        <row r="288">
          <cell r="D288" t="str">
            <v>AIUAADMON</v>
          </cell>
          <cell r="E288" t="str">
            <v>Admon</v>
          </cell>
          <cell r="F288">
            <v>0</v>
          </cell>
          <cell r="I288">
            <v>0</v>
          </cell>
          <cell r="J288">
            <v>0</v>
          </cell>
          <cell r="L288">
            <v>0</v>
          </cell>
          <cell r="Z288">
            <v>0</v>
          </cell>
        </row>
        <row r="289">
          <cell r="D289" t="str">
            <v>AIUAIMPRE</v>
          </cell>
          <cell r="E289" t="str">
            <v>Imprevistos</v>
          </cell>
          <cell r="F289">
            <v>0</v>
          </cell>
          <cell r="I289">
            <v>0</v>
          </cell>
          <cell r="J289">
            <v>0</v>
          </cell>
          <cell r="L289">
            <v>0</v>
          </cell>
          <cell r="Z289">
            <v>0</v>
          </cell>
        </row>
        <row r="290">
          <cell r="D290" t="str">
            <v>AIUAUTILI</v>
          </cell>
          <cell r="E290" t="str">
            <v>Utilidad</v>
          </cell>
          <cell r="F290">
            <v>0</v>
          </cell>
          <cell r="I290">
            <v>0</v>
          </cell>
          <cell r="J290">
            <v>0</v>
          </cell>
          <cell r="L290">
            <v>0</v>
          </cell>
          <cell r="Z290">
            <v>0</v>
          </cell>
        </row>
        <row r="291">
          <cell r="D291" t="str">
            <v>AIUAIVAUTI</v>
          </cell>
          <cell r="E291" t="str">
            <v>IVA utilidad</v>
          </cell>
          <cell r="F291">
            <v>0</v>
          </cell>
          <cell r="I291">
            <v>0</v>
          </cell>
          <cell r="J291">
            <v>0</v>
          </cell>
          <cell r="L291">
            <v>0</v>
          </cell>
          <cell r="Z291">
            <v>0</v>
          </cell>
        </row>
        <row r="293">
          <cell r="E293" t="str">
            <v>ITEM</v>
          </cell>
        </row>
        <row r="294">
          <cell r="D294" t="str">
            <v>MTRAJO</v>
          </cell>
          <cell r="E294" t="e">
            <v>#N/A</v>
          </cell>
          <cell r="G294" t="str">
            <v>UN.</v>
          </cell>
          <cell r="H294" t="e">
            <v>#N/A</v>
          </cell>
          <cell r="I294" t="e">
            <v>#N/A</v>
          </cell>
          <cell r="K294">
            <v>0</v>
          </cell>
          <cell r="L294" t="e">
            <v>#N/A</v>
          </cell>
          <cell r="N294" t="e">
            <v>#N/A</v>
          </cell>
          <cell r="O294">
            <v>2800</v>
          </cell>
          <cell r="P294">
            <v>0</v>
          </cell>
          <cell r="Q294" t="e">
            <v>#N/A</v>
          </cell>
          <cell r="X294" t="e">
            <v>#N/A</v>
          </cell>
          <cell r="Z294" t="e">
            <v>#VALUE!</v>
          </cell>
          <cell r="AA294" t="e">
            <v>#VALUE!</v>
          </cell>
          <cell r="AB294" t="e">
            <v>#VALUE!</v>
          </cell>
          <cell r="AC294">
            <v>0</v>
          </cell>
        </row>
        <row r="296">
          <cell r="D296" t="str">
            <v>CODIGO</v>
          </cell>
          <cell r="E296" t="str">
            <v>DESCRIPCION</v>
          </cell>
          <cell r="F296" t="str">
            <v>UN</v>
          </cell>
          <cell r="G296" t="str">
            <v>CANT</v>
          </cell>
          <cell r="H296" t="str">
            <v>V/UNIT.</v>
          </cell>
          <cell r="I296" t="str">
            <v>V/TOTAL</v>
          </cell>
          <cell r="K296" t="str">
            <v>CANT TOTAL</v>
          </cell>
          <cell r="L296" t="str">
            <v>Vr TOTAL</v>
          </cell>
          <cell r="Y296" t="str">
            <v>CANT.</v>
          </cell>
          <cell r="Z296" t="str">
            <v>V/TOTAL</v>
          </cell>
        </row>
        <row r="297">
          <cell r="E297" t="str">
            <v>MATERIALES</v>
          </cell>
          <cell r="I297" t="e">
            <v>#N/A</v>
          </cell>
          <cell r="L297" t="e">
            <v>#N/A</v>
          </cell>
          <cell r="Z297" t="e">
            <v>#VALUE!</v>
          </cell>
        </row>
        <row r="298">
          <cell r="D298" t="str">
            <v>MA02RA</v>
          </cell>
          <cell r="E298" t="e">
            <v>#N/A</v>
          </cell>
          <cell r="F298" t="e">
            <v>#N/A</v>
          </cell>
          <cell r="G298">
            <v>1</v>
          </cell>
          <cell r="H298" t="e">
            <v>#N/A</v>
          </cell>
          <cell r="I298" t="e">
            <v>#N/A</v>
          </cell>
          <cell r="J298" t="e">
            <v>#N/A</v>
          </cell>
          <cell r="K298">
            <v>0</v>
          </cell>
          <cell r="L298" t="e">
            <v>#N/A</v>
          </cell>
          <cell r="Y298" t="e">
            <v>#VALUE!</v>
          </cell>
          <cell r="Z298" t="e">
            <v>#VALUE!</v>
          </cell>
        </row>
        <row r="300">
          <cell r="E300" t="str">
            <v>MANO DE OBRA</v>
          </cell>
          <cell r="I300">
            <v>2800</v>
          </cell>
          <cell r="L300">
            <v>0</v>
          </cell>
          <cell r="Z300" t="e">
            <v>#VALUE!</v>
          </cell>
        </row>
        <row r="301">
          <cell r="D301" t="str">
            <v>MOVIIRA</v>
          </cell>
          <cell r="E301" t="str">
            <v>Instalacion Rajon</v>
          </cell>
          <cell r="F301" t="str">
            <v>m3</v>
          </cell>
          <cell r="G301">
            <v>1</v>
          </cell>
          <cell r="H301">
            <v>2800</v>
          </cell>
          <cell r="I301">
            <v>2800</v>
          </cell>
          <cell r="J301">
            <v>0</v>
          </cell>
          <cell r="K301">
            <v>0</v>
          </cell>
          <cell r="L301">
            <v>0</v>
          </cell>
          <cell r="Y301" t="e">
            <v>#VALUE!</v>
          </cell>
          <cell r="Z301" t="e">
            <v>#VALUE!</v>
          </cell>
        </row>
        <row r="303">
          <cell r="E303" t="str">
            <v>VARIOS</v>
          </cell>
          <cell r="I303">
            <v>0</v>
          </cell>
          <cell r="L303">
            <v>0</v>
          </cell>
          <cell r="Z303">
            <v>0</v>
          </cell>
        </row>
        <row r="304">
          <cell r="I304">
            <v>0</v>
          </cell>
          <cell r="J304">
            <v>0</v>
          </cell>
          <cell r="K304">
            <v>0</v>
          </cell>
          <cell r="L304">
            <v>0</v>
          </cell>
          <cell r="Z304">
            <v>0</v>
          </cell>
        </row>
        <row r="306">
          <cell r="E306" t="str">
            <v>SUBTOTAL</v>
          </cell>
          <cell r="I306" t="e">
            <v>#N/A</v>
          </cell>
          <cell r="L306" t="e">
            <v>#N/A</v>
          </cell>
          <cell r="Z306" t="e">
            <v>#VALUE!</v>
          </cell>
        </row>
        <row r="307">
          <cell r="E307" t="str">
            <v>A.I.U</v>
          </cell>
          <cell r="I307" t="e">
            <v>#N/A</v>
          </cell>
          <cell r="L307" t="e">
            <v>#N/A</v>
          </cell>
          <cell r="Z307" t="e">
            <v>#N/A</v>
          </cell>
        </row>
        <row r="308">
          <cell r="D308" t="str">
            <v>AIUAADMON</v>
          </cell>
          <cell r="E308" t="str">
            <v>Admon</v>
          </cell>
          <cell r="F308">
            <v>0</v>
          </cell>
          <cell r="I308" t="e">
            <v>#N/A</v>
          </cell>
          <cell r="J308">
            <v>0</v>
          </cell>
          <cell r="L308" t="e">
            <v>#N/A</v>
          </cell>
          <cell r="Z308" t="e">
            <v>#N/A</v>
          </cell>
        </row>
        <row r="309">
          <cell r="D309" t="str">
            <v>AIUAIMPRE</v>
          </cell>
          <cell r="E309" t="str">
            <v>Imprevistos</v>
          </cell>
          <cell r="F309">
            <v>0</v>
          </cell>
          <cell r="I309" t="e">
            <v>#N/A</v>
          </cell>
          <cell r="J309">
            <v>0</v>
          </cell>
          <cell r="L309" t="e">
            <v>#N/A</v>
          </cell>
          <cell r="Z309" t="e">
            <v>#N/A</v>
          </cell>
        </row>
        <row r="310">
          <cell r="D310" t="str">
            <v>AIUAUTILI</v>
          </cell>
          <cell r="E310" t="str">
            <v>Utilidad</v>
          </cell>
          <cell r="F310">
            <v>0</v>
          </cell>
          <cell r="I310" t="e">
            <v>#N/A</v>
          </cell>
          <cell r="J310">
            <v>0</v>
          </cell>
          <cell r="L310" t="e">
            <v>#N/A</v>
          </cell>
          <cell r="Z310" t="e">
            <v>#N/A</v>
          </cell>
        </row>
        <row r="311">
          <cell r="D311" t="str">
            <v>AIUAIVAUTI</v>
          </cell>
          <cell r="E311" t="str">
            <v>IVA utilidad</v>
          </cell>
          <cell r="F311">
            <v>0</v>
          </cell>
          <cell r="I311" t="e">
            <v>#N/A</v>
          </cell>
          <cell r="J311">
            <v>0</v>
          </cell>
          <cell r="L311" t="e">
            <v>#N/A</v>
          </cell>
          <cell r="Z311" t="e">
            <v>#N/A</v>
          </cell>
        </row>
        <row r="314">
          <cell r="E314" t="str">
            <v>ITEM</v>
          </cell>
        </row>
        <row r="315">
          <cell r="D315" t="str">
            <v>ANICBOX</v>
          </cell>
          <cell r="E315" t="str">
            <v>Inst. Concretos y Constr. Box Coulvert</v>
          </cell>
          <cell r="G315" t="str">
            <v>UN.</v>
          </cell>
          <cell r="H315" t="str">
            <v>M3</v>
          </cell>
          <cell r="I315">
            <v>96923</v>
          </cell>
          <cell r="K315">
            <v>214</v>
          </cell>
          <cell r="L315">
            <v>20741522</v>
          </cell>
          <cell r="N315">
            <v>5523</v>
          </cell>
          <cell r="O315">
            <v>78000</v>
          </cell>
          <cell r="P315">
            <v>13400</v>
          </cell>
          <cell r="Q315">
            <v>0</v>
          </cell>
          <cell r="X315">
            <v>20741522</v>
          </cell>
          <cell r="Y315" t="str">
            <v>M3</v>
          </cell>
          <cell r="Z315" t="e">
            <v>#N/A</v>
          </cell>
          <cell r="AA315" t="e">
            <v>#N/A</v>
          </cell>
          <cell r="AB315" t="e">
            <v>#N/A</v>
          </cell>
          <cell r="AC315" t="e">
            <v>#N/A</v>
          </cell>
        </row>
        <row r="317">
          <cell r="D317" t="str">
            <v>CODIGO</v>
          </cell>
          <cell r="E317" t="str">
            <v>DESCRIPCION</v>
          </cell>
          <cell r="F317" t="str">
            <v>UN</v>
          </cell>
          <cell r="G317" t="str">
            <v>CANT</v>
          </cell>
          <cell r="H317" t="str">
            <v>V/UNIT.</v>
          </cell>
          <cell r="I317" t="str">
            <v>V/TOTAL</v>
          </cell>
          <cell r="K317" t="str">
            <v>CANT TOTAL</v>
          </cell>
          <cell r="L317" t="str">
            <v>Vr TOTAL</v>
          </cell>
          <cell r="Y317" t="str">
            <v>CANT.</v>
          </cell>
          <cell r="Z317" t="str">
            <v>V/TOTAL</v>
          </cell>
        </row>
        <row r="318">
          <cell r="E318" t="str">
            <v>MATERIALES</v>
          </cell>
          <cell r="I318">
            <v>5523</v>
          </cell>
          <cell r="L318">
            <v>1181922</v>
          </cell>
          <cell r="Z318" t="e">
            <v>#N/A</v>
          </cell>
        </row>
        <row r="319">
          <cell r="D319" t="str">
            <v>MA19PC3</v>
          </cell>
          <cell r="E319" t="str">
            <v>Puntilla con cabeza 3"</v>
          </cell>
          <cell r="F319" t="str">
            <v>Lb</v>
          </cell>
          <cell r="G319">
            <v>0.5</v>
          </cell>
          <cell r="H319">
            <v>1216</v>
          </cell>
          <cell r="I319">
            <v>608</v>
          </cell>
          <cell r="J319">
            <v>0</v>
          </cell>
          <cell r="K319">
            <v>107</v>
          </cell>
          <cell r="L319">
            <v>130112</v>
          </cell>
          <cell r="Y319" t="e">
            <v>#N/A</v>
          </cell>
          <cell r="Z319" t="e">
            <v>#N/A</v>
          </cell>
        </row>
        <row r="320">
          <cell r="D320" t="str">
            <v>MA19PC25</v>
          </cell>
          <cell r="E320" t="str">
            <v>Puntilla con cabeza 2,5"</v>
          </cell>
          <cell r="F320" t="str">
            <v>Lb</v>
          </cell>
          <cell r="G320">
            <v>0.2</v>
          </cell>
          <cell r="H320">
            <v>1216</v>
          </cell>
          <cell r="I320">
            <v>243</v>
          </cell>
          <cell r="J320">
            <v>0</v>
          </cell>
          <cell r="K320">
            <v>42.800000000000004</v>
          </cell>
          <cell r="L320">
            <v>52044.800000000003</v>
          </cell>
          <cell r="Y320" t="e">
            <v>#N/A</v>
          </cell>
          <cell r="Z320" t="e">
            <v>#N/A</v>
          </cell>
        </row>
        <row r="321">
          <cell r="D321" t="str">
            <v>MA01AN18</v>
          </cell>
          <cell r="E321" t="str">
            <v>Alambre Negro</v>
          </cell>
          <cell r="F321" t="str">
            <v>Kg</v>
          </cell>
          <cell r="G321">
            <v>1.8</v>
          </cell>
          <cell r="H321">
            <v>1940</v>
          </cell>
          <cell r="I321">
            <v>3492</v>
          </cell>
          <cell r="J321">
            <v>0</v>
          </cell>
          <cell r="K321">
            <v>385.2</v>
          </cell>
          <cell r="L321">
            <v>747288</v>
          </cell>
          <cell r="Y321" t="e">
            <v>#N/A</v>
          </cell>
          <cell r="Z321" t="e">
            <v>#N/A</v>
          </cell>
        </row>
        <row r="322">
          <cell r="D322" t="str">
            <v>MA01A3</v>
          </cell>
          <cell r="E322" t="str">
            <v>Acero A-3</v>
          </cell>
          <cell r="F322" t="str">
            <v>Kg</v>
          </cell>
          <cell r="G322">
            <v>0.25</v>
          </cell>
          <cell r="H322">
            <v>1404</v>
          </cell>
          <cell r="I322">
            <v>351</v>
          </cell>
          <cell r="J322">
            <v>0</v>
          </cell>
          <cell r="K322">
            <v>53.5</v>
          </cell>
          <cell r="L322">
            <v>75114</v>
          </cell>
          <cell r="Y322" t="e">
            <v>#N/A</v>
          </cell>
          <cell r="Z322" t="e">
            <v>#N/A</v>
          </cell>
        </row>
        <row r="323">
          <cell r="D323" t="str">
            <v>MA25TB20</v>
          </cell>
          <cell r="E323" t="str">
            <v>Tabla Burra 20 cm</v>
          </cell>
          <cell r="F323" t="str">
            <v>Un</v>
          </cell>
          <cell r="G323">
            <v>0.13</v>
          </cell>
          <cell r="H323">
            <v>6380</v>
          </cell>
          <cell r="I323">
            <v>829</v>
          </cell>
          <cell r="J323">
            <v>0</v>
          </cell>
          <cell r="K323">
            <v>27.82</v>
          </cell>
          <cell r="L323">
            <v>177491.6</v>
          </cell>
          <cell r="Y323" t="e">
            <v>#N/A</v>
          </cell>
          <cell r="Z323" t="e">
            <v>#N/A</v>
          </cell>
        </row>
        <row r="325">
          <cell r="I325">
            <v>0</v>
          </cell>
          <cell r="J325">
            <v>0</v>
          </cell>
          <cell r="K325">
            <v>0</v>
          </cell>
          <cell r="L325">
            <v>0</v>
          </cell>
          <cell r="Z325">
            <v>0</v>
          </cell>
        </row>
        <row r="326">
          <cell r="E326" t="str">
            <v>MANO DE OBRA</v>
          </cell>
          <cell r="I326">
            <v>78000</v>
          </cell>
          <cell r="L326">
            <v>16692000</v>
          </cell>
          <cell r="Z326" t="e">
            <v>#N/A</v>
          </cell>
        </row>
        <row r="327">
          <cell r="D327" t="str">
            <v>MOANBOX</v>
          </cell>
          <cell r="E327" t="str">
            <v>Concreto Box-Coulvert</v>
          </cell>
          <cell r="F327" t="str">
            <v>m3</v>
          </cell>
          <cell r="G327">
            <v>1</v>
          </cell>
          <cell r="H327">
            <v>78000</v>
          </cell>
          <cell r="I327">
            <v>78000</v>
          </cell>
          <cell r="J327">
            <v>0</v>
          </cell>
          <cell r="K327">
            <v>214</v>
          </cell>
          <cell r="L327">
            <v>16692000</v>
          </cell>
          <cell r="Y327" t="e">
            <v>#N/A</v>
          </cell>
          <cell r="Z327" t="e">
            <v>#N/A</v>
          </cell>
        </row>
        <row r="328">
          <cell r="I328">
            <v>0</v>
          </cell>
          <cell r="J328">
            <v>0</v>
          </cell>
          <cell r="K328">
            <v>0</v>
          </cell>
          <cell r="L328">
            <v>0</v>
          </cell>
          <cell r="Z328">
            <v>0</v>
          </cell>
        </row>
        <row r="329">
          <cell r="E329" t="str">
            <v>VARIOS</v>
          </cell>
          <cell r="I329">
            <v>13400</v>
          </cell>
          <cell r="L329">
            <v>2867600</v>
          </cell>
          <cell r="Z329" t="e">
            <v>#N/A</v>
          </cell>
        </row>
        <row r="330">
          <cell r="D330" t="str">
            <v>TC07H800</v>
          </cell>
          <cell r="E330" t="str">
            <v>Herramienta Menor</v>
          </cell>
          <cell r="F330" t="str">
            <v>Gb</v>
          </cell>
          <cell r="G330">
            <v>1</v>
          </cell>
          <cell r="H330">
            <v>800</v>
          </cell>
          <cell r="I330">
            <v>800</v>
          </cell>
          <cell r="J330">
            <v>0</v>
          </cell>
          <cell r="K330">
            <v>214</v>
          </cell>
          <cell r="L330">
            <v>171200</v>
          </cell>
          <cell r="Y330" t="e">
            <v>#N/A</v>
          </cell>
          <cell r="Z330" t="e">
            <v>#N/A</v>
          </cell>
        </row>
        <row r="331">
          <cell r="D331" t="str">
            <v>AL07VCG</v>
          </cell>
          <cell r="E331" t="str">
            <v>Vibrador para concretos a Gasolina</v>
          </cell>
          <cell r="F331" t="str">
            <v>Hr</v>
          </cell>
          <cell r="G331">
            <v>0.08</v>
          </cell>
          <cell r="H331">
            <v>45000</v>
          </cell>
          <cell r="I331">
            <v>3600</v>
          </cell>
          <cell r="J331">
            <v>0</v>
          </cell>
          <cell r="K331">
            <v>17.12</v>
          </cell>
          <cell r="L331">
            <v>770400</v>
          </cell>
          <cell r="Y331" t="e">
            <v>#N/A</v>
          </cell>
          <cell r="Z331" t="e">
            <v>#N/A</v>
          </cell>
        </row>
        <row r="332">
          <cell r="D332" t="str">
            <v>AL04FORBO</v>
          </cell>
          <cell r="E332" t="str">
            <v>Formaleta Box-Coulvert</v>
          </cell>
          <cell r="F332" t="str">
            <v>m2</v>
          </cell>
          <cell r="G332">
            <v>2</v>
          </cell>
          <cell r="H332">
            <v>4500</v>
          </cell>
          <cell r="I332">
            <v>9000</v>
          </cell>
          <cell r="J332">
            <v>0</v>
          </cell>
          <cell r="K332">
            <v>428</v>
          </cell>
          <cell r="L332">
            <v>1926000</v>
          </cell>
          <cell r="Y332" t="e">
            <v>#N/A</v>
          </cell>
          <cell r="Z332" t="e">
            <v>#N/A</v>
          </cell>
        </row>
        <row r="333">
          <cell r="E333" t="str">
            <v>SUBTOTAL</v>
          </cell>
          <cell r="I333">
            <v>96923</v>
          </cell>
          <cell r="L333">
            <v>20741522</v>
          </cell>
          <cell r="Z333" t="e">
            <v>#N/A</v>
          </cell>
        </row>
        <row r="334">
          <cell r="E334" t="str">
            <v>A.I.U</v>
          </cell>
          <cell r="I334">
            <v>0</v>
          </cell>
          <cell r="L334">
            <v>0</v>
          </cell>
          <cell r="Z334">
            <v>0</v>
          </cell>
        </row>
        <row r="335">
          <cell r="D335" t="str">
            <v>AIUAADMON</v>
          </cell>
          <cell r="E335" t="str">
            <v>Admon</v>
          </cell>
          <cell r="F335">
            <v>0</v>
          </cell>
          <cell r="I335">
            <v>0</v>
          </cell>
          <cell r="J335">
            <v>0</v>
          </cell>
          <cell r="L335">
            <v>0</v>
          </cell>
          <cell r="Z335">
            <v>0</v>
          </cell>
        </row>
        <row r="336">
          <cell r="D336" t="str">
            <v>AIUAIMPRE</v>
          </cell>
          <cell r="E336" t="str">
            <v>Imprevistos</v>
          </cell>
          <cell r="F336">
            <v>0</v>
          </cell>
          <cell r="I336">
            <v>0</v>
          </cell>
          <cell r="J336">
            <v>0</v>
          </cell>
          <cell r="L336">
            <v>0</v>
          </cell>
          <cell r="Z336">
            <v>0</v>
          </cell>
        </row>
        <row r="337">
          <cell r="D337" t="str">
            <v>AIUAUTILI</v>
          </cell>
          <cell r="E337" t="str">
            <v>Utilidad</v>
          </cell>
          <cell r="F337">
            <v>0</v>
          </cell>
          <cell r="I337">
            <v>0</v>
          </cell>
          <cell r="J337">
            <v>0</v>
          </cell>
          <cell r="L337">
            <v>0</v>
          </cell>
          <cell r="Z337">
            <v>0</v>
          </cell>
        </row>
        <row r="338">
          <cell r="D338" t="str">
            <v>AIUAIVAUTI</v>
          </cell>
          <cell r="E338" t="str">
            <v>IVA utilidad</v>
          </cell>
          <cell r="F338">
            <v>0</v>
          </cell>
          <cell r="I338">
            <v>0</v>
          </cell>
          <cell r="J338">
            <v>0</v>
          </cell>
          <cell r="L338">
            <v>0</v>
          </cell>
          <cell r="Z338">
            <v>0</v>
          </cell>
        </row>
        <row r="340">
          <cell r="E340" t="str">
            <v>ITEM</v>
          </cell>
        </row>
        <row r="341">
          <cell r="D341" t="str">
            <v>ANICCA</v>
          </cell>
          <cell r="E341" t="str">
            <v>Inst. Concretos y Constr. Camaras y Cajas</v>
          </cell>
          <cell r="G341" t="str">
            <v>UN.</v>
          </cell>
          <cell r="H341" t="str">
            <v>M3</v>
          </cell>
          <cell r="I341">
            <v>75194</v>
          </cell>
          <cell r="K341">
            <v>483</v>
          </cell>
          <cell r="L341">
            <v>36318702</v>
          </cell>
          <cell r="N341">
            <v>3794</v>
          </cell>
          <cell r="O341">
            <v>60000</v>
          </cell>
          <cell r="P341">
            <v>11400</v>
          </cell>
          <cell r="Q341">
            <v>0</v>
          </cell>
          <cell r="X341">
            <v>36318702</v>
          </cell>
          <cell r="Y341" t="str">
            <v>M3</v>
          </cell>
          <cell r="Z341" t="e">
            <v>#N/A</v>
          </cell>
          <cell r="AA341" t="e">
            <v>#N/A</v>
          </cell>
          <cell r="AB341" t="e">
            <v>#N/A</v>
          </cell>
          <cell r="AC341" t="e">
            <v>#N/A</v>
          </cell>
        </row>
        <row r="343">
          <cell r="D343" t="str">
            <v>CODIGO</v>
          </cell>
          <cell r="E343" t="str">
            <v>DESCRIPCION</v>
          </cell>
          <cell r="F343" t="str">
            <v>UN</v>
          </cell>
          <cell r="G343" t="str">
            <v>CANT</v>
          </cell>
          <cell r="H343" t="str">
            <v>V/UNIT.</v>
          </cell>
          <cell r="I343" t="str">
            <v>V/TOTAL</v>
          </cell>
          <cell r="K343" t="str">
            <v>CANT TOTAL</v>
          </cell>
          <cell r="L343" t="str">
            <v>Vr TOTAL</v>
          </cell>
          <cell r="Y343" t="str">
            <v>CANT.</v>
          </cell>
          <cell r="Z343" t="str">
            <v>V/TOTAL</v>
          </cell>
        </row>
        <row r="344">
          <cell r="E344" t="str">
            <v>MATERIALES</v>
          </cell>
          <cell r="I344">
            <v>3794</v>
          </cell>
          <cell r="L344">
            <v>1832502</v>
          </cell>
          <cell r="Z344" t="e">
            <v>#N/A</v>
          </cell>
        </row>
        <row r="345">
          <cell r="D345" t="str">
            <v>MA19PC3</v>
          </cell>
          <cell r="E345" t="str">
            <v>Puntilla con cabeza 3"</v>
          </cell>
          <cell r="F345" t="str">
            <v>Lb</v>
          </cell>
          <cell r="G345">
            <v>0.3</v>
          </cell>
          <cell r="H345">
            <v>1216</v>
          </cell>
          <cell r="I345">
            <v>365</v>
          </cell>
          <cell r="J345">
            <v>0</v>
          </cell>
          <cell r="K345">
            <v>144.9</v>
          </cell>
          <cell r="L345">
            <v>176198.39999999999</v>
          </cell>
          <cell r="Y345" t="e">
            <v>#N/A</v>
          </cell>
          <cell r="Z345" t="e">
            <v>#N/A</v>
          </cell>
        </row>
        <row r="346">
          <cell r="D346" t="str">
            <v>MA19PC25</v>
          </cell>
          <cell r="E346" t="str">
            <v>Puntilla con cabeza 2,5"</v>
          </cell>
          <cell r="F346" t="str">
            <v>Lb</v>
          </cell>
          <cell r="G346">
            <v>0.15</v>
          </cell>
          <cell r="H346">
            <v>1216</v>
          </cell>
          <cell r="I346">
            <v>182</v>
          </cell>
          <cell r="J346">
            <v>0</v>
          </cell>
          <cell r="K346">
            <v>72.45</v>
          </cell>
          <cell r="L346">
            <v>88099.199999999997</v>
          </cell>
          <cell r="Y346" t="e">
            <v>#N/A</v>
          </cell>
          <cell r="Z346" t="e">
            <v>#N/A</v>
          </cell>
        </row>
        <row r="347">
          <cell r="D347" t="str">
            <v>MA01AN18</v>
          </cell>
          <cell r="E347" t="str">
            <v>Alambre Negro</v>
          </cell>
          <cell r="F347" t="str">
            <v>Kg</v>
          </cell>
          <cell r="G347">
            <v>1.2</v>
          </cell>
          <cell r="H347">
            <v>1940</v>
          </cell>
          <cell r="I347">
            <v>2328</v>
          </cell>
          <cell r="J347">
            <v>0</v>
          </cell>
          <cell r="K347">
            <v>579.6</v>
          </cell>
          <cell r="L347">
            <v>1124424</v>
          </cell>
          <cell r="Y347" t="e">
            <v>#N/A</v>
          </cell>
          <cell r="Z347" t="e">
            <v>#N/A</v>
          </cell>
        </row>
        <row r="348">
          <cell r="D348" t="str">
            <v>MA01A3</v>
          </cell>
          <cell r="E348" t="str">
            <v>Acero A-3</v>
          </cell>
          <cell r="F348" t="str">
            <v>Kg</v>
          </cell>
          <cell r="G348">
            <v>0.2</v>
          </cell>
          <cell r="H348">
            <v>1404</v>
          </cell>
          <cell r="I348">
            <v>281</v>
          </cell>
          <cell r="J348">
            <v>0</v>
          </cell>
          <cell r="K348">
            <v>96.600000000000009</v>
          </cell>
          <cell r="L348">
            <v>135626.40000000002</v>
          </cell>
          <cell r="Y348" t="e">
            <v>#N/A</v>
          </cell>
          <cell r="Z348" t="e">
            <v>#N/A</v>
          </cell>
        </row>
        <row r="349">
          <cell r="D349" t="str">
            <v>MA25TB20</v>
          </cell>
          <cell r="E349" t="str">
            <v>Tabla Burra 20 cm</v>
          </cell>
          <cell r="F349" t="str">
            <v>Un</v>
          </cell>
          <cell r="G349">
            <v>0.1</v>
          </cell>
          <cell r="H349">
            <v>6380</v>
          </cell>
          <cell r="I349">
            <v>638</v>
          </cell>
          <cell r="J349">
            <v>0</v>
          </cell>
          <cell r="K349">
            <v>48.300000000000004</v>
          </cell>
          <cell r="L349">
            <v>308154</v>
          </cell>
          <cell r="Y349" t="e">
            <v>#N/A</v>
          </cell>
          <cell r="Z349" t="e">
            <v>#N/A</v>
          </cell>
        </row>
        <row r="351">
          <cell r="I351">
            <v>0</v>
          </cell>
          <cell r="J351">
            <v>0</v>
          </cell>
          <cell r="K351">
            <v>0</v>
          </cell>
          <cell r="L351">
            <v>0</v>
          </cell>
          <cell r="Z351">
            <v>0</v>
          </cell>
        </row>
        <row r="352">
          <cell r="E352" t="str">
            <v>MANO DE OBRA</v>
          </cell>
          <cell r="I352">
            <v>60000</v>
          </cell>
          <cell r="L352">
            <v>28980000</v>
          </cell>
          <cell r="Z352" t="e">
            <v>#N/A</v>
          </cell>
        </row>
        <row r="353">
          <cell r="D353" t="str">
            <v>MOANCACON</v>
          </cell>
          <cell r="E353" t="str">
            <v>Camara en Concreto</v>
          </cell>
          <cell r="F353" t="str">
            <v>m3</v>
          </cell>
          <cell r="G353">
            <v>1</v>
          </cell>
          <cell r="H353">
            <v>60000</v>
          </cell>
          <cell r="I353">
            <v>60000</v>
          </cell>
          <cell r="J353">
            <v>0</v>
          </cell>
          <cell r="K353">
            <v>483</v>
          </cell>
          <cell r="L353">
            <v>28980000</v>
          </cell>
          <cell r="Y353" t="e">
            <v>#N/A</v>
          </cell>
          <cell r="Z353" t="e">
            <v>#N/A</v>
          </cell>
        </row>
        <row r="354">
          <cell r="I354">
            <v>0</v>
          </cell>
          <cell r="J354">
            <v>0</v>
          </cell>
          <cell r="K354">
            <v>0</v>
          </cell>
          <cell r="L354">
            <v>0</v>
          </cell>
          <cell r="Z354">
            <v>0</v>
          </cell>
        </row>
        <row r="355">
          <cell r="E355" t="str">
            <v>VARIOS</v>
          </cell>
          <cell r="I355">
            <v>11400</v>
          </cell>
          <cell r="L355">
            <v>5506200</v>
          </cell>
          <cell r="Z355" t="e">
            <v>#N/A</v>
          </cell>
        </row>
        <row r="356">
          <cell r="D356" t="str">
            <v>TC07H800</v>
          </cell>
          <cell r="E356" t="str">
            <v>Herramienta Menor</v>
          </cell>
          <cell r="F356" t="str">
            <v>Gb</v>
          </cell>
          <cell r="G356">
            <v>1</v>
          </cell>
          <cell r="H356">
            <v>800</v>
          </cell>
          <cell r="I356">
            <v>800</v>
          </cell>
          <cell r="J356">
            <v>0</v>
          </cell>
          <cell r="K356">
            <v>483</v>
          </cell>
          <cell r="L356">
            <v>386400</v>
          </cell>
          <cell r="Y356" t="e">
            <v>#N/A</v>
          </cell>
          <cell r="Z356" t="e">
            <v>#N/A</v>
          </cell>
        </row>
        <row r="357">
          <cell r="D357" t="str">
            <v>AL07VCG</v>
          </cell>
          <cell r="E357" t="str">
            <v>Vibrador para concretos a Gasolina</v>
          </cell>
          <cell r="F357" t="str">
            <v>Hr</v>
          </cell>
          <cell r="G357">
            <v>0.08</v>
          </cell>
          <cell r="H357">
            <v>45000</v>
          </cell>
          <cell r="I357">
            <v>3600</v>
          </cell>
          <cell r="J357">
            <v>0</v>
          </cell>
          <cell r="K357">
            <v>38.64</v>
          </cell>
          <cell r="L357">
            <v>1738800</v>
          </cell>
          <cell r="Y357" t="e">
            <v>#N/A</v>
          </cell>
          <cell r="Z357" t="e">
            <v>#N/A</v>
          </cell>
        </row>
        <row r="358">
          <cell r="D358" t="str">
            <v>AL04FORCA</v>
          </cell>
          <cell r="E358" t="str">
            <v>Formaleta Camaras</v>
          </cell>
          <cell r="F358" t="str">
            <v>m2</v>
          </cell>
          <cell r="G358">
            <v>2</v>
          </cell>
          <cell r="H358">
            <v>3500</v>
          </cell>
          <cell r="I358">
            <v>7000</v>
          </cell>
          <cell r="J358">
            <v>0</v>
          </cell>
          <cell r="K358">
            <v>966</v>
          </cell>
          <cell r="L358">
            <v>3381000</v>
          </cell>
          <cell r="Y358" t="e">
            <v>#N/A</v>
          </cell>
          <cell r="Z358" t="e">
            <v>#N/A</v>
          </cell>
        </row>
        <row r="359">
          <cell r="E359" t="str">
            <v>SUBTOTAL</v>
          </cell>
          <cell r="I359">
            <v>75194</v>
          </cell>
          <cell r="L359">
            <v>36318702</v>
          </cell>
          <cell r="Z359" t="e">
            <v>#N/A</v>
          </cell>
        </row>
        <row r="360">
          <cell r="E360" t="str">
            <v>A.I.U</v>
          </cell>
          <cell r="I360">
            <v>0</v>
          </cell>
          <cell r="L360">
            <v>0</v>
          </cell>
          <cell r="Z360">
            <v>0</v>
          </cell>
        </row>
        <row r="361">
          <cell r="D361" t="str">
            <v>AIUAADMON</v>
          </cell>
          <cell r="E361" t="str">
            <v>Admon</v>
          </cell>
          <cell r="F361">
            <v>0</v>
          </cell>
          <cell r="I361">
            <v>0</v>
          </cell>
          <cell r="J361">
            <v>0</v>
          </cell>
          <cell r="L361">
            <v>0</v>
          </cell>
          <cell r="Z361">
            <v>0</v>
          </cell>
        </row>
        <row r="362">
          <cell r="D362" t="str">
            <v>AIUAIMPRE</v>
          </cell>
          <cell r="E362" t="str">
            <v>Imprevistos</v>
          </cell>
          <cell r="F362">
            <v>0</v>
          </cell>
          <cell r="I362">
            <v>0</v>
          </cell>
          <cell r="J362">
            <v>0</v>
          </cell>
          <cell r="L362">
            <v>0</v>
          </cell>
          <cell r="Z362">
            <v>0</v>
          </cell>
        </row>
        <row r="363">
          <cell r="D363" t="str">
            <v>AIUAUTILI</v>
          </cell>
          <cell r="E363" t="str">
            <v>Utilidad</v>
          </cell>
          <cell r="F363">
            <v>0</v>
          </cell>
          <cell r="I363">
            <v>0</v>
          </cell>
          <cell r="J363">
            <v>0</v>
          </cell>
          <cell r="L363">
            <v>0</v>
          </cell>
          <cell r="Z363">
            <v>0</v>
          </cell>
        </row>
        <row r="364">
          <cell r="D364" t="str">
            <v>AIUAIVAUTI</v>
          </cell>
          <cell r="E364" t="str">
            <v>IVA utilidad</v>
          </cell>
          <cell r="F364">
            <v>0</v>
          </cell>
          <cell r="I364">
            <v>0</v>
          </cell>
          <cell r="J364">
            <v>0</v>
          </cell>
          <cell r="L364">
            <v>0</v>
          </cell>
          <cell r="Z364">
            <v>0</v>
          </cell>
        </row>
        <row r="366">
          <cell r="E366" t="str">
            <v>ITEM</v>
          </cell>
        </row>
        <row r="367">
          <cell r="D367" t="str">
            <v>ANITC12</v>
          </cell>
          <cell r="E367" t="str">
            <v xml:space="preserve">Instalación Tuberia Concreto  Ø 12" </v>
          </cell>
          <cell r="G367" t="str">
            <v>UN.</v>
          </cell>
          <cell r="H367" t="str">
            <v>Ml</v>
          </cell>
          <cell r="I367">
            <v>4028</v>
          </cell>
          <cell r="K367">
            <v>1358</v>
          </cell>
          <cell r="L367">
            <v>5470024</v>
          </cell>
          <cell r="N367">
            <v>218</v>
          </cell>
          <cell r="O367">
            <v>3750</v>
          </cell>
          <cell r="P367">
            <v>60</v>
          </cell>
          <cell r="Q367">
            <v>0</v>
          </cell>
          <cell r="X367">
            <v>5470024</v>
          </cell>
          <cell r="Z367" t="e">
            <v>#N/A</v>
          </cell>
          <cell r="AA367" t="e">
            <v>#N/A</v>
          </cell>
          <cell r="AB367" t="e">
            <v>#N/A</v>
          </cell>
          <cell r="AC367" t="e">
            <v>#N/A</v>
          </cell>
        </row>
        <row r="369">
          <cell r="D369" t="str">
            <v>CODIGO</v>
          </cell>
          <cell r="E369" t="str">
            <v>DESCRIPCION</v>
          </cell>
          <cell r="F369" t="str">
            <v>UN</v>
          </cell>
          <cell r="G369" t="str">
            <v>CANT</v>
          </cell>
          <cell r="H369" t="str">
            <v>V/UNIT.</v>
          </cell>
          <cell r="I369" t="str">
            <v>V/TOTAL</v>
          </cell>
          <cell r="K369" t="str">
            <v>CANT TOTAL</v>
          </cell>
          <cell r="L369" t="str">
            <v>Vr TOTAL</v>
          </cell>
          <cell r="Y369" t="str">
            <v>CANT.</v>
          </cell>
          <cell r="Z369" t="str">
            <v>V/TOTAL</v>
          </cell>
        </row>
        <row r="370">
          <cell r="E370" t="str">
            <v>MATERIALES</v>
          </cell>
          <cell r="I370">
            <v>218</v>
          </cell>
          <cell r="L370">
            <v>296044</v>
          </cell>
          <cell r="Z370" t="e">
            <v>#N/A</v>
          </cell>
        </row>
        <row r="373">
          <cell r="D373" t="str">
            <v>MA27LUBRI</v>
          </cell>
          <cell r="E373" t="str">
            <v>Lubricante</v>
          </cell>
          <cell r="F373" t="str">
            <v>lb</v>
          </cell>
          <cell r="G373">
            <v>0.02</v>
          </cell>
          <cell r="H373">
            <v>10890.543999999998</v>
          </cell>
          <cell r="I373">
            <v>218</v>
          </cell>
          <cell r="J373">
            <v>0</v>
          </cell>
          <cell r="K373">
            <v>27.16</v>
          </cell>
          <cell r="L373">
            <v>295787.17503999994</v>
          </cell>
          <cell r="Y373" t="e">
            <v>#N/A</v>
          </cell>
          <cell r="Z373" t="e">
            <v>#N/A</v>
          </cell>
        </row>
        <row r="374">
          <cell r="E374" t="str">
            <v>MANO DE OBRA</v>
          </cell>
          <cell r="I374">
            <v>3750</v>
          </cell>
          <cell r="L374">
            <v>5092500</v>
          </cell>
          <cell r="Z374" t="e">
            <v>#N/A</v>
          </cell>
        </row>
        <row r="375">
          <cell r="D375" t="str">
            <v>MOANIT12</v>
          </cell>
          <cell r="E375" t="str">
            <v>Inst. Tuberia Ø 12"</v>
          </cell>
          <cell r="F375" t="str">
            <v>ml</v>
          </cell>
          <cell r="G375">
            <v>1</v>
          </cell>
          <cell r="H375">
            <v>3750</v>
          </cell>
          <cell r="I375">
            <v>3750</v>
          </cell>
          <cell r="J375">
            <v>0</v>
          </cell>
          <cell r="K375">
            <v>1358</v>
          </cell>
          <cell r="L375">
            <v>5092500</v>
          </cell>
          <cell r="Y375" t="e">
            <v>#N/A</v>
          </cell>
          <cell r="Z375" t="e">
            <v>#N/A</v>
          </cell>
        </row>
        <row r="377">
          <cell r="E377" t="str">
            <v>VARIOS</v>
          </cell>
          <cell r="I377">
            <v>60</v>
          </cell>
          <cell r="L377">
            <v>81480</v>
          </cell>
          <cell r="Z377" t="e">
            <v>#N/A</v>
          </cell>
        </row>
        <row r="378">
          <cell r="D378" t="str">
            <v>TC07HINT</v>
          </cell>
          <cell r="E378" t="str">
            <v>Herramienta Menor</v>
          </cell>
          <cell r="F378" t="str">
            <v>ML"</v>
          </cell>
          <cell r="G378">
            <v>12</v>
          </cell>
          <cell r="H378">
            <v>5</v>
          </cell>
          <cell r="I378">
            <v>60</v>
          </cell>
          <cell r="J378">
            <v>0</v>
          </cell>
          <cell r="K378">
            <v>16296</v>
          </cell>
          <cell r="L378">
            <v>81480</v>
          </cell>
          <cell r="Y378" t="e">
            <v>#N/A</v>
          </cell>
          <cell r="Z378" t="e">
            <v>#N/A</v>
          </cell>
        </row>
        <row r="379">
          <cell r="E379" t="str">
            <v>SUBTOTAL</v>
          </cell>
          <cell r="I379">
            <v>4028</v>
          </cell>
          <cell r="L379">
            <v>5470024</v>
          </cell>
          <cell r="Z379" t="e">
            <v>#N/A</v>
          </cell>
        </row>
        <row r="380">
          <cell r="E380" t="str">
            <v>A.I.U</v>
          </cell>
          <cell r="I380">
            <v>0</v>
          </cell>
          <cell r="L380">
            <v>0</v>
          </cell>
          <cell r="Z380" t="e">
            <v>#REF!</v>
          </cell>
        </row>
        <row r="381">
          <cell r="D381" t="str">
            <v>AIUAADMON</v>
          </cell>
          <cell r="E381" t="str">
            <v>Admon</v>
          </cell>
          <cell r="F381">
            <v>0</v>
          </cell>
          <cell r="I381">
            <v>0</v>
          </cell>
          <cell r="J381">
            <v>0</v>
          </cell>
          <cell r="L381">
            <v>0</v>
          </cell>
          <cell r="Z381">
            <v>0</v>
          </cell>
        </row>
        <row r="382">
          <cell r="D382" t="str">
            <v>AIUAIMPRE</v>
          </cell>
          <cell r="E382" t="str">
            <v>Imprevistos</v>
          </cell>
          <cell r="F382">
            <v>0</v>
          </cell>
          <cell r="I382">
            <v>0</v>
          </cell>
          <cell r="J382">
            <v>0</v>
          </cell>
          <cell r="L382">
            <v>0</v>
          </cell>
          <cell r="Z382" t="e">
            <v>#REF!</v>
          </cell>
        </row>
        <row r="383">
          <cell r="D383" t="str">
            <v>AIUAUTILI</v>
          </cell>
          <cell r="E383" t="str">
            <v>Utilidad</v>
          </cell>
          <cell r="F383">
            <v>0</v>
          </cell>
          <cell r="I383">
            <v>0</v>
          </cell>
          <cell r="J383">
            <v>0</v>
          </cell>
          <cell r="L383">
            <v>0</v>
          </cell>
          <cell r="Z383" t="e">
            <v>#REF!</v>
          </cell>
        </row>
        <row r="384">
          <cell r="D384" t="str">
            <v>AIUAIVAUTI</v>
          </cell>
          <cell r="E384" t="str">
            <v>IVA utilidad</v>
          </cell>
          <cell r="F384">
            <v>0</v>
          </cell>
          <cell r="I384">
            <v>0</v>
          </cell>
          <cell r="J384">
            <v>0</v>
          </cell>
          <cell r="L384">
            <v>0</v>
          </cell>
          <cell r="Z384" t="e">
            <v>#REF!</v>
          </cell>
        </row>
        <row r="386">
          <cell r="E386" t="str">
            <v>ITEM</v>
          </cell>
        </row>
        <row r="387">
          <cell r="D387" t="str">
            <v>ANITC18</v>
          </cell>
          <cell r="E387" t="str">
            <v xml:space="preserve">Instalación Tuberia Concreto  Ø 14-18" </v>
          </cell>
          <cell r="G387" t="str">
            <v>UN.</v>
          </cell>
          <cell r="H387" t="str">
            <v>Ml</v>
          </cell>
          <cell r="I387">
            <v>5048</v>
          </cell>
          <cell r="K387">
            <v>87.04</v>
          </cell>
          <cell r="L387">
            <v>439377.92000000004</v>
          </cell>
          <cell r="N387">
            <v>218</v>
          </cell>
          <cell r="O387">
            <v>4680</v>
          </cell>
          <cell r="P387">
            <v>150</v>
          </cell>
          <cell r="Q387">
            <v>0</v>
          </cell>
          <cell r="X387">
            <v>439377.92000000004</v>
          </cell>
          <cell r="Y387" t="str">
            <v>Ml</v>
          </cell>
          <cell r="Z387" t="e">
            <v>#N/A</v>
          </cell>
          <cell r="AA387" t="e">
            <v>#N/A</v>
          </cell>
          <cell r="AB387" t="e">
            <v>#N/A</v>
          </cell>
          <cell r="AC387" t="e">
            <v>#N/A</v>
          </cell>
        </row>
        <row r="389">
          <cell r="D389" t="str">
            <v>CODIGO</v>
          </cell>
          <cell r="E389" t="str">
            <v>DESCRIPCION</v>
          </cell>
          <cell r="F389" t="str">
            <v>UN</v>
          </cell>
          <cell r="G389" t="str">
            <v>CANT</v>
          </cell>
          <cell r="H389" t="str">
            <v>V/UNIT.</v>
          </cell>
          <cell r="I389" t="str">
            <v>V/TOTAL</v>
          </cell>
          <cell r="K389" t="str">
            <v>CANT TOTAL</v>
          </cell>
          <cell r="L389" t="str">
            <v>Vr TOTAL</v>
          </cell>
          <cell r="Y389" t="str">
            <v>CANT.</v>
          </cell>
          <cell r="Z389" t="str">
            <v>V/TOTAL</v>
          </cell>
        </row>
        <row r="390">
          <cell r="E390" t="str">
            <v>MATERIALES</v>
          </cell>
          <cell r="I390">
            <v>218</v>
          </cell>
          <cell r="L390">
            <v>18974.72</v>
          </cell>
          <cell r="Z390" t="e">
            <v>#N/A</v>
          </cell>
        </row>
        <row r="391">
          <cell r="I391">
            <v>0</v>
          </cell>
          <cell r="J391">
            <v>0</v>
          </cell>
          <cell r="K391">
            <v>0</v>
          </cell>
          <cell r="L391">
            <v>0</v>
          </cell>
          <cell r="Y391">
            <v>0</v>
          </cell>
          <cell r="Z391">
            <v>0</v>
          </cell>
        </row>
        <row r="392">
          <cell r="I392">
            <v>0</v>
          </cell>
          <cell r="J392">
            <v>0</v>
          </cell>
          <cell r="K392">
            <v>0</v>
          </cell>
          <cell r="L392">
            <v>0</v>
          </cell>
          <cell r="Y392">
            <v>0</v>
          </cell>
          <cell r="Z392">
            <v>0</v>
          </cell>
        </row>
        <row r="393">
          <cell r="I393">
            <v>0</v>
          </cell>
          <cell r="J393">
            <v>0</v>
          </cell>
          <cell r="K393">
            <v>0</v>
          </cell>
          <cell r="L393">
            <v>0</v>
          </cell>
          <cell r="Y393">
            <v>0</v>
          </cell>
          <cell r="Z393">
            <v>0</v>
          </cell>
        </row>
        <row r="394">
          <cell r="D394" t="str">
            <v>MA27LUBRI</v>
          </cell>
          <cell r="E394" t="str">
            <v>Lubricante</v>
          </cell>
          <cell r="F394" t="str">
            <v>lb</v>
          </cell>
          <cell r="G394">
            <v>0.02</v>
          </cell>
          <cell r="H394">
            <v>10890.543999999998</v>
          </cell>
          <cell r="I394">
            <v>218</v>
          </cell>
          <cell r="J394">
            <v>0</v>
          </cell>
          <cell r="K394">
            <v>1.7408000000000001</v>
          </cell>
          <cell r="L394">
            <v>18958.258995199998</v>
          </cell>
          <cell r="Y394" t="e">
            <v>#N/A</v>
          </cell>
          <cell r="Z394" t="e">
            <v>#N/A</v>
          </cell>
        </row>
        <row r="395">
          <cell r="E395" t="str">
            <v>MANO DE OBRA</v>
          </cell>
          <cell r="I395">
            <v>4680</v>
          </cell>
          <cell r="L395">
            <v>407347.20000000001</v>
          </cell>
          <cell r="Z395" t="e">
            <v>#N/A</v>
          </cell>
        </row>
        <row r="396">
          <cell r="D396" t="str">
            <v>MOANIT18</v>
          </cell>
          <cell r="E396" t="str">
            <v>Inst. Tuberia Ø 14-18"</v>
          </cell>
          <cell r="F396" t="str">
            <v>ml</v>
          </cell>
          <cell r="G396">
            <v>1</v>
          </cell>
          <cell r="H396">
            <v>4680</v>
          </cell>
          <cell r="I396">
            <v>4680</v>
          </cell>
          <cell r="J396">
            <v>0</v>
          </cell>
          <cell r="K396">
            <v>87.04</v>
          </cell>
          <cell r="L396">
            <v>407347.20000000001</v>
          </cell>
          <cell r="Y396" t="e">
            <v>#N/A</v>
          </cell>
          <cell r="Z396" t="e">
            <v>#N/A</v>
          </cell>
        </row>
        <row r="398">
          <cell r="E398" t="str">
            <v>VARIOS</v>
          </cell>
          <cell r="I398">
            <v>150</v>
          </cell>
          <cell r="L398">
            <v>13056.000000000002</v>
          </cell>
          <cell r="Z398" t="e">
            <v>#N/A</v>
          </cell>
        </row>
        <row r="399">
          <cell r="I399">
            <v>0</v>
          </cell>
          <cell r="J399">
            <v>0</v>
          </cell>
          <cell r="K399">
            <v>0</v>
          </cell>
          <cell r="L399">
            <v>0</v>
          </cell>
          <cell r="Y399">
            <v>0</v>
          </cell>
          <cell r="Z399">
            <v>0</v>
          </cell>
        </row>
        <row r="400">
          <cell r="D400" t="str">
            <v>TC07HINT</v>
          </cell>
          <cell r="E400" t="str">
            <v>Herramienta Menor</v>
          </cell>
          <cell r="F400" t="str">
            <v>ML"</v>
          </cell>
          <cell r="G400">
            <v>30</v>
          </cell>
          <cell r="H400">
            <v>5</v>
          </cell>
          <cell r="I400">
            <v>150</v>
          </cell>
          <cell r="J400">
            <v>0</v>
          </cell>
          <cell r="K400">
            <v>2611.2000000000003</v>
          </cell>
          <cell r="L400">
            <v>13056.000000000002</v>
          </cell>
          <cell r="Y400" t="e">
            <v>#N/A</v>
          </cell>
          <cell r="Z400" t="e">
            <v>#N/A</v>
          </cell>
        </row>
        <row r="401">
          <cell r="E401" t="str">
            <v>SUBTOTAL</v>
          </cell>
          <cell r="I401">
            <v>5048</v>
          </cell>
          <cell r="L401">
            <v>439377.92000000004</v>
          </cell>
          <cell r="Z401" t="e">
            <v>#N/A</v>
          </cell>
        </row>
        <row r="402">
          <cell r="E402" t="str">
            <v>A.I.U</v>
          </cell>
          <cell r="I402">
            <v>0</v>
          </cell>
          <cell r="L402">
            <v>0</v>
          </cell>
          <cell r="Z402">
            <v>0</v>
          </cell>
        </row>
        <row r="403">
          <cell r="D403" t="str">
            <v>AIUAADMON</v>
          </cell>
          <cell r="E403" t="str">
            <v>Admon</v>
          </cell>
          <cell r="F403">
            <v>0</v>
          </cell>
          <cell r="I403">
            <v>0</v>
          </cell>
          <cell r="J403">
            <v>0</v>
          </cell>
          <cell r="L403">
            <v>0</v>
          </cell>
          <cell r="Z403">
            <v>0</v>
          </cell>
        </row>
        <row r="404">
          <cell r="D404" t="str">
            <v>AIUAIMPRE</v>
          </cell>
          <cell r="E404" t="str">
            <v>Imprevistos</v>
          </cell>
          <cell r="F404">
            <v>0</v>
          </cell>
          <cell r="I404">
            <v>0</v>
          </cell>
          <cell r="J404">
            <v>0</v>
          </cell>
          <cell r="L404">
            <v>0</v>
          </cell>
          <cell r="Z404">
            <v>0</v>
          </cell>
        </row>
        <row r="405">
          <cell r="D405" t="str">
            <v>AIUAUTILI</v>
          </cell>
          <cell r="E405" t="str">
            <v>Utilidad</v>
          </cell>
          <cell r="F405">
            <v>0</v>
          </cell>
          <cell r="I405">
            <v>0</v>
          </cell>
          <cell r="J405">
            <v>0</v>
          </cell>
          <cell r="L405">
            <v>0</v>
          </cell>
          <cell r="Z405">
            <v>0</v>
          </cell>
        </row>
        <row r="406">
          <cell r="D406" t="str">
            <v>AIUAIVAUTI</v>
          </cell>
          <cell r="E406" t="str">
            <v>IVA utilidad</v>
          </cell>
          <cell r="F406">
            <v>0</v>
          </cell>
          <cell r="I406">
            <v>0</v>
          </cell>
          <cell r="J406">
            <v>0</v>
          </cell>
          <cell r="L406">
            <v>0</v>
          </cell>
          <cell r="Z406">
            <v>0</v>
          </cell>
        </row>
        <row r="408">
          <cell r="E408" t="str">
            <v>ITEM</v>
          </cell>
        </row>
        <row r="409">
          <cell r="D409" t="str">
            <v>ANITC30</v>
          </cell>
          <cell r="E409" t="str">
            <v xml:space="preserve">Instalación Tuberia Concreto  Ø 27-30" </v>
          </cell>
          <cell r="G409" t="str">
            <v>UN.</v>
          </cell>
          <cell r="H409" t="str">
            <v>Ml</v>
          </cell>
          <cell r="I409">
            <v>19968</v>
          </cell>
          <cell r="K409">
            <v>106</v>
          </cell>
          <cell r="L409">
            <v>2116608</v>
          </cell>
          <cell r="N409">
            <v>218</v>
          </cell>
          <cell r="O409">
            <v>10000</v>
          </cell>
          <cell r="P409">
            <v>9750</v>
          </cell>
          <cell r="Q409">
            <v>0</v>
          </cell>
          <cell r="X409">
            <v>2116608</v>
          </cell>
          <cell r="Y409" t="str">
            <v>Ml</v>
          </cell>
          <cell r="Z409" t="e">
            <v>#N/A</v>
          </cell>
          <cell r="AA409" t="e">
            <v>#N/A</v>
          </cell>
          <cell r="AB409" t="e">
            <v>#N/A</v>
          </cell>
          <cell r="AC409" t="e">
            <v>#N/A</v>
          </cell>
        </row>
        <row r="411">
          <cell r="D411" t="str">
            <v>CODIGO</v>
          </cell>
          <cell r="E411" t="str">
            <v>DESCRIPCION</v>
          </cell>
          <cell r="F411" t="str">
            <v>UN</v>
          </cell>
          <cell r="G411" t="str">
            <v>CANT</v>
          </cell>
          <cell r="H411" t="str">
            <v>V/UNIT.</v>
          </cell>
          <cell r="I411" t="str">
            <v>V/TOTAL</v>
          </cell>
          <cell r="K411" t="str">
            <v>CANT TOTAL</v>
          </cell>
          <cell r="L411" t="str">
            <v>Vr TOTAL</v>
          </cell>
          <cell r="Y411" t="str">
            <v>CANT.</v>
          </cell>
          <cell r="Z411" t="str">
            <v>V/TOTAL</v>
          </cell>
        </row>
        <row r="412">
          <cell r="E412" t="str">
            <v>MATERIALES</v>
          </cell>
          <cell r="I412">
            <v>218</v>
          </cell>
          <cell r="L412">
            <v>23108</v>
          </cell>
          <cell r="Z412" t="e">
            <v>#N/A</v>
          </cell>
        </row>
        <row r="413">
          <cell r="I413">
            <v>0</v>
          </cell>
          <cell r="J413">
            <v>0</v>
          </cell>
          <cell r="K413">
            <v>0</v>
          </cell>
          <cell r="L413">
            <v>0</v>
          </cell>
          <cell r="Y413">
            <v>0</v>
          </cell>
          <cell r="Z413">
            <v>0</v>
          </cell>
        </row>
        <row r="414">
          <cell r="I414">
            <v>0</v>
          </cell>
          <cell r="J414">
            <v>0</v>
          </cell>
          <cell r="K414">
            <v>0</v>
          </cell>
          <cell r="L414">
            <v>0</v>
          </cell>
          <cell r="Y414">
            <v>0</v>
          </cell>
          <cell r="Z414">
            <v>0</v>
          </cell>
        </row>
        <row r="415">
          <cell r="I415">
            <v>0</v>
          </cell>
          <cell r="J415">
            <v>0</v>
          </cell>
          <cell r="K415">
            <v>0</v>
          </cell>
          <cell r="L415">
            <v>0</v>
          </cell>
          <cell r="Y415">
            <v>0</v>
          </cell>
          <cell r="Z415">
            <v>0</v>
          </cell>
        </row>
        <row r="416">
          <cell r="D416" t="str">
            <v>MA27LUBRI</v>
          </cell>
          <cell r="E416" t="str">
            <v>Lubricante</v>
          </cell>
          <cell r="F416" t="str">
            <v>lb</v>
          </cell>
          <cell r="G416">
            <v>0.02</v>
          </cell>
          <cell r="H416">
            <v>10890.543999999998</v>
          </cell>
          <cell r="I416">
            <v>218</v>
          </cell>
          <cell r="J416">
            <v>0</v>
          </cell>
          <cell r="K416">
            <v>2.12</v>
          </cell>
          <cell r="L416">
            <v>23087.953279999998</v>
          </cell>
          <cell r="Y416" t="e">
            <v>#N/A</v>
          </cell>
          <cell r="Z416" t="e">
            <v>#N/A</v>
          </cell>
        </row>
        <row r="417">
          <cell r="E417" t="str">
            <v>MANO DE OBRA</v>
          </cell>
          <cell r="I417">
            <v>10000</v>
          </cell>
          <cell r="L417">
            <v>1060000</v>
          </cell>
          <cell r="Z417" t="e">
            <v>#N/A</v>
          </cell>
        </row>
        <row r="418">
          <cell r="D418" t="str">
            <v>MOANIT30</v>
          </cell>
          <cell r="E418" t="str">
            <v>Inst. Tuberia Ø 27-30"</v>
          </cell>
          <cell r="F418" t="str">
            <v>ml</v>
          </cell>
          <cell r="G418">
            <v>1</v>
          </cell>
          <cell r="H418">
            <v>10000</v>
          </cell>
          <cell r="I418">
            <v>10000</v>
          </cell>
          <cell r="J418">
            <v>0</v>
          </cell>
          <cell r="K418">
            <v>106</v>
          </cell>
          <cell r="L418">
            <v>1060000</v>
          </cell>
          <cell r="Y418" t="e">
            <v>#N/A</v>
          </cell>
          <cell r="Z418" t="e">
            <v>#N/A</v>
          </cell>
        </row>
        <row r="420">
          <cell r="E420" t="str">
            <v>VARIOS</v>
          </cell>
          <cell r="I420">
            <v>9750</v>
          </cell>
          <cell r="L420">
            <v>1033500</v>
          </cell>
          <cell r="Z420" t="e">
            <v>#N/A</v>
          </cell>
        </row>
        <row r="421">
          <cell r="D421" t="str">
            <v>AL04RETRO</v>
          </cell>
          <cell r="E421" t="str">
            <v>Retro Oruga</v>
          </cell>
          <cell r="F421" t="str">
            <v>Hr</v>
          </cell>
          <cell r="G421">
            <v>0.16</v>
          </cell>
          <cell r="H421">
            <v>60000</v>
          </cell>
          <cell r="I421">
            <v>9600</v>
          </cell>
          <cell r="J421">
            <v>0</v>
          </cell>
          <cell r="K421">
            <v>16.96</v>
          </cell>
          <cell r="L421">
            <v>1017600</v>
          </cell>
          <cell r="Y421" t="e">
            <v>#N/A</v>
          </cell>
          <cell r="Z421" t="e">
            <v>#N/A</v>
          </cell>
        </row>
        <row r="422">
          <cell r="D422" t="str">
            <v>TC07HINT</v>
          </cell>
          <cell r="E422" t="str">
            <v>Herramienta Menor</v>
          </cell>
          <cell r="F422" t="str">
            <v>ML"</v>
          </cell>
          <cell r="G422">
            <v>30</v>
          </cell>
          <cell r="H422">
            <v>5</v>
          </cell>
          <cell r="I422">
            <v>150</v>
          </cell>
          <cell r="J422">
            <v>0</v>
          </cell>
          <cell r="K422">
            <v>3180</v>
          </cell>
          <cell r="L422">
            <v>15900</v>
          </cell>
          <cell r="Y422" t="e">
            <v>#N/A</v>
          </cell>
          <cell r="Z422" t="e">
            <v>#N/A</v>
          </cell>
        </row>
        <row r="423">
          <cell r="E423" t="str">
            <v>SUBTOTAL</v>
          </cell>
          <cell r="I423">
            <v>19968</v>
          </cell>
          <cell r="L423">
            <v>2116608</v>
          </cell>
          <cell r="Z423" t="e">
            <v>#N/A</v>
          </cell>
        </row>
        <row r="424">
          <cell r="E424" t="str">
            <v>A.I.U</v>
          </cell>
          <cell r="I424">
            <v>0</v>
          </cell>
          <cell r="L424">
            <v>0</v>
          </cell>
          <cell r="Z424">
            <v>0</v>
          </cell>
        </row>
        <row r="425">
          <cell r="D425" t="str">
            <v>AIUAADMON</v>
          </cell>
          <cell r="E425" t="str">
            <v>Admon</v>
          </cell>
          <cell r="F425">
            <v>0</v>
          </cell>
          <cell r="I425">
            <v>0</v>
          </cell>
          <cell r="J425">
            <v>0</v>
          </cell>
          <cell r="L425">
            <v>0</v>
          </cell>
          <cell r="Z425">
            <v>0</v>
          </cell>
        </row>
        <row r="426">
          <cell r="D426" t="str">
            <v>AIUAIMPRE</v>
          </cell>
          <cell r="E426" t="str">
            <v>Imprevistos</v>
          </cell>
          <cell r="F426">
            <v>0</v>
          </cell>
          <cell r="I426">
            <v>0</v>
          </cell>
          <cell r="J426">
            <v>0</v>
          </cell>
          <cell r="L426">
            <v>0</v>
          </cell>
          <cell r="Z426">
            <v>0</v>
          </cell>
        </row>
        <row r="427">
          <cell r="D427" t="str">
            <v>AIUAUTILI</v>
          </cell>
          <cell r="E427" t="str">
            <v>Utilidad</v>
          </cell>
          <cell r="F427">
            <v>0</v>
          </cell>
          <cell r="I427">
            <v>0</v>
          </cell>
          <cell r="J427">
            <v>0</v>
          </cell>
          <cell r="L427">
            <v>0</v>
          </cell>
          <cell r="Z427">
            <v>0</v>
          </cell>
        </row>
        <row r="428">
          <cell r="D428" t="str">
            <v>AIUAIVAUTI</v>
          </cell>
          <cell r="E428" t="str">
            <v>IVA utilidad</v>
          </cell>
          <cell r="F428">
            <v>0</v>
          </cell>
          <cell r="I428">
            <v>0</v>
          </cell>
          <cell r="J428">
            <v>0</v>
          </cell>
          <cell r="L428">
            <v>0</v>
          </cell>
          <cell r="Z428">
            <v>0</v>
          </cell>
        </row>
        <row r="430">
          <cell r="E430" t="str">
            <v>ITEM</v>
          </cell>
        </row>
        <row r="431">
          <cell r="D431" t="str">
            <v>ANITC40</v>
          </cell>
          <cell r="E431" t="str">
            <v xml:space="preserve">Instalación Tuberia Concreto  Ø 36-40" </v>
          </cell>
          <cell r="G431" t="str">
            <v>UN.</v>
          </cell>
          <cell r="H431" t="str">
            <v>Ml</v>
          </cell>
          <cell r="I431">
            <v>23945</v>
          </cell>
          <cell r="K431">
            <v>137</v>
          </cell>
          <cell r="L431">
            <v>3280465</v>
          </cell>
          <cell r="N431">
            <v>545</v>
          </cell>
          <cell r="O431">
            <v>11200</v>
          </cell>
          <cell r="P431">
            <v>12200</v>
          </cell>
          <cell r="Q431">
            <v>0</v>
          </cell>
          <cell r="X431">
            <v>3280465</v>
          </cell>
          <cell r="Y431" t="str">
            <v>Ml</v>
          </cell>
          <cell r="Z431" t="e">
            <v>#N/A</v>
          </cell>
          <cell r="AA431" t="e">
            <v>#N/A</v>
          </cell>
          <cell r="AB431" t="e">
            <v>#N/A</v>
          </cell>
          <cell r="AC431" t="e">
            <v>#N/A</v>
          </cell>
        </row>
        <row r="433">
          <cell r="D433" t="str">
            <v>CODIGO</v>
          </cell>
          <cell r="E433" t="str">
            <v>DESCRIPCION</v>
          </cell>
          <cell r="F433" t="str">
            <v>UN</v>
          </cell>
          <cell r="G433" t="str">
            <v>CANT</v>
          </cell>
          <cell r="H433" t="str">
            <v>V/UNIT.</v>
          </cell>
          <cell r="I433" t="str">
            <v>V/TOTAL</v>
          </cell>
          <cell r="K433" t="str">
            <v>CANT TOTAL</v>
          </cell>
          <cell r="L433" t="str">
            <v>Vr TOTAL</v>
          </cell>
          <cell r="Y433" t="str">
            <v>CANT.</v>
          </cell>
          <cell r="Z433" t="str">
            <v>V/TOTAL</v>
          </cell>
        </row>
        <row r="434">
          <cell r="E434" t="str">
            <v>MATERIALES</v>
          </cell>
          <cell r="I434">
            <v>545</v>
          </cell>
          <cell r="L434">
            <v>74665</v>
          </cell>
          <cell r="Z434" t="e">
            <v>#N/A</v>
          </cell>
        </row>
        <row r="435">
          <cell r="I435">
            <v>0</v>
          </cell>
          <cell r="J435">
            <v>0</v>
          </cell>
          <cell r="K435">
            <v>0</v>
          </cell>
          <cell r="L435">
            <v>0</v>
          </cell>
          <cell r="Y435">
            <v>0</v>
          </cell>
          <cell r="Z435">
            <v>0</v>
          </cell>
        </row>
        <row r="436">
          <cell r="I436">
            <v>0</v>
          </cell>
          <cell r="J436">
            <v>0</v>
          </cell>
          <cell r="K436">
            <v>0</v>
          </cell>
          <cell r="L436">
            <v>0</v>
          </cell>
          <cell r="Y436">
            <v>0</v>
          </cell>
          <cell r="Z436">
            <v>0</v>
          </cell>
        </row>
        <row r="437">
          <cell r="I437">
            <v>0</v>
          </cell>
          <cell r="J437">
            <v>0</v>
          </cell>
          <cell r="K437">
            <v>0</v>
          </cell>
          <cell r="L437">
            <v>0</v>
          </cell>
          <cell r="Y437">
            <v>0</v>
          </cell>
          <cell r="Z437">
            <v>0</v>
          </cell>
        </row>
        <row r="438">
          <cell r="D438" t="str">
            <v>MA27LUBRI</v>
          </cell>
          <cell r="E438" t="str">
            <v>Lubricante</v>
          </cell>
          <cell r="F438" t="str">
            <v>lb</v>
          </cell>
          <cell r="G438">
            <v>0.05</v>
          </cell>
          <cell r="H438">
            <v>10890.543999999998</v>
          </cell>
          <cell r="I438">
            <v>545</v>
          </cell>
          <cell r="J438">
            <v>0</v>
          </cell>
          <cell r="K438">
            <v>6.8500000000000005</v>
          </cell>
          <cell r="L438">
            <v>74600.2264</v>
          </cell>
          <cell r="Y438" t="e">
            <v>#N/A</v>
          </cell>
          <cell r="Z438" t="e">
            <v>#N/A</v>
          </cell>
        </row>
        <row r="439">
          <cell r="E439" t="str">
            <v>MANO DE OBRA</v>
          </cell>
          <cell r="I439">
            <v>11200</v>
          </cell>
          <cell r="L439">
            <v>1534400</v>
          </cell>
          <cell r="Z439" t="e">
            <v>#N/A</v>
          </cell>
        </row>
        <row r="440">
          <cell r="D440" t="str">
            <v>MOANIT40</v>
          </cell>
          <cell r="E440" t="str">
            <v>Inst. Tuberia Ø 36-40"</v>
          </cell>
          <cell r="F440" t="str">
            <v>ml</v>
          </cell>
          <cell r="G440">
            <v>1</v>
          </cell>
          <cell r="H440">
            <v>11200</v>
          </cell>
          <cell r="I440">
            <v>11200</v>
          </cell>
          <cell r="J440">
            <v>0</v>
          </cell>
          <cell r="K440">
            <v>137</v>
          </cell>
          <cell r="L440">
            <v>1534400</v>
          </cell>
          <cell r="Y440" t="e">
            <v>#N/A</v>
          </cell>
          <cell r="Z440" t="e">
            <v>#N/A</v>
          </cell>
        </row>
        <row r="442">
          <cell r="E442" t="str">
            <v>VARIOS</v>
          </cell>
          <cell r="I442">
            <v>12200</v>
          </cell>
          <cell r="L442">
            <v>1671400</v>
          </cell>
          <cell r="Z442" t="e">
            <v>#N/A</v>
          </cell>
        </row>
        <row r="443">
          <cell r="D443" t="str">
            <v>AL04RETRO</v>
          </cell>
          <cell r="E443" t="str">
            <v>Retro Oruga</v>
          </cell>
          <cell r="F443" t="str">
            <v>Hr</v>
          </cell>
          <cell r="G443">
            <v>0.2</v>
          </cell>
          <cell r="H443">
            <v>60000</v>
          </cell>
          <cell r="I443">
            <v>12000</v>
          </cell>
          <cell r="J443">
            <v>0</v>
          </cell>
          <cell r="K443">
            <v>27.400000000000002</v>
          </cell>
          <cell r="L443">
            <v>1644000.0000000002</v>
          </cell>
          <cell r="Y443" t="e">
            <v>#N/A</v>
          </cell>
          <cell r="Z443" t="e">
            <v>#N/A</v>
          </cell>
        </row>
        <row r="444">
          <cell r="D444" t="str">
            <v>TC07HINT</v>
          </cell>
          <cell r="E444" t="str">
            <v>Herramienta Menor</v>
          </cell>
          <cell r="F444" t="str">
            <v>ML"</v>
          </cell>
          <cell r="G444">
            <v>40</v>
          </cell>
          <cell r="H444">
            <v>5</v>
          </cell>
          <cell r="I444">
            <v>200</v>
          </cell>
          <cell r="J444">
            <v>0</v>
          </cell>
          <cell r="K444">
            <v>5480</v>
          </cell>
          <cell r="L444">
            <v>27400</v>
          </cell>
          <cell r="Y444" t="e">
            <v>#N/A</v>
          </cell>
          <cell r="Z444" t="e">
            <v>#N/A</v>
          </cell>
        </row>
        <row r="445">
          <cell r="E445" t="str">
            <v>SUBTOTAL</v>
          </cell>
          <cell r="I445">
            <v>23945</v>
          </cell>
          <cell r="L445">
            <v>3280465</v>
          </cell>
          <cell r="Z445" t="e">
            <v>#N/A</v>
          </cell>
        </row>
        <row r="446">
          <cell r="E446" t="str">
            <v>A.I.U</v>
          </cell>
          <cell r="I446">
            <v>0</v>
          </cell>
          <cell r="L446">
            <v>0</v>
          </cell>
          <cell r="Z446">
            <v>0</v>
          </cell>
        </row>
        <row r="447">
          <cell r="D447" t="str">
            <v>AIUAADMON</v>
          </cell>
          <cell r="E447" t="str">
            <v>Admon</v>
          </cell>
          <cell r="F447">
            <v>0</v>
          </cell>
          <cell r="I447">
            <v>0</v>
          </cell>
          <cell r="J447">
            <v>0</v>
          </cell>
          <cell r="L447">
            <v>0</v>
          </cell>
          <cell r="Z447">
            <v>0</v>
          </cell>
        </row>
        <row r="448">
          <cell r="D448" t="str">
            <v>AIUAIMPRE</v>
          </cell>
          <cell r="E448" t="str">
            <v>Imprevistos</v>
          </cell>
          <cell r="F448">
            <v>0</v>
          </cell>
          <cell r="I448">
            <v>0</v>
          </cell>
          <cell r="J448">
            <v>0</v>
          </cell>
          <cell r="L448">
            <v>0</v>
          </cell>
          <cell r="Z448">
            <v>0</v>
          </cell>
        </row>
        <row r="449">
          <cell r="D449" t="str">
            <v>AIUAUTILI</v>
          </cell>
          <cell r="E449" t="str">
            <v>Utilidad</v>
          </cell>
          <cell r="F449">
            <v>0</v>
          </cell>
          <cell r="I449">
            <v>0</v>
          </cell>
          <cell r="J449">
            <v>0</v>
          </cell>
          <cell r="L449">
            <v>0</v>
          </cell>
          <cell r="Z449">
            <v>0</v>
          </cell>
        </row>
        <row r="450">
          <cell r="D450" t="str">
            <v>AIUAIVAUTI</v>
          </cell>
          <cell r="E450" t="str">
            <v>IVA utilidad</v>
          </cell>
          <cell r="F450">
            <v>0</v>
          </cell>
          <cell r="I450">
            <v>0</v>
          </cell>
          <cell r="J450">
            <v>0</v>
          </cell>
          <cell r="L450">
            <v>0</v>
          </cell>
          <cell r="Z450">
            <v>0</v>
          </cell>
        </row>
        <row r="452">
          <cell r="E452" t="str">
            <v>ITEM</v>
          </cell>
        </row>
        <row r="453">
          <cell r="D453" t="str">
            <v>ANITC56</v>
          </cell>
          <cell r="E453" t="str">
            <v>Instalación Tuberia Concreto  Ø 1,40 m</v>
          </cell>
          <cell r="G453" t="str">
            <v>UN.</v>
          </cell>
          <cell r="H453" t="str">
            <v>Ml</v>
          </cell>
          <cell r="I453">
            <v>26433</v>
          </cell>
          <cell r="K453">
            <v>170</v>
          </cell>
          <cell r="L453">
            <v>4493610</v>
          </cell>
          <cell r="N453">
            <v>653</v>
          </cell>
          <cell r="O453">
            <v>13500</v>
          </cell>
          <cell r="P453">
            <v>12280</v>
          </cell>
          <cell r="Q453">
            <v>0</v>
          </cell>
          <cell r="X453">
            <v>4493610</v>
          </cell>
          <cell r="Y453" t="str">
            <v>Ml</v>
          </cell>
          <cell r="Z453" t="e">
            <v>#N/A</v>
          </cell>
          <cell r="AA453" t="e">
            <v>#N/A</v>
          </cell>
          <cell r="AB453" t="e">
            <v>#N/A</v>
          </cell>
          <cell r="AC453" t="e">
            <v>#N/A</v>
          </cell>
        </row>
        <row r="455">
          <cell r="D455" t="str">
            <v>CODIGO</v>
          </cell>
          <cell r="E455" t="str">
            <v>DESCRIPCION</v>
          </cell>
          <cell r="F455" t="str">
            <v>UN</v>
          </cell>
          <cell r="G455" t="str">
            <v>CANT</v>
          </cell>
          <cell r="H455" t="str">
            <v>V/UNIT.</v>
          </cell>
          <cell r="I455" t="str">
            <v>V/TOTAL</v>
          </cell>
          <cell r="K455" t="str">
            <v>CANT TOTAL</v>
          </cell>
          <cell r="L455" t="str">
            <v>Vr TOTAL</v>
          </cell>
          <cell r="Y455" t="str">
            <v>CANT.</v>
          </cell>
          <cell r="Z455" t="str">
            <v>V/TOTAL</v>
          </cell>
        </row>
        <row r="456">
          <cell r="E456" t="str">
            <v>MATERIALES</v>
          </cell>
          <cell r="I456">
            <v>653</v>
          </cell>
          <cell r="L456">
            <v>111010</v>
          </cell>
          <cell r="Z456" t="e">
            <v>#N/A</v>
          </cell>
        </row>
        <row r="459">
          <cell r="D459" t="str">
            <v>MA27LUBRI</v>
          </cell>
          <cell r="E459" t="str">
            <v>Lubricante</v>
          </cell>
          <cell r="F459" t="str">
            <v>lb</v>
          </cell>
          <cell r="G459">
            <v>0.06</v>
          </cell>
          <cell r="H459">
            <v>10890.543999999998</v>
          </cell>
          <cell r="I459">
            <v>653</v>
          </cell>
          <cell r="J459">
            <v>0</v>
          </cell>
          <cell r="K459">
            <v>10.199999999999999</v>
          </cell>
          <cell r="L459">
            <v>111083.54879999998</v>
          </cell>
          <cell r="Y459" t="e">
            <v>#N/A</v>
          </cell>
          <cell r="Z459" t="e">
            <v>#N/A</v>
          </cell>
        </row>
        <row r="460">
          <cell r="E460" t="str">
            <v>MANO DE OBRA</v>
          </cell>
          <cell r="I460">
            <v>13500</v>
          </cell>
          <cell r="L460">
            <v>2295000</v>
          </cell>
          <cell r="Z460" t="e">
            <v>#N/A</v>
          </cell>
        </row>
        <row r="461">
          <cell r="D461" t="str">
            <v>MOANIT56</v>
          </cell>
          <cell r="E461" t="str">
            <v>Inst. Tuberia Ø 1,40 m</v>
          </cell>
          <cell r="F461" t="str">
            <v>ml</v>
          </cell>
          <cell r="G461">
            <v>1</v>
          </cell>
          <cell r="H461">
            <v>13500</v>
          </cell>
          <cell r="I461">
            <v>13500</v>
          </cell>
          <cell r="J461">
            <v>0</v>
          </cell>
          <cell r="K461">
            <v>170</v>
          </cell>
          <cell r="L461">
            <v>2295000</v>
          </cell>
          <cell r="Y461" t="e">
            <v>#N/A</v>
          </cell>
          <cell r="Z461" t="e">
            <v>#N/A</v>
          </cell>
        </row>
        <row r="463">
          <cell r="E463" t="str">
            <v>VARIOS</v>
          </cell>
          <cell r="I463">
            <v>12280</v>
          </cell>
          <cell r="L463">
            <v>2087600</v>
          </cell>
          <cell r="Z463" t="e">
            <v>#N/A</v>
          </cell>
        </row>
        <row r="464">
          <cell r="D464" t="str">
            <v>AL04RETRO</v>
          </cell>
          <cell r="E464" t="str">
            <v>Retro Oruga</v>
          </cell>
          <cell r="F464" t="str">
            <v>Hr</v>
          </cell>
          <cell r="G464">
            <v>0.2</v>
          </cell>
          <cell r="H464">
            <v>60000</v>
          </cell>
          <cell r="I464">
            <v>12000</v>
          </cell>
          <cell r="J464">
            <v>0</v>
          </cell>
          <cell r="K464">
            <v>34</v>
          </cell>
          <cell r="L464">
            <v>2040000</v>
          </cell>
          <cell r="Y464" t="e">
            <v>#N/A</v>
          </cell>
          <cell r="Z464" t="e">
            <v>#N/A</v>
          </cell>
        </row>
        <row r="465">
          <cell r="D465" t="str">
            <v>TC07HINT</v>
          </cell>
          <cell r="E465" t="str">
            <v>Herramienta Menor</v>
          </cell>
          <cell r="F465" t="str">
            <v>ML"</v>
          </cell>
          <cell r="G465">
            <v>56</v>
          </cell>
          <cell r="H465">
            <v>5</v>
          </cell>
          <cell r="I465">
            <v>280</v>
          </cell>
          <cell r="J465">
            <v>0</v>
          </cell>
          <cell r="K465">
            <v>9520</v>
          </cell>
          <cell r="L465">
            <v>47600</v>
          </cell>
          <cell r="Y465" t="e">
            <v>#N/A</v>
          </cell>
          <cell r="Z465" t="e">
            <v>#N/A</v>
          </cell>
        </row>
        <row r="466">
          <cell r="E466" t="str">
            <v>SUBTOTAL</v>
          </cell>
          <cell r="I466">
            <v>26433</v>
          </cell>
          <cell r="L466">
            <v>4493610</v>
          </cell>
          <cell r="Z466" t="e">
            <v>#N/A</v>
          </cell>
        </row>
        <row r="467">
          <cell r="E467" t="str">
            <v>A.I.U</v>
          </cell>
          <cell r="I467">
            <v>0</v>
          </cell>
          <cell r="L467">
            <v>0</v>
          </cell>
          <cell r="Z467">
            <v>0</v>
          </cell>
        </row>
        <row r="468">
          <cell r="D468" t="str">
            <v>AIUAADMON</v>
          </cell>
          <cell r="E468" t="str">
            <v>Admon</v>
          </cell>
          <cell r="F468">
            <v>0</v>
          </cell>
          <cell r="I468">
            <v>0</v>
          </cell>
          <cell r="J468">
            <v>0</v>
          </cell>
          <cell r="L468">
            <v>0</v>
          </cell>
          <cell r="Z468">
            <v>0</v>
          </cell>
        </row>
        <row r="469">
          <cell r="D469" t="str">
            <v>AIUAIMPRE</v>
          </cell>
          <cell r="E469" t="str">
            <v>Imprevistos</v>
          </cell>
          <cell r="F469">
            <v>0</v>
          </cell>
          <cell r="I469">
            <v>0</v>
          </cell>
          <cell r="J469">
            <v>0</v>
          </cell>
          <cell r="L469">
            <v>0</v>
          </cell>
          <cell r="Z469">
            <v>0</v>
          </cell>
        </row>
        <row r="470">
          <cell r="D470" t="str">
            <v>AIUAUTILI</v>
          </cell>
          <cell r="E470" t="str">
            <v>Utilidad</v>
          </cell>
          <cell r="F470">
            <v>0</v>
          </cell>
          <cell r="I470">
            <v>0</v>
          </cell>
          <cell r="J470">
            <v>0</v>
          </cell>
          <cell r="L470">
            <v>0</v>
          </cell>
          <cell r="Z470">
            <v>0</v>
          </cell>
        </row>
        <row r="471">
          <cell r="D471" t="str">
            <v>AIUAIVAUTI</v>
          </cell>
          <cell r="E471" t="str">
            <v>IVA utilidad</v>
          </cell>
          <cell r="F471">
            <v>0</v>
          </cell>
          <cell r="I471">
            <v>0</v>
          </cell>
          <cell r="J471">
            <v>0</v>
          </cell>
          <cell r="L471">
            <v>0</v>
          </cell>
          <cell r="Z471">
            <v>0</v>
          </cell>
        </row>
        <row r="473">
          <cell r="E473" t="str">
            <v>ITEM</v>
          </cell>
        </row>
        <row r="474">
          <cell r="D474" t="str">
            <v>ANITC72</v>
          </cell>
          <cell r="E474" t="str">
            <v>Instalación Tuberia Concreto  Ø 1,80 m</v>
          </cell>
          <cell r="G474" t="str">
            <v>UN.</v>
          </cell>
          <cell r="H474" t="str">
            <v>Ml</v>
          </cell>
          <cell r="I474">
            <v>37333</v>
          </cell>
          <cell r="K474">
            <v>130</v>
          </cell>
          <cell r="L474">
            <v>4853290</v>
          </cell>
          <cell r="N474">
            <v>653</v>
          </cell>
          <cell r="O474">
            <v>14720</v>
          </cell>
          <cell r="P474">
            <v>21960</v>
          </cell>
          <cell r="Q474">
            <v>0</v>
          </cell>
          <cell r="X474">
            <v>4853290</v>
          </cell>
          <cell r="Y474" t="str">
            <v>Ml</v>
          </cell>
          <cell r="Z474" t="e">
            <v>#N/A</v>
          </cell>
          <cell r="AA474" t="e">
            <v>#N/A</v>
          </cell>
          <cell r="AB474" t="e">
            <v>#N/A</v>
          </cell>
          <cell r="AC474" t="e">
            <v>#N/A</v>
          </cell>
        </row>
        <row r="476">
          <cell r="D476" t="str">
            <v>CODIGO</v>
          </cell>
          <cell r="E476" t="str">
            <v>DESCRIPCION</v>
          </cell>
          <cell r="F476" t="str">
            <v>UN</v>
          </cell>
          <cell r="G476" t="str">
            <v>CANT</v>
          </cell>
          <cell r="H476" t="str">
            <v>V/UNIT.</v>
          </cell>
          <cell r="I476" t="str">
            <v>V/TOTAL</v>
          </cell>
          <cell r="K476" t="str">
            <v>CANT TOTAL</v>
          </cell>
          <cell r="L476" t="str">
            <v>Vr TOTAL</v>
          </cell>
          <cell r="Y476" t="str">
            <v>CANT.</v>
          </cell>
          <cell r="Z476" t="str">
            <v>V/TOTAL</v>
          </cell>
        </row>
        <row r="477">
          <cell r="E477" t="str">
            <v>MATERIALES</v>
          </cell>
          <cell r="I477">
            <v>653</v>
          </cell>
          <cell r="L477">
            <v>84890</v>
          </cell>
          <cell r="Z477" t="e">
            <v>#N/A</v>
          </cell>
        </row>
        <row r="480">
          <cell r="D480" t="str">
            <v>MA27LUBRI</v>
          </cell>
          <cell r="E480" t="str">
            <v>Lubricante</v>
          </cell>
          <cell r="F480" t="str">
            <v>lb</v>
          </cell>
          <cell r="G480">
            <v>0.06</v>
          </cell>
          <cell r="H480">
            <v>10890.543999999998</v>
          </cell>
          <cell r="I480">
            <v>653</v>
          </cell>
          <cell r="J480">
            <v>0</v>
          </cell>
          <cell r="K480">
            <v>7.8</v>
          </cell>
          <cell r="L480">
            <v>84946.243199999983</v>
          </cell>
          <cell r="Y480" t="e">
            <v>#N/A</v>
          </cell>
          <cell r="Z480" t="e">
            <v>#N/A</v>
          </cell>
        </row>
        <row r="481">
          <cell r="E481" t="str">
            <v>MANO DE OBRA</v>
          </cell>
          <cell r="I481">
            <v>14720</v>
          </cell>
          <cell r="L481">
            <v>1913600</v>
          </cell>
          <cell r="Z481" t="e">
            <v>#N/A</v>
          </cell>
        </row>
        <row r="482">
          <cell r="D482" t="str">
            <v>MOANIT72</v>
          </cell>
          <cell r="E482" t="str">
            <v>Inst. Tuberia Ø 1,80 m</v>
          </cell>
          <cell r="F482" t="str">
            <v>ml</v>
          </cell>
          <cell r="G482">
            <v>1</v>
          </cell>
          <cell r="H482">
            <v>14720</v>
          </cell>
          <cell r="I482">
            <v>14720</v>
          </cell>
          <cell r="J482">
            <v>0</v>
          </cell>
          <cell r="K482">
            <v>130</v>
          </cell>
          <cell r="L482">
            <v>1913600</v>
          </cell>
          <cell r="Y482" t="e">
            <v>#N/A</v>
          </cell>
          <cell r="Z482" t="e">
            <v>#N/A</v>
          </cell>
        </row>
        <row r="484">
          <cell r="E484" t="str">
            <v>VARIOS</v>
          </cell>
          <cell r="I484">
            <v>21960</v>
          </cell>
          <cell r="L484">
            <v>2854800</v>
          </cell>
          <cell r="Z484" t="e">
            <v>#N/A</v>
          </cell>
        </row>
        <row r="485">
          <cell r="D485" t="str">
            <v>AL04RETROG</v>
          </cell>
          <cell r="E485" t="str">
            <v>Retro Oruga 320</v>
          </cell>
          <cell r="F485" t="str">
            <v>Hr</v>
          </cell>
          <cell r="G485">
            <v>0.24</v>
          </cell>
          <cell r="H485">
            <v>90000</v>
          </cell>
          <cell r="I485">
            <v>21600</v>
          </cell>
          <cell r="J485">
            <v>0</v>
          </cell>
          <cell r="K485">
            <v>31.2</v>
          </cell>
          <cell r="L485">
            <v>2808000</v>
          </cell>
          <cell r="Y485" t="e">
            <v>#N/A</v>
          </cell>
          <cell r="Z485" t="e">
            <v>#N/A</v>
          </cell>
        </row>
        <row r="486">
          <cell r="D486" t="str">
            <v>TC07HINT</v>
          </cell>
          <cell r="E486" t="str">
            <v>Herramienta Menor</v>
          </cell>
          <cell r="F486" t="str">
            <v>ML"</v>
          </cell>
          <cell r="G486">
            <v>72</v>
          </cell>
          <cell r="H486">
            <v>5</v>
          </cell>
          <cell r="I486">
            <v>360</v>
          </cell>
          <cell r="J486">
            <v>0</v>
          </cell>
          <cell r="K486">
            <v>9360</v>
          </cell>
          <cell r="L486">
            <v>46800</v>
          </cell>
          <cell r="Y486" t="e">
            <v>#N/A</v>
          </cell>
          <cell r="Z486" t="e">
            <v>#N/A</v>
          </cell>
        </row>
        <row r="487">
          <cell r="E487" t="str">
            <v>SUBTOTAL</v>
          </cell>
          <cell r="I487">
            <v>37333</v>
          </cell>
          <cell r="L487">
            <v>4853290</v>
          </cell>
          <cell r="Z487" t="e">
            <v>#N/A</v>
          </cell>
        </row>
        <row r="488">
          <cell r="E488" t="str">
            <v>A.I.U</v>
          </cell>
          <cell r="I488">
            <v>0</v>
          </cell>
          <cell r="L488">
            <v>0</v>
          </cell>
          <cell r="Z488">
            <v>0</v>
          </cell>
        </row>
        <row r="489">
          <cell r="D489" t="str">
            <v>AIUAADMON</v>
          </cell>
          <cell r="E489" t="str">
            <v>Admon</v>
          </cell>
          <cell r="F489">
            <v>0</v>
          </cell>
          <cell r="I489">
            <v>0</v>
          </cell>
          <cell r="J489">
            <v>0</v>
          </cell>
          <cell r="L489">
            <v>0</v>
          </cell>
          <cell r="Z489">
            <v>0</v>
          </cell>
        </row>
        <row r="490">
          <cell r="D490" t="str">
            <v>AIUAIMPRE</v>
          </cell>
          <cell r="E490" t="str">
            <v>Imprevistos</v>
          </cell>
          <cell r="F490">
            <v>0</v>
          </cell>
          <cell r="I490">
            <v>0</v>
          </cell>
          <cell r="J490">
            <v>0</v>
          </cell>
          <cell r="L490">
            <v>0</v>
          </cell>
          <cell r="Z490">
            <v>0</v>
          </cell>
        </row>
        <row r="491">
          <cell r="D491" t="str">
            <v>AIUAUTILI</v>
          </cell>
          <cell r="E491" t="str">
            <v>Utilidad</v>
          </cell>
          <cell r="F491">
            <v>0</v>
          </cell>
          <cell r="I491">
            <v>0</v>
          </cell>
          <cell r="J491">
            <v>0</v>
          </cell>
          <cell r="L491">
            <v>0</v>
          </cell>
          <cell r="Z491">
            <v>0</v>
          </cell>
        </row>
        <row r="492">
          <cell r="D492" t="str">
            <v>AIUAIVAUTI</v>
          </cell>
          <cell r="E492" t="str">
            <v>IVA utilidad</v>
          </cell>
          <cell r="F492">
            <v>0</v>
          </cell>
          <cell r="I492">
            <v>0</v>
          </cell>
          <cell r="J492">
            <v>0</v>
          </cell>
          <cell r="L492">
            <v>0</v>
          </cell>
          <cell r="Z492">
            <v>0</v>
          </cell>
        </row>
        <row r="494">
          <cell r="E494" t="str">
            <v>ITEM</v>
          </cell>
        </row>
        <row r="495">
          <cell r="D495" t="str">
            <v>ANITC80</v>
          </cell>
          <cell r="E495" t="str">
            <v>Instalación Tuberia Concreto  Ø 2,00 m</v>
          </cell>
          <cell r="G495" t="str">
            <v>UN.</v>
          </cell>
          <cell r="H495" t="str">
            <v>Ml</v>
          </cell>
          <cell r="I495">
            <v>46413</v>
          </cell>
          <cell r="K495">
            <v>675</v>
          </cell>
          <cell r="L495">
            <v>31328775</v>
          </cell>
          <cell r="N495">
            <v>653</v>
          </cell>
          <cell r="O495">
            <v>18400</v>
          </cell>
          <cell r="P495">
            <v>27360</v>
          </cell>
          <cell r="Q495">
            <v>0</v>
          </cell>
          <cell r="X495">
            <v>31328775</v>
          </cell>
          <cell r="Y495" t="str">
            <v>Ml</v>
          </cell>
          <cell r="Z495" t="e">
            <v>#N/A</v>
          </cell>
          <cell r="AA495" t="e">
            <v>#N/A</v>
          </cell>
          <cell r="AB495" t="e">
            <v>#N/A</v>
          </cell>
          <cell r="AC495" t="e">
            <v>#N/A</v>
          </cell>
        </row>
        <row r="497">
          <cell r="D497" t="str">
            <v>CODIGO</v>
          </cell>
          <cell r="E497" t="str">
            <v>DESCRIPCION</v>
          </cell>
          <cell r="F497" t="str">
            <v>UN</v>
          </cell>
          <cell r="G497" t="str">
            <v>CANT</v>
          </cell>
          <cell r="H497" t="str">
            <v>V/UNIT.</v>
          </cell>
          <cell r="I497" t="str">
            <v>V/TOTAL</v>
          </cell>
          <cell r="K497" t="str">
            <v>CANT TOTAL</v>
          </cell>
          <cell r="L497" t="str">
            <v>Vr TOTAL</v>
          </cell>
          <cell r="Y497" t="str">
            <v>CANT.</v>
          </cell>
          <cell r="Z497" t="str">
            <v>V/TOTAL</v>
          </cell>
        </row>
        <row r="498">
          <cell r="E498" t="str">
            <v>MATERIALES</v>
          </cell>
          <cell r="I498">
            <v>653</v>
          </cell>
          <cell r="L498">
            <v>440775</v>
          </cell>
          <cell r="Z498" t="e">
            <v>#N/A</v>
          </cell>
        </row>
        <row r="501">
          <cell r="D501" t="str">
            <v>MA27LUBRI</v>
          </cell>
          <cell r="E501" t="str">
            <v>Lubricante</v>
          </cell>
          <cell r="F501" t="str">
            <v>lb</v>
          </cell>
          <cell r="G501">
            <v>0.06</v>
          </cell>
          <cell r="H501">
            <v>10890.543999999998</v>
          </cell>
          <cell r="I501">
            <v>653</v>
          </cell>
          <cell r="J501">
            <v>0</v>
          </cell>
          <cell r="K501">
            <v>40.5</v>
          </cell>
          <cell r="L501">
            <v>441067.03199999995</v>
          </cell>
          <cell r="Y501" t="e">
            <v>#N/A</v>
          </cell>
          <cell r="Z501" t="e">
            <v>#N/A</v>
          </cell>
        </row>
        <row r="502">
          <cell r="E502" t="str">
            <v>MANO DE OBRA</v>
          </cell>
          <cell r="I502">
            <v>18400</v>
          </cell>
          <cell r="L502">
            <v>12420000</v>
          </cell>
          <cell r="Z502" t="e">
            <v>#N/A</v>
          </cell>
        </row>
        <row r="503">
          <cell r="D503" t="str">
            <v>MOANIT80</v>
          </cell>
          <cell r="E503" t="str">
            <v>Inst. Tuberia Ø 2,00 m</v>
          </cell>
          <cell r="F503" t="str">
            <v>ml</v>
          </cell>
          <cell r="G503">
            <v>1</v>
          </cell>
          <cell r="H503">
            <v>18400</v>
          </cell>
          <cell r="I503">
            <v>18400</v>
          </cell>
          <cell r="J503">
            <v>0</v>
          </cell>
          <cell r="K503">
            <v>675</v>
          </cell>
          <cell r="L503">
            <v>12420000</v>
          </cell>
          <cell r="Y503" t="e">
            <v>#N/A</v>
          </cell>
          <cell r="Z503" t="e">
            <v>#N/A</v>
          </cell>
        </row>
        <row r="505">
          <cell r="E505" t="str">
            <v>VARIOS</v>
          </cell>
          <cell r="I505">
            <v>27360</v>
          </cell>
          <cell r="L505">
            <v>18468000</v>
          </cell>
          <cell r="Z505" t="e">
            <v>#N/A</v>
          </cell>
        </row>
        <row r="506">
          <cell r="D506" t="str">
            <v>AL04RETROG</v>
          </cell>
          <cell r="E506" t="str">
            <v>Retro Oruga 320</v>
          </cell>
          <cell r="F506" t="str">
            <v>Hr</v>
          </cell>
          <cell r="G506">
            <v>0.3</v>
          </cell>
          <cell r="H506">
            <v>90000</v>
          </cell>
          <cell r="I506">
            <v>27000</v>
          </cell>
          <cell r="J506">
            <v>0</v>
          </cell>
          <cell r="K506">
            <v>202.5</v>
          </cell>
          <cell r="L506">
            <v>18225000</v>
          </cell>
          <cell r="Y506" t="e">
            <v>#N/A</v>
          </cell>
          <cell r="Z506" t="e">
            <v>#N/A</v>
          </cell>
        </row>
        <row r="507">
          <cell r="D507" t="str">
            <v>TC07HINT</v>
          </cell>
          <cell r="E507" t="str">
            <v>Herramienta Menor</v>
          </cell>
          <cell r="F507" t="str">
            <v>ML"</v>
          </cell>
          <cell r="G507">
            <v>72</v>
          </cell>
          <cell r="H507">
            <v>5</v>
          </cell>
          <cell r="I507">
            <v>360</v>
          </cell>
          <cell r="J507">
            <v>0</v>
          </cell>
          <cell r="K507">
            <v>48600</v>
          </cell>
          <cell r="L507">
            <v>243000</v>
          </cell>
          <cell r="Y507" t="e">
            <v>#N/A</v>
          </cell>
          <cell r="Z507" t="e">
            <v>#N/A</v>
          </cell>
        </row>
        <row r="508">
          <cell r="E508" t="str">
            <v>SUBTOTAL</v>
          </cell>
          <cell r="I508">
            <v>46413</v>
          </cell>
          <cell r="L508">
            <v>31328775</v>
          </cell>
          <cell r="Z508" t="e">
            <v>#N/A</v>
          </cell>
        </row>
        <row r="509">
          <cell r="E509" t="str">
            <v>A.I.U</v>
          </cell>
          <cell r="I509">
            <v>0</v>
          </cell>
          <cell r="L509">
            <v>0</v>
          </cell>
          <cell r="Z509">
            <v>0</v>
          </cell>
        </row>
        <row r="510">
          <cell r="D510" t="str">
            <v>AIUAADMON</v>
          </cell>
          <cell r="E510" t="str">
            <v>Admon</v>
          </cell>
          <cell r="F510">
            <v>0</v>
          </cell>
          <cell r="I510">
            <v>0</v>
          </cell>
          <cell r="J510">
            <v>0</v>
          </cell>
          <cell r="L510">
            <v>0</v>
          </cell>
          <cell r="Z510">
            <v>0</v>
          </cell>
        </row>
        <row r="511">
          <cell r="D511" t="str">
            <v>AIUAIMPRE</v>
          </cell>
          <cell r="E511" t="str">
            <v>Imprevistos</v>
          </cell>
          <cell r="F511">
            <v>0</v>
          </cell>
          <cell r="I511">
            <v>0</v>
          </cell>
          <cell r="J511">
            <v>0</v>
          </cell>
          <cell r="L511">
            <v>0</v>
          </cell>
          <cell r="Z511">
            <v>0</v>
          </cell>
        </row>
        <row r="512">
          <cell r="D512" t="str">
            <v>AIUAUTILI</v>
          </cell>
          <cell r="E512" t="str">
            <v>Utilidad</v>
          </cell>
          <cell r="F512">
            <v>0</v>
          </cell>
          <cell r="I512">
            <v>0</v>
          </cell>
          <cell r="J512">
            <v>0</v>
          </cell>
          <cell r="L512">
            <v>0</v>
          </cell>
          <cell r="Z512">
            <v>0</v>
          </cell>
        </row>
        <row r="513">
          <cell r="D513" t="str">
            <v>AIUAIVAUTI</v>
          </cell>
          <cell r="E513" t="str">
            <v>IVA utilidad</v>
          </cell>
          <cell r="F513">
            <v>0</v>
          </cell>
          <cell r="I513">
            <v>0</v>
          </cell>
          <cell r="J513">
            <v>0</v>
          </cell>
          <cell r="L513">
            <v>0</v>
          </cell>
          <cell r="Z513">
            <v>0</v>
          </cell>
        </row>
        <row r="515">
          <cell r="E515" t="str">
            <v>ITEM</v>
          </cell>
        </row>
        <row r="516">
          <cell r="D516" t="str">
            <v>ANITF12</v>
          </cell>
          <cell r="E516" t="str">
            <v xml:space="preserve">Instalación Tuberia Flexible  Ø 12" </v>
          </cell>
          <cell r="G516" t="str">
            <v>UN.</v>
          </cell>
          <cell r="H516" t="str">
            <v>Ml</v>
          </cell>
          <cell r="I516">
            <v>3825</v>
          </cell>
          <cell r="K516">
            <v>1173</v>
          </cell>
          <cell r="L516">
            <v>4486725</v>
          </cell>
          <cell r="N516">
            <v>185</v>
          </cell>
          <cell r="O516">
            <v>3190</v>
          </cell>
          <cell r="P516">
            <v>450</v>
          </cell>
          <cell r="Q516">
            <v>0</v>
          </cell>
          <cell r="X516">
            <v>4486725</v>
          </cell>
          <cell r="Y516" t="str">
            <v>Ml</v>
          </cell>
          <cell r="Z516" t="e">
            <v>#N/A</v>
          </cell>
          <cell r="AA516" t="e">
            <v>#N/A</v>
          </cell>
          <cell r="AB516" t="e">
            <v>#N/A</v>
          </cell>
          <cell r="AC516" t="e">
            <v>#N/A</v>
          </cell>
        </row>
        <row r="518">
          <cell r="D518" t="str">
            <v>CODIGO</v>
          </cell>
          <cell r="E518" t="str">
            <v>DESCRIPCION</v>
          </cell>
          <cell r="F518" t="str">
            <v>UN</v>
          </cell>
          <cell r="G518" t="str">
            <v>CANT</v>
          </cell>
          <cell r="H518" t="str">
            <v>V/UNIT.</v>
          </cell>
          <cell r="I518" t="str">
            <v>V/TOTAL</v>
          </cell>
          <cell r="K518" t="str">
            <v>CANT TOTAL</v>
          </cell>
          <cell r="L518" t="str">
            <v>Vr TOTAL</v>
          </cell>
          <cell r="Y518" t="str">
            <v>CANT.</v>
          </cell>
          <cell r="Z518" t="str">
            <v>V/TOTAL</v>
          </cell>
        </row>
        <row r="519">
          <cell r="E519" t="str">
            <v>MATERIALES</v>
          </cell>
          <cell r="I519">
            <v>185</v>
          </cell>
          <cell r="L519">
            <v>217005</v>
          </cell>
          <cell r="Z519" t="e">
            <v>#N/A</v>
          </cell>
        </row>
        <row r="520">
          <cell r="I520">
            <v>0</v>
          </cell>
          <cell r="J520">
            <v>0</v>
          </cell>
          <cell r="K520">
            <v>0</v>
          </cell>
          <cell r="L520">
            <v>0</v>
          </cell>
          <cell r="Y520">
            <v>0</v>
          </cell>
          <cell r="Z520">
            <v>0</v>
          </cell>
        </row>
        <row r="521">
          <cell r="D521" t="str">
            <v>MA27LUBRI</v>
          </cell>
          <cell r="E521" t="str">
            <v>Lubricante</v>
          </cell>
          <cell r="F521" t="str">
            <v>lb</v>
          </cell>
          <cell r="G521">
            <v>1.7000000000000001E-2</v>
          </cell>
          <cell r="H521">
            <v>10890.543999999998</v>
          </cell>
          <cell r="I521">
            <v>185</v>
          </cell>
          <cell r="J521">
            <v>0</v>
          </cell>
          <cell r="K521">
            <v>19.941000000000003</v>
          </cell>
          <cell r="L521">
            <v>217168.33790399999</v>
          </cell>
          <cell r="Y521" t="e">
            <v>#N/A</v>
          </cell>
          <cell r="Z521" t="e">
            <v>#N/A</v>
          </cell>
        </row>
        <row r="522">
          <cell r="I522">
            <v>0</v>
          </cell>
          <cell r="J522">
            <v>0</v>
          </cell>
          <cell r="K522">
            <v>0</v>
          </cell>
          <cell r="L522">
            <v>0</v>
          </cell>
          <cell r="Y522">
            <v>0</v>
          </cell>
          <cell r="Z522">
            <v>0</v>
          </cell>
        </row>
        <row r="524">
          <cell r="E524" t="str">
            <v>MANO DE OBRA</v>
          </cell>
          <cell r="I524">
            <v>3190</v>
          </cell>
          <cell r="L524">
            <v>3741870</v>
          </cell>
          <cell r="Z524" t="e">
            <v>#N/A</v>
          </cell>
        </row>
        <row r="525">
          <cell r="D525" t="str">
            <v>MOANITF12</v>
          </cell>
          <cell r="E525" t="str">
            <v>Inst. Tuberia Ø 12"</v>
          </cell>
          <cell r="F525" t="str">
            <v>ml</v>
          </cell>
          <cell r="G525">
            <v>1</v>
          </cell>
          <cell r="H525">
            <v>3190</v>
          </cell>
          <cell r="I525">
            <v>3190</v>
          </cell>
          <cell r="J525">
            <v>0</v>
          </cell>
          <cell r="K525">
            <v>1173</v>
          </cell>
          <cell r="L525">
            <v>3741870</v>
          </cell>
          <cell r="Y525" t="e">
            <v>#N/A</v>
          </cell>
          <cell r="Z525" t="e">
            <v>#N/A</v>
          </cell>
        </row>
        <row r="527">
          <cell r="E527" t="str">
            <v>VARIOS</v>
          </cell>
          <cell r="I527">
            <v>450</v>
          </cell>
          <cell r="L527">
            <v>527850</v>
          </cell>
          <cell r="Z527" t="e">
            <v>#N/A</v>
          </cell>
        </row>
        <row r="528">
          <cell r="D528" t="str">
            <v>TC07H400</v>
          </cell>
          <cell r="E528" t="str">
            <v>Herramienta y Varios</v>
          </cell>
          <cell r="F528" t="str">
            <v>Gb</v>
          </cell>
          <cell r="G528">
            <v>1</v>
          </cell>
          <cell r="H528">
            <v>450</v>
          </cell>
          <cell r="I528">
            <v>450</v>
          </cell>
          <cell r="J528">
            <v>0</v>
          </cell>
          <cell r="K528">
            <v>1173</v>
          </cell>
          <cell r="L528">
            <v>527850</v>
          </cell>
          <cell r="Y528" t="e">
            <v>#N/A</v>
          </cell>
          <cell r="Z528" t="e">
            <v>#N/A</v>
          </cell>
        </row>
        <row r="530">
          <cell r="E530" t="str">
            <v>SUBTOTAL</v>
          </cell>
          <cell r="I530">
            <v>3825</v>
          </cell>
          <cell r="L530">
            <v>4486725</v>
          </cell>
          <cell r="Z530" t="e">
            <v>#N/A</v>
          </cell>
        </row>
        <row r="531">
          <cell r="E531" t="str">
            <v>A.I.U</v>
          </cell>
          <cell r="I531">
            <v>0</v>
          </cell>
          <cell r="L531">
            <v>0</v>
          </cell>
          <cell r="Z531">
            <v>0</v>
          </cell>
        </row>
        <row r="532">
          <cell r="D532" t="str">
            <v>AIUAADMON</v>
          </cell>
          <cell r="E532" t="str">
            <v>Admon</v>
          </cell>
          <cell r="F532">
            <v>0</v>
          </cell>
          <cell r="I532">
            <v>0</v>
          </cell>
          <cell r="J532">
            <v>0</v>
          </cell>
          <cell r="L532">
            <v>0</v>
          </cell>
          <cell r="Z532">
            <v>0</v>
          </cell>
        </row>
        <row r="533">
          <cell r="D533" t="str">
            <v>AIUAIMPRE</v>
          </cell>
          <cell r="E533" t="str">
            <v>Imprevistos</v>
          </cell>
          <cell r="F533">
            <v>0</v>
          </cell>
          <cell r="I533">
            <v>0</v>
          </cell>
          <cell r="J533">
            <v>0</v>
          </cell>
          <cell r="L533">
            <v>0</v>
          </cell>
          <cell r="Z533">
            <v>0</v>
          </cell>
        </row>
        <row r="534">
          <cell r="D534" t="str">
            <v>AIUAUTILI</v>
          </cell>
          <cell r="E534" t="str">
            <v>Utilidad</v>
          </cell>
          <cell r="F534">
            <v>0</v>
          </cell>
          <cell r="I534">
            <v>0</v>
          </cell>
          <cell r="J534">
            <v>0</v>
          </cell>
          <cell r="L534">
            <v>0</v>
          </cell>
          <cell r="Z534">
            <v>0</v>
          </cell>
        </row>
        <row r="535">
          <cell r="D535" t="str">
            <v>AIUAIVAUTI</v>
          </cell>
          <cell r="E535" t="str">
            <v>IVA utilidad</v>
          </cell>
          <cell r="F535">
            <v>0</v>
          </cell>
          <cell r="I535">
            <v>0</v>
          </cell>
          <cell r="J535">
            <v>0</v>
          </cell>
          <cell r="L535">
            <v>0</v>
          </cell>
          <cell r="Z535">
            <v>0</v>
          </cell>
        </row>
        <row r="537">
          <cell r="E537" t="str">
            <v>ITEM</v>
          </cell>
        </row>
        <row r="538">
          <cell r="D538" t="str">
            <v>ANITF18</v>
          </cell>
          <cell r="E538" t="str">
            <v xml:space="preserve">Instalación Tuberia Flexible  Ø 14-18" </v>
          </cell>
          <cell r="G538" t="str">
            <v>UN.</v>
          </cell>
          <cell r="H538" t="str">
            <v>Ml</v>
          </cell>
          <cell r="I538">
            <v>5088</v>
          </cell>
          <cell r="K538">
            <v>522</v>
          </cell>
          <cell r="L538">
            <v>2655936</v>
          </cell>
          <cell r="N538">
            <v>218</v>
          </cell>
          <cell r="O538">
            <v>4420</v>
          </cell>
          <cell r="P538">
            <v>450</v>
          </cell>
          <cell r="Q538">
            <v>0</v>
          </cell>
          <cell r="X538">
            <v>2655936</v>
          </cell>
          <cell r="Y538" t="str">
            <v>Ml</v>
          </cell>
          <cell r="Z538" t="e">
            <v>#N/A</v>
          </cell>
          <cell r="AA538" t="e">
            <v>#N/A</v>
          </cell>
          <cell r="AB538" t="e">
            <v>#N/A</v>
          </cell>
          <cell r="AC538" t="e">
            <v>#N/A</v>
          </cell>
        </row>
        <row r="540">
          <cell r="D540" t="str">
            <v>CODIGO</v>
          </cell>
          <cell r="E540" t="str">
            <v>DESCRIPCION</v>
          </cell>
          <cell r="F540" t="str">
            <v>UN</v>
          </cell>
          <cell r="G540" t="str">
            <v>CANT</v>
          </cell>
          <cell r="H540" t="str">
            <v>V/UNIT.</v>
          </cell>
          <cell r="I540" t="str">
            <v>V/TOTAL</v>
          </cell>
          <cell r="K540" t="str">
            <v>CANT TOTAL</v>
          </cell>
          <cell r="L540" t="str">
            <v>Vr TOTAL</v>
          </cell>
          <cell r="Y540" t="str">
            <v>CANT.</v>
          </cell>
          <cell r="Z540" t="str">
            <v>V/TOTAL</v>
          </cell>
        </row>
        <row r="541">
          <cell r="E541" t="str">
            <v>MATERIALES</v>
          </cell>
          <cell r="I541">
            <v>218</v>
          </cell>
          <cell r="L541">
            <v>113796</v>
          </cell>
          <cell r="Z541" t="e">
            <v>#N/A</v>
          </cell>
        </row>
        <row r="542">
          <cell r="I542">
            <v>0</v>
          </cell>
          <cell r="J542">
            <v>0</v>
          </cell>
          <cell r="K542">
            <v>0</v>
          </cell>
          <cell r="L542">
            <v>0</v>
          </cell>
          <cell r="Y542">
            <v>0</v>
          </cell>
          <cell r="Z542">
            <v>0</v>
          </cell>
        </row>
        <row r="543">
          <cell r="D543" t="str">
            <v>MA27LUBRI</v>
          </cell>
          <cell r="E543" t="str">
            <v>Lubricante</v>
          </cell>
          <cell r="F543" t="str">
            <v>lb</v>
          </cell>
          <cell r="G543">
            <v>0.02</v>
          </cell>
          <cell r="H543">
            <v>10890.543999999998</v>
          </cell>
          <cell r="I543">
            <v>218</v>
          </cell>
          <cell r="J543">
            <v>0</v>
          </cell>
          <cell r="K543">
            <v>10.44</v>
          </cell>
          <cell r="L543">
            <v>113697.27935999997</v>
          </cell>
          <cell r="Y543" t="e">
            <v>#N/A</v>
          </cell>
          <cell r="Z543" t="e">
            <v>#N/A</v>
          </cell>
        </row>
        <row r="544">
          <cell r="I544">
            <v>0</v>
          </cell>
          <cell r="J544">
            <v>0</v>
          </cell>
          <cell r="K544">
            <v>0</v>
          </cell>
          <cell r="L544">
            <v>0</v>
          </cell>
          <cell r="Y544">
            <v>0</v>
          </cell>
          <cell r="Z544">
            <v>0</v>
          </cell>
        </row>
        <row r="546">
          <cell r="E546" t="str">
            <v>MANO DE OBRA</v>
          </cell>
          <cell r="I546">
            <v>4420</v>
          </cell>
          <cell r="L546">
            <v>2307240</v>
          </cell>
          <cell r="Z546" t="e">
            <v>#N/A</v>
          </cell>
        </row>
        <row r="547">
          <cell r="D547" t="str">
            <v>MOANITF18</v>
          </cell>
          <cell r="E547" t="str">
            <v>Inst. Tuberia Ø 14-18"</v>
          </cell>
          <cell r="F547" t="str">
            <v>ml</v>
          </cell>
          <cell r="G547">
            <v>1</v>
          </cell>
          <cell r="H547">
            <v>4420</v>
          </cell>
          <cell r="I547">
            <v>4420</v>
          </cell>
          <cell r="J547">
            <v>0</v>
          </cell>
          <cell r="K547">
            <v>522</v>
          </cell>
          <cell r="L547">
            <v>2307240</v>
          </cell>
          <cell r="Y547" t="e">
            <v>#N/A</v>
          </cell>
          <cell r="Z547" t="e">
            <v>#N/A</v>
          </cell>
        </row>
        <row r="549">
          <cell r="E549" t="str">
            <v>VARIOS</v>
          </cell>
          <cell r="I549">
            <v>450</v>
          </cell>
          <cell r="L549">
            <v>234900</v>
          </cell>
          <cell r="Z549" t="e">
            <v>#N/A</v>
          </cell>
        </row>
        <row r="550">
          <cell r="D550" t="str">
            <v>TC07H400</v>
          </cell>
          <cell r="E550" t="str">
            <v>Herramienta y Varios</v>
          </cell>
          <cell r="F550" t="str">
            <v>Gb</v>
          </cell>
          <cell r="G550">
            <v>1</v>
          </cell>
          <cell r="H550">
            <v>450</v>
          </cell>
          <cell r="I550">
            <v>450</v>
          </cell>
          <cell r="J550">
            <v>0</v>
          </cell>
          <cell r="K550">
            <v>522</v>
          </cell>
          <cell r="L550">
            <v>234900</v>
          </cell>
          <cell r="Y550" t="e">
            <v>#N/A</v>
          </cell>
          <cell r="Z550" t="e">
            <v>#N/A</v>
          </cell>
        </row>
        <row r="552">
          <cell r="E552" t="str">
            <v>SUBTOTAL</v>
          </cell>
          <cell r="I552">
            <v>5088</v>
          </cell>
          <cell r="L552">
            <v>2655936</v>
          </cell>
          <cell r="Z552" t="e">
            <v>#N/A</v>
          </cell>
        </row>
        <row r="553">
          <cell r="E553" t="str">
            <v>A.I.U</v>
          </cell>
          <cell r="I553">
            <v>0</v>
          </cell>
          <cell r="L553">
            <v>0</v>
          </cell>
          <cell r="Z553">
            <v>0</v>
          </cell>
        </row>
        <row r="554">
          <cell r="D554" t="str">
            <v>AIUAADMON</v>
          </cell>
          <cell r="E554" t="str">
            <v>Admon</v>
          </cell>
          <cell r="F554">
            <v>0</v>
          </cell>
          <cell r="I554">
            <v>0</v>
          </cell>
          <cell r="J554">
            <v>0</v>
          </cell>
          <cell r="L554">
            <v>0</v>
          </cell>
          <cell r="Z554">
            <v>0</v>
          </cell>
        </row>
        <row r="555">
          <cell r="D555" t="str">
            <v>AIUAIMPRE</v>
          </cell>
          <cell r="E555" t="str">
            <v>Imprevistos</v>
          </cell>
          <cell r="F555">
            <v>0</v>
          </cell>
          <cell r="I555">
            <v>0</v>
          </cell>
          <cell r="J555">
            <v>0</v>
          </cell>
          <cell r="L555">
            <v>0</v>
          </cell>
          <cell r="Z555">
            <v>0</v>
          </cell>
        </row>
        <row r="556">
          <cell r="D556" t="str">
            <v>AIUAUTILI</v>
          </cell>
          <cell r="E556" t="str">
            <v>Utilidad</v>
          </cell>
          <cell r="F556">
            <v>0</v>
          </cell>
          <cell r="I556">
            <v>0</v>
          </cell>
          <cell r="J556">
            <v>0</v>
          </cell>
          <cell r="L556">
            <v>0</v>
          </cell>
          <cell r="Z556">
            <v>0</v>
          </cell>
        </row>
        <row r="557">
          <cell r="D557" t="str">
            <v>AIUAIVAUTI</v>
          </cell>
          <cell r="E557" t="str">
            <v>IVA utilidad</v>
          </cell>
          <cell r="F557">
            <v>0</v>
          </cell>
          <cell r="I557">
            <v>0</v>
          </cell>
          <cell r="J557">
            <v>0</v>
          </cell>
          <cell r="L557">
            <v>0</v>
          </cell>
          <cell r="Z557">
            <v>0</v>
          </cell>
        </row>
        <row r="559">
          <cell r="E559" t="str">
            <v>ITEM</v>
          </cell>
        </row>
        <row r="560">
          <cell r="D560" t="str">
            <v>ANITF24</v>
          </cell>
          <cell r="E560" t="str">
            <v xml:space="preserve">Instalación Tuberia Flexible  Ø 20-24" </v>
          </cell>
          <cell r="G560" t="str">
            <v>UN.</v>
          </cell>
          <cell r="H560" t="str">
            <v>Ml</v>
          </cell>
          <cell r="I560">
            <v>6428</v>
          </cell>
          <cell r="K560">
            <v>0</v>
          </cell>
          <cell r="L560">
            <v>0</v>
          </cell>
          <cell r="N560">
            <v>218</v>
          </cell>
          <cell r="O560">
            <v>5760</v>
          </cell>
          <cell r="P560">
            <v>450</v>
          </cell>
          <cell r="Q560">
            <v>0</v>
          </cell>
          <cell r="X560">
            <v>0</v>
          </cell>
          <cell r="Y560" t="str">
            <v>Ml</v>
          </cell>
          <cell r="Z560" t="e">
            <v>#N/A</v>
          </cell>
          <cell r="AA560" t="e">
            <v>#N/A</v>
          </cell>
          <cell r="AB560" t="e">
            <v>#N/A</v>
          </cell>
          <cell r="AC560" t="e">
            <v>#N/A</v>
          </cell>
        </row>
        <row r="562">
          <cell r="D562" t="str">
            <v>CODIGO</v>
          </cell>
          <cell r="E562" t="str">
            <v>DESCRIPCION</v>
          </cell>
          <cell r="F562" t="str">
            <v>UN</v>
          </cell>
          <cell r="G562" t="str">
            <v>CANT</v>
          </cell>
          <cell r="H562" t="str">
            <v>V/UNIT.</v>
          </cell>
          <cell r="I562" t="str">
            <v>V/TOTAL</v>
          </cell>
          <cell r="K562" t="str">
            <v>CANT TOTAL</v>
          </cell>
          <cell r="L562" t="str">
            <v>Vr TOTAL</v>
          </cell>
          <cell r="Y562" t="str">
            <v>CANT.</v>
          </cell>
          <cell r="Z562" t="str">
            <v>V/TOTAL</v>
          </cell>
        </row>
        <row r="563">
          <cell r="E563" t="str">
            <v>MATERIALES</v>
          </cell>
          <cell r="I563">
            <v>218</v>
          </cell>
          <cell r="L563">
            <v>0</v>
          </cell>
          <cell r="Z563" t="e">
            <v>#N/A</v>
          </cell>
        </row>
        <row r="564">
          <cell r="D564" t="str">
            <v>MA27LUBRI</v>
          </cell>
          <cell r="E564" t="str">
            <v>Lubricante</v>
          </cell>
          <cell r="F564" t="str">
            <v>lb</v>
          </cell>
          <cell r="G564">
            <v>0.02</v>
          </cell>
          <cell r="H564">
            <v>10890.543999999998</v>
          </cell>
          <cell r="I564">
            <v>218</v>
          </cell>
          <cell r="J564">
            <v>0</v>
          </cell>
          <cell r="K564">
            <v>0</v>
          </cell>
          <cell r="L564">
            <v>0</v>
          </cell>
          <cell r="Y564" t="e">
            <v>#N/A</v>
          </cell>
          <cell r="Z564" t="e">
            <v>#N/A</v>
          </cell>
        </row>
        <row r="565">
          <cell r="I565">
            <v>0</v>
          </cell>
          <cell r="J565">
            <v>0</v>
          </cell>
          <cell r="K565">
            <v>0</v>
          </cell>
          <cell r="L565">
            <v>0</v>
          </cell>
          <cell r="Y565">
            <v>0</v>
          </cell>
          <cell r="Z565">
            <v>0</v>
          </cell>
        </row>
        <row r="566">
          <cell r="I566">
            <v>0</v>
          </cell>
          <cell r="J566">
            <v>0</v>
          </cell>
          <cell r="K566">
            <v>0</v>
          </cell>
          <cell r="L566">
            <v>0</v>
          </cell>
          <cell r="Y566">
            <v>0</v>
          </cell>
          <cell r="Z566">
            <v>0</v>
          </cell>
        </row>
        <row r="568">
          <cell r="E568" t="str">
            <v>MANO DE OBRA</v>
          </cell>
          <cell r="I568">
            <v>5760</v>
          </cell>
          <cell r="L568">
            <v>0</v>
          </cell>
          <cell r="Z568" t="e">
            <v>#N/A</v>
          </cell>
        </row>
        <row r="569">
          <cell r="D569" t="str">
            <v>MOANITF24</v>
          </cell>
          <cell r="E569" t="str">
            <v>Inst. Tuberia Ø 20-24"</v>
          </cell>
          <cell r="F569" t="str">
            <v>ml</v>
          </cell>
          <cell r="G569">
            <v>1</v>
          </cell>
          <cell r="H569">
            <v>5760</v>
          </cell>
          <cell r="I569">
            <v>5760</v>
          </cell>
          <cell r="J569">
            <v>0</v>
          </cell>
          <cell r="K569">
            <v>0</v>
          </cell>
          <cell r="L569">
            <v>0</v>
          </cell>
          <cell r="Y569" t="e">
            <v>#N/A</v>
          </cell>
          <cell r="Z569" t="e">
            <v>#N/A</v>
          </cell>
        </row>
        <row r="571">
          <cell r="E571" t="str">
            <v>VARIOS</v>
          </cell>
          <cell r="I571">
            <v>450</v>
          </cell>
          <cell r="L571">
            <v>0</v>
          </cell>
          <cell r="Z571" t="e">
            <v>#N/A</v>
          </cell>
        </row>
        <row r="572">
          <cell r="D572" t="str">
            <v>TC07H400</v>
          </cell>
          <cell r="E572" t="str">
            <v>Herramienta y Varios</v>
          </cell>
          <cell r="F572" t="str">
            <v>Gb</v>
          </cell>
          <cell r="G572">
            <v>1</v>
          </cell>
          <cell r="H572">
            <v>450</v>
          </cell>
          <cell r="I572">
            <v>450</v>
          </cell>
          <cell r="J572">
            <v>0</v>
          </cell>
          <cell r="K572">
            <v>0</v>
          </cell>
          <cell r="L572">
            <v>0</v>
          </cell>
          <cell r="Y572" t="e">
            <v>#N/A</v>
          </cell>
          <cell r="Z572" t="e">
            <v>#N/A</v>
          </cell>
        </row>
        <row r="574">
          <cell r="E574" t="str">
            <v>SUBTOTAL</v>
          </cell>
          <cell r="I574">
            <v>6428</v>
          </cell>
          <cell r="L574">
            <v>0</v>
          </cell>
          <cell r="Z574" t="e">
            <v>#N/A</v>
          </cell>
        </row>
        <row r="575">
          <cell r="E575" t="str">
            <v>A.I.U</v>
          </cell>
          <cell r="I575">
            <v>0</v>
          </cell>
          <cell r="L575">
            <v>0</v>
          </cell>
          <cell r="Z575">
            <v>0</v>
          </cell>
        </row>
        <row r="576">
          <cell r="D576" t="str">
            <v>AIUAADMON</v>
          </cell>
          <cell r="E576" t="str">
            <v>Admon</v>
          </cell>
          <cell r="F576">
            <v>0</v>
          </cell>
          <cell r="I576">
            <v>0</v>
          </cell>
          <cell r="J576">
            <v>0</v>
          </cell>
          <cell r="L576">
            <v>0</v>
          </cell>
          <cell r="Z576">
            <v>0</v>
          </cell>
        </row>
        <row r="577">
          <cell r="D577" t="str">
            <v>AIUAIMPRE</v>
          </cell>
          <cell r="E577" t="str">
            <v>Imprevistos</v>
          </cell>
          <cell r="F577">
            <v>0</v>
          </cell>
          <cell r="I577">
            <v>0</v>
          </cell>
          <cell r="J577">
            <v>0</v>
          </cell>
          <cell r="L577">
            <v>0</v>
          </cell>
          <cell r="Z577">
            <v>0</v>
          </cell>
        </row>
        <row r="578">
          <cell r="D578" t="str">
            <v>AIUAUTILI</v>
          </cell>
          <cell r="E578" t="str">
            <v>Utilidad</v>
          </cell>
          <cell r="F578">
            <v>0</v>
          </cell>
          <cell r="I578">
            <v>0</v>
          </cell>
          <cell r="J578">
            <v>0</v>
          </cell>
          <cell r="L578">
            <v>0</v>
          </cell>
          <cell r="Z578">
            <v>0</v>
          </cell>
        </row>
        <row r="579">
          <cell r="D579" t="str">
            <v>AIUAIVAUTI</v>
          </cell>
          <cell r="E579" t="str">
            <v>IVA utilidad</v>
          </cell>
          <cell r="F579">
            <v>0</v>
          </cell>
          <cell r="I579">
            <v>0</v>
          </cell>
          <cell r="J579">
            <v>0</v>
          </cell>
          <cell r="L579">
            <v>0</v>
          </cell>
          <cell r="Z579">
            <v>0</v>
          </cell>
        </row>
        <row r="581">
          <cell r="E581" t="str">
            <v>ITEM</v>
          </cell>
        </row>
        <row r="582">
          <cell r="D582" t="str">
            <v>ANSCRC130</v>
          </cell>
          <cell r="E582" t="str">
            <v>Suministro Tuberia Concreto TCR CL-1 30"</v>
          </cell>
          <cell r="G582" t="str">
            <v>UN.</v>
          </cell>
          <cell r="H582" t="str">
            <v>Ml</v>
          </cell>
          <cell r="I582">
            <v>168472</v>
          </cell>
          <cell r="K582">
            <v>105.3</v>
          </cell>
          <cell r="L582">
            <v>17740101.599999998</v>
          </cell>
          <cell r="N582">
            <v>160520</v>
          </cell>
          <cell r="O582">
            <v>0</v>
          </cell>
          <cell r="P582">
            <v>7952</v>
          </cell>
          <cell r="Q582">
            <v>0</v>
          </cell>
          <cell r="X582">
            <v>17740101.599999998</v>
          </cell>
          <cell r="Y582" t="str">
            <v>Ml</v>
          </cell>
          <cell r="Z582" t="e">
            <v>#N/A</v>
          </cell>
          <cell r="AA582" t="e">
            <v>#N/A</v>
          </cell>
          <cell r="AB582">
            <v>0</v>
          </cell>
          <cell r="AC582" t="e">
            <v>#N/A</v>
          </cell>
        </row>
        <row r="584">
          <cell r="D584" t="str">
            <v>CODIGO</v>
          </cell>
          <cell r="E584" t="str">
            <v>DESCRIPCION</v>
          </cell>
          <cell r="F584" t="str">
            <v>UN</v>
          </cell>
          <cell r="G584" t="str">
            <v>CANT</v>
          </cell>
          <cell r="H584" t="str">
            <v>V/UNIT.</v>
          </cell>
          <cell r="I584" t="str">
            <v>V/TOTAL</v>
          </cell>
          <cell r="K584" t="str">
            <v>CANT TOTAL</v>
          </cell>
          <cell r="L584" t="str">
            <v>Vr TOTAL</v>
          </cell>
          <cell r="Y584" t="str">
            <v>CANT.</v>
          </cell>
          <cell r="Z584" t="str">
            <v>V/TOTAL</v>
          </cell>
        </row>
        <row r="585">
          <cell r="E585" t="str">
            <v>MATERIALES</v>
          </cell>
          <cell r="I585">
            <v>160520</v>
          </cell>
          <cell r="L585">
            <v>16902756</v>
          </cell>
          <cell r="Z585" t="e">
            <v>#N/A</v>
          </cell>
        </row>
        <row r="586">
          <cell r="D586" t="str">
            <v>MA46TCRC130</v>
          </cell>
          <cell r="E586" t="str">
            <v>Tuberia concreto TCR CL-I 30"</v>
          </cell>
          <cell r="F586" t="str">
            <v>ml</v>
          </cell>
          <cell r="G586">
            <v>1</v>
          </cell>
          <cell r="H586">
            <v>160520</v>
          </cell>
          <cell r="I586">
            <v>160520</v>
          </cell>
          <cell r="J586">
            <v>0</v>
          </cell>
          <cell r="K586">
            <v>105.3</v>
          </cell>
          <cell r="L586">
            <v>16902756</v>
          </cell>
          <cell r="Y586" t="e">
            <v>#N/A</v>
          </cell>
          <cell r="Z586" t="e">
            <v>#N/A</v>
          </cell>
        </row>
        <row r="589">
          <cell r="E589" t="str">
            <v>MANO DE OBRA</v>
          </cell>
          <cell r="I589">
            <v>0</v>
          </cell>
          <cell r="L589">
            <v>0</v>
          </cell>
          <cell r="Z589">
            <v>0</v>
          </cell>
        </row>
        <row r="592">
          <cell r="E592" t="str">
            <v>VARIOS</v>
          </cell>
          <cell r="I592">
            <v>7952</v>
          </cell>
          <cell r="L592">
            <v>837345.6</v>
          </cell>
          <cell r="Z592" t="e">
            <v>#N/A</v>
          </cell>
        </row>
        <row r="593">
          <cell r="D593" t="str">
            <v>TC60TT</v>
          </cell>
          <cell r="E593" t="str">
            <v>Transporte Tuberia</v>
          </cell>
          <cell r="F593" t="str">
            <v>Kg</v>
          </cell>
          <cell r="G593">
            <v>568</v>
          </cell>
          <cell r="H593">
            <v>14</v>
          </cell>
          <cell r="I593">
            <v>7952</v>
          </cell>
          <cell r="J593">
            <v>0</v>
          </cell>
          <cell r="K593">
            <v>59810.400000000001</v>
          </cell>
          <cell r="L593">
            <v>837345.6</v>
          </cell>
          <cell r="Y593" t="e">
            <v>#N/A</v>
          </cell>
          <cell r="Z593" t="e">
            <v>#N/A</v>
          </cell>
        </row>
        <row r="594">
          <cell r="E594" t="str">
            <v>SUBTOTAL</v>
          </cell>
          <cell r="I594">
            <v>168472</v>
          </cell>
          <cell r="L594">
            <v>17740101.599999998</v>
          </cell>
          <cell r="Z594" t="e">
            <v>#N/A</v>
          </cell>
        </row>
        <row r="595">
          <cell r="E595" t="str">
            <v>A.I.U</v>
          </cell>
          <cell r="I595">
            <v>0</v>
          </cell>
          <cell r="L595">
            <v>0</v>
          </cell>
          <cell r="Z595">
            <v>0</v>
          </cell>
        </row>
        <row r="596">
          <cell r="D596" t="str">
            <v>AIUAADMON</v>
          </cell>
          <cell r="E596" t="str">
            <v>Admon</v>
          </cell>
          <cell r="F596">
            <v>0</v>
          </cell>
          <cell r="I596">
            <v>0</v>
          </cell>
          <cell r="J596">
            <v>0</v>
          </cell>
          <cell r="L596">
            <v>0</v>
          </cell>
          <cell r="Z596">
            <v>0</v>
          </cell>
        </row>
        <row r="597">
          <cell r="D597" t="str">
            <v>AIUAIMPRE</v>
          </cell>
          <cell r="E597" t="str">
            <v>Imprevistos</v>
          </cell>
          <cell r="F597">
            <v>0</v>
          </cell>
          <cell r="I597">
            <v>0</v>
          </cell>
          <cell r="J597">
            <v>0</v>
          </cell>
          <cell r="L597">
            <v>0</v>
          </cell>
          <cell r="Z597">
            <v>0</v>
          </cell>
        </row>
        <row r="598">
          <cell r="D598" t="str">
            <v>AIUAUTILI</v>
          </cell>
          <cell r="E598" t="str">
            <v>Utilidad</v>
          </cell>
          <cell r="F598">
            <v>0</v>
          </cell>
          <cell r="I598">
            <v>0</v>
          </cell>
          <cell r="J598">
            <v>0</v>
          </cell>
          <cell r="L598">
            <v>0</v>
          </cell>
          <cell r="Z598">
            <v>0</v>
          </cell>
        </row>
        <row r="599">
          <cell r="D599" t="str">
            <v>AIUAIVAUTI</v>
          </cell>
          <cell r="E599" t="str">
            <v>IVA utilidad</v>
          </cell>
          <cell r="F599">
            <v>0</v>
          </cell>
          <cell r="I599">
            <v>0</v>
          </cell>
          <cell r="J599">
            <v>0</v>
          </cell>
          <cell r="L599">
            <v>0</v>
          </cell>
          <cell r="Z599">
            <v>0</v>
          </cell>
        </row>
        <row r="601">
          <cell r="E601" t="str">
            <v>ITEM</v>
          </cell>
        </row>
        <row r="602">
          <cell r="D602" t="str">
            <v>ANSCRC136</v>
          </cell>
          <cell r="E602" t="str">
            <v>Suministro Tuberia Concreto TCR CL-1 36"</v>
          </cell>
          <cell r="G602" t="str">
            <v>UN.</v>
          </cell>
          <cell r="H602" t="str">
            <v>Ml</v>
          </cell>
          <cell r="I602">
            <v>218113</v>
          </cell>
          <cell r="K602">
            <v>0</v>
          </cell>
          <cell r="L602">
            <v>0</v>
          </cell>
          <cell r="N602">
            <v>205905</v>
          </cell>
          <cell r="O602">
            <v>0</v>
          </cell>
          <cell r="P602">
            <v>12208</v>
          </cell>
          <cell r="Q602">
            <v>0</v>
          </cell>
          <cell r="X602">
            <v>0</v>
          </cell>
          <cell r="Y602" t="str">
            <v>Ml</v>
          </cell>
          <cell r="Z602" t="e">
            <v>#N/A</v>
          </cell>
          <cell r="AA602" t="e">
            <v>#N/A</v>
          </cell>
          <cell r="AB602">
            <v>0</v>
          </cell>
          <cell r="AC602" t="e">
            <v>#N/A</v>
          </cell>
        </row>
        <row r="604">
          <cell r="D604" t="str">
            <v>CODIGO</v>
          </cell>
          <cell r="E604" t="str">
            <v>DESCRIPCION</v>
          </cell>
          <cell r="F604" t="str">
            <v>UN</v>
          </cell>
          <cell r="G604" t="str">
            <v>CANT</v>
          </cell>
          <cell r="H604" t="str">
            <v>V/UNIT.</v>
          </cell>
          <cell r="I604" t="str">
            <v>V/TOTAL</v>
          </cell>
          <cell r="K604" t="str">
            <v>CANT TOTAL</v>
          </cell>
          <cell r="L604" t="str">
            <v>Vr TOTAL</v>
          </cell>
          <cell r="Y604" t="str">
            <v>CANT.</v>
          </cell>
          <cell r="Z604" t="str">
            <v>V/TOTAL</v>
          </cell>
        </row>
        <row r="605">
          <cell r="E605" t="str">
            <v>MATERIALES</v>
          </cell>
          <cell r="I605">
            <v>205905</v>
          </cell>
          <cell r="L605">
            <v>0</v>
          </cell>
          <cell r="Z605" t="e">
            <v>#N/A</v>
          </cell>
        </row>
        <row r="606">
          <cell r="D606" t="str">
            <v>MA46TCRC136</v>
          </cell>
          <cell r="E606" t="str">
            <v>Tuberia concreto TCR CL-I 36"</v>
          </cell>
          <cell r="F606" t="str">
            <v>ml</v>
          </cell>
          <cell r="G606">
            <v>1</v>
          </cell>
          <cell r="H606">
            <v>205904.64000000001</v>
          </cell>
          <cell r="I606">
            <v>205905</v>
          </cell>
          <cell r="J606">
            <v>0</v>
          </cell>
          <cell r="K606">
            <v>0</v>
          </cell>
          <cell r="L606">
            <v>0</v>
          </cell>
          <cell r="Y606" t="e">
            <v>#N/A</v>
          </cell>
          <cell r="Z606" t="e">
            <v>#N/A</v>
          </cell>
        </row>
        <row r="609">
          <cell r="E609" t="str">
            <v>MANO DE OBRA</v>
          </cell>
          <cell r="I609">
            <v>0</v>
          </cell>
          <cell r="L609">
            <v>0</v>
          </cell>
          <cell r="Z609">
            <v>0</v>
          </cell>
        </row>
        <row r="612">
          <cell r="E612" t="str">
            <v>VARIOS</v>
          </cell>
          <cell r="I612">
            <v>12208</v>
          </cell>
          <cell r="L612">
            <v>0</v>
          </cell>
          <cell r="Z612" t="e">
            <v>#N/A</v>
          </cell>
        </row>
        <row r="613">
          <cell r="D613" t="str">
            <v>TC60TT</v>
          </cell>
          <cell r="E613" t="str">
            <v>Transporte Tuberia</v>
          </cell>
          <cell r="F613" t="str">
            <v>Kg</v>
          </cell>
          <cell r="G613">
            <v>872</v>
          </cell>
          <cell r="H613">
            <v>14</v>
          </cell>
          <cell r="I613">
            <v>12208</v>
          </cell>
          <cell r="J613">
            <v>0</v>
          </cell>
          <cell r="K613">
            <v>0</v>
          </cell>
          <cell r="L613">
            <v>0</v>
          </cell>
          <cell r="Y613" t="e">
            <v>#N/A</v>
          </cell>
          <cell r="Z613" t="e">
            <v>#N/A</v>
          </cell>
        </row>
        <row r="614">
          <cell r="E614" t="str">
            <v>SUBTOTAL</v>
          </cell>
          <cell r="I614">
            <v>218113</v>
          </cell>
          <cell r="L614">
            <v>0</v>
          </cell>
          <cell r="Z614" t="e">
            <v>#N/A</v>
          </cell>
        </row>
        <row r="615">
          <cell r="E615" t="str">
            <v>A.I.U</v>
          </cell>
          <cell r="I615">
            <v>0</v>
          </cell>
          <cell r="L615">
            <v>0</v>
          </cell>
          <cell r="Z615">
            <v>0</v>
          </cell>
        </row>
        <row r="616">
          <cell r="D616" t="str">
            <v>AIUAADMON</v>
          </cell>
          <cell r="E616" t="str">
            <v>Admon</v>
          </cell>
          <cell r="F616">
            <v>0</v>
          </cell>
          <cell r="I616">
            <v>0</v>
          </cell>
          <cell r="J616">
            <v>0</v>
          </cell>
          <cell r="L616">
            <v>0</v>
          </cell>
          <cell r="Z616">
            <v>0</v>
          </cell>
        </row>
        <row r="617">
          <cell r="D617" t="str">
            <v>AIUAIMPRE</v>
          </cell>
          <cell r="E617" t="str">
            <v>Imprevistos</v>
          </cell>
          <cell r="F617">
            <v>0</v>
          </cell>
          <cell r="I617">
            <v>0</v>
          </cell>
          <cell r="J617">
            <v>0</v>
          </cell>
          <cell r="L617">
            <v>0</v>
          </cell>
          <cell r="Z617">
            <v>0</v>
          </cell>
        </row>
        <row r="618">
          <cell r="D618" t="str">
            <v>AIUAUTILI</v>
          </cell>
          <cell r="E618" t="str">
            <v>Utilidad</v>
          </cell>
          <cell r="F618">
            <v>0</v>
          </cell>
          <cell r="I618">
            <v>0</v>
          </cell>
          <cell r="J618">
            <v>0</v>
          </cell>
          <cell r="L618">
            <v>0</v>
          </cell>
          <cell r="Z618">
            <v>0</v>
          </cell>
        </row>
        <row r="619">
          <cell r="D619" t="str">
            <v>AIUAIVAUTI</v>
          </cell>
          <cell r="E619" t="str">
            <v>IVA utilidad</v>
          </cell>
          <cell r="F619">
            <v>0</v>
          </cell>
          <cell r="I619">
            <v>0</v>
          </cell>
          <cell r="J619">
            <v>0</v>
          </cell>
          <cell r="L619">
            <v>0</v>
          </cell>
          <cell r="Z619">
            <v>0</v>
          </cell>
        </row>
        <row r="621">
          <cell r="E621" t="str">
            <v>ITEM</v>
          </cell>
        </row>
        <row r="622">
          <cell r="D622" t="str">
            <v>ANSCRC156</v>
          </cell>
          <cell r="E622" t="str">
            <v>Suministro Tuberia Concreto TCR CL-1 Ø 1,40 m</v>
          </cell>
          <cell r="G622" t="str">
            <v>UN.</v>
          </cell>
          <cell r="H622" t="str">
            <v>Ml</v>
          </cell>
          <cell r="I622">
            <v>444059</v>
          </cell>
          <cell r="K622">
            <v>6</v>
          </cell>
          <cell r="L622">
            <v>2664354</v>
          </cell>
          <cell r="N622">
            <v>420987</v>
          </cell>
          <cell r="O622">
            <v>0</v>
          </cell>
          <cell r="P622">
            <v>23072</v>
          </cell>
          <cell r="Q622">
            <v>0</v>
          </cell>
          <cell r="X622">
            <v>2664354</v>
          </cell>
          <cell r="Y622" t="str">
            <v>Ml</v>
          </cell>
          <cell r="Z622" t="e">
            <v>#N/A</v>
          </cell>
          <cell r="AA622" t="e">
            <v>#N/A</v>
          </cell>
          <cell r="AB622">
            <v>0</v>
          </cell>
          <cell r="AC622" t="e">
            <v>#N/A</v>
          </cell>
        </row>
        <row r="624">
          <cell r="D624" t="str">
            <v>CODIGO</v>
          </cell>
          <cell r="E624" t="str">
            <v>DESCRIPCION</v>
          </cell>
          <cell r="F624" t="str">
            <v>UN</v>
          </cell>
          <cell r="G624" t="str">
            <v>CANT</v>
          </cell>
          <cell r="H624" t="str">
            <v>V/UNIT.</v>
          </cell>
          <cell r="I624" t="str">
            <v>V/TOTAL</v>
          </cell>
          <cell r="K624" t="str">
            <v>CANT TOTAL</v>
          </cell>
          <cell r="L624" t="str">
            <v>Vr TOTAL</v>
          </cell>
          <cell r="Y624" t="str">
            <v>CANT.</v>
          </cell>
          <cell r="Z624" t="str">
            <v>V/TOTAL</v>
          </cell>
        </row>
        <row r="625">
          <cell r="E625" t="str">
            <v>MATERIALES</v>
          </cell>
          <cell r="I625">
            <v>420987</v>
          </cell>
          <cell r="L625">
            <v>2525922</v>
          </cell>
          <cell r="Z625" t="e">
            <v>#N/A</v>
          </cell>
        </row>
        <row r="626">
          <cell r="D626" t="str">
            <v>MA46TCRC156</v>
          </cell>
          <cell r="E626" t="str">
            <v>Tuberia concreto TCR CL-I 1,40 m</v>
          </cell>
          <cell r="F626" t="str">
            <v>ml</v>
          </cell>
          <cell r="G626">
            <v>1</v>
          </cell>
          <cell r="H626">
            <v>420987.2</v>
          </cell>
          <cell r="I626">
            <v>420987</v>
          </cell>
          <cell r="J626">
            <v>0</v>
          </cell>
          <cell r="K626">
            <v>6</v>
          </cell>
          <cell r="L626">
            <v>2525923.2000000002</v>
          </cell>
          <cell r="Y626" t="e">
            <v>#N/A</v>
          </cell>
          <cell r="Z626" t="e">
            <v>#N/A</v>
          </cell>
        </row>
        <row r="629">
          <cell r="E629" t="str">
            <v>MANO DE OBRA</v>
          </cell>
          <cell r="I629">
            <v>0</v>
          </cell>
          <cell r="L629">
            <v>0</v>
          </cell>
          <cell r="Z629">
            <v>0</v>
          </cell>
        </row>
        <row r="632">
          <cell r="E632" t="str">
            <v>VARIOS</v>
          </cell>
          <cell r="I632">
            <v>23072</v>
          </cell>
          <cell r="L632">
            <v>138432</v>
          </cell>
          <cell r="Z632" t="e">
            <v>#N/A</v>
          </cell>
        </row>
        <row r="633">
          <cell r="D633" t="str">
            <v>TC60TT</v>
          </cell>
          <cell r="E633" t="str">
            <v>Transporte Tuberia</v>
          </cell>
          <cell r="F633" t="str">
            <v>Kg</v>
          </cell>
          <cell r="G633">
            <v>1648</v>
          </cell>
          <cell r="H633">
            <v>14</v>
          </cell>
          <cell r="I633">
            <v>23072</v>
          </cell>
          <cell r="J633">
            <v>0</v>
          </cell>
          <cell r="K633">
            <v>9888</v>
          </cell>
          <cell r="L633">
            <v>138432</v>
          </cell>
          <cell r="Y633" t="e">
            <v>#N/A</v>
          </cell>
          <cell r="Z633" t="e">
            <v>#N/A</v>
          </cell>
        </row>
        <row r="634">
          <cell r="E634" t="str">
            <v>SUBTOTAL</v>
          </cell>
          <cell r="I634">
            <v>444059</v>
          </cell>
          <cell r="L634">
            <v>2664354</v>
          </cell>
          <cell r="Z634" t="e">
            <v>#N/A</v>
          </cell>
        </row>
        <row r="635">
          <cell r="E635" t="str">
            <v>A.I.U</v>
          </cell>
          <cell r="I635">
            <v>0</v>
          </cell>
          <cell r="L635">
            <v>0</v>
          </cell>
          <cell r="Z635">
            <v>0</v>
          </cell>
        </row>
        <row r="636">
          <cell r="D636" t="str">
            <v>AIUAADMON</v>
          </cell>
          <cell r="E636" t="str">
            <v>Admon</v>
          </cell>
          <cell r="F636">
            <v>0</v>
          </cell>
          <cell r="I636">
            <v>0</v>
          </cell>
          <cell r="J636">
            <v>0</v>
          </cell>
          <cell r="L636">
            <v>0</v>
          </cell>
          <cell r="Z636">
            <v>0</v>
          </cell>
        </row>
        <row r="637">
          <cell r="D637" t="str">
            <v>AIUAIMPRE</v>
          </cell>
          <cell r="E637" t="str">
            <v>Imprevistos</v>
          </cell>
          <cell r="F637">
            <v>0</v>
          </cell>
          <cell r="I637">
            <v>0</v>
          </cell>
          <cell r="J637">
            <v>0</v>
          </cell>
          <cell r="L637">
            <v>0</v>
          </cell>
          <cell r="Z637">
            <v>0</v>
          </cell>
        </row>
        <row r="638">
          <cell r="D638" t="str">
            <v>AIUAUTILI</v>
          </cell>
          <cell r="E638" t="str">
            <v>Utilidad</v>
          </cell>
          <cell r="F638">
            <v>0</v>
          </cell>
          <cell r="I638">
            <v>0</v>
          </cell>
          <cell r="J638">
            <v>0</v>
          </cell>
          <cell r="L638">
            <v>0</v>
          </cell>
          <cell r="Z638">
            <v>0</v>
          </cell>
        </row>
        <row r="639">
          <cell r="D639" t="str">
            <v>AIUAIVAUTI</v>
          </cell>
          <cell r="E639" t="str">
            <v>IVA utilidad</v>
          </cell>
          <cell r="F639">
            <v>0</v>
          </cell>
          <cell r="I639">
            <v>0</v>
          </cell>
          <cell r="J639">
            <v>0</v>
          </cell>
          <cell r="L639">
            <v>0</v>
          </cell>
          <cell r="Z639">
            <v>0</v>
          </cell>
        </row>
        <row r="641">
          <cell r="E641" t="str">
            <v>ITEM</v>
          </cell>
        </row>
        <row r="642">
          <cell r="D642" t="str">
            <v>ANSCRC180</v>
          </cell>
          <cell r="E642" t="str">
            <v>Suministro Tuberia Concreto TCR CL-1  Ø 2,00 m</v>
          </cell>
          <cell r="G642" t="str">
            <v>UN.</v>
          </cell>
          <cell r="H642" t="str">
            <v>Ml</v>
          </cell>
          <cell r="I642">
            <v>844768</v>
          </cell>
          <cell r="K642">
            <v>59</v>
          </cell>
          <cell r="L642">
            <v>49841312</v>
          </cell>
          <cell r="N642">
            <v>844768</v>
          </cell>
          <cell r="O642">
            <v>0</v>
          </cell>
          <cell r="P642">
            <v>0</v>
          </cell>
          <cell r="Q642">
            <v>0</v>
          </cell>
          <cell r="X642">
            <v>49841312</v>
          </cell>
          <cell r="Y642" t="str">
            <v>Ml</v>
          </cell>
          <cell r="Z642" t="e">
            <v>#N/A</v>
          </cell>
          <cell r="AA642" t="e">
            <v>#N/A</v>
          </cell>
          <cell r="AB642">
            <v>0</v>
          </cell>
          <cell r="AC642">
            <v>0</v>
          </cell>
        </row>
        <row r="644">
          <cell r="D644" t="str">
            <v>CODIGO</v>
          </cell>
          <cell r="E644" t="str">
            <v>DESCRIPCION</v>
          </cell>
          <cell r="F644" t="str">
            <v>UN</v>
          </cell>
          <cell r="G644" t="str">
            <v>CANT</v>
          </cell>
          <cell r="H644" t="str">
            <v>V/UNIT.</v>
          </cell>
          <cell r="I644" t="str">
            <v>V/TOTAL</v>
          </cell>
          <cell r="K644" t="str">
            <v>CANT TOTAL</v>
          </cell>
          <cell r="L644" t="str">
            <v>Vr TOTAL</v>
          </cell>
          <cell r="Y644" t="str">
            <v>CANT.</v>
          </cell>
          <cell r="Z644" t="str">
            <v>V/TOTAL</v>
          </cell>
        </row>
        <row r="645">
          <cell r="E645" t="str">
            <v>MATERIALES</v>
          </cell>
          <cell r="I645">
            <v>844768</v>
          </cell>
          <cell r="L645">
            <v>49841312</v>
          </cell>
          <cell r="Z645" t="e">
            <v>#N/A</v>
          </cell>
        </row>
        <row r="646">
          <cell r="D646" t="str">
            <v>MA46TCRC180</v>
          </cell>
          <cell r="E646" t="str">
            <v>Tuberia concreto TCR CL-I 2,00 m</v>
          </cell>
          <cell r="F646" t="str">
            <v>ml</v>
          </cell>
          <cell r="G646">
            <v>1</v>
          </cell>
          <cell r="H646">
            <v>844767.68</v>
          </cell>
          <cell r="I646">
            <v>844768</v>
          </cell>
          <cell r="J646">
            <v>0</v>
          </cell>
          <cell r="K646">
            <v>59</v>
          </cell>
          <cell r="L646">
            <v>49841293.120000005</v>
          </cell>
          <cell r="Y646" t="e">
            <v>#N/A</v>
          </cell>
          <cell r="Z646" t="e">
            <v>#N/A</v>
          </cell>
        </row>
        <row r="649">
          <cell r="E649" t="str">
            <v>MANO DE OBRA</v>
          </cell>
          <cell r="I649">
            <v>0</v>
          </cell>
          <cell r="L649">
            <v>0</v>
          </cell>
          <cell r="Z649">
            <v>0</v>
          </cell>
        </row>
        <row r="652">
          <cell r="E652" t="str">
            <v>VARIOS</v>
          </cell>
          <cell r="I652">
            <v>0</v>
          </cell>
          <cell r="L652">
            <v>0</v>
          </cell>
          <cell r="Z652">
            <v>0</v>
          </cell>
        </row>
        <row r="654">
          <cell r="E654" t="str">
            <v>SUBTOTAL</v>
          </cell>
          <cell r="I654">
            <v>844768</v>
          </cell>
          <cell r="L654">
            <v>49841312</v>
          </cell>
          <cell r="Z654" t="e">
            <v>#N/A</v>
          </cell>
        </row>
        <row r="655">
          <cell r="E655" t="str">
            <v>A.I.U</v>
          </cell>
          <cell r="I655">
            <v>0</v>
          </cell>
          <cell r="L655">
            <v>0</v>
          </cell>
          <cell r="Z655">
            <v>0</v>
          </cell>
        </row>
        <row r="656">
          <cell r="D656" t="str">
            <v>AIUAADMON</v>
          </cell>
          <cell r="E656" t="str">
            <v>Admon</v>
          </cell>
          <cell r="F656">
            <v>0</v>
          </cell>
          <cell r="I656">
            <v>0</v>
          </cell>
          <cell r="J656">
            <v>0</v>
          </cell>
          <cell r="L656">
            <v>0</v>
          </cell>
          <cell r="Z656">
            <v>0</v>
          </cell>
        </row>
        <row r="657">
          <cell r="D657" t="str">
            <v>AIUAIMPRE</v>
          </cell>
          <cell r="E657" t="str">
            <v>Imprevistos</v>
          </cell>
          <cell r="F657">
            <v>0</v>
          </cell>
          <cell r="I657">
            <v>0</v>
          </cell>
          <cell r="J657">
            <v>0</v>
          </cell>
          <cell r="L657">
            <v>0</v>
          </cell>
          <cell r="Z657">
            <v>0</v>
          </cell>
        </row>
        <row r="658">
          <cell r="D658" t="str">
            <v>AIUAUTILI</v>
          </cell>
          <cell r="E658" t="str">
            <v>Utilidad</v>
          </cell>
          <cell r="F658">
            <v>0</v>
          </cell>
          <cell r="I658">
            <v>0</v>
          </cell>
          <cell r="J658">
            <v>0</v>
          </cell>
          <cell r="L658">
            <v>0</v>
          </cell>
          <cell r="Z658">
            <v>0</v>
          </cell>
        </row>
        <row r="659">
          <cell r="D659" t="str">
            <v>AIUAIVAUTI</v>
          </cell>
          <cell r="E659" t="str">
            <v>IVA utilidad</v>
          </cell>
          <cell r="F659">
            <v>0</v>
          </cell>
          <cell r="I659">
            <v>0</v>
          </cell>
          <cell r="J659">
            <v>0</v>
          </cell>
          <cell r="L659">
            <v>0</v>
          </cell>
          <cell r="Z659">
            <v>0</v>
          </cell>
        </row>
        <row r="661">
          <cell r="D661" t="str">
            <v>ANSCRC236</v>
          </cell>
          <cell r="E661" t="str">
            <v>Suministro Tuberia Concreto TCR CL-2  Ø 36"</v>
          </cell>
          <cell r="G661" t="str">
            <v>UN.</v>
          </cell>
          <cell r="H661" t="str">
            <v>Ml</v>
          </cell>
          <cell r="I661">
            <v>209557</v>
          </cell>
          <cell r="K661">
            <v>136.53</v>
          </cell>
          <cell r="L661">
            <v>28610817.210000001</v>
          </cell>
          <cell r="N661">
            <v>209557</v>
          </cell>
          <cell r="O661">
            <v>0</v>
          </cell>
          <cell r="P661">
            <v>0</v>
          </cell>
          <cell r="Q661">
            <v>0</v>
          </cell>
          <cell r="X661">
            <v>28610817.210000001</v>
          </cell>
          <cell r="Y661" t="str">
            <v>Ml</v>
          </cell>
          <cell r="Z661" t="e">
            <v>#N/A</v>
          </cell>
          <cell r="AA661" t="e">
            <v>#N/A</v>
          </cell>
          <cell r="AB661">
            <v>0</v>
          </cell>
          <cell r="AC661">
            <v>0</v>
          </cell>
        </row>
        <row r="663">
          <cell r="D663" t="str">
            <v>CODIGO</v>
          </cell>
          <cell r="E663" t="str">
            <v>DESCRIPCION</v>
          </cell>
          <cell r="F663" t="str">
            <v>UN</v>
          </cell>
          <cell r="G663" t="str">
            <v>CANT</v>
          </cell>
          <cell r="H663" t="str">
            <v>V/UNIT.</v>
          </cell>
          <cell r="I663" t="str">
            <v>V/TOTAL</v>
          </cell>
          <cell r="K663" t="str">
            <v>CANT TOTAL</v>
          </cell>
          <cell r="L663" t="str">
            <v>Vr TOTAL</v>
          </cell>
          <cell r="Y663" t="str">
            <v>CANT.</v>
          </cell>
          <cell r="Z663" t="str">
            <v>V/TOTAL</v>
          </cell>
        </row>
        <row r="664">
          <cell r="E664" t="str">
            <v>MATERIALES</v>
          </cell>
          <cell r="I664">
            <v>209557</v>
          </cell>
          <cell r="L664">
            <v>28610817.210000001</v>
          </cell>
          <cell r="Z664" t="e">
            <v>#N/A</v>
          </cell>
        </row>
        <row r="665">
          <cell r="D665" t="str">
            <v>MA46TCRC236</v>
          </cell>
          <cell r="E665" t="str">
            <v>Tuberia concreto TCR CL-I 36"</v>
          </cell>
          <cell r="F665" t="str">
            <v>ml</v>
          </cell>
          <cell r="G665">
            <v>1</v>
          </cell>
          <cell r="H665">
            <v>209557.25</v>
          </cell>
          <cell r="I665">
            <v>209557</v>
          </cell>
          <cell r="J665">
            <v>0</v>
          </cell>
          <cell r="K665">
            <v>136.53</v>
          </cell>
          <cell r="L665">
            <v>28610851.342500001</v>
          </cell>
          <cell r="Y665" t="e">
            <v>#N/A</v>
          </cell>
          <cell r="Z665" t="e">
            <v>#N/A</v>
          </cell>
        </row>
        <row r="668">
          <cell r="E668" t="str">
            <v>MANO DE OBRA</v>
          </cell>
          <cell r="I668">
            <v>0</v>
          </cell>
          <cell r="L668">
            <v>0</v>
          </cell>
          <cell r="Z668">
            <v>0</v>
          </cell>
        </row>
        <row r="671">
          <cell r="E671" t="str">
            <v>VARIOS</v>
          </cell>
          <cell r="I671">
            <v>0</v>
          </cell>
          <cell r="L671">
            <v>0</v>
          </cell>
          <cell r="Z671">
            <v>0</v>
          </cell>
        </row>
        <row r="673">
          <cell r="E673" t="str">
            <v>SUBTOTAL</v>
          </cell>
          <cell r="I673">
            <v>209557</v>
          </cell>
          <cell r="L673">
            <v>28610817.210000001</v>
          </cell>
          <cell r="Z673" t="e">
            <v>#N/A</v>
          </cell>
        </row>
        <row r="674">
          <cell r="E674" t="str">
            <v>A.I.U</v>
          </cell>
          <cell r="I674">
            <v>0</v>
          </cell>
          <cell r="L674">
            <v>0</v>
          </cell>
          <cell r="Z674">
            <v>0</v>
          </cell>
        </row>
        <row r="675">
          <cell r="D675" t="str">
            <v>AIUAADMON</v>
          </cell>
          <cell r="E675" t="str">
            <v>Admon</v>
          </cell>
          <cell r="F675">
            <v>0</v>
          </cell>
          <cell r="I675">
            <v>0</v>
          </cell>
          <cell r="J675">
            <v>0</v>
          </cell>
          <cell r="L675">
            <v>0</v>
          </cell>
          <cell r="Z675">
            <v>0</v>
          </cell>
        </row>
        <row r="676">
          <cell r="D676" t="str">
            <v>AIUAIMPRE</v>
          </cell>
          <cell r="E676" t="str">
            <v>Imprevistos</v>
          </cell>
          <cell r="F676">
            <v>0</v>
          </cell>
          <cell r="I676">
            <v>0</v>
          </cell>
          <cell r="J676">
            <v>0</v>
          </cell>
          <cell r="L676">
            <v>0</v>
          </cell>
          <cell r="Z676">
            <v>0</v>
          </cell>
        </row>
        <row r="677">
          <cell r="D677" t="str">
            <v>AIUAUTILI</v>
          </cell>
          <cell r="E677" t="str">
            <v>Utilidad</v>
          </cell>
          <cell r="F677">
            <v>0</v>
          </cell>
          <cell r="I677">
            <v>0</v>
          </cell>
          <cell r="J677">
            <v>0</v>
          </cell>
          <cell r="L677">
            <v>0</v>
          </cell>
          <cell r="Z677">
            <v>0</v>
          </cell>
        </row>
        <row r="678">
          <cell r="D678" t="str">
            <v>AIUAIVAUTI</v>
          </cell>
          <cell r="E678" t="str">
            <v>IVA utilidad</v>
          </cell>
          <cell r="F678">
            <v>0</v>
          </cell>
          <cell r="I678">
            <v>0</v>
          </cell>
          <cell r="J678">
            <v>0</v>
          </cell>
          <cell r="L678">
            <v>0</v>
          </cell>
          <cell r="Z678">
            <v>0</v>
          </cell>
        </row>
        <row r="680">
          <cell r="D680" t="str">
            <v>ANSCRC256</v>
          </cell>
          <cell r="E680" t="str">
            <v>Suministro Tuberia Concreto TCR CL-2  Ø 1,40 m</v>
          </cell>
          <cell r="G680" t="str">
            <v>UN.</v>
          </cell>
          <cell r="H680" t="str">
            <v>Ml</v>
          </cell>
          <cell r="I680">
            <v>427372</v>
          </cell>
          <cell r="K680">
            <v>114</v>
          </cell>
          <cell r="L680">
            <v>48720408</v>
          </cell>
          <cell r="N680">
            <v>427372</v>
          </cell>
          <cell r="O680">
            <v>0</v>
          </cell>
          <cell r="P680">
            <v>0</v>
          </cell>
          <cell r="Q680">
            <v>0</v>
          </cell>
          <cell r="X680">
            <v>48720408</v>
          </cell>
          <cell r="Y680" t="str">
            <v>Ml</v>
          </cell>
          <cell r="Z680" t="e">
            <v>#N/A</v>
          </cell>
          <cell r="AA680" t="e">
            <v>#N/A</v>
          </cell>
          <cell r="AB680">
            <v>0</v>
          </cell>
          <cell r="AC680">
            <v>0</v>
          </cell>
        </row>
        <row r="682">
          <cell r="D682" t="str">
            <v>CODIGO</v>
          </cell>
          <cell r="E682" t="str">
            <v>DESCRIPCION</v>
          </cell>
          <cell r="F682" t="str">
            <v>UN</v>
          </cell>
          <cell r="G682" t="str">
            <v>CANT</v>
          </cell>
          <cell r="H682" t="str">
            <v>V/UNIT.</v>
          </cell>
          <cell r="I682" t="str">
            <v>V/TOTAL</v>
          </cell>
          <cell r="K682" t="str">
            <v>CANT TOTAL</v>
          </cell>
          <cell r="L682" t="str">
            <v>Vr TOTAL</v>
          </cell>
          <cell r="Y682" t="str">
            <v>CANT.</v>
          </cell>
          <cell r="Z682" t="str">
            <v>V/TOTAL</v>
          </cell>
        </row>
        <row r="683">
          <cell r="E683" t="str">
            <v>MATERIALES</v>
          </cell>
          <cell r="I683">
            <v>427372</v>
          </cell>
          <cell r="L683">
            <v>48720408</v>
          </cell>
          <cell r="Z683" t="e">
            <v>#N/A</v>
          </cell>
        </row>
        <row r="684">
          <cell r="D684" t="str">
            <v>MA46TCRC256</v>
          </cell>
          <cell r="E684" t="str">
            <v>Tuberia concreto TCR CL-II 1,40 m</v>
          </cell>
          <cell r="F684" t="str">
            <v>ml</v>
          </cell>
          <cell r="G684">
            <v>1</v>
          </cell>
          <cell r="H684">
            <v>427371.84</v>
          </cell>
          <cell r="I684">
            <v>427372</v>
          </cell>
          <cell r="J684">
            <v>0</v>
          </cell>
          <cell r="K684">
            <v>114</v>
          </cell>
          <cell r="L684">
            <v>48720389.760000005</v>
          </cell>
          <cell r="Y684" t="e">
            <v>#N/A</v>
          </cell>
          <cell r="Z684" t="e">
            <v>#N/A</v>
          </cell>
        </row>
        <row r="687">
          <cell r="E687" t="str">
            <v>MANO DE OBRA</v>
          </cell>
          <cell r="I687">
            <v>0</v>
          </cell>
          <cell r="L687">
            <v>0</v>
          </cell>
          <cell r="Z687">
            <v>0</v>
          </cell>
        </row>
        <row r="690">
          <cell r="E690" t="str">
            <v>VARIOS</v>
          </cell>
          <cell r="I690">
            <v>0</v>
          </cell>
          <cell r="L690">
            <v>0</v>
          </cell>
          <cell r="Z690">
            <v>0</v>
          </cell>
        </row>
        <row r="692">
          <cell r="E692" t="str">
            <v>SUBTOTAL</v>
          </cell>
          <cell r="I692">
            <v>427372</v>
          </cell>
          <cell r="L692">
            <v>48720408</v>
          </cell>
          <cell r="Z692" t="e">
            <v>#N/A</v>
          </cell>
        </row>
        <row r="693">
          <cell r="E693" t="str">
            <v>A.I.U</v>
          </cell>
          <cell r="I693">
            <v>0</v>
          </cell>
          <cell r="L693">
            <v>0</v>
          </cell>
          <cell r="Z693">
            <v>0</v>
          </cell>
        </row>
        <row r="694">
          <cell r="D694" t="str">
            <v>AIUAADMON</v>
          </cell>
          <cell r="E694" t="str">
            <v>Admon</v>
          </cell>
          <cell r="F694">
            <v>0</v>
          </cell>
          <cell r="I694">
            <v>0</v>
          </cell>
          <cell r="J694">
            <v>0</v>
          </cell>
          <cell r="L694">
            <v>0</v>
          </cell>
          <cell r="Z694">
            <v>0</v>
          </cell>
        </row>
        <row r="695">
          <cell r="D695" t="str">
            <v>AIUAIMPRE</v>
          </cell>
          <cell r="E695" t="str">
            <v>Imprevistos</v>
          </cell>
          <cell r="F695">
            <v>0</v>
          </cell>
          <cell r="I695">
            <v>0</v>
          </cell>
          <cell r="J695">
            <v>0</v>
          </cell>
          <cell r="L695">
            <v>0</v>
          </cell>
          <cell r="Z695">
            <v>0</v>
          </cell>
        </row>
        <row r="696">
          <cell r="D696" t="str">
            <v>AIUAUTILI</v>
          </cell>
          <cell r="E696" t="str">
            <v>Utilidad</v>
          </cell>
          <cell r="F696">
            <v>0</v>
          </cell>
          <cell r="I696">
            <v>0</v>
          </cell>
          <cell r="J696">
            <v>0</v>
          </cell>
          <cell r="L696">
            <v>0</v>
          </cell>
          <cell r="Z696">
            <v>0</v>
          </cell>
        </row>
        <row r="697">
          <cell r="D697" t="str">
            <v>AIUAIVAUTI</v>
          </cell>
          <cell r="E697" t="str">
            <v>IVA utilidad</v>
          </cell>
          <cell r="F697">
            <v>0</v>
          </cell>
          <cell r="I697">
            <v>0</v>
          </cell>
          <cell r="J697">
            <v>0</v>
          </cell>
          <cell r="L697">
            <v>0</v>
          </cell>
          <cell r="Z697">
            <v>0</v>
          </cell>
        </row>
        <row r="699">
          <cell r="D699" t="str">
            <v>ANSCRC272</v>
          </cell>
          <cell r="E699" t="str">
            <v>Suministro Tuberia Concreto TCR CL-2  Ø 1,80 m</v>
          </cell>
          <cell r="G699" t="str">
            <v>UN.</v>
          </cell>
          <cell r="H699" t="str">
            <v>Ml</v>
          </cell>
          <cell r="I699">
            <v>675974</v>
          </cell>
          <cell r="K699">
            <v>8.9499999999999993</v>
          </cell>
          <cell r="L699">
            <v>6049967.2999999998</v>
          </cell>
          <cell r="N699">
            <v>675974</v>
          </cell>
          <cell r="O699">
            <v>0</v>
          </cell>
          <cell r="P699">
            <v>0</v>
          </cell>
          <cell r="Q699">
            <v>0</v>
          </cell>
          <cell r="X699">
            <v>6049967.2999999998</v>
          </cell>
          <cell r="Y699" t="str">
            <v>Ml</v>
          </cell>
          <cell r="Z699" t="e">
            <v>#N/A</v>
          </cell>
          <cell r="AA699" t="e">
            <v>#N/A</v>
          </cell>
          <cell r="AB699">
            <v>0</v>
          </cell>
          <cell r="AC699">
            <v>0</v>
          </cell>
        </row>
        <row r="701">
          <cell r="D701" t="str">
            <v>CODIGO</v>
          </cell>
          <cell r="E701" t="str">
            <v>DESCRIPCION</v>
          </cell>
          <cell r="F701" t="str">
            <v>UN</v>
          </cell>
          <cell r="G701" t="str">
            <v>CANT</v>
          </cell>
          <cell r="H701" t="str">
            <v>V/UNIT.</v>
          </cell>
          <cell r="I701" t="str">
            <v>V/TOTAL</v>
          </cell>
          <cell r="K701" t="str">
            <v>CANT TOTAL</v>
          </cell>
          <cell r="L701" t="str">
            <v>Vr TOTAL</v>
          </cell>
          <cell r="Y701" t="str">
            <v>CANT.</v>
          </cell>
          <cell r="Z701" t="str">
            <v>V/TOTAL</v>
          </cell>
        </row>
        <row r="702">
          <cell r="E702" t="str">
            <v>MATERIALES</v>
          </cell>
          <cell r="I702">
            <v>675974</v>
          </cell>
          <cell r="L702">
            <v>6049967.2999999998</v>
          </cell>
          <cell r="Z702" t="e">
            <v>#N/A</v>
          </cell>
        </row>
        <row r="703">
          <cell r="D703" t="str">
            <v>MA46TCRC272</v>
          </cell>
          <cell r="E703" t="str">
            <v>Tuberia concreto TCR CL-II 1,80 m</v>
          </cell>
          <cell r="F703" t="str">
            <v>ml</v>
          </cell>
          <cell r="G703">
            <v>1</v>
          </cell>
          <cell r="H703">
            <v>675973.76</v>
          </cell>
          <cell r="I703">
            <v>675974</v>
          </cell>
          <cell r="J703">
            <v>0</v>
          </cell>
          <cell r="K703">
            <v>8.9499999999999993</v>
          </cell>
          <cell r="L703">
            <v>6049965.1519999998</v>
          </cell>
          <cell r="Y703" t="e">
            <v>#N/A</v>
          </cell>
          <cell r="Z703" t="e">
            <v>#N/A</v>
          </cell>
        </row>
        <row r="706">
          <cell r="E706" t="str">
            <v>MANO DE OBRA</v>
          </cell>
          <cell r="I706">
            <v>0</v>
          </cell>
          <cell r="L706">
            <v>0</v>
          </cell>
          <cell r="Z706">
            <v>0</v>
          </cell>
        </row>
        <row r="709">
          <cell r="E709" t="str">
            <v>VARIOS</v>
          </cell>
          <cell r="I709">
            <v>0</v>
          </cell>
          <cell r="L709">
            <v>0</v>
          </cell>
          <cell r="Z709">
            <v>0</v>
          </cell>
        </row>
        <row r="711">
          <cell r="E711" t="str">
            <v>SUBTOTAL</v>
          </cell>
          <cell r="I711">
            <v>675974</v>
          </cell>
          <cell r="L711">
            <v>6049967.2999999998</v>
          </cell>
          <cell r="Z711" t="e">
            <v>#N/A</v>
          </cell>
        </row>
        <row r="712">
          <cell r="E712" t="str">
            <v>A.I.U</v>
          </cell>
          <cell r="I712">
            <v>0</v>
          </cell>
          <cell r="L712">
            <v>0</v>
          </cell>
          <cell r="Z712">
            <v>0</v>
          </cell>
        </row>
        <row r="713">
          <cell r="D713" t="str">
            <v>AIUAADMON</v>
          </cell>
          <cell r="E713" t="str">
            <v>Admon</v>
          </cell>
          <cell r="F713">
            <v>0</v>
          </cell>
          <cell r="I713">
            <v>0</v>
          </cell>
          <cell r="J713">
            <v>0</v>
          </cell>
          <cell r="L713">
            <v>0</v>
          </cell>
          <cell r="Z713">
            <v>0</v>
          </cell>
        </row>
        <row r="714">
          <cell r="D714" t="str">
            <v>AIUAIMPRE</v>
          </cell>
          <cell r="E714" t="str">
            <v>Imprevistos</v>
          </cell>
          <cell r="F714">
            <v>0</v>
          </cell>
          <cell r="I714">
            <v>0</v>
          </cell>
          <cell r="J714">
            <v>0</v>
          </cell>
          <cell r="L714">
            <v>0</v>
          </cell>
          <cell r="Z714">
            <v>0</v>
          </cell>
        </row>
        <row r="715">
          <cell r="D715" t="str">
            <v>AIUAUTILI</v>
          </cell>
          <cell r="E715" t="str">
            <v>Utilidad</v>
          </cell>
          <cell r="F715">
            <v>0</v>
          </cell>
          <cell r="I715">
            <v>0</v>
          </cell>
          <cell r="J715">
            <v>0</v>
          </cell>
          <cell r="L715">
            <v>0</v>
          </cell>
          <cell r="Z715">
            <v>0</v>
          </cell>
        </row>
        <row r="716">
          <cell r="D716" t="str">
            <v>AIUAIVAUTI</v>
          </cell>
          <cell r="E716" t="str">
            <v>IVA utilidad</v>
          </cell>
          <cell r="F716">
            <v>0</v>
          </cell>
          <cell r="I716">
            <v>0</v>
          </cell>
          <cell r="J716">
            <v>0</v>
          </cell>
          <cell r="L716">
            <v>0</v>
          </cell>
          <cell r="Z716">
            <v>0</v>
          </cell>
        </row>
        <row r="718">
          <cell r="D718" t="str">
            <v>ANSCRC280</v>
          </cell>
          <cell r="E718" t="str">
            <v>Suministro Tuberia Concreto TCR CL-2  Ø 2,00 m</v>
          </cell>
          <cell r="G718" t="str">
            <v>UN.</v>
          </cell>
          <cell r="H718" t="str">
            <v>Ml</v>
          </cell>
          <cell r="I718">
            <v>848359</v>
          </cell>
          <cell r="K718">
            <v>374</v>
          </cell>
          <cell r="L718">
            <v>317286266</v>
          </cell>
          <cell r="N718">
            <v>848359</v>
          </cell>
          <cell r="O718">
            <v>0</v>
          </cell>
          <cell r="P718">
            <v>0</v>
          </cell>
          <cell r="Q718">
            <v>0</v>
          </cell>
          <cell r="X718">
            <v>317286266</v>
          </cell>
          <cell r="Y718" t="str">
            <v>Ml</v>
          </cell>
          <cell r="Z718" t="e">
            <v>#N/A</v>
          </cell>
          <cell r="AA718" t="e">
            <v>#N/A</v>
          </cell>
          <cell r="AB718">
            <v>0</v>
          </cell>
          <cell r="AC718">
            <v>0</v>
          </cell>
        </row>
        <row r="720">
          <cell r="D720" t="str">
            <v>CODIGO</v>
          </cell>
          <cell r="E720" t="str">
            <v>DESCRIPCION</v>
          </cell>
          <cell r="F720" t="str">
            <v>UN</v>
          </cell>
          <cell r="G720" t="str">
            <v>CANT</v>
          </cell>
          <cell r="H720" t="str">
            <v>V/UNIT.</v>
          </cell>
          <cell r="I720" t="str">
            <v>V/TOTAL</v>
          </cell>
          <cell r="K720" t="str">
            <v>CANT TOTAL</v>
          </cell>
          <cell r="L720" t="str">
            <v>Vr TOTAL</v>
          </cell>
          <cell r="Y720" t="str">
            <v>CANT.</v>
          </cell>
          <cell r="Z720" t="str">
            <v>V/TOTAL</v>
          </cell>
        </row>
        <row r="721">
          <cell r="E721" t="str">
            <v>MATERIALES</v>
          </cell>
          <cell r="I721">
            <v>848359</v>
          </cell>
          <cell r="L721">
            <v>317286266</v>
          </cell>
          <cell r="Z721" t="e">
            <v>#N/A</v>
          </cell>
        </row>
        <row r="722">
          <cell r="D722" t="str">
            <v>MA46TCRC280</v>
          </cell>
          <cell r="E722" t="str">
            <v>Tuberia concreto TCR CL-II 2,00 m</v>
          </cell>
          <cell r="F722" t="str">
            <v>ml</v>
          </cell>
          <cell r="G722">
            <v>1</v>
          </cell>
          <cell r="H722">
            <v>848359.04</v>
          </cell>
          <cell r="I722">
            <v>848359</v>
          </cell>
          <cell r="J722">
            <v>0</v>
          </cell>
          <cell r="K722">
            <v>374</v>
          </cell>
          <cell r="L722">
            <v>317286280.96000004</v>
          </cell>
          <cell r="Y722" t="e">
            <v>#N/A</v>
          </cell>
          <cell r="Z722" t="e">
            <v>#N/A</v>
          </cell>
        </row>
        <row r="725">
          <cell r="E725" t="str">
            <v>MANO DE OBRA</v>
          </cell>
          <cell r="I725">
            <v>0</v>
          </cell>
          <cell r="L725">
            <v>0</v>
          </cell>
          <cell r="Z725">
            <v>0</v>
          </cell>
        </row>
        <row r="728">
          <cell r="E728" t="str">
            <v>VARIOS</v>
          </cell>
          <cell r="I728">
            <v>0</v>
          </cell>
          <cell r="L728">
            <v>0</v>
          </cell>
          <cell r="Z728">
            <v>0</v>
          </cell>
        </row>
        <row r="730">
          <cell r="E730" t="str">
            <v>SUBTOTAL</v>
          </cell>
          <cell r="I730">
            <v>848359</v>
          </cell>
          <cell r="L730">
            <v>317286266</v>
          </cell>
          <cell r="Z730" t="e">
            <v>#N/A</v>
          </cell>
        </row>
        <row r="731">
          <cell r="E731" t="str">
            <v>A.I.U</v>
          </cell>
          <cell r="I731">
            <v>0</v>
          </cell>
          <cell r="L731">
            <v>0</v>
          </cell>
          <cell r="Z731">
            <v>0</v>
          </cell>
        </row>
        <row r="732">
          <cell r="D732" t="str">
            <v>AIUAADMON</v>
          </cell>
          <cell r="E732" t="str">
            <v>Admon</v>
          </cell>
          <cell r="F732">
            <v>0</v>
          </cell>
          <cell r="I732">
            <v>0</v>
          </cell>
          <cell r="J732">
            <v>0</v>
          </cell>
          <cell r="L732">
            <v>0</v>
          </cell>
          <cell r="Z732">
            <v>0</v>
          </cell>
        </row>
        <row r="733">
          <cell r="D733" t="str">
            <v>AIUAIMPRE</v>
          </cell>
          <cell r="E733" t="str">
            <v>Imprevistos</v>
          </cell>
          <cell r="F733">
            <v>0</v>
          </cell>
          <cell r="I733">
            <v>0</v>
          </cell>
          <cell r="J733">
            <v>0</v>
          </cell>
          <cell r="L733">
            <v>0</v>
          </cell>
          <cell r="Z733">
            <v>0</v>
          </cell>
        </row>
        <row r="734">
          <cell r="D734" t="str">
            <v>AIUAUTILI</v>
          </cell>
          <cell r="E734" t="str">
            <v>Utilidad</v>
          </cell>
          <cell r="F734">
            <v>0</v>
          </cell>
          <cell r="I734">
            <v>0</v>
          </cell>
          <cell r="J734">
            <v>0</v>
          </cell>
          <cell r="L734">
            <v>0</v>
          </cell>
          <cell r="Z734">
            <v>0</v>
          </cell>
        </row>
        <row r="735">
          <cell r="D735" t="str">
            <v>AIUAIVAUTI</v>
          </cell>
          <cell r="E735" t="str">
            <v>IVA utilidad</v>
          </cell>
          <cell r="F735">
            <v>0</v>
          </cell>
          <cell r="I735">
            <v>0</v>
          </cell>
          <cell r="J735">
            <v>0</v>
          </cell>
          <cell r="L735">
            <v>0</v>
          </cell>
          <cell r="Z735">
            <v>0</v>
          </cell>
        </row>
        <row r="737">
          <cell r="D737" t="str">
            <v>ANSCRC324</v>
          </cell>
          <cell r="E737" t="str">
            <v>Suministro Tuberia Concreto TCR CL-3  Ø 24"</v>
          </cell>
          <cell r="G737" t="str">
            <v>UN.</v>
          </cell>
          <cell r="H737" t="str">
            <v>Ml</v>
          </cell>
          <cell r="I737">
            <v>106560</v>
          </cell>
          <cell r="K737">
            <v>0</v>
          </cell>
          <cell r="L737">
            <v>0</v>
          </cell>
          <cell r="N737">
            <v>106560</v>
          </cell>
          <cell r="O737">
            <v>0</v>
          </cell>
          <cell r="P737">
            <v>0</v>
          </cell>
          <cell r="Q737">
            <v>0</v>
          </cell>
          <cell r="X737">
            <v>0</v>
          </cell>
          <cell r="Y737" t="str">
            <v>Ml</v>
          </cell>
          <cell r="Z737" t="e">
            <v>#N/A</v>
          </cell>
          <cell r="AA737" t="e">
            <v>#N/A</v>
          </cell>
          <cell r="AB737">
            <v>0</v>
          </cell>
          <cell r="AC737">
            <v>0</v>
          </cell>
        </row>
        <row r="739">
          <cell r="D739" t="str">
            <v>CODIGO</v>
          </cell>
          <cell r="E739" t="str">
            <v>DESCRIPCION</v>
          </cell>
          <cell r="F739" t="str">
            <v>UN</v>
          </cell>
          <cell r="G739" t="str">
            <v>CANT</v>
          </cell>
          <cell r="H739" t="str">
            <v>V/UNIT.</v>
          </cell>
          <cell r="I739" t="str">
            <v>V/TOTAL</v>
          </cell>
          <cell r="K739" t="str">
            <v>CANT TOTAL</v>
          </cell>
          <cell r="L739" t="str">
            <v>Vr TOTAL</v>
          </cell>
          <cell r="Y739" t="str">
            <v>CANT.</v>
          </cell>
          <cell r="Z739" t="str">
            <v>V/TOTAL</v>
          </cell>
        </row>
        <row r="740">
          <cell r="E740" t="str">
            <v>MATERIALES</v>
          </cell>
          <cell r="I740">
            <v>106560</v>
          </cell>
          <cell r="L740">
            <v>0</v>
          </cell>
          <cell r="Z740" t="e">
            <v>#N/A</v>
          </cell>
        </row>
        <row r="741">
          <cell r="D741" t="str">
            <v>MA46TCRC324</v>
          </cell>
          <cell r="E741" t="str">
            <v>Tuberia concreto TCR CL-III 24</v>
          </cell>
          <cell r="F741" t="str">
            <v>ml</v>
          </cell>
          <cell r="G741">
            <v>1</v>
          </cell>
          <cell r="H741">
            <v>106560</v>
          </cell>
          <cell r="I741">
            <v>106560</v>
          </cell>
          <cell r="J741">
            <v>0</v>
          </cell>
          <cell r="K741">
            <v>0</v>
          </cell>
          <cell r="L741">
            <v>0</v>
          </cell>
          <cell r="Y741" t="e">
            <v>#N/A</v>
          </cell>
          <cell r="Z741" t="e">
            <v>#N/A</v>
          </cell>
        </row>
        <row r="744">
          <cell r="E744" t="str">
            <v>MANO DE OBRA</v>
          </cell>
          <cell r="I744">
            <v>0</v>
          </cell>
          <cell r="L744">
            <v>0</v>
          </cell>
          <cell r="Z744">
            <v>0</v>
          </cell>
        </row>
        <row r="747">
          <cell r="E747" t="str">
            <v>VARIOS</v>
          </cell>
          <cell r="I747">
            <v>0</v>
          </cell>
          <cell r="L747">
            <v>0</v>
          </cell>
          <cell r="Z747">
            <v>0</v>
          </cell>
        </row>
        <row r="749">
          <cell r="E749" t="str">
            <v>SUBTOTAL</v>
          </cell>
          <cell r="I749">
            <v>106560</v>
          </cell>
          <cell r="L749">
            <v>0</v>
          </cell>
          <cell r="Z749" t="e">
            <v>#N/A</v>
          </cell>
        </row>
        <row r="750">
          <cell r="E750" t="str">
            <v>A.I.U</v>
          </cell>
          <cell r="I750">
            <v>0</v>
          </cell>
          <cell r="L750">
            <v>0</v>
          </cell>
          <cell r="Z750">
            <v>0</v>
          </cell>
        </row>
        <row r="751">
          <cell r="D751" t="str">
            <v>AIUAADMON</v>
          </cell>
          <cell r="E751" t="str">
            <v>Admon</v>
          </cell>
          <cell r="F751">
            <v>0</v>
          </cell>
          <cell r="I751">
            <v>0</v>
          </cell>
          <cell r="J751">
            <v>0</v>
          </cell>
          <cell r="L751">
            <v>0</v>
          </cell>
          <cell r="Z751">
            <v>0</v>
          </cell>
        </row>
        <row r="752">
          <cell r="D752" t="str">
            <v>AIUAIMPRE</v>
          </cell>
          <cell r="E752" t="str">
            <v>Imprevistos</v>
          </cell>
          <cell r="F752">
            <v>0</v>
          </cell>
          <cell r="I752">
            <v>0</v>
          </cell>
          <cell r="J752">
            <v>0</v>
          </cell>
          <cell r="L752">
            <v>0</v>
          </cell>
          <cell r="Z752">
            <v>0</v>
          </cell>
        </row>
        <row r="753">
          <cell r="D753" t="str">
            <v>AIUAUTILI</v>
          </cell>
          <cell r="E753" t="str">
            <v>Utilidad</v>
          </cell>
          <cell r="F753">
            <v>0</v>
          </cell>
          <cell r="I753">
            <v>0</v>
          </cell>
          <cell r="J753">
            <v>0</v>
          </cell>
          <cell r="L753">
            <v>0</v>
          </cell>
          <cell r="Z753">
            <v>0</v>
          </cell>
        </row>
        <row r="754">
          <cell r="D754" t="str">
            <v>AIUAIVAUTI</v>
          </cell>
          <cell r="E754" t="str">
            <v>IVA utilidad</v>
          </cell>
          <cell r="F754">
            <v>0</v>
          </cell>
          <cell r="I754">
            <v>0</v>
          </cell>
          <cell r="J754">
            <v>0</v>
          </cell>
          <cell r="L754">
            <v>0</v>
          </cell>
          <cell r="Z754">
            <v>0</v>
          </cell>
        </row>
        <row r="756">
          <cell r="D756" t="str">
            <v>ANSCRC327</v>
          </cell>
          <cell r="E756" t="str">
            <v>Suministro Tuberia Concreto TCR CL-3  Ø 27"</v>
          </cell>
          <cell r="G756" t="str">
            <v>UN.</v>
          </cell>
          <cell r="H756" t="str">
            <v>Ml</v>
          </cell>
          <cell r="I756">
            <v>141978</v>
          </cell>
          <cell r="K756">
            <v>0</v>
          </cell>
          <cell r="L756">
            <v>0</v>
          </cell>
          <cell r="N756">
            <v>141978</v>
          </cell>
          <cell r="O756">
            <v>0</v>
          </cell>
          <cell r="P756">
            <v>0</v>
          </cell>
          <cell r="Q756">
            <v>0</v>
          </cell>
          <cell r="X756">
            <v>0</v>
          </cell>
          <cell r="Y756" t="str">
            <v>Ml</v>
          </cell>
          <cell r="Z756" t="e">
            <v>#N/A</v>
          </cell>
          <cell r="AA756" t="e">
            <v>#N/A</v>
          </cell>
          <cell r="AB756">
            <v>0</v>
          </cell>
          <cell r="AC756">
            <v>0</v>
          </cell>
        </row>
        <row r="758">
          <cell r="D758" t="str">
            <v>CODIGO</v>
          </cell>
          <cell r="E758" t="str">
            <v>DESCRIPCION</v>
          </cell>
          <cell r="F758" t="str">
            <v>UN</v>
          </cell>
          <cell r="G758" t="str">
            <v>CANT</v>
          </cell>
          <cell r="H758" t="str">
            <v>V/UNIT.</v>
          </cell>
          <cell r="I758" t="str">
            <v>V/TOTAL</v>
          </cell>
          <cell r="K758" t="str">
            <v>CANT TOTAL</v>
          </cell>
          <cell r="L758" t="str">
            <v>Vr TOTAL</v>
          </cell>
          <cell r="Y758" t="str">
            <v>CANT.</v>
          </cell>
          <cell r="Z758" t="str">
            <v>V/TOTAL</v>
          </cell>
        </row>
        <row r="759">
          <cell r="E759" t="str">
            <v>MATERIALES</v>
          </cell>
          <cell r="I759">
            <v>141978</v>
          </cell>
          <cell r="L759">
            <v>0</v>
          </cell>
          <cell r="Z759" t="e">
            <v>#N/A</v>
          </cell>
        </row>
        <row r="760">
          <cell r="D760" t="str">
            <v>MA46TCRC327</v>
          </cell>
          <cell r="E760" t="str">
            <v>Tuberia concreto TCR CL-III 27</v>
          </cell>
          <cell r="F760" t="str">
            <v>ml</v>
          </cell>
          <cell r="G760">
            <v>1</v>
          </cell>
          <cell r="H760">
            <v>141977.97</v>
          </cell>
          <cell r="I760">
            <v>141978</v>
          </cell>
          <cell r="J760">
            <v>0</v>
          </cell>
          <cell r="K760">
            <v>0</v>
          </cell>
          <cell r="L760">
            <v>0</v>
          </cell>
          <cell r="Y760" t="e">
            <v>#N/A</v>
          </cell>
          <cell r="Z760" t="e">
            <v>#N/A</v>
          </cell>
        </row>
        <row r="763">
          <cell r="E763" t="str">
            <v>MANO DE OBRA</v>
          </cell>
          <cell r="I763">
            <v>0</v>
          </cell>
          <cell r="L763">
            <v>0</v>
          </cell>
          <cell r="Z763">
            <v>0</v>
          </cell>
        </row>
        <row r="766">
          <cell r="E766" t="str">
            <v>VARIOS</v>
          </cell>
          <cell r="I766">
            <v>0</v>
          </cell>
          <cell r="L766">
            <v>0</v>
          </cell>
          <cell r="Z766">
            <v>0</v>
          </cell>
        </row>
        <row r="768">
          <cell r="E768" t="str">
            <v>SUBTOTAL</v>
          </cell>
          <cell r="I768">
            <v>141978</v>
          </cell>
          <cell r="L768">
            <v>0</v>
          </cell>
          <cell r="Z768" t="e">
            <v>#N/A</v>
          </cell>
        </row>
        <row r="769">
          <cell r="E769" t="str">
            <v>A.I.U</v>
          </cell>
          <cell r="I769">
            <v>0</v>
          </cell>
          <cell r="L769">
            <v>0</v>
          </cell>
          <cell r="Z769">
            <v>0</v>
          </cell>
        </row>
        <row r="770">
          <cell r="D770" t="str">
            <v>AIUAADMON</v>
          </cell>
          <cell r="E770" t="str">
            <v>Admon</v>
          </cell>
          <cell r="F770">
            <v>0</v>
          </cell>
          <cell r="I770">
            <v>0</v>
          </cell>
          <cell r="J770">
            <v>0</v>
          </cell>
          <cell r="L770">
            <v>0</v>
          </cell>
          <cell r="Z770">
            <v>0</v>
          </cell>
        </row>
        <row r="771">
          <cell r="D771" t="str">
            <v>AIUAIMPRE</v>
          </cell>
          <cell r="E771" t="str">
            <v>Imprevistos</v>
          </cell>
          <cell r="F771">
            <v>0</v>
          </cell>
          <cell r="I771">
            <v>0</v>
          </cell>
          <cell r="J771">
            <v>0</v>
          </cell>
          <cell r="L771">
            <v>0</v>
          </cell>
          <cell r="Z771">
            <v>0</v>
          </cell>
        </row>
        <row r="772">
          <cell r="D772" t="str">
            <v>AIUAUTILI</v>
          </cell>
          <cell r="E772" t="str">
            <v>Utilidad</v>
          </cell>
          <cell r="F772">
            <v>0</v>
          </cell>
          <cell r="I772">
            <v>0</v>
          </cell>
          <cell r="J772">
            <v>0</v>
          </cell>
          <cell r="L772">
            <v>0</v>
          </cell>
          <cell r="Z772">
            <v>0</v>
          </cell>
        </row>
        <row r="773">
          <cell r="D773" t="str">
            <v>AIUAIVAUTI</v>
          </cell>
          <cell r="E773" t="str">
            <v>IVA utilidad</v>
          </cell>
          <cell r="F773">
            <v>0</v>
          </cell>
          <cell r="I773">
            <v>0</v>
          </cell>
          <cell r="J773">
            <v>0</v>
          </cell>
          <cell r="L773">
            <v>0</v>
          </cell>
          <cell r="Z773">
            <v>0</v>
          </cell>
        </row>
        <row r="775">
          <cell r="D775" t="str">
            <v>ANSCRC330</v>
          </cell>
          <cell r="E775" t="str">
            <v>Suministro Tuberia Concreto TCR CL-3  Ø 30"</v>
          </cell>
          <cell r="G775" t="str">
            <v>UN.</v>
          </cell>
          <cell r="H775" t="str">
            <v>Ml</v>
          </cell>
          <cell r="I775">
            <v>143608</v>
          </cell>
          <cell r="K775">
            <v>0</v>
          </cell>
          <cell r="L775">
            <v>0</v>
          </cell>
          <cell r="N775">
            <v>143608</v>
          </cell>
          <cell r="O775">
            <v>0</v>
          </cell>
          <cell r="P775">
            <v>0</v>
          </cell>
          <cell r="Q775">
            <v>0</v>
          </cell>
          <cell r="X775">
            <v>0</v>
          </cell>
          <cell r="Y775" t="str">
            <v>Ml</v>
          </cell>
          <cell r="Z775" t="e">
            <v>#N/A</v>
          </cell>
          <cell r="AA775" t="e">
            <v>#N/A</v>
          </cell>
          <cell r="AB775">
            <v>0</v>
          </cell>
          <cell r="AC775">
            <v>0</v>
          </cell>
        </row>
        <row r="777">
          <cell r="D777" t="str">
            <v>CODIGO</v>
          </cell>
          <cell r="E777" t="str">
            <v>DESCRIPCION</v>
          </cell>
          <cell r="F777" t="str">
            <v>UN</v>
          </cell>
          <cell r="G777" t="str">
            <v>CANT</v>
          </cell>
          <cell r="H777" t="str">
            <v>V/UNIT.</v>
          </cell>
          <cell r="I777" t="str">
            <v>V/TOTAL</v>
          </cell>
          <cell r="K777" t="str">
            <v>CANT TOTAL</v>
          </cell>
          <cell r="L777" t="str">
            <v>Vr TOTAL</v>
          </cell>
          <cell r="Y777" t="str">
            <v>CANT.</v>
          </cell>
          <cell r="Z777" t="str">
            <v>V/TOTAL</v>
          </cell>
        </row>
        <row r="778">
          <cell r="E778" t="str">
            <v>MATERIALES</v>
          </cell>
          <cell r="I778">
            <v>143608</v>
          </cell>
          <cell r="L778">
            <v>0</v>
          </cell>
          <cell r="Z778" t="e">
            <v>#N/A</v>
          </cell>
        </row>
        <row r="779">
          <cell r="D779" t="str">
            <v>MA46TCRC330</v>
          </cell>
          <cell r="E779" t="str">
            <v>Tuberia concreto TCR CL-III 30</v>
          </cell>
          <cell r="F779" t="str">
            <v>ml</v>
          </cell>
          <cell r="G779">
            <v>1</v>
          </cell>
          <cell r="H779">
            <v>143608</v>
          </cell>
          <cell r="I779">
            <v>143608</v>
          </cell>
          <cell r="J779">
            <v>0</v>
          </cell>
          <cell r="K779">
            <v>0</v>
          </cell>
          <cell r="L779">
            <v>0</v>
          </cell>
          <cell r="Y779" t="e">
            <v>#N/A</v>
          </cell>
          <cell r="Z779" t="e">
            <v>#N/A</v>
          </cell>
        </row>
        <row r="782">
          <cell r="E782" t="str">
            <v>MANO DE OBRA</v>
          </cell>
          <cell r="I782">
            <v>0</v>
          </cell>
          <cell r="L782">
            <v>0</v>
          </cell>
          <cell r="Z782">
            <v>0</v>
          </cell>
        </row>
        <row r="785">
          <cell r="E785" t="str">
            <v>VARIOS</v>
          </cell>
          <cell r="I785">
            <v>0</v>
          </cell>
          <cell r="L785">
            <v>0</v>
          </cell>
          <cell r="Z785">
            <v>0</v>
          </cell>
        </row>
        <row r="787">
          <cell r="E787" t="str">
            <v>SUBTOTAL</v>
          </cell>
          <cell r="I787">
            <v>143608</v>
          </cell>
          <cell r="L787">
            <v>0</v>
          </cell>
          <cell r="Z787" t="e">
            <v>#N/A</v>
          </cell>
        </row>
        <row r="788">
          <cell r="E788" t="str">
            <v>A.I.U</v>
          </cell>
          <cell r="I788">
            <v>0</v>
          </cell>
          <cell r="L788">
            <v>0</v>
          </cell>
          <cell r="Z788">
            <v>0</v>
          </cell>
        </row>
        <row r="789">
          <cell r="D789" t="str">
            <v>AIUAADMON</v>
          </cell>
          <cell r="E789" t="str">
            <v>Admon</v>
          </cell>
          <cell r="F789">
            <v>0</v>
          </cell>
          <cell r="I789">
            <v>0</v>
          </cell>
          <cell r="J789">
            <v>0</v>
          </cell>
          <cell r="L789">
            <v>0</v>
          </cell>
          <cell r="Z789">
            <v>0</v>
          </cell>
        </row>
        <row r="790">
          <cell r="D790" t="str">
            <v>AIUAIMPRE</v>
          </cell>
          <cell r="E790" t="str">
            <v>Imprevistos</v>
          </cell>
          <cell r="F790">
            <v>0</v>
          </cell>
          <cell r="I790">
            <v>0</v>
          </cell>
          <cell r="J790">
            <v>0</v>
          </cell>
          <cell r="L790">
            <v>0</v>
          </cell>
          <cell r="Z790">
            <v>0</v>
          </cell>
        </row>
        <row r="791">
          <cell r="D791" t="str">
            <v>AIUAUTILI</v>
          </cell>
          <cell r="E791" t="str">
            <v>Utilidad</v>
          </cell>
          <cell r="F791">
            <v>0</v>
          </cell>
          <cell r="I791">
            <v>0</v>
          </cell>
          <cell r="J791">
            <v>0</v>
          </cell>
          <cell r="L791">
            <v>0</v>
          </cell>
          <cell r="Z791">
            <v>0</v>
          </cell>
        </row>
        <row r="792">
          <cell r="D792" t="str">
            <v>AIUAIVAUTI</v>
          </cell>
          <cell r="E792" t="str">
            <v>IVA utilidad</v>
          </cell>
          <cell r="F792">
            <v>0</v>
          </cell>
          <cell r="I792">
            <v>0</v>
          </cell>
          <cell r="J792">
            <v>0</v>
          </cell>
          <cell r="L792">
            <v>0</v>
          </cell>
          <cell r="Z792">
            <v>0</v>
          </cell>
        </row>
        <row r="794">
          <cell r="D794" t="str">
            <v>ANSCRC336</v>
          </cell>
          <cell r="E794" t="str">
            <v>Suministro Tuberia Concreto TCR CL-3  Ø 36"</v>
          </cell>
          <cell r="G794" t="str">
            <v>UN.</v>
          </cell>
          <cell r="H794" t="str">
            <v>Ml</v>
          </cell>
          <cell r="I794">
            <v>186992</v>
          </cell>
          <cell r="K794">
            <v>0</v>
          </cell>
          <cell r="L794">
            <v>0</v>
          </cell>
          <cell r="N794">
            <v>186992</v>
          </cell>
          <cell r="O794">
            <v>0</v>
          </cell>
          <cell r="P794">
            <v>0</v>
          </cell>
          <cell r="Q794">
            <v>0</v>
          </cell>
          <cell r="X794">
            <v>0</v>
          </cell>
          <cell r="Y794" t="str">
            <v>Ml</v>
          </cell>
          <cell r="Z794" t="e">
            <v>#N/A</v>
          </cell>
          <cell r="AA794" t="e">
            <v>#N/A</v>
          </cell>
          <cell r="AB794">
            <v>0</v>
          </cell>
          <cell r="AC794">
            <v>0</v>
          </cell>
        </row>
        <row r="796">
          <cell r="D796" t="str">
            <v>CODIGO</v>
          </cell>
          <cell r="E796" t="str">
            <v>DESCRIPCION</v>
          </cell>
          <cell r="F796" t="str">
            <v>UN</v>
          </cell>
          <cell r="G796" t="str">
            <v>CANT</v>
          </cell>
          <cell r="H796" t="str">
            <v>V/UNIT.</v>
          </cell>
          <cell r="I796" t="str">
            <v>V/TOTAL</v>
          </cell>
          <cell r="K796" t="str">
            <v>CANT TOTAL</v>
          </cell>
          <cell r="L796" t="str">
            <v>Vr TOTAL</v>
          </cell>
          <cell r="Y796" t="str">
            <v>CANT.</v>
          </cell>
          <cell r="Z796" t="str">
            <v>V/TOTAL</v>
          </cell>
        </row>
        <row r="797">
          <cell r="E797" t="str">
            <v>MATERIALES</v>
          </cell>
          <cell r="I797">
            <v>186992</v>
          </cell>
          <cell r="L797">
            <v>0</v>
          </cell>
          <cell r="Z797" t="e">
            <v>#N/A</v>
          </cell>
        </row>
        <row r="798">
          <cell r="D798" t="str">
            <v>MA46TCRC336</v>
          </cell>
          <cell r="E798" t="str">
            <v>Tuberia concreto TCR CL-III 36</v>
          </cell>
          <cell r="F798" t="str">
            <v>ml</v>
          </cell>
          <cell r="G798">
            <v>1</v>
          </cell>
          <cell r="H798">
            <v>186992</v>
          </cell>
          <cell r="I798">
            <v>186992</v>
          </cell>
          <cell r="J798">
            <v>0</v>
          </cell>
          <cell r="K798">
            <v>0</v>
          </cell>
          <cell r="L798">
            <v>0</v>
          </cell>
          <cell r="Y798" t="e">
            <v>#N/A</v>
          </cell>
          <cell r="Z798" t="e">
            <v>#N/A</v>
          </cell>
        </row>
        <row r="801">
          <cell r="E801" t="str">
            <v>MANO DE OBRA</v>
          </cell>
          <cell r="I801">
            <v>0</v>
          </cell>
          <cell r="L801">
            <v>0</v>
          </cell>
          <cell r="Z801">
            <v>0</v>
          </cell>
        </row>
        <row r="804">
          <cell r="E804" t="str">
            <v>VARIOS</v>
          </cell>
          <cell r="I804">
            <v>0</v>
          </cell>
          <cell r="L804">
            <v>0</v>
          </cell>
          <cell r="Z804">
            <v>0</v>
          </cell>
        </row>
        <row r="806">
          <cell r="E806" t="str">
            <v>SUBTOTAL</v>
          </cell>
          <cell r="I806">
            <v>186992</v>
          </cell>
          <cell r="L806">
            <v>0</v>
          </cell>
          <cell r="Z806" t="e">
            <v>#N/A</v>
          </cell>
        </row>
        <row r="807">
          <cell r="E807" t="str">
            <v>A.I.U</v>
          </cell>
          <cell r="I807">
            <v>0</v>
          </cell>
          <cell r="L807">
            <v>0</v>
          </cell>
          <cell r="Z807">
            <v>0</v>
          </cell>
        </row>
        <row r="808">
          <cell r="D808" t="str">
            <v>AIUAADMON</v>
          </cell>
          <cell r="E808" t="str">
            <v>Admon</v>
          </cell>
          <cell r="F808">
            <v>0</v>
          </cell>
          <cell r="I808">
            <v>0</v>
          </cell>
          <cell r="J808">
            <v>0</v>
          </cell>
          <cell r="L808">
            <v>0</v>
          </cell>
          <cell r="Z808">
            <v>0</v>
          </cell>
        </row>
        <row r="809">
          <cell r="D809" t="str">
            <v>AIUAIMPRE</v>
          </cell>
          <cell r="E809" t="str">
            <v>Imprevistos</v>
          </cell>
          <cell r="F809">
            <v>0</v>
          </cell>
          <cell r="I809">
            <v>0</v>
          </cell>
          <cell r="J809">
            <v>0</v>
          </cell>
          <cell r="L809">
            <v>0</v>
          </cell>
          <cell r="Z809">
            <v>0</v>
          </cell>
        </row>
        <row r="810">
          <cell r="D810" t="str">
            <v>AIUAUTILI</v>
          </cell>
          <cell r="E810" t="str">
            <v>Utilidad</v>
          </cell>
          <cell r="F810">
            <v>0</v>
          </cell>
          <cell r="I810">
            <v>0</v>
          </cell>
          <cell r="J810">
            <v>0</v>
          </cell>
          <cell r="L810">
            <v>0</v>
          </cell>
          <cell r="Z810">
            <v>0</v>
          </cell>
        </row>
        <row r="811">
          <cell r="D811" t="str">
            <v>AIUAIVAUTI</v>
          </cell>
          <cell r="E811" t="str">
            <v>IVA utilidad</v>
          </cell>
          <cell r="F811">
            <v>0</v>
          </cell>
          <cell r="I811">
            <v>0</v>
          </cell>
          <cell r="J811">
            <v>0</v>
          </cell>
          <cell r="L811">
            <v>0</v>
          </cell>
          <cell r="Z811">
            <v>0</v>
          </cell>
        </row>
        <row r="813">
          <cell r="D813" t="str">
            <v>ANSCRC356</v>
          </cell>
          <cell r="E813" t="str">
            <v>Suministro Tuberia Concreto TCR CL-3  Ø 1,40 m</v>
          </cell>
          <cell r="G813" t="str">
            <v>UN.</v>
          </cell>
          <cell r="H813" t="str">
            <v>Ml</v>
          </cell>
          <cell r="I813">
            <v>447942</v>
          </cell>
          <cell r="K813">
            <v>49</v>
          </cell>
          <cell r="L813">
            <v>21949158</v>
          </cell>
          <cell r="N813">
            <v>447942</v>
          </cell>
          <cell r="O813">
            <v>0</v>
          </cell>
          <cell r="P813">
            <v>0</v>
          </cell>
          <cell r="Q813">
            <v>0</v>
          </cell>
          <cell r="X813">
            <v>21949158</v>
          </cell>
          <cell r="Y813" t="str">
            <v>Ml</v>
          </cell>
          <cell r="Z813" t="e">
            <v>#N/A</v>
          </cell>
          <cell r="AA813" t="e">
            <v>#N/A</v>
          </cell>
          <cell r="AB813">
            <v>0</v>
          </cell>
          <cell r="AC813">
            <v>0</v>
          </cell>
        </row>
        <row r="815">
          <cell r="D815" t="str">
            <v>CODIGO</v>
          </cell>
          <cell r="E815" t="str">
            <v>DESCRIPCION</v>
          </cell>
          <cell r="F815" t="str">
            <v>UN</v>
          </cell>
          <cell r="G815" t="str">
            <v>CANT</v>
          </cell>
          <cell r="H815" t="str">
            <v>V/UNIT.</v>
          </cell>
          <cell r="I815" t="str">
            <v>V/TOTAL</v>
          </cell>
          <cell r="K815" t="str">
            <v>CANT TOTAL</v>
          </cell>
          <cell r="L815" t="str">
            <v>Vr TOTAL</v>
          </cell>
          <cell r="Y815" t="str">
            <v>CANT.</v>
          </cell>
          <cell r="Z815" t="str">
            <v>V/TOTAL</v>
          </cell>
        </row>
        <row r="816">
          <cell r="E816" t="str">
            <v>MATERIALES</v>
          </cell>
          <cell r="I816">
            <v>447942</v>
          </cell>
          <cell r="L816">
            <v>21949158</v>
          </cell>
          <cell r="Z816" t="e">
            <v>#N/A</v>
          </cell>
        </row>
        <row r="817">
          <cell r="D817" t="str">
            <v>MA46TCRC356</v>
          </cell>
          <cell r="E817" t="str">
            <v>Tuberia concreto TCR CL-III 1,40 m</v>
          </cell>
          <cell r="F817" t="str">
            <v>ml</v>
          </cell>
          <cell r="G817">
            <v>1</v>
          </cell>
          <cell r="H817">
            <v>447942.35</v>
          </cell>
          <cell r="I817">
            <v>447942</v>
          </cell>
          <cell r="J817">
            <v>0</v>
          </cell>
          <cell r="K817">
            <v>49</v>
          </cell>
          <cell r="L817">
            <v>21949175.149999999</v>
          </cell>
          <cell r="Y817" t="e">
            <v>#N/A</v>
          </cell>
          <cell r="Z817" t="e">
            <v>#N/A</v>
          </cell>
        </row>
        <row r="820">
          <cell r="E820" t="str">
            <v>MANO DE OBRA</v>
          </cell>
          <cell r="I820">
            <v>0</v>
          </cell>
          <cell r="L820">
            <v>0</v>
          </cell>
          <cell r="Z820">
            <v>0</v>
          </cell>
        </row>
        <row r="823">
          <cell r="E823" t="str">
            <v>VARIOS</v>
          </cell>
          <cell r="I823">
            <v>0</v>
          </cell>
          <cell r="L823">
            <v>0</v>
          </cell>
          <cell r="Z823">
            <v>0</v>
          </cell>
        </row>
        <row r="825">
          <cell r="E825" t="str">
            <v>SUBTOTAL</v>
          </cell>
          <cell r="I825">
            <v>447942</v>
          </cell>
          <cell r="L825">
            <v>21949158</v>
          </cell>
          <cell r="Z825" t="e">
            <v>#N/A</v>
          </cell>
        </row>
        <row r="826">
          <cell r="E826" t="str">
            <v>A.I.U</v>
          </cell>
          <cell r="I826">
            <v>0</v>
          </cell>
          <cell r="L826">
            <v>0</v>
          </cell>
          <cell r="Z826">
            <v>0</v>
          </cell>
        </row>
        <row r="827">
          <cell r="D827" t="str">
            <v>AIUAADMON</v>
          </cell>
          <cell r="E827" t="str">
            <v>Admon</v>
          </cell>
          <cell r="F827">
            <v>0</v>
          </cell>
          <cell r="I827">
            <v>0</v>
          </cell>
          <cell r="J827">
            <v>0</v>
          </cell>
          <cell r="L827">
            <v>0</v>
          </cell>
          <cell r="Z827">
            <v>0</v>
          </cell>
        </row>
        <row r="828">
          <cell r="D828" t="str">
            <v>AIUAIMPRE</v>
          </cell>
          <cell r="E828" t="str">
            <v>Imprevistos</v>
          </cell>
          <cell r="F828">
            <v>0</v>
          </cell>
          <cell r="I828">
            <v>0</v>
          </cell>
          <cell r="J828">
            <v>0</v>
          </cell>
          <cell r="L828">
            <v>0</v>
          </cell>
          <cell r="Z828">
            <v>0</v>
          </cell>
        </row>
        <row r="829">
          <cell r="D829" t="str">
            <v>AIUAUTILI</v>
          </cell>
          <cell r="E829" t="str">
            <v>Utilidad</v>
          </cell>
          <cell r="F829">
            <v>0</v>
          </cell>
          <cell r="I829">
            <v>0</v>
          </cell>
          <cell r="J829">
            <v>0</v>
          </cell>
          <cell r="L829">
            <v>0</v>
          </cell>
          <cell r="Z829">
            <v>0</v>
          </cell>
        </row>
        <row r="830">
          <cell r="D830" t="str">
            <v>AIUAIVAUTI</v>
          </cell>
          <cell r="E830" t="str">
            <v>IVA utilidad</v>
          </cell>
          <cell r="F830">
            <v>0</v>
          </cell>
          <cell r="I830">
            <v>0</v>
          </cell>
          <cell r="J830">
            <v>0</v>
          </cell>
          <cell r="L830">
            <v>0</v>
          </cell>
          <cell r="Z830">
            <v>0</v>
          </cell>
        </row>
        <row r="832">
          <cell r="D832" t="str">
            <v>ANSCRC372</v>
          </cell>
          <cell r="E832" t="str">
            <v>Suministro Tuberia Concreto TCR CL-3  Ø 1,80 m</v>
          </cell>
          <cell r="G832" t="str">
            <v>UN.</v>
          </cell>
          <cell r="H832" t="str">
            <v>Ml</v>
          </cell>
          <cell r="I832">
            <v>748998</v>
          </cell>
          <cell r="K832">
            <v>58</v>
          </cell>
          <cell r="L832">
            <v>43441884</v>
          </cell>
          <cell r="N832">
            <v>748998</v>
          </cell>
          <cell r="O832">
            <v>0</v>
          </cell>
          <cell r="P832">
            <v>0</v>
          </cell>
          <cell r="Q832">
            <v>0</v>
          </cell>
          <cell r="X832">
            <v>43441884</v>
          </cell>
          <cell r="Y832" t="str">
            <v>Ml</v>
          </cell>
          <cell r="Z832" t="e">
            <v>#N/A</v>
          </cell>
          <cell r="AA832" t="e">
            <v>#N/A</v>
          </cell>
          <cell r="AB832">
            <v>0</v>
          </cell>
          <cell r="AC832">
            <v>0</v>
          </cell>
        </row>
        <row r="834">
          <cell r="D834" t="str">
            <v>CODIGO</v>
          </cell>
          <cell r="E834" t="str">
            <v>DESCRIPCION</v>
          </cell>
          <cell r="F834" t="str">
            <v>UN</v>
          </cell>
          <cell r="G834" t="str">
            <v>CANT</v>
          </cell>
          <cell r="H834" t="str">
            <v>V/UNIT.</v>
          </cell>
          <cell r="I834" t="str">
            <v>V/TOTAL</v>
          </cell>
          <cell r="K834" t="str">
            <v>CANT TOTAL</v>
          </cell>
          <cell r="L834" t="str">
            <v>Vr TOTAL</v>
          </cell>
          <cell r="Y834" t="str">
            <v>CANT.</v>
          </cell>
          <cell r="Z834" t="str">
            <v>V/TOTAL</v>
          </cell>
        </row>
        <row r="835">
          <cell r="E835" t="str">
            <v>MATERIALES</v>
          </cell>
          <cell r="I835">
            <v>748998</v>
          </cell>
          <cell r="L835">
            <v>43441884</v>
          </cell>
          <cell r="Z835" t="e">
            <v>#N/A</v>
          </cell>
        </row>
        <row r="836">
          <cell r="D836" t="str">
            <v>MA46TCRC372</v>
          </cell>
          <cell r="E836" t="str">
            <v>Tuberia concreto TCR CL-III 1,80 m</v>
          </cell>
          <cell r="F836" t="str">
            <v>ml</v>
          </cell>
          <cell r="G836">
            <v>1</v>
          </cell>
          <cell r="H836">
            <v>748998.08</v>
          </cell>
          <cell r="I836">
            <v>748998</v>
          </cell>
          <cell r="J836">
            <v>0</v>
          </cell>
          <cell r="K836">
            <v>58</v>
          </cell>
          <cell r="L836">
            <v>43441888.640000001</v>
          </cell>
          <cell r="Y836" t="e">
            <v>#N/A</v>
          </cell>
          <cell r="Z836" t="e">
            <v>#N/A</v>
          </cell>
        </row>
        <row r="839">
          <cell r="E839" t="str">
            <v>MANO DE OBRA</v>
          </cell>
          <cell r="I839">
            <v>0</v>
          </cell>
          <cell r="L839">
            <v>0</v>
          </cell>
          <cell r="Z839">
            <v>0</v>
          </cell>
        </row>
        <row r="842">
          <cell r="E842" t="str">
            <v>VARIOS</v>
          </cell>
          <cell r="I842">
            <v>0</v>
          </cell>
          <cell r="L842">
            <v>0</v>
          </cell>
          <cell r="Z842">
            <v>0</v>
          </cell>
        </row>
        <row r="844">
          <cell r="E844" t="str">
            <v>SUBTOTAL</v>
          </cell>
          <cell r="I844">
            <v>748998</v>
          </cell>
          <cell r="L844">
            <v>43441884</v>
          </cell>
          <cell r="Z844" t="e">
            <v>#N/A</v>
          </cell>
        </row>
        <row r="845">
          <cell r="E845" t="str">
            <v>A.I.U</v>
          </cell>
          <cell r="I845">
            <v>0</v>
          </cell>
          <cell r="L845">
            <v>0</v>
          </cell>
          <cell r="Z845">
            <v>0</v>
          </cell>
        </row>
        <row r="846">
          <cell r="D846" t="str">
            <v>AIUAADMON</v>
          </cell>
          <cell r="E846" t="str">
            <v>Admon</v>
          </cell>
          <cell r="F846">
            <v>0</v>
          </cell>
          <cell r="I846">
            <v>0</v>
          </cell>
          <cell r="J846">
            <v>0</v>
          </cell>
          <cell r="L846">
            <v>0</v>
          </cell>
          <cell r="Z846">
            <v>0</v>
          </cell>
        </row>
        <row r="847">
          <cell r="D847" t="str">
            <v>AIUAIMPRE</v>
          </cell>
          <cell r="E847" t="str">
            <v>Imprevistos</v>
          </cell>
          <cell r="F847">
            <v>0</v>
          </cell>
          <cell r="I847">
            <v>0</v>
          </cell>
          <cell r="J847">
            <v>0</v>
          </cell>
          <cell r="L847">
            <v>0</v>
          </cell>
          <cell r="Z847">
            <v>0</v>
          </cell>
        </row>
        <row r="848">
          <cell r="D848" t="str">
            <v>AIUAUTILI</v>
          </cell>
          <cell r="E848" t="str">
            <v>Utilidad</v>
          </cell>
          <cell r="F848">
            <v>0</v>
          </cell>
          <cell r="I848">
            <v>0</v>
          </cell>
          <cell r="J848">
            <v>0</v>
          </cell>
          <cell r="L848">
            <v>0</v>
          </cell>
          <cell r="Z848">
            <v>0</v>
          </cell>
        </row>
        <row r="849">
          <cell r="D849" t="str">
            <v>AIUAIVAUTI</v>
          </cell>
          <cell r="E849" t="str">
            <v>IVA utilidad</v>
          </cell>
          <cell r="F849">
            <v>0</v>
          </cell>
          <cell r="I849">
            <v>0</v>
          </cell>
          <cell r="J849">
            <v>0</v>
          </cell>
          <cell r="L849">
            <v>0</v>
          </cell>
          <cell r="Z849">
            <v>0</v>
          </cell>
        </row>
        <row r="851">
          <cell r="D851" t="str">
            <v>ANSCSC112</v>
          </cell>
          <cell r="E851" t="str">
            <v xml:space="preserve">Suministro Tuberia Concreto TCS-C1 Ø 12" </v>
          </cell>
          <cell r="G851" t="str">
            <v>UN.</v>
          </cell>
          <cell r="H851" t="str">
            <v>Ml</v>
          </cell>
          <cell r="I851">
            <v>21716</v>
          </cell>
          <cell r="K851">
            <v>1359</v>
          </cell>
          <cell r="L851">
            <v>29512044</v>
          </cell>
          <cell r="N851">
            <v>21716</v>
          </cell>
          <cell r="O851">
            <v>0</v>
          </cell>
          <cell r="P851">
            <v>0</v>
          </cell>
          <cell r="Q851">
            <v>0</v>
          </cell>
          <cell r="X851">
            <v>29512044</v>
          </cell>
          <cell r="Y851" t="str">
            <v>Ml</v>
          </cell>
          <cell r="Z851" t="e">
            <v>#N/A</v>
          </cell>
          <cell r="AA851" t="e">
            <v>#N/A</v>
          </cell>
          <cell r="AB851">
            <v>0</v>
          </cell>
          <cell r="AC851">
            <v>0</v>
          </cell>
        </row>
        <row r="853">
          <cell r="D853" t="str">
            <v>CODIGO</v>
          </cell>
          <cell r="E853" t="str">
            <v>DESCRIPCION</v>
          </cell>
          <cell r="F853" t="str">
            <v>UN</v>
          </cell>
          <cell r="G853" t="str">
            <v>CANT</v>
          </cell>
          <cell r="H853" t="str">
            <v>V/UNIT.</v>
          </cell>
          <cell r="I853" t="str">
            <v>V/TOTAL</v>
          </cell>
          <cell r="K853" t="str">
            <v>CANT TOTAL</v>
          </cell>
          <cell r="L853" t="str">
            <v>Vr TOTAL</v>
          </cell>
          <cell r="Y853" t="str">
            <v>CANT.</v>
          </cell>
          <cell r="Z853" t="str">
            <v>V/TOTAL</v>
          </cell>
        </row>
        <row r="854">
          <cell r="E854" t="str">
            <v>MATERIALES</v>
          </cell>
          <cell r="I854">
            <v>21716</v>
          </cell>
          <cell r="L854">
            <v>29512044</v>
          </cell>
          <cell r="Z854" t="e">
            <v>#N/A</v>
          </cell>
        </row>
        <row r="855">
          <cell r="D855" t="str">
            <v>MA46CSC112</v>
          </cell>
          <cell r="E855" t="str">
            <v>Tuberia concreto TCS-CL1 12</v>
          </cell>
          <cell r="F855" t="str">
            <v>ml</v>
          </cell>
          <cell r="G855">
            <v>1</v>
          </cell>
          <cell r="H855">
            <v>21716.36</v>
          </cell>
          <cell r="I855">
            <v>21716</v>
          </cell>
          <cell r="J855">
            <v>0</v>
          </cell>
          <cell r="K855">
            <v>1359</v>
          </cell>
          <cell r="L855">
            <v>29512533.240000002</v>
          </cell>
          <cell r="Y855" t="e">
            <v>#N/A</v>
          </cell>
          <cell r="Z855" t="e">
            <v>#N/A</v>
          </cell>
        </row>
        <row r="858">
          <cell r="E858" t="str">
            <v>MANO DE OBRA</v>
          </cell>
          <cell r="I858">
            <v>0</v>
          </cell>
          <cell r="L858">
            <v>0</v>
          </cell>
          <cell r="Z858">
            <v>0</v>
          </cell>
        </row>
        <row r="861">
          <cell r="E861" t="str">
            <v>VARIOS</v>
          </cell>
          <cell r="I861">
            <v>0</v>
          </cell>
          <cell r="L861">
            <v>0</v>
          </cell>
          <cell r="Z861">
            <v>0</v>
          </cell>
        </row>
        <row r="863">
          <cell r="E863" t="str">
            <v>SUBTOTAL</v>
          </cell>
          <cell r="I863">
            <v>21716</v>
          </cell>
          <cell r="L863">
            <v>29512044</v>
          </cell>
          <cell r="Z863" t="e">
            <v>#N/A</v>
          </cell>
        </row>
        <row r="864">
          <cell r="E864" t="str">
            <v>A.I.U</v>
          </cell>
          <cell r="I864">
            <v>0</v>
          </cell>
          <cell r="L864">
            <v>0</v>
          </cell>
          <cell r="Z864">
            <v>0</v>
          </cell>
        </row>
        <row r="865">
          <cell r="D865" t="str">
            <v>AIUAADMON</v>
          </cell>
          <cell r="E865" t="str">
            <v>Admon</v>
          </cell>
          <cell r="F865">
            <v>0</v>
          </cell>
          <cell r="I865">
            <v>0</v>
          </cell>
          <cell r="J865">
            <v>0</v>
          </cell>
          <cell r="L865">
            <v>0</v>
          </cell>
          <cell r="Z865">
            <v>0</v>
          </cell>
        </row>
        <row r="866">
          <cell r="D866" t="str">
            <v>AIUAIMPRE</v>
          </cell>
          <cell r="E866" t="str">
            <v>Imprevistos</v>
          </cell>
          <cell r="F866">
            <v>0</v>
          </cell>
          <cell r="I866">
            <v>0</v>
          </cell>
          <cell r="J866">
            <v>0</v>
          </cell>
          <cell r="L866">
            <v>0</v>
          </cell>
          <cell r="Z866">
            <v>0</v>
          </cell>
        </row>
        <row r="867">
          <cell r="D867" t="str">
            <v>AIUAUTILI</v>
          </cell>
          <cell r="E867" t="str">
            <v>Utilidad</v>
          </cell>
          <cell r="F867">
            <v>0</v>
          </cell>
          <cell r="I867">
            <v>0</v>
          </cell>
          <cell r="J867">
            <v>0</v>
          </cell>
          <cell r="L867">
            <v>0</v>
          </cell>
          <cell r="Z867">
            <v>0</v>
          </cell>
        </row>
        <row r="868">
          <cell r="D868" t="str">
            <v>AIUAIVAUTI</v>
          </cell>
          <cell r="E868" t="str">
            <v>IVA utilidad</v>
          </cell>
          <cell r="F868">
            <v>0</v>
          </cell>
          <cell r="I868">
            <v>0</v>
          </cell>
          <cell r="J868">
            <v>0</v>
          </cell>
          <cell r="L868">
            <v>0</v>
          </cell>
          <cell r="Z868">
            <v>0</v>
          </cell>
        </row>
        <row r="870">
          <cell r="D870" t="str">
            <v>ANSCSC114</v>
          </cell>
          <cell r="E870" t="str">
            <v xml:space="preserve">Suministro Tuberia Concreto TCS-C1 Ø 14" </v>
          </cell>
          <cell r="G870" t="str">
            <v>UN.</v>
          </cell>
          <cell r="H870" t="str">
            <v>Ml</v>
          </cell>
          <cell r="I870">
            <v>27399</v>
          </cell>
          <cell r="K870">
            <v>0</v>
          </cell>
          <cell r="L870">
            <v>0</v>
          </cell>
          <cell r="N870">
            <v>27399</v>
          </cell>
          <cell r="O870">
            <v>0</v>
          </cell>
          <cell r="P870">
            <v>0</v>
          </cell>
          <cell r="Q870">
            <v>0</v>
          </cell>
          <cell r="X870">
            <v>0</v>
          </cell>
          <cell r="Y870" t="str">
            <v>Ml</v>
          </cell>
          <cell r="Z870" t="e">
            <v>#N/A</v>
          </cell>
          <cell r="AA870" t="e">
            <v>#N/A</v>
          </cell>
          <cell r="AB870">
            <v>0</v>
          </cell>
          <cell r="AC870">
            <v>0</v>
          </cell>
        </row>
        <row r="872">
          <cell r="D872" t="str">
            <v>CODIGO</v>
          </cell>
          <cell r="E872" t="str">
            <v>DESCRIPCION</v>
          </cell>
          <cell r="F872" t="str">
            <v>UN</v>
          </cell>
          <cell r="G872" t="str">
            <v>CANT</v>
          </cell>
          <cell r="H872" t="str">
            <v>V/UNIT.</v>
          </cell>
          <cell r="I872" t="str">
            <v>V/TOTAL</v>
          </cell>
          <cell r="K872" t="str">
            <v>CANT TOTAL</v>
          </cell>
          <cell r="L872" t="str">
            <v>Vr TOTAL</v>
          </cell>
          <cell r="Y872" t="str">
            <v>CANT.</v>
          </cell>
          <cell r="Z872" t="str">
            <v>V/TOTAL</v>
          </cell>
        </row>
        <row r="873">
          <cell r="E873" t="str">
            <v>MATERIALES</v>
          </cell>
          <cell r="I873">
            <v>27399</v>
          </cell>
          <cell r="L873">
            <v>0</v>
          </cell>
          <cell r="Z873" t="e">
            <v>#N/A</v>
          </cell>
        </row>
        <row r="874">
          <cell r="D874" t="str">
            <v>MA46CSC114</v>
          </cell>
          <cell r="E874" t="str">
            <v>Tuberia concreto TCS-CL1 14</v>
          </cell>
          <cell r="F874" t="str">
            <v>ml</v>
          </cell>
          <cell r="G874">
            <v>1</v>
          </cell>
          <cell r="H874">
            <v>27398.62</v>
          </cell>
          <cell r="I874">
            <v>27399</v>
          </cell>
          <cell r="J874">
            <v>0</v>
          </cell>
          <cell r="K874">
            <v>0</v>
          </cell>
          <cell r="L874">
            <v>0</v>
          </cell>
          <cell r="Y874" t="e">
            <v>#N/A</v>
          </cell>
          <cell r="Z874" t="e">
            <v>#N/A</v>
          </cell>
        </row>
        <row r="877">
          <cell r="E877" t="str">
            <v>MANO DE OBRA</v>
          </cell>
          <cell r="I877">
            <v>0</v>
          </cell>
          <cell r="L877">
            <v>0</v>
          </cell>
          <cell r="Z877">
            <v>0</v>
          </cell>
        </row>
        <row r="880">
          <cell r="E880" t="str">
            <v>VARIOS</v>
          </cell>
          <cell r="I880">
            <v>0</v>
          </cell>
          <cell r="L880">
            <v>0</v>
          </cell>
          <cell r="Z880">
            <v>0</v>
          </cell>
        </row>
        <row r="882">
          <cell r="E882" t="str">
            <v>SUBTOTAL</v>
          </cell>
          <cell r="I882">
            <v>27399</v>
          </cell>
          <cell r="L882">
            <v>0</v>
          </cell>
          <cell r="Z882" t="e">
            <v>#N/A</v>
          </cell>
        </row>
        <row r="883">
          <cell r="E883" t="str">
            <v>A.I.U</v>
          </cell>
          <cell r="I883">
            <v>0</v>
          </cell>
          <cell r="L883">
            <v>0</v>
          </cell>
          <cell r="Z883">
            <v>0</v>
          </cell>
        </row>
        <row r="884">
          <cell r="D884" t="str">
            <v>AIUAADMON</v>
          </cell>
          <cell r="E884" t="str">
            <v>Admon</v>
          </cell>
          <cell r="F884">
            <v>0</v>
          </cell>
          <cell r="I884">
            <v>0</v>
          </cell>
          <cell r="J884">
            <v>0</v>
          </cell>
          <cell r="L884">
            <v>0</v>
          </cell>
          <cell r="Z884">
            <v>0</v>
          </cell>
        </row>
        <row r="885">
          <cell r="D885" t="str">
            <v>AIUAIMPRE</v>
          </cell>
          <cell r="E885" t="str">
            <v>Imprevistos</v>
          </cell>
          <cell r="F885">
            <v>0</v>
          </cell>
          <cell r="I885">
            <v>0</v>
          </cell>
          <cell r="J885">
            <v>0</v>
          </cell>
          <cell r="L885">
            <v>0</v>
          </cell>
          <cell r="Z885">
            <v>0</v>
          </cell>
        </row>
        <row r="886">
          <cell r="D886" t="str">
            <v>AIUAUTILI</v>
          </cell>
          <cell r="E886" t="str">
            <v>Utilidad</v>
          </cell>
          <cell r="F886">
            <v>0</v>
          </cell>
          <cell r="I886">
            <v>0</v>
          </cell>
          <cell r="J886">
            <v>0</v>
          </cell>
          <cell r="L886">
            <v>0</v>
          </cell>
          <cell r="Z886">
            <v>0</v>
          </cell>
        </row>
        <row r="887">
          <cell r="D887" t="str">
            <v>AIUAIVAUTI</v>
          </cell>
          <cell r="E887" t="str">
            <v>IVA utilidad</v>
          </cell>
          <cell r="F887">
            <v>0</v>
          </cell>
          <cell r="I887">
            <v>0</v>
          </cell>
          <cell r="J887">
            <v>0</v>
          </cell>
          <cell r="L887">
            <v>0</v>
          </cell>
          <cell r="Z887">
            <v>0</v>
          </cell>
        </row>
        <row r="889">
          <cell r="D889" t="str">
            <v>ANSCSC116</v>
          </cell>
          <cell r="E889" t="str">
            <v xml:space="preserve">Suministro Tuberia Concreto TCS-C1 Ø 16" </v>
          </cell>
          <cell r="G889" t="str">
            <v>UN.</v>
          </cell>
          <cell r="H889" t="str">
            <v>Ml</v>
          </cell>
          <cell r="I889">
            <v>47522</v>
          </cell>
          <cell r="K889">
            <v>87.04</v>
          </cell>
          <cell r="L889">
            <v>4136314.8800000004</v>
          </cell>
          <cell r="N889">
            <v>47522</v>
          </cell>
          <cell r="O889">
            <v>0</v>
          </cell>
          <cell r="P889">
            <v>0</v>
          </cell>
          <cell r="Q889">
            <v>0</v>
          </cell>
          <cell r="X889">
            <v>4136314.8800000004</v>
          </cell>
          <cell r="Y889" t="str">
            <v>Ml</v>
          </cell>
          <cell r="Z889" t="e">
            <v>#N/A</v>
          </cell>
          <cell r="AA889" t="e">
            <v>#N/A</v>
          </cell>
          <cell r="AB889">
            <v>0</v>
          </cell>
          <cell r="AC889">
            <v>0</v>
          </cell>
        </row>
        <row r="891">
          <cell r="D891" t="str">
            <v>CODIGO</v>
          </cell>
          <cell r="E891" t="str">
            <v>DESCRIPCION</v>
          </cell>
          <cell r="F891" t="str">
            <v>UN</v>
          </cell>
          <cell r="G891" t="str">
            <v>CANT</v>
          </cell>
          <cell r="H891" t="str">
            <v>V/UNIT.</v>
          </cell>
          <cell r="I891" t="str">
            <v>V/TOTAL</v>
          </cell>
          <cell r="K891" t="str">
            <v>CANT TOTAL</v>
          </cell>
          <cell r="L891" t="str">
            <v>Vr TOTAL</v>
          </cell>
          <cell r="Y891" t="str">
            <v>CANT.</v>
          </cell>
          <cell r="Z891" t="str">
            <v>V/TOTAL</v>
          </cell>
        </row>
        <row r="892">
          <cell r="E892" t="str">
            <v>MATERIALES</v>
          </cell>
          <cell r="I892">
            <v>47522</v>
          </cell>
          <cell r="L892">
            <v>4136314.8800000004</v>
          </cell>
          <cell r="Z892" t="e">
            <v>#N/A</v>
          </cell>
        </row>
        <row r="893">
          <cell r="D893" t="str">
            <v>MA46CSC116</v>
          </cell>
          <cell r="E893" t="str">
            <v>Tuberia concreto TCS-CL1 16</v>
          </cell>
          <cell r="F893" t="str">
            <v>ml</v>
          </cell>
          <cell r="G893">
            <v>1</v>
          </cell>
          <cell r="H893">
            <v>47522.3</v>
          </cell>
          <cell r="I893">
            <v>47522</v>
          </cell>
          <cell r="J893">
            <v>0</v>
          </cell>
          <cell r="K893">
            <v>87.04</v>
          </cell>
          <cell r="L893">
            <v>4136340.9920000006</v>
          </cell>
          <cell r="Y893" t="e">
            <v>#N/A</v>
          </cell>
          <cell r="Z893" t="e">
            <v>#N/A</v>
          </cell>
        </row>
        <row r="896">
          <cell r="E896" t="str">
            <v>MANO DE OBRA</v>
          </cell>
          <cell r="I896">
            <v>0</v>
          </cell>
          <cell r="L896">
            <v>0</v>
          </cell>
          <cell r="Z896">
            <v>0</v>
          </cell>
        </row>
        <row r="899">
          <cell r="E899" t="str">
            <v>VARIOS</v>
          </cell>
          <cell r="I899">
            <v>0</v>
          </cell>
          <cell r="L899">
            <v>0</v>
          </cell>
          <cell r="Z899">
            <v>0</v>
          </cell>
        </row>
        <row r="901">
          <cell r="E901" t="str">
            <v>SUBTOTAL</v>
          </cell>
          <cell r="I901">
            <v>47522</v>
          </cell>
          <cell r="L901">
            <v>4136314.8800000004</v>
          </cell>
          <cell r="Z901" t="e">
            <v>#N/A</v>
          </cell>
        </row>
        <row r="902">
          <cell r="E902" t="str">
            <v>A.I.U</v>
          </cell>
          <cell r="I902">
            <v>0</v>
          </cell>
          <cell r="L902">
            <v>0</v>
          </cell>
          <cell r="Z902">
            <v>0</v>
          </cell>
        </row>
        <row r="903">
          <cell r="D903" t="str">
            <v>AIUAADMON</v>
          </cell>
          <cell r="E903" t="str">
            <v>Admon</v>
          </cell>
          <cell r="F903">
            <v>0</v>
          </cell>
          <cell r="I903">
            <v>0</v>
          </cell>
          <cell r="J903">
            <v>0</v>
          </cell>
          <cell r="L903">
            <v>0</v>
          </cell>
          <cell r="Z903">
            <v>0</v>
          </cell>
        </row>
        <row r="904">
          <cell r="D904" t="str">
            <v>AIUAIMPRE</v>
          </cell>
          <cell r="E904" t="str">
            <v>Imprevistos</v>
          </cell>
          <cell r="F904">
            <v>0</v>
          </cell>
          <cell r="I904">
            <v>0</v>
          </cell>
          <cell r="J904">
            <v>0</v>
          </cell>
          <cell r="L904">
            <v>0</v>
          </cell>
          <cell r="Z904">
            <v>0</v>
          </cell>
        </row>
        <row r="905">
          <cell r="D905" t="str">
            <v>AIUAUTILI</v>
          </cell>
          <cell r="E905" t="str">
            <v>Utilidad</v>
          </cell>
          <cell r="F905">
            <v>0</v>
          </cell>
          <cell r="I905">
            <v>0</v>
          </cell>
          <cell r="J905">
            <v>0</v>
          </cell>
          <cell r="L905">
            <v>0</v>
          </cell>
          <cell r="Z905">
            <v>0</v>
          </cell>
        </row>
        <row r="906">
          <cell r="D906" t="str">
            <v>AIUAIVAUTI</v>
          </cell>
          <cell r="E906" t="str">
            <v>IVA utilidad</v>
          </cell>
          <cell r="F906">
            <v>0</v>
          </cell>
          <cell r="I906">
            <v>0</v>
          </cell>
          <cell r="J906">
            <v>0</v>
          </cell>
          <cell r="L906">
            <v>0</v>
          </cell>
          <cell r="Z906">
            <v>0</v>
          </cell>
        </row>
        <row r="908">
          <cell r="D908" t="str">
            <v>ANSCSC118</v>
          </cell>
          <cell r="E908" t="str">
            <v xml:space="preserve">Suministro Tuberia Concreto TCS-C1 Ø 18" </v>
          </cell>
          <cell r="G908" t="str">
            <v>UN.</v>
          </cell>
          <cell r="H908" t="str">
            <v>Ml</v>
          </cell>
          <cell r="I908">
            <v>67582</v>
          </cell>
          <cell r="K908">
            <v>0</v>
          </cell>
          <cell r="L908">
            <v>0</v>
          </cell>
          <cell r="N908">
            <v>67582</v>
          </cell>
          <cell r="O908">
            <v>0</v>
          </cell>
          <cell r="P908">
            <v>0</v>
          </cell>
          <cell r="Q908">
            <v>0</v>
          </cell>
          <cell r="X908">
            <v>0</v>
          </cell>
          <cell r="Y908" t="str">
            <v>Ml</v>
          </cell>
          <cell r="Z908" t="e">
            <v>#N/A</v>
          </cell>
          <cell r="AA908" t="e">
            <v>#N/A</v>
          </cell>
          <cell r="AB908">
            <v>0</v>
          </cell>
          <cell r="AC908">
            <v>0</v>
          </cell>
        </row>
        <row r="910">
          <cell r="D910" t="str">
            <v>CODIGO</v>
          </cell>
          <cell r="E910" t="str">
            <v>DESCRIPCION</v>
          </cell>
          <cell r="F910" t="str">
            <v>UN</v>
          </cell>
          <cell r="G910" t="str">
            <v>CANT</v>
          </cell>
          <cell r="H910" t="str">
            <v>V/UNIT.</v>
          </cell>
          <cell r="I910" t="str">
            <v>V/TOTAL</v>
          </cell>
          <cell r="K910" t="str">
            <v>CANT TOTAL</v>
          </cell>
          <cell r="L910" t="str">
            <v>Vr TOTAL</v>
          </cell>
          <cell r="Y910" t="str">
            <v>CANT.</v>
          </cell>
          <cell r="Z910" t="str">
            <v>V/TOTAL</v>
          </cell>
        </row>
        <row r="911">
          <cell r="E911" t="str">
            <v>MATERIALES</v>
          </cell>
          <cell r="I911">
            <v>67582</v>
          </cell>
          <cell r="L911">
            <v>0</v>
          </cell>
          <cell r="Z911" t="e">
            <v>#N/A</v>
          </cell>
        </row>
        <row r="912">
          <cell r="D912" t="str">
            <v>MA46CSC118</v>
          </cell>
          <cell r="E912" t="str">
            <v>Tuberia concreto TCS-CL1 18</v>
          </cell>
          <cell r="F912" t="str">
            <v>ml</v>
          </cell>
          <cell r="G912">
            <v>1</v>
          </cell>
          <cell r="H912">
            <v>67581.600000000006</v>
          </cell>
          <cell r="I912">
            <v>67582</v>
          </cell>
          <cell r="J912">
            <v>0</v>
          </cell>
          <cell r="K912">
            <v>0</v>
          </cell>
          <cell r="L912">
            <v>0</v>
          </cell>
          <cell r="Y912" t="e">
            <v>#N/A</v>
          </cell>
          <cell r="Z912" t="e">
            <v>#N/A</v>
          </cell>
        </row>
        <row r="915">
          <cell r="E915" t="str">
            <v>MANO DE OBRA</v>
          </cell>
          <cell r="I915">
            <v>0</v>
          </cell>
          <cell r="L915">
            <v>0</v>
          </cell>
          <cell r="Z915">
            <v>0</v>
          </cell>
        </row>
        <row r="918">
          <cell r="E918" t="str">
            <v>VARIOS</v>
          </cell>
          <cell r="I918">
            <v>0</v>
          </cell>
          <cell r="L918">
            <v>0</v>
          </cell>
          <cell r="Z918">
            <v>0</v>
          </cell>
        </row>
        <row r="920">
          <cell r="E920" t="str">
            <v>SUBTOTAL</v>
          </cell>
          <cell r="I920">
            <v>67582</v>
          </cell>
          <cell r="L920">
            <v>0</v>
          </cell>
          <cell r="Z920" t="e">
            <v>#N/A</v>
          </cell>
        </row>
        <row r="921">
          <cell r="E921" t="str">
            <v>A.I.U</v>
          </cell>
          <cell r="I921">
            <v>0</v>
          </cell>
          <cell r="L921">
            <v>0</v>
          </cell>
          <cell r="Z921">
            <v>0</v>
          </cell>
        </row>
        <row r="922">
          <cell r="D922" t="str">
            <v>AIUAADMON</v>
          </cell>
          <cell r="E922" t="str">
            <v>Admon</v>
          </cell>
          <cell r="F922">
            <v>0</v>
          </cell>
          <cell r="I922">
            <v>0</v>
          </cell>
          <cell r="J922">
            <v>0</v>
          </cell>
          <cell r="L922">
            <v>0</v>
          </cell>
          <cell r="Z922">
            <v>0</v>
          </cell>
        </row>
        <row r="923">
          <cell r="D923" t="str">
            <v>AIUAIMPRE</v>
          </cell>
          <cell r="E923" t="str">
            <v>Imprevistos</v>
          </cell>
          <cell r="F923">
            <v>0</v>
          </cell>
          <cell r="I923">
            <v>0</v>
          </cell>
          <cell r="J923">
            <v>0</v>
          </cell>
          <cell r="L923">
            <v>0</v>
          </cell>
          <cell r="Z923">
            <v>0</v>
          </cell>
        </row>
        <row r="924">
          <cell r="D924" t="str">
            <v>AIUAUTILI</v>
          </cell>
          <cell r="E924" t="str">
            <v>Utilidad</v>
          </cell>
          <cell r="F924">
            <v>0</v>
          </cell>
          <cell r="I924">
            <v>0</v>
          </cell>
          <cell r="J924">
            <v>0</v>
          </cell>
          <cell r="L924">
            <v>0</v>
          </cell>
          <cell r="Z924">
            <v>0</v>
          </cell>
        </row>
        <row r="925">
          <cell r="D925" t="str">
            <v>AIUAIVAUTI</v>
          </cell>
          <cell r="E925" t="str">
            <v>IVA utilidad</v>
          </cell>
          <cell r="F925">
            <v>0</v>
          </cell>
          <cell r="I925">
            <v>0</v>
          </cell>
          <cell r="J925">
            <v>0</v>
          </cell>
          <cell r="L925">
            <v>0</v>
          </cell>
          <cell r="Z925">
            <v>0</v>
          </cell>
        </row>
        <row r="927">
          <cell r="D927" t="str">
            <v>ANSCSC120</v>
          </cell>
          <cell r="E927" t="str">
            <v xml:space="preserve">Suministro Tuberia Concreto TCS-C1 Ø 20" </v>
          </cell>
          <cell r="G927" t="str">
            <v>UN.</v>
          </cell>
          <cell r="H927" t="str">
            <v>Ml</v>
          </cell>
          <cell r="I927">
            <v>60761</v>
          </cell>
          <cell r="K927">
            <v>0</v>
          </cell>
          <cell r="L927">
            <v>0</v>
          </cell>
          <cell r="N927">
            <v>60761</v>
          </cell>
          <cell r="O927">
            <v>0</v>
          </cell>
          <cell r="P927">
            <v>0</v>
          </cell>
          <cell r="Q927">
            <v>0</v>
          </cell>
          <cell r="X927">
            <v>0</v>
          </cell>
          <cell r="Y927" t="str">
            <v>Ml</v>
          </cell>
          <cell r="Z927" t="e">
            <v>#N/A</v>
          </cell>
          <cell r="AA927" t="e">
            <v>#N/A</v>
          </cell>
          <cell r="AB927">
            <v>0</v>
          </cell>
          <cell r="AC927">
            <v>0</v>
          </cell>
        </row>
        <row r="929">
          <cell r="D929" t="str">
            <v>CODIGO</v>
          </cell>
          <cell r="E929" t="str">
            <v>DESCRIPCION</v>
          </cell>
          <cell r="F929" t="str">
            <v>UN</v>
          </cell>
          <cell r="G929" t="str">
            <v>CANT</v>
          </cell>
          <cell r="H929" t="str">
            <v>V/UNIT.</v>
          </cell>
          <cell r="I929" t="str">
            <v>V/TOTAL</v>
          </cell>
          <cell r="K929" t="str">
            <v>CANT TOTAL</v>
          </cell>
          <cell r="L929" t="str">
            <v>Vr TOTAL</v>
          </cell>
          <cell r="Y929" t="str">
            <v>CANT.</v>
          </cell>
          <cell r="Z929" t="str">
            <v>V/TOTAL</v>
          </cell>
        </row>
        <row r="930">
          <cell r="E930" t="str">
            <v>MATERIALES</v>
          </cell>
          <cell r="I930">
            <v>60761</v>
          </cell>
          <cell r="L930">
            <v>0</v>
          </cell>
          <cell r="Z930" t="e">
            <v>#N/A</v>
          </cell>
        </row>
        <row r="931">
          <cell r="D931" t="str">
            <v>MA46CSC120</v>
          </cell>
          <cell r="E931" t="str">
            <v>Tuberia concreto TCS-C1 20</v>
          </cell>
          <cell r="F931" t="str">
            <v>ml</v>
          </cell>
          <cell r="G931">
            <v>1</v>
          </cell>
          <cell r="H931">
            <v>60760.800000000003</v>
          </cell>
          <cell r="I931">
            <v>60761</v>
          </cell>
          <cell r="J931">
            <v>0</v>
          </cell>
          <cell r="K931">
            <v>0</v>
          </cell>
          <cell r="L931">
            <v>0</v>
          </cell>
          <cell r="Y931" t="e">
            <v>#N/A</v>
          </cell>
          <cell r="Z931" t="e">
            <v>#N/A</v>
          </cell>
        </row>
        <row r="934">
          <cell r="E934" t="str">
            <v>MANO DE OBRA</v>
          </cell>
          <cell r="I934">
            <v>0</v>
          </cell>
          <cell r="L934">
            <v>0</v>
          </cell>
          <cell r="Z934">
            <v>0</v>
          </cell>
        </row>
        <row r="937">
          <cell r="E937" t="str">
            <v>VARIOS</v>
          </cell>
          <cell r="I937">
            <v>0</v>
          </cell>
          <cell r="L937">
            <v>0</v>
          </cell>
          <cell r="Z937">
            <v>0</v>
          </cell>
        </row>
        <row r="939">
          <cell r="E939" t="str">
            <v>SUBTOTAL</v>
          </cell>
          <cell r="I939">
            <v>60761</v>
          </cell>
          <cell r="L939">
            <v>0</v>
          </cell>
          <cell r="Z939" t="e">
            <v>#N/A</v>
          </cell>
        </row>
        <row r="940">
          <cell r="E940" t="str">
            <v>A.I.U</v>
          </cell>
          <cell r="I940">
            <v>0</v>
          </cell>
          <cell r="L940">
            <v>0</v>
          </cell>
          <cell r="Z940">
            <v>0</v>
          </cell>
        </row>
        <row r="941">
          <cell r="D941" t="str">
            <v>AIUAADMON</v>
          </cell>
          <cell r="E941" t="str">
            <v>Admon</v>
          </cell>
          <cell r="F941">
            <v>0</v>
          </cell>
          <cell r="I941">
            <v>0</v>
          </cell>
          <cell r="J941">
            <v>0</v>
          </cell>
          <cell r="L941">
            <v>0</v>
          </cell>
          <cell r="Z941">
            <v>0</v>
          </cell>
        </row>
        <row r="942">
          <cell r="D942" t="str">
            <v>AIUAIMPRE</v>
          </cell>
          <cell r="E942" t="str">
            <v>Imprevistos</v>
          </cell>
          <cell r="F942">
            <v>0</v>
          </cell>
          <cell r="I942">
            <v>0</v>
          </cell>
          <cell r="J942">
            <v>0</v>
          </cell>
          <cell r="L942">
            <v>0</v>
          </cell>
          <cell r="Z942">
            <v>0</v>
          </cell>
        </row>
        <row r="943">
          <cell r="D943" t="str">
            <v>AIUAUTILI</v>
          </cell>
          <cell r="E943" t="str">
            <v>Utilidad</v>
          </cell>
          <cell r="F943">
            <v>0</v>
          </cell>
          <cell r="I943">
            <v>0</v>
          </cell>
          <cell r="J943">
            <v>0</v>
          </cell>
          <cell r="L943">
            <v>0</v>
          </cell>
          <cell r="Z943">
            <v>0</v>
          </cell>
        </row>
        <row r="944">
          <cell r="D944" t="str">
            <v>AIUAIVAUTI</v>
          </cell>
          <cell r="E944" t="str">
            <v>IVA utilidad</v>
          </cell>
          <cell r="F944">
            <v>0</v>
          </cell>
          <cell r="I944">
            <v>0</v>
          </cell>
          <cell r="J944">
            <v>0</v>
          </cell>
          <cell r="L944">
            <v>0</v>
          </cell>
          <cell r="Z944">
            <v>0</v>
          </cell>
        </row>
        <row r="946">
          <cell r="E946" t="str">
            <v>ITEM</v>
          </cell>
        </row>
        <row r="947">
          <cell r="D947" t="str">
            <v>ANSTF12</v>
          </cell>
          <cell r="E947" t="str">
            <v xml:space="preserve">Suministro Tuberia Flexible  PS 57 Ø 12" </v>
          </cell>
          <cell r="G947" t="str">
            <v>UN.</v>
          </cell>
          <cell r="H947" t="str">
            <v>Ml</v>
          </cell>
          <cell r="I947">
            <v>28400</v>
          </cell>
          <cell r="K947">
            <v>1173</v>
          </cell>
          <cell r="L947">
            <v>33313200</v>
          </cell>
          <cell r="N947">
            <v>28400</v>
          </cell>
          <cell r="O947">
            <v>0</v>
          </cell>
          <cell r="P947">
            <v>0</v>
          </cell>
          <cell r="Q947">
            <v>0</v>
          </cell>
          <cell r="X947">
            <v>33313200</v>
          </cell>
          <cell r="Y947" t="str">
            <v>Ml</v>
          </cell>
          <cell r="Z947" t="e">
            <v>#N/A</v>
          </cell>
          <cell r="AA947" t="e">
            <v>#N/A</v>
          </cell>
          <cell r="AB947">
            <v>0</v>
          </cell>
          <cell r="AC947">
            <v>0</v>
          </cell>
        </row>
        <row r="949">
          <cell r="D949" t="str">
            <v>CODIGO</v>
          </cell>
          <cell r="E949" t="str">
            <v>DESCRIPCION</v>
          </cell>
          <cell r="F949" t="str">
            <v>UN</v>
          </cell>
          <cell r="G949" t="str">
            <v>CANT</v>
          </cell>
          <cell r="H949" t="str">
            <v>V/UNIT.</v>
          </cell>
          <cell r="I949" t="str">
            <v>V/TOTAL</v>
          </cell>
          <cell r="K949" t="str">
            <v>CANT TOTAL</v>
          </cell>
          <cell r="L949" t="str">
            <v>Vr TOTAL</v>
          </cell>
          <cell r="Y949" t="str">
            <v>CANT.</v>
          </cell>
          <cell r="Z949" t="str">
            <v>V/TOTAL</v>
          </cell>
        </row>
        <row r="950">
          <cell r="E950" t="str">
            <v>MATERIALES</v>
          </cell>
          <cell r="I950">
            <v>28400</v>
          </cell>
          <cell r="L950">
            <v>33313200</v>
          </cell>
          <cell r="Z950" t="e">
            <v>#N/A</v>
          </cell>
        </row>
        <row r="951">
          <cell r="D951" t="str">
            <v>MA44TF12</v>
          </cell>
          <cell r="E951" t="str">
            <v>Tuberia Flexible PS 57 12 "</v>
          </cell>
          <cell r="F951" t="str">
            <v>Ml</v>
          </cell>
          <cell r="G951">
            <v>1</v>
          </cell>
          <cell r="H951">
            <v>28400</v>
          </cell>
          <cell r="I951">
            <v>28400</v>
          </cell>
          <cell r="J951">
            <v>0</v>
          </cell>
          <cell r="K951">
            <v>1173</v>
          </cell>
          <cell r="L951">
            <v>33313200</v>
          </cell>
          <cell r="Y951" t="e">
            <v>#N/A</v>
          </cell>
          <cell r="Z951" t="e">
            <v>#N/A</v>
          </cell>
        </row>
        <row r="952">
          <cell r="I952">
            <v>0</v>
          </cell>
          <cell r="J952">
            <v>0</v>
          </cell>
          <cell r="K952">
            <v>0</v>
          </cell>
          <cell r="L952">
            <v>0</v>
          </cell>
          <cell r="Y952">
            <v>0</v>
          </cell>
          <cell r="Z952">
            <v>0</v>
          </cell>
        </row>
        <row r="953">
          <cell r="I953">
            <v>0</v>
          </cell>
          <cell r="J953">
            <v>0</v>
          </cell>
          <cell r="K953">
            <v>0</v>
          </cell>
          <cell r="L953">
            <v>0</v>
          </cell>
          <cell r="Y953">
            <v>0</v>
          </cell>
          <cell r="Z953">
            <v>0</v>
          </cell>
        </row>
        <row r="955">
          <cell r="E955" t="str">
            <v>MANO DE OBRA</v>
          </cell>
          <cell r="I955">
            <v>0</v>
          </cell>
          <cell r="L955">
            <v>0</v>
          </cell>
          <cell r="Z955">
            <v>0</v>
          </cell>
        </row>
        <row r="956">
          <cell r="I956">
            <v>0</v>
          </cell>
          <cell r="J956">
            <v>0</v>
          </cell>
          <cell r="K956">
            <v>0</v>
          </cell>
          <cell r="L956">
            <v>0</v>
          </cell>
          <cell r="Y956">
            <v>0</v>
          </cell>
          <cell r="Z956">
            <v>0</v>
          </cell>
        </row>
        <row r="958">
          <cell r="E958" t="str">
            <v>VARIOS</v>
          </cell>
          <cell r="I958">
            <v>0</v>
          </cell>
          <cell r="L958">
            <v>0</v>
          </cell>
          <cell r="Z958">
            <v>0</v>
          </cell>
        </row>
        <row r="959">
          <cell r="I959">
            <v>0</v>
          </cell>
          <cell r="J959">
            <v>0</v>
          </cell>
          <cell r="K959">
            <v>0</v>
          </cell>
          <cell r="L959">
            <v>0</v>
          </cell>
          <cell r="Y959">
            <v>0</v>
          </cell>
          <cell r="Z959">
            <v>0</v>
          </cell>
        </row>
        <row r="961">
          <cell r="E961" t="str">
            <v>SUBTOTAL</v>
          </cell>
          <cell r="I961">
            <v>28400</v>
          </cell>
          <cell r="L961">
            <v>33313200</v>
          </cell>
          <cell r="Z961" t="e">
            <v>#N/A</v>
          </cell>
        </row>
        <row r="962">
          <cell r="E962" t="str">
            <v>A.I.U</v>
          </cell>
          <cell r="I962">
            <v>0</v>
          </cell>
          <cell r="L962">
            <v>0</v>
          </cell>
          <cell r="Z962">
            <v>0</v>
          </cell>
        </row>
        <row r="963">
          <cell r="D963" t="str">
            <v>AIUAADMON</v>
          </cell>
          <cell r="E963" t="str">
            <v>Admon</v>
          </cell>
          <cell r="F963">
            <v>0</v>
          </cell>
          <cell r="I963">
            <v>0</v>
          </cell>
          <cell r="J963">
            <v>0</v>
          </cell>
          <cell r="L963">
            <v>0</v>
          </cell>
          <cell r="Z963">
            <v>0</v>
          </cell>
        </row>
        <row r="964">
          <cell r="D964" t="str">
            <v>AIUAIMPRE</v>
          </cell>
          <cell r="E964" t="str">
            <v>Imprevistos</v>
          </cell>
          <cell r="F964">
            <v>0</v>
          </cell>
          <cell r="I964">
            <v>0</v>
          </cell>
          <cell r="J964">
            <v>0</v>
          </cell>
          <cell r="L964">
            <v>0</v>
          </cell>
          <cell r="Z964">
            <v>0</v>
          </cell>
        </row>
        <row r="965">
          <cell r="D965" t="str">
            <v>AIUAUTILI</v>
          </cell>
          <cell r="E965" t="str">
            <v>Utilidad</v>
          </cell>
          <cell r="F965">
            <v>0</v>
          </cell>
          <cell r="I965">
            <v>0</v>
          </cell>
          <cell r="J965">
            <v>0</v>
          </cell>
          <cell r="L965">
            <v>0</v>
          </cell>
          <cell r="Z965">
            <v>0</v>
          </cell>
        </row>
        <row r="966">
          <cell r="D966" t="str">
            <v>AIUAIVAUTI</v>
          </cell>
          <cell r="E966" t="str">
            <v>IVA utilidad</v>
          </cell>
          <cell r="F966">
            <v>0</v>
          </cell>
          <cell r="I966">
            <v>0</v>
          </cell>
          <cell r="J966">
            <v>0</v>
          </cell>
          <cell r="L966">
            <v>0</v>
          </cell>
          <cell r="Z966">
            <v>0</v>
          </cell>
        </row>
        <row r="968">
          <cell r="E968" t="str">
            <v>ITEM</v>
          </cell>
        </row>
        <row r="969">
          <cell r="D969" t="str">
            <v>ANSTF16</v>
          </cell>
          <cell r="E969" t="str">
            <v xml:space="preserve">Suministro Tuberia Flexible  PS 57 Ø 16" </v>
          </cell>
          <cell r="G969" t="str">
            <v>UN.</v>
          </cell>
          <cell r="H969" t="str">
            <v>Ml</v>
          </cell>
          <cell r="I969">
            <v>48350</v>
          </cell>
          <cell r="K969">
            <v>330</v>
          </cell>
          <cell r="L969">
            <v>15955500</v>
          </cell>
          <cell r="N969">
            <v>48350</v>
          </cell>
          <cell r="O969">
            <v>0</v>
          </cell>
          <cell r="P969">
            <v>0</v>
          </cell>
          <cell r="Q969">
            <v>0</v>
          </cell>
          <cell r="X969">
            <v>15955500</v>
          </cell>
          <cell r="Y969" t="str">
            <v>Ml</v>
          </cell>
          <cell r="Z969" t="e">
            <v>#N/A</v>
          </cell>
          <cell r="AA969" t="e">
            <v>#N/A</v>
          </cell>
          <cell r="AB969">
            <v>0</v>
          </cell>
          <cell r="AC969">
            <v>0</v>
          </cell>
        </row>
        <row r="971">
          <cell r="D971" t="str">
            <v>CODIGO</v>
          </cell>
          <cell r="E971" t="str">
            <v>DESCRIPCION</v>
          </cell>
          <cell r="F971" t="str">
            <v>UN</v>
          </cell>
          <cell r="G971" t="str">
            <v>CANT</v>
          </cell>
          <cell r="H971" t="str">
            <v>V/UNIT.</v>
          </cell>
          <cell r="I971" t="str">
            <v>V/TOTAL</v>
          </cell>
          <cell r="K971" t="str">
            <v>CANT TOTAL</v>
          </cell>
          <cell r="L971" t="str">
            <v>Vr TOTAL</v>
          </cell>
          <cell r="Y971" t="str">
            <v>CANT.</v>
          </cell>
          <cell r="Z971" t="str">
            <v>V/TOTAL</v>
          </cell>
        </row>
        <row r="972">
          <cell r="E972" t="str">
            <v>MATERIALES</v>
          </cell>
          <cell r="I972">
            <v>48350</v>
          </cell>
          <cell r="L972">
            <v>15955500</v>
          </cell>
          <cell r="Z972" t="e">
            <v>#N/A</v>
          </cell>
        </row>
        <row r="973">
          <cell r="D973" t="str">
            <v>MA44TF16</v>
          </cell>
          <cell r="E973" t="str">
            <v>Tuberia Flexible PS 57 16 "</v>
          </cell>
          <cell r="F973" t="str">
            <v>Ml</v>
          </cell>
          <cell r="G973">
            <v>1</v>
          </cell>
          <cell r="H973">
            <v>48350</v>
          </cell>
          <cell r="I973">
            <v>48350</v>
          </cell>
          <cell r="J973">
            <v>0</v>
          </cell>
          <cell r="K973">
            <v>330</v>
          </cell>
          <cell r="L973">
            <v>15955500</v>
          </cell>
          <cell r="Y973" t="e">
            <v>#N/A</v>
          </cell>
          <cell r="Z973" t="e">
            <v>#N/A</v>
          </cell>
        </row>
        <row r="974">
          <cell r="I974">
            <v>0</v>
          </cell>
          <cell r="J974">
            <v>0</v>
          </cell>
          <cell r="K974">
            <v>0</v>
          </cell>
          <cell r="L974">
            <v>0</v>
          </cell>
          <cell r="Y974">
            <v>0</v>
          </cell>
          <cell r="Z974">
            <v>0</v>
          </cell>
        </row>
        <row r="975">
          <cell r="I975">
            <v>0</v>
          </cell>
          <cell r="J975">
            <v>0</v>
          </cell>
          <cell r="K975">
            <v>0</v>
          </cell>
          <cell r="L975">
            <v>0</v>
          </cell>
          <cell r="Y975">
            <v>0</v>
          </cell>
          <cell r="Z975">
            <v>0</v>
          </cell>
        </row>
        <row r="977">
          <cell r="E977" t="str">
            <v>MANO DE OBRA</v>
          </cell>
          <cell r="I977">
            <v>0</v>
          </cell>
          <cell r="L977">
            <v>0</v>
          </cell>
          <cell r="Z977">
            <v>0</v>
          </cell>
        </row>
        <row r="978">
          <cell r="I978">
            <v>0</v>
          </cell>
          <cell r="J978">
            <v>0</v>
          </cell>
          <cell r="K978">
            <v>0</v>
          </cell>
          <cell r="L978">
            <v>0</v>
          </cell>
          <cell r="Y978">
            <v>0</v>
          </cell>
          <cell r="Z978">
            <v>0</v>
          </cell>
        </row>
        <row r="980">
          <cell r="E980" t="str">
            <v>VARIOS</v>
          </cell>
          <cell r="I980">
            <v>0</v>
          </cell>
          <cell r="L980">
            <v>0</v>
          </cell>
          <cell r="Z980">
            <v>0</v>
          </cell>
        </row>
        <row r="981">
          <cell r="I981">
            <v>0</v>
          </cell>
          <cell r="J981">
            <v>0</v>
          </cell>
          <cell r="K981">
            <v>0</v>
          </cell>
          <cell r="L981">
            <v>0</v>
          </cell>
          <cell r="Y981">
            <v>0</v>
          </cell>
          <cell r="Z981">
            <v>0</v>
          </cell>
        </row>
        <row r="983">
          <cell r="E983" t="str">
            <v>SUBTOTAL</v>
          </cell>
          <cell r="I983">
            <v>48350</v>
          </cell>
          <cell r="L983">
            <v>15955500</v>
          </cell>
          <cell r="Z983" t="e">
            <v>#N/A</v>
          </cell>
        </row>
        <row r="984">
          <cell r="E984" t="str">
            <v>A.I.U</v>
          </cell>
          <cell r="I984">
            <v>0</v>
          </cell>
          <cell r="L984">
            <v>0</v>
          </cell>
          <cell r="Z984">
            <v>0</v>
          </cell>
        </row>
        <row r="985">
          <cell r="D985" t="str">
            <v>AIUAADMON</v>
          </cell>
          <cell r="E985" t="str">
            <v>Admon</v>
          </cell>
          <cell r="F985">
            <v>0</v>
          </cell>
          <cell r="I985">
            <v>0</v>
          </cell>
          <cell r="J985">
            <v>0</v>
          </cell>
          <cell r="L985">
            <v>0</v>
          </cell>
          <cell r="Z985">
            <v>0</v>
          </cell>
        </row>
        <row r="986">
          <cell r="D986" t="str">
            <v>AIUAIMPRE</v>
          </cell>
          <cell r="E986" t="str">
            <v>Imprevistos</v>
          </cell>
          <cell r="F986">
            <v>0</v>
          </cell>
          <cell r="I986">
            <v>0</v>
          </cell>
          <cell r="J986">
            <v>0</v>
          </cell>
          <cell r="L986">
            <v>0</v>
          </cell>
          <cell r="Z986">
            <v>0</v>
          </cell>
        </row>
        <row r="987">
          <cell r="D987" t="str">
            <v>AIUAUTILI</v>
          </cell>
          <cell r="E987" t="str">
            <v>Utilidad</v>
          </cell>
          <cell r="F987">
            <v>0</v>
          </cell>
          <cell r="I987">
            <v>0</v>
          </cell>
          <cell r="J987">
            <v>0</v>
          </cell>
          <cell r="L987">
            <v>0</v>
          </cell>
          <cell r="Z987">
            <v>0</v>
          </cell>
        </row>
        <row r="988">
          <cell r="D988" t="str">
            <v>AIUAIVAUTI</v>
          </cell>
          <cell r="E988" t="str">
            <v>IVA utilidad</v>
          </cell>
          <cell r="F988">
            <v>0</v>
          </cell>
          <cell r="I988">
            <v>0</v>
          </cell>
          <cell r="J988">
            <v>0</v>
          </cell>
          <cell r="L988">
            <v>0</v>
          </cell>
          <cell r="Z988">
            <v>0</v>
          </cell>
        </row>
        <row r="990">
          <cell r="D990" t="str">
            <v>ANSTF18</v>
          </cell>
          <cell r="E990" t="str">
            <v xml:space="preserve">Suministro Tuberia Flexible  PS 57 Ø 18" </v>
          </cell>
          <cell r="G990" t="str">
            <v>UN.</v>
          </cell>
          <cell r="H990" t="str">
            <v>Ml</v>
          </cell>
          <cell r="I990">
            <v>56210</v>
          </cell>
          <cell r="K990">
            <v>192</v>
          </cell>
          <cell r="L990">
            <v>10792320</v>
          </cell>
          <cell r="N990">
            <v>56210</v>
          </cell>
          <cell r="O990">
            <v>0</v>
          </cell>
          <cell r="P990">
            <v>0</v>
          </cell>
          <cell r="Q990">
            <v>0</v>
          </cell>
          <cell r="X990">
            <v>10792320</v>
          </cell>
          <cell r="Y990" t="str">
            <v>Ml</v>
          </cell>
          <cell r="Z990" t="e">
            <v>#N/A</v>
          </cell>
          <cell r="AA990" t="e">
            <v>#N/A</v>
          </cell>
          <cell r="AB990">
            <v>0</v>
          </cell>
          <cell r="AC990">
            <v>0</v>
          </cell>
        </row>
        <row r="992">
          <cell r="D992" t="str">
            <v>CODIGO</v>
          </cell>
          <cell r="E992" t="str">
            <v>DESCRIPCION</v>
          </cell>
          <cell r="F992" t="str">
            <v>UN</v>
          </cell>
          <cell r="G992" t="str">
            <v>CANT</v>
          </cell>
          <cell r="H992" t="str">
            <v>V/UNIT.</v>
          </cell>
          <cell r="I992" t="str">
            <v>V/TOTAL</v>
          </cell>
          <cell r="K992" t="str">
            <v>CANT TOTAL</v>
          </cell>
          <cell r="L992" t="str">
            <v>Vr TOTAL</v>
          </cell>
          <cell r="Y992" t="str">
            <v>CANT.</v>
          </cell>
          <cell r="Z992" t="str">
            <v>V/TOTAL</v>
          </cell>
        </row>
        <row r="993">
          <cell r="E993" t="str">
            <v>MATERIALES</v>
          </cell>
          <cell r="I993">
            <v>56210</v>
          </cell>
          <cell r="L993">
            <v>10792320</v>
          </cell>
          <cell r="Z993" t="e">
            <v>#N/A</v>
          </cell>
        </row>
        <row r="994">
          <cell r="D994" t="str">
            <v>MA44TF18</v>
          </cell>
          <cell r="E994" t="str">
            <v>Tuberia Flexible PS 57 18 "</v>
          </cell>
          <cell r="F994" t="str">
            <v>Ml</v>
          </cell>
          <cell r="G994">
            <v>1</v>
          </cell>
          <cell r="H994">
            <v>56210</v>
          </cell>
          <cell r="I994">
            <v>56210</v>
          </cell>
          <cell r="J994">
            <v>0</v>
          </cell>
          <cell r="K994">
            <v>192</v>
          </cell>
          <cell r="L994">
            <v>10792320</v>
          </cell>
          <cell r="Y994" t="e">
            <v>#N/A</v>
          </cell>
          <cell r="Z994" t="e">
            <v>#N/A</v>
          </cell>
        </row>
        <row r="995">
          <cell r="I995">
            <v>0</v>
          </cell>
          <cell r="J995">
            <v>0</v>
          </cell>
          <cell r="K995">
            <v>0</v>
          </cell>
          <cell r="L995">
            <v>0</v>
          </cell>
          <cell r="Y995">
            <v>0</v>
          </cell>
          <cell r="Z995">
            <v>0</v>
          </cell>
        </row>
        <row r="996">
          <cell r="I996">
            <v>0</v>
          </cell>
          <cell r="J996">
            <v>0</v>
          </cell>
          <cell r="K996">
            <v>0</v>
          </cell>
          <cell r="L996">
            <v>0</v>
          </cell>
          <cell r="Y996">
            <v>0</v>
          </cell>
          <cell r="Z996">
            <v>0</v>
          </cell>
        </row>
        <row r="998">
          <cell r="E998" t="str">
            <v>MANO DE OBRA</v>
          </cell>
          <cell r="I998">
            <v>0</v>
          </cell>
          <cell r="L998">
            <v>0</v>
          </cell>
          <cell r="Z998">
            <v>0</v>
          </cell>
        </row>
        <row r="999">
          <cell r="I999">
            <v>0</v>
          </cell>
          <cell r="J999">
            <v>0</v>
          </cell>
          <cell r="K999">
            <v>0</v>
          </cell>
          <cell r="L999">
            <v>0</v>
          </cell>
          <cell r="Y999">
            <v>0</v>
          </cell>
          <cell r="Z999">
            <v>0</v>
          </cell>
        </row>
        <row r="1001">
          <cell r="E1001" t="str">
            <v>VARIOS</v>
          </cell>
          <cell r="I1001">
            <v>0</v>
          </cell>
          <cell r="L1001">
            <v>0</v>
          </cell>
          <cell r="Z1001">
            <v>0</v>
          </cell>
        </row>
        <row r="1002">
          <cell r="I1002">
            <v>0</v>
          </cell>
          <cell r="J1002">
            <v>0</v>
          </cell>
          <cell r="K1002">
            <v>0</v>
          </cell>
          <cell r="L1002">
            <v>0</v>
          </cell>
          <cell r="Y1002">
            <v>0</v>
          </cell>
          <cell r="Z1002">
            <v>0</v>
          </cell>
        </row>
        <row r="1004">
          <cell r="E1004" t="str">
            <v>SUBTOTAL</v>
          </cell>
          <cell r="I1004">
            <v>56210</v>
          </cell>
          <cell r="L1004">
            <v>10792320</v>
          </cell>
          <cell r="Z1004" t="e">
            <v>#N/A</v>
          </cell>
        </row>
        <row r="1005">
          <cell r="E1005" t="str">
            <v>A.I.U</v>
          </cell>
          <cell r="I1005">
            <v>0</v>
          </cell>
          <cell r="L1005">
            <v>0</v>
          </cell>
          <cell r="Z1005">
            <v>0</v>
          </cell>
        </row>
        <row r="1006">
          <cell r="D1006" t="str">
            <v>AIUAADMON</v>
          </cell>
          <cell r="E1006" t="str">
            <v>Admon</v>
          </cell>
          <cell r="F1006">
            <v>0</v>
          </cell>
          <cell r="I1006">
            <v>0</v>
          </cell>
          <cell r="J1006">
            <v>0</v>
          </cell>
          <cell r="L1006">
            <v>0</v>
          </cell>
          <cell r="Z1006">
            <v>0</v>
          </cell>
        </row>
        <row r="1007">
          <cell r="D1007" t="str">
            <v>AIUAIMPRE</v>
          </cell>
          <cell r="E1007" t="str">
            <v>Imprevistos</v>
          </cell>
          <cell r="F1007">
            <v>0</v>
          </cell>
          <cell r="I1007">
            <v>0</v>
          </cell>
          <cell r="J1007">
            <v>0</v>
          </cell>
          <cell r="L1007">
            <v>0</v>
          </cell>
          <cell r="Z1007">
            <v>0</v>
          </cell>
        </row>
        <row r="1008">
          <cell r="D1008" t="str">
            <v>AIUAUTILI</v>
          </cell>
          <cell r="E1008" t="str">
            <v>Utilidad</v>
          </cell>
          <cell r="F1008">
            <v>0</v>
          </cell>
          <cell r="I1008">
            <v>0</v>
          </cell>
          <cell r="J1008">
            <v>0</v>
          </cell>
          <cell r="L1008">
            <v>0</v>
          </cell>
          <cell r="Z1008">
            <v>0</v>
          </cell>
        </row>
        <row r="1009">
          <cell r="D1009" t="str">
            <v>AIUAIVAUTI</v>
          </cell>
          <cell r="E1009" t="str">
            <v>IVA utilidad</v>
          </cell>
          <cell r="F1009">
            <v>0</v>
          </cell>
          <cell r="I1009">
            <v>0</v>
          </cell>
          <cell r="J1009">
            <v>0</v>
          </cell>
          <cell r="L1009">
            <v>0</v>
          </cell>
          <cell r="Z1009">
            <v>0</v>
          </cell>
        </row>
        <row r="1011">
          <cell r="D1011" t="str">
            <v>ANSTF20</v>
          </cell>
          <cell r="E1011" t="str">
            <v xml:space="preserve">Suministro Tuberia Flexible  PS 57 Ø 20" </v>
          </cell>
          <cell r="G1011" t="str">
            <v>UN.</v>
          </cell>
          <cell r="H1011" t="str">
            <v>Ml</v>
          </cell>
          <cell r="I1011">
            <v>86450</v>
          </cell>
          <cell r="K1011">
            <v>0</v>
          </cell>
          <cell r="L1011">
            <v>0</v>
          </cell>
          <cell r="N1011">
            <v>86450</v>
          </cell>
          <cell r="O1011">
            <v>0</v>
          </cell>
          <cell r="P1011">
            <v>0</v>
          </cell>
          <cell r="Q1011">
            <v>0</v>
          </cell>
          <cell r="X1011">
            <v>0</v>
          </cell>
          <cell r="Y1011" t="str">
            <v>Ml</v>
          </cell>
          <cell r="Z1011" t="e">
            <v>#N/A</v>
          </cell>
          <cell r="AA1011" t="e">
            <v>#N/A</v>
          </cell>
          <cell r="AB1011">
            <v>0</v>
          </cell>
          <cell r="AC1011">
            <v>0</v>
          </cell>
        </row>
        <row r="1013">
          <cell r="D1013" t="str">
            <v>CODIGO</v>
          </cell>
          <cell r="E1013" t="str">
            <v>DESCRIPCION</v>
          </cell>
          <cell r="F1013" t="str">
            <v>UN</v>
          </cell>
          <cell r="G1013" t="str">
            <v>CANT</v>
          </cell>
          <cell r="H1013" t="str">
            <v>V/UNIT.</v>
          </cell>
          <cell r="I1013" t="str">
            <v>V/TOTAL</v>
          </cell>
          <cell r="K1013" t="str">
            <v>CANT TOTAL</v>
          </cell>
          <cell r="L1013" t="str">
            <v>Vr TOTAL</v>
          </cell>
          <cell r="Y1013" t="str">
            <v>CANT.</v>
          </cell>
          <cell r="Z1013" t="str">
            <v>V/TOTAL</v>
          </cell>
        </row>
        <row r="1014">
          <cell r="E1014" t="str">
            <v>MATERIALES</v>
          </cell>
          <cell r="I1014">
            <v>86450</v>
          </cell>
          <cell r="L1014">
            <v>0</v>
          </cell>
          <cell r="Z1014" t="e">
            <v>#N/A</v>
          </cell>
        </row>
        <row r="1015">
          <cell r="D1015" t="str">
            <v>MA44TF20</v>
          </cell>
          <cell r="E1015" t="str">
            <v>Tuberia Flexible PS 57 20 "</v>
          </cell>
          <cell r="F1015" t="str">
            <v>Ml</v>
          </cell>
          <cell r="G1015">
            <v>1</v>
          </cell>
          <cell r="H1015">
            <v>86450</v>
          </cell>
          <cell r="I1015">
            <v>86450</v>
          </cell>
          <cell r="J1015">
            <v>0</v>
          </cell>
          <cell r="K1015">
            <v>0</v>
          </cell>
          <cell r="L1015">
            <v>0</v>
          </cell>
          <cell r="Y1015" t="e">
            <v>#N/A</v>
          </cell>
          <cell r="Z1015" t="e">
            <v>#N/A</v>
          </cell>
        </row>
        <row r="1016">
          <cell r="I1016">
            <v>0</v>
          </cell>
          <cell r="J1016">
            <v>0</v>
          </cell>
          <cell r="K1016">
            <v>0</v>
          </cell>
          <cell r="L1016">
            <v>0</v>
          </cell>
          <cell r="Y1016">
            <v>0</v>
          </cell>
          <cell r="Z1016">
            <v>0</v>
          </cell>
        </row>
        <row r="1017">
          <cell r="I1017">
            <v>0</v>
          </cell>
          <cell r="J1017">
            <v>0</v>
          </cell>
          <cell r="K1017">
            <v>0</v>
          </cell>
          <cell r="L1017">
            <v>0</v>
          </cell>
          <cell r="Y1017">
            <v>0</v>
          </cell>
          <cell r="Z1017">
            <v>0</v>
          </cell>
        </row>
        <row r="1019">
          <cell r="E1019" t="str">
            <v>MANO DE OBRA</v>
          </cell>
          <cell r="I1019">
            <v>0</v>
          </cell>
          <cell r="L1019">
            <v>0</v>
          </cell>
          <cell r="Z1019">
            <v>0</v>
          </cell>
        </row>
        <row r="1020">
          <cell r="I1020">
            <v>0</v>
          </cell>
          <cell r="J1020">
            <v>0</v>
          </cell>
          <cell r="K1020">
            <v>0</v>
          </cell>
          <cell r="L1020">
            <v>0</v>
          </cell>
          <cell r="Y1020">
            <v>0</v>
          </cell>
          <cell r="Z1020">
            <v>0</v>
          </cell>
        </row>
        <row r="1022">
          <cell r="E1022" t="str">
            <v>VARIOS</v>
          </cell>
          <cell r="I1022">
            <v>0</v>
          </cell>
          <cell r="L1022">
            <v>0</v>
          </cell>
          <cell r="Z1022">
            <v>0</v>
          </cell>
        </row>
        <row r="1023">
          <cell r="I1023">
            <v>0</v>
          </cell>
          <cell r="J1023">
            <v>0</v>
          </cell>
          <cell r="K1023">
            <v>0</v>
          </cell>
          <cell r="L1023">
            <v>0</v>
          </cell>
          <cell r="Y1023">
            <v>0</v>
          </cell>
          <cell r="Z1023">
            <v>0</v>
          </cell>
        </row>
        <row r="1025">
          <cell r="E1025" t="str">
            <v>SUBTOTAL</v>
          </cell>
          <cell r="I1025">
            <v>86450</v>
          </cell>
          <cell r="L1025">
            <v>0</v>
          </cell>
          <cell r="Z1025" t="e">
            <v>#N/A</v>
          </cell>
        </row>
        <row r="1026">
          <cell r="E1026" t="str">
            <v>A.I.U</v>
          </cell>
          <cell r="I1026">
            <v>0</v>
          </cell>
          <cell r="L1026">
            <v>0</v>
          </cell>
          <cell r="Z1026">
            <v>0</v>
          </cell>
        </row>
        <row r="1027">
          <cell r="D1027" t="str">
            <v>AIUAADMON</v>
          </cell>
          <cell r="E1027" t="str">
            <v>Admon</v>
          </cell>
          <cell r="F1027">
            <v>0</v>
          </cell>
          <cell r="I1027">
            <v>0</v>
          </cell>
          <cell r="J1027">
            <v>0</v>
          </cell>
          <cell r="L1027">
            <v>0</v>
          </cell>
          <cell r="Z1027">
            <v>0</v>
          </cell>
        </row>
        <row r="1028">
          <cell r="D1028" t="str">
            <v>AIUAIMPRE</v>
          </cell>
          <cell r="E1028" t="str">
            <v>Imprevistos</v>
          </cell>
          <cell r="F1028">
            <v>0</v>
          </cell>
          <cell r="I1028">
            <v>0</v>
          </cell>
          <cell r="J1028">
            <v>0</v>
          </cell>
          <cell r="L1028">
            <v>0</v>
          </cell>
          <cell r="Z1028">
            <v>0</v>
          </cell>
        </row>
        <row r="1029">
          <cell r="D1029" t="str">
            <v>AIUAUTILI</v>
          </cell>
          <cell r="E1029" t="str">
            <v>Utilidad</v>
          </cell>
          <cell r="F1029">
            <v>0</v>
          </cell>
          <cell r="I1029">
            <v>0</v>
          </cell>
          <cell r="J1029">
            <v>0</v>
          </cell>
          <cell r="L1029">
            <v>0</v>
          </cell>
          <cell r="Z1029">
            <v>0</v>
          </cell>
        </row>
        <row r="1030">
          <cell r="D1030" t="str">
            <v>AIUAIVAUTI</v>
          </cell>
          <cell r="E1030" t="str">
            <v>IVA utilidad</v>
          </cell>
          <cell r="F1030">
            <v>0</v>
          </cell>
          <cell r="I1030">
            <v>0</v>
          </cell>
          <cell r="J1030">
            <v>0</v>
          </cell>
          <cell r="L1030">
            <v>0</v>
          </cell>
          <cell r="Z1030">
            <v>0</v>
          </cell>
        </row>
        <row r="1032">
          <cell r="E1032" t="str">
            <v>ITEM</v>
          </cell>
        </row>
        <row r="1033">
          <cell r="D1033" t="str">
            <v>ANENTIMA</v>
          </cell>
          <cell r="E1033" t="str">
            <v>Entibado Madera</v>
          </cell>
          <cell r="G1033" t="str">
            <v>UN.</v>
          </cell>
          <cell r="H1033" t="str">
            <v>M3</v>
          </cell>
          <cell r="I1033">
            <v>2302</v>
          </cell>
          <cell r="K1033">
            <v>13728</v>
          </cell>
          <cell r="L1033">
            <v>31601856</v>
          </cell>
          <cell r="N1033">
            <v>1003</v>
          </cell>
          <cell r="O1033">
            <v>712</v>
          </cell>
          <cell r="P1033">
            <v>587</v>
          </cell>
          <cell r="Q1033">
            <v>0</v>
          </cell>
          <cell r="X1033">
            <v>31601856</v>
          </cell>
          <cell r="Y1033" t="str">
            <v>M3</v>
          </cell>
          <cell r="Z1033" t="e">
            <v>#N/A</v>
          </cell>
          <cell r="AA1033" t="e">
            <v>#N/A</v>
          </cell>
          <cell r="AB1033" t="e">
            <v>#N/A</v>
          </cell>
          <cell r="AC1033" t="e">
            <v>#N/A</v>
          </cell>
        </row>
        <row r="1035">
          <cell r="D1035" t="str">
            <v>CODIGO</v>
          </cell>
          <cell r="E1035" t="str">
            <v>DESCRIPCION</v>
          </cell>
          <cell r="F1035" t="str">
            <v>UN</v>
          </cell>
          <cell r="G1035" t="str">
            <v>CANT</v>
          </cell>
          <cell r="H1035" t="str">
            <v>V/UNIT.</v>
          </cell>
          <cell r="I1035" t="str">
            <v>V/TOTAL</v>
          </cell>
          <cell r="K1035" t="str">
            <v>CANT TOTAL</v>
          </cell>
          <cell r="L1035" t="str">
            <v>Vr TOTAL</v>
          </cell>
          <cell r="Y1035" t="str">
            <v>CANT.</v>
          </cell>
          <cell r="Z1035" t="str">
            <v>V/TOTAL</v>
          </cell>
        </row>
        <row r="1036">
          <cell r="E1036" t="str">
            <v>MATERIALES</v>
          </cell>
          <cell r="I1036">
            <v>1003</v>
          </cell>
          <cell r="L1036">
            <v>13769184</v>
          </cell>
          <cell r="Z1036" t="e">
            <v>#N/A</v>
          </cell>
        </row>
        <row r="1037">
          <cell r="D1037" t="str">
            <v>MA25VL6</v>
          </cell>
          <cell r="E1037" t="str">
            <v>Vara Limaton 6m Diametro 12-15</v>
          </cell>
          <cell r="F1037" t="str">
            <v>Un</v>
          </cell>
          <cell r="G1037">
            <v>2.4E-2</v>
          </cell>
          <cell r="H1037">
            <v>18560</v>
          </cell>
          <cell r="I1037">
            <v>445</v>
          </cell>
          <cell r="J1037">
            <v>0</v>
          </cell>
          <cell r="K1037">
            <v>329.47199999999998</v>
          </cell>
          <cell r="L1037">
            <v>6115000.3199999994</v>
          </cell>
          <cell r="Y1037" t="e">
            <v>#N/A</v>
          </cell>
          <cell r="Z1037" t="e">
            <v>#N/A</v>
          </cell>
        </row>
        <row r="1038">
          <cell r="D1038" t="str">
            <v>MA25PO3</v>
          </cell>
          <cell r="E1038" t="str">
            <v>Planchon 3 Mts. 0,04*0,20*3,00</v>
          </cell>
          <cell r="F1038" t="str">
            <v>Un</v>
          </cell>
          <cell r="G1038">
            <v>2.7E-2</v>
          </cell>
          <cell r="H1038">
            <v>9860</v>
          </cell>
          <cell r="I1038">
            <v>266</v>
          </cell>
          <cell r="J1038">
            <v>0</v>
          </cell>
          <cell r="K1038">
            <v>370.65600000000001</v>
          </cell>
          <cell r="L1038">
            <v>3654668.16</v>
          </cell>
          <cell r="Y1038" t="e">
            <v>#N/A</v>
          </cell>
          <cell r="Z1038" t="e">
            <v>#N/A</v>
          </cell>
        </row>
        <row r="1039">
          <cell r="D1039" t="str">
            <v>MA25VI3</v>
          </cell>
          <cell r="E1039" t="str">
            <v>Vigas 0,10*0,20*3,00</v>
          </cell>
          <cell r="F1039" t="str">
            <v>Un</v>
          </cell>
          <cell r="G1039">
            <v>1.4E-2</v>
          </cell>
          <cell r="H1039">
            <v>20880</v>
          </cell>
          <cell r="I1039">
            <v>292</v>
          </cell>
          <cell r="J1039">
            <v>0</v>
          </cell>
          <cell r="K1039">
            <v>192.19200000000001</v>
          </cell>
          <cell r="L1039">
            <v>4012968.96</v>
          </cell>
          <cell r="Y1039" t="e">
            <v>#N/A</v>
          </cell>
          <cell r="Z1039" t="e">
            <v>#N/A</v>
          </cell>
        </row>
        <row r="1041">
          <cell r="E1041" t="str">
            <v>MANO DE OBRA</v>
          </cell>
          <cell r="I1041">
            <v>712</v>
          </cell>
          <cell r="L1041">
            <v>9774336</v>
          </cell>
          <cell r="Z1041" t="e">
            <v>#N/A</v>
          </cell>
        </row>
        <row r="1042">
          <cell r="D1042" t="str">
            <v>MOANENT</v>
          </cell>
          <cell r="E1042" t="str">
            <v>Entibado</v>
          </cell>
          <cell r="F1042" t="str">
            <v>M2</v>
          </cell>
          <cell r="G1042">
            <v>0.57199999999999995</v>
          </cell>
          <cell r="H1042">
            <v>1245</v>
          </cell>
          <cell r="I1042">
            <v>712</v>
          </cell>
          <cell r="J1042">
            <v>0</v>
          </cell>
          <cell r="K1042">
            <v>7852.4159999999993</v>
          </cell>
          <cell r="L1042">
            <v>9776257.9199999999</v>
          </cell>
          <cell r="Y1042" t="e">
            <v>#N/A</v>
          </cell>
          <cell r="Z1042" t="e">
            <v>#N/A</v>
          </cell>
        </row>
        <row r="1044">
          <cell r="E1044" t="str">
            <v>VARIOS</v>
          </cell>
          <cell r="I1044">
            <v>587</v>
          </cell>
          <cell r="L1044">
            <v>8058336</v>
          </cell>
          <cell r="Z1044" t="e">
            <v>#N/A</v>
          </cell>
        </row>
        <row r="1045">
          <cell r="D1045" t="str">
            <v>AL07PA</v>
          </cell>
          <cell r="E1045" t="str">
            <v>Parales</v>
          </cell>
          <cell r="F1045" t="str">
            <v>mes</v>
          </cell>
          <cell r="G1045">
            <v>0.115</v>
          </cell>
          <cell r="H1045">
            <v>1450</v>
          </cell>
          <cell r="I1045">
            <v>167</v>
          </cell>
          <cell r="J1045">
            <v>0</v>
          </cell>
          <cell r="K1045">
            <v>1578.72</v>
          </cell>
          <cell r="L1045">
            <v>2289144</v>
          </cell>
          <cell r="Y1045" t="e">
            <v>#N/A</v>
          </cell>
          <cell r="Z1045" t="e">
            <v>#N/A</v>
          </cell>
        </row>
        <row r="1046">
          <cell r="D1046" t="str">
            <v>AL04RETROE</v>
          </cell>
          <cell r="E1046" t="str">
            <v>Retro Oruga</v>
          </cell>
          <cell r="F1046" t="str">
            <v>Hr</v>
          </cell>
          <cell r="G1046">
            <v>7.0000000000000001E-3</v>
          </cell>
          <cell r="H1046">
            <v>60000</v>
          </cell>
          <cell r="I1046">
            <v>420</v>
          </cell>
          <cell r="J1046">
            <v>0</v>
          </cell>
          <cell r="K1046">
            <v>96.096000000000004</v>
          </cell>
          <cell r="L1046">
            <v>5765760</v>
          </cell>
          <cell r="Y1046" t="e">
            <v>#N/A</v>
          </cell>
          <cell r="Z1046" t="e">
            <v>#N/A</v>
          </cell>
        </row>
        <row r="1047">
          <cell r="E1047" t="str">
            <v>SUBTOTAL</v>
          </cell>
          <cell r="I1047">
            <v>2302</v>
          </cell>
          <cell r="L1047">
            <v>31601856</v>
          </cell>
          <cell r="Z1047" t="e">
            <v>#N/A</v>
          </cell>
        </row>
        <row r="1048">
          <cell r="E1048" t="str">
            <v>A.I.U</v>
          </cell>
          <cell r="I1048">
            <v>0</v>
          </cell>
          <cell r="L1048">
            <v>0</v>
          </cell>
          <cell r="Z1048">
            <v>0</v>
          </cell>
        </row>
        <row r="1049">
          <cell r="D1049" t="str">
            <v>AIUAADMON</v>
          </cell>
          <cell r="E1049" t="str">
            <v>Admon</v>
          </cell>
          <cell r="F1049">
            <v>0</v>
          </cell>
          <cell r="I1049">
            <v>0</v>
          </cell>
          <cell r="J1049">
            <v>0</v>
          </cell>
          <cell r="L1049">
            <v>0</v>
          </cell>
          <cell r="Z1049">
            <v>0</v>
          </cell>
        </row>
        <row r="1050">
          <cell r="D1050" t="str">
            <v>AIUAIMPRE</v>
          </cell>
          <cell r="E1050" t="str">
            <v>Imprevistos</v>
          </cell>
          <cell r="F1050">
            <v>0</v>
          </cell>
          <cell r="I1050">
            <v>0</v>
          </cell>
          <cell r="J1050">
            <v>0</v>
          </cell>
          <cell r="L1050">
            <v>0</v>
          </cell>
          <cell r="Z1050">
            <v>0</v>
          </cell>
        </row>
        <row r="1051">
          <cell r="D1051" t="str">
            <v>AIUAUTILI</v>
          </cell>
          <cell r="E1051" t="str">
            <v>Utilidad</v>
          </cell>
          <cell r="F1051">
            <v>0</v>
          </cell>
          <cell r="I1051">
            <v>0</v>
          </cell>
          <cell r="J1051">
            <v>0</v>
          </cell>
          <cell r="L1051">
            <v>0</v>
          </cell>
          <cell r="Z1051">
            <v>0</v>
          </cell>
        </row>
        <row r="1052">
          <cell r="D1052" t="str">
            <v>AIUAIVAUTI</v>
          </cell>
          <cell r="E1052" t="str">
            <v>IVA utilidad</v>
          </cell>
          <cell r="F1052">
            <v>0</v>
          </cell>
          <cell r="I1052">
            <v>0</v>
          </cell>
          <cell r="J1052">
            <v>0</v>
          </cell>
          <cell r="L1052">
            <v>0</v>
          </cell>
          <cell r="Z1052">
            <v>0</v>
          </cell>
        </row>
        <row r="1054">
          <cell r="D1054" t="str">
            <v>ANGER</v>
          </cell>
          <cell r="E1054" t="str">
            <v>Geotextil para Estabilización y Refuerzo Tipo 1</v>
          </cell>
          <cell r="G1054" t="str">
            <v>UN.</v>
          </cell>
          <cell r="H1054" t="str">
            <v>M2</v>
          </cell>
          <cell r="I1054">
            <v>3058</v>
          </cell>
          <cell r="K1054">
            <v>165</v>
          </cell>
          <cell r="L1054">
            <v>504570</v>
          </cell>
          <cell r="N1054">
            <v>2258</v>
          </cell>
          <cell r="O1054">
            <v>800</v>
          </cell>
          <cell r="P1054">
            <v>0</v>
          </cell>
          <cell r="Q1054">
            <v>0</v>
          </cell>
          <cell r="X1054">
            <v>504570</v>
          </cell>
          <cell r="Y1054" t="str">
            <v>M2</v>
          </cell>
          <cell r="Z1054" t="e">
            <v>#N/A</v>
          </cell>
          <cell r="AA1054" t="e">
            <v>#N/A</v>
          </cell>
          <cell r="AB1054" t="e">
            <v>#N/A</v>
          </cell>
          <cell r="AC1054">
            <v>0</v>
          </cell>
        </row>
        <row r="1056">
          <cell r="D1056" t="str">
            <v>CODIGO</v>
          </cell>
          <cell r="E1056" t="str">
            <v>DESCRIPCION</v>
          </cell>
          <cell r="F1056" t="str">
            <v>UN</v>
          </cell>
          <cell r="G1056" t="str">
            <v>CANT</v>
          </cell>
          <cell r="H1056" t="str">
            <v>V/UNIT.</v>
          </cell>
          <cell r="I1056" t="str">
            <v>V/TOTAL</v>
          </cell>
          <cell r="K1056" t="str">
            <v>CANT TOTAL</v>
          </cell>
          <cell r="L1056" t="str">
            <v>Vr TOTAL</v>
          </cell>
          <cell r="Y1056" t="str">
            <v>CANT.</v>
          </cell>
          <cell r="Z1056" t="str">
            <v>V/TOTAL</v>
          </cell>
        </row>
        <row r="1057">
          <cell r="E1057" t="str">
            <v>MATERIALES</v>
          </cell>
          <cell r="I1057">
            <v>2258</v>
          </cell>
          <cell r="L1057">
            <v>372570</v>
          </cell>
          <cell r="Z1057" t="e">
            <v>#N/A</v>
          </cell>
        </row>
        <row r="1058">
          <cell r="D1058" t="str">
            <v>MA26GE16NT</v>
          </cell>
          <cell r="E1058" t="str">
            <v>Geotextil 1600 NT</v>
          </cell>
          <cell r="F1058" t="str">
            <v>m2</v>
          </cell>
          <cell r="G1058">
            <v>1.05</v>
          </cell>
          <cell r="H1058">
            <v>2150</v>
          </cell>
          <cell r="I1058">
            <v>2258</v>
          </cell>
          <cell r="J1058">
            <v>0</v>
          </cell>
          <cell r="K1058">
            <v>173.25</v>
          </cell>
          <cell r="L1058">
            <v>372487.5</v>
          </cell>
          <cell r="Y1058" t="e">
            <v>#N/A</v>
          </cell>
          <cell r="Z1058" t="e">
            <v>#N/A</v>
          </cell>
        </row>
        <row r="1060">
          <cell r="E1060" t="str">
            <v>MANO DE OBRA</v>
          </cell>
          <cell r="I1060">
            <v>800</v>
          </cell>
          <cell r="L1060">
            <v>132000</v>
          </cell>
          <cell r="Z1060" t="e">
            <v>#N/A</v>
          </cell>
        </row>
        <row r="1061">
          <cell r="D1061" t="str">
            <v>MOANIGE</v>
          </cell>
          <cell r="E1061" t="str">
            <v xml:space="preserve">Instalación Geotextilespara estabilizacion </v>
          </cell>
          <cell r="F1061" t="str">
            <v>M2</v>
          </cell>
          <cell r="G1061">
            <v>1</v>
          </cell>
          <cell r="H1061">
            <v>800</v>
          </cell>
          <cell r="I1061">
            <v>800</v>
          </cell>
          <cell r="J1061">
            <v>0</v>
          </cell>
          <cell r="K1061">
            <v>165</v>
          </cell>
          <cell r="L1061">
            <v>132000</v>
          </cell>
          <cell r="Y1061" t="e">
            <v>#N/A</v>
          </cell>
          <cell r="Z1061" t="e">
            <v>#N/A</v>
          </cell>
        </row>
        <row r="1063">
          <cell r="E1063" t="str">
            <v>VARIOS</v>
          </cell>
          <cell r="I1063">
            <v>0</v>
          </cell>
          <cell r="L1063">
            <v>0</v>
          </cell>
          <cell r="Z1063">
            <v>0</v>
          </cell>
        </row>
        <row r="1065">
          <cell r="D1065">
            <v>0</v>
          </cell>
        </row>
        <row r="1066">
          <cell r="E1066" t="str">
            <v>SUBTOTAL</v>
          </cell>
          <cell r="I1066">
            <v>3058</v>
          </cell>
          <cell r="L1066">
            <v>504570</v>
          </cell>
          <cell r="Z1066" t="e">
            <v>#N/A</v>
          </cell>
        </row>
        <row r="1067">
          <cell r="E1067" t="str">
            <v>A.I.U</v>
          </cell>
          <cell r="I1067">
            <v>0</v>
          </cell>
          <cell r="L1067">
            <v>0</v>
          </cell>
          <cell r="Z1067">
            <v>0</v>
          </cell>
        </row>
        <row r="1068">
          <cell r="D1068" t="str">
            <v>AIUAADMON</v>
          </cell>
          <cell r="E1068" t="str">
            <v>Admon</v>
          </cell>
          <cell r="F1068">
            <v>0</v>
          </cell>
          <cell r="I1068">
            <v>0</v>
          </cell>
          <cell r="J1068">
            <v>0</v>
          </cell>
          <cell r="L1068">
            <v>0</v>
          </cell>
          <cell r="Z1068">
            <v>0</v>
          </cell>
        </row>
        <row r="1069">
          <cell r="D1069" t="str">
            <v>AIUAIMPRE</v>
          </cell>
          <cell r="E1069" t="str">
            <v>Imprevistos</v>
          </cell>
          <cell r="F1069">
            <v>0</v>
          </cell>
          <cell r="I1069">
            <v>0</v>
          </cell>
          <cell r="J1069">
            <v>0</v>
          </cell>
          <cell r="L1069">
            <v>0</v>
          </cell>
          <cell r="Z1069">
            <v>0</v>
          </cell>
        </row>
        <row r="1070">
          <cell r="D1070" t="str">
            <v>AIUAUTILI</v>
          </cell>
          <cell r="E1070" t="str">
            <v>Utilidad</v>
          </cell>
          <cell r="F1070">
            <v>0</v>
          </cell>
          <cell r="I1070">
            <v>0</v>
          </cell>
          <cell r="J1070">
            <v>0</v>
          </cell>
          <cell r="L1070">
            <v>0</v>
          </cell>
          <cell r="Z1070">
            <v>0</v>
          </cell>
        </row>
        <row r="1071">
          <cell r="D1071" t="str">
            <v>AIUAIVAUTI</v>
          </cell>
          <cell r="E1071" t="str">
            <v>IVA utilidad</v>
          </cell>
          <cell r="F1071">
            <v>0</v>
          </cell>
          <cell r="I1071">
            <v>0</v>
          </cell>
          <cell r="J1071">
            <v>0</v>
          </cell>
          <cell r="L1071">
            <v>0</v>
          </cell>
          <cell r="Z1071">
            <v>0</v>
          </cell>
        </row>
        <row r="1073">
          <cell r="D1073" t="str">
            <v>ANGFD</v>
          </cell>
          <cell r="E1073" t="str">
            <v>Geotextil para Filtración y Drenaje Tipo 1</v>
          </cell>
          <cell r="G1073" t="str">
            <v>UN.</v>
          </cell>
          <cell r="H1073" t="str">
            <v>M2</v>
          </cell>
          <cell r="I1073">
            <v>3108</v>
          </cell>
          <cell r="K1073">
            <v>383</v>
          </cell>
          <cell r="L1073">
            <v>1190364</v>
          </cell>
          <cell r="N1073">
            <v>2258</v>
          </cell>
          <cell r="O1073">
            <v>850</v>
          </cell>
          <cell r="P1073">
            <v>0</v>
          </cell>
          <cell r="Q1073">
            <v>0</v>
          </cell>
          <cell r="X1073">
            <v>1190364</v>
          </cell>
          <cell r="Y1073" t="str">
            <v>M2</v>
          </cell>
          <cell r="Z1073" t="e">
            <v>#N/A</v>
          </cell>
          <cell r="AA1073" t="e">
            <v>#N/A</v>
          </cell>
          <cell r="AB1073" t="e">
            <v>#N/A</v>
          </cell>
          <cell r="AC1073">
            <v>0</v>
          </cell>
        </row>
        <row r="1075">
          <cell r="D1075" t="str">
            <v>CODIGO</v>
          </cell>
          <cell r="E1075" t="str">
            <v>DESCRIPCION</v>
          </cell>
          <cell r="F1075" t="str">
            <v>UN</v>
          </cell>
          <cell r="G1075" t="str">
            <v>CANT</v>
          </cell>
          <cell r="H1075" t="str">
            <v>V/UNIT.</v>
          </cell>
          <cell r="I1075" t="str">
            <v>V/TOTAL</v>
          </cell>
          <cell r="K1075" t="str">
            <v>CANT TOTAL</v>
          </cell>
          <cell r="L1075" t="str">
            <v>Vr TOTAL</v>
          </cell>
          <cell r="Y1075" t="str">
            <v>CANT.</v>
          </cell>
          <cell r="Z1075" t="str">
            <v>V/TOTAL</v>
          </cell>
        </row>
        <row r="1076">
          <cell r="E1076" t="str">
            <v>MATERIALES</v>
          </cell>
          <cell r="I1076">
            <v>2258</v>
          </cell>
          <cell r="L1076">
            <v>864814</v>
          </cell>
          <cell r="Z1076" t="e">
            <v>#N/A</v>
          </cell>
        </row>
        <row r="1077">
          <cell r="D1077" t="str">
            <v>MA26GE16NT</v>
          </cell>
          <cell r="E1077" t="str">
            <v>Geotextil 1600 NT</v>
          </cell>
          <cell r="F1077" t="str">
            <v>m2</v>
          </cell>
          <cell r="G1077">
            <v>1.05</v>
          </cell>
          <cell r="H1077">
            <v>2150</v>
          </cell>
          <cell r="I1077">
            <v>2258</v>
          </cell>
          <cell r="J1077">
            <v>0</v>
          </cell>
          <cell r="K1077">
            <v>402.15000000000003</v>
          </cell>
          <cell r="L1077">
            <v>864622.50000000012</v>
          </cell>
          <cell r="Y1077" t="e">
            <v>#N/A</v>
          </cell>
          <cell r="Z1077" t="e">
            <v>#N/A</v>
          </cell>
        </row>
        <row r="1079">
          <cell r="E1079" t="str">
            <v>MANO DE OBRA</v>
          </cell>
          <cell r="I1079">
            <v>850</v>
          </cell>
          <cell r="L1079">
            <v>325550</v>
          </cell>
          <cell r="Z1079" t="e">
            <v>#N/A</v>
          </cell>
        </row>
        <row r="1080">
          <cell r="D1080" t="str">
            <v>MOANIGF</v>
          </cell>
          <cell r="E1080" t="str">
            <v>Instalación Geotextilespara Filtraciones</v>
          </cell>
          <cell r="F1080" t="str">
            <v>M2</v>
          </cell>
          <cell r="G1080">
            <v>1</v>
          </cell>
          <cell r="H1080">
            <v>850</v>
          </cell>
          <cell r="I1080">
            <v>850</v>
          </cell>
          <cell r="J1080">
            <v>0</v>
          </cell>
          <cell r="K1080">
            <v>383</v>
          </cell>
          <cell r="L1080">
            <v>325550</v>
          </cell>
          <cell r="Y1080" t="e">
            <v>#N/A</v>
          </cell>
          <cell r="Z1080" t="e">
            <v>#N/A</v>
          </cell>
        </row>
        <row r="1082">
          <cell r="E1082" t="str">
            <v>VARIOS</v>
          </cell>
          <cell r="I1082">
            <v>0</v>
          </cell>
          <cell r="L1082">
            <v>0</v>
          </cell>
          <cell r="Z1082">
            <v>0</v>
          </cell>
        </row>
        <row r="1084">
          <cell r="D1084">
            <v>0</v>
          </cell>
        </row>
        <row r="1085">
          <cell r="E1085" t="str">
            <v>SUBTOTAL</v>
          </cell>
          <cell r="I1085">
            <v>3108</v>
          </cell>
          <cell r="L1085">
            <v>1190364</v>
          </cell>
          <cell r="Z1085" t="e">
            <v>#N/A</v>
          </cell>
        </row>
        <row r="1086">
          <cell r="E1086" t="str">
            <v>A.I.U</v>
          </cell>
          <cell r="I1086">
            <v>0</v>
          </cell>
          <cell r="L1086">
            <v>0</v>
          </cell>
          <cell r="Z1086">
            <v>0</v>
          </cell>
        </row>
        <row r="1087">
          <cell r="D1087" t="str">
            <v>AIUAADMON</v>
          </cell>
          <cell r="E1087" t="str">
            <v>Admon</v>
          </cell>
          <cell r="F1087">
            <v>0</v>
          </cell>
          <cell r="I1087">
            <v>0</v>
          </cell>
          <cell r="J1087">
            <v>0</v>
          </cell>
          <cell r="L1087">
            <v>0</v>
          </cell>
          <cell r="Z1087">
            <v>0</v>
          </cell>
        </row>
        <row r="1088">
          <cell r="D1088" t="str">
            <v>AIUAIMPRE</v>
          </cell>
          <cell r="E1088" t="str">
            <v>Imprevistos</v>
          </cell>
          <cell r="F1088">
            <v>0</v>
          </cell>
          <cell r="I1088">
            <v>0</v>
          </cell>
          <cell r="J1088">
            <v>0</v>
          </cell>
          <cell r="L1088">
            <v>0</v>
          </cell>
          <cell r="Z1088">
            <v>0</v>
          </cell>
        </row>
        <row r="1089">
          <cell r="D1089" t="str">
            <v>AIUAUTILI</v>
          </cell>
          <cell r="E1089" t="str">
            <v>Utilidad</v>
          </cell>
          <cell r="F1089">
            <v>0</v>
          </cell>
          <cell r="I1089">
            <v>0</v>
          </cell>
          <cell r="J1089">
            <v>0</v>
          </cell>
          <cell r="L1089">
            <v>0</v>
          </cell>
          <cell r="Z1089">
            <v>0</v>
          </cell>
        </row>
        <row r="1090">
          <cell r="D1090" t="str">
            <v>AIUAIVAUTI</v>
          </cell>
          <cell r="E1090" t="str">
            <v>IVA utilidad</v>
          </cell>
          <cell r="F1090">
            <v>0</v>
          </cell>
          <cell r="I1090">
            <v>0</v>
          </cell>
          <cell r="J1090">
            <v>0</v>
          </cell>
          <cell r="L1090">
            <v>0</v>
          </cell>
          <cell r="Z1090">
            <v>0</v>
          </cell>
        </row>
        <row r="1092">
          <cell r="E1092" t="str">
            <v>ITEM</v>
          </cell>
        </row>
        <row r="1093">
          <cell r="D1093" t="str">
            <v>ANPOMA</v>
          </cell>
          <cell r="E1093" t="str">
            <v xml:space="preserve">Pozo Inspección Mamposteria </v>
          </cell>
          <cell r="G1093" t="str">
            <v>UN.</v>
          </cell>
          <cell r="H1093" t="str">
            <v>Ml</v>
          </cell>
          <cell r="I1093">
            <v>224479</v>
          </cell>
          <cell r="K1093">
            <v>234.95</v>
          </cell>
          <cell r="L1093">
            <v>52741341.049999997</v>
          </cell>
          <cell r="N1093">
            <v>188979</v>
          </cell>
          <cell r="O1093">
            <v>35000</v>
          </cell>
          <cell r="P1093">
            <v>500</v>
          </cell>
          <cell r="Q1093">
            <v>0</v>
          </cell>
          <cell r="X1093">
            <v>52741341.049999997</v>
          </cell>
          <cell r="Y1093" t="str">
            <v>Ml</v>
          </cell>
          <cell r="Z1093" t="e">
            <v>#VALUE!</v>
          </cell>
          <cell r="AA1093" t="e">
            <v>#VALUE!</v>
          </cell>
          <cell r="AB1093" t="e">
            <v>#VALUE!</v>
          </cell>
          <cell r="AC1093" t="e">
            <v>#VALUE!</v>
          </cell>
        </row>
        <row r="1095">
          <cell r="D1095" t="str">
            <v>CODIGO</v>
          </cell>
          <cell r="E1095" t="str">
            <v>DESCRIPCION</v>
          </cell>
          <cell r="F1095" t="str">
            <v>UN</v>
          </cell>
          <cell r="G1095" t="str">
            <v>CANT</v>
          </cell>
          <cell r="H1095" t="str">
            <v>V/UNIT.</v>
          </cell>
          <cell r="I1095" t="str">
            <v>V/TOTAL</v>
          </cell>
          <cell r="K1095" t="str">
            <v>CANT TOTAL</v>
          </cell>
          <cell r="L1095" t="str">
            <v>Vr TOTAL</v>
          </cell>
          <cell r="Y1095" t="str">
            <v>CANT.</v>
          </cell>
          <cell r="Z1095" t="str">
            <v>V/TOTAL</v>
          </cell>
        </row>
        <row r="1096">
          <cell r="E1096" t="str">
            <v>MATERIALES</v>
          </cell>
          <cell r="I1096">
            <v>188979</v>
          </cell>
          <cell r="L1096">
            <v>44400616.049999997</v>
          </cell>
          <cell r="Z1096" t="e">
            <v>#VALUE!</v>
          </cell>
        </row>
        <row r="1097">
          <cell r="D1097" t="str">
            <v>MA06TR</v>
          </cell>
          <cell r="E1097" t="str">
            <v>Ladrillo Tolete Recocido</v>
          </cell>
          <cell r="F1097" t="str">
            <v>Un</v>
          </cell>
          <cell r="G1097">
            <v>380</v>
          </cell>
          <cell r="H1097">
            <v>220</v>
          </cell>
          <cell r="I1097">
            <v>83600</v>
          </cell>
          <cell r="J1097">
            <v>0</v>
          </cell>
          <cell r="K1097">
            <v>89281</v>
          </cell>
          <cell r="L1097">
            <v>19641820</v>
          </cell>
          <cell r="Y1097" t="e">
            <v>#VALUE!</v>
          </cell>
          <cell r="Z1097" t="e">
            <v>#VALUE!</v>
          </cell>
        </row>
        <row r="1098">
          <cell r="D1098" t="str">
            <v>MA02AS</v>
          </cell>
          <cell r="E1098" t="str">
            <v>Arena Semilavada</v>
          </cell>
          <cell r="F1098" t="str">
            <v>M3</v>
          </cell>
          <cell r="G1098">
            <v>1.0455999999999999</v>
          </cell>
          <cell r="H1098">
            <v>19500</v>
          </cell>
          <cell r="I1098">
            <v>20389</v>
          </cell>
          <cell r="J1098">
            <v>0</v>
          </cell>
          <cell r="K1098">
            <v>245.66371999999996</v>
          </cell>
          <cell r="L1098">
            <v>4790442.5399999991</v>
          </cell>
          <cell r="Y1098" t="e">
            <v>#VALUE!</v>
          </cell>
          <cell r="Z1098" t="e">
            <v>#VALUE!</v>
          </cell>
        </row>
        <row r="1099">
          <cell r="D1099" t="str">
            <v>MA03CG</v>
          </cell>
          <cell r="E1099" t="str">
            <v>Cemento Gris</v>
          </cell>
          <cell r="F1099" t="str">
            <v>Kg</v>
          </cell>
          <cell r="G1099">
            <v>195.249</v>
          </cell>
          <cell r="H1099">
            <v>190</v>
          </cell>
          <cell r="I1099">
            <v>37097</v>
          </cell>
          <cell r="J1099">
            <v>0</v>
          </cell>
          <cell r="K1099">
            <v>45873.752549999997</v>
          </cell>
          <cell r="L1099">
            <v>8716012.9845000003</v>
          </cell>
          <cell r="Y1099" t="e">
            <v>#VALUE!</v>
          </cell>
          <cell r="Z1099" t="e">
            <v>#VALUE!</v>
          </cell>
        </row>
        <row r="1100">
          <cell r="D1100" t="str">
            <v>MA01H6</v>
          </cell>
          <cell r="E1100" t="str">
            <v>Acero PDR60 N. 6</v>
          </cell>
          <cell r="F1100" t="str">
            <v>Kg</v>
          </cell>
          <cell r="G1100">
            <v>8</v>
          </cell>
          <cell r="H1100">
            <v>2150</v>
          </cell>
          <cell r="I1100">
            <v>17200</v>
          </cell>
          <cell r="J1100">
            <v>0</v>
          </cell>
          <cell r="K1100">
            <v>1879.6</v>
          </cell>
          <cell r="L1100">
            <v>4041140</v>
          </cell>
          <cell r="Y1100" t="e">
            <v>#VALUE!</v>
          </cell>
          <cell r="Z1100" t="e">
            <v>#VALUE!</v>
          </cell>
        </row>
        <row r="1101">
          <cell r="D1101" t="str">
            <v>MA26GE16NT</v>
          </cell>
          <cell r="E1101" t="str">
            <v>Geotextil 1600 NT</v>
          </cell>
          <cell r="F1101" t="str">
            <v>m2</v>
          </cell>
          <cell r="G1101">
            <v>7.3920000000000003</v>
          </cell>
          <cell r="H1101">
            <v>2150</v>
          </cell>
          <cell r="I1101">
            <v>15893</v>
          </cell>
          <cell r="J1101">
            <v>0</v>
          </cell>
          <cell r="K1101">
            <v>1736.7503999999999</v>
          </cell>
          <cell r="L1101">
            <v>3734013.36</v>
          </cell>
          <cell r="Y1101" t="e">
            <v>#N/A</v>
          </cell>
          <cell r="Z1101" t="e">
            <v>#N/A</v>
          </cell>
        </row>
        <row r="1102">
          <cell r="D1102" t="str">
            <v>MA27T</v>
          </cell>
          <cell r="E1102" t="str">
            <v>Toxement</v>
          </cell>
          <cell r="F1102" t="str">
            <v>kg</v>
          </cell>
          <cell r="G1102">
            <v>8</v>
          </cell>
          <cell r="H1102">
            <v>1850</v>
          </cell>
          <cell r="I1102">
            <v>14800</v>
          </cell>
          <cell r="J1102">
            <v>0</v>
          </cell>
          <cell r="K1102">
            <v>1879.6</v>
          </cell>
          <cell r="L1102">
            <v>3477260</v>
          </cell>
          <cell r="Y1102" t="e">
            <v>#VALUE!</v>
          </cell>
          <cell r="Z1102" t="e">
            <v>#VALUE!</v>
          </cell>
        </row>
        <row r="1104">
          <cell r="E1104" t="str">
            <v>MANO DE OBRA</v>
          </cell>
          <cell r="I1104">
            <v>35000</v>
          </cell>
          <cell r="J1104">
            <v>0</v>
          </cell>
          <cell r="L1104">
            <v>8223250</v>
          </cell>
          <cell r="Z1104" t="e">
            <v>#VALUE!</v>
          </cell>
        </row>
        <row r="1105">
          <cell r="D1105" t="str">
            <v>MOANPM</v>
          </cell>
          <cell r="E1105" t="str">
            <v>Pozo Inspeccion Mamposteria</v>
          </cell>
          <cell r="F1105" t="str">
            <v>Ml</v>
          </cell>
          <cell r="G1105">
            <v>1</v>
          </cell>
          <cell r="H1105">
            <v>35000</v>
          </cell>
          <cell r="I1105">
            <v>35000</v>
          </cell>
          <cell r="J1105">
            <v>0</v>
          </cell>
          <cell r="K1105">
            <v>234.95</v>
          </cell>
          <cell r="L1105">
            <v>8223250</v>
          </cell>
          <cell r="Y1105" t="e">
            <v>#VALUE!</v>
          </cell>
          <cell r="Z1105" t="e">
            <v>#VALUE!</v>
          </cell>
        </row>
        <row r="1107">
          <cell r="E1107" t="str">
            <v>VARIOS</v>
          </cell>
          <cell r="I1107">
            <v>500</v>
          </cell>
          <cell r="L1107">
            <v>117475</v>
          </cell>
          <cell r="Z1107" t="e">
            <v>#VALUE!</v>
          </cell>
        </row>
        <row r="1108">
          <cell r="D1108" t="str">
            <v>TC07H350</v>
          </cell>
          <cell r="E1108" t="str">
            <v>Herramienta</v>
          </cell>
          <cell r="F1108" t="str">
            <v>Gb</v>
          </cell>
          <cell r="G1108">
            <v>1</v>
          </cell>
          <cell r="H1108">
            <v>500</v>
          </cell>
          <cell r="I1108">
            <v>500</v>
          </cell>
          <cell r="J1108">
            <v>0</v>
          </cell>
          <cell r="K1108">
            <v>234.95</v>
          </cell>
          <cell r="L1108">
            <v>117475</v>
          </cell>
          <cell r="Y1108" t="e">
            <v>#VALUE!</v>
          </cell>
          <cell r="Z1108" t="e">
            <v>#VALUE!</v>
          </cell>
        </row>
        <row r="1109">
          <cell r="D1109">
            <v>0</v>
          </cell>
        </row>
        <row r="1110">
          <cell r="E1110" t="str">
            <v>SUBTOTAL</v>
          </cell>
          <cell r="I1110">
            <v>224479</v>
          </cell>
          <cell r="L1110">
            <v>52741341.049999997</v>
          </cell>
          <cell r="Z1110" t="e">
            <v>#VALUE!</v>
          </cell>
        </row>
        <row r="1111">
          <cell r="E1111" t="str">
            <v>A.I.U</v>
          </cell>
          <cell r="I1111">
            <v>0</v>
          </cell>
          <cell r="L1111">
            <v>0</v>
          </cell>
          <cell r="Z1111">
            <v>0</v>
          </cell>
        </row>
        <row r="1112">
          <cell r="D1112" t="str">
            <v>AIUAADMON</v>
          </cell>
          <cell r="E1112" t="str">
            <v>Admon</v>
          </cell>
          <cell r="F1112">
            <v>0</v>
          </cell>
          <cell r="I1112">
            <v>0</v>
          </cell>
          <cell r="L1112">
            <v>0</v>
          </cell>
          <cell r="Z1112">
            <v>0</v>
          </cell>
        </row>
        <row r="1113">
          <cell r="D1113" t="str">
            <v>AIUAIMPRE</v>
          </cell>
          <cell r="E1113" t="str">
            <v>Imprevistos</v>
          </cell>
          <cell r="F1113">
            <v>0</v>
          </cell>
          <cell r="I1113">
            <v>0</v>
          </cell>
          <cell r="J1113">
            <v>0</v>
          </cell>
          <cell r="L1113">
            <v>0</v>
          </cell>
          <cell r="Z1113">
            <v>0</v>
          </cell>
        </row>
        <row r="1114">
          <cell r="D1114" t="str">
            <v>AIUAUTILI</v>
          </cell>
          <cell r="E1114" t="str">
            <v>Utilidad</v>
          </cell>
          <cell r="F1114">
            <v>0</v>
          </cell>
          <cell r="I1114">
            <v>0</v>
          </cell>
          <cell r="J1114">
            <v>0</v>
          </cell>
          <cell r="L1114">
            <v>0</v>
          </cell>
          <cell r="Z1114">
            <v>0</v>
          </cell>
        </row>
        <row r="1115">
          <cell r="D1115" t="str">
            <v>AIUAIVAUTI</v>
          </cell>
          <cell r="E1115" t="str">
            <v>IVA utilidad</v>
          </cell>
          <cell r="F1115">
            <v>0</v>
          </cell>
          <cell r="I1115">
            <v>0</v>
          </cell>
          <cell r="J1115">
            <v>0</v>
          </cell>
          <cell r="L1115">
            <v>0</v>
          </cell>
          <cell r="Z1115">
            <v>0</v>
          </cell>
        </row>
        <row r="1117">
          <cell r="E1117" t="str">
            <v>ITEM</v>
          </cell>
        </row>
        <row r="1118">
          <cell r="D1118" t="str">
            <v>ANPOMA37</v>
          </cell>
          <cell r="E1118" t="str">
            <v>Pozo Inspección Mamposteria  e=0.37</v>
          </cell>
          <cell r="G1118" t="str">
            <v>UN.</v>
          </cell>
          <cell r="H1118" t="str">
            <v>Ml</v>
          </cell>
          <cell r="I1118">
            <v>386181</v>
          </cell>
          <cell r="K1118">
            <v>6</v>
          </cell>
          <cell r="L1118">
            <v>2317086</v>
          </cell>
          <cell r="N1118">
            <v>320681</v>
          </cell>
          <cell r="O1118">
            <v>65000</v>
          </cell>
          <cell r="P1118">
            <v>500</v>
          </cell>
          <cell r="Q1118">
            <v>0</v>
          </cell>
          <cell r="X1118">
            <v>2317086</v>
          </cell>
          <cell r="Y1118" t="str">
            <v>Ml</v>
          </cell>
          <cell r="Z1118" t="e">
            <v>#N/A</v>
          </cell>
          <cell r="AA1118" t="e">
            <v>#N/A</v>
          </cell>
          <cell r="AB1118" t="e">
            <v>#N/A</v>
          </cell>
          <cell r="AC1118" t="e">
            <v>#N/A</v>
          </cell>
        </row>
        <row r="1120">
          <cell r="D1120" t="str">
            <v>CODIGO</v>
          </cell>
          <cell r="E1120" t="str">
            <v>DESCRIPCION</v>
          </cell>
          <cell r="F1120" t="str">
            <v>UN</v>
          </cell>
          <cell r="G1120" t="str">
            <v>CANT</v>
          </cell>
          <cell r="H1120" t="str">
            <v>V/UNIT.</v>
          </cell>
          <cell r="I1120" t="str">
            <v>V/TOTAL</v>
          </cell>
          <cell r="K1120" t="str">
            <v>CANT TOTAL</v>
          </cell>
          <cell r="L1120" t="str">
            <v>Vr TOTAL</v>
          </cell>
          <cell r="Y1120" t="str">
            <v>CANT.</v>
          </cell>
          <cell r="Z1120" t="str">
            <v>V/TOTAL</v>
          </cell>
        </row>
        <row r="1121">
          <cell r="E1121" t="str">
            <v>MATERIALES</v>
          </cell>
          <cell r="I1121">
            <v>320681</v>
          </cell>
          <cell r="L1121">
            <v>1924086</v>
          </cell>
          <cell r="Z1121" t="e">
            <v>#N/A</v>
          </cell>
        </row>
        <row r="1122">
          <cell r="D1122" t="str">
            <v>MA06TR</v>
          </cell>
          <cell r="E1122" t="str">
            <v>Ladrillo Tolete Recocido</v>
          </cell>
          <cell r="F1122" t="str">
            <v>Un</v>
          </cell>
          <cell r="G1122">
            <v>760</v>
          </cell>
          <cell r="H1122">
            <v>220</v>
          </cell>
          <cell r="I1122">
            <v>167200</v>
          </cell>
          <cell r="J1122">
            <v>0</v>
          </cell>
          <cell r="K1122">
            <v>4560</v>
          </cell>
          <cell r="L1122">
            <v>1003200</v>
          </cell>
          <cell r="Y1122" t="e">
            <v>#N/A</v>
          </cell>
          <cell r="Z1122" t="e">
            <v>#N/A</v>
          </cell>
        </row>
        <row r="1123">
          <cell r="D1123" t="str">
            <v>MA02AS</v>
          </cell>
          <cell r="E1123" t="str">
            <v>Arena Semilavada</v>
          </cell>
          <cell r="F1123" t="str">
            <v>M3</v>
          </cell>
          <cell r="G1123">
            <v>2.0911999999999997</v>
          </cell>
          <cell r="H1123">
            <v>19500</v>
          </cell>
          <cell r="I1123">
            <v>40778</v>
          </cell>
          <cell r="J1123">
            <v>0</v>
          </cell>
          <cell r="K1123">
            <v>12.547199999999998</v>
          </cell>
          <cell r="L1123">
            <v>244670.39999999997</v>
          </cell>
          <cell r="Y1123" t="e">
            <v>#N/A</v>
          </cell>
          <cell r="Z1123" t="e">
            <v>#N/A</v>
          </cell>
        </row>
        <row r="1124">
          <cell r="D1124" t="str">
            <v>MA03CG</v>
          </cell>
          <cell r="E1124" t="str">
            <v>Cemento Gris</v>
          </cell>
          <cell r="F1124" t="str">
            <v>Kg</v>
          </cell>
          <cell r="G1124">
            <v>292.87349999999998</v>
          </cell>
          <cell r="H1124">
            <v>190</v>
          </cell>
          <cell r="I1124">
            <v>55646</v>
          </cell>
          <cell r="J1124">
            <v>0</v>
          </cell>
          <cell r="K1124">
            <v>1757.241</v>
          </cell>
          <cell r="L1124">
            <v>333875.78999999998</v>
          </cell>
          <cell r="Y1124" t="e">
            <v>#N/A</v>
          </cell>
          <cell r="Z1124" t="e">
            <v>#N/A</v>
          </cell>
        </row>
        <row r="1125">
          <cell r="D1125" t="str">
            <v>MA01H6</v>
          </cell>
          <cell r="E1125" t="str">
            <v>Acero PDR60 N. 6</v>
          </cell>
          <cell r="F1125" t="str">
            <v>Kg</v>
          </cell>
          <cell r="G1125">
            <v>14</v>
          </cell>
          <cell r="H1125">
            <v>2150</v>
          </cell>
          <cell r="I1125">
            <v>30100</v>
          </cell>
          <cell r="J1125">
            <v>0</v>
          </cell>
          <cell r="K1125">
            <v>84</v>
          </cell>
          <cell r="L1125">
            <v>180600</v>
          </cell>
          <cell r="Y1125" t="e">
            <v>#N/A</v>
          </cell>
          <cell r="Z1125" t="e">
            <v>#N/A</v>
          </cell>
        </row>
        <row r="1126">
          <cell r="D1126" t="str">
            <v>MA26GE16NT</v>
          </cell>
          <cell r="E1126" t="str">
            <v>Geotextil 1600 NT</v>
          </cell>
          <cell r="F1126" t="str">
            <v>m2</v>
          </cell>
          <cell r="G1126">
            <v>8.9239999999999995</v>
          </cell>
          <cell r="H1126">
            <v>2150</v>
          </cell>
          <cell r="I1126">
            <v>19187</v>
          </cell>
          <cell r="J1126">
            <v>0</v>
          </cell>
          <cell r="K1126">
            <v>53.543999999999997</v>
          </cell>
          <cell r="L1126">
            <v>115119.59999999999</v>
          </cell>
          <cell r="Y1126" t="e">
            <v>#N/A</v>
          </cell>
          <cell r="Z1126" t="e">
            <v>#N/A</v>
          </cell>
        </row>
        <row r="1127">
          <cell r="D1127" t="str">
            <v>MA27T</v>
          </cell>
          <cell r="E1127" t="str">
            <v>Toxement</v>
          </cell>
          <cell r="F1127" t="str">
            <v>kg</v>
          </cell>
          <cell r="G1127">
            <v>4.2</v>
          </cell>
          <cell r="H1127">
            <v>1850</v>
          </cell>
          <cell r="I1127">
            <v>7770</v>
          </cell>
          <cell r="J1127">
            <v>0</v>
          </cell>
          <cell r="K1127">
            <v>25.200000000000003</v>
          </cell>
          <cell r="L1127">
            <v>46620.000000000007</v>
          </cell>
          <cell r="Y1127" t="e">
            <v>#N/A</v>
          </cell>
          <cell r="Z1127" t="e">
            <v>#N/A</v>
          </cell>
        </row>
        <row r="1129">
          <cell r="E1129" t="str">
            <v>MANO DE OBRA</v>
          </cell>
          <cell r="I1129">
            <v>65000</v>
          </cell>
          <cell r="J1129">
            <v>0</v>
          </cell>
          <cell r="L1129">
            <v>390000</v>
          </cell>
          <cell r="Z1129" t="e">
            <v>#N/A</v>
          </cell>
        </row>
        <row r="1130">
          <cell r="D1130" t="str">
            <v>MOANPM37</v>
          </cell>
          <cell r="E1130" t="str">
            <v>Pozo Inspeccion Mamposteria e=0.37</v>
          </cell>
          <cell r="F1130" t="str">
            <v>Ml</v>
          </cell>
          <cell r="G1130">
            <v>1</v>
          </cell>
          <cell r="H1130">
            <v>65000</v>
          </cell>
          <cell r="I1130">
            <v>65000</v>
          </cell>
          <cell r="J1130">
            <v>0</v>
          </cell>
          <cell r="K1130">
            <v>6</v>
          </cell>
          <cell r="L1130">
            <v>390000</v>
          </cell>
          <cell r="Y1130" t="e">
            <v>#N/A</v>
          </cell>
          <cell r="Z1130" t="e">
            <v>#N/A</v>
          </cell>
        </row>
        <row r="1132">
          <cell r="E1132" t="str">
            <v>VARIOS</v>
          </cell>
          <cell r="I1132">
            <v>500</v>
          </cell>
          <cell r="L1132">
            <v>3000</v>
          </cell>
          <cell r="Z1132" t="e">
            <v>#N/A</v>
          </cell>
        </row>
        <row r="1133">
          <cell r="D1133" t="str">
            <v>TC07H350</v>
          </cell>
          <cell r="E1133" t="str">
            <v>Herramienta</v>
          </cell>
          <cell r="F1133" t="str">
            <v>Gb</v>
          </cell>
          <cell r="G1133">
            <v>1</v>
          </cell>
          <cell r="H1133">
            <v>500</v>
          </cell>
          <cell r="I1133">
            <v>500</v>
          </cell>
          <cell r="J1133">
            <v>0</v>
          </cell>
          <cell r="K1133">
            <v>6</v>
          </cell>
          <cell r="L1133">
            <v>3000</v>
          </cell>
          <cell r="Y1133" t="e">
            <v>#N/A</v>
          </cell>
          <cell r="Z1133" t="e">
            <v>#N/A</v>
          </cell>
        </row>
        <row r="1134">
          <cell r="D1134">
            <v>0</v>
          </cell>
        </row>
        <row r="1135">
          <cell r="E1135" t="str">
            <v>SUBTOTAL</v>
          </cell>
          <cell r="I1135">
            <v>386181</v>
          </cell>
          <cell r="L1135">
            <v>2317086</v>
          </cell>
          <cell r="Z1135" t="e">
            <v>#N/A</v>
          </cell>
        </row>
        <row r="1136">
          <cell r="E1136" t="str">
            <v>A.I.U</v>
          </cell>
          <cell r="I1136">
            <v>0</v>
          </cell>
          <cell r="L1136">
            <v>0</v>
          </cell>
          <cell r="Z1136">
            <v>0</v>
          </cell>
        </row>
        <row r="1137">
          <cell r="D1137" t="str">
            <v>AIUAADMON</v>
          </cell>
          <cell r="E1137" t="str">
            <v>Admon</v>
          </cell>
          <cell r="F1137">
            <v>0</v>
          </cell>
          <cell r="I1137">
            <v>0</v>
          </cell>
          <cell r="L1137">
            <v>0</v>
          </cell>
          <cell r="Z1137">
            <v>0</v>
          </cell>
        </row>
        <row r="1138">
          <cell r="D1138" t="str">
            <v>AIUAIMPRE</v>
          </cell>
          <cell r="E1138" t="str">
            <v>Imprevistos</v>
          </cell>
          <cell r="F1138">
            <v>0</v>
          </cell>
          <cell r="I1138">
            <v>0</v>
          </cell>
          <cell r="J1138">
            <v>0</v>
          </cell>
          <cell r="L1138">
            <v>0</v>
          </cell>
          <cell r="Z1138">
            <v>0</v>
          </cell>
        </row>
        <row r="1139">
          <cell r="D1139" t="str">
            <v>AIUAUTILI</v>
          </cell>
          <cell r="E1139" t="str">
            <v>Utilidad</v>
          </cell>
          <cell r="F1139">
            <v>0</v>
          </cell>
          <cell r="I1139">
            <v>0</v>
          </cell>
          <cell r="J1139">
            <v>0</v>
          </cell>
          <cell r="L1139">
            <v>0</v>
          </cell>
          <cell r="Z1139">
            <v>0</v>
          </cell>
        </row>
        <row r="1140">
          <cell r="D1140" t="str">
            <v>AIUAIVAUTI</v>
          </cell>
          <cell r="E1140" t="str">
            <v>IVA utilidad</v>
          </cell>
          <cell r="F1140">
            <v>0</v>
          </cell>
          <cell r="I1140">
            <v>0</v>
          </cell>
          <cell r="J1140">
            <v>0</v>
          </cell>
          <cell r="L1140">
            <v>0</v>
          </cell>
          <cell r="Z1140">
            <v>0</v>
          </cell>
        </row>
        <row r="1142">
          <cell r="E1142" t="str">
            <v>ITEM</v>
          </cell>
        </row>
        <row r="1143">
          <cell r="D1143" t="str">
            <v>ANPOBA</v>
          </cell>
          <cell r="E1143" t="str">
            <v xml:space="preserve">Pozo Base </v>
          </cell>
          <cell r="G1143" t="str">
            <v>UN.</v>
          </cell>
          <cell r="H1143" t="str">
            <v>Un</v>
          </cell>
          <cell r="I1143" t="e">
            <v>#N/A</v>
          </cell>
          <cell r="K1143">
            <v>0</v>
          </cell>
          <cell r="L1143" t="e">
            <v>#N/A</v>
          </cell>
          <cell r="N1143" t="e">
            <v>#N/A</v>
          </cell>
          <cell r="O1143">
            <v>16000</v>
          </cell>
          <cell r="P1143">
            <v>500</v>
          </cell>
          <cell r="Q1143" t="e">
            <v>#N/A</v>
          </cell>
          <cell r="X1143" t="e">
            <v>#N/A</v>
          </cell>
          <cell r="Y1143" t="str">
            <v>Un</v>
          </cell>
          <cell r="Z1143" t="e">
            <v>#VALUE!</v>
          </cell>
          <cell r="AA1143" t="e">
            <v>#VALUE!</v>
          </cell>
          <cell r="AB1143" t="e">
            <v>#VALUE!</v>
          </cell>
          <cell r="AC1143" t="e">
            <v>#VALUE!</v>
          </cell>
        </row>
        <row r="1145">
          <cell r="D1145" t="str">
            <v>CODIGO</v>
          </cell>
          <cell r="E1145" t="str">
            <v>DESCRIPCION</v>
          </cell>
          <cell r="F1145" t="str">
            <v>UN</v>
          </cell>
          <cell r="G1145" t="str">
            <v>CANT</v>
          </cell>
          <cell r="H1145" t="str">
            <v>V/UNIT.</v>
          </cell>
          <cell r="I1145" t="str">
            <v>V/TOTAL</v>
          </cell>
          <cell r="K1145" t="str">
            <v>CANT TOTAL</v>
          </cell>
          <cell r="L1145" t="str">
            <v>Vr TOTAL</v>
          </cell>
          <cell r="Y1145" t="str">
            <v>CANT.</v>
          </cell>
          <cell r="Z1145" t="str">
            <v>V/TOTAL</v>
          </cell>
        </row>
        <row r="1146">
          <cell r="E1146" t="str">
            <v>MATERIALES</v>
          </cell>
          <cell r="I1146" t="e">
            <v>#N/A</v>
          </cell>
          <cell r="L1146" t="e">
            <v>#N/A</v>
          </cell>
          <cell r="Z1146" t="e">
            <v>#VALUE!</v>
          </cell>
        </row>
        <row r="1147">
          <cell r="D1147" t="str">
            <v>MA03CG</v>
          </cell>
          <cell r="E1147" t="str">
            <v>Cemento Gris</v>
          </cell>
          <cell r="F1147" t="str">
            <v>Kg</v>
          </cell>
          <cell r="G1147">
            <v>225</v>
          </cell>
          <cell r="H1147">
            <v>190</v>
          </cell>
          <cell r="I1147">
            <v>42750</v>
          </cell>
          <cell r="J1147">
            <v>0</v>
          </cell>
          <cell r="K1147">
            <v>0</v>
          </cell>
          <cell r="L1147">
            <v>0</v>
          </cell>
          <cell r="Y1147" t="e">
            <v>#VALUE!</v>
          </cell>
          <cell r="Z1147" t="e">
            <v>#VALUE!</v>
          </cell>
        </row>
        <row r="1148">
          <cell r="D1148" t="str">
            <v>MA02ALR</v>
          </cell>
          <cell r="E1148" t="str">
            <v>Arena Lavada Rio</v>
          </cell>
          <cell r="F1148" t="str">
            <v>M3</v>
          </cell>
          <cell r="G1148">
            <v>0.71</v>
          </cell>
          <cell r="H1148">
            <v>45000</v>
          </cell>
          <cell r="I1148">
            <v>31950</v>
          </cell>
          <cell r="J1148">
            <v>0</v>
          </cell>
          <cell r="K1148">
            <v>0</v>
          </cell>
          <cell r="L1148">
            <v>0</v>
          </cell>
          <cell r="Y1148" t="e">
            <v>#VALUE!</v>
          </cell>
          <cell r="Z1148" t="e">
            <v>#VALUE!</v>
          </cell>
        </row>
        <row r="1149">
          <cell r="D1149" t="str">
            <v>MA02GCR</v>
          </cell>
          <cell r="E1149" t="e">
            <v>#N/A</v>
          </cell>
          <cell r="F1149" t="e">
            <v>#N/A</v>
          </cell>
          <cell r="G1149">
            <v>0.7</v>
          </cell>
          <cell r="H1149" t="e">
            <v>#N/A</v>
          </cell>
          <cell r="I1149" t="e">
            <v>#N/A</v>
          </cell>
          <cell r="J1149" t="e">
            <v>#N/A</v>
          </cell>
          <cell r="K1149">
            <v>0</v>
          </cell>
          <cell r="L1149" t="e">
            <v>#N/A</v>
          </cell>
          <cell r="Y1149" t="e">
            <v>#VALUE!</v>
          </cell>
          <cell r="Z1149" t="e">
            <v>#VALUE!</v>
          </cell>
        </row>
        <row r="1150">
          <cell r="D1150" t="str">
            <v>MA01H3</v>
          </cell>
          <cell r="E1150" t="str">
            <v>Acero PDR60 N. 3</v>
          </cell>
          <cell r="F1150" t="str">
            <v>Kg</v>
          </cell>
          <cell r="G1150">
            <v>35</v>
          </cell>
          <cell r="H1150">
            <v>2150</v>
          </cell>
          <cell r="I1150">
            <v>75250</v>
          </cell>
          <cell r="J1150">
            <v>0</v>
          </cell>
          <cell r="K1150">
            <v>0</v>
          </cell>
          <cell r="L1150">
            <v>0</v>
          </cell>
          <cell r="Y1150" t="e">
            <v>#VALUE!</v>
          </cell>
          <cell r="Z1150" t="e">
            <v>#VALUE!</v>
          </cell>
        </row>
        <row r="1151">
          <cell r="D1151" t="str">
            <v>MA01H4</v>
          </cell>
          <cell r="E1151" t="str">
            <v>Acero PDR60 N. 4</v>
          </cell>
          <cell r="F1151" t="str">
            <v>Kg</v>
          </cell>
          <cell r="G1151">
            <v>45</v>
          </cell>
          <cell r="H1151">
            <v>2150</v>
          </cell>
          <cell r="I1151">
            <v>96750</v>
          </cell>
          <cell r="J1151">
            <v>0</v>
          </cell>
          <cell r="K1151">
            <v>0</v>
          </cell>
          <cell r="L1151">
            <v>0</v>
          </cell>
          <cell r="Y1151" t="e">
            <v>#VALUE!</v>
          </cell>
          <cell r="Z1151" t="e">
            <v>#VALUE!</v>
          </cell>
        </row>
        <row r="1152">
          <cell r="D1152" t="str">
            <v>MA01H5</v>
          </cell>
          <cell r="E1152" t="str">
            <v>Acero PDR60 N. 5</v>
          </cell>
          <cell r="F1152" t="str">
            <v>Kg</v>
          </cell>
          <cell r="G1152">
            <v>20</v>
          </cell>
          <cell r="H1152">
            <v>2150</v>
          </cell>
          <cell r="I1152">
            <v>43000</v>
          </cell>
          <cell r="J1152">
            <v>0</v>
          </cell>
          <cell r="K1152">
            <v>0</v>
          </cell>
          <cell r="L1152">
            <v>0</v>
          </cell>
          <cell r="Y1152" t="e">
            <v>#VALUE!</v>
          </cell>
          <cell r="Z1152" t="e">
            <v>#VALUE!</v>
          </cell>
        </row>
        <row r="1154">
          <cell r="E1154" t="str">
            <v>MANO DE OBRA</v>
          </cell>
          <cell r="I1154">
            <v>16000</v>
          </cell>
          <cell r="J1154">
            <v>0</v>
          </cell>
          <cell r="L1154">
            <v>0</v>
          </cell>
          <cell r="Z1154" t="e">
            <v>#VALUE!</v>
          </cell>
        </row>
        <row r="1155">
          <cell r="D1155" t="str">
            <v>MOANPB</v>
          </cell>
          <cell r="E1155" t="str">
            <v>Base</v>
          </cell>
          <cell r="F1155" t="str">
            <v>Un</v>
          </cell>
          <cell r="G1155">
            <v>1</v>
          </cell>
          <cell r="H1155">
            <v>16000</v>
          </cell>
          <cell r="I1155">
            <v>16000</v>
          </cell>
          <cell r="J1155">
            <v>0</v>
          </cell>
          <cell r="K1155">
            <v>0</v>
          </cell>
          <cell r="L1155">
            <v>0</v>
          </cell>
          <cell r="Y1155" t="e">
            <v>#VALUE!</v>
          </cell>
          <cell r="Z1155" t="e">
            <v>#VALUE!</v>
          </cell>
        </row>
        <row r="1157">
          <cell r="E1157" t="str">
            <v>VARIOS</v>
          </cell>
          <cell r="I1157">
            <v>500</v>
          </cell>
          <cell r="L1157">
            <v>0</v>
          </cell>
          <cell r="Z1157" t="e">
            <v>#VALUE!</v>
          </cell>
        </row>
        <row r="1158">
          <cell r="D1158" t="str">
            <v>TC07H350</v>
          </cell>
          <cell r="E1158" t="str">
            <v>Herramienta</v>
          </cell>
          <cell r="F1158" t="str">
            <v>Gb</v>
          </cell>
          <cell r="G1158">
            <v>1</v>
          </cell>
          <cell r="H1158">
            <v>500</v>
          </cell>
          <cell r="I1158">
            <v>500</v>
          </cell>
          <cell r="J1158">
            <v>0</v>
          </cell>
          <cell r="K1158">
            <v>0</v>
          </cell>
          <cell r="L1158">
            <v>0</v>
          </cell>
          <cell r="Y1158" t="e">
            <v>#VALUE!</v>
          </cell>
          <cell r="Z1158" t="e">
            <v>#VALUE!</v>
          </cell>
        </row>
        <row r="1159">
          <cell r="D1159">
            <v>0</v>
          </cell>
        </row>
        <row r="1160">
          <cell r="E1160" t="str">
            <v>SUBTOTAL</v>
          </cell>
          <cell r="I1160" t="e">
            <v>#N/A</v>
          </cell>
          <cell r="L1160" t="e">
            <v>#N/A</v>
          </cell>
          <cell r="Z1160" t="e">
            <v>#VALUE!</v>
          </cell>
        </row>
        <row r="1161">
          <cell r="E1161" t="str">
            <v>A.I.U</v>
          </cell>
          <cell r="I1161" t="e">
            <v>#N/A</v>
          </cell>
          <cell r="L1161" t="e">
            <v>#N/A</v>
          </cell>
          <cell r="Z1161" t="e">
            <v>#N/A</v>
          </cell>
        </row>
        <row r="1162">
          <cell r="D1162" t="str">
            <v>AIUAADMON</v>
          </cell>
          <cell r="E1162" t="str">
            <v>Admon</v>
          </cell>
          <cell r="F1162">
            <v>0</v>
          </cell>
          <cell r="I1162" t="e">
            <v>#N/A</v>
          </cell>
          <cell r="L1162" t="e">
            <v>#N/A</v>
          </cell>
          <cell r="Z1162" t="e">
            <v>#N/A</v>
          </cell>
        </row>
        <row r="1163">
          <cell r="D1163" t="str">
            <v>AIUAIMPRE</v>
          </cell>
          <cell r="E1163" t="str">
            <v>Imprevistos</v>
          </cell>
          <cell r="F1163">
            <v>0</v>
          </cell>
          <cell r="I1163" t="e">
            <v>#N/A</v>
          </cell>
          <cell r="J1163">
            <v>0</v>
          </cell>
          <cell r="L1163" t="e">
            <v>#N/A</v>
          </cell>
          <cell r="Z1163" t="e">
            <v>#N/A</v>
          </cell>
        </row>
        <row r="1164">
          <cell r="D1164" t="str">
            <v>AIUAUTILI</v>
          </cell>
          <cell r="E1164" t="str">
            <v>Utilidad</v>
          </cell>
          <cell r="F1164">
            <v>0</v>
          </cell>
          <cell r="I1164" t="e">
            <v>#N/A</v>
          </cell>
          <cell r="J1164">
            <v>0</v>
          </cell>
          <cell r="L1164" t="e">
            <v>#N/A</v>
          </cell>
          <cell r="Z1164" t="e">
            <v>#N/A</v>
          </cell>
        </row>
        <row r="1165">
          <cell r="D1165" t="str">
            <v>AIUAIVAUTI</v>
          </cell>
          <cell r="E1165" t="str">
            <v>IVA utilidad</v>
          </cell>
          <cell r="F1165">
            <v>0</v>
          </cell>
          <cell r="I1165" t="e">
            <v>#N/A</v>
          </cell>
          <cell r="J1165">
            <v>0</v>
          </cell>
          <cell r="L1165" t="e">
            <v>#N/A</v>
          </cell>
          <cell r="Z1165" t="e">
            <v>#N/A</v>
          </cell>
        </row>
        <row r="1167">
          <cell r="E1167" t="str">
            <v>ITEM</v>
          </cell>
        </row>
        <row r="1168">
          <cell r="D1168" t="str">
            <v>ANPOBACA</v>
          </cell>
          <cell r="E1168" t="str">
            <v>Base y Cañuela</v>
          </cell>
          <cell r="G1168" t="str">
            <v>UN.</v>
          </cell>
          <cell r="H1168" t="str">
            <v>Un</v>
          </cell>
          <cell r="I1168">
            <v>202081</v>
          </cell>
          <cell r="K1168">
            <v>100</v>
          </cell>
          <cell r="L1168">
            <v>20208100</v>
          </cell>
          <cell r="N1168">
            <v>172631</v>
          </cell>
          <cell r="O1168">
            <v>28500</v>
          </cell>
          <cell r="P1168">
            <v>950</v>
          </cell>
          <cell r="Q1168">
            <v>0</v>
          </cell>
          <cell r="X1168">
            <v>20208100</v>
          </cell>
          <cell r="Y1168" t="str">
            <v>Un</v>
          </cell>
          <cell r="Z1168" t="e">
            <v>#N/A</v>
          </cell>
          <cell r="AA1168" t="e">
            <v>#N/A</v>
          </cell>
          <cell r="AB1168" t="e">
            <v>#N/A</v>
          </cell>
          <cell r="AC1168" t="e">
            <v>#N/A</v>
          </cell>
        </row>
        <row r="1170">
          <cell r="D1170" t="str">
            <v>CODIGO</v>
          </cell>
          <cell r="E1170" t="str">
            <v>DESCRIPCION</v>
          </cell>
          <cell r="F1170" t="str">
            <v>UN</v>
          </cell>
          <cell r="G1170" t="str">
            <v>CANT</v>
          </cell>
          <cell r="H1170" t="str">
            <v>V/UNIT.</v>
          </cell>
          <cell r="I1170" t="str">
            <v>V/TOTAL</v>
          </cell>
          <cell r="K1170" t="str">
            <v>CANT TOTAL</v>
          </cell>
          <cell r="L1170" t="str">
            <v>Vr TOTAL</v>
          </cell>
          <cell r="Y1170" t="str">
            <v>CANT.</v>
          </cell>
          <cell r="Z1170" t="str">
            <v>V/TOTAL</v>
          </cell>
        </row>
        <row r="1171">
          <cell r="E1171" t="str">
            <v>MATERIALES</v>
          </cell>
          <cell r="I1171">
            <v>172631</v>
          </cell>
          <cell r="L1171">
            <v>17263100</v>
          </cell>
          <cell r="Z1171" t="e">
            <v>#N/A</v>
          </cell>
        </row>
        <row r="1172">
          <cell r="D1172" t="str">
            <v>MA04C4I</v>
          </cell>
          <cell r="E1172" t="str">
            <v>Concreto 4000 psi Impermeabilizado</v>
          </cell>
          <cell r="F1172" t="str">
            <v>M3</v>
          </cell>
          <cell r="G1172">
            <v>0.75</v>
          </cell>
          <cell r="H1172">
            <v>230175</v>
          </cell>
          <cell r="I1172">
            <v>172631</v>
          </cell>
          <cell r="J1172">
            <v>0</v>
          </cell>
          <cell r="K1172">
            <v>75</v>
          </cell>
          <cell r="L1172">
            <v>17263125</v>
          </cell>
          <cell r="Y1172" t="e">
            <v>#N/A</v>
          </cell>
          <cell r="Z1172" t="e">
            <v>#N/A</v>
          </cell>
        </row>
        <row r="1173">
          <cell r="I1173">
            <v>0</v>
          </cell>
          <cell r="J1173">
            <v>0</v>
          </cell>
          <cell r="K1173">
            <v>0</v>
          </cell>
          <cell r="L1173">
            <v>0</v>
          </cell>
          <cell r="Y1173">
            <v>0</v>
          </cell>
          <cell r="Z1173">
            <v>0</v>
          </cell>
        </row>
        <row r="1174">
          <cell r="I1174">
            <v>0</v>
          </cell>
          <cell r="J1174">
            <v>0</v>
          </cell>
          <cell r="K1174">
            <v>0</v>
          </cell>
          <cell r="L1174">
            <v>0</v>
          </cell>
          <cell r="Y1174">
            <v>0</v>
          </cell>
          <cell r="Z1174">
            <v>0</v>
          </cell>
        </row>
        <row r="1175">
          <cell r="I1175">
            <v>0</v>
          </cell>
          <cell r="J1175">
            <v>0</v>
          </cell>
          <cell r="K1175">
            <v>0</v>
          </cell>
          <cell r="L1175">
            <v>0</v>
          </cell>
          <cell r="Y1175">
            <v>0</v>
          </cell>
          <cell r="Z1175">
            <v>0</v>
          </cell>
        </row>
        <row r="1177">
          <cell r="E1177" t="str">
            <v>MANO DE OBRA</v>
          </cell>
          <cell r="I1177">
            <v>28500</v>
          </cell>
          <cell r="J1177">
            <v>0</v>
          </cell>
          <cell r="L1177">
            <v>2850000</v>
          </cell>
          <cell r="Z1177" t="e">
            <v>#N/A</v>
          </cell>
        </row>
        <row r="1178">
          <cell r="D1178" t="str">
            <v>MOANPB</v>
          </cell>
          <cell r="E1178" t="str">
            <v>Base</v>
          </cell>
          <cell r="F1178" t="str">
            <v>Un</v>
          </cell>
          <cell r="G1178">
            <v>1</v>
          </cell>
          <cell r="H1178">
            <v>16000</v>
          </cell>
          <cell r="I1178">
            <v>16000</v>
          </cell>
          <cell r="J1178">
            <v>0</v>
          </cell>
          <cell r="K1178">
            <v>100</v>
          </cell>
          <cell r="L1178">
            <v>1600000</v>
          </cell>
          <cell r="Y1178" t="e">
            <v>#N/A</v>
          </cell>
          <cell r="Z1178" t="e">
            <v>#N/A</v>
          </cell>
        </row>
        <row r="1179">
          <cell r="D1179" t="str">
            <v>MOANPC</v>
          </cell>
          <cell r="E1179" t="str">
            <v>Canuela</v>
          </cell>
          <cell r="F1179" t="str">
            <v>Un</v>
          </cell>
          <cell r="G1179">
            <v>1</v>
          </cell>
          <cell r="H1179">
            <v>12500</v>
          </cell>
          <cell r="I1179">
            <v>12500</v>
          </cell>
          <cell r="J1179">
            <v>0</v>
          </cell>
          <cell r="K1179">
            <v>0</v>
          </cell>
          <cell r="L1179">
            <v>0</v>
          </cell>
          <cell r="Y1179" t="e">
            <v>#N/A</v>
          </cell>
          <cell r="Z1179" t="e">
            <v>#N/A</v>
          </cell>
        </row>
        <row r="1180">
          <cell r="E1180" t="str">
            <v>VARIOS</v>
          </cell>
          <cell r="I1180">
            <v>950</v>
          </cell>
          <cell r="L1180">
            <v>95000</v>
          </cell>
          <cell r="Z1180" t="e">
            <v>#N/A</v>
          </cell>
        </row>
        <row r="1181">
          <cell r="D1181" t="str">
            <v>TC07H350</v>
          </cell>
          <cell r="E1181" t="str">
            <v>Herramienta</v>
          </cell>
          <cell r="F1181" t="str">
            <v>Gb</v>
          </cell>
          <cell r="G1181">
            <v>1</v>
          </cell>
          <cell r="H1181">
            <v>500</v>
          </cell>
          <cell r="I1181">
            <v>500</v>
          </cell>
          <cell r="J1181">
            <v>0</v>
          </cell>
          <cell r="K1181">
            <v>100</v>
          </cell>
          <cell r="L1181">
            <v>50000</v>
          </cell>
          <cell r="Y1181" t="e">
            <v>#N/A</v>
          </cell>
          <cell r="Z1181" t="e">
            <v>#N/A</v>
          </cell>
        </row>
        <row r="1182">
          <cell r="D1182" t="str">
            <v>AL07VCG</v>
          </cell>
          <cell r="E1182" t="str">
            <v>Vibrador para concretos a Gasolina</v>
          </cell>
          <cell r="F1182" t="str">
            <v>Hr</v>
          </cell>
          <cell r="G1182">
            <v>0.01</v>
          </cell>
          <cell r="H1182">
            <v>45000</v>
          </cell>
          <cell r="I1182">
            <v>450</v>
          </cell>
          <cell r="J1182">
            <v>0</v>
          </cell>
          <cell r="K1182">
            <v>1</v>
          </cell>
          <cell r="L1182">
            <v>45000</v>
          </cell>
          <cell r="Y1182" t="e">
            <v>#N/A</v>
          </cell>
          <cell r="Z1182" t="e">
            <v>#N/A</v>
          </cell>
        </row>
        <row r="1183">
          <cell r="E1183" t="str">
            <v>SUBTOTAL</v>
          </cell>
          <cell r="I1183">
            <v>202081</v>
          </cell>
          <cell r="L1183">
            <v>20208100</v>
          </cell>
          <cell r="Z1183" t="e">
            <v>#N/A</v>
          </cell>
        </row>
        <row r="1184">
          <cell r="E1184" t="str">
            <v>A.I.U</v>
          </cell>
          <cell r="I1184">
            <v>0</v>
          </cell>
          <cell r="L1184">
            <v>0</v>
          </cell>
          <cell r="Z1184">
            <v>0</v>
          </cell>
        </row>
        <row r="1185">
          <cell r="D1185" t="str">
            <v>AIUAADMON</v>
          </cell>
          <cell r="E1185" t="str">
            <v>Admon</v>
          </cell>
          <cell r="F1185">
            <v>0</v>
          </cell>
          <cell r="I1185">
            <v>0</v>
          </cell>
          <cell r="L1185">
            <v>0</v>
          </cell>
          <cell r="Z1185">
            <v>0</v>
          </cell>
        </row>
        <row r="1186">
          <cell r="D1186" t="str">
            <v>AIUAIMPRE</v>
          </cell>
          <cell r="E1186" t="str">
            <v>Imprevistos</v>
          </cell>
          <cell r="F1186">
            <v>0</v>
          </cell>
          <cell r="I1186">
            <v>0</v>
          </cell>
          <cell r="J1186">
            <v>0</v>
          </cell>
          <cell r="L1186">
            <v>0</v>
          </cell>
          <cell r="Z1186">
            <v>0</v>
          </cell>
        </row>
        <row r="1187">
          <cell r="D1187" t="str">
            <v>AIUAUTILI</v>
          </cell>
          <cell r="E1187" t="str">
            <v>Utilidad</v>
          </cell>
          <cell r="F1187">
            <v>0</v>
          </cell>
          <cell r="I1187">
            <v>0</v>
          </cell>
          <cell r="J1187">
            <v>0</v>
          </cell>
          <cell r="L1187">
            <v>0</v>
          </cell>
          <cell r="Z1187">
            <v>0</v>
          </cell>
        </row>
        <row r="1188">
          <cell r="D1188" t="str">
            <v>AIUAIVAUTI</v>
          </cell>
          <cell r="E1188" t="str">
            <v>IVA utilidad</v>
          </cell>
          <cell r="F1188">
            <v>0</v>
          </cell>
          <cell r="I1188">
            <v>0</v>
          </cell>
          <cell r="J1188">
            <v>0</v>
          </cell>
          <cell r="L1188">
            <v>0</v>
          </cell>
          <cell r="Z1188">
            <v>0</v>
          </cell>
        </row>
        <row r="1190">
          <cell r="E1190" t="str">
            <v>ITEM</v>
          </cell>
        </row>
        <row r="1191">
          <cell r="D1191" t="str">
            <v>ANPOCA</v>
          </cell>
          <cell r="E1191" t="str">
            <v>Pozo Cañuela</v>
          </cell>
          <cell r="G1191" t="str">
            <v>UN.</v>
          </cell>
          <cell r="H1191" t="str">
            <v>Un</v>
          </cell>
          <cell r="I1191" t="e">
            <v>#N/A</v>
          </cell>
          <cell r="K1191">
            <v>0</v>
          </cell>
          <cell r="L1191" t="e">
            <v>#N/A</v>
          </cell>
          <cell r="N1191" t="e">
            <v>#N/A</v>
          </cell>
          <cell r="O1191">
            <v>12500</v>
          </cell>
          <cell r="P1191">
            <v>350</v>
          </cell>
          <cell r="Q1191" t="e">
            <v>#N/A</v>
          </cell>
          <cell r="X1191" t="e">
            <v>#N/A</v>
          </cell>
          <cell r="Y1191" t="str">
            <v>Un</v>
          </cell>
          <cell r="Z1191" t="e">
            <v>#VALUE!</v>
          </cell>
          <cell r="AA1191" t="e">
            <v>#VALUE!</v>
          </cell>
          <cell r="AB1191" t="e">
            <v>#VALUE!</v>
          </cell>
          <cell r="AC1191" t="e">
            <v>#VALUE!</v>
          </cell>
        </row>
        <row r="1193">
          <cell r="D1193" t="str">
            <v>CODIGO</v>
          </cell>
          <cell r="E1193" t="str">
            <v>DESCRIPCION</v>
          </cell>
          <cell r="F1193" t="str">
            <v>UN</v>
          </cell>
          <cell r="G1193" t="str">
            <v>CANT</v>
          </cell>
          <cell r="H1193" t="str">
            <v>V/UNIT.</v>
          </cell>
          <cell r="I1193" t="str">
            <v>V/TOTAL</v>
          </cell>
          <cell r="K1193" t="str">
            <v>CANT TOTAL</v>
          </cell>
          <cell r="L1193" t="str">
            <v>Vr TOTAL</v>
          </cell>
          <cell r="Y1193" t="str">
            <v>CANT.</v>
          </cell>
          <cell r="Z1193" t="str">
            <v>V/TOTAL</v>
          </cell>
        </row>
        <row r="1194">
          <cell r="E1194" t="str">
            <v>MATERIALES</v>
          </cell>
          <cell r="I1194" t="e">
            <v>#N/A</v>
          </cell>
          <cell r="L1194" t="e">
            <v>#N/A</v>
          </cell>
          <cell r="Z1194" t="e">
            <v>#VALUE!</v>
          </cell>
        </row>
        <row r="1195">
          <cell r="D1195" t="str">
            <v>MA03CG</v>
          </cell>
          <cell r="E1195" t="str">
            <v>Cemento Gris</v>
          </cell>
          <cell r="F1195" t="str">
            <v>Kg</v>
          </cell>
          <cell r="G1195">
            <v>33.6</v>
          </cell>
          <cell r="H1195">
            <v>190</v>
          </cell>
          <cell r="I1195">
            <v>6384</v>
          </cell>
          <cell r="J1195">
            <v>0</v>
          </cell>
          <cell r="K1195">
            <v>0</v>
          </cell>
          <cell r="L1195">
            <v>0</v>
          </cell>
          <cell r="Y1195" t="e">
            <v>#VALUE!</v>
          </cell>
          <cell r="Z1195" t="e">
            <v>#VALUE!</v>
          </cell>
        </row>
        <row r="1196">
          <cell r="D1196" t="str">
            <v>MA02ALR</v>
          </cell>
          <cell r="E1196" t="str">
            <v>Arena Lavada Rio</v>
          </cell>
          <cell r="F1196" t="str">
            <v>M3</v>
          </cell>
          <cell r="G1196">
            <v>0.05</v>
          </cell>
          <cell r="H1196">
            <v>45000</v>
          </cell>
          <cell r="I1196">
            <v>2250</v>
          </cell>
          <cell r="J1196">
            <v>0</v>
          </cell>
          <cell r="K1196">
            <v>0</v>
          </cell>
          <cell r="L1196">
            <v>0</v>
          </cell>
          <cell r="Y1196" t="e">
            <v>#VALUE!</v>
          </cell>
          <cell r="Z1196" t="e">
            <v>#VALUE!</v>
          </cell>
        </row>
        <row r="1197">
          <cell r="D1197" t="str">
            <v>MA02GCR</v>
          </cell>
          <cell r="E1197" t="e">
            <v>#N/A</v>
          </cell>
          <cell r="F1197" t="e">
            <v>#N/A</v>
          </cell>
          <cell r="G1197">
            <v>0.11</v>
          </cell>
          <cell r="H1197" t="e">
            <v>#N/A</v>
          </cell>
          <cell r="I1197" t="e">
            <v>#N/A</v>
          </cell>
          <cell r="J1197" t="e">
            <v>#N/A</v>
          </cell>
          <cell r="K1197">
            <v>0</v>
          </cell>
          <cell r="L1197" t="e">
            <v>#N/A</v>
          </cell>
          <cell r="Y1197" t="e">
            <v>#VALUE!</v>
          </cell>
          <cell r="Z1197" t="e">
            <v>#VALUE!</v>
          </cell>
        </row>
        <row r="1199">
          <cell r="E1199" t="str">
            <v>MANO DE OBRA</v>
          </cell>
          <cell r="I1199">
            <v>12500</v>
          </cell>
          <cell r="J1199">
            <v>0</v>
          </cell>
          <cell r="L1199">
            <v>0</v>
          </cell>
          <cell r="Z1199" t="e">
            <v>#VALUE!</v>
          </cell>
        </row>
        <row r="1200">
          <cell r="D1200" t="str">
            <v>MOANPC</v>
          </cell>
          <cell r="E1200" t="str">
            <v>Canuela</v>
          </cell>
          <cell r="F1200" t="str">
            <v>Un</v>
          </cell>
          <cell r="G1200">
            <v>1</v>
          </cell>
          <cell r="H1200">
            <v>12500</v>
          </cell>
          <cell r="I1200">
            <v>12500</v>
          </cell>
          <cell r="J1200">
            <v>0</v>
          </cell>
          <cell r="K1200">
            <v>0</v>
          </cell>
          <cell r="L1200">
            <v>0</v>
          </cell>
          <cell r="Y1200" t="e">
            <v>#VALUE!</v>
          </cell>
          <cell r="Z1200" t="e">
            <v>#VALUE!</v>
          </cell>
        </row>
        <row r="1202">
          <cell r="E1202" t="str">
            <v>VARIOS</v>
          </cell>
          <cell r="I1202">
            <v>350</v>
          </cell>
          <cell r="L1202">
            <v>0</v>
          </cell>
          <cell r="Z1202" t="e">
            <v>#VALUE!</v>
          </cell>
        </row>
        <row r="1203">
          <cell r="D1203" t="str">
            <v>TC07H150</v>
          </cell>
          <cell r="E1203" t="str">
            <v>Herramienta</v>
          </cell>
          <cell r="F1203" t="str">
            <v>Gb</v>
          </cell>
          <cell r="G1203">
            <v>1</v>
          </cell>
          <cell r="H1203">
            <v>350</v>
          </cell>
          <cell r="I1203">
            <v>350</v>
          </cell>
          <cell r="J1203">
            <v>0</v>
          </cell>
          <cell r="K1203">
            <v>0</v>
          </cell>
          <cell r="L1203">
            <v>0</v>
          </cell>
          <cell r="Y1203" t="e">
            <v>#VALUE!</v>
          </cell>
          <cell r="Z1203" t="e">
            <v>#VALUE!</v>
          </cell>
        </row>
        <row r="1204">
          <cell r="D1204">
            <v>0</v>
          </cell>
        </row>
        <row r="1205">
          <cell r="E1205" t="str">
            <v>SUBTOTAL</v>
          </cell>
          <cell r="I1205" t="e">
            <v>#N/A</v>
          </cell>
          <cell r="L1205" t="e">
            <v>#N/A</v>
          </cell>
          <cell r="Z1205" t="e">
            <v>#VALUE!</v>
          </cell>
        </row>
        <row r="1206">
          <cell r="E1206" t="str">
            <v>A.I.U</v>
          </cell>
          <cell r="I1206" t="e">
            <v>#N/A</v>
          </cell>
          <cell r="L1206" t="e">
            <v>#N/A</v>
          </cell>
          <cell r="Z1206" t="e">
            <v>#N/A</v>
          </cell>
        </row>
        <row r="1207">
          <cell r="D1207" t="str">
            <v>AIUAADMON</v>
          </cell>
          <cell r="E1207" t="str">
            <v>Admon</v>
          </cell>
          <cell r="F1207">
            <v>0</v>
          </cell>
          <cell r="I1207" t="e">
            <v>#N/A</v>
          </cell>
          <cell r="L1207" t="e">
            <v>#N/A</v>
          </cell>
          <cell r="Z1207" t="e">
            <v>#N/A</v>
          </cell>
        </row>
        <row r="1208">
          <cell r="D1208" t="str">
            <v>AIUAIMPRE</v>
          </cell>
          <cell r="E1208" t="str">
            <v>Imprevistos</v>
          </cell>
          <cell r="F1208">
            <v>0</v>
          </cell>
          <cell r="I1208" t="e">
            <v>#N/A</v>
          </cell>
          <cell r="J1208">
            <v>0</v>
          </cell>
          <cell r="L1208" t="e">
            <v>#N/A</v>
          </cell>
          <cell r="Z1208" t="e">
            <v>#N/A</v>
          </cell>
        </row>
        <row r="1209">
          <cell r="D1209" t="str">
            <v>AIUAUTILI</v>
          </cell>
          <cell r="E1209" t="str">
            <v>Utilidad</v>
          </cell>
          <cell r="F1209">
            <v>0</v>
          </cell>
          <cell r="I1209" t="e">
            <v>#N/A</v>
          </cell>
          <cell r="J1209">
            <v>0</v>
          </cell>
          <cell r="L1209" t="e">
            <v>#N/A</v>
          </cell>
          <cell r="Z1209" t="e">
            <v>#N/A</v>
          </cell>
        </row>
        <row r="1210">
          <cell r="D1210" t="str">
            <v>AIUAIVAUTI</v>
          </cell>
          <cell r="E1210" t="str">
            <v>IVA utilidad</v>
          </cell>
          <cell r="F1210">
            <v>0</v>
          </cell>
          <cell r="I1210" t="e">
            <v>#N/A</v>
          </cell>
          <cell r="J1210">
            <v>0</v>
          </cell>
          <cell r="L1210" t="e">
            <v>#N/A</v>
          </cell>
          <cell r="Z1210" t="e">
            <v>#N/A</v>
          </cell>
        </row>
        <row r="1212">
          <cell r="E1212" t="str">
            <v>ITEM</v>
          </cell>
        </row>
        <row r="1213">
          <cell r="D1213" t="str">
            <v>ANPOITA</v>
          </cell>
          <cell r="E1213" t="str">
            <v>Inst. Placa Prefabricada Tapa Pozos y Camaras</v>
          </cell>
          <cell r="G1213" t="str">
            <v>UN.</v>
          </cell>
          <cell r="H1213" t="str">
            <v>Un</v>
          </cell>
          <cell r="I1213">
            <v>87605</v>
          </cell>
          <cell r="K1213">
            <v>102</v>
          </cell>
          <cell r="L1213">
            <v>8935710</v>
          </cell>
          <cell r="N1213">
            <v>8605</v>
          </cell>
          <cell r="O1213">
            <v>60000</v>
          </cell>
          <cell r="P1213">
            <v>19000</v>
          </cell>
          <cell r="Q1213">
            <v>0</v>
          </cell>
          <cell r="X1213">
            <v>8935710</v>
          </cell>
          <cell r="Y1213" t="str">
            <v>Un</v>
          </cell>
          <cell r="Z1213" t="e">
            <v>#N/A</v>
          </cell>
          <cell r="AA1213" t="e">
            <v>#N/A</v>
          </cell>
          <cell r="AB1213" t="e">
            <v>#N/A</v>
          </cell>
          <cell r="AC1213" t="e">
            <v>#N/A</v>
          </cell>
        </row>
        <row r="1215">
          <cell r="D1215" t="str">
            <v>CODIGO</v>
          </cell>
          <cell r="E1215" t="str">
            <v>DESCRIPCION</v>
          </cell>
          <cell r="F1215" t="str">
            <v>UN</v>
          </cell>
          <cell r="G1215" t="str">
            <v>CANT</v>
          </cell>
          <cell r="H1215" t="str">
            <v>V/UNIT.</v>
          </cell>
          <cell r="I1215" t="str">
            <v>V/TOTAL</v>
          </cell>
          <cell r="K1215" t="str">
            <v>CANT TOTAL</v>
          </cell>
          <cell r="L1215" t="str">
            <v>Vr TOTAL</v>
          </cell>
          <cell r="Y1215" t="str">
            <v>CANT.</v>
          </cell>
          <cell r="Z1215" t="str">
            <v>V/TOTAL</v>
          </cell>
        </row>
        <row r="1216">
          <cell r="E1216" t="str">
            <v>MATERIALES</v>
          </cell>
          <cell r="I1216">
            <v>8605</v>
          </cell>
          <cell r="L1216">
            <v>877710</v>
          </cell>
          <cell r="Z1216" t="e">
            <v>#N/A</v>
          </cell>
        </row>
        <row r="1217">
          <cell r="D1217" t="str">
            <v>MA26GE16NT</v>
          </cell>
          <cell r="E1217" t="str">
            <v>Geotextil 1600 NT</v>
          </cell>
          <cell r="F1217" t="str">
            <v>m2</v>
          </cell>
          <cell r="G1217">
            <v>1.5</v>
          </cell>
          <cell r="H1217">
            <v>2150</v>
          </cell>
          <cell r="I1217">
            <v>3225</v>
          </cell>
          <cell r="J1217">
            <v>0</v>
          </cell>
          <cell r="K1217">
            <v>153</v>
          </cell>
          <cell r="L1217">
            <v>328950</v>
          </cell>
          <cell r="Y1217" t="e">
            <v>#N/A</v>
          </cell>
          <cell r="Z1217" t="e">
            <v>#N/A</v>
          </cell>
        </row>
        <row r="1218">
          <cell r="D1218" t="str">
            <v>MA02ALR</v>
          </cell>
          <cell r="E1218" t="str">
            <v>Arena Lavada Rio</v>
          </cell>
          <cell r="F1218" t="str">
            <v>M3</v>
          </cell>
          <cell r="G1218">
            <v>0.09</v>
          </cell>
          <cell r="H1218">
            <v>45000</v>
          </cell>
          <cell r="I1218">
            <v>4050</v>
          </cell>
          <cell r="J1218">
            <v>0</v>
          </cell>
          <cell r="K1218">
            <v>9.18</v>
          </cell>
          <cell r="L1218">
            <v>413100</v>
          </cell>
          <cell r="Y1218" t="e">
            <v>#N/A</v>
          </cell>
          <cell r="Z1218" t="e">
            <v>#N/A</v>
          </cell>
        </row>
        <row r="1219">
          <cell r="D1219" t="str">
            <v>MA03CG</v>
          </cell>
          <cell r="E1219" t="str">
            <v>Cemento Gris</v>
          </cell>
          <cell r="F1219" t="str">
            <v>Kg</v>
          </cell>
          <cell r="G1219">
            <v>7</v>
          </cell>
          <cell r="H1219">
            <v>190</v>
          </cell>
          <cell r="I1219">
            <v>1330</v>
          </cell>
          <cell r="J1219">
            <v>0</v>
          </cell>
          <cell r="K1219">
            <v>714</v>
          </cell>
          <cell r="L1219">
            <v>135660</v>
          </cell>
          <cell r="Y1219" t="e">
            <v>#N/A</v>
          </cell>
          <cell r="Z1219" t="e">
            <v>#N/A</v>
          </cell>
        </row>
        <row r="1220">
          <cell r="I1220">
            <v>0</v>
          </cell>
          <cell r="J1220">
            <v>0</v>
          </cell>
          <cell r="K1220">
            <v>0</v>
          </cell>
          <cell r="L1220">
            <v>0</v>
          </cell>
          <cell r="Y1220">
            <v>0</v>
          </cell>
          <cell r="Z1220">
            <v>0</v>
          </cell>
        </row>
        <row r="1222">
          <cell r="E1222" t="str">
            <v>MANO DE OBRA</v>
          </cell>
          <cell r="I1222">
            <v>60000</v>
          </cell>
          <cell r="J1222">
            <v>0</v>
          </cell>
          <cell r="L1222">
            <v>6120000</v>
          </cell>
          <cell r="Z1222" t="e">
            <v>#N/A</v>
          </cell>
        </row>
        <row r="1223">
          <cell r="D1223" t="str">
            <v>MOANPT</v>
          </cell>
          <cell r="E1223" t="str">
            <v>Tapa</v>
          </cell>
          <cell r="F1223" t="str">
            <v>Un</v>
          </cell>
          <cell r="G1223">
            <v>1</v>
          </cell>
          <cell r="H1223">
            <v>60000</v>
          </cell>
          <cell r="I1223">
            <v>60000</v>
          </cell>
          <cell r="J1223">
            <v>0</v>
          </cell>
          <cell r="K1223">
            <v>102</v>
          </cell>
          <cell r="L1223">
            <v>6120000</v>
          </cell>
          <cell r="Y1223" t="e">
            <v>#N/A</v>
          </cell>
          <cell r="Z1223" t="e">
            <v>#N/A</v>
          </cell>
        </row>
        <row r="1225">
          <cell r="E1225" t="str">
            <v>VARIOS</v>
          </cell>
          <cell r="I1225">
            <v>19000</v>
          </cell>
          <cell r="L1225">
            <v>1938000</v>
          </cell>
          <cell r="Z1225" t="e">
            <v>#N/A</v>
          </cell>
        </row>
        <row r="1226">
          <cell r="D1226" t="str">
            <v>AL04RETRLL</v>
          </cell>
          <cell r="E1226" t="str">
            <v xml:space="preserve">Retro Llanta </v>
          </cell>
          <cell r="F1226" t="str">
            <v>Hr</v>
          </cell>
          <cell r="G1226">
            <v>0.5</v>
          </cell>
          <cell r="H1226">
            <v>38000</v>
          </cell>
          <cell r="I1226">
            <v>19000</v>
          </cell>
          <cell r="J1226">
            <v>0</v>
          </cell>
          <cell r="K1226">
            <v>51</v>
          </cell>
          <cell r="L1226">
            <v>1938000</v>
          </cell>
          <cell r="Y1226" t="e">
            <v>#N/A</v>
          </cell>
          <cell r="Z1226" t="e">
            <v>#N/A</v>
          </cell>
        </row>
        <row r="1227">
          <cell r="D1227">
            <v>0</v>
          </cell>
        </row>
        <row r="1228">
          <cell r="E1228" t="str">
            <v>SUBTOTAL</v>
          </cell>
          <cell r="I1228">
            <v>87605</v>
          </cell>
          <cell r="L1228">
            <v>8935710</v>
          </cell>
          <cell r="Z1228" t="e">
            <v>#N/A</v>
          </cell>
        </row>
        <row r="1229">
          <cell r="E1229" t="str">
            <v>A.I.U</v>
          </cell>
          <cell r="I1229">
            <v>0</v>
          </cell>
          <cell r="L1229">
            <v>0</v>
          </cell>
          <cell r="Z1229">
            <v>0</v>
          </cell>
        </row>
        <row r="1230">
          <cell r="D1230" t="str">
            <v>AIUAADMON</v>
          </cell>
          <cell r="E1230" t="str">
            <v>Admon</v>
          </cell>
          <cell r="F1230">
            <v>0</v>
          </cell>
          <cell r="I1230">
            <v>0</v>
          </cell>
          <cell r="L1230">
            <v>0</v>
          </cell>
          <cell r="Z1230">
            <v>0</v>
          </cell>
        </row>
        <row r="1231">
          <cell r="D1231" t="str">
            <v>AIUAIMPRE</v>
          </cell>
          <cell r="E1231" t="str">
            <v>Imprevistos</v>
          </cell>
          <cell r="F1231">
            <v>0</v>
          </cell>
          <cell r="I1231">
            <v>0</v>
          </cell>
          <cell r="J1231">
            <v>0</v>
          </cell>
          <cell r="L1231">
            <v>0</v>
          </cell>
          <cell r="Z1231">
            <v>0</v>
          </cell>
        </row>
        <row r="1232">
          <cell r="D1232" t="str">
            <v>AIUAUTILI</v>
          </cell>
          <cell r="E1232" t="str">
            <v>Utilidad</v>
          </cell>
          <cell r="F1232">
            <v>0</v>
          </cell>
          <cell r="I1232">
            <v>0</v>
          </cell>
          <cell r="J1232">
            <v>0</v>
          </cell>
          <cell r="L1232">
            <v>0</v>
          </cell>
          <cell r="Z1232">
            <v>0</v>
          </cell>
        </row>
        <row r="1233">
          <cell r="D1233" t="str">
            <v>AIUAIVAUTI</v>
          </cell>
          <cell r="E1233" t="str">
            <v>IVA utilidad</v>
          </cell>
          <cell r="F1233">
            <v>0</v>
          </cell>
          <cell r="I1233">
            <v>0</v>
          </cell>
          <cell r="J1233">
            <v>0</v>
          </cell>
          <cell r="L1233">
            <v>0</v>
          </cell>
          <cell r="Z1233">
            <v>0</v>
          </cell>
        </row>
        <row r="1235">
          <cell r="E1235" t="str">
            <v>ITEM</v>
          </cell>
        </row>
        <row r="1236">
          <cell r="D1236" t="str">
            <v>ANPOSTA</v>
          </cell>
          <cell r="E1236" t="str">
            <v>Sumin. Placa Prefabricada Tapa Pozos y Camaras</v>
          </cell>
          <cell r="G1236" t="str">
            <v>UN.</v>
          </cell>
          <cell r="H1236" t="str">
            <v>Un</v>
          </cell>
          <cell r="I1236">
            <v>465000</v>
          </cell>
          <cell r="K1236">
            <v>101</v>
          </cell>
          <cell r="L1236">
            <v>46965000</v>
          </cell>
          <cell r="N1236">
            <v>465000</v>
          </cell>
          <cell r="O1236">
            <v>0</v>
          </cell>
          <cell r="P1236">
            <v>0</v>
          </cell>
          <cell r="Q1236">
            <v>0</v>
          </cell>
          <cell r="X1236">
            <v>46965000</v>
          </cell>
          <cell r="Y1236" t="str">
            <v>Un</v>
          </cell>
          <cell r="Z1236" t="e">
            <v>#N/A</v>
          </cell>
          <cell r="AA1236" t="e">
            <v>#N/A</v>
          </cell>
          <cell r="AB1236">
            <v>0</v>
          </cell>
          <cell r="AC1236">
            <v>0</v>
          </cell>
        </row>
        <row r="1238">
          <cell r="D1238" t="str">
            <v>CODIGO</v>
          </cell>
          <cell r="E1238" t="str">
            <v>DESCRIPCION</v>
          </cell>
          <cell r="F1238" t="str">
            <v>UN</v>
          </cell>
          <cell r="G1238" t="str">
            <v>CANT</v>
          </cell>
          <cell r="H1238" t="str">
            <v>V/UNIT.</v>
          </cell>
          <cell r="I1238" t="str">
            <v>V/TOTAL</v>
          </cell>
          <cell r="K1238" t="str">
            <v>CANT TOTAL</v>
          </cell>
          <cell r="L1238" t="str">
            <v>Vr TOTAL</v>
          </cell>
          <cell r="Y1238" t="str">
            <v>CANT.</v>
          </cell>
          <cell r="Z1238" t="str">
            <v>V/TOTAL</v>
          </cell>
        </row>
        <row r="1239">
          <cell r="E1239" t="str">
            <v>MATERIALES</v>
          </cell>
          <cell r="I1239">
            <v>465000</v>
          </cell>
          <cell r="L1239">
            <v>46965000</v>
          </cell>
          <cell r="Z1239" t="e">
            <v>#N/A</v>
          </cell>
        </row>
        <row r="1240">
          <cell r="D1240" t="str">
            <v>MA05PLPOIN</v>
          </cell>
          <cell r="E1240" t="str">
            <v>Placa Prefabricada Pozo de Inspeccion e=0.25</v>
          </cell>
          <cell r="F1240" t="str">
            <v>Un</v>
          </cell>
          <cell r="G1240">
            <v>1</v>
          </cell>
          <cell r="H1240">
            <v>465000</v>
          </cell>
          <cell r="I1240">
            <v>465000</v>
          </cell>
          <cell r="J1240">
            <v>0</v>
          </cell>
          <cell r="K1240">
            <v>101</v>
          </cell>
          <cell r="L1240">
            <v>46965000</v>
          </cell>
          <cell r="Y1240" t="e">
            <v>#N/A</v>
          </cell>
          <cell r="Z1240" t="e">
            <v>#N/A</v>
          </cell>
        </row>
        <row r="1245">
          <cell r="E1245" t="str">
            <v>MANO DE OBRA</v>
          </cell>
          <cell r="I1245">
            <v>0</v>
          </cell>
          <cell r="J1245">
            <v>0</v>
          </cell>
          <cell r="L1245">
            <v>0</v>
          </cell>
          <cell r="Z1245">
            <v>0</v>
          </cell>
        </row>
        <row r="1246">
          <cell r="I1246">
            <v>0</v>
          </cell>
          <cell r="J1246">
            <v>0</v>
          </cell>
          <cell r="K1246">
            <v>0</v>
          </cell>
          <cell r="L1246">
            <v>0</v>
          </cell>
          <cell r="Y1246">
            <v>0</v>
          </cell>
          <cell r="Z1246">
            <v>0</v>
          </cell>
        </row>
        <row r="1248">
          <cell r="E1248" t="str">
            <v>VARIOS</v>
          </cell>
          <cell r="I1248">
            <v>0</v>
          </cell>
          <cell r="L1248">
            <v>0</v>
          </cell>
          <cell r="Z1248">
            <v>0</v>
          </cell>
        </row>
        <row r="1249">
          <cell r="I1249">
            <v>0</v>
          </cell>
          <cell r="J1249">
            <v>0</v>
          </cell>
          <cell r="K1249">
            <v>0</v>
          </cell>
          <cell r="L1249">
            <v>0</v>
          </cell>
          <cell r="Y1249">
            <v>0</v>
          </cell>
          <cell r="Z1249">
            <v>0</v>
          </cell>
        </row>
        <row r="1250">
          <cell r="D1250">
            <v>0</v>
          </cell>
        </row>
        <row r="1251">
          <cell r="E1251" t="str">
            <v>SUBTOTAL</v>
          </cell>
          <cell r="I1251">
            <v>465000</v>
          </cell>
          <cell r="L1251">
            <v>46965000</v>
          </cell>
          <cell r="Z1251" t="e">
            <v>#N/A</v>
          </cell>
        </row>
        <row r="1252">
          <cell r="E1252" t="str">
            <v>A.I.U</v>
          </cell>
          <cell r="I1252">
            <v>0</v>
          </cell>
          <cell r="L1252">
            <v>0</v>
          </cell>
          <cell r="Z1252">
            <v>0</v>
          </cell>
        </row>
        <row r="1253">
          <cell r="D1253" t="str">
            <v>AIUAADMON</v>
          </cell>
          <cell r="E1253" t="str">
            <v>Admon</v>
          </cell>
          <cell r="F1253">
            <v>0</v>
          </cell>
          <cell r="I1253">
            <v>0</v>
          </cell>
          <cell r="L1253">
            <v>0</v>
          </cell>
          <cell r="Z1253">
            <v>0</v>
          </cell>
        </row>
        <row r="1254">
          <cell r="D1254" t="str">
            <v>AIUAIMPRE</v>
          </cell>
          <cell r="E1254" t="str">
            <v>Imprevistos</v>
          </cell>
          <cell r="F1254">
            <v>0</v>
          </cell>
          <cell r="I1254">
            <v>0</v>
          </cell>
          <cell r="J1254">
            <v>0</v>
          </cell>
          <cell r="L1254">
            <v>0</v>
          </cell>
          <cell r="Z1254">
            <v>0</v>
          </cell>
        </row>
        <row r="1255">
          <cell r="D1255" t="str">
            <v>AIUAUTILI</v>
          </cell>
          <cell r="E1255" t="str">
            <v>Utilidad</v>
          </cell>
          <cell r="F1255">
            <v>0</v>
          </cell>
          <cell r="I1255">
            <v>0</v>
          </cell>
          <cell r="J1255">
            <v>0</v>
          </cell>
          <cell r="L1255">
            <v>0</v>
          </cell>
          <cell r="Z1255">
            <v>0</v>
          </cell>
        </row>
        <row r="1256">
          <cell r="D1256" t="str">
            <v>AIUAIVAUTI</v>
          </cell>
          <cell r="E1256" t="str">
            <v>IVA utilidad</v>
          </cell>
          <cell r="F1256">
            <v>0</v>
          </cell>
          <cell r="I1256">
            <v>0</v>
          </cell>
          <cell r="J1256">
            <v>0</v>
          </cell>
          <cell r="L1256">
            <v>0</v>
          </cell>
          <cell r="Z1256">
            <v>0</v>
          </cell>
        </row>
        <row r="1258">
          <cell r="E1258" t="str">
            <v>ITEM</v>
          </cell>
        </row>
        <row r="1259">
          <cell r="D1259" t="str">
            <v>ANCCB12</v>
          </cell>
          <cell r="E1259" t="str">
            <v>Camara Caida Bajante 12"</v>
          </cell>
          <cell r="G1259" t="str">
            <v>UN.</v>
          </cell>
          <cell r="H1259" t="str">
            <v>Un</v>
          </cell>
          <cell r="I1259">
            <v>121919</v>
          </cell>
          <cell r="K1259">
            <v>8</v>
          </cell>
          <cell r="L1259">
            <v>975352</v>
          </cell>
          <cell r="N1259">
            <v>91069</v>
          </cell>
          <cell r="O1259">
            <v>30000</v>
          </cell>
          <cell r="P1259">
            <v>850</v>
          </cell>
          <cell r="Q1259">
            <v>0</v>
          </cell>
          <cell r="X1259">
            <v>975352</v>
          </cell>
          <cell r="Y1259" t="str">
            <v>Un</v>
          </cell>
          <cell r="Z1259" t="e">
            <v>#N/A</v>
          </cell>
          <cell r="AA1259" t="e">
            <v>#N/A</v>
          </cell>
          <cell r="AB1259" t="e">
            <v>#N/A</v>
          </cell>
          <cell r="AC1259" t="e">
            <v>#N/A</v>
          </cell>
        </row>
        <row r="1261">
          <cell r="D1261" t="str">
            <v>CODIGO</v>
          </cell>
          <cell r="E1261" t="str">
            <v>DESCRIPCION</v>
          </cell>
          <cell r="F1261" t="str">
            <v>UN</v>
          </cell>
          <cell r="G1261" t="str">
            <v>CANT</v>
          </cell>
          <cell r="H1261" t="str">
            <v>V/UNIT.</v>
          </cell>
          <cell r="I1261" t="str">
            <v>V/TOTAL</v>
          </cell>
          <cell r="K1261" t="str">
            <v>CANT TOTAL</v>
          </cell>
          <cell r="L1261" t="str">
            <v>Vr TOTAL</v>
          </cell>
          <cell r="Y1261" t="str">
            <v>CANT.</v>
          </cell>
          <cell r="Z1261" t="str">
            <v>V/TOTAL</v>
          </cell>
        </row>
        <row r="1262">
          <cell r="E1262" t="str">
            <v>MATERIALES</v>
          </cell>
          <cell r="I1262">
            <v>91069</v>
          </cell>
          <cell r="L1262">
            <v>728552</v>
          </cell>
          <cell r="Z1262" t="e">
            <v>#N/A</v>
          </cell>
        </row>
        <row r="1263">
          <cell r="D1263" t="str">
            <v>MA46CSC112</v>
          </cell>
          <cell r="E1263" t="str">
            <v>Tuberia concreto TCS-CL1 12</v>
          </cell>
          <cell r="F1263" t="str">
            <v>ml</v>
          </cell>
          <cell r="G1263">
            <v>1</v>
          </cell>
          <cell r="H1263">
            <v>21716.36</v>
          </cell>
          <cell r="I1263">
            <v>21716</v>
          </cell>
          <cell r="J1263">
            <v>0</v>
          </cell>
          <cell r="K1263">
            <v>8</v>
          </cell>
          <cell r="L1263">
            <v>173730.88</v>
          </cell>
          <cell r="Y1263" t="e">
            <v>#N/A</v>
          </cell>
          <cell r="Z1263" t="e">
            <v>#N/A</v>
          </cell>
        </row>
        <row r="1264">
          <cell r="D1264" t="str">
            <v>MA04C3</v>
          </cell>
          <cell r="E1264" t="str">
            <v xml:space="preserve">Concreto 3000 psi </v>
          </cell>
          <cell r="F1264" t="str">
            <v>M3</v>
          </cell>
          <cell r="G1264">
            <v>0.34</v>
          </cell>
          <cell r="H1264">
            <v>202575</v>
          </cell>
          <cell r="I1264">
            <v>68876</v>
          </cell>
          <cell r="J1264">
            <v>0</v>
          </cell>
          <cell r="K1264">
            <v>2.72</v>
          </cell>
          <cell r="L1264">
            <v>551004</v>
          </cell>
          <cell r="Y1264" t="e">
            <v>#N/A</v>
          </cell>
          <cell r="Z1264" t="e">
            <v>#N/A</v>
          </cell>
        </row>
        <row r="1265">
          <cell r="D1265" t="str">
            <v>MA01A3</v>
          </cell>
          <cell r="E1265" t="str">
            <v>Acero A-3</v>
          </cell>
          <cell r="F1265" t="str">
            <v>Kg</v>
          </cell>
          <cell r="G1265">
            <v>0.34</v>
          </cell>
          <cell r="H1265">
            <v>1404</v>
          </cell>
          <cell r="I1265">
            <v>477</v>
          </cell>
          <cell r="J1265">
            <v>0</v>
          </cell>
          <cell r="K1265">
            <v>2.72</v>
          </cell>
          <cell r="L1265">
            <v>3818.88</v>
          </cell>
          <cell r="Y1265" t="e">
            <v>#N/A</v>
          </cell>
          <cell r="Z1265" t="e">
            <v>#N/A</v>
          </cell>
        </row>
        <row r="1266">
          <cell r="I1266">
            <v>0</v>
          </cell>
          <cell r="J1266">
            <v>0</v>
          </cell>
          <cell r="K1266">
            <v>0</v>
          </cell>
          <cell r="L1266">
            <v>0</v>
          </cell>
          <cell r="Y1266">
            <v>0</v>
          </cell>
          <cell r="Z1266">
            <v>0</v>
          </cell>
        </row>
        <row r="1267">
          <cell r="I1267">
            <v>0</v>
          </cell>
          <cell r="J1267">
            <v>0</v>
          </cell>
          <cell r="K1267">
            <v>0</v>
          </cell>
          <cell r="L1267">
            <v>0</v>
          </cell>
          <cell r="Y1267">
            <v>0</v>
          </cell>
          <cell r="Z1267">
            <v>0</v>
          </cell>
        </row>
        <row r="1268">
          <cell r="I1268">
            <v>0</v>
          </cell>
          <cell r="J1268">
            <v>0</v>
          </cell>
          <cell r="K1268">
            <v>0</v>
          </cell>
          <cell r="L1268">
            <v>0</v>
          </cell>
          <cell r="Y1268">
            <v>0</v>
          </cell>
          <cell r="Z1268">
            <v>0</v>
          </cell>
        </row>
        <row r="1269">
          <cell r="E1269" t="str">
            <v>MANO DE OBRA</v>
          </cell>
          <cell r="I1269">
            <v>30000</v>
          </cell>
          <cell r="J1269">
            <v>0</v>
          </cell>
          <cell r="L1269">
            <v>240000</v>
          </cell>
          <cell r="Z1269" t="e">
            <v>#N/A</v>
          </cell>
        </row>
        <row r="1270">
          <cell r="D1270" t="str">
            <v>MOANCCB</v>
          </cell>
          <cell r="E1270" t="str">
            <v>Camara Caida Bajante Tuberia</v>
          </cell>
          <cell r="F1270" t="str">
            <v>m3</v>
          </cell>
          <cell r="G1270">
            <v>1.2</v>
          </cell>
          <cell r="H1270">
            <v>25000</v>
          </cell>
          <cell r="I1270">
            <v>30000</v>
          </cell>
          <cell r="J1270">
            <v>0</v>
          </cell>
          <cell r="K1270">
            <v>9.6</v>
          </cell>
          <cell r="L1270">
            <v>240000</v>
          </cell>
          <cell r="Y1270" t="e">
            <v>#N/A</v>
          </cell>
          <cell r="Z1270" t="e">
            <v>#N/A</v>
          </cell>
        </row>
        <row r="1272">
          <cell r="E1272" t="str">
            <v>VARIOS</v>
          </cell>
          <cell r="I1272">
            <v>850</v>
          </cell>
          <cell r="L1272">
            <v>6800</v>
          </cell>
          <cell r="Z1272" t="e">
            <v>#N/A</v>
          </cell>
        </row>
        <row r="1273">
          <cell r="D1273" t="str">
            <v>TC07H800</v>
          </cell>
          <cell r="E1273" t="str">
            <v>Herramienta Menor</v>
          </cell>
          <cell r="F1273" t="str">
            <v>Gb</v>
          </cell>
          <cell r="G1273">
            <v>0.5</v>
          </cell>
          <cell r="H1273">
            <v>800</v>
          </cell>
          <cell r="I1273">
            <v>400</v>
          </cell>
          <cell r="J1273">
            <v>0</v>
          </cell>
          <cell r="K1273">
            <v>4</v>
          </cell>
          <cell r="L1273">
            <v>3200</v>
          </cell>
          <cell r="Y1273" t="e">
            <v>#N/A</v>
          </cell>
          <cell r="Z1273" t="e">
            <v>#N/A</v>
          </cell>
        </row>
        <row r="1274">
          <cell r="D1274" t="str">
            <v>AL07VCG</v>
          </cell>
          <cell r="E1274" t="str">
            <v>Vibrador para concretos a Gasolina</v>
          </cell>
          <cell r="F1274" t="str">
            <v>Hr</v>
          </cell>
          <cell r="G1274">
            <v>0.01</v>
          </cell>
          <cell r="H1274">
            <v>45000</v>
          </cell>
          <cell r="I1274">
            <v>450</v>
          </cell>
          <cell r="J1274">
            <v>0</v>
          </cell>
          <cell r="K1274">
            <v>0.08</v>
          </cell>
          <cell r="L1274">
            <v>3600</v>
          </cell>
          <cell r="Y1274" t="e">
            <v>#N/A</v>
          </cell>
          <cell r="Z1274" t="e">
            <v>#N/A</v>
          </cell>
        </row>
        <row r="1275">
          <cell r="E1275" t="str">
            <v>SUBTOTAL</v>
          </cell>
          <cell r="I1275">
            <v>121919</v>
          </cell>
          <cell r="L1275">
            <v>975352</v>
          </cell>
          <cell r="Z1275" t="e">
            <v>#N/A</v>
          </cell>
        </row>
        <row r="1276">
          <cell r="E1276" t="str">
            <v>A.I.U</v>
          </cell>
          <cell r="I1276">
            <v>0</v>
          </cell>
          <cell r="L1276">
            <v>0</v>
          </cell>
          <cell r="Z1276">
            <v>0</v>
          </cell>
        </row>
        <row r="1277">
          <cell r="D1277" t="str">
            <v>AIUAADMON</v>
          </cell>
          <cell r="E1277" t="str">
            <v>Admon</v>
          </cell>
          <cell r="F1277">
            <v>0</v>
          </cell>
          <cell r="I1277">
            <v>0</v>
          </cell>
          <cell r="L1277">
            <v>0</v>
          </cell>
          <cell r="Z1277">
            <v>0</v>
          </cell>
        </row>
        <row r="1278">
          <cell r="D1278" t="str">
            <v>AIUAIMPRE</v>
          </cell>
          <cell r="E1278" t="str">
            <v>Imprevistos</v>
          </cell>
          <cell r="F1278">
            <v>0</v>
          </cell>
          <cell r="I1278">
            <v>0</v>
          </cell>
          <cell r="J1278">
            <v>0</v>
          </cell>
          <cell r="L1278">
            <v>0</v>
          </cell>
          <cell r="Z1278">
            <v>0</v>
          </cell>
        </row>
        <row r="1279">
          <cell r="D1279" t="str">
            <v>AIUAUTILI</v>
          </cell>
          <cell r="E1279" t="str">
            <v>Utilidad</v>
          </cell>
          <cell r="F1279">
            <v>0</v>
          </cell>
          <cell r="I1279">
            <v>0</v>
          </cell>
          <cell r="J1279">
            <v>0</v>
          </cell>
          <cell r="L1279">
            <v>0</v>
          </cell>
          <cell r="Z1279">
            <v>0</v>
          </cell>
        </row>
        <row r="1280">
          <cell r="D1280" t="str">
            <v>AIUAIVAUTI</v>
          </cell>
          <cell r="E1280" t="str">
            <v>IVA utilidad</v>
          </cell>
          <cell r="F1280">
            <v>0</v>
          </cell>
          <cell r="I1280">
            <v>0</v>
          </cell>
          <cell r="J1280">
            <v>0</v>
          </cell>
          <cell r="L1280">
            <v>0</v>
          </cell>
          <cell r="Z1280">
            <v>0</v>
          </cell>
        </row>
        <row r="1282">
          <cell r="E1282" t="str">
            <v>ITEM</v>
          </cell>
        </row>
        <row r="1283">
          <cell r="D1283" t="str">
            <v>ANCCB16</v>
          </cell>
          <cell r="E1283" t="str">
            <v>Camara Caida Bajante 16"</v>
          </cell>
          <cell r="G1283" t="str">
            <v>UN.</v>
          </cell>
          <cell r="H1283" t="str">
            <v>Un</v>
          </cell>
          <cell r="I1283">
            <v>164964</v>
          </cell>
          <cell r="K1283">
            <v>3</v>
          </cell>
          <cell r="L1283">
            <v>494892</v>
          </cell>
          <cell r="N1283">
            <v>129114</v>
          </cell>
          <cell r="O1283">
            <v>35000</v>
          </cell>
          <cell r="P1283">
            <v>850</v>
          </cell>
          <cell r="Q1283">
            <v>0</v>
          </cell>
          <cell r="X1283">
            <v>494892</v>
          </cell>
          <cell r="Y1283" t="str">
            <v>Un</v>
          </cell>
          <cell r="Z1283" t="e">
            <v>#N/A</v>
          </cell>
          <cell r="AA1283" t="e">
            <v>#N/A</v>
          </cell>
          <cell r="AB1283" t="e">
            <v>#N/A</v>
          </cell>
          <cell r="AC1283" t="e">
            <v>#N/A</v>
          </cell>
        </row>
        <row r="1285">
          <cell r="D1285" t="str">
            <v>CODIGO</v>
          </cell>
          <cell r="E1285" t="str">
            <v>DESCRIPCION</v>
          </cell>
          <cell r="F1285" t="str">
            <v>UN</v>
          </cell>
          <cell r="G1285" t="str">
            <v>CANT</v>
          </cell>
          <cell r="H1285" t="str">
            <v>V/UNIT.</v>
          </cell>
          <cell r="I1285" t="str">
            <v>V/TOTAL</v>
          </cell>
          <cell r="K1285" t="str">
            <v>CANT TOTAL</v>
          </cell>
          <cell r="L1285" t="str">
            <v>Vr TOTAL</v>
          </cell>
          <cell r="Y1285" t="str">
            <v>CANT.</v>
          </cell>
          <cell r="Z1285" t="str">
            <v>V/TOTAL</v>
          </cell>
        </row>
        <row r="1286">
          <cell r="E1286" t="str">
            <v>MATERIALES</v>
          </cell>
          <cell r="I1286">
            <v>129114</v>
          </cell>
          <cell r="L1286">
            <v>387342</v>
          </cell>
          <cell r="Z1286" t="e">
            <v>#N/A</v>
          </cell>
        </row>
        <row r="1287">
          <cell r="D1287" t="str">
            <v>MA46CSC116</v>
          </cell>
          <cell r="E1287" t="str">
            <v>Tuberia concreto TCS-CL1 16</v>
          </cell>
          <cell r="F1287" t="str">
            <v>ml</v>
          </cell>
          <cell r="G1287">
            <v>1</v>
          </cell>
          <cell r="H1287">
            <v>47522.3</v>
          </cell>
          <cell r="I1287">
            <v>47522</v>
          </cell>
          <cell r="J1287">
            <v>0</v>
          </cell>
          <cell r="K1287">
            <v>3</v>
          </cell>
          <cell r="L1287">
            <v>142566.90000000002</v>
          </cell>
          <cell r="Y1287" t="e">
            <v>#N/A</v>
          </cell>
          <cell r="Z1287" t="e">
            <v>#N/A</v>
          </cell>
        </row>
        <row r="1288">
          <cell r="D1288" t="str">
            <v>MA04C3</v>
          </cell>
          <cell r="E1288" t="str">
            <v xml:space="preserve">Concreto 3000 psi </v>
          </cell>
          <cell r="F1288" t="str">
            <v>M3</v>
          </cell>
          <cell r="G1288">
            <v>0.4</v>
          </cell>
          <cell r="H1288">
            <v>202575</v>
          </cell>
          <cell r="I1288">
            <v>81030</v>
          </cell>
          <cell r="J1288">
            <v>0</v>
          </cell>
          <cell r="K1288">
            <v>1.2000000000000002</v>
          </cell>
          <cell r="L1288">
            <v>243090.00000000003</v>
          </cell>
          <cell r="Y1288" t="e">
            <v>#N/A</v>
          </cell>
          <cell r="Z1288" t="e">
            <v>#N/A</v>
          </cell>
        </row>
        <row r="1289">
          <cell r="D1289" t="str">
            <v>MA01A3</v>
          </cell>
          <cell r="E1289" t="str">
            <v>Acero A-3</v>
          </cell>
          <cell r="F1289" t="str">
            <v>Kg</v>
          </cell>
          <cell r="G1289">
            <v>0.4</v>
          </cell>
          <cell r="H1289">
            <v>1404</v>
          </cell>
          <cell r="I1289">
            <v>562</v>
          </cell>
          <cell r="J1289">
            <v>0</v>
          </cell>
          <cell r="K1289">
            <v>1.2000000000000002</v>
          </cell>
          <cell r="L1289">
            <v>1684.8000000000002</v>
          </cell>
          <cell r="Y1289" t="e">
            <v>#N/A</v>
          </cell>
          <cell r="Z1289" t="e">
            <v>#N/A</v>
          </cell>
        </row>
        <row r="1290">
          <cell r="I1290">
            <v>0</v>
          </cell>
          <cell r="J1290">
            <v>0</v>
          </cell>
          <cell r="K1290">
            <v>0</v>
          </cell>
          <cell r="L1290">
            <v>0</v>
          </cell>
          <cell r="Y1290">
            <v>0</v>
          </cell>
          <cell r="Z1290">
            <v>0</v>
          </cell>
        </row>
        <row r="1291">
          <cell r="I1291">
            <v>0</v>
          </cell>
          <cell r="J1291">
            <v>0</v>
          </cell>
          <cell r="K1291">
            <v>0</v>
          </cell>
          <cell r="L1291">
            <v>0</v>
          </cell>
          <cell r="Y1291">
            <v>0</v>
          </cell>
          <cell r="Z1291">
            <v>0</v>
          </cell>
        </row>
        <row r="1292">
          <cell r="I1292">
            <v>0</v>
          </cell>
          <cell r="J1292">
            <v>0</v>
          </cell>
          <cell r="K1292">
            <v>0</v>
          </cell>
          <cell r="L1292">
            <v>0</v>
          </cell>
          <cell r="Y1292">
            <v>0</v>
          </cell>
          <cell r="Z1292">
            <v>0</v>
          </cell>
        </row>
        <row r="1293">
          <cell r="E1293" t="str">
            <v>MANO DE OBRA</v>
          </cell>
          <cell r="I1293">
            <v>35000</v>
          </cell>
          <cell r="J1293">
            <v>0</v>
          </cell>
          <cell r="L1293">
            <v>105000</v>
          </cell>
          <cell r="Z1293" t="e">
            <v>#N/A</v>
          </cell>
        </row>
        <row r="1294">
          <cell r="D1294" t="str">
            <v>MOANCCB</v>
          </cell>
          <cell r="E1294" t="str">
            <v>Camara Caida Bajante Tuberia</v>
          </cell>
          <cell r="F1294" t="str">
            <v>m3</v>
          </cell>
          <cell r="G1294">
            <v>1.4</v>
          </cell>
          <cell r="H1294">
            <v>25000</v>
          </cell>
          <cell r="I1294">
            <v>35000</v>
          </cell>
          <cell r="J1294">
            <v>0</v>
          </cell>
          <cell r="K1294">
            <v>4.1999999999999993</v>
          </cell>
          <cell r="L1294">
            <v>104999.99999999999</v>
          </cell>
          <cell r="Y1294" t="e">
            <v>#N/A</v>
          </cell>
          <cell r="Z1294" t="e">
            <v>#N/A</v>
          </cell>
        </row>
        <row r="1296">
          <cell r="E1296" t="str">
            <v>VARIOS</v>
          </cell>
          <cell r="I1296">
            <v>850</v>
          </cell>
          <cell r="L1296">
            <v>2550</v>
          </cell>
          <cell r="Z1296" t="e">
            <v>#N/A</v>
          </cell>
        </row>
        <row r="1297">
          <cell r="D1297" t="str">
            <v>TC07H800</v>
          </cell>
          <cell r="E1297" t="str">
            <v>Herramienta Menor</v>
          </cell>
          <cell r="F1297" t="str">
            <v>Gb</v>
          </cell>
          <cell r="G1297">
            <v>0.5</v>
          </cell>
          <cell r="H1297">
            <v>800</v>
          </cell>
          <cell r="I1297">
            <v>400</v>
          </cell>
          <cell r="J1297">
            <v>0</v>
          </cell>
          <cell r="K1297">
            <v>1.5</v>
          </cell>
          <cell r="L1297">
            <v>1200</v>
          </cell>
          <cell r="Y1297" t="e">
            <v>#N/A</v>
          </cell>
          <cell r="Z1297" t="e">
            <v>#N/A</v>
          </cell>
        </row>
        <row r="1298">
          <cell r="D1298" t="str">
            <v>AL07VCG</v>
          </cell>
          <cell r="E1298" t="str">
            <v>Vibrador para concretos a Gasolina</v>
          </cell>
          <cell r="F1298" t="str">
            <v>Hr</v>
          </cell>
          <cell r="G1298">
            <v>0.01</v>
          </cell>
          <cell r="H1298">
            <v>45000</v>
          </cell>
          <cell r="I1298">
            <v>450</v>
          </cell>
          <cell r="J1298">
            <v>0</v>
          </cell>
          <cell r="K1298">
            <v>0.03</v>
          </cell>
          <cell r="L1298">
            <v>1350</v>
          </cell>
          <cell r="Y1298" t="e">
            <v>#N/A</v>
          </cell>
          <cell r="Z1298" t="e">
            <v>#N/A</v>
          </cell>
        </row>
        <row r="1299">
          <cell r="E1299" t="str">
            <v>SUBTOTAL</v>
          </cell>
          <cell r="I1299">
            <v>164964</v>
          </cell>
          <cell r="L1299">
            <v>494892</v>
          </cell>
          <cell r="Z1299" t="e">
            <v>#N/A</v>
          </cell>
        </row>
        <row r="1300">
          <cell r="E1300" t="str">
            <v>A.I.U</v>
          </cell>
          <cell r="I1300">
            <v>0</v>
          </cell>
          <cell r="L1300">
            <v>0</v>
          </cell>
          <cell r="Z1300">
            <v>0</v>
          </cell>
        </row>
        <row r="1301">
          <cell r="D1301" t="str">
            <v>AIUAADMON</v>
          </cell>
          <cell r="E1301" t="str">
            <v>Admon</v>
          </cell>
          <cell r="F1301">
            <v>0</v>
          </cell>
          <cell r="I1301">
            <v>0</v>
          </cell>
          <cell r="L1301">
            <v>0</v>
          </cell>
          <cell r="Z1301">
            <v>0</v>
          </cell>
        </row>
        <row r="1302">
          <cell r="D1302" t="str">
            <v>AIUAIMPRE</v>
          </cell>
          <cell r="E1302" t="str">
            <v>Imprevistos</v>
          </cell>
          <cell r="F1302">
            <v>0</v>
          </cell>
          <cell r="I1302">
            <v>0</v>
          </cell>
          <cell r="J1302">
            <v>0</v>
          </cell>
          <cell r="L1302">
            <v>0</v>
          </cell>
          <cell r="Z1302">
            <v>0</v>
          </cell>
        </row>
        <row r="1303">
          <cell r="D1303" t="str">
            <v>AIUAUTILI</v>
          </cell>
          <cell r="E1303" t="str">
            <v>Utilidad</v>
          </cell>
          <cell r="F1303">
            <v>0</v>
          </cell>
          <cell r="I1303">
            <v>0</v>
          </cell>
          <cell r="J1303">
            <v>0</v>
          </cell>
          <cell r="L1303">
            <v>0</v>
          </cell>
          <cell r="Z1303">
            <v>0</v>
          </cell>
        </row>
        <row r="1304">
          <cell r="D1304" t="str">
            <v>AIUAIVAUTI</v>
          </cell>
          <cell r="E1304" t="str">
            <v>IVA utilidad</v>
          </cell>
          <cell r="F1304">
            <v>0</v>
          </cell>
          <cell r="I1304">
            <v>0</v>
          </cell>
          <cell r="J1304">
            <v>0</v>
          </cell>
          <cell r="L1304">
            <v>0</v>
          </cell>
          <cell r="Z1304">
            <v>0</v>
          </cell>
        </row>
        <row r="1306">
          <cell r="E1306" t="str">
            <v>ITEM</v>
          </cell>
        </row>
        <row r="1307">
          <cell r="D1307" t="str">
            <v>ANSU110</v>
          </cell>
          <cell r="E1307" t="str">
            <v>Sumidero Tipo SL-100</v>
          </cell>
          <cell r="G1307" t="str">
            <v>UN.</v>
          </cell>
          <cell r="H1307" t="str">
            <v>Un</v>
          </cell>
          <cell r="I1307">
            <v>783662</v>
          </cell>
          <cell r="K1307">
            <v>80</v>
          </cell>
          <cell r="L1307">
            <v>62692960</v>
          </cell>
          <cell r="N1307">
            <v>617862</v>
          </cell>
          <cell r="O1307">
            <v>165000</v>
          </cell>
          <cell r="P1307">
            <v>800</v>
          </cell>
          <cell r="Q1307">
            <v>0</v>
          </cell>
          <cell r="X1307">
            <v>62692960</v>
          </cell>
          <cell r="Y1307" t="str">
            <v>Un</v>
          </cell>
          <cell r="Z1307" t="e">
            <v>#VALUE!</v>
          </cell>
          <cell r="AA1307" t="e">
            <v>#N/A</v>
          </cell>
          <cell r="AB1307" t="e">
            <v>#VALUE!</v>
          </cell>
          <cell r="AC1307" t="e">
            <v>#VALUE!</v>
          </cell>
        </row>
        <row r="1309">
          <cell r="D1309" t="str">
            <v>CODIGO</v>
          </cell>
          <cell r="E1309" t="str">
            <v>DESCRIPCION</v>
          </cell>
          <cell r="F1309" t="str">
            <v>UN</v>
          </cell>
          <cell r="G1309" t="str">
            <v>CANT</v>
          </cell>
          <cell r="H1309" t="str">
            <v>V/UNIT.</v>
          </cell>
          <cell r="I1309" t="str">
            <v>V/TOTAL</v>
          </cell>
          <cell r="K1309" t="str">
            <v>CANT TOTAL</v>
          </cell>
          <cell r="L1309" t="str">
            <v>Vr TOTAL</v>
          </cell>
          <cell r="Y1309" t="str">
            <v>CANT.</v>
          </cell>
          <cell r="Z1309" t="str">
            <v>V/TOTAL</v>
          </cell>
        </row>
        <row r="1310">
          <cell r="E1310" t="str">
            <v>MATERIALES</v>
          </cell>
          <cell r="I1310">
            <v>617862</v>
          </cell>
          <cell r="L1310">
            <v>49428960</v>
          </cell>
          <cell r="Z1310" t="e">
            <v>#N/A</v>
          </cell>
        </row>
        <row r="1311">
          <cell r="D1311" t="str">
            <v>MA04C35</v>
          </cell>
          <cell r="E1311" t="str">
            <v xml:space="preserve">Concreto 3500 psi </v>
          </cell>
          <cell r="F1311" t="str">
            <v>M3</v>
          </cell>
          <cell r="G1311">
            <v>2</v>
          </cell>
          <cell r="H1311">
            <v>215775</v>
          </cell>
          <cell r="I1311">
            <v>431550</v>
          </cell>
          <cell r="J1311">
            <v>0</v>
          </cell>
          <cell r="K1311">
            <v>160</v>
          </cell>
          <cell r="L1311">
            <v>34524000</v>
          </cell>
          <cell r="Y1311" t="e">
            <v>#N/A</v>
          </cell>
          <cell r="Z1311" t="e">
            <v>#N/A</v>
          </cell>
        </row>
        <row r="1312">
          <cell r="D1312" t="str">
            <v>MA05SUMT10</v>
          </cell>
          <cell r="E1312" t="str">
            <v>Marco y Tapa para Sumidero SL-100</v>
          </cell>
          <cell r="F1312" t="str">
            <v>Un</v>
          </cell>
          <cell r="G1312">
            <v>1</v>
          </cell>
          <cell r="H1312">
            <v>110000</v>
          </cell>
          <cell r="I1312">
            <v>110000</v>
          </cell>
          <cell r="J1312">
            <v>0</v>
          </cell>
          <cell r="K1312">
            <v>80</v>
          </cell>
          <cell r="L1312">
            <v>8800000</v>
          </cell>
          <cell r="Y1312" t="e">
            <v>#N/A</v>
          </cell>
          <cell r="Z1312" t="e">
            <v>#N/A</v>
          </cell>
        </row>
        <row r="1313">
          <cell r="D1313" t="str">
            <v>MA25TB20</v>
          </cell>
          <cell r="E1313" t="str">
            <v>Tabla Burra 20 cm</v>
          </cell>
          <cell r="F1313" t="str">
            <v>Un</v>
          </cell>
          <cell r="G1313">
            <v>6</v>
          </cell>
          <cell r="H1313">
            <v>6380</v>
          </cell>
          <cell r="I1313">
            <v>38280</v>
          </cell>
          <cell r="J1313">
            <v>0</v>
          </cell>
          <cell r="K1313">
            <v>480</v>
          </cell>
          <cell r="L1313">
            <v>3062400</v>
          </cell>
          <cell r="Y1313" t="e">
            <v>#VALUE!</v>
          </cell>
          <cell r="Z1313" t="e">
            <v>#VALUE!</v>
          </cell>
        </row>
        <row r="1314">
          <cell r="D1314" t="str">
            <v>MA25DURM</v>
          </cell>
          <cell r="E1314" t="str">
            <v>Durmiente</v>
          </cell>
          <cell r="F1314" t="str">
            <v>Un</v>
          </cell>
          <cell r="G1314">
            <v>4</v>
          </cell>
          <cell r="H1314">
            <v>2000</v>
          </cell>
          <cell r="I1314">
            <v>8000</v>
          </cell>
          <cell r="J1314">
            <v>0</v>
          </cell>
          <cell r="K1314">
            <v>320</v>
          </cell>
          <cell r="L1314">
            <v>640000</v>
          </cell>
          <cell r="Y1314" t="e">
            <v>#VALUE!</v>
          </cell>
          <cell r="Z1314" t="e">
            <v>#VALUE!</v>
          </cell>
        </row>
        <row r="1315">
          <cell r="D1315" t="str">
            <v>MA25VC6</v>
          </cell>
          <cell r="E1315" t="str">
            <v>Vara de Corredor 6 ml</v>
          </cell>
          <cell r="F1315" t="str">
            <v>Un</v>
          </cell>
          <cell r="G1315">
            <v>4</v>
          </cell>
          <cell r="H1315">
            <v>6900</v>
          </cell>
          <cell r="I1315">
            <v>27600</v>
          </cell>
          <cell r="J1315">
            <v>0</v>
          </cell>
          <cell r="K1315">
            <v>320</v>
          </cell>
          <cell r="L1315">
            <v>2208000</v>
          </cell>
          <cell r="Y1315" t="e">
            <v>#VALUE!</v>
          </cell>
          <cell r="Z1315" t="e">
            <v>#VALUE!</v>
          </cell>
        </row>
        <row r="1316">
          <cell r="D1316" t="str">
            <v>MA19PC25</v>
          </cell>
          <cell r="E1316" t="str">
            <v>Puntilla con cabeza 2,5"</v>
          </cell>
          <cell r="F1316" t="str">
            <v>Lb</v>
          </cell>
          <cell r="G1316">
            <v>2</v>
          </cell>
          <cell r="H1316">
            <v>1216</v>
          </cell>
          <cell r="I1316">
            <v>2432</v>
          </cell>
          <cell r="J1316">
            <v>0</v>
          </cell>
          <cell r="K1316">
            <v>160</v>
          </cell>
          <cell r="L1316">
            <v>194560</v>
          </cell>
          <cell r="Y1316" t="e">
            <v>#N/A</v>
          </cell>
          <cell r="Z1316" t="e">
            <v>#N/A</v>
          </cell>
        </row>
        <row r="1317">
          <cell r="E1317" t="str">
            <v>MANO DE OBRA</v>
          </cell>
          <cell r="I1317">
            <v>165000</v>
          </cell>
          <cell r="L1317">
            <v>13200000</v>
          </cell>
          <cell r="Z1317" t="e">
            <v>#VALUE!</v>
          </cell>
        </row>
        <row r="1318">
          <cell r="D1318" t="str">
            <v>MOANSU</v>
          </cell>
          <cell r="E1318" t="str">
            <v>Sumidero concreto</v>
          </cell>
          <cell r="F1318" t="str">
            <v>UN</v>
          </cell>
          <cell r="G1318">
            <v>1</v>
          </cell>
          <cell r="H1318">
            <v>165000</v>
          </cell>
          <cell r="I1318">
            <v>165000</v>
          </cell>
          <cell r="J1318">
            <v>0</v>
          </cell>
          <cell r="K1318">
            <v>80</v>
          </cell>
          <cell r="L1318">
            <v>13200000</v>
          </cell>
          <cell r="Y1318" t="e">
            <v>#VALUE!</v>
          </cell>
          <cell r="Z1318" t="e">
            <v>#VALUE!</v>
          </cell>
        </row>
        <row r="1320">
          <cell r="E1320" t="str">
            <v>VARIOS</v>
          </cell>
          <cell r="I1320">
            <v>800</v>
          </cell>
          <cell r="L1320">
            <v>64000</v>
          </cell>
          <cell r="Z1320" t="e">
            <v>#VALUE!</v>
          </cell>
        </row>
        <row r="1321">
          <cell r="D1321" t="str">
            <v>TC07H800</v>
          </cell>
          <cell r="E1321" t="str">
            <v>Herramienta Menor</v>
          </cell>
          <cell r="F1321" t="str">
            <v>Gb</v>
          </cell>
          <cell r="G1321">
            <v>1</v>
          </cell>
          <cell r="H1321">
            <v>800</v>
          </cell>
          <cell r="I1321">
            <v>800</v>
          </cell>
          <cell r="J1321">
            <v>0</v>
          </cell>
          <cell r="K1321">
            <v>80</v>
          </cell>
          <cell r="L1321">
            <v>64000</v>
          </cell>
          <cell r="Y1321" t="e">
            <v>#VALUE!</v>
          </cell>
          <cell r="Z1321" t="e">
            <v>#VALUE!</v>
          </cell>
        </row>
        <row r="1323">
          <cell r="E1323" t="str">
            <v>SUBTOTAL</v>
          </cell>
          <cell r="I1323">
            <v>783662</v>
          </cell>
          <cell r="L1323">
            <v>62692960</v>
          </cell>
          <cell r="Z1323" t="e">
            <v>#VALUE!</v>
          </cell>
        </row>
        <row r="1324">
          <cell r="E1324" t="str">
            <v>A.I.U</v>
          </cell>
          <cell r="I1324">
            <v>0</v>
          </cell>
          <cell r="L1324">
            <v>0</v>
          </cell>
          <cell r="Z1324">
            <v>0</v>
          </cell>
        </row>
        <row r="1325">
          <cell r="D1325" t="str">
            <v>AIUAADMON</v>
          </cell>
          <cell r="E1325" t="str">
            <v>Admon</v>
          </cell>
          <cell r="F1325">
            <v>0</v>
          </cell>
          <cell r="I1325">
            <v>0</v>
          </cell>
          <cell r="J1325">
            <v>0</v>
          </cell>
          <cell r="L1325">
            <v>0</v>
          </cell>
          <cell r="Z1325">
            <v>0</v>
          </cell>
        </row>
        <row r="1326">
          <cell r="D1326" t="str">
            <v>AIUAIMPRE</v>
          </cell>
          <cell r="E1326" t="str">
            <v>Imprevistos</v>
          </cell>
          <cell r="F1326">
            <v>0</v>
          </cell>
          <cell r="I1326">
            <v>0</v>
          </cell>
          <cell r="J1326">
            <v>0</v>
          </cell>
          <cell r="L1326">
            <v>0</v>
          </cell>
          <cell r="Z1326">
            <v>0</v>
          </cell>
        </row>
        <row r="1327">
          <cell r="D1327" t="str">
            <v>AIUAUTILI</v>
          </cell>
          <cell r="E1327" t="str">
            <v>Utilidad</v>
          </cell>
          <cell r="F1327">
            <v>0</v>
          </cell>
          <cell r="I1327">
            <v>0</v>
          </cell>
          <cell r="J1327">
            <v>0</v>
          </cell>
          <cell r="L1327">
            <v>0</v>
          </cell>
          <cell r="Z1327">
            <v>0</v>
          </cell>
        </row>
        <row r="1328">
          <cell r="D1328" t="str">
            <v>AIUAIVAUTI</v>
          </cell>
          <cell r="E1328" t="str">
            <v>IVA utilidad</v>
          </cell>
          <cell r="F1328">
            <v>0</v>
          </cell>
          <cell r="I1328">
            <v>0</v>
          </cell>
          <cell r="J1328">
            <v>0</v>
          </cell>
          <cell r="L1328">
            <v>0</v>
          </cell>
          <cell r="Z1328">
            <v>0</v>
          </cell>
        </row>
        <row r="1330">
          <cell r="E1330" t="str">
            <v>ITEM</v>
          </cell>
        </row>
        <row r="1331">
          <cell r="D1331" t="str">
            <v>ANSU150</v>
          </cell>
          <cell r="E1331" t="str">
            <v>Sumidero Tipo SL-150</v>
          </cell>
          <cell r="G1331" t="str">
            <v>UN.</v>
          </cell>
          <cell r="H1331" t="str">
            <v>Un</v>
          </cell>
          <cell r="I1331">
            <v>930106</v>
          </cell>
          <cell r="K1331">
            <v>39</v>
          </cell>
          <cell r="L1331">
            <v>36274134</v>
          </cell>
          <cell r="N1331">
            <v>681806</v>
          </cell>
          <cell r="O1331">
            <v>247500</v>
          </cell>
          <cell r="P1331">
            <v>800</v>
          </cell>
          <cell r="Q1331">
            <v>0</v>
          </cell>
          <cell r="X1331">
            <v>36274134</v>
          </cell>
          <cell r="Y1331" t="str">
            <v>Un</v>
          </cell>
          <cell r="Z1331" t="e">
            <v>#N/A</v>
          </cell>
          <cell r="AA1331" t="e">
            <v>#N/A</v>
          </cell>
          <cell r="AB1331" t="e">
            <v>#N/A</v>
          </cell>
          <cell r="AC1331" t="e">
            <v>#N/A</v>
          </cell>
        </row>
        <row r="1333">
          <cell r="D1333" t="str">
            <v>CODIGO</v>
          </cell>
          <cell r="E1333" t="str">
            <v>DESCRIPCION</v>
          </cell>
          <cell r="F1333" t="str">
            <v>UN</v>
          </cell>
          <cell r="G1333" t="str">
            <v>CANT</v>
          </cell>
          <cell r="H1333" t="str">
            <v>V/UNIT.</v>
          </cell>
          <cell r="I1333" t="str">
            <v>V/TOTAL</v>
          </cell>
          <cell r="K1333" t="str">
            <v>CANT TOTAL</v>
          </cell>
          <cell r="L1333" t="str">
            <v>Vr TOTAL</v>
          </cell>
          <cell r="Y1333" t="str">
            <v>CANT.</v>
          </cell>
          <cell r="Z1333" t="str">
            <v>V/TOTAL</v>
          </cell>
        </row>
        <row r="1334">
          <cell r="E1334" t="str">
            <v>MATERIALES</v>
          </cell>
          <cell r="I1334">
            <v>681806</v>
          </cell>
          <cell r="L1334">
            <v>26590434</v>
          </cell>
          <cell r="Z1334" t="e">
            <v>#N/A</v>
          </cell>
        </row>
        <row r="1335">
          <cell r="D1335" t="str">
            <v>MA04C35</v>
          </cell>
          <cell r="E1335" t="str">
            <v xml:space="preserve">Concreto 3500 psi </v>
          </cell>
          <cell r="F1335" t="str">
            <v>M3</v>
          </cell>
          <cell r="G1335">
            <v>2.25</v>
          </cell>
          <cell r="H1335">
            <v>215775</v>
          </cell>
          <cell r="I1335">
            <v>485494</v>
          </cell>
          <cell r="J1335">
            <v>0</v>
          </cell>
          <cell r="K1335">
            <v>87.75</v>
          </cell>
          <cell r="L1335">
            <v>18934256.25</v>
          </cell>
          <cell r="Y1335" t="e">
            <v>#N/A</v>
          </cell>
          <cell r="Z1335" t="e">
            <v>#N/A</v>
          </cell>
        </row>
        <row r="1336">
          <cell r="D1336" t="str">
            <v>MA05SUMT15</v>
          </cell>
          <cell r="E1336" t="str">
            <v>Marco y Tapa para Sumidero SL-150</v>
          </cell>
          <cell r="F1336" t="str">
            <v>Un</v>
          </cell>
          <cell r="G1336">
            <v>1</v>
          </cell>
          <cell r="H1336">
            <v>120000</v>
          </cell>
          <cell r="I1336">
            <v>120000</v>
          </cell>
          <cell r="J1336">
            <v>0</v>
          </cell>
          <cell r="K1336">
            <v>39</v>
          </cell>
          <cell r="L1336">
            <v>4680000</v>
          </cell>
          <cell r="Y1336" t="e">
            <v>#N/A</v>
          </cell>
          <cell r="Z1336" t="e">
            <v>#N/A</v>
          </cell>
        </row>
        <row r="1337">
          <cell r="D1337" t="str">
            <v>MA25TB20</v>
          </cell>
          <cell r="E1337" t="str">
            <v>Tabla Burra 20 cm</v>
          </cell>
          <cell r="F1337" t="str">
            <v>Un</v>
          </cell>
          <cell r="G1337">
            <v>6</v>
          </cell>
          <cell r="H1337">
            <v>6380</v>
          </cell>
          <cell r="I1337">
            <v>38280</v>
          </cell>
          <cell r="J1337">
            <v>0</v>
          </cell>
          <cell r="K1337">
            <v>234</v>
          </cell>
          <cell r="L1337">
            <v>1492920</v>
          </cell>
          <cell r="Y1337" t="e">
            <v>#N/A</v>
          </cell>
          <cell r="Z1337" t="e">
            <v>#N/A</v>
          </cell>
        </row>
        <row r="1338">
          <cell r="D1338" t="str">
            <v>MA25DURM</v>
          </cell>
          <cell r="E1338" t="str">
            <v>Durmiente</v>
          </cell>
          <cell r="F1338" t="str">
            <v>Un</v>
          </cell>
          <cell r="G1338">
            <v>4</v>
          </cell>
          <cell r="H1338">
            <v>2000</v>
          </cell>
          <cell r="I1338">
            <v>8000</v>
          </cell>
          <cell r="J1338">
            <v>0</v>
          </cell>
          <cell r="K1338">
            <v>156</v>
          </cell>
          <cell r="L1338">
            <v>312000</v>
          </cell>
          <cell r="Y1338" t="e">
            <v>#N/A</v>
          </cell>
          <cell r="Z1338" t="e">
            <v>#N/A</v>
          </cell>
        </row>
        <row r="1339">
          <cell r="D1339" t="str">
            <v>MA25VC6</v>
          </cell>
          <cell r="E1339" t="str">
            <v>Vara de Corredor 6 ml</v>
          </cell>
          <cell r="F1339" t="str">
            <v>Un</v>
          </cell>
          <cell r="G1339">
            <v>4</v>
          </cell>
          <cell r="H1339">
            <v>6900</v>
          </cell>
          <cell r="I1339">
            <v>27600</v>
          </cell>
          <cell r="J1339">
            <v>0</v>
          </cell>
          <cell r="K1339">
            <v>156</v>
          </cell>
          <cell r="L1339">
            <v>1076400</v>
          </cell>
          <cell r="Y1339" t="e">
            <v>#N/A</v>
          </cell>
          <cell r="Z1339" t="e">
            <v>#N/A</v>
          </cell>
        </row>
        <row r="1340">
          <cell r="D1340" t="str">
            <v>MA19PC25</v>
          </cell>
          <cell r="E1340" t="str">
            <v>Puntilla con cabeza 2,5"</v>
          </cell>
          <cell r="F1340" t="str">
            <v>Lb</v>
          </cell>
          <cell r="G1340">
            <v>2</v>
          </cell>
          <cell r="H1340">
            <v>1216</v>
          </cell>
          <cell r="I1340">
            <v>2432</v>
          </cell>
          <cell r="J1340">
            <v>0</v>
          </cell>
          <cell r="K1340">
            <v>78</v>
          </cell>
          <cell r="L1340">
            <v>94848</v>
          </cell>
          <cell r="Y1340" t="e">
            <v>#N/A</v>
          </cell>
          <cell r="Z1340" t="e">
            <v>#N/A</v>
          </cell>
        </row>
        <row r="1341">
          <cell r="E1341" t="str">
            <v>MANO DE OBRA</v>
          </cell>
          <cell r="I1341">
            <v>247500</v>
          </cell>
          <cell r="L1341">
            <v>9652500</v>
          </cell>
          <cell r="Z1341" t="e">
            <v>#N/A</v>
          </cell>
        </row>
        <row r="1342">
          <cell r="D1342" t="str">
            <v>MOANSU</v>
          </cell>
          <cell r="E1342" t="str">
            <v>Sumidero concreto</v>
          </cell>
          <cell r="F1342" t="str">
            <v>UN</v>
          </cell>
          <cell r="G1342">
            <v>1.5</v>
          </cell>
          <cell r="H1342">
            <v>165000</v>
          </cell>
          <cell r="I1342">
            <v>247500</v>
          </cell>
          <cell r="J1342">
            <v>0</v>
          </cell>
          <cell r="K1342">
            <v>58.5</v>
          </cell>
          <cell r="L1342">
            <v>9652500</v>
          </cell>
          <cell r="Y1342" t="e">
            <v>#N/A</v>
          </cell>
          <cell r="Z1342" t="e">
            <v>#N/A</v>
          </cell>
        </row>
        <row r="1344">
          <cell r="E1344" t="str">
            <v>VARIOS</v>
          </cell>
          <cell r="I1344">
            <v>800</v>
          </cell>
          <cell r="L1344">
            <v>31200</v>
          </cell>
          <cell r="Z1344" t="e">
            <v>#N/A</v>
          </cell>
        </row>
        <row r="1345">
          <cell r="D1345" t="str">
            <v>TC07H800</v>
          </cell>
          <cell r="E1345" t="str">
            <v>Herramienta Menor</v>
          </cell>
          <cell r="F1345" t="str">
            <v>Gb</v>
          </cell>
          <cell r="G1345">
            <v>1</v>
          </cell>
          <cell r="H1345">
            <v>800</v>
          </cell>
          <cell r="I1345">
            <v>800</v>
          </cell>
          <cell r="J1345">
            <v>0</v>
          </cell>
          <cell r="K1345">
            <v>39</v>
          </cell>
          <cell r="L1345">
            <v>31200</v>
          </cell>
          <cell r="Y1345" t="e">
            <v>#N/A</v>
          </cell>
          <cell r="Z1345" t="e">
            <v>#N/A</v>
          </cell>
        </row>
        <row r="1347">
          <cell r="E1347" t="str">
            <v>SUBTOTAL</v>
          </cell>
          <cell r="I1347">
            <v>930106</v>
          </cell>
          <cell r="L1347">
            <v>36274134</v>
          </cell>
          <cell r="Z1347" t="e">
            <v>#N/A</v>
          </cell>
        </row>
        <row r="1348">
          <cell r="E1348" t="str">
            <v>A.I.U</v>
          </cell>
          <cell r="I1348">
            <v>0</v>
          </cell>
          <cell r="L1348">
            <v>0</v>
          </cell>
          <cell r="Z1348">
            <v>0</v>
          </cell>
        </row>
        <row r="1349">
          <cell r="D1349" t="str">
            <v>AIUAADMON</v>
          </cell>
          <cell r="E1349" t="str">
            <v>Admon</v>
          </cell>
          <cell r="F1349">
            <v>0</v>
          </cell>
          <cell r="I1349">
            <v>0</v>
          </cell>
          <cell r="J1349">
            <v>0</v>
          </cell>
          <cell r="L1349">
            <v>0</v>
          </cell>
          <cell r="Z1349">
            <v>0</v>
          </cell>
        </row>
        <row r="1350">
          <cell r="D1350" t="str">
            <v>AIUAIMPRE</v>
          </cell>
          <cell r="E1350" t="str">
            <v>Imprevistos</v>
          </cell>
          <cell r="F1350">
            <v>0</v>
          </cell>
          <cell r="I1350">
            <v>0</v>
          </cell>
          <cell r="J1350">
            <v>0</v>
          </cell>
          <cell r="L1350">
            <v>0</v>
          </cell>
          <cell r="Z1350">
            <v>0</v>
          </cell>
        </row>
        <row r="1351">
          <cell r="D1351" t="str">
            <v>AIUAUTILI</v>
          </cell>
          <cell r="E1351" t="str">
            <v>Utilidad</v>
          </cell>
          <cell r="F1351">
            <v>0</v>
          </cell>
          <cell r="I1351">
            <v>0</v>
          </cell>
          <cell r="J1351">
            <v>0</v>
          </cell>
          <cell r="L1351">
            <v>0</v>
          </cell>
          <cell r="Z1351">
            <v>0</v>
          </cell>
        </row>
        <row r="1352">
          <cell r="D1352" t="str">
            <v>AIUAIVAUTI</v>
          </cell>
          <cell r="E1352" t="str">
            <v>IVA utilidad</v>
          </cell>
          <cell r="F1352">
            <v>0</v>
          </cell>
          <cell r="I1352">
            <v>0</v>
          </cell>
          <cell r="J1352">
            <v>0</v>
          </cell>
          <cell r="L1352">
            <v>0</v>
          </cell>
          <cell r="Z1352">
            <v>0</v>
          </cell>
        </row>
        <row r="1354">
          <cell r="E1354" t="str">
            <v>ITEM</v>
          </cell>
        </row>
        <row r="1355">
          <cell r="D1355" t="str">
            <v>ANSURE</v>
          </cell>
          <cell r="E1355" t="str">
            <v>Rejilla para sumidero CR- area 0.32x0.7 (dos y tres apoy)</v>
          </cell>
          <cell r="G1355" t="str">
            <v>UN.</v>
          </cell>
          <cell r="H1355" t="str">
            <v>Un</v>
          </cell>
          <cell r="I1355">
            <v>82000</v>
          </cell>
          <cell r="K1355">
            <v>145</v>
          </cell>
          <cell r="L1355">
            <v>11890000</v>
          </cell>
          <cell r="N1355">
            <v>82000</v>
          </cell>
          <cell r="O1355">
            <v>0</v>
          </cell>
          <cell r="P1355">
            <v>0</v>
          </cell>
          <cell r="Q1355">
            <v>0</v>
          </cell>
          <cell r="X1355">
            <v>11890000</v>
          </cell>
          <cell r="Y1355" t="str">
            <v>Un</v>
          </cell>
          <cell r="Z1355" t="e">
            <v>#N/A</v>
          </cell>
          <cell r="AA1355" t="e">
            <v>#N/A</v>
          </cell>
          <cell r="AB1355">
            <v>0</v>
          </cell>
          <cell r="AC1355">
            <v>0</v>
          </cell>
        </row>
        <row r="1357">
          <cell r="D1357" t="str">
            <v>CODIGO</v>
          </cell>
          <cell r="E1357" t="str">
            <v>DESCRIPCION</v>
          </cell>
          <cell r="F1357" t="str">
            <v>UN</v>
          </cell>
          <cell r="G1357" t="str">
            <v>CANT</v>
          </cell>
          <cell r="H1357" t="str">
            <v>V/UNIT.</v>
          </cell>
          <cell r="I1357" t="str">
            <v>V/TOTAL</v>
          </cell>
          <cell r="K1357" t="str">
            <v>CANT TOTAL</v>
          </cell>
          <cell r="L1357" t="str">
            <v>Vr TOTAL</v>
          </cell>
          <cell r="Y1357" t="str">
            <v>CANT.</v>
          </cell>
          <cell r="Z1357" t="str">
            <v>V/TOTAL</v>
          </cell>
        </row>
        <row r="1358">
          <cell r="E1358" t="str">
            <v>MATERIALES</v>
          </cell>
          <cell r="I1358">
            <v>82000</v>
          </cell>
          <cell r="L1358">
            <v>11890000</v>
          </cell>
          <cell r="Z1358" t="e">
            <v>#N/A</v>
          </cell>
        </row>
        <row r="1359">
          <cell r="D1359" t="str">
            <v>MA05SURE</v>
          </cell>
          <cell r="E1359" t="str">
            <v>Rejilla para Sumidero CR Area 0.32x0.70 (dos y tes Apoyos)</v>
          </cell>
          <cell r="F1359" t="str">
            <v>Un</v>
          </cell>
          <cell r="G1359">
            <v>1</v>
          </cell>
          <cell r="H1359">
            <v>82000</v>
          </cell>
          <cell r="I1359">
            <v>82000</v>
          </cell>
          <cell r="J1359">
            <v>0</v>
          </cell>
          <cell r="K1359">
            <v>145</v>
          </cell>
          <cell r="L1359">
            <v>11890000</v>
          </cell>
          <cell r="Y1359" t="e">
            <v>#N/A</v>
          </cell>
          <cell r="Z1359" t="e">
            <v>#N/A</v>
          </cell>
        </row>
        <row r="1360">
          <cell r="I1360">
            <v>0</v>
          </cell>
          <cell r="J1360">
            <v>0</v>
          </cell>
          <cell r="K1360">
            <v>0</v>
          </cell>
          <cell r="L1360">
            <v>0</v>
          </cell>
          <cell r="Y1360">
            <v>0</v>
          </cell>
          <cell r="Z1360">
            <v>0</v>
          </cell>
        </row>
        <row r="1361">
          <cell r="I1361">
            <v>0</v>
          </cell>
          <cell r="J1361">
            <v>0</v>
          </cell>
          <cell r="K1361">
            <v>0</v>
          </cell>
          <cell r="L1361">
            <v>0</v>
          </cell>
          <cell r="Y1361">
            <v>0</v>
          </cell>
          <cell r="Z1361">
            <v>0</v>
          </cell>
        </row>
        <row r="1362">
          <cell r="I1362">
            <v>0</v>
          </cell>
          <cell r="J1362">
            <v>0</v>
          </cell>
          <cell r="K1362">
            <v>0</v>
          </cell>
          <cell r="L1362">
            <v>0</v>
          </cell>
          <cell r="Y1362">
            <v>0</v>
          </cell>
          <cell r="Z1362">
            <v>0</v>
          </cell>
        </row>
        <row r="1363">
          <cell r="E1363" t="str">
            <v>MANO DE OBRA</v>
          </cell>
          <cell r="I1363">
            <v>0</v>
          </cell>
          <cell r="L1363">
            <v>0</v>
          </cell>
          <cell r="Z1363">
            <v>0</v>
          </cell>
        </row>
        <row r="1364">
          <cell r="I1364">
            <v>0</v>
          </cell>
          <cell r="J1364">
            <v>0</v>
          </cell>
          <cell r="K1364">
            <v>0</v>
          </cell>
          <cell r="L1364">
            <v>0</v>
          </cell>
          <cell r="Y1364">
            <v>0</v>
          </cell>
          <cell r="Z1364">
            <v>0</v>
          </cell>
        </row>
        <row r="1366">
          <cell r="E1366" t="str">
            <v>VARIOS</v>
          </cell>
          <cell r="I1366">
            <v>0</v>
          </cell>
          <cell r="L1366">
            <v>0</v>
          </cell>
          <cell r="Z1366">
            <v>0</v>
          </cell>
        </row>
        <row r="1367">
          <cell r="I1367">
            <v>0</v>
          </cell>
          <cell r="J1367">
            <v>0</v>
          </cell>
          <cell r="K1367">
            <v>0</v>
          </cell>
          <cell r="L1367">
            <v>0</v>
          </cell>
          <cell r="Y1367">
            <v>0</v>
          </cell>
          <cell r="Z1367">
            <v>0</v>
          </cell>
        </row>
        <row r="1369">
          <cell r="E1369" t="str">
            <v>SUBTOTAL</v>
          </cell>
          <cell r="I1369">
            <v>82000</v>
          </cell>
          <cell r="L1369">
            <v>11890000</v>
          </cell>
          <cell r="Z1369" t="e">
            <v>#N/A</v>
          </cell>
        </row>
        <row r="1370">
          <cell r="E1370" t="str">
            <v>A.I.U</v>
          </cell>
          <cell r="I1370">
            <v>0</v>
          </cell>
          <cell r="L1370">
            <v>0</v>
          </cell>
          <cell r="Z1370">
            <v>0</v>
          </cell>
        </row>
        <row r="1371">
          <cell r="D1371" t="str">
            <v>AIUAADMON</v>
          </cell>
          <cell r="E1371" t="str">
            <v>Admon</v>
          </cell>
          <cell r="F1371">
            <v>0</v>
          </cell>
          <cell r="I1371">
            <v>0</v>
          </cell>
          <cell r="J1371">
            <v>0</v>
          </cell>
          <cell r="L1371">
            <v>0</v>
          </cell>
          <cell r="Z1371">
            <v>0</v>
          </cell>
        </row>
        <row r="1372">
          <cell r="D1372" t="str">
            <v>AIUAIMPRE</v>
          </cell>
          <cell r="E1372" t="str">
            <v>Imprevistos</v>
          </cell>
          <cell r="F1372">
            <v>0</v>
          </cell>
          <cell r="I1372">
            <v>0</v>
          </cell>
          <cell r="J1372">
            <v>0</v>
          </cell>
          <cell r="L1372">
            <v>0</v>
          </cell>
          <cell r="Z1372">
            <v>0</v>
          </cell>
        </row>
        <row r="1373">
          <cell r="D1373" t="str">
            <v>AIUAUTILI</v>
          </cell>
          <cell r="E1373" t="str">
            <v>Utilidad</v>
          </cell>
          <cell r="F1373">
            <v>0</v>
          </cell>
          <cell r="I1373">
            <v>0</v>
          </cell>
          <cell r="J1373">
            <v>0</v>
          </cell>
          <cell r="L1373">
            <v>0</v>
          </cell>
          <cell r="Z1373">
            <v>0</v>
          </cell>
        </row>
        <row r="1374">
          <cell r="D1374" t="str">
            <v>AIUAIVAUTI</v>
          </cell>
          <cell r="E1374" t="str">
            <v>IVA utilidad</v>
          </cell>
          <cell r="F1374">
            <v>0</v>
          </cell>
          <cell r="I1374">
            <v>0</v>
          </cell>
          <cell r="J1374">
            <v>0</v>
          </cell>
          <cell r="L1374">
            <v>0</v>
          </cell>
          <cell r="Z1374">
            <v>0</v>
          </cell>
        </row>
        <row r="1376">
          <cell r="E1376" t="str">
            <v>ITEM</v>
          </cell>
        </row>
        <row r="1377">
          <cell r="D1377" t="str">
            <v>RACVLA</v>
          </cell>
          <cell r="E1377" t="str">
            <v>Cruce Vias Ladrillo (Carc. de Protec. Tuberia 12¨)</v>
          </cell>
          <cell r="G1377" t="str">
            <v>UN.</v>
          </cell>
          <cell r="H1377" t="str">
            <v>Ml</v>
          </cell>
          <cell r="I1377">
            <v>81696</v>
          </cell>
          <cell r="K1377">
            <v>384</v>
          </cell>
          <cell r="L1377">
            <v>31371264</v>
          </cell>
          <cell r="N1377">
            <v>51696</v>
          </cell>
          <cell r="O1377">
            <v>29500</v>
          </cell>
          <cell r="P1377">
            <v>500</v>
          </cell>
          <cell r="Q1377">
            <v>0</v>
          </cell>
          <cell r="X1377">
            <v>31371264</v>
          </cell>
          <cell r="Y1377" t="str">
            <v>Ml</v>
          </cell>
          <cell r="Z1377" t="e">
            <v>#VALUE!</v>
          </cell>
          <cell r="AA1377" t="e">
            <v>#VALUE!</v>
          </cell>
          <cell r="AB1377" t="e">
            <v>#VALUE!</v>
          </cell>
          <cell r="AC1377" t="e">
            <v>#VALUE!</v>
          </cell>
        </row>
        <row r="1379">
          <cell r="D1379" t="str">
            <v>CODIGO</v>
          </cell>
          <cell r="E1379" t="str">
            <v>DESCRIPCION</v>
          </cell>
          <cell r="F1379" t="str">
            <v>UN</v>
          </cell>
          <cell r="G1379" t="str">
            <v>CANT</v>
          </cell>
          <cell r="H1379" t="str">
            <v>V/UNIT.</v>
          </cell>
          <cell r="I1379" t="str">
            <v>V/TOTAL</v>
          </cell>
          <cell r="K1379" t="str">
            <v>CANT TOTAL</v>
          </cell>
          <cell r="L1379" t="str">
            <v>Vr TOTAL</v>
          </cell>
          <cell r="Y1379" t="str">
            <v>CANT.</v>
          </cell>
          <cell r="Z1379" t="str">
            <v>V/TOTAL</v>
          </cell>
        </row>
        <row r="1380">
          <cell r="E1380" t="str">
            <v>MATERIALES</v>
          </cell>
          <cell r="I1380">
            <v>51696</v>
          </cell>
          <cell r="L1380">
            <v>19851264</v>
          </cell>
          <cell r="Z1380" t="e">
            <v>#VALUE!</v>
          </cell>
        </row>
        <row r="1381">
          <cell r="D1381" t="str">
            <v>MA06TR</v>
          </cell>
          <cell r="E1381" t="str">
            <v>Ladrillo Tolete Recocido</v>
          </cell>
          <cell r="F1381" t="str">
            <v>Un</v>
          </cell>
          <cell r="G1381">
            <v>90</v>
          </cell>
          <cell r="H1381">
            <v>220</v>
          </cell>
          <cell r="I1381">
            <v>19800</v>
          </cell>
          <cell r="J1381">
            <v>0</v>
          </cell>
          <cell r="K1381">
            <v>34560</v>
          </cell>
          <cell r="L1381">
            <v>7603200</v>
          </cell>
          <cell r="Y1381" t="e">
            <v>#VALUE!</v>
          </cell>
          <cell r="Z1381" t="e">
            <v>#VALUE!</v>
          </cell>
        </row>
        <row r="1382">
          <cell r="D1382" t="str">
            <v>MA02AS</v>
          </cell>
          <cell r="E1382" t="str">
            <v>Arena Semilavada</v>
          </cell>
          <cell r="F1382" t="str">
            <v>M3</v>
          </cell>
          <cell r="G1382">
            <v>0.65</v>
          </cell>
          <cell r="H1382">
            <v>19500</v>
          </cell>
          <cell r="I1382">
            <v>12675</v>
          </cell>
          <cell r="J1382">
            <v>0</v>
          </cell>
          <cell r="K1382">
            <v>249.60000000000002</v>
          </cell>
          <cell r="L1382">
            <v>4867200</v>
          </cell>
          <cell r="Y1382" t="e">
            <v>#VALUE!</v>
          </cell>
          <cell r="Z1382" t="e">
            <v>#VALUE!</v>
          </cell>
        </row>
        <row r="1383">
          <cell r="D1383" t="str">
            <v>MA03CG</v>
          </cell>
          <cell r="E1383" t="str">
            <v>Cemento Gris</v>
          </cell>
          <cell r="F1383" t="str">
            <v>Kg</v>
          </cell>
          <cell r="G1383">
            <v>12</v>
          </cell>
          <cell r="H1383">
            <v>190</v>
          </cell>
          <cell r="I1383">
            <v>2280</v>
          </cell>
          <cell r="J1383">
            <v>0</v>
          </cell>
          <cell r="K1383">
            <v>4608</v>
          </cell>
          <cell r="L1383">
            <v>875520</v>
          </cell>
          <cell r="Y1383" t="e">
            <v>#VALUE!</v>
          </cell>
          <cell r="Z1383" t="e">
            <v>#VALUE!</v>
          </cell>
        </row>
        <row r="1384">
          <cell r="D1384" t="str">
            <v>MA04C3</v>
          </cell>
          <cell r="E1384" t="str">
            <v xml:space="preserve">Concreto 3000 psi </v>
          </cell>
          <cell r="F1384" t="str">
            <v>M3</v>
          </cell>
          <cell r="G1384">
            <v>0.08</v>
          </cell>
          <cell r="H1384">
            <v>202575</v>
          </cell>
          <cell r="I1384">
            <v>16206</v>
          </cell>
          <cell r="J1384">
            <v>0</v>
          </cell>
          <cell r="K1384">
            <v>30.72</v>
          </cell>
          <cell r="L1384">
            <v>6223104</v>
          </cell>
          <cell r="Y1384" t="e">
            <v>#VALUE!</v>
          </cell>
          <cell r="Z1384" t="e">
            <v>#VALUE!</v>
          </cell>
        </row>
        <row r="1385">
          <cell r="D1385" t="str">
            <v>HS17POL</v>
          </cell>
          <cell r="E1385" t="str">
            <v>Polietileno</v>
          </cell>
          <cell r="F1385" t="str">
            <v>Kg</v>
          </cell>
          <cell r="G1385">
            <v>0.3</v>
          </cell>
          <cell r="H1385">
            <v>2450</v>
          </cell>
          <cell r="I1385">
            <v>735</v>
          </cell>
          <cell r="J1385">
            <v>0</v>
          </cell>
          <cell r="K1385">
            <v>115.19999999999999</v>
          </cell>
          <cell r="L1385">
            <v>282240</v>
          </cell>
          <cell r="Y1385" t="e">
            <v>#VALUE!</v>
          </cell>
          <cell r="Z1385" t="e">
            <v>#VALUE!</v>
          </cell>
        </row>
        <row r="1387">
          <cell r="E1387" t="str">
            <v>MANO DE OBRA</v>
          </cell>
          <cell r="I1387">
            <v>29500</v>
          </cell>
          <cell r="L1387">
            <v>11328000</v>
          </cell>
          <cell r="Z1387" t="e">
            <v>#VALUE!</v>
          </cell>
        </row>
        <row r="1388">
          <cell r="D1388" t="str">
            <v>MORACVLA</v>
          </cell>
          <cell r="E1388" t="str">
            <v>Cruce Vias en Ladrillo</v>
          </cell>
          <cell r="F1388" t="str">
            <v>ml</v>
          </cell>
          <cell r="G1388">
            <v>1</v>
          </cell>
          <cell r="H1388">
            <v>29500</v>
          </cell>
          <cell r="I1388">
            <v>29500</v>
          </cell>
          <cell r="J1388">
            <v>0</v>
          </cell>
          <cell r="K1388">
            <v>384</v>
          </cell>
          <cell r="L1388">
            <v>11328000</v>
          </cell>
          <cell r="Y1388" t="e">
            <v>#VALUE!</v>
          </cell>
          <cell r="Z1388" t="e">
            <v>#VALUE!</v>
          </cell>
        </row>
        <row r="1390">
          <cell r="E1390" t="str">
            <v>VARIOS</v>
          </cell>
          <cell r="I1390">
            <v>500</v>
          </cell>
          <cell r="L1390">
            <v>192000</v>
          </cell>
          <cell r="Z1390" t="e">
            <v>#VALUE!</v>
          </cell>
        </row>
        <row r="1391">
          <cell r="D1391" t="str">
            <v>TC07H350</v>
          </cell>
          <cell r="E1391" t="str">
            <v>Herramienta</v>
          </cell>
          <cell r="F1391" t="str">
            <v>Gb</v>
          </cell>
          <cell r="G1391">
            <v>1</v>
          </cell>
          <cell r="H1391">
            <v>500</v>
          </cell>
          <cell r="I1391">
            <v>500</v>
          </cell>
          <cell r="J1391">
            <v>0</v>
          </cell>
          <cell r="K1391">
            <v>384</v>
          </cell>
          <cell r="L1391">
            <v>192000</v>
          </cell>
          <cell r="Y1391" t="e">
            <v>#VALUE!</v>
          </cell>
          <cell r="Z1391" t="e">
            <v>#VALUE!</v>
          </cell>
        </row>
        <row r="1393">
          <cell r="E1393" t="str">
            <v>SUBTOTAL</v>
          </cell>
          <cell r="I1393">
            <v>81696</v>
          </cell>
          <cell r="L1393">
            <v>31371264</v>
          </cell>
          <cell r="Z1393" t="e">
            <v>#VALUE!</v>
          </cell>
        </row>
        <row r="1394">
          <cell r="E1394" t="str">
            <v>A.I.U</v>
          </cell>
          <cell r="I1394">
            <v>0</v>
          </cell>
          <cell r="L1394">
            <v>0</v>
          </cell>
          <cell r="Z1394">
            <v>0</v>
          </cell>
        </row>
        <row r="1395">
          <cell r="D1395" t="str">
            <v>AIUAADMON</v>
          </cell>
          <cell r="E1395" t="str">
            <v>Admon</v>
          </cell>
          <cell r="F1395">
            <v>0</v>
          </cell>
          <cell r="I1395">
            <v>0</v>
          </cell>
          <cell r="J1395">
            <v>0</v>
          </cell>
          <cell r="L1395">
            <v>0</v>
          </cell>
          <cell r="Z1395">
            <v>0</v>
          </cell>
        </row>
        <row r="1396">
          <cell r="D1396" t="str">
            <v>AIUAIMPRE</v>
          </cell>
          <cell r="E1396" t="str">
            <v>Imprevistos</v>
          </cell>
          <cell r="F1396">
            <v>0</v>
          </cell>
          <cell r="I1396">
            <v>0</v>
          </cell>
          <cell r="J1396">
            <v>0</v>
          </cell>
          <cell r="L1396">
            <v>0</v>
          </cell>
          <cell r="Z1396">
            <v>0</v>
          </cell>
        </row>
        <row r="1397">
          <cell r="D1397" t="str">
            <v>AIUAUTILI</v>
          </cell>
          <cell r="E1397" t="str">
            <v>Utilidad</v>
          </cell>
          <cell r="F1397">
            <v>0</v>
          </cell>
          <cell r="I1397">
            <v>0</v>
          </cell>
          <cell r="J1397">
            <v>0</v>
          </cell>
          <cell r="L1397">
            <v>0</v>
          </cell>
          <cell r="Z1397">
            <v>0</v>
          </cell>
        </row>
        <row r="1398">
          <cell r="D1398" t="str">
            <v>AIUAIVAUTI</v>
          </cell>
          <cell r="E1398" t="str">
            <v>IVA utilidad</v>
          </cell>
          <cell r="F1398">
            <v>0</v>
          </cell>
          <cell r="I1398">
            <v>0</v>
          </cell>
          <cell r="J1398">
            <v>0</v>
          </cell>
          <cell r="L1398">
            <v>0</v>
          </cell>
          <cell r="Z1398">
            <v>0</v>
          </cell>
        </row>
        <row r="1400">
          <cell r="E1400" t="str">
            <v>ITEM</v>
          </cell>
        </row>
        <row r="1401">
          <cell r="D1401" t="str">
            <v>RACP16</v>
          </cell>
          <cell r="E1401" t="str">
            <v>Cruce Vias Ladrillo (Carc. de Protec. Tuberia 16¨)</v>
          </cell>
          <cell r="G1401" t="str">
            <v>UN.</v>
          </cell>
          <cell r="H1401" t="str">
            <v>Ml</v>
          </cell>
          <cell r="I1401">
            <v>91045.2</v>
          </cell>
          <cell r="K1401">
            <v>96</v>
          </cell>
          <cell r="L1401">
            <v>8740339.1999999993</v>
          </cell>
          <cell r="N1401">
            <v>61045.2</v>
          </cell>
          <cell r="O1401">
            <v>29500</v>
          </cell>
          <cell r="P1401">
            <v>500</v>
          </cell>
          <cell r="Q1401">
            <v>0</v>
          </cell>
          <cell r="X1401">
            <v>8740339.1999999993</v>
          </cell>
          <cell r="Y1401" t="str">
            <v>Ml</v>
          </cell>
          <cell r="Z1401" t="e">
            <v>#N/A</v>
          </cell>
          <cell r="AA1401" t="e">
            <v>#N/A</v>
          </cell>
          <cell r="AB1401" t="e">
            <v>#N/A</v>
          </cell>
          <cell r="AC1401" t="e">
            <v>#N/A</v>
          </cell>
        </row>
        <row r="1403">
          <cell r="D1403" t="str">
            <v>CODIGO</v>
          </cell>
          <cell r="E1403" t="str">
            <v>DESCRIPCION</v>
          </cell>
          <cell r="F1403" t="str">
            <v>UN</v>
          </cell>
          <cell r="G1403" t="str">
            <v>CANT</v>
          </cell>
          <cell r="H1403" t="str">
            <v>V/UNIT.</v>
          </cell>
          <cell r="I1403" t="str">
            <v>V/TOTAL</v>
          </cell>
          <cell r="K1403" t="str">
            <v>CANT TOTAL</v>
          </cell>
          <cell r="L1403" t="str">
            <v>Vr TOTAL</v>
          </cell>
          <cell r="Y1403" t="str">
            <v>CANT.</v>
          </cell>
          <cell r="Z1403" t="str">
            <v>V/TOTAL</v>
          </cell>
        </row>
        <row r="1404">
          <cell r="E1404" t="str">
            <v>MATERIALES</v>
          </cell>
          <cell r="I1404">
            <v>61045.2</v>
          </cell>
          <cell r="L1404">
            <v>5860339.1999999993</v>
          </cell>
          <cell r="Z1404" t="e">
            <v>#N/A</v>
          </cell>
        </row>
        <row r="1405">
          <cell r="D1405" t="str">
            <v>MA06TR</v>
          </cell>
          <cell r="E1405" t="str">
            <v>Ladrillo Tolete Recocido</v>
          </cell>
          <cell r="F1405" t="str">
            <v>Un</v>
          </cell>
          <cell r="G1405">
            <v>103.49999999999999</v>
          </cell>
          <cell r="H1405">
            <v>220</v>
          </cell>
          <cell r="I1405">
            <v>22769.999999999996</v>
          </cell>
          <cell r="J1405">
            <v>0</v>
          </cell>
          <cell r="K1405">
            <v>9935.9999999999982</v>
          </cell>
          <cell r="L1405">
            <v>2185919.9999999995</v>
          </cell>
          <cell r="Y1405" t="e">
            <v>#N/A</v>
          </cell>
          <cell r="Z1405" t="e">
            <v>#N/A</v>
          </cell>
        </row>
        <row r="1406">
          <cell r="D1406" t="str">
            <v>MA02AS</v>
          </cell>
          <cell r="E1406" t="str">
            <v>Arena Semilavada</v>
          </cell>
          <cell r="F1406" t="str">
            <v>M3</v>
          </cell>
          <cell r="G1406">
            <v>0.78</v>
          </cell>
          <cell r="H1406">
            <v>19500</v>
          </cell>
          <cell r="I1406">
            <v>15210</v>
          </cell>
          <cell r="J1406">
            <v>0</v>
          </cell>
          <cell r="K1406">
            <v>74.88</v>
          </cell>
          <cell r="L1406">
            <v>1460160</v>
          </cell>
          <cell r="Y1406" t="e">
            <v>#N/A</v>
          </cell>
          <cell r="Z1406" t="e">
            <v>#N/A</v>
          </cell>
        </row>
        <row r="1407">
          <cell r="D1407" t="str">
            <v>MA03CG</v>
          </cell>
          <cell r="E1407" t="str">
            <v>Cemento Gris</v>
          </cell>
          <cell r="F1407" t="str">
            <v>Kg</v>
          </cell>
          <cell r="G1407">
            <v>14.399999999999999</v>
          </cell>
          <cell r="H1407">
            <v>190</v>
          </cell>
          <cell r="I1407">
            <v>2735.9999999999995</v>
          </cell>
          <cell r="J1407">
            <v>0</v>
          </cell>
          <cell r="K1407">
            <v>1382.3999999999999</v>
          </cell>
          <cell r="L1407">
            <v>262656</v>
          </cell>
          <cell r="Y1407" t="e">
            <v>#N/A</v>
          </cell>
          <cell r="Z1407" t="e">
            <v>#N/A</v>
          </cell>
        </row>
        <row r="1408">
          <cell r="D1408" t="str">
            <v>MA04C3</v>
          </cell>
          <cell r="E1408" t="str">
            <v xml:space="preserve">Concreto 3000 psi </v>
          </cell>
          <cell r="F1408" t="str">
            <v>M3</v>
          </cell>
          <cell r="G1408">
            <v>9.6000000000000002E-2</v>
          </cell>
          <cell r="H1408">
            <v>202575</v>
          </cell>
          <cell r="I1408">
            <v>19447.2</v>
          </cell>
          <cell r="J1408">
            <v>0</v>
          </cell>
          <cell r="K1408">
            <v>9.2160000000000011</v>
          </cell>
          <cell r="L1408">
            <v>1866931.2000000002</v>
          </cell>
          <cell r="Y1408" t="e">
            <v>#N/A</v>
          </cell>
          <cell r="Z1408" t="e">
            <v>#N/A</v>
          </cell>
        </row>
        <row r="1409">
          <cell r="D1409" t="str">
            <v>HS17POL</v>
          </cell>
          <cell r="E1409" t="str">
            <v>Polietileno</v>
          </cell>
          <cell r="F1409" t="str">
            <v>Kg</v>
          </cell>
          <cell r="G1409">
            <v>0.36</v>
          </cell>
          <cell r="H1409">
            <v>2450</v>
          </cell>
          <cell r="I1409">
            <v>882</v>
          </cell>
          <cell r="J1409">
            <v>0</v>
          </cell>
          <cell r="K1409">
            <v>34.56</v>
          </cell>
          <cell r="L1409">
            <v>84672</v>
          </cell>
          <cell r="Y1409" t="e">
            <v>#N/A</v>
          </cell>
          <cell r="Z1409" t="e">
            <v>#N/A</v>
          </cell>
        </row>
        <row r="1411">
          <cell r="E1411" t="str">
            <v>MANO DE OBRA</v>
          </cell>
          <cell r="I1411">
            <v>29500</v>
          </cell>
          <cell r="L1411">
            <v>2832000</v>
          </cell>
          <cell r="Z1411" t="e">
            <v>#N/A</v>
          </cell>
        </row>
        <row r="1412">
          <cell r="D1412" t="str">
            <v>MORACVLA</v>
          </cell>
          <cell r="E1412" t="str">
            <v>Cruce Vias en Ladrillo</v>
          </cell>
          <cell r="F1412" t="str">
            <v>ml</v>
          </cell>
          <cell r="G1412">
            <v>1</v>
          </cell>
          <cell r="H1412">
            <v>29500</v>
          </cell>
          <cell r="I1412">
            <v>29500</v>
          </cell>
          <cell r="J1412">
            <v>0</v>
          </cell>
          <cell r="K1412">
            <v>96</v>
          </cell>
          <cell r="L1412">
            <v>2832000</v>
          </cell>
          <cell r="Y1412" t="e">
            <v>#N/A</v>
          </cell>
          <cell r="Z1412" t="e">
            <v>#N/A</v>
          </cell>
        </row>
        <row r="1414">
          <cell r="E1414" t="str">
            <v>VARIOS</v>
          </cell>
          <cell r="I1414">
            <v>500</v>
          </cell>
          <cell r="L1414">
            <v>48000</v>
          </cell>
          <cell r="Z1414" t="e">
            <v>#N/A</v>
          </cell>
        </row>
        <row r="1415">
          <cell r="D1415" t="str">
            <v>TC07H350</v>
          </cell>
          <cell r="E1415" t="str">
            <v>Herramienta</v>
          </cell>
          <cell r="F1415" t="str">
            <v>Gb</v>
          </cell>
          <cell r="G1415">
            <v>1</v>
          </cell>
          <cell r="H1415">
            <v>500</v>
          </cell>
          <cell r="I1415">
            <v>500</v>
          </cell>
          <cell r="J1415">
            <v>0</v>
          </cell>
          <cell r="K1415">
            <v>96</v>
          </cell>
          <cell r="L1415">
            <v>48000</v>
          </cell>
          <cell r="Y1415" t="e">
            <v>#N/A</v>
          </cell>
          <cell r="Z1415" t="e">
            <v>#N/A</v>
          </cell>
        </row>
        <row r="1417">
          <cell r="E1417" t="str">
            <v>SUBTOTAL</v>
          </cell>
          <cell r="I1417">
            <v>91045.2</v>
          </cell>
          <cell r="L1417">
            <v>8740339.1999999993</v>
          </cell>
          <cell r="Z1417" t="e">
            <v>#N/A</v>
          </cell>
        </row>
        <row r="1418">
          <cell r="E1418" t="str">
            <v>A.I.U</v>
          </cell>
          <cell r="I1418">
            <v>0</v>
          </cell>
          <cell r="L1418">
            <v>0</v>
          </cell>
          <cell r="Z1418">
            <v>0</v>
          </cell>
        </row>
        <row r="1419">
          <cell r="D1419" t="str">
            <v>AIUAADMON</v>
          </cell>
          <cell r="E1419" t="str">
            <v>Admon</v>
          </cell>
          <cell r="F1419">
            <v>0</v>
          </cell>
          <cell r="I1419">
            <v>0</v>
          </cell>
          <cell r="J1419">
            <v>0</v>
          </cell>
          <cell r="L1419">
            <v>0</v>
          </cell>
          <cell r="Z1419">
            <v>0</v>
          </cell>
        </row>
        <row r="1420">
          <cell r="D1420" t="str">
            <v>AIUAIMPRE</v>
          </cell>
          <cell r="E1420" t="str">
            <v>Imprevistos</v>
          </cell>
          <cell r="F1420">
            <v>0</v>
          </cell>
          <cell r="I1420">
            <v>0</v>
          </cell>
          <cell r="J1420">
            <v>0</v>
          </cell>
          <cell r="L1420">
            <v>0</v>
          </cell>
          <cell r="Z1420">
            <v>0</v>
          </cell>
        </row>
        <row r="1421">
          <cell r="D1421" t="str">
            <v>AIUAUTILI</v>
          </cell>
          <cell r="E1421" t="str">
            <v>Utilidad</v>
          </cell>
          <cell r="F1421">
            <v>0</v>
          </cell>
          <cell r="I1421">
            <v>0</v>
          </cell>
          <cell r="J1421">
            <v>0</v>
          </cell>
          <cell r="L1421">
            <v>0</v>
          </cell>
          <cell r="Z1421">
            <v>0</v>
          </cell>
        </row>
        <row r="1422">
          <cell r="D1422" t="str">
            <v>AIUAIVAUTI</v>
          </cell>
          <cell r="E1422" t="str">
            <v>IVA utilidad</v>
          </cell>
          <cell r="F1422">
            <v>0</v>
          </cell>
          <cell r="I1422">
            <v>0</v>
          </cell>
          <cell r="J1422">
            <v>0</v>
          </cell>
          <cell r="L1422">
            <v>0</v>
          </cell>
          <cell r="Z1422">
            <v>0</v>
          </cell>
        </row>
        <row r="1424">
          <cell r="E1424" t="str">
            <v>ITEM</v>
          </cell>
        </row>
        <row r="1425">
          <cell r="D1425" t="str">
            <v>VIRC</v>
          </cell>
          <cell r="E1425" t="str">
            <v>Recebo Común Compacto</v>
          </cell>
          <cell r="G1425" t="str">
            <v>UN.</v>
          </cell>
          <cell r="H1425" t="str">
            <v>M3</v>
          </cell>
          <cell r="I1425">
            <v>31150</v>
          </cell>
          <cell r="K1425">
            <v>0</v>
          </cell>
          <cell r="L1425">
            <v>0</v>
          </cell>
          <cell r="N1425">
            <v>25910</v>
          </cell>
          <cell r="O1425">
            <v>200</v>
          </cell>
          <cell r="P1425">
            <v>5040</v>
          </cell>
          <cell r="Q1425">
            <v>0</v>
          </cell>
          <cell r="X1425">
            <v>0</v>
          </cell>
          <cell r="Y1425" t="str">
            <v>M3</v>
          </cell>
          <cell r="Z1425" t="e">
            <v>#VALUE!</v>
          </cell>
          <cell r="AA1425" t="e">
            <v>#VALUE!</v>
          </cell>
          <cell r="AB1425" t="e">
            <v>#VALUE!</v>
          </cell>
          <cell r="AC1425" t="e">
            <v>#VALUE!</v>
          </cell>
        </row>
        <row r="1427">
          <cell r="D1427" t="str">
            <v>CODIGO</v>
          </cell>
          <cell r="E1427" t="str">
            <v>DESCRIPCION</v>
          </cell>
          <cell r="F1427" t="str">
            <v>UN</v>
          </cell>
          <cell r="G1427" t="str">
            <v>CANT</v>
          </cell>
          <cell r="H1427" t="str">
            <v>V/UNIT.</v>
          </cell>
          <cell r="I1427" t="str">
            <v>V/TOTAL</v>
          </cell>
          <cell r="K1427" t="str">
            <v>CANT TOTAL</v>
          </cell>
          <cell r="L1427" t="str">
            <v>Vr TOTAL</v>
          </cell>
          <cell r="Y1427" t="str">
            <v>CANT.</v>
          </cell>
          <cell r="Z1427" t="str">
            <v>V/TOTAL</v>
          </cell>
        </row>
        <row r="1428">
          <cell r="E1428" t="str">
            <v>MATERIALES</v>
          </cell>
          <cell r="I1428">
            <v>25910</v>
          </cell>
          <cell r="L1428">
            <v>0</v>
          </cell>
          <cell r="Z1428" t="e">
            <v>#VALUE!</v>
          </cell>
        </row>
        <row r="1429">
          <cell r="D1429" t="str">
            <v>MA02RMC</v>
          </cell>
          <cell r="E1429" t="str">
            <v>Recebo en Cantera</v>
          </cell>
          <cell r="F1429" t="str">
            <v>M3</v>
          </cell>
          <cell r="G1429">
            <v>1.3</v>
          </cell>
          <cell r="H1429">
            <v>6000</v>
          </cell>
          <cell r="I1429">
            <v>7800</v>
          </cell>
          <cell r="J1429">
            <v>0</v>
          </cell>
          <cell r="K1429">
            <v>0</v>
          </cell>
          <cell r="L1429">
            <v>0</v>
          </cell>
          <cell r="Y1429" t="e">
            <v>#VALUE!</v>
          </cell>
          <cell r="Z1429" t="e">
            <v>#VALUE!</v>
          </cell>
        </row>
        <row r="1430">
          <cell r="D1430" t="str">
            <v>TC09TR</v>
          </cell>
          <cell r="E1430" t="str">
            <v>Transporte Recebo</v>
          </cell>
          <cell r="F1430" t="str">
            <v>Vj</v>
          </cell>
          <cell r="G1430">
            <v>0.21</v>
          </cell>
          <cell r="H1430">
            <v>81000</v>
          </cell>
          <cell r="I1430">
            <v>17010</v>
          </cell>
          <cell r="J1430">
            <v>0</v>
          </cell>
          <cell r="K1430">
            <v>0</v>
          </cell>
          <cell r="L1430">
            <v>0</v>
          </cell>
          <cell r="Y1430" t="e">
            <v>#VALUE!</v>
          </cell>
          <cell r="Z1430" t="e">
            <v>#VALUE!</v>
          </cell>
        </row>
        <row r="1431">
          <cell r="D1431" t="str">
            <v>TC16AGUA</v>
          </cell>
          <cell r="E1431" t="str">
            <v>Agua</v>
          </cell>
          <cell r="F1431" t="str">
            <v>M3</v>
          </cell>
          <cell r="G1431">
            <v>0.11</v>
          </cell>
          <cell r="H1431">
            <v>10000</v>
          </cell>
          <cell r="I1431">
            <v>1100</v>
          </cell>
          <cell r="J1431">
            <v>0</v>
          </cell>
          <cell r="K1431">
            <v>0</v>
          </cell>
          <cell r="L1431">
            <v>0</v>
          </cell>
          <cell r="Y1431" t="e">
            <v>#VALUE!</v>
          </cell>
          <cell r="Z1431" t="e">
            <v>#VALUE!</v>
          </cell>
        </row>
        <row r="1433">
          <cell r="E1433" t="str">
            <v>MANO DE OBRA</v>
          </cell>
          <cell r="I1433">
            <v>200</v>
          </cell>
          <cell r="L1433">
            <v>0</v>
          </cell>
          <cell r="Z1433" t="e">
            <v>#VALUE!</v>
          </cell>
        </row>
        <row r="1434">
          <cell r="D1434" t="str">
            <v>MOVIARC</v>
          </cell>
          <cell r="E1434" t="str">
            <v>Ayudante Recebo Compacto</v>
          </cell>
          <cell r="F1434" t="str">
            <v>M3</v>
          </cell>
          <cell r="G1434">
            <v>1</v>
          </cell>
          <cell r="H1434">
            <v>200</v>
          </cell>
          <cell r="I1434">
            <v>200</v>
          </cell>
          <cell r="J1434">
            <v>0</v>
          </cell>
          <cell r="K1434">
            <v>0</v>
          </cell>
          <cell r="L1434">
            <v>0</v>
          </cell>
          <cell r="Y1434" t="e">
            <v>#VALUE!</v>
          </cell>
          <cell r="Z1434" t="e">
            <v>#VALUE!</v>
          </cell>
        </row>
        <row r="1436">
          <cell r="E1436" t="str">
            <v>VARIOS</v>
          </cell>
          <cell r="I1436">
            <v>5040</v>
          </cell>
          <cell r="L1436">
            <v>0</v>
          </cell>
          <cell r="Z1436" t="e">
            <v>#VALUE!</v>
          </cell>
        </row>
        <row r="1437">
          <cell r="D1437" t="str">
            <v>AL04MOTO</v>
          </cell>
          <cell r="E1437" t="str">
            <v>Motoniveladora</v>
          </cell>
          <cell r="F1437" t="str">
            <v>Hr</v>
          </cell>
          <cell r="G1437">
            <v>0.08</v>
          </cell>
          <cell r="H1437">
            <v>38000</v>
          </cell>
          <cell r="I1437">
            <v>3040</v>
          </cell>
          <cell r="J1437">
            <v>0</v>
          </cell>
          <cell r="K1437">
            <v>0</v>
          </cell>
          <cell r="L1437">
            <v>0</v>
          </cell>
          <cell r="Y1437" t="e">
            <v>#VALUE!</v>
          </cell>
          <cell r="Z1437" t="e">
            <v>#VALUE!</v>
          </cell>
        </row>
        <row r="1438">
          <cell r="D1438" t="str">
            <v>AL04CILI</v>
          </cell>
          <cell r="E1438" t="str">
            <v>Cilindro</v>
          </cell>
          <cell r="F1438" t="str">
            <v>Hr</v>
          </cell>
          <cell r="G1438">
            <v>0.06</v>
          </cell>
          <cell r="H1438">
            <v>25000</v>
          </cell>
          <cell r="I1438">
            <v>1500</v>
          </cell>
          <cell r="J1438">
            <v>0</v>
          </cell>
          <cell r="K1438">
            <v>0</v>
          </cell>
          <cell r="L1438">
            <v>0</v>
          </cell>
          <cell r="Y1438" t="e">
            <v>#VALUE!</v>
          </cell>
          <cell r="Z1438" t="e">
            <v>#VALUE!</v>
          </cell>
        </row>
        <row r="1439">
          <cell r="D1439" t="str">
            <v>AL04DENS</v>
          </cell>
          <cell r="E1439" t="str">
            <v>Densidades</v>
          </cell>
          <cell r="F1439" t="str">
            <v>Un</v>
          </cell>
          <cell r="G1439">
            <v>0.02</v>
          </cell>
          <cell r="H1439">
            <v>25000</v>
          </cell>
          <cell r="I1439">
            <v>500</v>
          </cell>
          <cell r="J1439">
            <v>0</v>
          </cell>
          <cell r="K1439">
            <v>0</v>
          </cell>
          <cell r="L1439">
            <v>0</v>
          </cell>
          <cell r="Y1439" t="e">
            <v>#VALUE!</v>
          </cell>
          <cell r="Z1439" t="e">
            <v>#VALUE!</v>
          </cell>
        </row>
        <row r="1440">
          <cell r="E1440" t="str">
            <v>SUBTOTAL</v>
          </cell>
          <cell r="I1440">
            <v>31150</v>
          </cell>
          <cell r="L1440">
            <v>0</v>
          </cell>
          <cell r="Z1440" t="e">
            <v>#VALUE!</v>
          </cell>
        </row>
        <row r="1441">
          <cell r="E1441" t="str">
            <v>A.I.U</v>
          </cell>
          <cell r="I1441">
            <v>0</v>
          </cell>
          <cell r="L1441">
            <v>0</v>
          </cell>
          <cell r="Z1441">
            <v>0</v>
          </cell>
        </row>
        <row r="1442">
          <cell r="D1442" t="str">
            <v>AIUAADMON</v>
          </cell>
          <cell r="E1442" t="str">
            <v>Admon</v>
          </cell>
          <cell r="F1442">
            <v>0</v>
          </cell>
          <cell r="I1442">
            <v>0</v>
          </cell>
          <cell r="J1442">
            <v>0</v>
          </cell>
          <cell r="L1442">
            <v>0</v>
          </cell>
          <cell r="Z1442">
            <v>0</v>
          </cell>
        </row>
        <row r="1443">
          <cell r="D1443" t="str">
            <v>AIUAIMPRE</v>
          </cell>
          <cell r="E1443" t="str">
            <v>Imprevistos</v>
          </cell>
          <cell r="F1443">
            <v>0</v>
          </cell>
          <cell r="I1443">
            <v>0</v>
          </cell>
          <cell r="J1443">
            <v>0</v>
          </cell>
          <cell r="L1443">
            <v>0</v>
          </cell>
          <cell r="Z1443">
            <v>0</v>
          </cell>
        </row>
        <row r="1444">
          <cell r="D1444" t="str">
            <v>AIUAUTILI</v>
          </cell>
          <cell r="E1444" t="str">
            <v>Utilidad</v>
          </cell>
          <cell r="F1444">
            <v>0</v>
          </cell>
          <cell r="I1444">
            <v>0</v>
          </cell>
          <cell r="J1444">
            <v>0</v>
          </cell>
          <cell r="L1444">
            <v>0</v>
          </cell>
          <cell r="Z1444">
            <v>0</v>
          </cell>
        </row>
        <row r="1445">
          <cell r="D1445" t="str">
            <v>AIUAIVAUTI</v>
          </cell>
          <cell r="E1445" t="str">
            <v>IVA utilidad</v>
          </cell>
          <cell r="F1445">
            <v>0</v>
          </cell>
          <cell r="I1445">
            <v>0</v>
          </cell>
          <cell r="J1445">
            <v>0</v>
          </cell>
          <cell r="L1445">
            <v>0</v>
          </cell>
          <cell r="Z1445">
            <v>0</v>
          </cell>
        </row>
        <row r="1447">
          <cell r="E1447" t="str">
            <v>ITEM</v>
          </cell>
        </row>
        <row r="1448">
          <cell r="D1448" t="str">
            <v>VIDPAS</v>
          </cell>
          <cell r="E1448" t="str">
            <v>Demolición pavimento Asfaltico</v>
          </cell>
          <cell r="G1448" t="str">
            <v>UN.</v>
          </cell>
          <cell r="H1448" t="str">
            <v>M3</v>
          </cell>
          <cell r="I1448">
            <v>28250</v>
          </cell>
          <cell r="K1448">
            <v>202</v>
          </cell>
          <cell r="L1448">
            <v>5706500</v>
          </cell>
          <cell r="N1448">
            <v>0</v>
          </cell>
          <cell r="O1448">
            <v>16000</v>
          </cell>
          <cell r="P1448">
            <v>12250</v>
          </cell>
          <cell r="Q1448">
            <v>0</v>
          </cell>
          <cell r="X1448">
            <v>5706500</v>
          </cell>
          <cell r="Y1448" t="str">
            <v>M3</v>
          </cell>
          <cell r="Z1448" t="e">
            <v>#N/A</v>
          </cell>
          <cell r="AA1448">
            <v>0</v>
          </cell>
          <cell r="AB1448" t="e">
            <v>#N/A</v>
          </cell>
          <cell r="AC1448" t="e">
            <v>#N/A</v>
          </cell>
        </row>
        <row r="1450">
          <cell r="D1450" t="str">
            <v>CODIGO</v>
          </cell>
          <cell r="E1450" t="str">
            <v>DESCRIPCION</v>
          </cell>
          <cell r="F1450" t="str">
            <v>UN</v>
          </cell>
          <cell r="G1450" t="str">
            <v>CANT</v>
          </cell>
          <cell r="H1450" t="str">
            <v>V/UNIT.</v>
          </cell>
          <cell r="I1450" t="str">
            <v>V/TOTAL</v>
          </cell>
          <cell r="K1450" t="str">
            <v>CANT TOTAL</v>
          </cell>
          <cell r="L1450" t="str">
            <v>Vr TOTAL</v>
          </cell>
          <cell r="Y1450" t="str">
            <v>CANT.</v>
          </cell>
          <cell r="Z1450" t="str">
            <v>V/TOTAL</v>
          </cell>
        </row>
        <row r="1451">
          <cell r="E1451" t="str">
            <v>MATERIALES</v>
          </cell>
          <cell r="I1451">
            <v>0</v>
          </cell>
          <cell r="L1451">
            <v>0</v>
          </cell>
          <cell r="Z1451">
            <v>0</v>
          </cell>
        </row>
        <row r="1452">
          <cell r="I1452">
            <v>0</v>
          </cell>
          <cell r="J1452">
            <v>0</v>
          </cell>
          <cell r="K1452">
            <v>0</v>
          </cell>
          <cell r="L1452">
            <v>0</v>
          </cell>
          <cell r="Y1452">
            <v>0</v>
          </cell>
          <cell r="Z1452">
            <v>0</v>
          </cell>
        </row>
        <row r="1453">
          <cell r="I1453">
            <v>0</v>
          </cell>
          <cell r="J1453">
            <v>0</v>
          </cell>
          <cell r="K1453">
            <v>0</v>
          </cell>
          <cell r="L1453">
            <v>0</v>
          </cell>
          <cell r="Y1453">
            <v>0</v>
          </cell>
          <cell r="Z1453">
            <v>0</v>
          </cell>
        </row>
        <row r="1454">
          <cell r="I1454">
            <v>0</v>
          </cell>
          <cell r="J1454">
            <v>0</v>
          </cell>
          <cell r="K1454">
            <v>0</v>
          </cell>
          <cell r="L1454">
            <v>0</v>
          </cell>
          <cell r="Y1454">
            <v>0</v>
          </cell>
          <cell r="Z1454">
            <v>0</v>
          </cell>
        </row>
        <row r="1456">
          <cell r="E1456" t="str">
            <v>MANO DE OBRA</v>
          </cell>
          <cell r="I1456">
            <v>16000</v>
          </cell>
          <cell r="L1456">
            <v>3232000</v>
          </cell>
          <cell r="Z1456" t="e">
            <v>#N/A</v>
          </cell>
        </row>
        <row r="1457">
          <cell r="D1457" t="str">
            <v>MOVIDPAS</v>
          </cell>
          <cell r="E1457" t="str">
            <v>Demolición Pavimento Asfaltico</v>
          </cell>
          <cell r="F1457" t="str">
            <v>M3</v>
          </cell>
          <cell r="G1457">
            <v>1</v>
          </cell>
          <cell r="H1457">
            <v>16000</v>
          </cell>
          <cell r="I1457">
            <v>16000</v>
          </cell>
          <cell r="J1457">
            <v>0</v>
          </cell>
          <cell r="K1457">
            <v>202</v>
          </cell>
          <cell r="L1457">
            <v>3232000</v>
          </cell>
          <cell r="Y1457" t="e">
            <v>#N/A</v>
          </cell>
          <cell r="Z1457" t="e">
            <v>#N/A</v>
          </cell>
        </row>
        <row r="1459">
          <cell r="E1459" t="str">
            <v>VARIOS</v>
          </cell>
          <cell r="I1459">
            <v>12250</v>
          </cell>
          <cell r="L1459">
            <v>2474500</v>
          </cell>
          <cell r="Z1459" t="e">
            <v>#N/A</v>
          </cell>
        </row>
        <row r="1460">
          <cell r="D1460" t="str">
            <v>AL04COMP</v>
          </cell>
          <cell r="E1460" t="str">
            <v>Compresor</v>
          </cell>
          <cell r="F1460" t="str">
            <v>Hr</v>
          </cell>
          <cell r="G1460">
            <v>0.28999999999999998</v>
          </cell>
          <cell r="H1460">
            <v>40000</v>
          </cell>
          <cell r="I1460">
            <v>11600</v>
          </cell>
          <cell r="J1460">
            <v>0</v>
          </cell>
          <cell r="K1460">
            <v>58.58</v>
          </cell>
          <cell r="L1460">
            <v>2343200</v>
          </cell>
          <cell r="Y1460" t="e">
            <v>#N/A</v>
          </cell>
          <cell r="Z1460" t="e">
            <v>#N/A</v>
          </cell>
        </row>
        <row r="1461">
          <cell r="D1461" t="str">
            <v>TC07H650</v>
          </cell>
          <cell r="E1461" t="str">
            <v>Herramienta</v>
          </cell>
          <cell r="F1461" t="str">
            <v>Gb</v>
          </cell>
          <cell r="G1461">
            <v>1</v>
          </cell>
          <cell r="H1461">
            <v>650</v>
          </cell>
          <cell r="I1461">
            <v>650</v>
          </cell>
          <cell r="J1461">
            <v>0</v>
          </cell>
          <cell r="K1461">
            <v>202</v>
          </cell>
          <cell r="L1461">
            <v>131300</v>
          </cell>
          <cell r="Y1461" t="e">
            <v>#N/A</v>
          </cell>
          <cell r="Z1461" t="e">
            <v>#N/A</v>
          </cell>
        </row>
        <row r="1462">
          <cell r="I1462">
            <v>0</v>
          </cell>
          <cell r="J1462">
            <v>0</v>
          </cell>
          <cell r="K1462">
            <v>0</v>
          </cell>
          <cell r="L1462">
            <v>0</v>
          </cell>
          <cell r="Y1462">
            <v>0</v>
          </cell>
          <cell r="Z1462">
            <v>0</v>
          </cell>
        </row>
        <row r="1463">
          <cell r="E1463" t="str">
            <v>SUBTOTAL</v>
          </cell>
          <cell r="I1463">
            <v>28250</v>
          </cell>
          <cell r="L1463">
            <v>5706500</v>
          </cell>
          <cell r="Z1463" t="e">
            <v>#N/A</v>
          </cell>
        </row>
        <row r="1464">
          <cell r="E1464" t="str">
            <v>A.I.U</v>
          </cell>
          <cell r="I1464">
            <v>0</v>
          </cell>
          <cell r="L1464">
            <v>0</v>
          </cell>
          <cell r="Z1464">
            <v>0</v>
          </cell>
        </row>
        <row r="1465">
          <cell r="D1465" t="str">
            <v>AIUAADMON</v>
          </cell>
          <cell r="E1465" t="str">
            <v>Admon</v>
          </cell>
          <cell r="F1465">
            <v>0</v>
          </cell>
          <cell r="I1465">
            <v>0</v>
          </cell>
          <cell r="J1465">
            <v>0</v>
          </cell>
          <cell r="L1465">
            <v>0</v>
          </cell>
          <cell r="Z1465">
            <v>0</v>
          </cell>
        </row>
        <row r="1466">
          <cell r="D1466" t="str">
            <v>AIUAIMPRE</v>
          </cell>
          <cell r="E1466" t="str">
            <v>Imprevistos</v>
          </cell>
          <cell r="F1466">
            <v>0</v>
          </cell>
          <cell r="I1466">
            <v>0</v>
          </cell>
          <cell r="J1466">
            <v>0</v>
          </cell>
          <cell r="L1466">
            <v>0</v>
          </cell>
          <cell r="Z1466">
            <v>0</v>
          </cell>
        </row>
        <row r="1467">
          <cell r="D1467" t="str">
            <v>AIUAUTILI</v>
          </cell>
          <cell r="E1467" t="str">
            <v>Utilidad</v>
          </cell>
          <cell r="F1467">
            <v>0</v>
          </cell>
          <cell r="I1467">
            <v>0</v>
          </cell>
          <cell r="J1467">
            <v>0</v>
          </cell>
          <cell r="L1467">
            <v>0</v>
          </cell>
          <cell r="Z1467">
            <v>0</v>
          </cell>
        </row>
        <row r="1468">
          <cell r="D1468" t="str">
            <v>AIUAIVAUTI</v>
          </cell>
          <cell r="E1468" t="str">
            <v>IVA utilidad</v>
          </cell>
          <cell r="F1468">
            <v>0</v>
          </cell>
          <cell r="I1468">
            <v>0</v>
          </cell>
          <cell r="J1468">
            <v>0</v>
          </cell>
          <cell r="L1468">
            <v>0</v>
          </cell>
          <cell r="Z1468">
            <v>0</v>
          </cell>
        </row>
        <row r="1470">
          <cell r="E1470" t="str">
            <v>ITEM</v>
          </cell>
        </row>
        <row r="1471">
          <cell r="D1471" t="str">
            <v>VIDPCO</v>
          </cell>
          <cell r="E1471" t="str">
            <v>Demolición pavimento Concreto</v>
          </cell>
          <cell r="G1471" t="str">
            <v>UN.</v>
          </cell>
          <cell r="H1471" t="str">
            <v>M3</v>
          </cell>
          <cell r="I1471">
            <v>28750</v>
          </cell>
          <cell r="K1471">
            <v>302</v>
          </cell>
          <cell r="L1471">
            <v>8682500</v>
          </cell>
          <cell r="N1471">
            <v>0</v>
          </cell>
          <cell r="O1471">
            <v>16500</v>
          </cell>
          <cell r="P1471">
            <v>12250</v>
          </cell>
          <cell r="Q1471">
            <v>0</v>
          </cell>
          <cell r="X1471">
            <v>8682500</v>
          </cell>
          <cell r="Y1471" t="str">
            <v>M3</v>
          </cell>
          <cell r="Z1471" t="e">
            <v>#N/A</v>
          </cell>
          <cell r="AA1471">
            <v>0</v>
          </cell>
          <cell r="AB1471" t="e">
            <v>#N/A</v>
          </cell>
          <cell r="AC1471" t="e">
            <v>#N/A</v>
          </cell>
        </row>
        <row r="1473">
          <cell r="D1473" t="str">
            <v>CODIGO</v>
          </cell>
          <cell r="E1473" t="str">
            <v>DESCRIPCION</v>
          </cell>
          <cell r="F1473" t="str">
            <v>UN</v>
          </cell>
          <cell r="G1473" t="str">
            <v>CANT</v>
          </cell>
          <cell r="H1473" t="str">
            <v>V/UNIT.</v>
          </cell>
          <cell r="I1473" t="str">
            <v>V/TOTAL</v>
          </cell>
          <cell r="K1473" t="str">
            <v>CANT TOTAL</v>
          </cell>
          <cell r="L1473" t="str">
            <v>Vr TOTAL</v>
          </cell>
          <cell r="Y1473" t="str">
            <v>CANT.</v>
          </cell>
          <cell r="Z1473" t="str">
            <v>V/TOTAL</v>
          </cell>
        </row>
        <row r="1474">
          <cell r="E1474" t="str">
            <v>MATERIALES</v>
          </cell>
          <cell r="I1474">
            <v>0</v>
          </cell>
          <cell r="L1474">
            <v>0</v>
          </cell>
          <cell r="Z1474">
            <v>0</v>
          </cell>
        </row>
        <row r="1475">
          <cell r="I1475">
            <v>0</v>
          </cell>
          <cell r="J1475">
            <v>0</v>
          </cell>
          <cell r="K1475">
            <v>0</v>
          </cell>
          <cell r="L1475">
            <v>0</v>
          </cell>
          <cell r="Y1475">
            <v>0</v>
          </cell>
          <cell r="Z1475">
            <v>0</v>
          </cell>
        </row>
        <row r="1476">
          <cell r="I1476">
            <v>0</v>
          </cell>
          <cell r="J1476">
            <v>0</v>
          </cell>
          <cell r="K1476">
            <v>0</v>
          </cell>
          <cell r="L1476">
            <v>0</v>
          </cell>
          <cell r="Y1476">
            <v>0</v>
          </cell>
          <cell r="Z1476">
            <v>0</v>
          </cell>
        </row>
        <row r="1477">
          <cell r="I1477">
            <v>0</v>
          </cell>
          <cell r="J1477">
            <v>0</v>
          </cell>
          <cell r="K1477">
            <v>0</v>
          </cell>
          <cell r="L1477">
            <v>0</v>
          </cell>
          <cell r="Y1477">
            <v>0</v>
          </cell>
          <cell r="Z1477">
            <v>0</v>
          </cell>
        </row>
        <row r="1479">
          <cell r="E1479" t="str">
            <v>MANO DE OBRA</v>
          </cell>
          <cell r="I1479">
            <v>16500</v>
          </cell>
          <cell r="L1479">
            <v>4983000</v>
          </cell>
          <cell r="Z1479" t="e">
            <v>#N/A</v>
          </cell>
        </row>
        <row r="1480">
          <cell r="D1480" t="str">
            <v>MOVIDPCO</v>
          </cell>
          <cell r="E1480" t="str">
            <v xml:space="preserve">Demolición Pavimento Concreto </v>
          </cell>
          <cell r="F1480" t="str">
            <v>M3</v>
          </cell>
          <cell r="G1480">
            <v>1</v>
          </cell>
          <cell r="H1480">
            <v>16500</v>
          </cell>
          <cell r="I1480">
            <v>16500</v>
          </cell>
          <cell r="J1480">
            <v>0</v>
          </cell>
          <cell r="K1480">
            <v>302</v>
          </cell>
          <cell r="L1480">
            <v>4983000</v>
          </cell>
          <cell r="Y1480" t="e">
            <v>#N/A</v>
          </cell>
          <cell r="Z1480" t="e">
            <v>#N/A</v>
          </cell>
        </row>
        <row r="1482">
          <cell r="E1482" t="str">
            <v>VARIOS</v>
          </cell>
          <cell r="I1482">
            <v>12250</v>
          </cell>
          <cell r="L1482">
            <v>3699500</v>
          </cell>
          <cell r="Z1482" t="e">
            <v>#N/A</v>
          </cell>
        </row>
        <row r="1483">
          <cell r="D1483" t="str">
            <v>AL04COMP</v>
          </cell>
          <cell r="E1483" t="str">
            <v>Compresor</v>
          </cell>
          <cell r="F1483" t="str">
            <v>Hr</v>
          </cell>
          <cell r="G1483">
            <v>0.28999999999999998</v>
          </cell>
          <cell r="H1483">
            <v>40000</v>
          </cell>
          <cell r="I1483">
            <v>11600</v>
          </cell>
          <cell r="J1483">
            <v>0</v>
          </cell>
          <cell r="K1483">
            <v>87.58</v>
          </cell>
          <cell r="L1483">
            <v>3503200</v>
          </cell>
          <cell r="Y1483" t="e">
            <v>#N/A</v>
          </cell>
          <cell r="Z1483" t="e">
            <v>#N/A</v>
          </cell>
        </row>
        <row r="1484">
          <cell r="D1484" t="str">
            <v>TC07H650</v>
          </cell>
          <cell r="E1484" t="str">
            <v>Herramienta</v>
          </cell>
          <cell r="F1484" t="str">
            <v>Gb</v>
          </cell>
          <cell r="G1484">
            <v>1</v>
          </cell>
          <cell r="H1484">
            <v>650</v>
          </cell>
          <cell r="I1484">
            <v>650</v>
          </cell>
          <cell r="J1484">
            <v>0</v>
          </cell>
          <cell r="K1484">
            <v>302</v>
          </cell>
          <cell r="L1484">
            <v>196300</v>
          </cell>
          <cell r="Y1484" t="e">
            <v>#N/A</v>
          </cell>
          <cell r="Z1484" t="e">
            <v>#N/A</v>
          </cell>
        </row>
        <row r="1485">
          <cell r="I1485">
            <v>0</v>
          </cell>
          <cell r="J1485">
            <v>0</v>
          </cell>
          <cell r="K1485">
            <v>0</v>
          </cell>
          <cell r="L1485">
            <v>0</v>
          </cell>
          <cell r="Y1485">
            <v>0</v>
          </cell>
          <cell r="Z1485">
            <v>0</v>
          </cell>
        </row>
        <row r="1486">
          <cell r="E1486" t="str">
            <v>SUBTOTAL</v>
          </cell>
          <cell r="I1486">
            <v>28750</v>
          </cell>
          <cell r="L1486">
            <v>8682500</v>
          </cell>
          <cell r="Z1486" t="e">
            <v>#N/A</v>
          </cell>
        </row>
        <row r="1487">
          <cell r="E1487" t="str">
            <v>A.I.U</v>
          </cell>
          <cell r="I1487">
            <v>0</v>
          </cell>
          <cell r="L1487">
            <v>0</v>
          </cell>
          <cell r="Z1487">
            <v>0</v>
          </cell>
        </row>
        <row r="1488">
          <cell r="D1488" t="str">
            <v>AIUAADMON</v>
          </cell>
          <cell r="E1488" t="str">
            <v>Admon</v>
          </cell>
          <cell r="F1488">
            <v>0</v>
          </cell>
          <cell r="I1488">
            <v>0</v>
          </cell>
          <cell r="J1488">
            <v>0</v>
          </cell>
          <cell r="L1488">
            <v>0</v>
          </cell>
          <cell r="Z1488">
            <v>0</v>
          </cell>
        </row>
        <row r="1489">
          <cell r="D1489" t="str">
            <v>AIUAIMPRE</v>
          </cell>
          <cell r="E1489" t="str">
            <v>Imprevistos</v>
          </cell>
          <cell r="F1489">
            <v>0</v>
          </cell>
          <cell r="I1489">
            <v>0</v>
          </cell>
          <cell r="J1489">
            <v>0</v>
          </cell>
          <cell r="L1489">
            <v>0</v>
          </cell>
          <cell r="Z1489">
            <v>0</v>
          </cell>
        </row>
        <row r="1490">
          <cell r="D1490" t="str">
            <v>AIUAUTILI</v>
          </cell>
          <cell r="E1490" t="str">
            <v>Utilidad</v>
          </cell>
          <cell r="F1490">
            <v>0</v>
          </cell>
          <cell r="I1490">
            <v>0</v>
          </cell>
          <cell r="J1490">
            <v>0</v>
          </cell>
          <cell r="L1490">
            <v>0</v>
          </cell>
          <cell r="Z1490">
            <v>0</v>
          </cell>
        </row>
        <row r="1491">
          <cell r="D1491" t="str">
            <v>AIUAIVAUTI</v>
          </cell>
          <cell r="E1491" t="str">
            <v>IVA utilidad</v>
          </cell>
          <cell r="F1491">
            <v>0</v>
          </cell>
          <cell r="I1491">
            <v>0</v>
          </cell>
          <cell r="J1491">
            <v>0</v>
          </cell>
          <cell r="L1491">
            <v>0</v>
          </cell>
          <cell r="Z1491">
            <v>0</v>
          </cell>
        </row>
        <row r="1493">
          <cell r="E1493" t="str">
            <v>ITEM</v>
          </cell>
        </row>
        <row r="1494">
          <cell r="D1494" t="str">
            <v>VIDSAR</v>
          </cell>
          <cell r="E1494" t="str">
            <v>Demolición Sardineles</v>
          </cell>
          <cell r="G1494" t="str">
            <v>UN.</v>
          </cell>
          <cell r="H1494" t="str">
            <v>Ml</v>
          </cell>
          <cell r="I1494">
            <v>2930</v>
          </cell>
          <cell r="K1494">
            <v>419</v>
          </cell>
          <cell r="L1494">
            <v>1227670</v>
          </cell>
          <cell r="N1494">
            <v>0</v>
          </cell>
          <cell r="O1494">
            <v>1800</v>
          </cell>
          <cell r="P1494">
            <v>1130</v>
          </cell>
          <cell r="Q1494">
            <v>0</v>
          </cell>
          <cell r="X1494">
            <v>1227670</v>
          </cell>
          <cell r="Y1494" t="str">
            <v>Ml</v>
          </cell>
          <cell r="Z1494" t="e">
            <v>#N/A</v>
          </cell>
          <cell r="AA1494">
            <v>0</v>
          </cell>
          <cell r="AB1494" t="e">
            <v>#N/A</v>
          </cell>
          <cell r="AC1494" t="e">
            <v>#N/A</v>
          </cell>
        </row>
        <row r="1496">
          <cell r="D1496" t="str">
            <v>CODIGO</v>
          </cell>
          <cell r="E1496" t="str">
            <v>DESCRIPCION</v>
          </cell>
          <cell r="F1496" t="str">
            <v>UN</v>
          </cell>
          <cell r="G1496" t="str">
            <v>CANT</v>
          </cell>
          <cell r="H1496" t="str">
            <v>V/UNIT.</v>
          </cell>
          <cell r="I1496" t="str">
            <v>V/TOTAL</v>
          </cell>
          <cell r="K1496" t="str">
            <v>CANT TOTAL</v>
          </cell>
          <cell r="L1496" t="str">
            <v>Vr TOTAL</v>
          </cell>
          <cell r="Y1496" t="str">
            <v>CANT.</v>
          </cell>
          <cell r="Z1496" t="str">
            <v>V/TOTAL</v>
          </cell>
        </row>
        <row r="1497">
          <cell r="E1497" t="str">
            <v>MATERIALES</v>
          </cell>
          <cell r="I1497">
            <v>0</v>
          </cell>
          <cell r="L1497">
            <v>0</v>
          </cell>
          <cell r="Z1497">
            <v>0</v>
          </cell>
        </row>
        <row r="1498">
          <cell r="I1498">
            <v>0</v>
          </cell>
          <cell r="J1498">
            <v>0</v>
          </cell>
          <cell r="K1498">
            <v>0</v>
          </cell>
          <cell r="L1498">
            <v>0</v>
          </cell>
          <cell r="Y1498">
            <v>0</v>
          </cell>
          <cell r="Z1498">
            <v>0</v>
          </cell>
        </row>
        <row r="1499">
          <cell r="I1499">
            <v>0</v>
          </cell>
          <cell r="J1499">
            <v>0</v>
          </cell>
          <cell r="K1499">
            <v>0</v>
          </cell>
          <cell r="L1499">
            <v>0</v>
          </cell>
          <cell r="Y1499">
            <v>0</v>
          </cell>
          <cell r="Z1499">
            <v>0</v>
          </cell>
        </row>
        <row r="1500">
          <cell r="I1500">
            <v>0</v>
          </cell>
          <cell r="J1500">
            <v>0</v>
          </cell>
          <cell r="K1500">
            <v>0</v>
          </cell>
          <cell r="L1500">
            <v>0</v>
          </cell>
          <cell r="Y1500">
            <v>0</v>
          </cell>
          <cell r="Z1500">
            <v>0</v>
          </cell>
        </row>
        <row r="1502">
          <cell r="E1502" t="str">
            <v>MANO DE OBRA</v>
          </cell>
          <cell r="I1502">
            <v>1800</v>
          </cell>
          <cell r="L1502">
            <v>754200</v>
          </cell>
          <cell r="Z1502" t="e">
            <v>#N/A</v>
          </cell>
        </row>
        <row r="1503">
          <cell r="D1503" t="str">
            <v>MOVIDSAR</v>
          </cell>
          <cell r="E1503" t="str">
            <v xml:space="preserve">Demolición Sardineles Concreto </v>
          </cell>
          <cell r="F1503" t="str">
            <v>Ml</v>
          </cell>
          <cell r="G1503">
            <v>1</v>
          </cell>
          <cell r="H1503">
            <v>1800</v>
          </cell>
          <cell r="I1503">
            <v>1800</v>
          </cell>
          <cell r="J1503">
            <v>0</v>
          </cell>
          <cell r="K1503">
            <v>419</v>
          </cell>
          <cell r="L1503">
            <v>754200</v>
          </cell>
          <cell r="Y1503" t="e">
            <v>#N/A</v>
          </cell>
          <cell r="Z1503" t="e">
            <v>#N/A</v>
          </cell>
        </row>
        <row r="1505">
          <cell r="E1505" t="str">
            <v>VARIOS</v>
          </cell>
          <cell r="I1505">
            <v>1130</v>
          </cell>
          <cell r="L1505">
            <v>473470</v>
          </cell>
          <cell r="Z1505" t="e">
            <v>#N/A</v>
          </cell>
        </row>
        <row r="1506">
          <cell r="D1506" t="str">
            <v>AL04COMP</v>
          </cell>
          <cell r="E1506" t="str">
            <v>Compresor</v>
          </cell>
          <cell r="F1506" t="str">
            <v>Hr</v>
          </cell>
          <cell r="G1506">
            <v>1.2E-2</v>
          </cell>
          <cell r="H1506">
            <v>40000</v>
          </cell>
          <cell r="I1506">
            <v>480</v>
          </cell>
          <cell r="J1506">
            <v>0</v>
          </cell>
          <cell r="K1506">
            <v>5.0280000000000005</v>
          </cell>
          <cell r="L1506">
            <v>201120.00000000003</v>
          </cell>
          <cell r="Y1506" t="e">
            <v>#N/A</v>
          </cell>
          <cell r="Z1506" t="e">
            <v>#N/A</v>
          </cell>
        </row>
        <row r="1507">
          <cell r="D1507" t="str">
            <v>TC07H650</v>
          </cell>
          <cell r="E1507" t="str">
            <v>Herramienta</v>
          </cell>
          <cell r="F1507" t="str">
            <v>Gb</v>
          </cell>
          <cell r="G1507">
            <v>1</v>
          </cell>
          <cell r="H1507">
            <v>650</v>
          </cell>
          <cell r="I1507">
            <v>650</v>
          </cell>
          <cell r="J1507">
            <v>0</v>
          </cell>
          <cell r="K1507">
            <v>419</v>
          </cell>
          <cell r="L1507">
            <v>272350</v>
          </cell>
          <cell r="Y1507" t="e">
            <v>#N/A</v>
          </cell>
          <cell r="Z1507" t="e">
            <v>#N/A</v>
          </cell>
        </row>
        <row r="1508">
          <cell r="I1508">
            <v>0</v>
          </cell>
          <cell r="J1508">
            <v>0</v>
          </cell>
          <cell r="K1508">
            <v>0</v>
          </cell>
          <cell r="L1508">
            <v>0</v>
          </cell>
          <cell r="Y1508">
            <v>0</v>
          </cell>
          <cell r="Z1508">
            <v>0</v>
          </cell>
        </row>
        <row r="1509">
          <cell r="E1509" t="str">
            <v>SUBTOTAL</v>
          </cell>
          <cell r="I1509">
            <v>2930</v>
          </cell>
          <cell r="L1509">
            <v>1227670</v>
          </cell>
          <cell r="Z1509" t="e">
            <v>#N/A</v>
          </cell>
        </row>
        <row r="1510">
          <cell r="E1510" t="str">
            <v>A.I.U</v>
          </cell>
          <cell r="I1510">
            <v>0</v>
          </cell>
          <cell r="L1510">
            <v>0</v>
          </cell>
          <cell r="Z1510">
            <v>0</v>
          </cell>
        </row>
        <row r="1511">
          <cell r="D1511" t="str">
            <v>AIUAADMON</v>
          </cell>
          <cell r="E1511" t="str">
            <v>Admon</v>
          </cell>
          <cell r="F1511">
            <v>0</v>
          </cell>
          <cell r="I1511">
            <v>0</v>
          </cell>
          <cell r="J1511">
            <v>0</v>
          </cell>
          <cell r="L1511">
            <v>0</v>
          </cell>
          <cell r="Z1511">
            <v>0</v>
          </cell>
        </row>
        <row r="1512">
          <cell r="D1512" t="str">
            <v>AIUAIMPRE</v>
          </cell>
          <cell r="E1512" t="str">
            <v>Imprevistos</v>
          </cell>
          <cell r="F1512">
            <v>0</v>
          </cell>
          <cell r="I1512">
            <v>0</v>
          </cell>
          <cell r="J1512">
            <v>0</v>
          </cell>
          <cell r="L1512">
            <v>0</v>
          </cell>
          <cell r="Z1512">
            <v>0</v>
          </cell>
        </row>
        <row r="1513">
          <cell r="D1513" t="str">
            <v>AIUAUTILI</v>
          </cell>
          <cell r="E1513" t="str">
            <v>Utilidad</v>
          </cell>
          <cell r="F1513">
            <v>0</v>
          </cell>
          <cell r="I1513">
            <v>0</v>
          </cell>
          <cell r="J1513">
            <v>0</v>
          </cell>
          <cell r="L1513">
            <v>0</v>
          </cell>
          <cell r="Z1513">
            <v>0</v>
          </cell>
        </row>
        <row r="1514">
          <cell r="D1514" t="str">
            <v>AIUAIVAUTI</v>
          </cell>
          <cell r="E1514" t="str">
            <v>IVA utilidad</v>
          </cell>
          <cell r="F1514">
            <v>0</v>
          </cell>
          <cell r="I1514">
            <v>0</v>
          </cell>
          <cell r="J1514">
            <v>0</v>
          </cell>
          <cell r="L1514">
            <v>0</v>
          </cell>
          <cell r="Z1514">
            <v>0</v>
          </cell>
        </row>
        <row r="1516">
          <cell r="E1516" t="str">
            <v>ITEM</v>
          </cell>
        </row>
        <row r="1517">
          <cell r="D1517" t="str">
            <v>VIDRAA</v>
          </cell>
          <cell r="E1517" t="str">
            <v>Demolición y Retiro Andenes en Adoquin</v>
          </cell>
          <cell r="G1517" t="str">
            <v>UN.</v>
          </cell>
          <cell r="H1517" t="str">
            <v>M2</v>
          </cell>
          <cell r="I1517">
            <v>18250</v>
          </cell>
          <cell r="K1517">
            <v>273</v>
          </cell>
          <cell r="L1517">
            <v>4982250</v>
          </cell>
          <cell r="N1517">
            <v>0</v>
          </cell>
          <cell r="O1517">
            <v>3800</v>
          </cell>
          <cell r="P1517">
            <v>14450</v>
          </cell>
          <cell r="Q1517">
            <v>0</v>
          </cell>
          <cell r="X1517">
            <v>4982250</v>
          </cell>
          <cell r="Y1517" t="str">
            <v>M2</v>
          </cell>
          <cell r="Z1517" t="e">
            <v>#N/A</v>
          </cell>
          <cell r="AA1517">
            <v>0</v>
          </cell>
          <cell r="AB1517" t="e">
            <v>#N/A</v>
          </cell>
          <cell r="AC1517" t="e">
            <v>#N/A</v>
          </cell>
        </row>
        <row r="1519">
          <cell r="D1519" t="str">
            <v>CODIGO</v>
          </cell>
          <cell r="E1519" t="str">
            <v>DESCRIPCION</v>
          </cell>
          <cell r="F1519" t="str">
            <v>UN</v>
          </cell>
          <cell r="G1519" t="str">
            <v>CANT</v>
          </cell>
          <cell r="H1519" t="str">
            <v>V/UNIT.</v>
          </cell>
          <cell r="I1519" t="str">
            <v>V/TOTAL</v>
          </cell>
          <cell r="K1519" t="str">
            <v>CANT TOTAL</v>
          </cell>
          <cell r="L1519" t="str">
            <v>Vr TOTAL</v>
          </cell>
          <cell r="Y1519" t="str">
            <v>CANT.</v>
          </cell>
          <cell r="Z1519" t="str">
            <v>V/TOTAL</v>
          </cell>
        </row>
        <row r="1520">
          <cell r="E1520" t="str">
            <v>MATERIALES</v>
          </cell>
          <cell r="I1520">
            <v>0</v>
          </cell>
          <cell r="L1520">
            <v>0</v>
          </cell>
          <cell r="Z1520">
            <v>0</v>
          </cell>
        </row>
        <row r="1521">
          <cell r="I1521">
            <v>0</v>
          </cell>
          <cell r="J1521">
            <v>0</v>
          </cell>
          <cell r="K1521">
            <v>0</v>
          </cell>
          <cell r="L1521">
            <v>0</v>
          </cell>
          <cell r="Y1521">
            <v>0</v>
          </cell>
          <cell r="Z1521">
            <v>0</v>
          </cell>
        </row>
        <row r="1522">
          <cell r="I1522">
            <v>0</v>
          </cell>
          <cell r="J1522">
            <v>0</v>
          </cell>
          <cell r="K1522">
            <v>0</v>
          </cell>
          <cell r="L1522">
            <v>0</v>
          </cell>
          <cell r="Y1522">
            <v>0</v>
          </cell>
          <cell r="Z1522">
            <v>0</v>
          </cell>
        </row>
        <row r="1523">
          <cell r="I1523">
            <v>0</v>
          </cell>
          <cell r="J1523">
            <v>0</v>
          </cell>
          <cell r="K1523">
            <v>0</v>
          </cell>
          <cell r="L1523">
            <v>0</v>
          </cell>
          <cell r="Y1523">
            <v>0</v>
          </cell>
          <cell r="Z1523">
            <v>0</v>
          </cell>
        </row>
        <row r="1525">
          <cell r="E1525" t="str">
            <v>MANO DE OBRA</v>
          </cell>
          <cell r="I1525">
            <v>3800</v>
          </cell>
          <cell r="L1525">
            <v>1037400</v>
          </cell>
          <cell r="Z1525" t="e">
            <v>#N/A</v>
          </cell>
        </row>
        <row r="1526">
          <cell r="D1526" t="str">
            <v>MOVIDRAA</v>
          </cell>
          <cell r="E1526" t="str">
            <v>Demolición Andenes Adoquin</v>
          </cell>
          <cell r="F1526" t="str">
            <v>M2</v>
          </cell>
          <cell r="G1526">
            <v>1</v>
          </cell>
          <cell r="H1526">
            <v>3800</v>
          </cell>
          <cell r="I1526">
            <v>3800</v>
          </cell>
          <cell r="J1526">
            <v>0</v>
          </cell>
          <cell r="K1526">
            <v>273</v>
          </cell>
          <cell r="L1526">
            <v>1037400</v>
          </cell>
          <cell r="Y1526" t="e">
            <v>#N/A</v>
          </cell>
          <cell r="Z1526" t="e">
            <v>#N/A</v>
          </cell>
        </row>
        <row r="1528">
          <cell r="E1528" t="str">
            <v>VARIOS</v>
          </cell>
          <cell r="I1528">
            <v>14450</v>
          </cell>
          <cell r="L1528">
            <v>3944850</v>
          </cell>
          <cell r="Z1528" t="e">
            <v>#N/A</v>
          </cell>
        </row>
        <row r="1529">
          <cell r="D1529" t="str">
            <v>TC60V</v>
          </cell>
          <cell r="E1529" t="str">
            <v>Volqueta</v>
          </cell>
          <cell r="F1529" t="str">
            <v>Vj</v>
          </cell>
          <cell r="G1529">
            <v>0.23</v>
          </cell>
          <cell r="H1529">
            <v>60000</v>
          </cell>
          <cell r="I1529">
            <v>13800</v>
          </cell>
          <cell r="J1529">
            <v>0</v>
          </cell>
          <cell r="K1529">
            <v>62.790000000000006</v>
          </cell>
          <cell r="L1529">
            <v>3767400.0000000005</v>
          </cell>
          <cell r="Y1529" t="e">
            <v>#N/A</v>
          </cell>
          <cell r="Z1529" t="e">
            <v>#N/A</v>
          </cell>
        </row>
        <row r="1530">
          <cell r="D1530" t="str">
            <v>TC07H650</v>
          </cell>
          <cell r="E1530" t="str">
            <v>Herramienta</v>
          </cell>
          <cell r="F1530" t="str">
            <v>Gb</v>
          </cell>
          <cell r="G1530">
            <v>1</v>
          </cell>
          <cell r="H1530">
            <v>650</v>
          </cell>
          <cell r="I1530">
            <v>650</v>
          </cell>
          <cell r="J1530">
            <v>0</v>
          </cell>
          <cell r="K1530">
            <v>273</v>
          </cell>
          <cell r="L1530">
            <v>177450</v>
          </cell>
          <cell r="Y1530" t="e">
            <v>#N/A</v>
          </cell>
          <cell r="Z1530" t="e">
            <v>#N/A</v>
          </cell>
        </row>
        <row r="1531">
          <cell r="I1531">
            <v>0</v>
          </cell>
          <cell r="J1531">
            <v>0</v>
          </cell>
          <cell r="K1531">
            <v>0</v>
          </cell>
          <cell r="L1531">
            <v>0</v>
          </cell>
          <cell r="Y1531">
            <v>0</v>
          </cell>
          <cell r="Z1531">
            <v>0</v>
          </cell>
        </row>
        <row r="1532">
          <cell r="E1532" t="str">
            <v>SUBTOTAL</v>
          </cell>
          <cell r="I1532">
            <v>18250</v>
          </cell>
          <cell r="L1532">
            <v>4982250</v>
          </cell>
          <cell r="Z1532" t="e">
            <v>#N/A</v>
          </cell>
        </row>
        <row r="1533">
          <cell r="E1533" t="str">
            <v>A.I.U</v>
          </cell>
          <cell r="I1533">
            <v>0</v>
          </cell>
          <cell r="L1533">
            <v>0</v>
          </cell>
          <cell r="Z1533">
            <v>0</v>
          </cell>
        </row>
        <row r="1534">
          <cell r="D1534" t="str">
            <v>AIUAADMON</v>
          </cell>
          <cell r="E1534" t="str">
            <v>Admon</v>
          </cell>
          <cell r="F1534">
            <v>0</v>
          </cell>
          <cell r="I1534">
            <v>0</v>
          </cell>
          <cell r="J1534">
            <v>0</v>
          </cell>
          <cell r="L1534">
            <v>0</v>
          </cell>
          <cell r="Z1534">
            <v>0</v>
          </cell>
        </row>
        <row r="1535">
          <cell r="D1535" t="str">
            <v>AIUAIMPRE</v>
          </cell>
          <cell r="E1535" t="str">
            <v>Imprevistos</v>
          </cell>
          <cell r="F1535">
            <v>0</v>
          </cell>
          <cell r="I1535">
            <v>0</v>
          </cell>
          <cell r="J1535">
            <v>0</v>
          </cell>
          <cell r="L1535">
            <v>0</v>
          </cell>
          <cell r="Z1535">
            <v>0</v>
          </cell>
        </row>
        <row r="1536">
          <cell r="D1536" t="str">
            <v>AIUAUTILI</v>
          </cell>
          <cell r="E1536" t="str">
            <v>Utilidad</v>
          </cell>
          <cell r="F1536">
            <v>0</v>
          </cell>
          <cell r="I1536">
            <v>0</v>
          </cell>
          <cell r="J1536">
            <v>0</v>
          </cell>
          <cell r="L1536">
            <v>0</v>
          </cell>
          <cell r="Z1536">
            <v>0</v>
          </cell>
        </row>
        <row r="1537">
          <cell r="D1537" t="str">
            <v>AIUAIVAUTI</v>
          </cell>
          <cell r="E1537" t="str">
            <v>IVA utilidad</v>
          </cell>
          <cell r="F1537">
            <v>0</v>
          </cell>
          <cell r="I1537">
            <v>0</v>
          </cell>
          <cell r="J1537">
            <v>0</v>
          </cell>
          <cell r="L1537">
            <v>0</v>
          </cell>
          <cell r="Z1537">
            <v>0</v>
          </cell>
        </row>
        <row r="1539">
          <cell r="E1539" t="str">
            <v>ITEM</v>
          </cell>
        </row>
        <row r="1540">
          <cell r="D1540" t="str">
            <v>VIPR43</v>
          </cell>
          <cell r="E1540" t="str">
            <v>pavimento Rgido MR-43</v>
          </cell>
          <cell r="G1540" t="str">
            <v>UN.</v>
          </cell>
          <cell r="H1540" t="str">
            <v>M3</v>
          </cell>
          <cell r="I1540">
            <v>246195.75</v>
          </cell>
          <cell r="K1540">
            <v>302</v>
          </cell>
          <cell r="L1540">
            <v>74351116.5</v>
          </cell>
          <cell r="N1540">
            <v>236415.75</v>
          </cell>
          <cell r="O1540">
            <v>4200</v>
          </cell>
          <cell r="P1540">
            <v>5580</v>
          </cell>
          <cell r="Q1540">
            <v>0</v>
          </cell>
          <cell r="X1540">
            <v>74351116.5</v>
          </cell>
          <cell r="Y1540" t="str">
            <v>M3</v>
          </cell>
          <cell r="Z1540" t="e">
            <v>#N/A</v>
          </cell>
          <cell r="AA1540" t="e">
            <v>#N/A</v>
          </cell>
          <cell r="AB1540" t="e">
            <v>#N/A</v>
          </cell>
          <cell r="AC1540" t="e">
            <v>#N/A</v>
          </cell>
        </row>
        <row r="1542">
          <cell r="D1542" t="str">
            <v>CODIGO</v>
          </cell>
          <cell r="E1542" t="str">
            <v>DESCRIPCION</v>
          </cell>
          <cell r="F1542" t="str">
            <v>UN</v>
          </cell>
          <cell r="G1542" t="str">
            <v>CANT</v>
          </cell>
          <cell r="H1542" t="str">
            <v>V/UNIT.</v>
          </cell>
          <cell r="I1542" t="str">
            <v>V/TOTAL</v>
          </cell>
          <cell r="K1542" t="str">
            <v>CANT TOTAL</v>
          </cell>
          <cell r="L1542" t="str">
            <v>Vr TOTAL</v>
          </cell>
          <cell r="Y1542" t="str">
            <v>CANT.</v>
          </cell>
          <cell r="Z1542" t="str">
            <v>V/TOTAL</v>
          </cell>
        </row>
        <row r="1543">
          <cell r="E1543" t="str">
            <v>MATERIALES</v>
          </cell>
          <cell r="I1543">
            <v>236415.75</v>
          </cell>
          <cell r="L1543">
            <v>71397556.5</v>
          </cell>
          <cell r="Z1543" t="e">
            <v>#N/A</v>
          </cell>
        </row>
        <row r="1544">
          <cell r="D1544" t="str">
            <v>MA04CRMR43</v>
          </cell>
          <cell r="E1544" t="str">
            <v>Concreto Rigido MR-43</v>
          </cell>
          <cell r="F1544" t="str">
            <v>M3</v>
          </cell>
          <cell r="G1544">
            <v>1.01</v>
          </cell>
          <cell r="H1544">
            <v>234075</v>
          </cell>
          <cell r="I1544">
            <v>236415.75</v>
          </cell>
          <cell r="J1544">
            <v>0</v>
          </cell>
          <cell r="K1544">
            <v>305.02</v>
          </cell>
          <cell r="L1544">
            <v>71397556.5</v>
          </cell>
          <cell r="Y1544" t="e">
            <v>#N/A</v>
          </cell>
          <cell r="Z1544" t="e">
            <v>#N/A</v>
          </cell>
        </row>
        <row r="1545">
          <cell r="I1545">
            <v>0</v>
          </cell>
          <cell r="J1545">
            <v>0</v>
          </cell>
          <cell r="K1545">
            <v>0</v>
          </cell>
          <cell r="L1545">
            <v>0</v>
          </cell>
          <cell r="Y1545">
            <v>0</v>
          </cell>
          <cell r="Z1545">
            <v>0</v>
          </cell>
        </row>
        <row r="1546">
          <cell r="I1546">
            <v>0</v>
          </cell>
          <cell r="J1546">
            <v>0</v>
          </cell>
          <cell r="K1546">
            <v>0</v>
          </cell>
          <cell r="L1546">
            <v>0</v>
          </cell>
          <cell r="Y1546">
            <v>0</v>
          </cell>
          <cell r="Z1546">
            <v>0</v>
          </cell>
        </row>
        <row r="1548">
          <cell r="E1548" t="str">
            <v>MANO DE OBRA</v>
          </cell>
          <cell r="I1548">
            <v>4200</v>
          </cell>
          <cell r="L1548">
            <v>1268400</v>
          </cell>
          <cell r="Z1548" t="e">
            <v>#N/A</v>
          </cell>
        </row>
        <row r="1549">
          <cell r="D1549" t="str">
            <v>MOVIPR</v>
          </cell>
          <cell r="E1549" t="str">
            <v>Pavimento Rigido</v>
          </cell>
          <cell r="F1549" t="str">
            <v>M2</v>
          </cell>
          <cell r="G1549">
            <v>1</v>
          </cell>
          <cell r="H1549">
            <v>4200</v>
          </cell>
          <cell r="I1549">
            <v>4200</v>
          </cell>
          <cell r="J1549">
            <v>0</v>
          </cell>
          <cell r="K1549">
            <v>302</v>
          </cell>
          <cell r="L1549">
            <v>1268400</v>
          </cell>
          <cell r="Y1549" t="e">
            <v>#N/A</v>
          </cell>
          <cell r="Z1549" t="e">
            <v>#N/A</v>
          </cell>
        </row>
        <row r="1551">
          <cell r="E1551" t="str">
            <v>VARIOS</v>
          </cell>
          <cell r="I1551">
            <v>5580</v>
          </cell>
          <cell r="L1551">
            <v>1685160</v>
          </cell>
          <cell r="Z1551" t="e">
            <v>#N/A</v>
          </cell>
        </row>
        <row r="1552">
          <cell r="D1552" t="str">
            <v>TC07H600</v>
          </cell>
          <cell r="E1552" t="str">
            <v>Herramienta y Varios</v>
          </cell>
          <cell r="F1552" t="str">
            <v>Gb</v>
          </cell>
          <cell r="G1552">
            <v>1</v>
          </cell>
          <cell r="H1552">
            <v>600</v>
          </cell>
          <cell r="I1552">
            <v>600</v>
          </cell>
          <cell r="J1552">
            <v>0</v>
          </cell>
          <cell r="K1552">
            <v>302</v>
          </cell>
          <cell r="L1552">
            <v>181200</v>
          </cell>
          <cell r="Y1552" t="e">
            <v>#N/A</v>
          </cell>
          <cell r="Z1552" t="e">
            <v>#N/A</v>
          </cell>
        </row>
        <row r="1553">
          <cell r="D1553" t="str">
            <v>AL04AFOR</v>
          </cell>
          <cell r="E1553" t="str">
            <v>Alquiler Formaleta</v>
          </cell>
          <cell r="F1553" t="str">
            <v>Ml</v>
          </cell>
          <cell r="G1553">
            <v>1</v>
          </cell>
          <cell r="H1553">
            <v>480</v>
          </cell>
          <cell r="I1553">
            <v>480</v>
          </cell>
          <cell r="J1553">
            <v>0</v>
          </cell>
          <cell r="K1553">
            <v>302</v>
          </cell>
          <cell r="L1553">
            <v>144960</v>
          </cell>
          <cell r="Y1553" t="e">
            <v>#N/A</v>
          </cell>
          <cell r="Z1553" t="e">
            <v>#N/A</v>
          </cell>
        </row>
        <row r="1554">
          <cell r="D1554" t="str">
            <v>AL07RVI</v>
          </cell>
          <cell r="E1554" t="str">
            <v>Regla Vibratoria</v>
          </cell>
          <cell r="F1554" t="str">
            <v>Hr</v>
          </cell>
          <cell r="G1554">
            <v>0.1</v>
          </cell>
          <cell r="H1554">
            <v>45000</v>
          </cell>
          <cell r="I1554">
            <v>4500</v>
          </cell>
          <cell r="J1554">
            <v>0</v>
          </cell>
          <cell r="K1554">
            <v>30.200000000000003</v>
          </cell>
          <cell r="L1554">
            <v>1359000.0000000002</v>
          </cell>
          <cell r="Y1554" t="e">
            <v>#N/A</v>
          </cell>
          <cell r="Z1554" t="e">
            <v>#N/A</v>
          </cell>
        </row>
        <row r="1555">
          <cell r="E1555" t="str">
            <v>SUBTOTAL</v>
          </cell>
          <cell r="I1555">
            <v>246195.75</v>
          </cell>
          <cell r="L1555">
            <v>74351116.5</v>
          </cell>
          <cell r="Z1555" t="e">
            <v>#N/A</v>
          </cell>
        </row>
        <row r="1556">
          <cell r="E1556" t="str">
            <v>A.I.U</v>
          </cell>
          <cell r="I1556">
            <v>0</v>
          </cell>
          <cell r="L1556">
            <v>0</v>
          </cell>
          <cell r="Z1556">
            <v>0</v>
          </cell>
        </row>
        <row r="1557">
          <cell r="D1557" t="str">
            <v>AIUAADMON</v>
          </cell>
          <cell r="E1557" t="str">
            <v>Admon</v>
          </cell>
          <cell r="F1557">
            <v>0</v>
          </cell>
          <cell r="I1557">
            <v>0</v>
          </cell>
          <cell r="J1557">
            <v>0</v>
          </cell>
          <cell r="L1557">
            <v>0</v>
          </cell>
          <cell r="Z1557">
            <v>0</v>
          </cell>
        </row>
        <row r="1558">
          <cell r="D1558" t="str">
            <v>AIUAIMPRE</v>
          </cell>
          <cell r="E1558" t="str">
            <v>Imprevistos</v>
          </cell>
          <cell r="F1558">
            <v>0</v>
          </cell>
          <cell r="I1558">
            <v>0</v>
          </cell>
          <cell r="J1558">
            <v>0</v>
          </cell>
          <cell r="L1558">
            <v>0</v>
          </cell>
          <cell r="Z1558">
            <v>0</v>
          </cell>
        </row>
        <row r="1559">
          <cell r="D1559" t="str">
            <v>AIUAUTILI</v>
          </cell>
          <cell r="E1559" t="str">
            <v>Utilidad</v>
          </cell>
          <cell r="F1559">
            <v>0</v>
          </cell>
          <cell r="I1559">
            <v>0</v>
          </cell>
          <cell r="J1559">
            <v>0</v>
          </cell>
          <cell r="L1559">
            <v>0</v>
          </cell>
          <cell r="Z1559">
            <v>0</v>
          </cell>
        </row>
        <row r="1560">
          <cell r="D1560" t="str">
            <v>AIUAIVAUTI</v>
          </cell>
          <cell r="E1560" t="str">
            <v>IVA utilidad</v>
          </cell>
          <cell r="F1560">
            <v>0</v>
          </cell>
          <cell r="I1560">
            <v>0</v>
          </cell>
          <cell r="J1560">
            <v>0</v>
          </cell>
          <cell r="L1560">
            <v>0</v>
          </cell>
          <cell r="Z1560">
            <v>0</v>
          </cell>
        </row>
        <row r="1562">
          <cell r="E1562" t="str">
            <v>ITEM</v>
          </cell>
        </row>
        <row r="1563">
          <cell r="D1563" t="str">
            <v>VIBG400</v>
          </cell>
          <cell r="E1563" t="str">
            <v>Sub Base Granular B-400</v>
          </cell>
          <cell r="G1563" t="str">
            <v>UN.</v>
          </cell>
          <cell r="H1563" t="str">
            <v>M3</v>
          </cell>
          <cell r="I1563">
            <v>37700</v>
          </cell>
          <cell r="K1563">
            <v>326</v>
          </cell>
          <cell r="L1563">
            <v>12290200</v>
          </cell>
          <cell r="N1563">
            <v>32460</v>
          </cell>
          <cell r="O1563">
            <v>200</v>
          </cell>
          <cell r="P1563">
            <v>5040</v>
          </cell>
          <cell r="Q1563">
            <v>0</v>
          </cell>
          <cell r="X1563">
            <v>12290200</v>
          </cell>
          <cell r="Y1563" t="str">
            <v>M3</v>
          </cell>
          <cell r="Z1563" t="e">
            <v>#VALUE!</v>
          </cell>
          <cell r="AA1563" t="e">
            <v>#VALUE!</v>
          </cell>
          <cell r="AB1563" t="e">
            <v>#VALUE!</v>
          </cell>
          <cell r="AC1563" t="e">
            <v>#VALUE!</v>
          </cell>
        </row>
        <row r="1565">
          <cell r="D1565" t="str">
            <v>CODIGO</v>
          </cell>
          <cell r="E1565" t="str">
            <v>DESCRIPCION</v>
          </cell>
          <cell r="F1565" t="str">
            <v>UN</v>
          </cell>
          <cell r="G1565" t="str">
            <v>CANT</v>
          </cell>
          <cell r="H1565" t="str">
            <v>V/UNIT.</v>
          </cell>
          <cell r="I1565" t="str">
            <v>V/TOTAL</v>
          </cell>
          <cell r="K1565" t="str">
            <v>CANT TOTAL</v>
          </cell>
          <cell r="L1565" t="str">
            <v>Vr TOTAL</v>
          </cell>
          <cell r="Y1565" t="str">
            <v>CANT.</v>
          </cell>
          <cell r="Z1565" t="str">
            <v>V/TOTAL</v>
          </cell>
        </row>
        <row r="1566">
          <cell r="E1566" t="str">
            <v>MATERIALES</v>
          </cell>
          <cell r="I1566">
            <v>32460</v>
          </cell>
          <cell r="L1566">
            <v>10581960</v>
          </cell>
          <cell r="Z1566" t="e">
            <v>#VALUE!</v>
          </cell>
        </row>
        <row r="1567">
          <cell r="D1567" t="str">
            <v>MA02BG400</v>
          </cell>
          <cell r="E1567" t="str">
            <v>SubBase Granular B-400</v>
          </cell>
          <cell r="F1567" t="str">
            <v>M3</v>
          </cell>
          <cell r="G1567">
            <v>1.28</v>
          </cell>
          <cell r="H1567">
            <v>11000</v>
          </cell>
          <cell r="I1567">
            <v>14080</v>
          </cell>
          <cell r="J1567">
            <v>0</v>
          </cell>
          <cell r="K1567">
            <v>417.28000000000003</v>
          </cell>
          <cell r="L1567">
            <v>4590080</v>
          </cell>
          <cell r="Y1567" t="e">
            <v>#VALUE!</v>
          </cell>
          <cell r="Z1567" t="e">
            <v>#VALUE!</v>
          </cell>
        </row>
        <row r="1568">
          <cell r="D1568" t="str">
            <v>TC09TR</v>
          </cell>
          <cell r="E1568" t="str">
            <v>Transporte Recebo</v>
          </cell>
          <cell r="F1568" t="str">
            <v>Vj</v>
          </cell>
          <cell r="G1568">
            <v>0.21333333333333335</v>
          </cell>
          <cell r="H1568">
            <v>81000</v>
          </cell>
          <cell r="I1568">
            <v>17280</v>
          </cell>
          <cell r="J1568">
            <v>0</v>
          </cell>
          <cell r="K1568">
            <v>69.546666666666667</v>
          </cell>
          <cell r="L1568">
            <v>5633280</v>
          </cell>
          <cell r="Y1568" t="e">
            <v>#VALUE!</v>
          </cell>
          <cell r="Z1568" t="e">
            <v>#VALUE!</v>
          </cell>
        </row>
        <row r="1569">
          <cell r="D1569" t="str">
            <v>TC16AGUA</v>
          </cell>
          <cell r="E1569" t="str">
            <v>Agua</v>
          </cell>
          <cell r="F1569" t="str">
            <v>M3</v>
          </cell>
          <cell r="G1569">
            <v>0.11</v>
          </cell>
          <cell r="H1569">
            <v>10000</v>
          </cell>
          <cell r="I1569">
            <v>1100</v>
          </cell>
          <cell r="J1569">
            <v>0</v>
          </cell>
          <cell r="K1569">
            <v>35.86</v>
          </cell>
          <cell r="L1569">
            <v>358600</v>
          </cell>
          <cell r="Y1569" t="e">
            <v>#VALUE!</v>
          </cell>
          <cell r="Z1569" t="e">
            <v>#VALUE!</v>
          </cell>
        </row>
        <row r="1571">
          <cell r="E1571" t="str">
            <v>MANO DE OBRA</v>
          </cell>
          <cell r="I1571">
            <v>200</v>
          </cell>
          <cell r="L1571">
            <v>65200</v>
          </cell>
          <cell r="Z1571" t="e">
            <v>#VALUE!</v>
          </cell>
        </row>
        <row r="1572">
          <cell r="D1572" t="str">
            <v>MOVIARC</v>
          </cell>
          <cell r="E1572" t="str">
            <v>Ayudante Recebo Compacto</v>
          </cell>
          <cell r="F1572" t="str">
            <v>M3</v>
          </cell>
          <cell r="G1572">
            <v>1</v>
          </cell>
          <cell r="H1572">
            <v>200</v>
          </cell>
          <cell r="I1572">
            <v>200</v>
          </cell>
          <cell r="J1572">
            <v>0</v>
          </cell>
          <cell r="K1572">
            <v>326</v>
          </cell>
          <cell r="L1572">
            <v>65200</v>
          </cell>
          <cell r="Y1572" t="e">
            <v>#VALUE!</v>
          </cell>
          <cell r="Z1572" t="e">
            <v>#VALUE!</v>
          </cell>
        </row>
        <row r="1574">
          <cell r="E1574" t="str">
            <v>VARIOS</v>
          </cell>
          <cell r="I1574">
            <v>5040</v>
          </cell>
          <cell r="L1574">
            <v>1643040</v>
          </cell>
          <cell r="Z1574" t="e">
            <v>#VALUE!</v>
          </cell>
        </row>
        <row r="1575">
          <cell r="D1575" t="str">
            <v>AL04MOTO</v>
          </cell>
          <cell r="E1575" t="str">
            <v>Motoniveladora</v>
          </cell>
          <cell r="F1575" t="str">
            <v>Hr</v>
          </cell>
          <cell r="G1575">
            <v>0.08</v>
          </cell>
          <cell r="H1575">
            <v>38000</v>
          </cell>
          <cell r="I1575">
            <v>3040</v>
          </cell>
          <cell r="J1575">
            <v>0</v>
          </cell>
          <cell r="K1575">
            <v>26.080000000000002</v>
          </cell>
          <cell r="L1575">
            <v>991040.00000000012</v>
          </cell>
          <cell r="Y1575" t="e">
            <v>#VALUE!</v>
          </cell>
          <cell r="Z1575" t="e">
            <v>#VALUE!</v>
          </cell>
        </row>
        <row r="1576">
          <cell r="D1576" t="str">
            <v>AL04CILI</v>
          </cell>
          <cell r="E1576" t="str">
            <v>Cilindro</v>
          </cell>
          <cell r="F1576" t="str">
            <v>Hr</v>
          </cell>
          <cell r="G1576">
            <v>0.06</v>
          </cell>
          <cell r="H1576">
            <v>25000</v>
          </cell>
          <cell r="I1576">
            <v>1500</v>
          </cell>
          <cell r="J1576">
            <v>0</v>
          </cell>
          <cell r="K1576">
            <v>19.559999999999999</v>
          </cell>
          <cell r="L1576">
            <v>488999.99999999994</v>
          </cell>
          <cell r="Y1576" t="e">
            <v>#VALUE!</v>
          </cell>
          <cell r="Z1576" t="e">
            <v>#VALUE!</v>
          </cell>
        </row>
        <row r="1577">
          <cell r="D1577" t="str">
            <v>AL04DENS</v>
          </cell>
          <cell r="E1577" t="str">
            <v>Densidades</v>
          </cell>
          <cell r="F1577" t="str">
            <v>Un</v>
          </cell>
          <cell r="G1577">
            <v>0.02</v>
          </cell>
          <cell r="H1577">
            <v>25000</v>
          </cell>
          <cell r="I1577">
            <v>500</v>
          </cell>
          <cell r="J1577">
            <v>0</v>
          </cell>
          <cell r="K1577">
            <v>6.5200000000000005</v>
          </cell>
          <cell r="L1577">
            <v>163000</v>
          </cell>
          <cell r="Y1577" t="e">
            <v>#VALUE!</v>
          </cell>
          <cell r="Z1577" t="e">
            <v>#VALUE!</v>
          </cell>
        </row>
        <row r="1578">
          <cell r="E1578" t="str">
            <v>SUBTOTAL</v>
          </cell>
          <cell r="I1578">
            <v>37700</v>
          </cell>
          <cell r="L1578">
            <v>12290200</v>
          </cell>
          <cell r="Z1578" t="e">
            <v>#VALUE!</v>
          </cell>
        </row>
        <row r="1579">
          <cell r="E1579" t="str">
            <v>A.I.U</v>
          </cell>
          <cell r="I1579">
            <v>0</v>
          </cell>
          <cell r="L1579">
            <v>0</v>
          </cell>
          <cell r="Z1579">
            <v>0</v>
          </cell>
        </row>
        <row r="1580">
          <cell r="D1580" t="str">
            <v>AIUAADMON</v>
          </cell>
          <cell r="E1580" t="str">
            <v>Admon</v>
          </cell>
          <cell r="F1580">
            <v>0</v>
          </cell>
          <cell r="I1580">
            <v>0</v>
          </cell>
          <cell r="J1580">
            <v>0</v>
          </cell>
          <cell r="L1580">
            <v>0</v>
          </cell>
          <cell r="Z1580">
            <v>0</v>
          </cell>
        </row>
        <row r="1581">
          <cell r="D1581" t="str">
            <v>AIUAIMPRE</v>
          </cell>
          <cell r="E1581" t="str">
            <v>Imprevistos</v>
          </cell>
          <cell r="F1581">
            <v>0</v>
          </cell>
          <cell r="I1581">
            <v>0</v>
          </cell>
          <cell r="J1581">
            <v>0</v>
          </cell>
          <cell r="L1581">
            <v>0</v>
          </cell>
          <cell r="Z1581">
            <v>0</v>
          </cell>
        </row>
        <row r="1582">
          <cell r="D1582" t="str">
            <v>AIUAUTILI</v>
          </cell>
          <cell r="E1582" t="str">
            <v>Utilidad</v>
          </cell>
          <cell r="F1582">
            <v>0</v>
          </cell>
          <cell r="I1582">
            <v>0</v>
          </cell>
          <cell r="J1582">
            <v>0</v>
          </cell>
          <cell r="L1582">
            <v>0</v>
          </cell>
          <cell r="Z1582">
            <v>0</v>
          </cell>
        </row>
        <row r="1583">
          <cell r="D1583" t="str">
            <v>AIUAIVAUTI</v>
          </cell>
          <cell r="E1583" t="str">
            <v>IVA utilidad</v>
          </cell>
          <cell r="F1583">
            <v>0</v>
          </cell>
          <cell r="I1583">
            <v>0</v>
          </cell>
          <cell r="J1583">
            <v>0</v>
          </cell>
          <cell r="L1583">
            <v>0</v>
          </cell>
          <cell r="Z1583">
            <v>0</v>
          </cell>
        </row>
        <row r="1585">
          <cell r="E1585" t="str">
            <v>ITEM</v>
          </cell>
        </row>
        <row r="1586">
          <cell r="D1586" t="str">
            <v>VIBG600</v>
          </cell>
          <cell r="E1586" t="str">
            <v>Base Granular B-600</v>
          </cell>
          <cell r="G1586" t="str">
            <v>UN.</v>
          </cell>
          <cell r="H1586" t="str">
            <v>M3</v>
          </cell>
          <cell r="I1586">
            <v>45287.199999999997</v>
          </cell>
          <cell r="K1586">
            <v>562</v>
          </cell>
          <cell r="L1586">
            <v>25451406.399999999</v>
          </cell>
          <cell r="N1586">
            <v>39167.199999999997</v>
          </cell>
          <cell r="O1586">
            <v>200</v>
          </cell>
          <cell r="P1586">
            <v>5920</v>
          </cell>
          <cell r="Q1586">
            <v>0</v>
          </cell>
          <cell r="X1586">
            <v>25451406.399999999</v>
          </cell>
          <cell r="Z1586" t="e">
            <v>#VALUE!</v>
          </cell>
          <cell r="AA1586" t="e">
            <v>#VALUE!</v>
          </cell>
          <cell r="AB1586" t="e">
            <v>#VALUE!</v>
          </cell>
          <cell r="AC1586" t="e">
            <v>#VALUE!</v>
          </cell>
        </row>
        <row r="1588">
          <cell r="D1588" t="str">
            <v>CODIGO</v>
          </cell>
          <cell r="E1588" t="str">
            <v>DESCRIPCION</v>
          </cell>
          <cell r="F1588" t="str">
            <v>UN</v>
          </cell>
          <cell r="G1588" t="str">
            <v>CANT</v>
          </cell>
          <cell r="H1588" t="str">
            <v>V/UNIT.</v>
          </cell>
          <cell r="I1588" t="str">
            <v>V/TOTAL</v>
          </cell>
          <cell r="K1588" t="str">
            <v>CANT TOTAL</v>
          </cell>
          <cell r="L1588" t="str">
            <v>Vr TOTAL</v>
          </cell>
          <cell r="Y1588" t="str">
            <v>CANT.</v>
          </cell>
          <cell r="Z1588" t="str">
            <v>V/TOTAL</v>
          </cell>
        </row>
        <row r="1589">
          <cell r="E1589" t="str">
            <v>MATERIALES</v>
          </cell>
          <cell r="I1589">
            <v>39167.199999999997</v>
          </cell>
          <cell r="L1589">
            <v>22011966.399999999</v>
          </cell>
          <cell r="Z1589" t="e">
            <v>#VALUE!</v>
          </cell>
        </row>
        <row r="1590">
          <cell r="D1590" t="str">
            <v>MA02BG600</v>
          </cell>
          <cell r="E1590" t="str">
            <v>Base Granular B-600</v>
          </cell>
          <cell r="F1590" t="str">
            <v>M3</v>
          </cell>
          <cell r="G1590">
            <v>1.28</v>
          </cell>
          <cell r="H1590">
            <v>16240</v>
          </cell>
          <cell r="I1590">
            <v>20787.2</v>
          </cell>
          <cell r="J1590">
            <v>0</v>
          </cell>
          <cell r="K1590">
            <v>719.36</v>
          </cell>
          <cell r="L1590">
            <v>11682406.4</v>
          </cell>
          <cell r="Y1590" t="e">
            <v>#VALUE!</v>
          </cell>
          <cell r="Z1590" t="e">
            <v>#VALUE!</v>
          </cell>
        </row>
        <row r="1591">
          <cell r="D1591" t="str">
            <v>TC09TR</v>
          </cell>
          <cell r="E1591" t="str">
            <v>Transporte Recebo</v>
          </cell>
          <cell r="F1591" t="str">
            <v>Vj</v>
          </cell>
          <cell r="G1591">
            <v>0.21333333333333335</v>
          </cell>
          <cell r="H1591">
            <v>81000</v>
          </cell>
          <cell r="I1591">
            <v>17280</v>
          </cell>
          <cell r="J1591">
            <v>0</v>
          </cell>
          <cell r="K1591">
            <v>119.89333333333335</v>
          </cell>
          <cell r="L1591">
            <v>9711360.0000000019</v>
          </cell>
          <cell r="Y1591" t="e">
            <v>#VALUE!</v>
          </cell>
          <cell r="Z1591" t="e">
            <v>#VALUE!</v>
          </cell>
        </row>
        <row r="1592">
          <cell r="D1592" t="str">
            <v>TC16AGUA</v>
          </cell>
          <cell r="E1592" t="str">
            <v>Agua</v>
          </cell>
          <cell r="F1592" t="str">
            <v>M3</v>
          </cell>
          <cell r="G1592">
            <v>0.11</v>
          </cell>
          <cell r="H1592">
            <v>10000</v>
          </cell>
          <cell r="I1592">
            <v>1100</v>
          </cell>
          <cell r="J1592">
            <v>0</v>
          </cell>
          <cell r="K1592">
            <v>61.82</v>
          </cell>
          <cell r="L1592">
            <v>618200</v>
          </cell>
          <cell r="Y1592" t="e">
            <v>#VALUE!</v>
          </cell>
          <cell r="Z1592" t="e">
            <v>#VALUE!</v>
          </cell>
        </row>
        <row r="1594">
          <cell r="E1594" t="str">
            <v>MANO DE OBRA</v>
          </cell>
          <cell r="I1594">
            <v>200</v>
          </cell>
          <cell r="L1594">
            <v>112400</v>
          </cell>
          <cell r="Z1594" t="e">
            <v>#VALUE!</v>
          </cell>
        </row>
        <row r="1595">
          <cell r="D1595" t="str">
            <v>MOVIARC</v>
          </cell>
          <cell r="E1595" t="str">
            <v>Ayudante Recebo Compacto</v>
          </cell>
          <cell r="F1595" t="str">
            <v>M3</v>
          </cell>
          <cell r="G1595">
            <v>1</v>
          </cell>
          <cell r="H1595">
            <v>200</v>
          </cell>
          <cell r="I1595">
            <v>200</v>
          </cell>
          <cell r="J1595">
            <v>0</v>
          </cell>
          <cell r="K1595">
            <v>562</v>
          </cell>
          <cell r="L1595">
            <v>112400</v>
          </cell>
          <cell r="Y1595" t="e">
            <v>#VALUE!</v>
          </cell>
          <cell r="Z1595" t="e">
            <v>#VALUE!</v>
          </cell>
        </row>
        <row r="1597">
          <cell r="E1597" t="str">
            <v>VARIOS</v>
          </cell>
          <cell r="I1597">
            <v>5920</v>
          </cell>
          <cell r="L1597">
            <v>3327040</v>
          </cell>
          <cell r="Z1597" t="e">
            <v>#VALUE!</v>
          </cell>
        </row>
        <row r="1598">
          <cell r="D1598" t="str">
            <v>AL04MOTO</v>
          </cell>
          <cell r="E1598" t="str">
            <v>Motoniveladora</v>
          </cell>
          <cell r="F1598" t="str">
            <v>Hr</v>
          </cell>
          <cell r="G1598">
            <v>0.09</v>
          </cell>
          <cell r="H1598">
            <v>38000</v>
          </cell>
          <cell r="I1598">
            <v>3420</v>
          </cell>
          <cell r="J1598">
            <v>0</v>
          </cell>
          <cell r="K1598">
            <v>50.58</v>
          </cell>
          <cell r="L1598">
            <v>1922040</v>
          </cell>
          <cell r="Y1598" t="e">
            <v>#VALUE!</v>
          </cell>
          <cell r="Z1598" t="e">
            <v>#VALUE!</v>
          </cell>
        </row>
        <row r="1599">
          <cell r="D1599" t="str">
            <v>AL04CILI</v>
          </cell>
          <cell r="E1599" t="str">
            <v>Cilindro</v>
          </cell>
          <cell r="F1599" t="str">
            <v>Hr</v>
          </cell>
          <cell r="G1599">
            <v>7.0000000000000007E-2</v>
          </cell>
          <cell r="H1599">
            <v>25000</v>
          </cell>
          <cell r="I1599">
            <v>1750</v>
          </cell>
          <cell r="J1599">
            <v>0</v>
          </cell>
          <cell r="K1599">
            <v>39.340000000000003</v>
          </cell>
          <cell r="L1599">
            <v>983500.00000000012</v>
          </cell>
          <cell r="Y1599" t="e">
            <v>#VALUE!</v>
          </cell>
          <cell r="Z1599" t="e">
            <v>#VALUE!</v>
          </cell>
        </row>
        <row r="1600">
          <cell r="D1600" t="str">
            <v>AL04DENS</v>
          </cell>
          <cell r="E1600" t="str">
            <v>Densidades</v>
          </cell>
          <cell r="F1600" t="str">
            <v>Un</v>
          </cell>
          <cell r="G1600">
            <v>0.03</v>
          </cell>
          <cell r="H1600">
            <v>25000</v>
          </cell>
          <cell r="I1600">
            <v>750</v>
          </cell>
          <cell r="J1600">
            <v>0</v>
          </cell>
          <cell r="K1600">
            <v>16.86</v>
          </cell>
          <cell r="L1600">
            <v>421500</v>
          </cell>
          <cell r="Y1600" t="e">
            <v>#VALUE!</v>
          </cell>
          <cell r="Z1600" t="e">
            <v>#VALUE!</v>
          </cell>
        </row>
        <row r="1601">
          <cell r="E1601" t="str">
            <v>SUBTOTAL</v>
          </cell>
          <cell r="I1601">
            <v>45287.199999999997</v>
          </cell>
          <cell r="L1601">
            <v>25451406.399999999</v>
          </cell>
          <cell r="Z1601" t="e">
            <v>#VALUE!</v>
          </cell>
        </row>
        <row r="1602">
          <cell r="E1602" t="str">
            <v>A.I.U</v>
          </cell>
          <cell r="I1602">
            <v>0</v>
          </cell>
          <cell r="L1602">
            <v>0</v>
          </cell>
          <cell r="Z1602">
            <v>0</v>
          </cell>
        </row>
        <row r="1603">
          <cell r="D1603" t="str">
            <v>AIUAADMON</v>
          </cell>
          <cell r="E1603" t="str">
            <v>Admon</v>
          </cell>
          <cell r="F1603">
            <v>0</v>
          </cell>
          <cell r="I1603">
            <v>0</v>
          </cell>
          <cell r="J1603">
            <v>0</v>
          </cell>
          <cell r="L1603">
            <v>0</v>
          </cell>
          <cell r="Z1603">
            <v>0</v>
          </cell>
        </row>
        <row r="1604">
          <cell r="D1604" t="str">
            <v>AIUAIMPRE</v>
          </cell>
          <cell r="E1604" t="str">
            <v>Imprevistos</v>
          </cell>
          <cell r="F1604">
            <v>0</v>
          </cell>
          <cell r="I1604">
            <v>0</v>
          </cell>
          <cell r="J1604">
            <v>0</v>
          </cell>
          <cell r="L1604">
            <v>0</v>
          </cell>
          <cell r="Z1604">
            <v>0</v>
          </cell>
        </row>
        <row r="1605">
          <cell r="D1605" t="str">
            <v>AIUAUTILI</v>
          </cell>
          <cell r="E1605" t="str">
            <v>Utilidad</v>
          </cell>
          <cell r="F1605">
            <v>0</v>
          </cell>
          <cell r="I1605">
            <v>0</v>
          </cell>
          <cell r="J1605">
            <v>0</v>
          </cell>
          <cell r="L1605">
            <v>0</v>
          </cell>
          <cell r="Z1605">
            <v>0</v>
          </cell>
        </row>
        <row r="1606">
          <cell r="D1606" t="str">
            <v>AIUAIVAUTI</v>
          </cell>
          <cell r="E1606" t="str">
            <v>IVA utilidad</v>
          </cell>
          <cell r="F1606">
            <v>0</v>
          </cell>
          <cell r="I1606">
            <v>0</v>
          </cell>
          <cell r="J1606">
            <v>0</v>
          </cell>
          <cell r="L1606">
            <v>0</v>
          </cell>
          <cell r="Z1606">
            <v>0</v>
          </cell>
        </row>
        <row r="1608">
          <cell r="E1608" t="str">
            <v>ITEM</v>
          </cell>
        </row>
        <row r="1609">
          <cell r="D1609" t="str">
            <v>VIAA</v>
          </cell>
          <cell r="E1609" t="str">
            <v>Construccion Andenes en Adoquin</v>
          </cell>
          <cell r="G1609" t="str">
            <v>UN.</v>
          </cell>
          <cell r="H1609" t="str">
            <v>M2</v>
          </cell>
          <cell r="I1609">
            <v>26014.5</v>
          </cell>
          <cell r="K1609">
            <v>273</v>
          </cell>
          <cell r="L1609">
            <v>7101958.5</v>
          </cell>
          <cell r="N1609">
            <v>19164.5</v>
          </cell>
          <cell r="O1609">
            <v>5200</v>
          </cell>
          <cell r="P1609">
            <v>1650</v>
          </cell>
          <cell r="Q1609">
            <v>0</v>
          </cell>
          <cell r="X1609">
            <v>7101958.5</v>
          </cell>
          <cell r="Z1609" t="e">
            <v>#N/A</v>
          </cell>
          <cell r="AA1609" t="e">
            <v>#N/A</v>
          </cell>
          <cell r="AB1609" t="e">
            <v>#N/A</v>
          </cell>
          <cell r="AC1609" t="e">
            <v>#N/A</v>
          </cell>
        </row>
        <row r="1611">
          <cell r="D1611" t="str">
            <v>CODIGO</v>
          </cell>
          <cell r="E1611" t="str">
            <v>DESCRIPCION</v>
          </cell>
          <cell r="F1611" t="str">
            <v>UN</v>
          </cell>
          <cell r="G1611" t="str">
            <v>CANT</v>
          </cell>
          <cell r="H1611" t="str">
            <v>V/UNIT.</v>
          </cell>
          <cell r="I1611" t="str">
            <v>V/TOTAL</v>
          </cell>
          <cell r="K1611" t="str">
            <v>CANT TOTAL</v>
          </cell>
          <cell r="L1611" t="str">
            <v>Vr TOTAL</v>
          </cell>
          <cell r="Y1611" t="str">
            <v>CANT.</v>
          </cell>
          <cell r="Z1611" t="str">
            <v>V/TOTAL</v>
          </cell>
        </row>
        <row r="1612">
          <cell r="E1612" t="str">
            <v>MATERIALES</v>
          </cell>
          <cell r="I1612">
            <v>19164.5</v>
          </cell>
          <cell r="L1612">
            <v>5231908.5</v>
          </cell>
          <cell r="Z1612" t="e">
            <v>#N/A</v>
          </cell>
        </row>
        <row r="1613">
          <cell r="D1613" t="str">
            <v>MA06TAM</v>
          </cell>
          <cell r="E1613" t="str">
            <v>Ladrillo Tolete Adoquin</v>
          </cell>
          <cell r="F1613" t="str">
            <v>m2</v>
          </cell>
          <cell r="G1613">
            <v>1</v>
          </cell>
          <cell r="H1613">
            <v>16480</v>
          </cell>
          <cell r="I1613">
            <v>16480</v>
          </cell>
          <cell r="J1613">
            <v>0</v>
          </cell>
          <cell r="K1613">
            <v>273</v>
          </cell>
          <cell r="L1613">
            <v>4499040</v>
          </cell>
          <cell r="Y1613" t="e">
            <v>#N/A</v>
          </cell>
          <cell r="Z1613" t="e">
            <v>#N/A</v>
          </cell>
        </row>
        <row r="1614">
          <cell r="D1614" t="str">
            <v>MA02AL</v>
          </cell>
          <cell r="E1614" t="str">
            <v xml:space="preserve">Arena Lavada </v>
          </cell>
          <cell r="F1614" t="str">
            <v>M3</v>
          </cell>
          <cell r="G1614">
            <v>0.05</v>
          </cell>
          <cell r="H1614">
            <v>25000</v>
          </cell>
          <cell r="I1614">
            <v>1250</v>
          </cell>
          <cell r="J1614">
            <v>0</v>
          </cell>
          <cell r="K1614">
            <v>13.65</v>
          </cell>
          <cell r="L1614">
            <v>341250</v>
          </cell>
          <cell r="Y1614" t="e">
            <v>#N/A</v>
          </cell>
          <cell r="Z1614" t="e">
            <v>#N/A</v>
          </cell>
        </row>
        <row r="1615">
          <cell r="D1615" t="str">
            <v>MA03CG</v>
          </cell>
          <cell r="E1615" t="str">
            <v>Cemento Gris</v>
          </cell>
          <cell r="F1615" t="str">
            <v>Kg</v>
          </cell>
          <cell r="G1615">
            <v>7.55</v>
          </cell>
          <cell r="H1615">
            <v>190</v>
          </cell>
          <cell r="I1615">
            <v>1434.5</v>
          </cell>
          <cell r="J1615">
            <v>0</v>
          </cell>
          <cell r="K1615">
            <v>2061.15</v>
          </cell>
          <cell r="L1615">
            <v>391618.5</v>
          </cell>
          <cell r="Y1615" t="e">
            <v>#N/A</v>
          </cell>
          <cell r="Z1615" t="e">
            <v>#N/A</v>
          </cell>
        </row>
        <row r="1617">
          <cell r="E1617" t="str">
            <v>MANO DE OBRA</v>
          </cell>
          <cell r="I1617">
            <v>5200</v>
          </cell>
          <cell r="L1617">
            <v>1419600</v>
          </cell>
          <cell r="Z1617" t="e">
            <v>#N/A</v>
          </cell>
        </row>
        <row r="1618">
          <cell r="D1618" t="str">
            <v>MOVIAA</v>
          </cell>
          <cell r="E1618" t="str">
            <v>Andenes Adoquin</v>
          </cell>
          <cell r="F1618" t="str">
            <v>m2</v>
          </cell>
          <cell r="G1618">
            <v>1</v>
          </cell>
          <cell r="H1618">
            <v>5200</v>
          </cell>
          <cell r="I1618">
            <v>5200</v>
          </cell>
          <cell r="J1618">
            <v>0</v>
          </cell>
          <cell r="K1618">
            <v>273</v>
          </cell>
          <cell r="L1618">
            <v>1419600</v>
          </cell>
          <cell r="Y1618" t="e">
            <v>#N/A</v>
          </cell>
          <cell r="Z1618" t="e">
            <v>#N/A</v>
          </cell>
        </row>
        <row r="1620">
          <cell r="E1620" t="str">
            <v>VARIOS</v>
          </cell>
          <cell r="I1620">
            <v>1650</v>
          </cell>
          <cell r="L1620">
            <v>450450</v>
          </cell>
          <cell r="Z1620" t="e">
            <v>#N/A</v>
          </cell>
        </row>
        <row r="1621">
          <cell r="D1621" t="str">
            <v>AL04PV</v>
          </cell>
          <cell r="E1621" t="str">
            <v>Plancha Vibradora</v>
          </cell>
          <cell r="F1621" t="str">
            <v>Dia</v>
          </cell>
          <cell r="G1621">
            <v>0.08</v>
          </cell>
          <cell r="H1621">
            <v>12500</v>
          </cell>
          <cell r="I1621">
            <v>1000</v>
          </cell>
          <cell r="J1621">
            <v>0</v>
          </cell>
          <cell r="K1621">
            <v>21.84</v>
          </cell>
          <cell r="L1621">
            <v>273000</v>
          </cell>
          <cell r="Y1621" t="e">
            <v>#N/A</v>
          </cell>
          <cell r="Z1621" t="e">
            <v>#N/A</v>
          </cell>
        </row>
        <row r="1622">
          <cell r="D1622" t="str">
            <v>TC07H650</v>
          </cell>
          <cell r="E1622" t="str">
            <v>Herramienta</v>
          </cell>
          <cell r="F1622" t="str">
            <v>Gb</v>
          </cell>
          <cell r="G1622">
            <v>1</v>
          </cell>
          <cell r="H1622">
            <v>650</v>
          </cell>
          <cell r="I1622">
            <v>650</v>
          </cell>
          <cell r="J1622">
            <v>0</v>
          </cell>
          <cell r="K1622">
            <v>273</v>
          </cell>
          <cell r="L1622">
            <v>177450</v>
          </cell>
          <cell r="Y1622" t="e">
            <v>#N/A</v>
          </cell>
          <cell r="Z1622" t="e">
            <v>#N/A</v>
          </cell>
        </row>
        <row r="1624">
          <cell r="E1624" t="str">
            <v>SUBTOTAL</v>
          </cell>
          <cell r="I1624">
            <v>26014.5</v>
          </cell>
          <cell r="L1624">
            <v>7101958.5</v>
          </cell>
          <cell r="Z1624" t="e">
            <v>#N/A</v>
          </cell>
        </row>
        <row r="1625">
          <cell r="E1625" t="str">
            <v>A.I.U</v>
          </cell>
          <cell r="I1625">
            <v>0</v>
          </cell>
          <cell r="L1625">
            <v>0</v>
          </cell>
          <cell r="Z1625">
            <v>0</v>
          </cell>
        </row>
        <row r="1626">
          <cell r="D1626" t="str">
            <v>AIUAADMON</v>
          </cell>
          <cell r="E1626" t="str">
            <v>Admon</v>
          </cell>
          <cell r="F1626">
            <v>0</v>
          </cell>
          <cell r="I1626">
            <v>0</v>
          </cell>
          <cell r="J1626">
            <v>0</v>
          </cell>
          <cell r="L1626">
            <v>0</v>
          </cell>
          <cell r="Z1626">
            <v>0</v>
          </cell>
        </row>
        <row r="1627">
          <cell r="D1627" t="str">
            <v>AIUAIMPRE</v>
          </cell>
          <cell r="E1627" t="str">
            <v>Imprevistos</v>
          </cell>
          <cell r="F1627">
            <v>0</v>
          </cell>
          <cell r="I1627">
            <v>0</v>
          </cell>
          <cell r="J1627">
            <v>0</v>
          </cell>
          <cell r="L1627">
            <v>0</v>
          </cell>
          <cell r="Z1627">
            <v>0</v>
          </cell>
        </row>
        <row r="1628">
          <cell r="D1628" t="str">
            <v>AIUAUTILI</v>
          </cell>
          <cell r="E1628" t="str">
            <v>Utilidad</v>
          </cell>
          <cell r="F1628">
            <v>0</v>
          </cell>
          <cell r="I1628">
            <v>0</v>
          </cell>
          <cell r="J1628">
            <v>0</v>
          </cell>
          <cell r="L1628">
            <v>0</v>
          </cell>
          <cell r="Z1628">
            <v>0</v>
          </cell>
        </row>
        <row r="1629">
          <cell r="D1629" t="str">
            <v>AIUAIVAUTI</v>
          </cell>
          <cell r="E1629" t="str">
            <v>IVA utilidad</v>
          </cell>
          <cell r="F1629">
            <v>0</v>
          </cell>
          <cell r="I1629">
            <v>0</v>
          </cell>
          <cell r="J1629">
            <v>0</v>
          </cell>
          <cell r="L1629">
            <v>0</v>
          </cell>
          <cell r="Z1629">
            <v>0</v>
          </cell>
        </row>
        <row r="1631">
          <cell r="E1631" t="str">
            <v>ITEM</v>
          </cell>
        </row>
        <row r="1632">
          <cell r="D1632" t="str">
            <v>VIAND</v>
          </cell>
          <cell r="E1632" t="str">
            <v>Andenes</v>
          </cell>
          <cell r="G1632" t="str">
            <v>UN.</v>
          </cell>
          <cell r="H1632" t="str">
            <v>M2</v>
          </cell>
          <cell r="I1632">
            <v>30342.9</v>
          </cell>
          <cell r="K1632">
            <v>0</v>
          </cell>
          <cell r="L1632">
            <v>0</v>
          </cell>
          <cell r="N1632">
            <v>24447.9</v>
          </cell>
          <cell r="O1632">
            <v>3545</v>
          </cell>
          <cell r="P1632">
            <v>2350</v>
          </cell>
          <cell r="Q1632">
            <v>0</v>
          </cell>
          <cell r="X1632">
            <v>0</v>
          </cell>
          <cell r="Z1632" t="e">
            <v>#VALUE!</v>
          </cell>
          <cell r="AA1632" t="e">
            <v>#VALUE!</v>
          </cell>
          <cell r="AB1632" t="e">
            <v>#VALUE!</v>
          </cell>
          <cell r="AC1632" t="e">
            <v>#VALUE!</v>
          </cell>
        </row>
        <row r="1634">
          <cell r="D1634" t="str">
            <v>CODIGO</v>
          </cell>
          <cell r="E1634" t="str">
            <v>DESCRIPCION</v>
          </cell>
          <cell r="F1634" t="str">
            <v>UN</v>
          </cell>
          <cell r="G1634" t="str">
            <v>CANT</v>
          </cell>
          <cell r="H1634" t="str">
            <v>V/UNIT.</v>
          </cell>
          <cell r="I1634" t="str">
            <v>V/TOTAL</v>
          </cell>
          <cell r="K1634" t="str">
            <v>CANT TOTAL</v>
          </cell>
          <cell r="L1634" t="str">
            <v>Vr TOTAL</v>
          </cell>
          <cell r="Y1634" t="str">
            <v>CANT.</v>
          </cell>
          <cell r="Z1634" t="str">
            <v>V/TOTAL</v>
          </cell>
        </row>
        <row r="1635">
          <cell r="E1635" t="str">
            <v>MATERIALES</v>
          </cell>
          <cell r="I1635">
            <v>24447.9</v>
          </cell>
          <cell r="L1635">
            <v>0</v>
          </cell>
          <cell r="Z1635" t="e">
            <v>#VALUE!</v>
          </cell>
        </row>
        <row r="1636">
          <cell r="D1636" t="str">
            <v>MA04C3</v>
          </cell>
          <cell r="E1636" t="str">
            <v xml:space="preserve">Concreto 3000 psi </v>
          </cell>
          <cell r="F1636" t="str">
            <v>M3</v>
          </cell>
          <cell r="G1636">
            <v>0.1</v>
          </cell>
          <cell r="H1636">
            <v>202575</v>
          </cell>
          <cell r="I1636">
            <v>20257.5</v>
          </cell>
          <cell r="J1636">
            <v>0</v>
          </cell>
          <cell r="K1636">
            <v>0</v>
          </cell>
          <cell r="L1636">
            <v>0</v>
          </cell>
          <cell r="Y1636" t="e">
            <v>#VALUE!</v>
          </cell>
          <cell r="Z1636" t="e">
            <v>#VALUE!</v>
          </cell>
        </row>
        <row r="1637">
          <cell r="D1637" t="str">
            <v>MA02RMC</v>
          </cell>
          <cell r="E1637" t="str">
            <v>Recebo en Cantera</v>
          </cell>
          <cell r="F1637" t="str">
            <v>M3</v>
          </cell>
          <cell r="G1637">
            <v>0.18</v>
          </cell>
          <cell r="H1637">
            <v>6000</v>
          </cell>
          <cell r="I1637">
            <v>1080</v>
          </cell>
          <cell r="J1637">
            <v>0</v>
          </cell>
          <cell r="K1637">
            <v>0</v>
          </cell>
          <cell r="L1637">
            <v>0</v>
          </cell>
          <cell r="Y1637" t="e">
            <v>#VALUE!</v>
          </cell>
          <cell r="Z1637" t="e">
            <v>#VALUE!</v>
          </cell>
        </row>
        <row r="1638">
          <cell r="D1638" t="str">
            <v>TC09TR</v>
          </cell>
          <cell r="E1638" t="str">
            <v>Transporte Recebo</v>
          </cell>
          <cell r="F1638" t="str">
            <v>Vj</v>
          </cell>
          <cell r="G1638">
            <v>3.8399999999999997E-2</v>
          </cell>
          <cell r="H1638">
            <v>81000</v>
          </cell>
          <cell r="I1638">
            <v>3110.3999999999996</v>
          </cell>
          <cell r="J1638">
            <v>0</v>
          </cell>
          <cell r="K1638">
            <v>0</v>
          </cell>
          <cell r="L1638">
            <v>0</v>
          </cell>
          <cell r="Y1638" t="e">
            <v>#VALUE!</v>
          </cell>
          <cell r="Z1638" t="e">
            <v>#VALUE!</v>
          </cell>
        </row>
        <row r="1640">
          <cell r="E1640" t="str">
            <v>MANO DE OBRA</v>
          </cell>
          <cell r="I1640">
            <v>3545</v>
          </cell>
          <cell r="L1640">
            <v>0</v>
          </cell>
          <cell r="Z1640" t="e">
            <v>#VALUE!</v>
          </cell>
        </row>
        <row r="1641">
          <cell r="D1641" t="str">
            <v>MOVIA</v>
          </cell>
          <cell r="E1641" t="str">
            <v>Andenes</v>
          </cell>
          <cell r="F1641" t="str">
            <v>m3</v>
          </cell>
          <cell r="G1641">
            <v>0.1</v>
          </cell>
          <cell r="H1641">
            <v>35450</v>
          </cell>
          <cell r="I1641">
            <v>3545</v>
          </cell>
          <cell r="J1641">
            <v>0</v>
          </cell>
          <cell r="K1641">
            <v>0</v>
          </cell>
          <cell r="L1641">
            <v>0</v>
          </cell>
          <cell r="Y1641" t="e">
            <v>#VALUE!</v>
          </cell>
          <cell r="Z1641" t="e">
            <v>#VALUE!</v>
          </cell>
        </row>
        <row r="1643">
          <cell r="E1643" t="str">
            <v>VARIOS</v>
          </cell>
          <cell r="I1643">
            <v>2350</v>
          </cell>
          <cell r="L1643">
            <v>0</v>
          </cell>
          <cell r="Z1643" t="e">
            <v>#VALUE!</v>
          </cell>
        </row>
        <row r="1644">
          <cell r="D1644" t="str">
            <v>TC07H125</v>
          </cell>
          <cell r="E1644" t="str">
            <v>Herramienta</v>
          </cell>
          <cell r="F1644" t="str">
            <v>Gb</v>
          </cell>
          <cell r="G1644">
            <v>1</v>
          </cell>
          <cell r="H1644">
            <v>400</v>
          </cell>
          <cell r="I1644">
            <v>400</v>
          </cell>
          <cell r="J1644">
            <v>0</v>
          </cell>
          <cell r="K1644">
            <v>0</v>
          </cell>
          <cell r="L1644">
            <v>0</v>
          </cell>
          <cell r="Y1644" t="e">
            <v>#VALUE!</v>
          </cell>
          <cell r="Z1644" t="e">
            <v>#VALUE!</v>
          </cell>
        </row>
        <row r="1645">
          <cell r="D1645" t="str">
            <v>AL04BENIT</v>
          </cell>
          <cell r="E1645" t="str">
            <v>Benitin</v>
          </cell>
          <cell r="F1645" t="str">
            <v>Dia</v>
          </cell>
          <cell r="G1645">
            <v>1.2999999999999999E-2</v>
          </cell>
          <cell r="H1645">
            <v>150000</v>
          </cell>
          <cell r="I1645">
            <v>1950</v>
          </cell>
          <cell r="J1645">
            <v>0</v>
          </cell>
          <cell r="K1645">
            <v>0</v>
          </cell>
          <cell r="L1645">
            <v>0</v>
          </cell>
          <cell r="Y1645" t="e">
            <v>#VALUE!</v>
          </cell>
          <cell r="Z1645" t="e">
            <v>#VALUE!</v>
          </cell>
        </row>
        <row r="1647">
          <cell r="E1647" t="str">
            <v>SUBTOTAL</v>
          </cell>
          <cell r="I1647">
            <v>30342.9</v>
          </cell>
          <cell r="L1647">
            <v>0</v>
          </cell>
          <cell r="Z1647" t="e">
            <v>#VALUE!</v>
          </cell>
        </row>
        <row r="1648">
          <cell r="E1648" t="str">
            <v>A.I.U</v>
          </cell>
          <cell r="I1648">
            <v>0</v>
          </cell>
          <cell r="L1648">
            <v>0</v>
          </cell>
          <cell r="Z1648">
            <v>0</v>
          </cell>
        </row>
        <row r="1649">
          <cell r="D1649" t="str">
            <v>AIUAADMON</v>
          </cell>
          <cell r="E1649" t="str">
            <v>Admon</v>
          </cell>
          <cell r="F1649">
            <v>0</v>
          </cell>
          <cell r="I1649">
            <v>0</v>
          </cell>
          <cell r="J1649">
            <v>0</v>
          </cell>
          <cell r="L1649">
            <v>0</v>
          </cell>
          <cell r="Z1649">
            <v>0</v>
          </cell>
        </row>
        <row r="1650">
          <cell r="D1650" t="str">
            <v>AIUAIMPRE</v>
          </cell>
          <cell r="E1650" t="str">
            <v>Imprevistos</v>
          </cell>
          <cell r="F1650">
            <v>0</v>
          </cell>
          <cell r="I1650">
            <v>0</v>
          </cell>
          <cell r="J1650">
            <v>0</v>
          </cell>
          <cell r="L1650">
            <v>0</v>
          </cell>
          <cell r="Z1650">
            <v>0</v>
          </cell>
        </row>
        <row r="1651">
          <cell r="D1651" t="str">
            <v>AIUAUTILI</v>
          </cell>
          <cell r="E1651" t="str">
            <v>Utilidad</v>
          </cell>
          <cell r="F1651">
            <v>0</v>
          </cell>
          <cell r="I1651">
            <v>0</v>
          </cell>
          <cell r="J1651">
            <v>0</v>
          </cell>
          <cell r="L1651">
            <v>0</v>
          </cell>
          <cell r="Z1651">
            <v>0</v>
          </cell>
        </row>
        <row r="1652">
          <cell r="D1652" t="str">
            <v>AIUAIVAUTI</v>
          </cell>
          <cell r="E1652" t="str">
            <v>IVA utilidad</v>
          </cell>
          <cell r="F1652">
            <v>0</v>
          </cell>
          <cell r="I1652">
            <v>0</v>
          </cell>
          <cell r="J1652">
            <v>0</v>
          </cell>
          <cell r="L1652">
            <v>0</v>
          </cell>
          <cell r="Z1652">
            <v>0</v>
          </cell>
        </row>
        <row r="1654">
          <cell r="E1654" t="str">
            <v>ITEM</v>
          </cell>
        </row>
        <row r="1655">
          <cell r="D1655" t="str">
            <v>VIANDS</v>
          </cell>
          <cell r="E1655" t="str">
            <v>Separador</v>
          </cell>
          <cell r="G1655" t="str">
            <v>UN.</v>
          </cell>
          <cell r="H1655" t="str">
            <v>M2</v>
          </cell>
          <cell r="I1655">
            <v>30342.9</v>
          </cell>
          <cell r="K1655">
            <v>0</v>
          </cell>
          <cell r="L1655">
            <v>0</v>
          </cell>
          <cell r="N1655">
            <v>24447.9</v>
          </cell>
          <cell r="O1655">
            <v>3545</v>
          </cell>
          <cell r="P1655">
            <v>2350</v>
          </cell>
          <cell r="Q1655">
            <v>0</v>
          </cell>
          <cell r="X1655">
            <v>0</v>
          </cell>
          <cell r="Z1655" t="e">
            <v>#VALUE!</v>
          </cell>
          <cell r="AA1655" t="e">
            <v>#VALUE!</v>
          </cell>
          <cell r="AB1655" t="e">
            <v>#VALUE!</v>
          </cell>
          <cell r="AC1655" t="e">
            <v>#VALUE!</v>
          </cell>
        </row>
        <row r="1657">
          <cell r="D1657" t="str">
            <v>CODIGO</v>
          </cell>
          <cell r="E1657" t="str">
            <v>DESCRIPCION</v>
          </cell>
          <cell r="F1657" t="str">
            <v>UN</v>
          </cell>
          <cell r="G1657" t="str">
            <v>CANT</v>
          </cell>
          <cell r="H1657" t="str">
            <v>V/UNIT.</v>
          </cell>
          <cell r="I1657" t="str">
            <v>V/TOTAL</v>
          </cell>
          <cell r="K1657" t="str">
            <v>CANT TOTAL</v>
          </cell>
          <cell r="L1657" t="str">
            <v>Vr TOTAL</v>
          </cell>
          <cell r="Y1657" t="str">
            <v>CANT.</v>
          </cell>
          <cell r="Z1657" t="str">
            <v>V/TOTAL</v>
          </cell>
        </row>
        <row r="1658">
          <cell r="E1658" t="str">
            <v>MATERIALES</v>
          </cell>
          <cell r="I1658">
            <v>24447.9</v>
          </cell>
          <cell r="L1658">
            <v>0</v>
          </cell>
          <cell r="Z1658" t="e">
            <v>#VALUE!</v>
          </cell>
        </row>
        <row r="1659">
          <cell r="D1659" t="str">
            <v>MA04C3</v>
          </cell>
          <cell r="E1659" t="str">
            <v xml:space="preserve">Concreto 3000 psi </v>
          </cell>
          <cell r="F1659" t="str">
            <v>M3</v>
          </cell>
          <cell r="G1659">
            <v>0.1</v>
          </cell>
          <cell r="H1659">
            <v>202575</v>
          </cell>
          <cell r="I1659">
            <v>20257.5</v>
          </cell>
          <cell r="J1659">
            <v>0</v>
          </cell>
          <cell r="K1659">
            <v>0</v>
          </cell>
          <cell r="L1659">
            <v>0</v>
          </cell>
          <cell r="Y1659" t="e">
            <v>#VALUE!</v>
          </cell>
          <cell r="Z1659" t="e">
            <v>#VALUE!</v>
          </cell>
        </row>
        <row r="1660">
          <cell r="D1660" t="str">
            <v>MA02RMC</v>
          </cell>
          <cell r="E1660" t="str">
            <v>Recebo en Cantera</v>
          </cell>
          <cell r="F1660" t="str">
            <v>M3</v>
          </cell>
          <cell r="G1660">
            <v>0.18</v>
          </cell>
          <cell r="H1660">
            <v>6000</v>
          </cell>
          <cell r="I1660">
            <v>1080</v>
          </cell>
          <cell r="J1660">
            <v>0</v>
          </cell>
          <cell r="K1660">
            <v>0</v>
          </cell>
          <cell r="L1660">
            <v>0</v>
          </cell>
          <cell r="Y1660" t="e">
            <v>#VALUE!</v>
          </cell>
          <cell r="Z1660" t="e">
            <v>#VALUE!</v>
          </cell>
        </row>
        <row r="1661">
          <cell r="D1661" t="str">
            <v>TC09TR</v>
          </cell>
          <cell r="E1661" t="str">
            <v>Transporte Recebo</v>
          </cell>
          <cell r="F1661" t="str">
            <v>Vj</v>
          </cell>
          <cell r="G1661">
            <v>3.8399999999999997E-2</v>
          </cell>
          <cell r="H1661">
            <v>81000</v>
          </cell>
          <cell r="I1661">
            <v>3110.3999999999996</v>
          </cell>
          <cell r="J1661">
            <v>0</v>
          </cell>
          <cell r="K1661">
            <v>0</v>
          </cell>
          <cell r="L1661">
            <v>0</v>
          </cell>
          <cell r="Y1661" t="e">
            <v>#VALUE!</v>
          </cell>
          <cell r="Z1661" t="e">
            <v>#VALUE!</v>
          </cell>
        </row>
        <row r="1663">
          <cell r="E1663" t="str">
            <v>MANO DE OBRA</v>
          </cell>
          <cell r="I1663">
            <v>3545</v>
          </cell>
          <cell r="L1663">
            <v>0</v>
          </cell>
          <cell r="Z1663" t="e">
            <v>#VALUE!</v>
          </cell>
        </row>
        <row r="1664">
          <cell r="D1664" t="str">
            <v>MOVIA</v>
          </cell>
          <cell r="E1664" t="str">
            <v>Andenes</v>
          </cell>
          <cell r="F1664" t="str">
            <v>m3</v>
          </cell>
          <cell r="G1664">
            <v>0.1</v>
          </cell>
          <cell r="H1664">
            <v>35450</v>
          </cell>
          <cell r="I1664">
            <v>3545</v>
          </cell>
          <cell r="J1664">
            <v>0</v>
          </cell>
          <cell r="K1664">
            <v>0</v>
          </cell>
          <cell r="L1664">
            <v>0</v>
          </cell>
          <cell r="Y1664" t="e">
            <v>#VALUE!</v>
          </cell>
          <cell r="Z1664" t="e">
            <v>#VALUE!</v>
          </cell>
        </row>
        <row r="1666">
          <cell r="E1666" t="str">
            <v>VARIOS</v>
          </cell>
          <cell r="I1666">
            <v>2350</v>
          </cell>
          <cell r="L1666">
            <v>0</v>
          </cell>
          <cell r="Z1666" t="e">
            <v>#VALUE!</v>
          </cell>
        </row>
        <row r="1667">
          <cell r="D1667" t="str">
            <v>TC07H125</v>
          </cell>
          <cell r="E1667" t="str">
            <v>Herramienta</v>
          </cell>
          <cell r="F1667" t="str">
            <v>Gb</v>
          </cell>
          <cell r="G1667">
            <v>1</v>
          </cell>
          <cell r="H1667">
            <v>400</v>
          </cell>
          <cell r="I1667">
            <v>400</v>
          </cell>
          <cell r="J1667">
            <v>0</v>
          </cell>
          <cell r="K1667">
            <v>0</v>
          </cell>
          <cell r="L1667">
            <v>0</v>
          </cell>
          <cell r="Y1667" t="e">
            <v>#VALUE!</v>
          </cell>
          <cell r="Z1667" t="e">
            <v>#VALUE!</v>
          </cell>
        </row>
        <row r="1668">
          <cell r="D1668" t="str">
            <v>AL04BENIT</v>
          </cell>
          <cell r="E1668" t="str">
            <v>Benitin</v>
          </cell>
          <cell r="F1668" t="str">
            <v>Dia</v>
          </cell>
          <cell r="G1668">
            <v>1.2999999999999999E-2</v>
          </cell>
          <cell r="H1668">
            <v>150000</v>
          </cell>
          <cell r="I1668">
            <v>1950</v>
          </cell>
          <cell r="J1668">
            <v>0</v>
          </cell>
          <cell r="K1668">
            <v>0</v>
          </cell>
          <cell r="L1668">
            <v>0</v>
          </cell>
          <cell r="Y1668" t="e">
            <v>#VALUE!</v>
          </cell>
          <cell r="Z1668" t="e">
            <v>#VALUE!</v>
          </cell>
        </row>
        <row r="1670">
          <cell r="E1670" t="str">
            <v>SUBTOTAL</v>
          </cell>
          <cell r="I1670">
            <v>30342.9</v>
          </cell>
          <cell r="L1670">
            <v>0</v>
          </cell>
          <cell r="Z1670" t="e">
            <v>#VALUE!</v>
          </cell>
        </row>
        <row r="1671">
          <cell r="E1671" t="str">
            <v>A.I.U</v>
          </cell>
          <cell r="I1671">
            <v>0</v>
          </cell>
          <cell r="L1671">
            <v>0</v>
          </cell>
          <cell r="Z1671">
            <v>0</v>
          </cell>
        </row>
        <row r="1672">
          <cell r="D1672" t="str">
            <v>AIUAADMON</v>
          </cell>
          <cell r="E1672" t="str">
            <v>Admon</v>
          </cell>
          <cell r="F1672">
            <v>0</v>
          </cell>
          <cell r="I1672">
            <v>0</v>
          </cell>
          <cell r="J1672">
            <v>0</v>
          </cell>
          <cell r="L1672">
            <v>0</v>
          </cell>
          <cell r="Z1672">
            <v>0</v>
          </cell>
        </row>
        <row r="1673">
          <cell r="D1673" t="str">
            <v>AIUAIMPRE</v>
          </cell>
          <cell r="E1673" t="str">
            <v>Imprevistos</v>
          </cell>
          <cell r="F1673">
            <v>0</v>
          </cell>
          <cell r="I1673">
            <v>0</v>
          </cell>
          <cell r="J1673">
            <v>0</v>
          </cell>
          <cell r="L1673">
            <v>0</v>
          </cell>
          <cell r="Z1673">
            <v>0</v>
          </cell>
        </row>
        <row r="1674">
          <cell r="D1674" t="str">
            <v>AIUAUTILI</v>
          </cell>
          <cell r="E1674" t="str">
            <v>Utilidad</v>
          </cell>
          <cell r="F1674">
            <v>0</v>
          </cell>
          <cell r="I1674">
            <v>0</v>
          </cell>
          <cell r="J1674">
            <v>0</v>
          </cell>
          <cell r="L1674">
            <v>0</v>
          </cell>
          <cell r="Z1674">
            <v>0</v>
          </cell>
        </row>
        <row r="1675">
          <cell r="D1675" t="str">
            <v>AIUAIVAUTI</v>
          </cell>
          <cell r="E1675" t="str">
            <v>IVA utilidad</v>
          </cell>
          <cell r="F1675">
            <v>0</v>
          </cell>
          <cell r="I1675">
            <v>0</v>
          </cell>
          <cell r="J1675">
            <v>0</v>
          </cell>
          <cell r="L1675">
            <v>0</v>
          </cell>
          <cell r="Z1675">
            <v>0</v>
          </cell>
        </row>
        <row r="1677">
          <cell r="E1677" t="str">
            <v>ITEM</v>
          </cell>
        </row>
        <row r="1678">
          <cell r="D1678" t="str">
            <v>VISARP</v>
          </cell>
          <cell r="E1678" t="str">
            <v>Sardinel Concreto H=0,50</v>
          </cell>
          <cell r="G1678" t="str">
            <v>UN.</v>
          </cell>
          <cell r="H1678" t="str">
            <v>Ml</v>
          </cell>
          <cell r="I1678">
            <v>21744</v>
          </cell>
          <cell r="K1678">
            <v>156</v>
          </cell>
          <cell r="L1678">
            <v>3392064</v>
          </cell>
          <cell r="N1678">
            <v>18166</v>
          </cell>
          <cell r="O1678">
            <v>2650</v>
          </cell>
          <cell r="P1678">
            <v>928</v>
          </cell>
          <cell r="Q1678">
            <v>0</v>
          </cell>
          <cell r="X1678">
            <v>3392064</v>
          </cell>
          <cell r="Z1678" t="e">
            <v>#N/A</v>
          </cell>
          <cell r="AA1678" t="e">
            <v>#N/A</v>
          </cell>
          <cell r="AB1678" t="e">
            <v>#N/A</v>
          </cell>
          <cell r="AC1678" t="e">
            <v>#N/A</v>
          </cell>
        </row>
        <row r="1680">
          <cell r="D1680" t="str">
            <v>CODIGO</v>
          </cell>
          <cell r="E1680" t="str">
            <v>DESCRIPCION</v>
          </cell>
          <cell r="F1680" t="str">
            <v>UN</v>
          </cell>
          <cell r="G1680" t="str">
            <v>CANT</v>
          </cell>
          <cell r="H1680" t="str">
            <v>V/UNIT.</v>
          </cell>
          <cell r="I1680" t="str">
            <v>V/TOTAL</v>
          </cell>
          <cell r="K1680" t="str">
            <v>CANT TOTAL</v>
          </cell>
          <cell r="L1680" t="str">
            <v>Vr TOTAL</v>
          </cell>
          <cell r="Y1680" t="str">
            <v>CANT.</v>
          </cell>
          <cell r="Z1680" t="str">
            <v>V/TOTAL</v>
          </cell>
        </row>
        <row r="1681">
          <cell r="E1681" t="str">
            <v>MATERIALES</v>
          </cell>
          <cell r="I1681">
            <v>18166</v>
          </cell>
          <cell r="L1681">
            <v>2833896</v>
          </cell>
          <cell r="Z1681" t="e">
            <v>#N/A</v>
          </cell>
        </row>
        <row r="1682">
          <cell r="D1682" t="str">
            <v>MA04C3</v>
          </cell>
          <cell r="E1682" t="str">
            <v xml:space="preserve">Concreto 3000 psi </v>
          </cell>
          <cell r="F1682" t="str">
            <v>M3</v>
          </cell>
          <cell r="G1682">
            <v>8.7999999999999995E-2</v>
          </cell>
          <cell r="H1682">
            <v>202575</v>
          </cell>
          <cell r="I1682">
            <v>17827</v>
          </cell>
          <cell r="J1682">
            <v>0</v>
          </cell>
          <cell r="K1682">
            <v>13.728</v>
          </cell>
          <cell r="L1682">
            <v>2780949.6</v>
          </cell>
          <cell r="Y1682" t="e">
            <v>#N/A</v>
          </cell>
          <cell r="Z1682" t="e">
            <v>#N/A</v>
          </cell>
        </row>
        <row r="1683">
          <cell r="D1683" t="str">
            <v>MA02RMC</v>
          </cell>
          <cell r="E1683" t="str">
            <v>Recebo en Cantera</v>
          </cell>
          <cell r="F1683" t="str">
            <v>M3</v>
          </cell>
          <cell r="G1683">
            <v>1.6E-2</v>
          </cell>
          <cell r="H1683">
            <v>6000</v>
          </cell>
          <cell r="I1683">
            <v>96</v>
          </cell>
          <cell r="J1683">
            <v>0</v>
          </cell>
          <cell r="K1683">
            <v>2.496</v>
          </cell>
          <cell r="L1683">
            <v>14976</v>
          </cell>
          <cell r="Y1683" t="e">
            <v>#N/A</v>
          </cell>
          <cell r="Z1683" t="e">
            <v>#N/A</v>
          </cell>
        </row>
        <row r="1684">
          <cell r="D1684" t="str">
            <v>TC09TR</v>
          </cell>
          <cell r="E1684" t="str">
            <v>Transporte Recebo</v>
          </cell>
          <cell r="F1684" t="str">
            <v>Vj</v>
          </cell>
          <cell r="G1684">
            <v>3.0000000000000001E-3</v>
          </cell>
          <cell r="H1684">
            <v>81000</v>
          </cell>
          <cell r="I1684">
            <v>243</v>
          </cell>
          <cell r="J1684">
            <v>0</v>
          </cell>
          <cell r="K1684">
            <v>0.46800000000000003</v>
          </cell>
          <cell r="L1684">
            <v>37908</v>
          </cell>
          <cell r="Y1684" t="e">
            <v>#N/A</v>
          </cell>
          <cell r="Z1684" t="e">
            <v>#N/A</v>
          </cell>
        </row>
        <row r="1686">
          <cell r="E1686" t="str">
            <v>MANO DE OBRA</v>
          </cell>
          <cell r="I1686">
            <v>2650</v>
          </cell>
          <cell r="L1686">
            <v>413400</v>
          </cell>
          <cell r="Z1686" t="e">
            <v>#N/A</v>
          </cell>
        </row>
        <row r="1687">
          <cell r="D1687" t="str">
            <v>MOVIS</v>
          </cell>
          <cell r="E1687" t="str">
            <v>Sardineles</v>
          </cell>
          <cell r="F1687" t="str">
            <v>ml</v>
          </cell>
          <cell r="G1687">
            <v>1</v>
          </cell>
          <cell r="H1687">
            <v>2650</v>
          </cell>
          <cell r="I1687">
            <v>2650</v>
          </cell>
          <cell r="J1687">
            <v>0</v>
          </cell>
          <cell r="K1687">
            <v>156</v>
          </cell>
          <cell r="L1687">
            <v>413400</v>
          </cell>
          <cell r="Y1687" t="e">
            <v>#N/A</v>
          </cell>
          <cell r="Z1687" t="e">
            <v>#N/A</v>
          </cell>
        </row>
        <row r="1689">
          <cell r="E1689" t="str">
            <v>VARIOS</v>
          </cell>
          <cell r="I1689">
            <v>928</v>
          </cell>
          <cell r="L1689">
            <v>144768</v>
          </cell>
          <cell r="Z1689" t="e">
            <v>#N/A</v>
          </cell>
        </row>
        <row r="1690">
          <cell r="D1690" t="str">
            <v>TC07H125</v>
          </cell>
          <cell r="E1690" t="str">
            <v>Herramienta</v>
          </cell>
          <cell r="F1690" t="str">
            <v>Gb</v>
          </cell>
          <cell r="G1690">
            <v>1</v>
          </cell>
          <cell r="H1690">
            <v>400</v>
          </cell>
          <cell r="I1690">
            <v>400</v>
          </cell>
          <cell r="J1690">
            <v>0</v>
          </cell>
          <cell r="K1690">
            <v>156</v>
          </cell>
          <cell r="L1690">
            <v>62400</v>
          </cell>
          <cell r="Y1690" t="e">
            <v>#N/A</v>
          </cell>
          <cell r="Z1690" t="e">
            <v>#N/A</v>
          </cell>
        </row>
        <row r="1691">
          <cell r="D1691" t="str">
            <v>AL04AFOR</v>
          </cell>
          <cell r="E1691" t="str">
            <v>Alquiler Formaleta</v>
          </cell>
          <cell r="F1691" t="str">
            <v>Ml</v>
          </cell>
          <cell r="G1691">
            <v>1.1000000000000001</v>
          </cell>
          <cell r="H1691">
            <v>480</v>
          </cell>
          <cell r="I1691">
            <v>528</v>
          </cell>
          <cell r="J1691">
            <v>0</v>
          </cell>
          <cell r="K1691">
            <v>171.60000000000002</v>
          </cell>
          <cell r="L1691">
            <v>82368.000000000015</v>
          </cell>
          <cell r="Y1691" t="e">
            <v>#N/A</v>
          </cell>
          <cell r="Z1691" t="e">
            <v>#N/A</v>
          </cell>
        </row>
        <row r="1693">
          <cell r="E1693" t="str">
            <v>SUBTOTAL</v>
          </cell>
          <cell r="I1693">
            <v>21744</v>
          </cell>
          <cell r="L1693">
            <v>3392064</v>
          </cell>
          <cell r="Z1693" t="e">
            <v>#N/A</v>
          </cell>
        </row>
        <row r="1694">
          <cell r="E1694" t="str">
            <v>A.I.U</v>
          </cell>
          <cell r="I1694">
            <v>0</v>
          </cell>
          <cell r="L1694">
            <v>0</v>
          </cell>
          <cell r="Z1694">
            <v>0</v>
          </cell>
        </row>
        <row r="1695">
          <cell r="D1695" t="str">
            <v>AIUAADMON</v>
          </cell>
          <cell r="E1695" t="str">
            <v>Admon</v>
          </cell>
          <cell r="F1695">
            <v>0</v>
          </cell>
          <cell r="I1695">
            <v>0</v>
          </cell>
          <cell r="J1695">
            <v>0</v>
          </cell>
          <cell r="L1695">
            <v>0</v>
          </cell>
          <cell r="Z1695">
            <v>0</v>
          </cell>
        </row>
        <row r="1696">
          <cell r="D1696" t="str">
            <v>AIUAIMPRE</v>
          </cell>
          <cell r="E1696" t="str">
            <v>Imprevistos</v>
          </cell>
          <cell r="F1696">
            <v>0</v>
          </cell>
          <cell r="I1696">
            <v>0</v>
          </cell>
          <cell r="J1696">
            <v>0</v>
          </cell>
          <cell r="L1696">
            <v>0</v>
          </cell>
          <cell r="Z1696">
            <v>0</v>
          </cell>
        </row>
        <row r="1697">
          <cell r="D1697" t="str">
            <v>AIUAUTILI</v>
          </cell>
          <cell r="E1697" t="str">
            <v>Utilidad</v>
          </cell>
          <cell r="F1697">
            <v>0</v>
          </cell>
          <cell r="I1697">
            <v>0</v>
          </cell>
          <cell r="J1697">
            <v>0</v>
          </cell>
          <cell r="L1697">
            <v>0</v>
          </cell>
          <cell r="Z1697">
            <v>0</v>
          </cell>
        </row>
        <row r="1698">
          <cell r="D1698" t="str">
            <v>AIUAIVAUTI</v>
          </cell>
          <cell r="E1698" t="str">
            <v>IVA utilidad</v>
          </cell>
          <cell r="F1698">
            <v>0</v>
          </cell>
          <cell r="I1698">
            <v>0</v>
          </cell>
          <cell r="J1698">
            <v>0</v>
          </cell>
          <cell r="L1698">
            <v>0</v>
          </cell>
          <cell r="Z1698">
            <v>0</v>
          </cell>
        </row>
        <row r="1700">
          <cell r="E1700" t="str">
            <v>ITEM</v>
          </cell>
        </row>
        <row r="1701">
          <cell r="D1701" t="str">
            <v>VISAR</v>
          </cell>
          <cell r="E1701" t="str">
            <v>Sardinel</v>
          </cell>
          <cell r="G1701" t="str">
            <v>UN.</v>
          </cell>
          <cell r="H1701" t="str">
            <v>Ml</v>
          </cell>
          <cell r="I1701">
            <v>29585.8</v>
          </cell>
          <cell r="K1701">
            <v>0</v>
          </cell>
          <cell r="L1701">
            <v>0</v>
          </cell>
          <cell r="N1701">
            <v>26007.8</v>
          </cell>
          <cell r="O1701">
            <v>2650</v>
          </cell>
          <cell r="P1701">
            <v>928</v>
          </cell>
          <cell r="Q1701">
            <v>0</v>
          </cell>
          <cell r="X1701">
            <v>0</v>
          </cell>
          <cell r="Z1701" t="e">
            <v>#VALUE!</v>
          </cell>
          <cell r="AA1701" t="e">
            <v>#VALUE!</v>
          </cell>
          <cell r="AB1701" t="e">
            <v>#VALUE!</v>
          </cell>
          <cell r="AC1701" t="e">
            <v>#VALUE!</v>
          </cell>
        </row>
        <row r="1703">
          <cell r="D1703" t="str">
            <v>CODIGO</v>
          </cell>
          <cell r="E1703" t="str">
            <v>DESCRIPCION</v>
          </cell>
          <cell r="F1703" t="str">
            <v>UN</v>
          </cell>
          <cell r="G1703" t="str">
            <v>CANT</v>
          </cell>
          <cell r="H1703" t="str">
            <v>V/UNIT.</v>
          </cell>
          <cell r="I1703" t="str">
            <v>V/TOTAL</v>
          </cell>
          <cell r="K1703" t="str">
            <v>CANT TOTAL</v>
          </cell>
          <cell r="L1703" t="str">
            <v>Vr TOTAL</v>
          </cell>
          <cell r="Y1703" t="str">
            <v>CANT.</v>
          </cell>
          <cell r="Z1703" t="str">
            <v>V/TOTAL</v>
          </cell>
        </row>
        <row r="1704">
          <cell r="E1704" t="str">
            <v>MATERIALES</v>
          </cell>
          <cell r="I1704">
            <v>26007.8</v>
          </cell>
          <cell r="L1704">
            <v>0</v>
          </cell>
          <cell r="Z1704" t="e">
            <v>#VALUE!</v>
          </cell>
        </row>
        <row r="1705">
          <cell r="D1705" t="str">
            <v>MA04C3</v>
          </cell>
          <cell r="E1705" t="str">
            <v xml:space="preserve">Concreto 3000 psi </v>
          </cell>
          <cell r="F1705" t="str">
            <v>M3</v>
          </cell>
          <cell r="G1705">
            <v>0.11</v>
          </cell>
          <cell r="H1705">
            <v>202575</v>
          </cell>
          <cell r="I1705">
            <v>22283</v>
          </cell>
          <cell r="J1705">
            <v>0</v>
          </cell>
          <cell r="K1705">
            <v>0</v>
          </cell>
          <cell r="L1705">
            <v>0</v>
          </cell>
          <cell r="Y1705" t="e">
            <v>#VALUE!</v>
          </cell>
          <cell r="Z1705" t="e">
            <v>#VALUE!</v>
          </cell>
        </row>
        <row r="1706">
          <cell r="D1706" t="str">
            <v>MA02RMC</v>
          </cell>
          <cell r="E1706" t="str">
            <v>Recebo en Cantera</v>
          </cell>
          <cell r="F1706" t="str">
            <v>M3</v>
          </cell>
          <cell r="G1706">
            <v>0.16</v>
          </cell>
          <cell r="H1706">
            <v>6000</v>
          </cell>
          <cell r="I1706">
            <v>960</v>
          </cell>
          <cell r="J1706">
            <v>0</v>
          </cell>
          <cell r="K1706">
            <v>0</v>
          </cell>
          <cell r="L1706">
            <v>0</v>
          </cell>
          <cell r="Y1706" t="e">
            <v>#VALUE!</v>
          </cell>
          <cell r="Z1706" t="e">
            <v>#VALUE!</v>
          </cell>
        </row>
        <row r="1707">
          <cell r="D1707" t="str">
            <v>TC09TR</v>
          </cell>
          <cell r="E1707" t="str">
            <v>Transporte Recebo</v>
          </cell>
          <cell r="F1707" t="str">
            <v>Vj</v>
          </cell>
          <cell r="G1707">
            <v>3.4133333333333335E-2</v>
          </cell>
          <cell r="H1707">
            <v>81000</v>
          </cell>
          <cell r="I1707">
            <v>2764.8</v>
          </cell>
          <cell r="J1707">
            <v>0</v>
          </cell>
          <cell r="K1707">
            <v>0</v>
          </cell>
          <cell r="L1707">
            <v>0</v>
          </cell>
          <cell r="Y1707" t="e">
            <v>#VALUE!</v>
          </cell>
          <cell r="Z1707" t="e">
            <v>#VALUE!</v>
          </cell>
        </row>
        <row r="1709">
          <cell r="E1709" t="str">
            <v>MANO DE OBRA</v>
          </cell>
          <cell r="I1709">
            <v>2650</v>
          </cell>
          <cell r="L1709">
            <v>0</v>
          </cell>
          <cell r="Z1709" t="e">
            <v>#VALUE!</v>
          </cell>
        </row>
        <row r="1710">
          <cell r="D1710" t="str">
            <v>MOVIS</v>
          </cell>
          <cell r="E1710" t="str">
            <v>Sardineles</v>
          </cell>
          <cell r="F1710" t="str">
            <v>ml</v>
          </cell>
          <cell r="G1710">
            <v>1</v>
          </cell>
          <cell r="H1710">
            <v>2650</v>
          </cell>
          <cell r="I1710">
            <v>2650</v>
          </cell>
          <cell r="J1710">
            <v>0</v>
          </cell>
          <cell r="K1710">
            <v>0</v>
          </cell>
          <cell r="L1710">
            <v>0</v>
          </cell>
          <cell r="Y1710" t="e">
            <v>#VALUE!</v>
          </cell>
          <cell r="Z1710" t="e">
            <v>#VALUE!</v>
          </cell>
        </row>
        <row r="1712">
          <cell r="E1712" t="str">
            <v>VARIOS</v>
          </cell>
          <cell r="I1712">
            <v>928</v>
          </cell>
          <cell r="L1712">
            <v>0</v>
          </cell>
          <cell r="Z1712" t="e">
            <v>#VALUE!</v>
          </cell>
        </row>
        <row r="1713">
          <cell r="D1713" t="str">
            <v>TC07H125</v>
          </cell>
          <cell r="E1713" t="str">
            <v>Herramienta</v>
          </cell>
          <cell r="F1713" t="str">
            <v>Gb</v>
          </cell>
          <cell r="G1713">
            <v>1</v>
          </cell>
          <cell r="H1713">
            <v>400</v>
          </cell>
          <cell r="I1713">
            <v>400</v>
          </cell>
          <cell r="J1713">
            <v>0</v>
          </cell>
          <cell r="K1713">
            <v>0</v>
          </cell>
          <cell r="L1713">
            <v>0</v>
          </cell>
          <cell r="Y1713" t="e">
            <v>#VALUE!</v>
          </cell>
          <cell r="Z1713" t="e">
            <v>#VALUE!</v>
          </cell>
        </row>
        <row r="1714">
          <cell r="D1714" t="str">
            <v>AL04AFOR</v>
          </cell>
          <cell r="E1714" t="str">
            <v>Alquiler Formaleta</v>
          </cell>
          <cell r="F1714" t="str">
            <v>Ml</v>
          </cell>
          <cell r="G1714">
            <v>1.1000000000000001</v>
          </cell>
          <cell r="H1714">
            <v>480</v>
          </cell>
          <cell r="I1714">
            <v>528</v>
          </cell>
          <cell r="J1714">
            <v>0</v>
          </cell>
          <cell r="K1714">
            <v>0</v>
          </cell>
          <cell r="L1714">
            <v>0</v>
          </cell>
          <cell r="Y1714" t="e">
            <v>#VALUE!</v>
          </cell>
          <cell r="Z1714" t="e">
            <v>#VALUE!</v>
          </cell>
        </row>
        <row r="1716">
          <cell r="E1716" t="str">
            <v>SUBTOTAL</v>
          </cell>
          <cell r="I1716">
            <v>29585.8</v>
          </cell>
          <cell r="L1716">
            <v>0</v>
          </cell>
          <cell r="Z1716" t="e">
            <v>#VALUE!</v>
          </cell>
        </row>
        <row r="1717">
          <cell r="E1717" t="str">
            <v>A.I.U</v>
          </cell>
          <cell r="I1717">
            <v>0</v>
          </cell>
          <cell r="L1717">
            <v>0</v>
          </cell>
          <cell r="Z1717">
            <v>0</v>
          </cell>
        </row>
        <row r="1718">
          <cell r="D1718" t="str">
            <v>AIUAADMON</v>
          </cell>
          <cell r="E1718" t="str">
            <v>Admon</v>
          </cell>
          <cell r="F1718">
            <v>0</v>
          </cell>
          <cell r="I1718">
            <v>0</v>
          </cell>
          <cell r="J1718">
            <v>0</v>
          </cell>
          <cell r="L1718">
            <v>0</v>
          </cell>
          <cell r="Z1718">
            <v>0</v>
          </cell>
        </row>
        <row r="1719">
          <cell r="D1719" t="str">
            <v>AIUAIMPRE</v>
          </cell>
          <cell r="E1719" t="str">
            <v>Imprevistos</v>
          </cell>
          <cell r="F1719">
            <v>0</v>
          </cell>
          <cell r="I1719">
            <v>0</v>
          </cell>
          <cell r="J1719">
            <v>0</v>
          </cell>
          <cell r="L1719">
            <v>0</v>
          </cell>
          <cell r="Z1719">
            <v>0</v>
          </cell>
        </row>
        <row r="1720">
          <cell r="D1720" t="str">
            <v>AIUAUTILI</v>
          </cell>
          <cell r="E1720" t="str">
            <v>Utilidad</v>
          </cell>
          <cell r="F1720">
            <v>0</v>
          </cell>
          <cell r="I1720">
            <v>0</v>
          </cell>
          <cell r="J1720">
            <v>0</v>
          </cell>
          <cell r="L1720">
            <v>0</v>
          </cell>
          <cell r="Z1720">
            <v>0</v>
          </cell>
        </row>
        <row r="1721">
          <cell r="D1721" t="str">
            <v>AIUAIVAUTI</v>
          </cell>
          <cell r="E1721" t="str">
            <v>IVA utilidad</v>
          </cell>
          <cell r="F1721">
            <v>0</v>
          </cell>
          <cell r="I1721">
            <v>0</v>
          </cell>
          <cell r="J1721">
            <v>0</v>
          </cell>
          <cell r="L1721">
            <v>0</v>
          </cell>
          <cell r="Z1721">
            <v>0</v>
          </cell>
        </row>
        <row r="1723">
          <cell r="E1723" t="str">
            <v>ITEM</v>
          </cell>
        </row>
        <row r="1724">
          <cell r="D1724" t="str">
            <v>VIGEOT</v>
          </cell>
          <cell r="E1724" t="str">
            <v>Geotextil Tejido 1400</v>
          </cell>
          <cell r="G1724" t="str">
            <v>UN.</v>
          </cell>
          <cell r="H1724" t="str">
            <v>M3</v>
          </cell>
          <cell r="I1724">
            <v>2967.5</v>
          </cell>
          <cell r="K1724">
            <v>0</v>
          </cell>
          <cell r="L1724">
            <v>0</v>
          </cell>
          <cell r="N1724">
            <v>2587.5</v>
          </cell>
          <cell r="O1724">
            <v>380</v>
          </cell>
          <cell r="P1724">
            <v>0</v>
          </cell>
          <cell r="Q1724">
            <v>0</v>
          </cell>
          <cell r="X1724">
            <v>0</v>
          </cell>
          <cell r="Z1724" t="e">
            <v>#VALUE!</v>
          </cell>
          <cell r="AA1724" t="e">
            <v>#VALUE!</v>
          </cell>
          <cell r="AB1724" t="e">
            <v>#VALUE!</v>
          </cell>
          <cell r="AC1724">
            <v>0</v>
          </cell>
        </row>
        <row r="1726">
          <cell r="D1726" t="str">
            <v>CODIGO</v>
          </cell>
          <cell r="E1726" t="str">
            <v>DESCRIPCION</v>
          </cell>
          <cell r="F1726" t="str">
            <v>UN</v>
          </cell>
          <cell r="G1726" t="str">
            <v>CANT</v>
          </cell>
          <cell r="H1726" t="str">
            <v>V/UNIT.</v>
          </cell>
          <cell r="I1726" t="str">
            <v>V/TOTAL</v>
          </cell>
          <cell r="K1726" t="str">
            <v>CANT TOTAL</v>
          </cell>
          <cell r="L1726" t="str">
            <v>Vr TOTAL</v>
          </cell>
          <cell r="Y1726" t="str">
            <v>CANT.</v>
          </cell>
          <cell r="Z1726" t="str">
            <v>V/TOTAL</v>
          </cell>
        </row>
        <row r="1727">
          <cell r="E1727" t="str">
            <v>MATERIALES</v>
          </cell>
          <cell r="I1727">
            <v>2587.5</v>
          </cell>
          <cell r="L1727">
            <v>0</v>
          </cell>
          <cell r="Z1727" t="e">
            <v>#VALUE!</v>
          </cell>
        </row>
        <row r="1728">
          <cell r="D1728" t="str">
            <v>MA26GEOT</v>
          </cell>
          <cell r="E1728" t="str">
            <v>Geotextil 1400</v>
          </cell>
          <cell r="F1728" t="str">
            <v>m2</v>
          </cell>
          <cell r="G1728">
            <v>1.1499999999999999</v>
          </cell>
          <cell r="H1728">
            <v>2250</v>
          </cell>
          <cell r="I1728">
            <v>2587.5</v>
          </cell>
          <cell r="J1728">
            <v>0</v>
          </cell>
          <cell r="K1728">
            <v>0</v>
          </cell>
          <cell r="L1728">
            <v>0</v>
          </cell>
          <cell r="Y1728" t="e">
            <v>#VALUE!</v>
          </cell>
          <cell r="Z1728" t="e">
            <v>#VALUE!</v>
          </cell>
        </row>
        <row r="1730">
          <cell r="E1730" t="str">
            <v>MANO DE OBRA</v>
          </cell>
          <cell r="I1730">
            <v>380</v>
          </cell>
          <cell r="L1730">
            <v>0</v>
          </cell>
          <cell r="Z1730" t="e">
            <v>#VALUE!</v>
          </cell>
        </row>
        <row r="1731">
          <cell r="D1731" t="str">
            <v>MOVIIGEOT</v>
          </cell>
          <cell r="E1731" t="str">
            <v>Instalacion Geotextil</v>
          </cell>
          <cell r="F1731" t="str">
            <v>m2</v>
          </cell>
          <cell r="G1731">
            <v>1</v>
          </cell>
          <cell r="H1731">
            <v>380</v>
          </cell>
          <cell r="I1731">
            <v>380</v>
          </cell>
          <cell r="J1731">
            <v>0</v>
          </cell>
          <cell r="K1731">
            <v>0</v>
          </cell>
          <cell r="L1731">
            <v>0</v>
          </cell>
          <cell r="Y1731" t="e">
            <v>#VALUE!</v>
          </cell>
          <cell r="Z1731" t="e">
            <v>#VALUE!</v>
          </cell>
        </row>
        <row r="1732">
          <cell r="I1732">
            <v>0</v>
          </cell>
          <cell r="J1732">
            <v>0</v>
          </cell>
          <cell r="K1732">
            <v>0</v>
          </cell>
          <cell r="L1732">
            <v>0</v>
          </cell>
        </row>
        <row r="1733">
          <cell r="E1733" t="str">
            <v>VARIOS</v>
          </cell>
          <cell r="I1733">
            <v>0</v>
          </cell>
          <cell r="L1733">
            <v>0</v>
          </cell>
          <cell r="Z1733">
            <v>0</v>
          </cell>
        </row>
        <row r="1734">
          <cell r="I1734">
            <v>0</v>
          </cell>
          <cell r="J1734">
            <v>0</v>
          </cell>
          <cell r="K1734">
            <v>0</v>
          </cell>
          <cell r="L1734">
            <v>0</v>
          </cell>
        </row>
        <row r="1735">
          <cell r="I1735">
            <v>0</v>
          </cell>
        </row>
        <row r="1736">
          <cell r="E1736" t="str">
            <v>SUBTOTAL</v>
          </cell>
          <cell r="I1736">
            <v>2967.5</v>
          </cell>
          <cell r="L1736">
            <v>0</v>
          </cell>
          <cell r="Z1736" t="e">
            <v>#VALUE!</v>
          </cell>
        </row>
        <row r="1737">
          <cell r="E1737" t="str">
            <v>A.I.U</v>
          </cell>
          <cell r="I1737">
            <v>0</v>
          </cell>
          <cell r="L1737">
            <v>0</v>
          </cell>
          <cell r="Z1737">
            <v>0</v>
          </cell>
        </row>
        <row r="1738">
          <cell r="D1738" t="str">
            <v>AIUAADMON</v>
          </cell>
          <cell r="E1738" t="str">
            <v>Admon</v>
          </cell>
          <cell r="F1738">
            <v>0</v>
          </cell>
          <cell r="I1738">
            <v>0</v>
          </cell>
          <cell r="J1738">
            <v>0</v>
          </cell>
          <cell r="L1738">
            <v>0</v>
          </cell>
          <cell r="Z1738">
            <v>0</v>
          </cell>
        </row>
        <row r="1739">
          <cell r="D1739" t="str">
            <v>AIUAIMPRE</v>
          </cell>
          <cell r="E1739" t="str">
            <v>Imprevistos</v>
          </cell>
          <cell r="F1739">
            <v>0</v>
          </cell>
          <cell r="I1739">
            <v>0</v>
          </cell>
          <cell r="J1739">
            <v>0</v>
          </cell>
          <cell r="L1739">
            <v>0</v>
          </cell>
          <cell r="Z1739">
            <v>0</v>
          </cell>
        </row>
        <row r="1740">
          <cell r="D1740" t="str">
            <v>AIUAUTILI</v>
          </cell>
          <cell r="E1740" t="str">
            <v>Utilidad</v>
          </cell>
          <cell r="F1740">
            <v>0</v>
          </cell>
          <cell r="I1740">
            <v>0</v>
          </cell>
          <cell r="J1740">
            <v>0</v>
          </cell>
          <cell r="L1740">
            <v>0</v>
          </cell>
          <cell r="Z1740">
            <v>0</v>
          </cell>
        </row>
        <row r="1741">
          <cell r="D1741" t="str">
            <v>AIUAIVAUTI</v>
          </cell>
          <cell r="E1741" t="str">
            <v>IVA utilidad</v>
          </cell>
          <cell r="F1741">
            <v>0</v>
          </cell>
          <cell r="I1741">
            <v>0</v>
          </cell>
          <cell r="J1741">
            <v>0</v>
          </cell>
          <cell r="L1741">
            <v>0</v>
          </cell>
          <cell r="Z1741">
            <v>0</v>
          </cell>
        </row>
        <row r="1743">
          <cell r="E1743" t="str">
            <v>ITEM</v>
          </cell>
        </row>
        <row r="1744">
          <cell r="D1744" t="str">
            <v>VI1MDC</v>
          </cell>
          <cell r="E1744" t="str">
            <v xml:space="preserve">Pavimento Flexible MDC-1 </v>
          </cell>
          <cell r="G1744" t="str">
            <v>UN.</v>
          </cell>
          <cell r="H1744" t="str">
            <v>M3</v>
          </cell>
          <cell r="I1744">
            <v>235600</v>
          </cell>
          <cell r="K1744">
            <v>127</v>
          </cell>
          <cell r="L1744">
            <v>29921200</v>
          </cell>
          <cell r="N1744">
            <v>600</v>
          </cell>
          <cell r="O1744">
            <v>0</v>
          </cell>
          <cell r="P1744">
            <v>235000</v>
          </cell>
          <cell r="Q1744">
            <v>0</v>
          </cell>
          <cell r="X1744">
            <v>29921200</v>
          </cell>
          <cell r="Z1744" t="e">
            <v>#N/A</v>
          </cell>
          <cell r="AA1744" t="e">
            <v>#N/A</v>
          </cell>
          <cell r="AB1744">
            <v>0</v>
          </cell>
          <cell r="AC1744" t="e">
            <v>#N/A</v>
          </cell>
        </row>
        <row r="1746">
          <cell r="D1746" t="str">
            <v>CODIGO</v>
          </cell>
          <cell r="E1746" t="str">
            <v>DESCRIPCION</v>
          </cell>
          <cell r="F1746" t="str">
            <v>UN</v>
          </cell>
          <cell r="G1746" t="str">
            <v>CANT</v>
          </cell>
          <cell r="H1746" t="str">
            <v>V/UNIT.</v>
          </cell>
          <cell r="I1746" t="str">
            <v>V/TOTAL</v>
          </cell>
          <cell r="K1746" t="str">
            <v>CANT TOTAL</v>
          </cell>
          <cell r="L1746" t="str">
            <v>Vr TOTAL</v>
          </cell>
          <cell r="Y1746" t="str">
            <v>CANT.</v>
          </cell>
          <cell r="Z1746" t="str">
            <v>V/TOTAL</v>
          </cell>
        </row>
        <row r="1747">
          <cell r="E1747" t="str">
            <v>MATERIALES</v>
          </cell>
          <cell r="I1747">
            <v>600</v>
          </cell>
          <cell r="L1747">
            <v>76200</v>
          </cell>
          <cell r="Z1747" t="e">
            <v>#N/A</v>
          </cell>
        </row>
        <row r="1748">
          <cell r="D1748" t="str">
            <v>TC16IMPR</v>
          </cell>
          <cell r="E1748" t="str">
            <v>Imprimación</v>
          </cell>
          <cell r="F1748" t="str">
            <v>m2</v>
          </cell>
          <cell r="G1748">
            <v>1</v>
          </cell>
          <cell r="H1748">
            <v>600</v>
          </cell>
          <cell r="I1748">
            <v>600</v>
          </cell>
          <cell r="J1748">
            <v>0</v>
          </cell>
          <cell r="K1748">
            <v>127</v>
          </cell>
          <cell r="L1748">
            <v>76200</v>
          </cell>
          <cell r="Y1748" t="e">
            <v>#N/A</v>
          </cell>
          <cell r="Z1748" t="e">
            <v>#N/A</v>
          </cell>
        </row>
        <row r="1749">
          <cell r="I1749">
            <v>0</v>
          </cell>
          <cell r="J1749">
            <v>0</v>
          </cell>
          <cell r="K1749">
            <v>0</v>
          </cell>
          <cell r="L1749">
            <v>0</v>
          </cell>
          <cell r="Y1749">
            <v>0</v>
          </cell>
          <cell r="Z1749">
            <v>0</v>
          </cell>
        </row>
        <row r="1750">
          <cell r="I1750">
            <v>0</v>
          </cell>
          <cell r="J1750">
            <v>0</v>
          </cell>
          <cell r="K1750">
            <v>0</v>
          </cell>
          <cell r="L1750">
            <v>0</v>
          </cell>
          <cell r="Y1750">
            <v>0</v>
          </cell>
          <cell r="Z1750">
            <v>0</v>
          </cell>
        </row>
        <row r="1751">
          <cell r="I1751">
            <v>0</v>
          </cell>
          <cell r="J1751">
            <v>0</v>
          </cell>
          <cell r="K1751">
            <v>0</v>
          </cell>
          <cell r="L1751">
            <v>0</v>
          </cell>
          <cell r="Y1751">
            <v>0</v>
          </cell>
          <cell r="Z1751">
            <v>0</v>
          </cell>
        </row>
        <row r="1752">
          <cell r="I1752">
            <v>0</v>
          </cell>
          <cell r="J1752">
            <v>0</v>
          </cell>
          <cell r="K1752">
            <v>0</v>
          </cell>
          <cell r="L1752">
            <v>0</v>
          </cell>
          <cell r="Y1752">
            <v>0</v>
          </cell>
          <cell r="Z1752">
            <v>0</v>
          </cell>
        </row>
        <row r="1754">
          <cell r="E1754" t="str">
            <v>MANO DE OBRA</v>
          </cell>
          <cell r="I1754">
            <v>0</v>
          </cell>
          <cell r="L1754">
            <v>0</v>
          </cell>
          <cell r="Z1754">
            <v>0</v>
          </cell>
        </row>
        <row r="1755">
          <cell r="I1755">
            <v>0</v>
          </cell>
          <cell r="J1755">
            <v>0</v>
          </cell>
          <cell r="K1755">
            <v>0</v>
          </cell>
          <cell r="L1755">
            <v>0</v>
          </cell>
          <cell r="Y1755">
            <v>0</v>
          </cell>
          <cell r="Z1755">
            <v>0</v>
          </cell>
        </row>
        <row r="1757">
          <cell r="E1757" t="str">
            <v>VARIOS</v>
          </cell>
          <cell r="I1757">
            <v>235000</v>
          </cell>
          <cell r="L1757">
            <v>29845000</v>
          </cell>
          <cell r="Z1757" t="e">
            <v>#N/A</v>
          </cell>
        </row>
        <row r="1758">
          <cell r="D1758" t="str">
            <v>TC161MDC</v>
          </cell>
          <cell r="E1758" t="str">
            <v>Base Asfaltica MDC-1</v>
          </cell>
          <cell r="F1758" t="str">
            <v>M3</v>
          </cell>
          <cell r="G1758">
            <v>1</v>
          </cell>
          <cell r="H1758">
            <v>235000</v>
          </cell>
          <cell r="I1758">
            <v>235000</v>
          </cell>
          <cell r="J1758">
            <v>0</v>
          </cell>
          <cell r="K1758">
            <v>127</v>
          </cell>
          <cell r="L1758">
            <v>29845000</v>
          </cell>
          <cell r="Y1758" t="e">
            <v>#N/A</v>
          </cell>
          <cell r="Z1758" t="e">
            <v>#N/A</v>
          </cell>
        </row>
        <row r="1761">
          <cell r="E1761" t="str">
            <v>SUBTOTAL</v>
          </cell>
          <cell r="I1761">
            <v>235600</v>
          </cell>
          <cell r="L1761">
            <v>29921200</v>
          </cell>
          <cell r="Z1761" t="e">
            <v>#N/A</v>
          </cell>
        </row>
        <row r="1762">
          <cell r="E1762" t="str">
            <v>A.I.U</v>
          </cell>
          <cell r="I1762">
            <v>0</v>
          </cell>
          <cell r="L1762">
            <v>0</v>
          </cell>
          <cell r="Z1762">
            <v>0</v>
          </cell>
        </row>
        <row r="1763">
          <cell r="D1763" t="str">
            <v>AIUAADMON</v>
          </cell>
          <cell r="E1763" t="str">
            <v>Admon</v>
          </cell>
          <cell r="F1763">
            <v>0</v>
          </cell>
          <cell r="I1763">
            <v>0</v>
          </cell>
          <cell r="J1763">
            <v>0</v>
          </cell>
          <cell r="L1763">
            <v>0</v>
          </cell>
          <cell r="Z1763">
            <v>0</v>
          </cell>
        </row>
        <row r="1764">
          <cell r="D1764" t="str">
            <v>AIUAIMPRE</v>
          </cell>
          <cell r="E1764" t="str">
            <v>Imprevistos</v>
          </cell>
          <cell r="F1764">
            <v>0</v>
          </cell>
          <cell r="I1764">
            <v>0</v>
          </cell>
          <cell r="J1764">
            <v>0</v>
          </cell>
          <cell r="L1764">
            <v>0</v>
          </cell>
          <cell r="Z1764">
            <v>0</v>
          </cell>
        </row>
        <row r="1765">
          <cell r="D1765" t="str">
            <v>AIUAUTILI</v>
          </cell>
          <cell r="E1765" t="str">
            <v>Utilidad</v>
          </cell>
          <cell r="F1765">
            <v>0</v>
          </cell>
          <cell r="I1765">
            <v>0</v>
          </cell>
          <cell r="J1765">
            <v>0</v>
          </cell>
          <cell r="L1765">
            <v>0</v>
          </cell>
          <cell r="Z1765">
            <v>0</v>
          </cell>
        </row>
        <row r="1766">
          <cell r="D1766" t="str">
            <v>AIUAIVAUTI</v>
          </cell>
          <cell r="E1766" t="str">
            <v>IVA utilidad</v>
          </cell>
          <cell r="F1766">
            <v>0</v>
          </cell>
          <cell r="I1766">
            <v>0</v>
          </cell>
          <cell r="J1766">
            <v>0</v>
          </cell>
          <cell r="L1766">
            <v>0</v>
          </cell>
          <cell r="Z1766">
            <v>0</v>
          </cell>
        </row>
        <row r="1768">
          <cell r="E1768" t="str">
            <v>ITEM</v>
          </cell>
        </row>
        <row r="1769">
          <cell r="D1769" t="str">
            <v>VI3MDC</v>
          </cell>
          <cell r="E1769" t="str">
            <v>Pavimento Flexibles MDC-3</v>
          </cell>
          <cell r="G1769" t="str">
            <v>UN.</v>
          </cell>
          <cell r="H1769" t="str">
            <v>M3</v>
          </cell>
          <cell r="I1769">
            <v>258600</v>
          </cell>
          <cell r="K1769">
            <v>75</v>
          </cell>
          <cell r="L1769">
            <v>19395000</v>
          </cell>
          <cell r="N1769">
            <v>600</v>
          </cell>
          <cell r="O1769">
            <v>0</v>
          </cell>
          <cell r="P1769">
            <v>258000</v>
          </cell>
          <cell r="Q1769">
            <v>0</v>
          </cell>
          <cell r="X1769">
            <v>19395000</v>
          </cell>
          <cell r="Z1769" t="e">
            <v>#N/A</v>
          </cell>
          <cell r="AA1769" t="e">
            <v>#N/A</v>
          </cell>
          <cell r="AB1769">
            <v>0</v>
          </cell>
          <cell r="AC1769" t="e">
            <v>#N/A</v>
          </cell>
        </row>
        <row r="1771">
          <cell r="D1771" t="str">
            <v>CODIGO</v>
          </cell>
          <cell r="E1771" t="str">
            <v>DESCRIPCION</v>
          </cell>
          <cell r="F1771" t="str">
            <v>UN</v>
          </cell>
          <cell r="G1771" t="str">
            <v>CANT</v>
          </cell>
          <cell r="H1771" t="str">
            <v>V/UNIT.</v>
          </cell>
          <cell r="I1771" t="str">
            <v>V/TOTAL</v>
          </cell>
          <cell r="K1771" t="str">
            <v>CANT TOTAL</v>
          </cell>
          <cell r="L1771" t="str">
            <v>Vr TOTAL</v>
          </cell>
          <cell r="Y1771" t="str">
            <v>CANT.</v>
          </cell>
          <cell r="Z1771" t="str">
            <v>V/TOTAL</v>
          </cell>
        </row>
        <row r="1772">
          <cell r="E1772" t="str">
            <v>MATERIALES</v>
          </cell>
          <cell r="I1772">
            <v>600</v>
          </cell>
          <cell r="L1772">
            <v>45000</v>
          </cell>
          <cell r="Z1772" t="e">
            <v>#N/A</v>
          </cell>
        </row>
        <row r="1773">
          <cell r="D1773" t="str">
            <v>TC16IMPR</v>
          </cell>
          <cell r="E1773" t="str">
            <v>Imprimación</v>
          </cell>
          <cell r="F1773" t="str">
            <v>m2</v>
          </cell>
          <cell r="G1773">
            <v>1</v>
          </cell>
          <cell r="H1773">
            <v>600</v>
          </cell>
          <cell r="I1773">
            <v>600</v>
          </cell>
          <cell r="J1773">
            <v>0</v>
          </cell>
          <cell r="K1773">
            <v>75</v>
          </cell>
          <cell r="L1773">
            <v>45000</v>
          </cell>
          <cell r="Y1773" t="e">
            <v>#N/A</v>
          </cell>
          <cell r="Z1773" t="e">
            <v>#N/A</v>
          </cell>
        </row>
        <row r="1774">
          <cell r="I1774">
            <v>0</v>
          </cell>
          <cell r="J1774">
            <v>0</v>
          </cell>
          <cell r="K1774">
            <v>0</v>
          </cell>
          <cell r="L1774">
            <v>0</v>
          </cell>
          <cell r="Y1774">
            <v>0</v>
          </cell>
          <cell r="Z1774">
            <v>0</v>
          </cell>
        </row>
        <row r="1775">
          <cell r="I1775">
            <v>0</v>
          </cell>
          <cell r="J1775">
            <v>0</v>
          </cell>
          <cell r="K1775">
            <v>0</v>
          </cell>
          <cell r="L1775">
            <v>0</v>
          </cell>
          <cell r="Y1775">
            <v>0</v>
          </cell>
          <cell r="Z1775">
            <v>0</v>
          </cell>
        </row>
        <row r="1776">
          <cell r="I1776">
            <v>0</v>
          </cell>
          <cell r="J1776">
            <v>0</v>
          </cell>
          <cell r="K1776">
            <v>0</v>
          </cell>
          <cell r="L1776">
            <v>0</v>
          </cell>
          <cell r="Y1776">
            <v>0</v>
          </cell>
          <cell r="Z1776">
            <v>0</v>
          </cell>
        </row>
        <row r="1777">
          <cell r="I1777">
            <v>0</v>
          </cell>
          <cell r="J1777">
            <v>0</v>
          </cell>
          <cell r="K1777">
            <v>0</v>
          </cell>
          <cell r="L1777">
            <v>0</v>
          </cell>
          <cell r="Y1777">
            <v>0</v>
          </cell>
          <cell r="Z1777">
            <v>0</v>
          </cell>
        </row>
        <row r="1779">
          <cell r="E1779" t="str">
            <v>MANO DE OBRA</v>
          </cell>
          <cell r="I1779">
            <v>0</v>
          </cell>
          <cell r="L1779">
            <v>0</v>
          </cell>
          <cell r="Z1779">
            <v>0</v>
          </cell>
        </row>
        <row r="1780">
          <cell r="I1780">
            <v>0</v>
          </cell>
          <cell r="J1780">
            <v>0</v>
          </cell>
          <cell r="K1780">
            <v>0</v>
          </cell>
          <cell r="L1780">
            <v>0</v>
          </cell>
          <cell r="Y1780">
            <v>0</v>
          </cell>
          <cell r="Z1780">
            <v>0</v>
          </cell>
        </row>
        <row r="1782">
          <cell r="E1782" t="str">
            <v>VARIOS</v>
          </cell>
          <cell r="I1782">
            <v>258000</v>
          </cell>
          <cell r="L1782">
            <v>19350000</v>
          </cell>
          <cell r="Z1782" t="e">
            <v>#N/A</v>
          </cell>
        </row>
        <row r="1783">
          <cell r="D1783" t="str">
            <v>TC163MDC</v>
          </cell>
          <cell r="E1783" t="str">
            <v>Rodadura Asfaltica MDC-3</v>
          </cell>
          <cell r="F1783" t="str">
            <v>M3</v>
          </cell>
          <cell r="G1783">
            <v>1</v>
          </cell>
          <cell r="H1783">
            <v>258000</v>
          </cell>
          <cell r="I1783">
            <v>258000</v>
          </cell>
          <cell r="J1783">
            <v>0</v>
          </cell>
          <cell r="K1783">
            <v>75</v>
          </cell>
          <cell r="L1783">
            <v>19350000</v>
          </cell>
          <cell r="Y1783" t="e">
            <v>#N/A</v>
          </cell>
          <cell r="Z1783" t="e">
            <v>#N/A</v>
          </cell>
        </row>
        <row r="1786">
          <cell r="E1786" t="str">
            <v>SUBTOTAL</v>
          </cell>
          <cell r="I1786">
            <v>258600</v>
          </cell>
          <cell r="L1786">
            <v>19395000</v>
          </cell>
          <cell r="Z1786" t="e">
            <v>#N/A</v>
          </cell>
        </row>
        <row r="1787">
          <cell r="E1787" t="str">
            <v>A.I.U</v>
          </cell>
          <cell r="I1787">
            <v>0</v>
          </cell>
          <cell r="L1787">
            <v>0</v>
          </cell>
          <cell r="Z1787">
            <v>0</v>
          </cell>
        </row>
        <row r="1788">
          <cell r="D1788" t="str">
            <v>AIUAADMON</v>
          </cell>
          <cell r="E1788" t="str">
            <v>Admon</v>
          </cell>
          <cell r="F1788">
            <v>0</v>
          </cell>
          <cell r="I1788">
            <v>0</v>
          </cell>
          <cell r="J1788">
            <v>0</v>
          </cell>
          <cell r="L1788">
            <v>0</v>
          </cell>
          <cell r="Z1788">
            <v>0</v>
          </cell>
        </row>
        <row r="1789">
          <cell r="D1789" t="str">
            <v>AIUAIMPRE</v>
          </cell>
          <cell r="E1789" t="str">
            <v>Imprevistos</v>
          </cell>
          <cell r="F1789">
            <v>0</v>
          </cell>
          <cell r="I1789">
            <v>0</v>
          </cell>
          <cell r="J1789">
            <v>0</v>
          </cell>
          <cell r="L1789">
            <v>0</v>
          </cell>
          <cell r="Z1789">
            <v>0</v>
          </cell>
        </row>
        <row r="1790">
          <cell r="D1790" t="str">
            <v>AIUAUTILI</v>
          </cell>
          <cell r="E1790" t="str">
            <v>Utilidad</v>
          </cell>
          <cell r="F1790">
            <v>0</v>
          </cell>
          <cell r="I1790">
            <v>0</v>
          </cell>
          <cell r="J1790">
            <v>0</v>
          </cell>
          <cell r="L1790">
            <v>0</v>
          </cell>
          <cell r="Z1790">
            <v>0</v>
          </cell>
        </row>
        <row r="1791">
          <cell r="D1791" t="str">
            <v>AIUAIVAUTI</v>
          </cell>
          <cell r="E1791" t="str">
            <v>IVA utilidad</v>
          </cell>
          <cell r="F1791">
            <v>0</v>
          </cell>
          <cell r="I1791">
            <v>0</v>
          </cell>
          <cell r="J1791">
            <v>0</v>
          </cell>
          <cell r="L1791">
            <v>0</v>
          </cell>
          <cell r="Z1791">
            <v>0</v>
          </cell>
        </row>
        <row r="1793">
          <cell r="E1793" t="str">
            <v>ITEM</v>
          </cell>
        </row>
        <row r="1794">
          <cell r="D1794" t="str">
            <v>HIH2</v>
          </cell>
          <cell r="E1794" t="str">
            <v>Hierro Figurado Nª 2</v>
          </cell>
          <cell r="G1794" t="str">
            <v>UN.</v>
          </cell>
          <cell r="H1794" t="str">
            <v>Kg</v>
          </cell>
          <cell r="I1794">
            <v>2198.5</v>
          </cell>
          <cell r="K1794">
            <v>0</v>
          </cell>
          <cell r="L1794">
            <v>0</v>
          </cell>
          <cell r="N1794">
            <v>2198.5</v>
          </cell>
          <cell r="O1794">
            <v>0</v>
          </cell>
          <cell r="P1794">
            <v>0</v>
          </cell>
          <cell r="Q1794">
            <v>0</v>
          </cell>
          <cell r="X1794">
            <v>0</v>
          </cell>
          <cell r="Z1794" t="e">
            <v>#VALUE!</v>
          </cell>
          <cell r="AA1794" t="e">
            <v>#VALUE!</v>
          </cell>
          <cell r="AB1794">
            <v>0</v>
          </cell>
          <cell r="AC1794">
            <v>0</v>
          </cell>
        </row>
        <row r="1796">
          <cell r="D1796" t="str">
            <v>CODIGO</v>
          </cell>
          <cell r="E1796" t="str">
            <v>DESCRIPCION</v>
          </cell>
          <cell r="F1796" t="str">
            <v>UN</v>
          </cell>
          <cell r="G1796" t="str">
            <v>CANT</v>
          </cell>
          <cell r="H1796" t="str">
            <v>V/UNIT.</v>
          </cell>
          <cell r="I1796" t="str">
            <v>V/TOTAL</v>
          </cell>
          <cell r="K1796" t="str">
            <v>CANT TOTAL</v>
          </cell>
          <cell r="L1796" t="str">
            <v>Vr TOTAL</v>
          </cell>
          <cell r="Y1796" t="str">
            <v>CANT.</v>
          </cell>
          <cell r="Z1796" t="str">
            <v>V/TOTAL</v>
          </cell>
        </row>
        <row r="1797">
          <cell r="E1797" t="str">
            <v>MATERIALES</v>
          </cell>
          <cell r="I1797">
            <v>2198.5</v>
          </cell>
          <cell r="L1797">
            <v>0</v>
          </cell>
          <cell r="Z1797" t="e">
            <v>#VALUE!</v>
          </cell>
        </row>
        <row r="1798">
          <cell r="D1798" t="str">
            <v>MA01H2</v>
          </cell>
          <cell r="E1798" t="str">
            <v>Acero PDR60 N. 2</v>
          </cell>
          <cell r="F1798" t="str">
            <v>Kg</v>
          </cell>
          <cell r="G1798">
            <v>1</v>
          </cell>
          <cell r="H1798">
            <v>2150</v>
          </cell>
          <cell r="I1798">
            <v>2150</v>
          </cell>
          <cell r="J1798">
            <v>0</v>
          </cell>
          <cell r="K1798">
            <v>0</v>
          </cell>
          <cell r="L1798">
            <v>0</v>
          </cell>
          <cell r="Y1798" t="e">
            <v>#VALUE!</v>
          </cell>
          <cell r="Z1798" t="e">
            <v>#VALUE!</v>
          </cell>
        </row>
        <row r="1799">
          <cell r="D1799" t="str">
            <v>MA01AN18</v>
          </cell>
          <cell r="E1799" t="str">
            <v>Alambre Negro</v>
          </cell>
          <cell r="F1799" t="str">
            <v>Kg</v>
          </cell>
          <cell r="G1799">
            <v>2.5000000000000001E-2</v>
          </cell>
          <cell r="H1799">
            <v>1940</v>
          </cell>
          <cell r="I1799">
            <v>48.5</v>
          </cell>
          <cell r="J1799">
            <v>0</v>
          </cell>
          <cell r="K1799">
            <v>0</v>
          </cell>
          <cell r="L1799">
            <v>0</v>
          </cell>
          <cell r="Y1799" t="e">
            <v>#VALUE!</v>
          </cell>
          <cell r="Z1799" t="e">
            <v>#VALUE!</v>
          </cell>
        </row>
        <row r="1801">
          <cell r="E1801" t="str">
            <v>MANO DE OBRA</v>
          </cell>
          <cell r="I1801">
            <v>0</v>
          </cell>
          <cell r="L1801">
            <v>0</v>
          </cell>
          <cell r="Z1801">
            <v>0</v>
          </cell>
        </row>
        <row r="1803">
          <cell r="E1803" t="str">
            <v>VARIOS</v>
          </cell>
          <cell r="I1803">
            <v>0</v>
          </cell>
          <cell r="L1803">
            <v>0</v>
          </cell>
          <cell r="Z1803">
            <v>0</v>
          </cell>
        </row>
        <row r="1805">
          <cell r="E1805" t="str">
            <v>SUBTOTAL</v>
          </cell>
          <cell r="I1805">
            <v>2198.5</v>
          </cell>
          <cell r="L1805">
            <v>0</v>
          </cell>
          <cell r="Z1805" t="e">
            <v>#VALUE!</v>
          </cell>
        </row>
        <row r="1806">
          <cell r="E1806" t="str">
            <v>A.I.U</v>
          </cell>
          <cell r="I1806">
            <v>0</v>
          </cell>
          <cell r="L1806">
            <v>0</v>
          </cell>
          <cell r="Z1806">
            <v>0</v>
          </cell>
        </row>
        <row r="1807">
          <cell r="D1807" t="str">
            <v>AIUAADMON</v>
          </cell>
          <cell r="E1807" t="str">
            <v>Admon</v>
          </cell>
          <cell r="F1807">
            <v>0</v>
          </cell>
          <cell r="I1807">
            <v>0</v>
          </cell>
          <cell r="J1807">
            <v>0</v>
          </cell>
          <cell r="L1807">
            <v>0</v>
          </cell>
          <cell r="Z1807">
            <v>0</v>
          </cell>
        </row>
        <row r="1808">
          <cell r="D1808" t="str">
            <v>AIUAIMPRE</v>
          </cell>
          <cell r="E1808" t="str">
            <v>Imprevistos</v>
          </cell>
          <cell r="F1808">
            <v>0</v>
          </cell>
          <cell r="I1808">
            <v>0</v>
          </cell>
          <cell r="J1808">
            <v>0</v>
          </cell>
          <cell r="L1808">
            <v>0</v>
          </cell>
          <cell r="Z1808">
            <v>0</v>
          </cell>
        </row>
        <row r="1809">
          <cell r="D1809" t="str">
            <v>AIUAUTILI</v>
          </cell>
          <cell r="E1809" t="str">
            <v>Utilidad</v>
          </cell>
          <cell r="F1809">
            <v>0</v>
          </cell>
          <cell r="I1809">
            <v>0</v>
          </cell>
          <cell r="J1809">
            <v>0</v>
          </cell>
          <cell r="L1809">
            <v>0</v>
          </cell>
          <cell r="Z1809">
            <v>0</v>
          </cell>
        </row>
        <row r="1810">
          <cell r="D1810" t="str">
            <v>AIUAIVAUTI</v>
          </cell>
          <cell r="E1810" t="str">
            <v>IVA utilidad</v>
          </cell>
          <cell r="F1810">
            <v>0</v>
          </cell>
          <cell r="I1810">
            <v>0</v>
          </cell>
          <cell r="J1810">
            <v>0</v>
          </cell>
          <cell r="L1810">
            <v>0</v>
          </cell>
          <cell r="Z1810">
            <v>0</v>
          </cell>
        </row>
        <row r="1812">
          <cell r="E1812" t="str">
            <v>ITEM</v>
          </cell>
        </row>
        <row r="1813">
          <cell r="D1813" t="str">
            <v>HIH3</v>
          </cell>
          <cell r="E1813" t="str">
            <v>Hierro Figurado Nª 3</v>
          </cell>
          <cell r="G1813" t="str">
            <v>UN.</v>
          </cell>
          <cell r="H1813" t="str">
            <v>Kg</v>
          </cell>
          <cell r="I1813">
            <v>2198.5</v>
          </cell>
          <cell r="K1813">
            <v>0</v>
          </cell>
          <cell r="L1813">
            <v>0</v>
          </cell>
          <cell r="N1813">
            <v>2198.5</v>
          </cell>
          <cell r="O1813">
            <v>0</v>
          </cell>
          <cell r="P1813">
            <v>0</v>
          </cell>
          <cell r="Q1813">
            <v>0</v>
          </cell>
          <cell r="X1813">
            <v>0</v>
          </cell>
          <cell r="Z1813" t="e">
            <v>#VALUE!</v>
          </cell>
          <cell r="AA1813" t="e">
            <v>#VALUE!</v>
          </cell>
          <cell r="AB1813">
            <v>0</v>
          </cell>
          <cell r="AC1813">
            <v>0</v>
          </cell>
        </row>
        <row r="1815">
          <cell r="D1815" t="str">
            <v>CODIGO</v>
          </cell>
          <cell r="E1815" t="str">
            <v>DESCRIPCION</v>
          </cell>
          <cell r="F1815" t="str">
            <v>UN</v>
          </cell>
          <cell r="G1815" t="str">
            <v>CANT</v>
          </cell>
          <cell r="H1815" t="str">
            <v>V/UNIT.</v>
          </cell>
          <cell r="I1815" t="str">
            <v>V/TOTAL</v>
          </cell>
          <cell r="K1815" t="str">
            <v>CANT TOTAL</v>
          </cell>
          <cell r="L1815" t="str">
            <v>Vr TOTAL</v>
          </cell>
          <cell r="Y1815" t="str">
            <v>CANT.</v>
          </cell>
          <cell r="Z1815" t="str">
            <v>V/TOTAL</v>
          </cell>
        </row>
        <row r="1816">
          <cell r="E1816" t="str">
            <v>MATERIALES</v>
          </cell>
          <cell r="I1816">
            <v>2198.5</v>
          </cell>
          <cell r="L1816">
            <v>0</v>
          </cell>
          <cell r="Z1816" t="e">
            <v>#VALUE!</v>
          </cell>
        </row>
        <row r="1817">
          <cell r="D1817" t="str">
            <v>MA01H3</v>
          </cell>
          <cell r="E1817" t="str">
            <v>Acero PDR60 N. 3</v>
          </cell>
          <cell r="F1817" t="str">
            <v>Kg</v>
          </cell>
          <cell r="G1817">
            <v>1</v>
          </cell>
          <cell r="H1817">
            <v>2150</v>
          </cell>
          <cell r="I1817">
            <v>2150</v>
          </cell>
          <cell r="J1817">
            <v>0</v>
          </cell>
          <cell r="K1817">
            <v>0</v>
          </cell>
          <cell r="L1817">
            <v>0</v>
          </cell>
          <cell r="Y1817" t="e">
            <v>#VALUE!</v>
          </cell>
          <cell r="Z1817" t="e">
            <v>#VALUE!</v>
          </cell>
        </row>
        <row r="1818">
          <cell r="D1818" t="str">
            <v>MA01AN18</v>
          </cell>
          <cell r="E1818" t="str">
            <v>Alambre Negro</v>
          </cell>
          <cell r="F1818" t="str">
            <v>Kg</v>
          </cell>
          <cell r="G1818">
            <v>2.5000000000000001E-2</v>
          </cell>
          <cell r="H1818">
            <v>1940</v>
          </cell>
          <cell r="I1818">
            <v>48.5</v>
          </cell>
          <cell r="J1818">
            <v>0</v>
          </cell>
          <cell r="K1818">
            <v>0</v>
          </cell>
          <cell r="L1818">
            <v>0</v>
          </cell>
          <cell r="Y1818" t="e">
            <v>#VALUE!</v>
          </cell>
          <cell r="Z1818" t="e">
            <v>#VALUE!</v>
          </cell>
        </row>
        <row r="1820">
          <cell r="E1820" t="str">
            <v>MANO DE OBRA</v>
          </cell>
          <cell r="I1820">
            <v>0</v>
          </cell>
          <cell r="L1820">
            <v>0</v>
          </cell>
          <cell r="Z1820">
            <v>0</v>
          </cell>
        </row>
        <row r="1822">
          <cell r="E1822" t="str">
            <v>VARIOS</v>
          </cell>
          <cell r="I1822">
            <v>0</v>
          </cell>
          <cell r="L1822">
            <v>0</v>
          </cell>
          <cell r="Z1822">
            <v>0</v>
          </cell>
        </row>
        <row r="1824">
          <cell r="E1824" t="str">
            <v>SUBTOTAL</v>
          </cell>
          <cell r="I1824">
            <v>2198.5</v>
          </cell>
          <cell r="L1824">
            <v>0</v>
          </cell>
          <cell r="Z1824" t="e">
            <v>#VALUE!</v>
          </cell>
        </row>
        <row r="1825">
          <cell r="E1825" t="str">
            <v>A.I.U</v>
          </cell>
          <cell r="I1825">
            <v>0</v>
          </cell>
          <cell r="L1825">
            <v>0</v>
          </cell>
          <cell r="Z1825">
            <v>0</v>
          </cell>
        </row>
        <row r="1826">
          <cell r="D1826" t="str">
            <v>AIUAADMON</v>
          </cell>
          <cell r="E1826" t="str">
            <v>Admon</v>
          </cell>
          <cell r="F1826">
            <v>0</v>
          </cell>
          <cell r="I1826">
            <v>0</v>
          </cell>
          <cell r="J1826">
            <v>0</v>
          </cell>
          <cell r="L1826">
            <v>0</v>
          </cell>
          <cell r="Z1826">
            <v>0</v>
          </cell>
        </row>
        <row r="1827">
          <cell r="D1827" t="str">
            <v>AIUAIMPRE</v>
          </cell>
          <cell r="E1827" t="str">
            <v>Imprevistos</v>
          </cell>
          <cell r="F1827">
            <v>0</v>
          </cell>
          <cell r="I1827">
            <v>0</v>
          </cell>
          <cell r="J1827">
            <v>0</v>
          </cell>
          <cell r="L1827">
            <v>0</v>
          </cell>
          <cell r="Z1827">
            <v>0</v>
          </cell>
        </row>
        <row r="1828">
          <cell r="D1828" t="str">
            <v>AIUAUTILI</v>
          </cell>
          <cell r="E1828" t="str">
            <v>Utilidad</v>
          </cell>
          <cell r="F1828">
            <v>0</v>
          </cell>
          <cell r="I1828">
            <v>0</v>
          </cell>
          <cell r="J1828">
            <v>0</v>
          </cell>
          <cell r="L1828">
            <v>0</v>
          </cell>
          <cell r="Z1828">
            <v>0</v>
          </cell>
        </row>
        <row r="1829">
          <cell r="D1829" t="str">
            <v>AIUAIVAUTI</v>
          </cell>
          <cell r="E1829" t="str">
            <v>IVA utilidad</v>
          </cell>
          <cell r="F1829">
            <v>0</v>
          </cell>
          <cell r="I1829">
            <v>0</v>
          </cell>
          <cell r="J1829">
            <v>0</v>
          </cell>
          <cell r="L1829">
            <v>0</v>
          </cell>
          <cell r="Z1829">
            <v>0</v>
          </cell>
        </row>
        <row r="1831">
          <cell r="E1831" t="str">
            <v>ITEM</v>
          </cell>
        </row>
        <row r="1832">
          <cell r="D1832" t="str">
            <v>HIH4</v>
          </cell>
          <cell r="E1832" t="str">
            <v>Hierro Figurado Nª 4</v>
          </cell>
          <cell r="G1832" t="str">
            <v>UN.</v>
          </cell>
          <cell r="H1832" t="str">
            <v>Kg</v>
          </cell>
          <cell r="I1832">
            <v>2198.5</v>
          </cell>
          <cell r="K1832">
            <v>68964</v>
          </cell>
          <cell r="L1832">
            <v>151617354</v>
          </cell>
          <cell r="N1832">
            <v>2198.5</v>
          </cell>
          <cell r="O1832">
            <v>0</v>
          </cell>
          <cell r="P1832">
            <v>0</v>
          </cell>
          <cell r="Q1832">
            <v>0</v>
          </cell>
          <cell r="X1832">
            <v>151617354</v>
          </cell>
          <cell r="Z1832" t="e">
            <v>#VALUE!</v>
          </cell>
          <cell r="AA1832" t="e">
            <v>#VALUE!</v>
          </cell>
          <cell r="AB1832">
            <v>0</v>
          </cell>
          <cell r="AC1832">
            <v>0</v>
          </cell>
        </row>
        <row r="1834">
          <cell r="D1834" t="str">
            <v>CODIGO</v>
          </cell>
          <cell r="E1834" t="str">
            <v>DESCRIPCION</v>
          </cell>
          <cell r="F1834" t="str">
            <v>UN</v>
          </cell>
          <cell r="G1834" t="str">
            <v>CANT</v>
          </cell>
          <cell r="H1834" t="str">
            <v>V/UNIT.</v>
          </cell>
          <cell r="I1834" t="str">
            <v>V/TOTAL</v>
          </cell>
          <cell r="K1834" t="str">
            <v>CANT TOTAL</v>
          </cell>
          <cell r="L1834" t="str">
            <v>Vr TOTAL</v>
          </cell>
          <cell r="Y1834" t="str">
            <v>CANT.</v>
          </cell>
          <cell r="Z1834" t="str">
            <v>V/TOTAL</v>
          </cell>
        </row>
        <row r="1835">
          <cell r="E1835" t="str">
            <v>MATERIALES</v>
          </cell>
          <cell r="I1835">
            <v>2198.5</v>
          </cell>
          <cell r="L1835">
            <v>151617354</v>
          </cell>
          <cell r="Z1835" t="e">
            <v>#VALUE!</v>
          </cell>
        </row>
        <row r="1836">
          <cell r="D1836" t="str">
            <v>MA01H4</v>
          </cell>
          <cell r="E1836" t="str">
            <v>Acero PDR60 N. 4</v>
          </cell>
          <cell r="F1836" t="str">
            <v>Kg</v>
          </cell>
          <cell r="G1836">
            <v>1</v>
          </cell>
          <cell r="H1836">
            <v>2150</v>
          </cell>
          <cell r="I1836">
            <v>2150</v>
          </cell>
          <cell r="J1836">
            <v>0</v>
          </cell>
          <cell r="K1836">
            <v>68964</v>
          </cell>
          <cell r="L1836">
            <v>148272600</v>
          </cell>
          <cell r="Y1836" t="e">
            <v>#VALUE!</v>
          </cell>
          <cell r="Z1836" t="e">
            <v>#VALUE!</v>
          </cell>
        </row>
        <row r="1837">
          <cell r="D1837" t="str">
            <v>MA01AN18</v>
          </cell>
          <cell r="E1837" t="str">
            <v>Alambre Negro</v>
          </cell>
          <cell r="F1837" t="str">
            <v>Kg</v>
          </cell>
          <cell r="G1837">
            <v>2.5000000000000001E-2</v>
          </cell>
          <cell r="H1837">
            <v>1940</v>
          </cell>
          <cell r="I1837">
            <v>48.5</v>
          </cell>
          <cell r="J1837">
            <v>0</v>
          </cell>
          <cell r="K1837">
            <v>1724.1000000000001</v>
          </cell>
          <cell r="L1837">
            <v>3344754.0000000005</v>
          </cell>
          <cell r="Y1837" t="e">
            <v>#VALUE!</v>
          </cell>
          <cell r="Z1837" t="e">
            <v>#VALUE!</v>
          </cell>
        </row>
        <row r="1839">
          <cell r="E1839" t="str">
            <v>MANO DE OBRA</v>
          </cell>
          <cell r="I1839">
            <v>0</v>
          </cell>
          <cell r="L1839">
            <v>0</v>
          </cell>
          <cell r="Z1839">
            <v>0</v>
          </cell>
        </row>
        <row r="1841">
          <cell r="E1841" t="str">
            <v>VARIOS</v>
          </cell>
          <cell r="I1841">
            <v>0</v>
          </cell>
          <cell r="L1841">
            <v>0</v>
          </cell>
          <cell r="Z1841">
            <v>0</v>
          </cell>
        </row>
        <row r="1843">
          <cell r="E1843" t="str">
            <v>SUBTOTAL</v>
          </cell>
          <cell r="I1843">
            <v>2198.5</v>
          </cell>
          <cell r="L1843">
            <v>151617354</v>
          </cell>
          <cell r="Z1843" t="e">
            <v>#VALUE!</v>
          </cell>
        </row>
        <row r="1844">
          <cell r="E1844" t="str">
            <v>A.I.U</v>
          </cell>
          <cell r="I1844">
            <v>0</v>
          </cell>
          <cell r="L1844">
            <v>0</v>
          </cell>
          <cell r="Z1844">
            <v>0</v>
          </cell>
        </row>
        <row r="1845">
          <cell r="D1845" t="str">
            <v>AIUAADMON</v>
          </cell>
          <cell r="E1845" t="str">
            <v>Admon</v>
          </cell>
          <cell r="F1845">
            <v>0</v>
          </cell>
          <cell r="I1845">
            <v>0</v>
          </cell>
          <cell r="J1845">
            <v>0</v>
          </cell>
          <cell r="L1845">
            <v>0</v>
          </cell>
          <cell r="Z1845">
            <v>0</v>
          </cell>
        </row>
        <row r="1846">
          <cell r="D1846" t="str">
            <v>AIUAIMPRE</v>
          </cell>
          <cell r="E1846" t="str">
            <v>Imprevistos</v>
          </cell>
          <cell r="F1846">
            <v>0</v>
          </cell>
          <cell r="I1846">
            <v>0</v>
          </cell>
          <cell r="J1846">
            <v>0</v>
          </cell>
          <cell r="L1846">
            <v>0</v>
          </cell>
          <cell r="Z1846">
            <v>0</v>
          </cell>
        </row>
        <row r="1847">
          <cell r="D1847" t="str">
            <v>AIUAUTILI</v>
          </cell>
          <cell r="E1847" t="str">
            <v>Utilidad</v>
          </cell>
          <cell r="F1847">
            <v>0</v>
          </cell>
          <cell r="I1847">
            <v>0</v>
          </cell>
          <cell r="J1847">
            <v>0</v>
          </cell>
          <cell r="L1847">
            <v>0</v>
          </cell>
          <cell r="Z1847">
            <v>0</v>
          </cell>
        </row>
        <row r="1848">
          <cell r="D1848" t="str">
            <v>AIUAIVAUTI</v>
          </cell>
          <cell r="E1848" t="str">
            <v>IVA utilidad</v>
          </cell>
          <cell r="F1848">
            <v>0</v>
          </cell>
          <cell r="I1848">
            <v>0</v>
          </cell>
          <cell r="J1848">
            <v>0</v>
          </cell>
          <cell r="L1848">
            <v>0</v>
          </cell>
          <cell r="Z1848">
            <v>0</v>
          </cell>
        </row>
        <row r="1850">
          <cell r="E1850" t="str">
            <v>ITEM</v>
          </cell>
        </row>
        <row r="1851">
          <cell r="D1851" t="str">
            <v>HIH5</v>
          </cell>
          <cell r="E1851" t="str">
            <v>Hierro Figurado Nª 5</v>
          </cell>
          <cell r="G1851" t="str">
            <v>UN.</v>
          </cell>
          <cell r="H1851" t="str">
            <v>Kg</v>
          </cell>
          <cell r="I1851">
            <v>2198.5</v>
          </cell>
          <cell r="K1851">
            <v>0</v>
          </cell>
          <cell r="L1851">
            <v>0</v>
          </cell>
          <cell r="N1851">
            <v>2198.5</v>
          </cell>
          <cell r="O1851">
            <v>0</v>
          </cell>
          <cell r="P1851">
            <v>0</v>
          </cell>
          <cell r="Q1851">
            <v>0</v>
          </cell>
          <cell r="X1851">
            <v>0</v>
          </cell>
          <cell r="Z1851" t="e">
            <v>#VALUE!</v>
          </cell>
          <cell r="AA1851" t="e">
            <v>#VALUE!</v>
          </cell>
          <cell r="AB1851">
            <v>0</v>
          </cell>
          <cell r="AC1851">
            <v>0</v>
          </cell>
        </row>
        <row r="1853">
          <cell r="D1853" t="str">
            <v>CODIGO</v>
          </cell>
          <cell r="E1853" t="str">
            <v>DESCRIPCION</v>
          </cell>
          <cell r="F1853" t="str">
            <v>UN</v>
          </cell>
          <cell r="G1853" t="str">
            <v>CANT</v>
          </cell>
          <cell r="H1853" t="str">
            <v>V/UNIT.</v>
          </cell>
          <cell r="I1853" t="str">
            <v>V/TOTAL</v>
          </cell>
          <cell r="K1853" t="str">
            <v>CANT TOTAL</v>
          </cell>
          <cell r="L1853" t="str">
            <v>Vr TOTAL</v>
          </cell>
          <cell r="Y1853" t="str">
            <v>CANT.</v>
          </cell>
          <cell r="Z1853" t="str">
            <v>V/TOTAL</v>
          </cell>
        </row>
        <row r="1854">
          <cell r="E1854" t="str">
            <v>MATERIALES</v>
          </cell>
          <cell r="I1854">
            <v>2198.5</v>
          </cell>
          <cell r="L1854">
            <v>0</v>
          </cell>
          <cell r="Z1854" t="e">
            <v>#VALUE!</v>
          </cell>
        </row>
        <row r="1855">
          <cell r="D1855" t="str">
            <v>MA01H5</v>
          </cell>
          <cell r="E1855" t="str">
            <v>Acero PDR60 N. 5</v>
          </cell>
          <cell r="F1855" t="str">
            <v>Kg</v>
          </cell>
          <cell r="G1855">
            <v>1</v>
          </cell>
          <cell r="H1855">
            <v>2150</v>
          </cell>
          <cell r="I1855">
            <v>2150</v>
          </cell>
          <cell r="J1855">
            <v>0</v>
          </cell>
          <cell r="K1855">
            <v>0</v>
          </cell>
          <cell r="L1855">
            <v>0</v>
          </cell>
          <cell r="Y1855" t="e">
            <v>#VALUE!</v>
          </cell>
          <cell r="Z1855" t="e">
            <v>#VALUE!</v>
          </cell>
        </row>
        <row r="1856">
          <cell r="D1856" t="str">
            <v>MA01AN18</v>
          </cell>
          <cell r="E1856" t="str">
            <v>Alambre Negro</v>
          </cell>
          <cell r="F1856" t="str">
            <v>Kg</v>
          </cell>
          <cell r="G1856">
            <v>2.5000000000000001E-2</v>
          </cell>
          <cell r="H1856">
            <v>1940</v>
          </cell>
          <cell r="I1856">
            <v>48.5</v>
          </cell>
          <cell r="J1856">
            <v>0</v>
          </cell>
          <cell r="K1856">
            <v>0</v>
          </cell>
          <cell r="L1856">
            <v>0</v>
          </cell>
          <cell r="Y1856" t="e">
            <v>#VALUE!</v>
          </cell>
          <cell r="Z1856" t="e">
            <v>#VALUE!</v>
          </cell>
        </row>
        <row r="1858">
          <cell r="E1858" t="str">
            <v>MANO DE OBRA</v>
          </cell>
          <cell r="I1858">
            <v>0</v>
          </cell>
          <cell r="L1858">
            <v>0</v>
          </cell>
          <cell r="Z1858">
            <v>0</v>
          </cell>
        </row>
        <row r="1860">
          <cell r="E1860" t="str">
            <v>VARIOS</v>
          </cell>
          <cell r="I1860">
            <v>0</v>
          </cell>
          <cell r="L1860">
            <v>0</v>
          </cell>
          <cell r="Z1860">
            <v>0</v>
          </cell>
        </row>
        <row r="1862">
          <cell r="E1862" t="str">
            <v>SUBTOTAL</v>
          </cell>
          <cell r="I1862">
            <v>2198.5</v>
          </cell>
          <cell r="L1862">
            <v>0</v>
          </cell>
          <cell r="Z1862" t="e">
            <v>#VALUE!</v>
          </cell>
        </row>
        <row r="1863">
          <cell r="E1863" t="str">
            <v>A.I.U</v>
          </cell>
          <cell r="I1863">
            <v>0</v>
          </cell>
          <cell r="L1863">
            <v>0</v>
          </cell>
          <cell r="Z1863">
            <v>0</v>
          </cell>
        </row>
        <row r="1864">
          <cell r="D1864" t="str">
            <v>AIUAADMON</v>
          </cell>
          <cell r="E1864" t="str">
            <v>Admon</v>
          </cell>
          <cell r="F1864">
            <v>0</v>
          </cell>
          <cell r="I1864">
            <v>0</v>
          </cell>
          <cell r="J1864">
            <v>0</v>
          </cell>
          <cell r="L1864">
            <v>0</v>
          </cell>
          <cell r="Z1864">
            <v>0</v>
          </cell>
        </row>
        <row r="1865">
          <cell r="D1865" t="str">
            <v>AIUAIMPRE</v>
          </cell>
          <cell r="E1865" t="str">
            <v>Imprevistos</v>
          </cell>
          <cell r="F1865">
            <v>0</v>
          </cell>
          <cell r="I1865">
            <v>0</v>
          </cell>
          <cell r="J1865">
            <v>0</v>
          </cell>
          <cell r="L1865">
            <v>0</v>
          </cell>
          <cell r="Z1865">
            <v>0</v>
          </cell>
        </row>
        <row r="1866">
          <cell r="D1866" t="str">
            <v>AIUAUTILI</v>
          </cell>
          <cell r="E1866" t="str">
            <v>Utilidad</v>
          </cell>
          <cell r="F1866">
            <v>0</v>
          </cell>
          <cell r="I1866">
            <v>0</v>
          </cell>
          <cell r="J1866">
            <v>0</v>
          </cell>
          <cell r="L1866">
            <v>0</v>
          </cell>
          <cell r="Z1866">
            <v>0</v>
          </cell>
        </row>
        <row r="1867">
          <cell r="D1867" t="str">
            <v>AIUAIVAUTI</v>
          </cell>
          <cell r="E1867" t="str">
            <v>IVA utilidad</v>
          </cell>
          <cell r="F1867">
            <v>0</v>
          </cell>
          <cell r="I1867">
            <v>0</v>
          </cell>
          <cell r="J1867">
            <v>0</v>
          </cell>
          <cell r="L1867">
            <v>0</v>
          </cell>
          <cell r="Z1867">
            <v>0</v>
          </cell>
        </row>
        <row r="1869">
          <cell r="E1869" t="str">
            <v>ITEM</v>
          </cell>
        </row>
        <row r="1870">
          <cell r="D1870" t="str">
            <v>HIH6</v>
          </cell>
          <cell r="E1870" t="str">
            <v>Hierro Figurado Nª 6</v>
          </cell>
          <cell r="G1870" t="str">
            <v>UN.</v>
          </cell>
          <cell r="H1870" t="str">
            <v>Kg</v>
          </cell>
          <cell r="I1870">
            <v>2198.5</v>
          </cell>
          <cell r="K1870">
            <v>0</v>
          </cell>
          <cell r="L1870">
            <v>0</v>
          </cell>
          <cell r="N1870">
            <v>2198.5</v>
          </cell>
          <cell r="O1870">
            <v>0</v>
          </cell>
          <cell r="P1870">
            <v>0</v>
          </cell>
          <cell r="Q1870">
            <v>0</v>
          </cell>
          <cell r="X1870">
            <v>0</v>
          </cell>
          <cell r="Z1870" t="e">
            <v>#VALUE!</v>
          </cell>
          <cell r="AA1870" t="e">
            <v>#VALUE!</v>
          </cell>
          <cell r="AB1870">
            <v>0</v>
          </cell>
          <cell r="AC1870">
            <v>0</v>
          </cell>
        </row>
        <row r="1872">
          <cell r="D1872" t="str">
            <v>CODIGO</v>
          </cell>
          <cell r="E1872" t="str">
            <v>DESCRIPCION</v>
          </cell>
          <cell r="F1872" t="str">
            <v>UN</v>
          </cell>
          <cell r="G1872" t="str">
            <v>CANT</v>
          </cell>
          <cell r="H1872" t="str">
            <v>V/UNIT.</v>
          </cell>
          <cell r="I1872" t="str">
            <v>V/TOTAL</v>
          </cell>
          <cell r="K1872" t="str">
            <v>CANT TOTAL</v>
          </cell>
          <cell r="L1872" t="str">
            <v>Vr TOTAL</v>
          </cell>
          <cell r="Y1872" t="str">
            <v>CANT.</v>
          </cell>
          <cell r="Z1872" t="str">
            <v>V/TOTAL</v>
          </cell>
        </row>
        <row r="1873">
          <cell r="E1873" t="str">
            <v>MATERIALES</v>
          </cell>
          <cell r="I1873">
            <v>2198.5</v>
          </cell>
          <cell r="L1873">
            <v>0</v>
          </cell>
          <cell r="Z1873" t="e">
            <v>#VALUE!</v>
          </cell>
        </row>
        <row r="1874">
          <cell r="D1874" t="str">
            <v>MA01H6</v>
          </cell>
          <cell r="E1874" t="str">
            <v>Acero PDR60 N. 6</v>
          </cell>
          <cell r="F1874" t="str">
            <v>Kg</v>
          </cell>
          <cell r="G1874">
            <v>1</v>
          </cell>
          <cell r="H1874">
            <v>2150</v>
          </cell>
          <cell r="I1874">
            <v>2150</v>
          </cell>
          <cell r="J1874">
            <v>0</v>
          </cell>
          <cell r="K1874">
            <v>0</v>
          </cell>
          <cell r="L1874">
            <v>0</v>
          </cell>
          <cell r="Y1874" t="e">
            <v>#VALUE!</v>
          </cell>
          <cell r="Z1874" t="e">
            <v>#VALUE!</v>
          </cell>
        </row>
        <row r="1875">
          <cell r="D1875" t="str">
            <v>MA01AN18</v>
          </cell>
          <cell r="E1875" t="str">
            <v>Alambre Negro</v>
          </cell>
          <cell r="F1875" t="str">
            <v>Kg</v>
          </cell>
          <cell r="G1875">
            <v>2.5000000000000001E-2</v>
          </cell>
          <cell r="H1875">
            <v>1940</v>
          </cell>
          <cell r="I1875">
            <v>48.5</v>
          </cell>
          <cell r="J1875">
            <v>0</v>
          </cell>
          <cell r="K1875">
            <v>0</v>
          </cell>
          <cell r="L1875">
            <v>0</v>
          </cell>
          <cell r="Y1875" t="e">
            <v>#VALUE!</v>
          </cell>
          <cell r="Z1875" t="e">
            <v>#VALUE!</v>
          </cell>
        </row>
        <row r="1877">
          <cell r="E1877" t="str">
            <v>MANO DE OBRA</v>
          </cell>
          <cell r="I1877">
            <v>0</v>
          </cell>
          <cell r="L1877">
            <v>0</v>
          </cell>
          <cell r="Z1877">
            <v>0</v>
          </cell>
        </row>
        <row r="1879">
          <cell r="E1879" t="str">
            <v>VARIOS</v>
          </cell>
          <cell r="I1879">
            <v>0</v>
          </cell>
          <cell r="L1879">
            <v>0</v>
          </cell>
          <cell r="Z1879">
            <v>0</v>
          </cell>
        </row>
        <row r="1881">
          <cell r="E1881" t="str">
            <v>SUBTOTAL</v>
          </cell>
          <cell r="I1881">
            <v>2198.5</v>
          </cell>
          <cell r="L1881">
            <v>0</v>
          </cell>
          <cell r="Z1881" t="e">
            <v>#VALUE!</v>
          </cell>
        </row>
        <row r="1882">
          <cell r="E1882" t="str">
            <v>A.I.U</v>
          </cell>
          <cell r="I1882">
            <v>0</v>
          </cell>
          <cell r="L1882">
            <v>0</v>
          </cell>
          <cell r="Z1882">
            <v>0</v>
          </cell>
        </row>
        <row r="1883">
          <cell r="D1883" t="str">
            <v>AIUAADMON</v>
          </cell>
          <cell r="E1883" t="str">
            <v>Admon</v>
          </cell>
          <cell r="F1883">
            <v>0</v>
          </cell>
          <cell r="I1883">
            <v>0</v>
          </cell>
          <cell r="J1883">
            <v>0</v>
          </cell>
          <cell r="L1883">
            <v>0</v>
          </cell>
          <cell r="Z1883">
            <v>0</v>
          </cell>
        </row>
        <row r="1884">
          <cell r="D1884" t="str">
            <v>AIUAIMPRE</v>
          </cell>
          <cell r="E1884" t="str">
            <v>Imprevistos</v>
          </cell>
          <cell r="F1884">
            <v>0</v>
          </cell>
          <cell r="I1884">
            <v>0</v>
          </cell>
          <cell r="J1884">
            <v>0</v>
          </cell>
          <cell r="L1884">
            <v>0</v>
          </cell>
          <cell r="Z1884">
            <v>0</v>
          </cell>
        </row>
        <row r="1885">
          <cell r="D1885" t="str">
            <v>AIUAUTILI</v>
          </cell>
          <cell r="E1885" t="str">
            <v>Utilidad</v>
          </cell>
          <cell r="F1885">
            <v>0</v>
          </cell>
          <cell r="I1885">
            <v>0</v>
          </cell>
          <cell r="J1885">
            <v>0</v>
          </cell>
          <cell r="L1885">
            <v>0</v>
          </cell>
          <cell r="Z1885">
            <v>0</v>
          </cell>
        </row>
        <row r="1886">
          <cell r="D1886" t="str">
            <v>AIUAIVAUTI</v>
          </cell>
          <cell r="E1886" t="str">
            <v>IVA utilidad</v>
          </cell>
          <cell r="F1886">
            <v>0</v>
          </cell>
          <cell r="I1886">
            <v>0</v>
          </cell>
          <cell r="J1886">
            <v>0</v>
          </cell>
          <cell r="L1886">
            <v>0</v>
          </cell>
          <cell r="Z1886">
            <v>0</v>
          </cell>
        </row>
        <row r="1888">
          <cell r="E1888" t="str">
            <v>ITEM</v>
          </cell>
        </row>
        <row r="1889">
          <cell r="D1889" t="str">
            <v>HIH7</v>
          </cell>
          <cell r="E1889" t="str">
            <v>Hierro Figurado Nª 7</v>
          </cell>
          <cell r="G1889" t="str">
            <v>UN.</v>
          </cell>
          <cell r="H1889" t="str">
            <v>Kg</v>
          </cell>
          <cell r="I1889">
            <v>2198.5</v>
          </cell>
          <cell r="K1889">
            <v>0</v>
          </cell>
          <cell r="L1889">
            <v>0</v>
          </cell>
          <cell r="N1889">
            <v>2198.5</v>
          </cell>
          <cell r="O1889">
            <v>0</v>
          </cell>
          <cell r="P1889">
            <v>0</v>
          </cell>
          <cell r="Q1889">
            <v>0</v>
          </cell>
          <cell r="X1889">
            <v>0</v>
          </cell>
          <cell r="Z1889" t="e">
            <v>#VALUE!</v>
          </cell>
          <cell r="AA1889" t="e">
            <v>#VALUE!</v>
          </cell>
          <cell r="AB1889">
            <v>0</v>
          </cell>
          <cell r="AC1889">
            <v>0</v>
          </cell>
        </row>
        <row r="1891">
          <cell r="D1891" t="str">
            <v>CODIGO</v>
          </cell>
          <cell r="E1891" t="str">
            <v>DESCRIPCION</v>
          </cell>
          <cell r="F1891" t="str">
            <v>UN</v>
          </cell>
          <cell r="G1891" t="str">
            <v>CANT</v>
          </cell>
          <cell r="H1891" t="str">
            <v>V/UNIT.</v>
          </cell>
          <cell r="I1891" t="str">
            <v>V/TOTAL</v>
          </cell>
          <cell r="K1891" t="str">
            <v>CANT TOTAL</v>
          </cell>
          <cell r="L1891" t="str">
            <v>Vr TOTAL</v>
          </cell>
          <cell r="Y1891" t="str">
            <v>CANT.</v>
          </cell>
          <cell r="Z1891" t="str">
            <v>V/TOTAL</v>
          </cell>
        </row>
        <row r="1892">
          <cell r="E1892" t="str">
            <v>MATERIALES</v>
          </cell>
          <cell r="I1892">
            <v>2198.5</v>
          </cell>
          <cell r="L1892">
            <v>0</v>
          </cell>
          <cell r="Z1892" t="e">
            <v>#VALUE!</v>
          </cell>
        </row>
        <row r="1893">
          <cell r="D1893" t="str">
            <v>MA01H7</v>
          </cell>
          <cell r="E1893" t="str">
            <v>Acero PDR60 N. 7</v>
          </cell>
          <cell r="F1893" t="str">
            <v>Kg</v>
          </cell>
          <cell r="G1893">
            <v>1</v>
          </cell>
          <cell r="H1893">
            <v>2150</v>
          </cell>
          <cell r="I1893">
            <v>2150</v>
          </cell>
          <cell r="J1893">
            <v>0</v>
          </cell>
          <cell r="K1893">
            <v>0</v>
          </cell>
          <cell r="L1893">
            <v>0</v>
          </cell>
          <cell r="Y1893" t="e">
            <v>#VALUE!</v>
          </cell>
          <cell r="Z1893" t="e">
            <v>#VALUE!</v>
          </cell>
        </row>
        <row r="1894">
          <cell r="D1894" t="str">
            <v>MA01AN18</v>
          </cell>
          <cell r="E1894" t="str">
            <v>Alambre Negro</v>
          </cell>
          <cell r="F1894" t="str">
            <v>Kg</v>
          </cell>
          <cell r="G1894">
            <v>2.5000000000000001E-2</v>
          </cell>
          <cell r="H1894">
            <v>1940</v>
          </cell>
          <cell r="I1894">
            <v>48.5</v>
          </cell>
          <cell r="J1894">
            <v>0</v>
          </cell>
          <cell r="K1894">
            <v>0</v>
          </cell>
          <cell r="L1894">
            <v>0</v>
          </cell>
          <cell r="Y1894" t="e">
            <v>#VALUE!</v>
          </cell>
          <cell r="Z1894" t="e">
            <v>#VALUE!</v>
          </cell>
        </row>
        <row r="1896">
          <cell r="E1896" t="str">
            <v>MANO DE OBRA</v>
          </cell>
          <cell r="I1896">
            <v>0</v>
          </cell>
          <cell r="L1896">
            <v>0</v>
          </cell>
          <cell r="Z1896">
            <v>0</v>
          </cell>
        </row>
        <row r="1898">
          <cell r="E1898" t="str">
            <v>VARIOS</v>
          </cell>
          <cell r="I1898">
            <v>0</v>
          </cell>
          <cell r="L1898">
            <v>0</v>
          </cell>
          <cell r="Z1898">
            <v>0</v>
          </cell>
        </row>
        <row r="1900">
          <cell r="E1900" t="str">
            <v>SUBTOTAL</v>
          </cell>
          <cell r="I1900">
            <v>2198.5</v>
          </cell>
          <cell r="L1900">
            <v>0</v>
          </cell>
          <cell r="Z1900" t="e">
            <v>#VALUE!</v>
          </cell>
        </row>
        <row r="1901">
          <cell r="E1901" t="str">
            <v>A.I.U</v>
          </cell>
          <cell r="I1901">
            <v>0</v>
          </cell>
          <cell r="L1901">
            <v>0</v>
          </cell>
          <cell r="Z1901">
            <v>0</v>
          </cell>
        </row>
        <row r="1902">
          <cell r="D1902" t="str">
            <v>AIUAADMON</v>
          </cell>
          <cell r="E1902" t="str">
            <v>Admon</v>
          </cell>
          <cell r="F1902">
            <v>0</v>
          </cell>
          <cell r="I1902">
            <v>0</v>
          </cell>
          <cell r="J1902">
            <v>0</v>
          </cell>
          <cell r="L1902">
            <v>0</v>
          </cell>
          <cell r="Z1902">
            <v>0</v>
          </cell>
        </row>
        <row r="1903">
          <cell r="D1903" t="str">
            <v>AIUAIMPRE</v>
          </cell>
          <cell r="E1903" t="str">
            <v>Imprevistos</v>
          </cell>
          <cell r="F1903">
            <v>0</v>
          </cell>
          <cell r="I1903">
            <v>0</v>
          </cell>
          <cell r="J1903">
            <v>0</v>
          </cell>
          <cell r="L1903">
            <v>0</v>
          </cell>
          <cell r="Z1903">
            <v>0</v>
          </cell>
        </row>
        <row r="1904">
          <cell r="D1904" t="str">
            <v>AIUAUTILI</v>
          </cell>
          <cell r="E1904" t="str">
            <v>Utilidad</v>
          </cell>
          <cell r="F1904">
            <v>0</v>
          </cell>
          <cell r="I1904">
            <v>0</v>
          </cell>
          <cell r="J1904">
            <v>0</v>
          </cell>
          <cell r="L1904">
            <v>0</v>
          </cell>
          <cell r="Z1904">
            <v>0</v>
          </cell>
        </row>
        <row r="1905">
          <cell r="D1905" t="str">
            <v>AIUAIVAUTI</v>
          </cell>
          <cell r="E1905" t="str">
            <v>IVA utilidad</v>
          </cell>
          <cell r="F1905">
            <v>0</v>
          </cell>
          <cell r="I1905">
            <v>0</v>
          </cell>
          <cell r="J1905">
            <v>0</v>
          </cell>
          <cell r="L1905">
            <v>0</v>
          </cell>
          <cell r="Z1905">
            <v>0</v>
          </cell>
        </row>
        <row r="1907">
          <cell r="E1907" t="str">
            <v>ITEM</v>
          </cell>
        </row>
        <row r="1908">
          <cell r="D1908" t="str">
            <v>HIH8</v>
          </cell>
          <cell r="E1908" t="str">
            <v>Hierro Figurado Nª 8</v>
          </cell>
          <cell r="G1908" t="str">
            <v>UN.</v>
          </cell>
          <cell r="H1908" t="str">
            <v>Kg</v>
          </cell>
          <cell r="I1908">
            <v>2198.5</v>
          </cell>
          <cell r="K1908">
            <v>0</v>
          </cell>
          <cell r="L1908">
            <v>0</v>
          </cell>
          <cell r="N1908">
            <v>2198.5</v>
          </cell>
          <cell r="O1908">
            <v>0</v>
          </cell>
          <cell r="P1908">
            <v>0</v>
          </cell>
          <cell r="Q1908">
            <v>0</v>
          </cell>
          <cell r="X1908">
            <v>0</v>
          </cell>
          <cell r="Z1908" t="e">
            <v>#VALUE!</v>
          </cell>
          <cell r="AA1908" t="e">
            <v>#VALUE!</v>
          </cell>
          <cell r="AB1908">
            <v>0</v>
          </cell>
          <cell r="AC1908">
            <v>0</v>
          </cell>
        </row>
        <row r="1910">
          <cell r="D1910" t="str">
            <v>CODIGO</v>
          </cell>
          <cell r="E1910" t="str">
            <v>DESCRIPCION</v>
          </cell>
          <cell r="F1910" t="str">
            <v>UN</v>
          </cell>
          <cell r="G1910" t="str">
            <v>CANT</v>
          </cell>
          <cell r="H1910" t="str">
            <v>V/UNIT.</v>
          </cell>
          <cell r="I1910" t="str">
            <v>V/TOTAL</v>
          </cell>
          <cell r="K1910" t="str">
            <v>CANT TOTAL</v>
          </cell>
          <cell r="L1910" t="str">
            <v>Vr TOTAL</v>
          </cell>
          <cell r="Y1910" t="str">
            <v>CANT.</v>
          </cell>
          <cell r="Z1910" t="str">
            <v>V/TOTAL</v>
          </cell>
        </row>
        <row r="1911">
          <cell r="E1911" t="str">
            <v>MATERIALES</v>
          </cell>
          <cell r="I1911">
            <v>2198.5</v>
          </cell>
          <cell r="L1911">
            <v>0</v>
          </cell>
          <cell r="Z1911" t="e">
            <v>#VALUE!</v>
          </cell>
        </row>
        <row r="1912">
          <cell r="D1912" t="str">
            <v>MA01H8</v>
          </cell>
          <cell r="E1912" t="str">
            <v>Acero PDR60 N. 8</v>
          </cell>
          <cell r="F1912" t="str">
            <v>Kg</v>
          </cell>
          <cell r="G1912">
            <v>1</v>
          </cell>
          <cell r="H1912">
            <v>2150</v>
          </cell>
          <cell r="I1912">
            <v>2150</v>
          </cell>
          <cell r="J1912">
            <v>0</v>
          </cell>
          <cell r="K1912">
            <v>0</v>
          </cell>
          <cell r="L1912">
            <v>0</v>
          </cell>
          <cell r="Y1912" t="e">
            <v>#VALUE!</v>
          </cell>
          <cell r="Z1912" t="e">
            <v>#VALUE!</v>
          </cell>
        </row>
        <row r="1913">
          <cell r="D1913" t="str">
            <v>MA01AN18</v>
          </cell>
          <cell r="E1913" t="str">
            <v>Alambre Negro</v>
          </cell>
          <cell r="F1913" t="str">
            <v>Kg</v>
          </cell>
          <cell r="G1913">
            <v>2.5000000000000001E-2</v>
          </cell>
          <cell r="H1913">
            <v>1940</v>
          </cell>
          <cell r="I1913">
            <v>48.5</v>
          </cell>
          <cell r="J1913">
            <v>0</v>
          </cell>
          <cell r="K1913">
            <v>0</v>
          </cell>
          <cell r="L1913">
            <v>0</v>
          </cell>
          <cell r="Y1913" t="e">
            <v>#VALUE!</v>
          </cell>
          <cell r="Z1913" t="e">
            <v>#VALUE!</v>
          </cell>
        </row>
        <row r="1915">
          <cell r="E1915" t="str">
            <v>MANO DE OBRA</v>
          </cell>
          <cell r="I1915">
            <v>0</v>
          </cell>
          <cell r="L1915">
            <v>0</v>
          </cell>
          <cell r="Z1915">
            <v>0</v>
          </cell>
        </row>
        <row r="1917">
          <cell r="E1917" t="str">
            <v>VARIOS</v>
          </cell>
          <cell r="I1917">
            <v>0</v>
          </cell>
          <cell r="L1917">
            <v>0</v>
          </cell>
          <cell r="Z1917">
            <v>0</v>
          </cell>
        </row>
        <row r="1919">
          <cell r="E1919" t="str">
            <v>SUBTOTAL</v>
          </cell>
          <cell r="I1919">
            <v>2198.5</v>
          </cell>
          <cell r="L1919">
            <v>0</v>
          </cell>
          <cell r="Z1919" t="e">
            <v>#VALUE!</v>
          </cell>
        </row>
        <row r="1920">
          <cell r="E1920" t="str">
            <v>A.I.U</v>
          </cell>
          <cell r="I1920">
            <v>0</v>
          </cell>
          <cell r="L1920">
            <v>0</v>
          </cell>
          <cell r="Z1920">
            <v>0</v>
          </cell>
        </row>
        <row r="1921">
          <cell r="D1921" t="str">
            <v>AIUAADMON</v>
          </cell>
          <cell r="E1921" t="str">
            <v>Admon</v>
          </cell>
          <cell r="F1921">
            <v>0</v>
          </cell>
          <cell r="I1921">
            <v>0</v>
          </cell>
          <cell r="J1921">
            <v>0</v>
          </cell>
          <cell r="L1921">
            <v>0</v>
          </cell>
          <cell r="Z1921">
            <v>0</v>
          </cell>
        </row>
        <row r="1922">
          <cell r="D1922" t="str">
            <v>AIUAIMPRE</v>
          </cell>
          <cell r="E1922" t="str">
            <v>Imprevistos</v>
          </cell>
          <cell r="F1922">
            <v>0</v>
          </cell>
          <cell r="I1922">
            <v>0</v>
          </cell>
          <cell r="J1922">
            <v>0</v>
          </cell>
          <cell r="L1922">
            <v>0</v>
          </cell>
          <cell r="Z1922">
            <v>0</v>
          </cell>
        </row>
        <row r="1923">
          <cell r="D1923" t="str">
            <v>AIUAUTILI</v>
          </cell>
          <cell r="E1923" t="str">
            <v>Utilidad</v>
          </cell>
          <cell r="F1923">
            <v>0</v>
          </cell>
          <cell r="I1923">
            <v>0</v>
          </cell>
          <cell r="J1923">
            <v>0</v>
          </cell>
          <cell r="L1923">
            <v>0</v>
          </cell>
          <cell r="Z1923">
            <v>0</v>
          </cell>
        </row>
        <row r="1924">
          <cell r="D1924" t="str">
            <v>AIUAIVAUTI</v>
          </cell>
          <cell r="E1924" t="str">
            <v>IVA utilidad</v>
          </cell>
          <cell r="F1924">
            <v>0</v>
          </cell>
          <cell r="I1924">
            <v>0</v>
          </cell>
          <cell r="J1924">
            <v>0</v>
          </cell>
          <cell r="L1924">
            <v>0</v>
          </cell>
          <cell r="Z1924">
            <v>0</v>
          </cell>
        </row>
        <row r="1926">
          <cell r="E1926" t="str">
            <v>ITEM</v>
          </cell>
        </row>
        <row r="1927">
          <cell r="D1927" t="str">
            <v>HIA2</v>
          </cell>
          <cell r="E1927" t="str">
            <v>Acero A-37 Nª 2 Chipa</v>
          </cell>
          <cell r="G1927" t="str">
            <v>UN.</v>
          </cell>
          <cell r="H1927" t="str">
            <v>Kg</v>
          </cell>
          <cell r="I1927">
            <v>1404</v>
          </cell>
          <cell r="K1927">
            <v>0</v>
          </cell>
          <cell r="L1927">
            <v>0</v>
          </cell>
          <cell r="N1927">
            <v>1404</v>
          </cell>
          <cell r="O1927">
            <v>0</v>
          </cell>
          <cell r="P1927">
            <v>0</v>
          </cell>
          <cell r="Q1927">
            <v>0</v>
          </cell>
          <cell r="X1927">
            <v>0</v>
          </cell>
          <cell r="Z1927" t="e">
            <v>#VALUE!</v>
          </cell>
          <cell r="AA1927" t="e">
            <v>#VALUE!</v>
          </cell>
          <cell r="AB1927">
            <v>0</v>
          </cell>
          <cell r="AC1927">
            <v>0</v>
          </cell>
        </row>
        <row r="1928">
          <cell r="I1928">
            <v>28080</v>
          </cell>
        </row>
        <row r="1929">
          <cell r="D1929" t="str">
            <v>CODIGO</v>
          </cell>
          <cell r="E1929" t="str">
            <v>DESCRIPCION</v>
          </cell>
          <cell r="F1929" t="str">
            <v>UN</v>
          </cell>
          <cell r="G1929" t="str">
            <v>CANT</v>
          </cell>
          <cell r="H1929" t="str">
            <v>V/UNIT.</v>
          </cell>
          <cell r="I1929" t="str">
            <v>V/TOTAL</v>
          </cell>
          <cell r="K1929" t="str">
            <v>CANT TOTAL</v>
          </cell>
          <cell r="L1929" t="str">
            <v>Vr TOTAL</v>
          </cell>
          <cell r="Y1929" t="str">
            <v>CANT.</v>
          </cell>
          <cell r="Z1929" t="str">
            <v>V/TOTAL</v>
          </cell>
        </row>
        <row r="1930">
          <cell r="E1930" t="str">
            <v>MATERIALES</v>
          </cell>
          <cell r="I1930">
            <v>1404</v>
          </cell>
          <cell r="L1930">
            <v>0</v>
          </cell>
          <cell r="Z1930" t="e">
            <v>#VALUE!</v>
          </cell>
        </row>
        <row r="1931">
          <cell r="D1931" t="str">
            <v>MA01A2</v>
          </cell>
          <cell r="E1931" t="str">
            <v>Acero A-2</v>
          </cell>
          <cell r="F1931" t="str">
            <v>Kg</v>
          </cell>
          <cell r="G1931">
            <v>1</v>
          </cell>
          <cell r="H1931">
            <v>1404</v>
          </cell>
          <cell r="I1931">
            <v>1404</v>
          </cell>
          <cell r="J1931">
            <v>0</v>
          </cell>
          <cell r="K1931">
            <v>0</v>
          </cell>
          <cell r="L1931">
            <v>0</v>
          </cell>
          <cell r="Y1931" t="e">
            <v>#VALUE!</v>
          </cell>
          <cell r="Z1931" t="e">
            <v>#VALUE!</v>
          </cell>
        </row>
        <row r="1934">
          <cell r="E1934" t="str">
            <v>MANO DE OBRA</v>
          </cell>
          <cell r="I1934">
            <v>0</v>
          </cell>
          <cell r="L1934">
            <v>0</v>
          </cell>
          <cell r="Z1934">
            <v>0</v>
          </cell>
        </row>
        <row r="1936">
          <cell r="E1936" t="str">
            <v>VARIOS</v>
          </cell>
          <cell r="I1936">
            <v>0</v>
          </cell>
          <cell r="L1936">
            <v>0</v>
          </cell>
          <cell r="Z1936">
            <v>0</v>
          </cell>
        </row>
        <row r="1938">
          <cell r="E1938" t="str">
            <v>SUBTOTAL</v>
          </cell>
          <cell r="I1938">
            <v>1404</v>
          </cell>
          <cell r="L1938">
            <v>0</v>
          </cell>
          <cell r="Z1938" t="e">
            <v>#VALUE!</v>
          </cell>
        </row>
        <row r="1939">
          <cell r="E1939" t="str">
            <v>A.I.U</v>
          </cell>
          <cell r="I1939">
            <v>0</v>
          </cell>
          <cell r="L1939">
            <v>0</v>
          </cell>
          <cell r="Z1939">
            <v>0</v>
          </cell>
        </row>
        <row r="1940">
          <cell r="D1940" t="str">
            <v>AIUAADMON</v>
          </cell>
          <cell r="E1940" t="str">
            <v>Admon</v>
          </cell>
          <cell r="F1940">
            <v>0</v>
          </cell>
          <cell r="I1940">
            <v>0</v>
          </cell>
          <cell r="J1940">
            <v>0</v>
          </cell>
          <cell r="L1940">
            <v>0</v>
          </cell>
          <cell r="Z1940">
            <v>0</v>
          </cell>
        </row>
        <row r="1941">
          <cell r="D1941" t="str">
            <v>AIUAIMPRE</v>
          </cell>
          <cell r="E1941" t="str">
            <v>Imprevistos</v>
          </cell>
          <cell r="F1941">
            <v>0</v>
          </cell>
          <cell r="I1941">
            <v>0</v>
          </cell>
          <cell r="J1941">
            <v>0</v>
          </cell>
          <cell r="L1941">
            <v>0</v>
          </cell>
          <cell r="Z1941">
            <v>0</v>
          </cell>
        </row>
        <row r="1942">
          <cell r="D1942" t="str">
            <v>AIUAUTILI</v>
          </cell>
          <cell r="E1942" t="str">
            <v>Utilidad</v>
          </cell>
          <cell r="F1942">
            <v>0</v>
          </cell>
          <cell r="I1942">
            <v>0</v>
          </cell>
          <cell r="J1942">
            <v>0</v>
          </cell>
          <cell r="L1942">
            <v>0</v>
          </cell>
          <cell r="Z1942">
            <v>0</v>
          </cell>
        </row>
        <row r="1943">
          <cell r="D1943" t="str">
            <v>AIUAIVAUTI</v>
          </cell>
          <cell r="E1943" t="str">
            <v>IVA utilidad</v>
          </cell>
          <cell r="F1943">
            <v>0</v>
          </cell>
          <cell r="I1943">
            <v>0</v>
          </cell>
          <cell r="J1943">
            <v>0</v>
          </cell>
          <cell r="L1943">
            <v>0</v>
          </cell>
          <cell r="Z1943">
            <v>0</v>
          </cell>
        </row>
        <row r="1945">
          <cell r="E1945" t="str">
            <v>ITEM</v>
          </cell>
        </row>
        <row r="1946">
          <cell r="D1946" t="str">
            <v>HIA3</v>
          </cell>
          <cell r="E1946" t="str">
            <v>Acero A-37 Nª 3 Chipa</v>
          </cell>
          <cell r="G1946" t="str">
            <v>UN.</v>
          </cell>
          <cell r="H1946" t="str">
            <v>Kg</v>
          </cell>
          <cell r="I1946">
            <v>1404</v>
          </cell>
          <cell r="K1946">
            <v>0</v>
          </cell>
          <cell r="L1946">
            <v>0</v>
          </cell>
          <cell r="N1946">
            <v>1404</v>
          </cell>
          <cell r="O1946">
            <v>0</v>
          </cell>
          <cell r="P1946">
            <v>0</v>
          </cell>
          <cell r="Q1946">
            <v>0</v>
          </cell>
          <cell r="X1946">
            <v>0</v>
          </cell>
          <cell r="Y1946" t="str">
            <v>Kg</v>
          </cell>
          <cell r="Z1946" t="e">
            <v>#VALUE!</v>
          </cell>
          <cell r="AA1946" t="e">
            <v>#VALUE!</v>
          </cell>
          <cell r="AB1946">
            <v>0</v>
          </cell>
          <cell r="AC1946">
            <v>0</v>
          </cell>
        </row>
        <row r="1948">
          <cell r="D1948" t="str">
            <v>CODIGO</v>
          </cell>
          <cell r="E1948" t="str">
            <v>DESCRIPCION</v>
          </cell>
          <cell r="F1948" t="str">
            <v>UN</v>
          </cell>
          <cell r="G1948" t="str">
            <v>CANT</v>
          </cell>
          <cell r="H1948" t="str">
            <v>V/UNIT.</v>
          </cell>
          <cell r="I1948" t="str">
            <v>V/TOTAL</v>
          </cell>
          <cell r="K1948" t="str">
            <v>CANT TOTAL</v>
          </cell>
          <cell r="L1948" t="str">
            <v>Vr TOTAL</v>
          </cell>
          <cell r="Y1948" t="str">
            <v>CANT.</v>
          </cell>
          <cell r="Z1948" t="str">
            <v>V/TOTAL</v>
          </cell>
        </row>
        <row r="1949">
          <cell r="E1949" t="str">
            <v>MATERIALES</v>
          </cell>
          <cell r="I1949">
            <v>1404</v>
          </cell>
          <cell r="L1949">
            <v>0</v>
          </cell>
          <cell r="Z1949" t="e">
            <v>#VALUE!</v>
          </cell>
        </row>
        <row r="1950">
          <cell r="D1950" t="str">
            <v>MA01A3</v>
          </cell>
          <cell r="E1950" t="str">
            <v>Acero A-3</v>
          </cell>
          <cell r="F1950" t="str">
            <v>Kg</v>
          </cell>
          <cell r="G1950">
            <v>1</v>
          </cell>
          <cell r="H1950">
            <v>1404</v>
          </cell>
          <cell r="I1950">
            <v>1404</v>
          </cell>
          <cell r="J1950">
            <v>0</v>
          </cell>
          <cell r="K1950">
            <v>0</v>
          </cell>
          <cell r="L1950">
            <v>0</v>
          </cell>
          <cell r="Y1950" t="e">
            <v>#VALUE!</v>
          </cell>
          <cell r="Z1950" t="e">
            <v>#VALUE!</v>
          </cell>
        </row>
        <row r="1953">
          <cell r="E1953" t="str">
            <v>MANO DE OBRA</v>
          </cell>
          <cell r="I1953">
            <v>0</v>
          </cell>
          <cell r="L1953">
            <v>0</v>
          </cell>
          <cell r="Z1953">
            <v>0</v>
          </cell>
        </row>
        <row r="1955">
          <cell r="E1955" t="str">
            <v>VARIOS</v>
          </cell>
          <cell r="I1955">
            <v>0</v>
          </cell>
          <cell r="L1955">
            <v>0</v>
          </cell>
          <cell r="Z1955">
            <v>0</v>
          </cell>
        </row>
        <row r="1957">
          <cell r="E1957" t="str">
            <v>SUBTOTAL</v>
          </cell>
          <cell r="I1957">
            <v>1404</v>
          </cell>
          <cell r="L1957">
            <v>0</v>
          </cell>
          <cell r="Z1957" t="e">
            <v>#VALUE!</v>
          </cell>
        </row>
        <row r="1958">
          <cell r="E1958" t="str">
            <v>A.I.U</v>
          </cell>
          <cell r="I1958">
            <v>0</v>
          </cell>
          <cell r="L1958">
            <v>0</v>
          </cell>
          <cell r="Z1958">
            <v>0</v>
          </cell>
        </row>
        <row r="1959">
          <cell r="D1959" t="str">
            <v>AIUAADMON</v>
          </cell>
          <cell r="E1959" t="str">
            <v>Admon</v>
          </cell>
          <cell r="F1959">
            <v>0</v>
          </cell>
          <cell r="I1959">
            <v>0</v>
          </cell>
          <cell r="J1959">
            <v>0</v>
          </cell>
          <cell r="L1959">
            <v>0</v>
          </cell>
          <cell r="Z1959">
            <v>0</v>
          </cell>
        </row>
        <row r="1960">
          <cell r="D1960" t="str">
            <v>AIUAIMPRE</v>
          </cell>
          <cell r="E1960" t="str">
            <v>Imprevistos</v>
          </cell>
          <cell r="F1960">
            <v>0</v>
          </cell>
          <cell r="I1960">
            <v>0</v>
          </cell>
          <cell r="J1960">
            <v>0</v>
          </cell>
          <cell r="L1960">
            <v>0</v>
          </cell>
          <cell r="Z1960">
            <v>0</v>
          </cell>
        </row>
        <row r="1961">
          <cell r="D1961" t="str">
            <v>AIUAUTILI</v>
          </cell>
          <cell r="E1961" t="str">
            <v>Utilidad</v>
          </cell>
          <cell r="F1961">
            <v>0</v>
          </cell>
          <cell r="I1961">
            <v>0</v>
          </cell>
          <cell r="J1961">
            <v>0</v>
          </cell>
          <cell r="L1961">
            <v>0</v>
          </cell>
          <cell r="Z1961">
            <v>0</v>
          </cell>
        </row>
        <row r="1962">
          <cell r="D1962" t="str">
            <v>AIUAIVAUTI</v>
          </cell>
          <cell r="E1962" t="str">
            <v>IVA utilidad</v>
          </cell>
          <cell r="F1962">
            <v>0</v>
          </cell>
          <cell r="I1962">
            <v>0</v>
          </cell>
          <cell r="J1962">
            <v>0</v>
          </cell>
          <cell r="L1962">
            <v>0</v>
          </cell>
          <cell r="Z1962">
            <v>0</v>
          </cell>
        </row>
        <row r="1964">
          <cell r="E1964" t="str">
            <v>ITEM</v>
          </cell>
        </row>
        <row r="1965">
          <cell r="D1965" t="str">
            <v>COIMPA14</v>
          </cell>
          <cell r="E1965" t="str">
            <v xml:space="preserve">Instalacion Comcreto Baja Resistencia 7-17,5 Mpa </v>
          </cell>
          <cell r="G1965" t="str">
            <v>UN.</v>
          </cell>
          <cell r="H1965" t="str">
            <v>M3</v>
          </cell>
          <cell r="I1965">
            <v>261150</v>
          </cell>
          <cell r="K1965">
            <v>2</v>
          </cell>
          <cell r="L1965">
            <v>522300</v>
          </cell>
          <cell r="N1965">
            <v>0</v>
          </cell>
          <cell r="O1965">
            <v>250000</v>
          </cell>
          <cell r="P1965">
            <v>11150</v>
          </cell>
          <cell r="Q1965">
            <v>0</v>
          </cell>
          <cell r="X1965">
            <v>522300</v>
          </cell>
          <cell r="Y1965" t="str">
            <v>M3</v>
          </cell>
          <cell r="Z1965" t="e">
            <v>#N/A</v>
          </cell>
          <cell r="AA1965">
            <v>0</v>
          </cell>
          <cell r="AB1965" t="e">
            <v>#N/A</v>
          </cell>
          <cell r="AC1965" t="e">
            <v>#N/A</v>
          </cell>
        </row>
        <row r="1967">
          <cell r="D1967" t="str">
            <v>CODIGO</v>
          </cell>
          <cell r="E1967" t="str">
            <v>DESCRIPCION</v>
          </cell>
          <cell r="F1967" t="str">
            <v>UN</v>
          </cell>
          <cell r="G1967" t="str">
            <v>CANT</v>
          </cell>
          <cell r="H1967" t="str">
            <v>V/UNIT.</v>
          </cell>
          <cell r="I1967" t="str">
            <v>V/TOTAL</v>
          </cell>
          <cell r="K1967" t="str">
            <v>CANT TOTAL</v>
          </cell>
          <cell r="L1967" t="str">
            <v>Vr TOTAL</v>
          </cell>
          <cell r="Y1967" t="str">
            <v>CANT.</v>
          </cell>
          <cell r="Z1967" t="str">
            <v>V/TOTAL</v>
          </cell>
        </row>
        <row r="1968">
          <cell r="E1968" t="str">
            <v>MATERIALES</v>
          </cell>
          <cell r="I1968">
            <v>0</v>
          </cell>
          <cell r="L1968">
            <v>0</v>
          </cell>
          <cell r="Z1968">
            <v>0</v>
          </cell>
        </row>
        <row r="1969">
          <cell r="I1969">
            <v>0</v>
          </cell>
          <cell r="J1969">
            <v>0</v>
          </cell>
          <cell r="K1969">
            <v>0</v>
          </cell>
          <cell r="L1969">
            <v>0</v>
          </cell>
          <cell r="Y1969">
            <v>0</v>
          </cell>
          <cell r="Z1969">
            <v>0</v>
          </cell>
        </row>
        <row r="1972">
          <cell r="E1972" t="str">
            <v>MANO DE OBRA</v>
          </cell>
          <cell r="I1972">
            <v>250000</v>
          </cell>
          <cell r="L1972">
            <v>500000</v>
          </cell>
          <cell r="Z1972" t="e">
            <v>#N/A</v>
          </cell>
        </row>
        <row r="1973">
          <cell r="D1973" t="str">
            <v>MOCOIMPA14</v>
          </cell>
          <cell r="E1973" t="str">
            <v>Instalacion Concretos Baja Resistencia</v>
          </cell>
          <cell r="F1973" t="str">
            <v>M3</v>
          </cell>
          <cell r="G1973">
            <v>1</v>
          </cell>
          <cell r="H1973">
            <v>250000</v>
          </cell>
          <cell r="I1973">
            <v>250000</v>
          </cell>
          <cell r="J1973">
            <v>0</v>
          </cell>
          <cell r="K1973">
            <v>2</v>
          </cell>
          <cell r="L1973">
            <v>500000</v>
          </cell>
          <cell r="Y1973" t="e">
            <v>#N/A</v>
          </cell>
          <cell r="Z1973" t="e">
            <v>#N/A</v>
          </cell>
        </row>
        <row r="1974">
          <cell r="E1974" t="str">
            <v>VARIOS</v>
          </cell>
          <cell r="I1974">
            <v>11150</v>
          </cell>
          <cell r="L1974">
            <v>22300</v>
          </cell>
          <cell r="Z1974" t="e">
            <v>#N/A</v>
          </cell>
        </row>
        <row r="1975">
          <cell r="D1975" t="str">
            <v>TC07H500</v>
          </cell>
          <cell r="E1975" t="str">
            <v>Herramienta y Varios</v>
          </cell>
          <cell r="F1975" t="str">
            <v>Gb</v>
          </cell>
          <cell r="G1975">
            <v>1</v>
          </cell>
          <cell r="H1975">
            <v>500</v>
          </cell>
          <cell r="I1975">
            <v>500</v>
          </cell>
          <cell r="J1975">
            <v>0</v>
          </cell>
          <cell r="K1975">
            <v>2</v>
          </cell>
          <cell r="L1975">
            <v>1000</v>
          </cell>
          <cell r="Y1975" t="e">
            <v>#N/A</v>
          </cell>
          <cell r="Z1975" t="e">
            <v>#N/A</v>
          </cell>
        </row>
        <row r="1976">
          <cell r="D1976" t="str">
            <v>AL07FTE</v>
          </cell>
          <cell r="E1976" t="str">
            <v>Formaleta Tipica Estructural</v>
          </cell>
          <cell r="F1976" t="str">
            <v>m2</v>
          </cell>
          <cell r="G1976">
            <v>1</v>
          </cell>
          <cell r="H1976">
            <v>4800</v>
          </cell>
          <cell r="I1976">
            <v>4800</v>
          </cell>
          <cell r="J1976">
            <v>0</v>
          </cell>
          <cell r="K1976">
            <v>2</v>
          </cell>
          <cell r="L1976">
            <v>9600</v>
          </cell>
          <cell r="Y1976" t="e">
            <v>#N/A</v>
          </cell>
          <cell r="Z1976" t="e">
            <v>#N/A</v>
          </cell>
        </row>
        <row r="1977">
          <cell r="D1977" t="str">
            <v>AL07VCG</v>
          </cell>
          <cell r="E1977" t="str">
            <v>Vibrador para concretos a Gasolina</v>
          </cell>
          <cell r="F1977" t="str">
            <v>Hr</v>
          </cell>
          <cell r="G1977">
            <v>0.13</v>
          </cell>
          <cell r="H1977">
            <v>45000</v>
          </cell>
          <cell r="I1977">
            <v>5850</v>
          </cell>
          <cell r="J1977">
            <v>0</v>
          </cell>
          <cell r="K1977">
            <v>0.26</v>
          </cell>
          <cell r="L1977">
            <v>11700</v>
          </cell>
          <cell r="Y1977" t="e">
            <v>#N/A</v>
          </cell>
          <cell r="Z1977" t="e">
            <v>#N/A</v>
          </cell>
        </row>
        <row r="1978">
          <cell r="E1978" t="str">
            <v>SUBTOTAL</v>
          </cell>
          <cell r="I1978">
            <v>261150</v>
          </cell>
          <cell r="L1978">
            <v>522300</v>
          </cell>
          <cell r="Z1978" t="e">
            <v>#N/A</v>
          </cell>
        </row>
        <row r="1979">
          <cell r="E1979" t="str">
            <v>A.I.U</v>
          </cell>
          <cell r="I1979">
            <v>0</v>
          </cell>
          <cell r="L1979">
            <v>0</v>
          </cell>
          <cell r="Z1979">
            <v>0</v>
          </cell>
        </row>
        <row r="1980">
          <cell r="D1980" t="str">
            <v>AIUAADMON</v>
          </cell>
          <cell r="E1980" t="str">
            <v>Admon</v>
          </cell>
          <cell r="F1980">
            <v>0</v>
          </cell>
          <cell r="I1980">
            <v>0</v>
          </cell>
          <cell r="J1980">
            <v>0</v>
          </cell>
          <cell r="L1980">
            <v>0</v>
          </cell>
          <cell r="Z1980">
            <v>0</v>
          </cell>
        </row>
        <row r="1981">
          <cell r="D1981" t="str">
            <v>AIUAIMPRE</v>
          </cell>
          <cell r="E1981" t="str">
            <v>Imprevistos</v>
          </cell>
          <cell r="F1981">
            <v>0</v>
          </cell>
          <cell r="I1981">
            <v>0</v>
          </cell>
          <cell r="J1981">
            <v>0</v>
          </cell>
          <cell r="L1981">
            <v>0</v>
          </cell>
          <cell r="Z1981">
            <v>0</v>
          </cell>
        </row>
        <row r="1982">
          <cell r="D1982" t="str">
            <v>AIUAUTILI</v>
          </cell>
          <cell r="E1982" t="str">
            <v>Utilidad</v>
          </cell>
          <cell r="F1982">
            <v>0</v>
          </cell>
          <cell r="I1982">
            <v>0</v>
          </cell>
          <cell r="J1982">
            <v>0</v>
          </cell>
          <cell r="L1982">
            <v>0</v>
          </cell>
          <cell r="Z1982">
            <v>0</v>
          </cell>
        </row>
        <row r="1983">
          <cell r="D1983" t="str">
            <v>AIUAIVAUTI</v>
          </cell>
          <cell r="E1983" t="str">
            <v>IVA utilidad</v>
          </cell>
          <cell r="F1983">
            <v>0</v>
          </cell>
          <cell r="I1983">
            <v>0</v>
          </cell>
          <cell r="J1983">
            <v>0</v>
          </cell>
          <cell r="L1983">
            <v>0</v>
          </cell>
          <cell r="Z1983">
            <v>0</v>
          </cell>
        </row>
        <row r="1985">
          <cell r="E1985" t="str">
            <v>ITEM</v>
          </cell>
        </row>
        <row r="1986">
          <cell r="D1986" t="str">
            <v>COMPA14</v>
          </cell>
          <cell r="E1986" t="str">
            <v>Comcreto resistencia 14.0 Mpa (140 Kg/cm2)</v>
          </cell>
          <cell r="G1986" t="str">
            <v>UN.</v>
          </cell>
          <cell r="H1986" t="str">
            <v>M3</v>
          </cell>
          <cell r="I1986">
            <v>187125</v>
          </cell>
          <cell r="K1986">
            <v>20</v>
          </cell>
          <cell r="L1986">
            <v>3742500</v>
          </cell>
          <cell r="N1986">
            <v>183525</v>
          </cell>
          <cell r="O1986">
            <v>0</v>
          </cell>
          <cell r="P1986">
            <v>3600</v>
          </cell>
          <cell r="Q1986">
            <v>0</v>
          </cell>
          <cell r="X1986">
            <v>3742500</v>
          </cell>
          <cell r="Y1986" t="str">
            <v>M3</v>
          </cell>
          <cell r="Z1986" t="e">
            <v>#N/A</v>
          </cell>
          <cell r="AA1986" t="e">
            <v>#N/A</v>
          </cell>
          <cell r="AB1986">
            <v>0</v>
          </cell>
          <cell r="AC1986" t="e">
            <v>#N/A</v>
          </cell>
        </row>
        <row r="1988">
          <cell r="D1988" t="str">
            <v>CODIGO</v>
          </cell>
          <cell r="E1988" t="str">
            <v>DESCRIPCION</v>
          </cell>
          <cell r="F1988" t="str">
            <v>UN</v>
          </cell>
          <cell r="G1988" t="str">
            <v>CANT</v>
          </cell>
          <cell r="H1988" t="str">
            <v>V/UNIT.</v>
          </cell>
          <cell r="I1988" t="str">
            <v>V/TOTAL</v>
          </cell>
          <cell r="K1988" t="str">
            <v>CANT TOTAL</v>
          </cell>
          <cell r="L1988" t="str">
            <v>Vr TOTAL</v>
          </cell>
          <cell r="Y1988" t="str">
            <v>CANT.</v>
          </cell>
          <cell r="Z1988" t="str">
            <v>V/TOTAL</v>
          </cell>
        </row>
        <row r="1989">
          <cell r="E1989" t="str">
            <v>MATERIALES</v>
          </cell>
          <cell r="I1989">
            <v>183525</v>
          </cell>
          <cell r="L1989">
            <v>3670500</v>
          </cell>
          <cell r="Z1989" t="e">
            <v>#N/A</v>
          </cell>
        </row>
        <row r="1990">
          <cell r="D1990" t="str">
            <v>MA04C2</v>
          </cell>
          <cell r="E1990" t="str">
            <v>Concreto 2000 psi</v>
          </cell>
          <cell r="F1990" t="str">
            <v>M3</v>
          </cell>
          <cell r="G1990">
            <v>1</v>
          </cell>
          <cell r="H1990">
            <v>183525</v>
          </cell>
          <cell r="I1990">
            <v>183525</v>
          </cell>
          <cell r="J1990">
            <v>0</v>
          </cell>
          <cell r="K1990">
            <v>20</v>
          </cell>
          <cell r="L1990">
            <v>3670500</v>
          </cell>
          <cell r="Y1990" t="e">
            <v>#N/A</v>
          </cell>
          <cell r="Z1990" t="e">
            <v>#N/A</v>
          </cell>
        </row>
        <row r="1993">
          <cell r="E1993" t="str">
            <v>MANO DE OBRA</v>
          </cell>
          <cell r="I1993">
            <v>0</v>
          </cell>
          <cell r="L1993">
            <v>0</v>
          </cell>
          <cell r="Z1993">
            <v>0</v>
          </cell>
        </row>
        <row r="1995">
          <cell r="E1995" t="str">
            <v>VARIOS</v>
          </cell>
          <cell r="I1995">
            <v>3600</v>
          </cell>
          <cell r="L1995">
            <v>72000</v>
          </cell>
          <cell r="Z1995" t="e">
            <v>#N/A</v>
          </cell>
        </row>
        <row r="1996">
          <cell r="D1996" t="str">
            <v>AL07VCG</v>
          </cell>
          <cell r="E1996" t="str">
            <v>Vibrador para concretos a Gasolina</v>
          </cell>
          <cell r="F1996" t="str">
            <v>Hr</v>
          </cell>
          <cell r="G1996">
            <v>0.08</v>
          </cell>
          <cell r="H1996">
            <v>45000</v>
          </cell>
          <cell r="I1996">
            <v>3600</v>
          </cell>
          <cell r="J1996">
            <v>0</v>
          </cell>
          <cell r="K1996">
            <v>1.6</v>
          </cell>
          <cell r="L1996">
            <v>72000</v>
          </cell>
          <cell r="Y1996" t="e">
            <v>#N/A</v>
          </cell>
          <cell r="Z1996" t="e">
            <v>#N/A</v>
          </cell>
        </row>
        <row r="1997">
          <cell r="E1997" t="str">
            <v>SUBTOTAL</v>
          </cell>
          <cell r="I1997">
            <v>187125</v>
          </cell>
          <cell r="L1997">
            <v>3742500</v>
          </cell>
          <cell r="Z1997" t="e">
            <v>#N/A</v>
          </cell>
        </row>
        <row r="1998">
          <cell r="E1998" t="str">
            <v>A.I.U</v>
          </cell>
          <cell r="I1998">
            <v>0</v>
          </cell>
          <cell r="L1998">
            <v>0</v>
          </cell>
          <cell r="Z1998">
            <v>0</v>
          </cell>
        </row>
        <row r="1999">
          <cell r="D1999" t="str">
            <v>AIUAADMON</v>
          </cell>
          <cell r="E1999" t="str">
            <v>Admon</v>
          </cell>
          <cell r="F1999">
            <v>0</v>
          </cell>
          <cell r="I1999">
            <v>0</v>
          </cell>
          <cell r="J1999">
            <v>0</v>
          </cell>
          <cell r="L1999">
            <v>0</v>
          </cell>
          <cell r="Z1999">
            <v>0</v>
          </cell>
        </row>
        <row r="2000">
          <cell r="D2000" t="str">
            <v>AIUAIMPRE</v>
          </cell>
          <cell r="E2000" t="str">
            <v>Imprevistos</v>
          </cell>
          <cell r="F2000">
            <v>0</v>
          </cell>
          <cell r="I2000">
            <v>0</v>
          </cell>
          <cell r="J2000">
            <v>0</v>
          </cell>
          <cell r="L2000">
            <v>0</v>
          </cell>
          <cell r="Z2000">
            <v>0</v>
          </cell>
        </row>
        <row r="2001">
          <cell r="D2001" t="str">
            <v>AIUAUTILI</v>
          </cell>
          <cell r="E2001" t="str">
            <v>Utilidad</v>
          </cell>
          <cell r="F2001">
            <v>0</v>
          </cell>
          <cell r="I2001">
            <v>0</v>
          </cell>
          <cell r="J2001">
            <v>0</v>
          </cell>
          <cell r="L2001">
            <v>0</v>
          </cell>
          <cell r="Z2001">
            <v>0</v>
          </cell>
        </row>
        <row r="2002">
          <cell r="D2002" t="str">
            <v>AIUAIVAUTI</v>
          </cell>
          <cell r="E2002" t="str">
            <v>IVA utilidad</v>
          </cell>
          <cell r="F2002">
            <v>0</v>
          </cell>
          <cell r="I2002">
            <v>0</v>
          </cell>
          <cell r="J2002">
            <v>0</v>
          </cell>
          <cell r="L2002">
            <v>0</v>
          </cell>
          <cell r="Z2002">
            <v>0</v>
          </cell>
        </row>
        <row r="2004">
          <cell r="E2004" t="str">
            <v>ITEM</v>
          </cell>
        </row>
        <row r="2005">
          <cell r="D2005" t="str">
            <v>COMPA17</v>
          </cell>
          <cell r="E2005" t="str">
            <v>Comcreto resistencia 17.5 Mpa (175 Kg/cm2)</v>
          </cell>
          <cell r="G2005" t="str">
            <v>UN.</v>
          </cell>
          <cell r="H2005" t="str">
            <v>M3</v>
          </cell>
          <cell r="I2005">
            <v>198060</v>
          </cell>
          <cell r="K2005">
            <v>0</v>
          </cell>
          <cell r="L2005">
            <v>0</v>
          </cell>
          <cell r="N2005">
            <v>194325</v>
          </cell>
          <cell r="O2005">
            <v>0</v>
          </cell>
          <cell r="P2005">
            <v>3735</v>
          </cell>
          <cell r="Q2005">
            <v>0</v>
          </cell>
          <cell r="X2005">
            <v>0</v>
          </cell>
          <cell r="Y2005" t="str">
            <v>M3</v>
          </cell>
          <cell r="Z2005" t="e">
            <v>#N/A</v>
          </cell>
          <cell r="AA2005" t="e">
            <v>#N/A</v>
          </cell>
          <cell r="AB2005">
            <v>0</v>
          </cell>
          <cell r="AC2005" t="e">
            <v>#N/A</v>
          </cell>
        </row>
        <row r="2007">
          <cell r="D2007" t="str">
            <v>CODIGO</v>
          </cell>
          <cell r="E2007" t="str">
            <v>DESCRIPCION</v>
          </cell>
          <cell r="F2007" t="str">
            <v>UN</v>
          </cell>
          <cell r="G2007" t="str">
            <v>CANT</v>
          </cell>
          <cell r="H2007" t="str">
            <v>V/UNIT.</v>
          </cell>
          <cell r="I2007" t="str">
            <v>V/TOTAL</v>
          </cell>
          <cell r="K2007" t="str">
            <v>CANT TOTAL</v>
          </cell>
          <cell r="L2007" t="str">
            <v>Vr TOTAL</v>
          </cell>
          <cell r="Y2007" t="str">
            <v>CANT.</v>
          </cell>
          <cell r="Z2007" t="str">
            <v>V/TOTAL</v>
          </cell>
        </row>
        <row r="2008">
          <cell r="E2008" t="str">
            <v>MATERIALES</v>
          </cell>
          <cell r="I2008">
            <v>194325</v>
          </cell>
          <cell r="L2008">
            <v>0</v>
          </cell>
          <cell r="Z2008" t="e">
            <v>#N/A</v>
          </cell>
        </row>
        <row r="2009">
          <cell r="D2009" t="str">
            <v>MA04C25</v>
          </cell>
          <cell r="E2009" t="str">
            <v>Concreto 2500 psi</v>
          </cell>
          <cell r="F2009" t="str">
            <v>M3</v>
          </cell>
          <cell r="G2009">
            <v>1</v>
          </cell>
          <cell r="H2009">
            <v>194325</v>
          </cell>
          <cell r="I2009">
            <v>194325</v>
          </cell>
          <cell r="J2009">
            <v>0</v>
          </cell>
          <cell r="K2009">
            <v>0</v>
          </cell>
          <cell r="L2009">
            <v>0</v>
          </cell>
          <cell r="Y2009" t="e">
            <v>#N/A</v>
          </cell>
          <cell r="Z2009" t="e">
            <v>#N/A</v>
          </cell>
        </row>
        <row r="2012">
          <cell r="E2012" t="str">
            <v>MANO DE OBRA</v>
          </cell>
          <cell r="I2012">
            <v>0</v>
          </cell>
          <cell r="L2012">
            <v>0</v>
          </cell>
          <cell r="Z2012">
            <v>0</v>
          </cell>
        </row>
        <row r="2014">
          <cell r="E2014" t="str">
            <v>VARIOS</v>
          </cell>
          <cell r="I2014">
            <v>3735</v>
          </cell>
          <cell r="L2014">
            <v>0</v>
          </cell>
          <cell r="Z2014" t="e">
            <v>#N/A</v>
          </cell>
        </row>
        <row r="2015">
          <cell r="D2015" t="str">
            <v>AL07VCG</v>
          </cell>
          <cell r="E2015" t="str">
            <v>Vibrador para concretos a Gasolina</v>
          </cell>
          <cell r="F2015" t="str">
            <v>Hr</v>
          </cell>
          <cell r="G2015">
            <v>8.3000000000000004E-2</v>
          </cell>
          <cell r="H2015">
            <v>45000</v>
          </cell>
          <cell r="I2015">
            <v>3735</v>
          </cell>
          <cell r="J2015">
            <v>0</v>
          </cell>
          <cell r="K2015">
            <v>0</v>
          </cell>
          <cell r="L2015">
            <v>0</v>
          </cell>
          <cell r="Y2015" t="e">
            <v>#N/A</v>
          </cell>
          <cell r="Z2015" t="e">
            <v>#N/A</v>
          </cell>
        </row>
        <row r="2016">
          <cell r="E2016" t="str">
            <v>SUBTOTAL</v>
          </cell>
          <cell r="I2016">
            <v>198060</v>
          </cell>
          <cell r="L2016">
            <v>0</v>
          </cell>
          <cell r="Z2016" t="e">
            <v>#N/A</v>
          </cell>
        </row>
        <row r="2017">
          <cell r="E2017" t="str">
            <v>A.I.U</v>
          </cell>
          <cell r="I2017">
            <v>0</v>
          </cell>
          <cell r="L2017">
            <v>0</v>
          </cell>
          <cell r="Z2017">
            <v>0</v>
          </cell>
        </row>
        <row r="2018">
          <cell r="D2018" t="str">
            <v>AIUAADMON</v>
          </cell>
          <cell r="E2018" t="str">
            <v>Admon</v>
          </cell>
          <cell r="F2018">
            <v>0</v>
          </cell>
          <cell r="I2018">
            <v>0</v>
          </cell>
          <cell r="J2018">
            <v>0</v>
          </cell>
          <cell r="L2018">
            <v>0</v>
          </cell>
          <cell r="Z2018">
            <v>0</v>
          </cell>
        </row>
        <row r="2019">
          <cell r="D2019" t="str">
            <v>AIUAIMPRE</v>
          </cell>
          <cell r="E2019" t="str">
            <v>Imprevistos</v>
          </cell>
          <cell r="F2019">
            <v>0</v>
          </cell>
          <cell r="I2019">
            <v>0</v>
          </cell>
          <cell r="J2019">
            <v>0</v>
          </cell>
          <cell r="L2019">
            <v>0</v>
          </cell>
          <cell r="Z2019">
            <v>0</v>
          </cell>
        </row>
        <row r="2020">
          <cell r="D2020" t="str">
            <v>AIUAUTILI</v>
          </cell>
          <cell r="E2020" t="str">
            <v>Utilidad</v>
          </cell>
          <cell r="F2020">
            <v>0</v>
          </cell>
          <cell r="I2020">
            <v>0</v>
          </cell>
          <cell r="J2020">
            <v>0</v>
          </cell>
          <cell r="L2020">
            <v>0</v>
          </cell>
          <cell r="Z2020">
            <v>0</v>
          </cell>
        </row>
        <row r="2021">
          <cell r="D2021" t="str">
            <v>AIUAIVAUTI</v>
          </cell>
          <cell r="E2021" t="str">
            <v>IVA utilidad</v>
          </cell>
          <cell r="F2021">
            <v>0</v>
          </cell>
          <cell r="I2021">
            <v>0</v>
          </cell>
          <cell r="J2021">
            <v>0</v>
          </cell>
          <cell r="L2021">
            <v>0</v>
          </cell>
          <cell r="Z2021">
            <v>0</v>
          </cell>
        </row>
        <row r="2023">
          <cell r="E2023" t="str">
            <v>ITEM</v>
          </cell>
        </row>
        <row r="2024">
          <cell r="D2024" t="str">
            <v>COMPA24</v>
          </cell>
          <cell r="E2024" t="str">
            <v>Comcreto resistencia 24.5 Mpa (245 Kg/cm2)</v>
          </cell>
          <cell r="G2024" t="str">
            <v>UN.</v>
          </cell>
          <cell r="H2024" t="str">
            <v>M3</v>
          </cell>
          <cell r="I2024">
            <v>219525</v>
          </cell>
          <cell r="K2024">
            <v>664</v>
          </cell>
          <cell r="L2024">
            <v>145764600</v>
          </cell>
          <cell r="N2024">
            <v>215775</v>
          </cell>
          <cell r="O2024">
            <v>0</v>
          </cell>
          <cell r="P2024">
            <v>3750</v>
          </cell>
          <cell r="Q2024">
            <v>0</v>
          </cell>
          <cell r="X2024">
            <v>145764600</v>
          </cell>
          <cell r="Y2024" t="str">
            <v>M3</v>
          </cell>
          <cell r="Z2024" t="e">
            <v>#N/A</v>
          </cell>
          <cell r="AA2024" t="e">
            <v>#N/A</v>
          </cell>
          <cell r="AB2024">
            <v>0</v>
          </cell>
          <cell r="AC2024" t="e">
            <v>#N/A</v>
          </cell>
        </row>
        <row r="2026">
          <cell r="D2026" t="str">
            <v>CODIGO</v>
          </cell>
          <cell r="E2026" t="str">
            <v>DESCRIPCION</v>
          </cell>
          <cell r="F2026" t="str">
            <v>UN</v>
          </cell>
          <cell r="G2026" t="str">
            <v>CANT</v>
          </cell>
          <cell r="H2026" t="str">
            <v>V/UNIT.</v>
          </cell>
          <cell r="I2026" t="str">
            <v>V/TOTAL</v>
          </cell>
          <cell r="K2026" t="str">
            <v>CANT TOTAL</v>
          </cell>
          <cell r="L2026" t="str">
            <v>Vr TOTAL</v>
          </cell>
          <cell r="Y2026" t="str">
            <v>CANT.</v>
          </cell>
          <cell r="Z2026" t="str">
            <v>V/TOTAL</v>
          </cell>
        </row>
        <row r="2027">
          <cell r="E2027" t="str">
            <v>MATERIALES</v>
          </cell>
          <cell r="I2027">
            <v>215775</v>
          </cell>
          <cell r="L2027">
            <v>143274600</v>
          </cell>
          <cell r="Z2027" t="e">
            <v>#N/A</v>
          </cell>
        </row>
        <row r="2028">
          <cell r="D2028" t="str">
            <v>MA04C35</v>
          </cell>
          <cell r="E2028" t="str">
            <v xml:space="preserve">Concreto 3500 psi </v>
          </cell>
          <cell r="F2028" t="str">
            <v>M3</v>
          </cell>
          <cell r="G2028">
            <v>1</v>
          </cell>
          <cell r="H2028">
            <v>215775</v>
          </cell>
          <cell r="I2028">
            <v>215775</v>
          </cell>
          <cell r="J2028">
            <v>0</v>
          </cell>
          <cell r="K2028">
            <v>664</v>
          </cell>
          <cell r="L2028">
            <v>143274600</v>
          </cell>
          <cell r="Y2028" t="e">
            <v>#N/A</v>
          </cell>
          <cell r="Z2028" t="e">
            <v>#N/A</v>
          </cell>
        </row>
        <row r="2031">
          <cell r="E2031" t="str">
            <v>MANO DE OBRA</v>
          </cell>
          <cell r="I2031">
            <v>0</v>
          </cell>
          <cell r="L2031">
            <v>0</v>
          </cell>
          <cell r="Z2031">
            <v>0</v>
          </cell>
        </row>
        <row r="2033">
          <cell r="E2033" t="str">
            <v>VARIOS</v>
          </cell>
          <cell r="I2033">
            <v>3750</v>
          </cell>
          <cell r="L2033">
            <v>2490000</v>
          </cell>
          <cell r="Z2033" t="e">
            <v>#N/A</v>
          </cell>
        </row>
        <row r="2034">
          <cell r="D2034" t="str">
            <v>AL07VCG</v>
          </cell>
          <cell r="E2034" t="str">
            <v>Vibrador para concretos a Gasolina</v>
          </cell>
          <cell r="F2034" t="str">
            <v>Hr</v>
          </cell>
          <cell r="G2034">
            <v>8.3333333333333329E-2</v>
          </cell>
          <cell r="H2034">
            <v>45000</v>
          </cell>
          <cell r="I2034">
            <v>3750</v>
          </cell>
          <cell r="J2034">
            <v>0</v>
          </cell>
          <cell r="K2034">
            <v>55.333333333333329</v>
          </cell>
          <cell r="L2034">
            <v>2490000</v>
          </cell>
          <cell r="Y2034" t="e">
            <v>#N/A</v>
          </cell>
          <cell r="Z2034" t="e">
            <v>#N/A</v>
          </cell>
        </row>
        <row r="2035">
          <cell r="E2035" t="str">
            <v>SUBTOTAL</v>
          </cell>
          <cell r="I2035">
            <v>219525</v>
          </cell>
          <cell r="L2035">
            <v>145764600</v>
          </cell>
          <cell r="Z2035" t="e">
            <v>#N/A</v>
          </cell>
        </row>
        <row r="2036">
          <cell r="E2036" t="str">
            <v>A.I.U</v>
          </cell>
          <cell r="I2036">
            <v>0</v>
          </cell>
          <cell r="L2036">
            <v>0</v>
          </cell>
          <cell r="Z2036">
            <v>0</v>
          </cell>
        </row>
        <row r="2037">
          <cell r="D2037" t="str">
            <v>AIUAADMON</v>
          </cell>
          <cell r="E2037" t="str">
            <v>Admon</v>
          </cell>
          <cell r="F2037">
            <v>0</v>
          </cell>
          <cell r="I2037">
            <v>0</v>
          </cell>
          <cell r="J2037">
            <v>0</v>
          </cell>
          <cell r="L2037">
            <v>0</v>
          </cell>
          <cell r="Z2037">
            <v>0</v>
          </cell>
        </row>
        <row r="2038">
          <cell r="D2038" t="str">
            <v>AIUAIMPRE</v>
          </cell>
          <cell r="E2038" t="str">
            <v>Imprevistos</v>
          </cell>
          <cell r="F2038">
            <v>0</v>
          </cell>
          <cell r="I2038">
            <v>0</v>
          </cell>
          <cell r="J2038">
            <v>0</v>
          </cell>
          <cell r="L2038">
            <v>0</v>
          </cell>
          <cell r="Z2038">
            <v>0</v>
          </cell>
        </row>
        <row r="2039">
          <cell r="D2039" t="str">
            <v>AIUAUTILI</v>
          </cell>
          <cell r="E2039" t="str">
            <v>Utilidad</v>
          </cell>
          <cell r="F2039">
            <v>0</v>
          </cell>
          <cell r="I2039">
            <v>0</v>
          </cell>
          <cell r="J2039">
            <v>0</v>
          </cell>
          <cell r="L2039">
            <v>0</v>
          </cell>
          <cell r="Z2039">
            <v>0</v>
          </cell>
        </row>
        <row r="2040">
          <cell r="D2040" t="str">
            <v>AIUAIVAUTI</v>
          </cell>
          <cell r="E2040" t="str">
            <v>IVA utilidad</v>
          </cell>
          <cell r="F2040">
            <v>0</v>
          </cell>
          <cell r="I2040">
            <v>0</v>
          </cell>
          <cell r="J2040">
            <v>0</v>
          </cell>
          <cell r="L2040">
            <v>0</v>
          </cell>
          <cell r="Z2040">
            <v>0</v>
          </cell>
        </row>
        <row r="2042">
          <cell r="E2042" t="str">
            <v>ITEM</v>
          </cell>
        </row>
        <row r="2043">
          <cell r="D2043" t="str">
            <v>COMPA28</v>
          </cell>
          <cell r="E2043" t="str">
            <v>Comcreto resistencia 26.0 Mpa (280 Kg/cm2)</v>
          </cell>
          <cell r="G2043" t="str">
            <v>UN.</v>
          </cell>
          <cell r="H2043" t="str">
            <v>M3</v>
          </cell>
          <cell r="I2043">
            <v>228525</v>
          </cell>
          <cell r="K2043">
            <v>15</v>
          </cell>
          <cell r="L2043">
            <v>3427875</v>
          </cell>
          <cell r="N2043">
            <v>224775</v>
          </cell>
          <cell r="O2043">
            <v>0</v>
          </cell>
          <cell r="P2043">
            <v>3750</v>
          </cell>
          <cell r="Q2043">
            <v>0</v>
          </cell>
          <cell r="X2043">
            <v>3427875</v>
          </cell>
          <cell r="Y2043" t="str">
            <v>M3</v>
          </cell>
          <cell r="Z2043" t="e">
            <v>#N/A</v>
          </cell>
          <cell r="AA2043" t="e">
            <v>#N/A</v>
          </cell>
          <cell r="AB2043">
            <v>0</v>
          </cell>
          <cell r="AC2043" t="e">
            <v>#N/A</v>
          </cell>
        </row>
        <row r="2045">
          <cell r="D2045" t="str">
            <v>CODIGO</v>
          </cell>
          <cell r="E2045" t="str">
            <v>DESCRIPCION</v>
          </cell>
          <cell r="F2045" t="str">
            <v>UN</v>
          </cell>
          <cell r="G2045" t="str">
            <v>CANT</v>
          </cell>
          <cell r="H2045" t="str">
            <v>V/UNIT.</v>
          </cell>
          <cell r="I2045" t="str">
            <v>V/TOTAL</v>
          </cell>
          <cell r="K2045" t="str">
            <v>CANT TOTAL</v>
          </cell>
          <cell r="L2045" t="str">
            <v>Vr TOTAL</v>
          </cell>
          <cell r="Y2045" t="str">
            <v>CANT.</v>
          </cell>
          <cell r="Z2045" t="str">
            <v>V/TOTAL</v>
          </cell>
        </row>
        <row r="2046">
          <cell r="E2046" t="str">
            <v>MATERIALES</v>
          </cell>
          <cell r="I2046">
            <v>224775</v>
          </cell>
          <cell r="L2046">
            <v>3371625</v>
          </cell>
          <cell r="Z2046" t="e">
            <v>#N/A</v>
          </cell>
        </row>
        <row r="2047">
          <cell r="D2047" t="str">
            <v>MA04C4</v>
          </cell>
          <cell r="E2047" t="str">
            <v>Concreto 4000 psi</v>
          </cell>
          <cell r="F2047" t="str">
            <v>M3</v>
          </cell>
          <cell r="G2047">
            <v>1</v>
          </cell>
          <cell r="H2047">
            <v>224775</v>
          </cell>
          <cell r="I2047">
            <v>224775</v>
          </cell>
          <cell r="J2047">
            <v>0</v>
          </cell>
          <cell r="K2047">
            <v>15</v>
          </cell>
          <cell r="L2047">
            <v>3371625</v>
          </cell>
          <cell r="Y2047" t="e">
            <v>#N/A</v>
          </cell>
          <cell r="Z2047" t="e">
            <v>#N/A</v>
          </cell>
        </row>
        <row r="2050">
          <cell r="E2050" t="str">
            <v>MANO DE OBRA</v>
          </cell>
          <cell r="I2050">
            <v>0</v>
          </cell>
          <cell r="L2050">
            <v>0</v>
          </cell>
          <cell r="Z2050">
            <v>0</v>
          </cell>
        </row>
        <row r="2052">
          <cell r="E2052" t="str">
            <v>VARIOS</v>
          </cell>
          <cell r="I2052">
            <v>3750</v>
          </cell>
          <cell r="L2052">
            <v>56250</v>
          </cell>
          <cell r="Z2052" t="e">
            <v>#N/A</v>
          </cell>
        </row>
        <row r="2053">
          <cell r="D2053" t="str">
            <v>AL07VCG</v>
          </cell>
          <cell r="E2053" t="str">
            <v>Vibrador para concretos a Gasolina</v>
          </cell>
          <cell r="F2053" t="str">
            <v>Hr</v>
          </cell>
          <cell r="G2053">
            <v>8.3333333333333329E-2</v>
          </cell>
          <cell r="H2053">
            <v>45000</v>
          </cell>
          <cell r="I2053">
            <v>3750</v>
          </cell>
          <cell r="J2053">
            <v>0</v>
          </cell>
          <cell r="K2053">
            <v>1.25</v>
          </cell>
          <cell r="L2053">
            <v>56250</v>
          </cell>
          <cell r="Y2053" t="e">
            <v>#N/A</v>
          </cell>
          <cell r="Z2053" t="e">
            <v>#N/A</v>
          </cell>
        </row>
        <row r="2054">
          <cell r="E2054" t="str">
            <v>SUBTOTAL</v>
          </cell>
          <cell r="I2054">
            <v>228525</v>
          </cell>
          <cell r="L2054">
            <v>3427875</v>
          </cell>
          <cell r="Z2054" t="e">
            <v>#N/A</v>
          </cell>
        </row>
        <row r="2055">
          <cell r="E2055" t="str">
            <v>A.I.U</v>
          </cell>
          <cell r="I2055">
            <v>0</v>
          </cell>
          <cell r="L2055">
            <v>0</v>
          </cell>
          <cell r="Z2055">
            <v>0</v>
          </cell>
        </row>
        <row r="2056">
          <cell r="D2056" t="str">
            <v>AIUAADMON</v>
          </cell>
          <cell r="E2056" t="str">
            <v>Admon</v>
          </cell>
          <cell r="F2056">
            <v>0</v>
          </cell>
          <cell r="I2056">
            <v>0</v>
          </cell>
          <cell r="J2056">
            <v>0</v>
          </cell>
          <cell r="L2056">
            <v>0</v>
          </cell>
          <cell r="Z2056">
            <v>0</v>
          </cell>
        </row>
        <row r="2057">
          <cell r="D2057" t="str">
            <v>AIUAIMPRE</v>
          </cell>
          <cell r="E2057" t="str">
            <v>Imprevistos</v>
          </cell>
          <cell r="F2057">
            <v>0</v>
          </cell>
          <cell r="I2057">
            <v>0</v>
          </cell>
          <cell r="J2057">
            <v>0</v>
          </cell>
          <cell r="L2057">
            <v>0</v>
          </cell>
          <cell r="Z2057">
            <v>0</v>
          </cell>
        </row>
        <row r="2058">
          <cell r="D2058" t="str">
            <v>AIUAUTILI</v>
          </cell>
          <cell r="E2058" t="str">
            <v>Utilidad</v>
          </cell>
          <cell r="F2058">
            <v>0</v>
          </cell>
          <cell r="I2058">
            <v>0</v>
          </cell>
          <cell r="J2058">
            <v>0</v>
          </cell>
          <cell r="L2058">
            <v>0</v>
          </cell>
          <cell r="Z2058">
            <v>0</v>
          </cell>
        </row>
        <row r="2059">
          <cell r="D2059" t="str">
            <v>AIUAIVAUTI</v>
          </cell>
          <cell r="E2059" t="str">
            <v>IVA utilidad</v>
          </cell>
          <cell r="F2059">
            <v>0</v>
          </cell>
          <cell r="I2059">
            <v>0</v>
          </cell>
          <cell r="J2059">
            <v>0</v>
          </cell>
          <cell r="L2059">
            <v>0</v>
          </cell>
          <cell r="Z2059">
            <v>0</v>
          </cell>
        </row>
        <row r="2061">
          <cell r="E2061" t="str">
            <v>ITEM</v>
          </cell>
        </row>
        <row r="2062">
          <cell r="D2062" t="str">
            <v>PETO</v>
          </cell>
          <cell r="E2062" t="str">
            <v>Topografia</v>
          </cell>
          <cell r="G2062" t="str">
            <v>UN.</v>
          </cell>
          <cell r="H2062" t="str">
            <v>Mes</v>
          </cell>
          <cell r="I2062" t="e">
            <v>#N/A</v>
          </cell>
          <cell r="K2062">
            <v>0</v>
          </cell>
          <cell r="L2062" t="e">
            <v>#N/A</v>
          </cell>
          <cell r="P2062" t="e">
            <v>#N/A</v>
          </cell>
          <cell r="Q2062" t="e">
            <v>#N/A</v>
          </cell>
          <cell r="X2062" t="e">
            <v>#N/A</v>
          </cell>
          <cell r="Z2062" t="e">
            <v>#VALUE!</v>
          </cell>
          <cell r="AC2062" t="e">
            <v>#VALUE!</v>
          </cell>
        </row>
        <row r="2064">
          <cell r="D2064" t="str">
            <v>CODIGO</v>
          </cell>
          <cell r="E2064" t="str">
            <v>DESCRIPCION</v>
          </cell>
          <cell r="F2064" t="str">
            <v>UN</v>
          </cell>
          <cell r="G2064" t="str">
            <v>CANT</v>
          </cell>
          <cell r="H2064" t="str">
            <v>V/UNIT.</v>
          </cell>
          <cell r="I2064" t="str">
            <v>V/TOTAL</v>
          </cell>
          <cell r="K2064" t="str">
            <v>CANT TOTAL</v>
          </cell>
          <cell r="L2064" t="str">
            <v>Vr TOTAL</v>
          </cell>
          <cell r="Y2064" t="str">
            <v>CANT.</v>
          </cell>
          <cell r="Z2064" t="str">
            <v>V/TOTAL</v>
          </cell>
        </row>
        <row r="2065">
          <cell r="E2065" t="str">
            <v>VARIOS</v>
          </cell>
          <cell r="I2065" t="e">
            <v>#N/A</v>
          </cell>
          <cell r="L2065" t="e">
            <v>#N/A</v>
          </cell>
          <cell r="Z2065" t="e">
            <v>#VALUE!</v>
          </cell>
        </row>
        <row r="2066">
          <cell r="D2066" t="str">
            <v>TC65T</v>
          </cell>
          <cell r="E2066" t="e">
            <v>#N/A</v>
          </cell>
          <cell r="F2066" t="e">
            <v>#N/A</v>
          </cell>
          <cell r="G2066">
            <v>1</v>
          </cell>
          <cell r="H2066" t="e">
            <v>#N/A</v>
          </cell>
          <cell r="I2066" t="e">
            <v>#N/A</v>
          </cell>
          <cell r="J2066" t="e">
            <v>#N/A</v>
          </cell>
          <cell r="K2066">
            <v>0</v>
          </cell>
          <cell r="L2066" t="e">
            <v>#N/A</v>
          </cell>
          <cell r="Y2066" t="e">
            <v>#VALUE!</v>
          </cell>
          <cell r="Z2066" t="e">
            <v>#VALUE!</v>
          </cell>
        </row>
        <row r="2068">
          <cell r="E2068" t="str">
            <v>SUBTOTAL</v>
          </cell>
          <cell r="I2068" t="e">
            <v>#N/A</v>
          </cell>
          <cell r="L2068" t="e">
            <v>#N/A</v>
          </cell>
          <cell r="Z2068" t="e">
            <v>#VALUE!</v>
          </cell>
        </row>
        <row r="2069">
          <cell r="E2069" t="str">
            <v>A.I.U</v>
          </cell>
          <cell r="I2069" t="e">
            <v>#N/A</v>
          </cell>
          <cell r="L2069" t="e">
            <v>#N/A</v>
          </cell>
          <cell r="Z2069" t="e">
            <v>#N/A</v>
          </cell>
        </row>
        <row r="2070">
          <cell r="D2070" t="str">
            <v>AIUAADMON</v>
          </cell>
          <cell r="E2070" t="str">
            <v>Admon</v>
          </cell>
          <cell r="F2070">
            <v>0</v>
          </cell>
          <cell r="I2070" t="e">
            <v>#N/A</v>
          </cell>
          <cell r="J2070">
            <v>0</v>
          </cell>
          <cell r="L2070" t="e">
            <v>#N/A</v>
          </cell>
          <cell r="Z2070" t="e">
            <v>#N/A</v>
          </cell>
        </row>
        <row r="2071">
          <cell r="D2071" t="str">
            <v>AIUAIMPRE</v>
          </cell>
          <cell r="E2071" t="str">
            <v>Imprevistos</v>
          </cell>
          <cell r="F2071">
            <v>0</v>
          </cell>
          <cell r="I2071" t="e">
            <v>#N/A</v>
          </cell>
          <cell r="J2071">
            <v>0</v>
          </cell>
          <cell r="L2071" t="e">
            <v>#N/A</v>
          </cell>
          <cell r="Z2071" t="e">
            <v>#N/A</v>
          </cell>
        </row>
        <row r="2072">
          <cell r="D2072" t="str">
            <v>AIUAUTILI</v>
          </cell>
          <cell r="E2072" t="str">
            <v>Utilidad</v>
          </cell>
          <cell r="F2072">
            <v>0</v>
          </cell>
          <cell r="I2072" t="e">
            <v>#N/A</v>
          </cell>
          <cell r="J2072">
            <v>0</v>
          </cell>
          <cell r="L2072" t="e">
            <v>#N/A</v>
          </cell>
          <cell r="Z2072" t="e">
            <v>#N/A</v>
          </cell>
        </row>
        <row r="2073">
          <cell r="D2073" t="str">
            <v>AIUAIVAUTI</v>
          </cell>
          <cell r="E2073" t="str">
            <v>IVA utilidad</v>
          </cell>
          <cell r="F2073">
            <v>0</v>
          </cell>
          <cell r="I2073" t="e">
            <v>#N/A</v>
          </cell>
          <cell r="J2073">
            <v>0</v>
          </cell>
          <cell r="L2073" t="e">
            <v>#N/A</v>
          </cell>
          <cell r="Z2073" t="e">
            <v>#N/A</v>
          </cell>
        </row>
        <row r="2075">
          <cell r="E2075" t="str">
            <v>ITEM</v>
          </cell>
        </row>
        <row r="2076">
          <cell r="D2076" t="str">
            <v>PEDO</v>
          </cell>
          <cell r="E2076" t="str">
            <v>Direccion Obra</v>
          </cell>
          <cell r="G2076" t="str">
            <v>UN.</v>
          </cell>
          <cell r="H2076" t="str">
            <v>Mes</v>
          </cell>
          <cell r="I2076" t="e">
            <v>#N/A</v>
          </cell>
          <cell r="K2076">
            <v>0</v>
          </cell>
          <cell r="L2076" t="e">
            <v>#N/A</v>
          </cell>
          <cell r="P2076" t="e">
            <v>#N/A</v>
          </cell>
          <cell r="Q2076" t="e">
            <v>#N/A</v>
          </cell>
          <cell r="X2076" t="e">
            <v>#N/A</v>
          </cell>
          <cell r="Z2076" t="e">
            <v>#VALUE!</v>
          </cell>
          <cell r="AC2076" t="e">
            <v>#VALUE!</v>
          </cell>
        </row>
        <row r="2078">
          <cell r="D2078" t="str">
            <v>CODIGO</v>
          </cell>
          <cell r="E2078" t="str">
            <v>DESCRIPCION</v>
          </cell>
          <cell r="F2078" t="str">
            <v>UN</v>
          </cell>
          <cell r="G2078" t="str">
            <v>CANT</v>
          </cell>
          <cell r="H2078" t="str">
            <v>V/UNIT.</v>
          </cell>
          <cell r="I2078" t="str">
            <v>V/TOTAL</v>
          </cell>
          <cell r="K2078" t="str">
            <v>CANT TOTAL</v>
          </cell>
          <cell r="L2078" t="str">
            <v>Vr TOTAL</v>
          </cell>
          <cell r="Y2078" t="str">
            <v>CANT.</v>
          </cell>
          <cell r="Z2078" t="str">
            <v>V/TOTAL</v>
          </cell>
        </row>
        <row r="2079">
          <cell r="E2079" t="str">
            <v>VARIOS</v>
          </cell>
          <cell r="I2079" t="e">
            <v>#N/A</v>
          </cell>
          <cell r="L2079" t="e">
            <v>#N/A</v>
          </cell>
          <cell r="Z2079" t="e">
            <v>#VALUE!</v>
          </cell>
        </row>
        <row r="2080">
          <cell r="D2080" t="str">
            <v>TC65DO</v>
          </cell>
          <cell r="E2080" t="e">
            <v>#N/A</v>
          </cell>
          <cell r="F2080" t="e">
            <v>#N/A</v>
          </cell>
          <cell r="G2080">
            <v>0.5</v>
          </cell>
          <cell r="H2080" t="e">
            <v>#N/A</v>
          </cell>
          <cell r="I2080" t="e">
            <v>#N/A</v>
          </cell>
          <cell r="J2080" t="e">
            <v>#N/A</v>
          </cell>
          <cell r="K2080">
            <v>0</v>
          </cell>
          <cell r="L2080" t="e">
            <v>#N/A</v>
          </cell>
          <cell r="Y2080" t="e">
            <v>#VALUE!</v>
          </cell>
          <cell r="Z2080" t="e">
            <v>#VALUE!</v>
          </cell>
        </row>
        <row r="2081">
          <cell r="D2081" t="str">
            <v>TC65RO</v>
          </cell>
          <cell r="E2081" t="e">
            <v>#N/A</v>
          </cell>
          <cell r="F2081" t="e">
            <v>#N/A</v>
          </cell>
          <cell r="G2081">
            <v>1</v>
          </cell>
          <cell r="H2081" t="e">
            <v>#N/A</v>
          </cell>
          <cell r="I2081" t="e">
            <v>#N/A</v>
          </cell>
          <cell r="J2081" t="e">
            <v>#N/A</v>
          </cell>
          <cell r="K2081">
            <v>0</v>
          </cell>
          <cell r="L2081" t="e">
            <v>#N/A</v>
          </cell>
          <cell r="Y2081" t="e">
            <v>#VALUE!</v>
          </cell>
          <cell r="Z2081" t="e">
            <v>#VALUE!</v>
          </cell>
        </row>
        <row r="2082">
          <cell r="D2082" t="str">
            <v>TC65IO</v>
          </cell>
          <cell r="E2082" t="e">
            <v>#N/A</v>
          </cell>
          <cell r="F2082" t="e">
            <v>#N/A</v>
          </cell>
          <cell r="G2082">
            <v>1</v>
          </cell>
          <cell r="H2082" t="e">
            <v>#N/A</v>
          </cell>
          <cell r="I2082" t="e">
            <v>#N/A</v>
          </cell>
          <cell r="J2082" t="e">
            <v>#N/A</v>
          </cell>
          <cell r="K2082">
            <v>0</v>
          </cell>
          <cell r="L2082" t="e">
            <v>#N/A</v>
          </cell>
          <cell r="Y2082" t="e">
            <v>#VALUE!</v>
          </cell>
          <cell r="Z2082" t="e">
            <v>#VALUE!</v>
          </cell>
        </row>
        <row r="2083">
          <cell r="D2083" t="str">
            <v>TC65SE</v>
          </cell>
          <cell r="E2083" t="e">
            <v>#N/A</v>
          </cell>
          <cell r="F2083" t="e">
            <v>#N/A</v>
          </cell>
          <cell r="G2083">
            <v>1</v>
          </cell>
          <cell r="H2083" t="e">
            <v>#N/A</v>
          </cell>
          <cell r="I2083" t="e">
            <v>#N/A</v>
          </cell>
          <cell r="J2083" t="e">
            <v>#N/A</v>
          </cell>
          <cell r="K2083">
            <v>0</v>
          </cell>
          <cell r="L2083" t="e">
            <v>#N/A</v>
          </cell>
          <cell r="Y2083" t="e">
            <v>#VALUE!</v>
          </cell>
          <cell r="Z2083" t="e">
            <v>#VALUE!</v>
          </cell>
        </row>
        <row r="2084">
          <cell r="E2084" t="str">
            <v>SUBTOTAL</v>
          </cell>
          <cell r="I2084" t="e">
            <v>#N/A</v>
          </cell>
          <cell r="L2084" t="e">
            <v>#N/A</v>
          </cell>
          <cell r="Z2084" t="e">
            <v>#VALUE!</v>
          </cell>
        </row>
        <row r="2085">
          <cell r="E2085" t="str">
            <v>A.I.U</v>
          </cell>
          <cell r="I2085" t="e">
            <v>#N/A</v>
          </cell>
          <cell r="L2085" t="e">
            <v>#N/A</v>
          </cell>
          <cell r="Z2085" t="e">
            <v>#N/A</v>
          </cell>
        </row>
        <row r="2086">
          <cell r="D2086" t="str">
            <v>AIUAADMON</v>
          </cell>
          <cell r="E2086" t="str">
            <v>Admon</v>
          </cell>
          <cell r="F2086">
            <v>0</v>
          </cell>
          <cell r="I2086" t="e">
            <v>#N/A</v>
          </cell>
          <cell r="J2086">
            <v>0</v>
          </cell>
          <cell r="L2086" t="e">
            <v>#N/A</v>
          </cell>
          <cell r="Z2086" t="e">
            <v>#N/A</v>
          </cell>
        </row>
        <row r="2087">
          <cell r="D2087" t="str">
            <v>AIUAIMPRE</v>
          </cell>
          <cell r="E2087" t="str">
            <v>Imprevistos</v>
          </cell>
          <cell r="F2087">
            <v>0</v>
          </cell>
          <cell r="I2087" t="e">
            <v>#N/A</v>
          </cell>
          <cell r="J2087">
            <v>0</v>
          </cell>
          <cell r="L2087" t="e">
            <v>#N/A</v>
          </cell>
          <cell r="Z2087" t="e">
            <v>#N/A</v>
          </cell>
        </row>
        <row r="2088">
          <cell r="D2088" t="str">
            <v>AIUAUTILI</v>
          </cell>
          <cell r="E2088" t="str">
            <v>Utilidad</v>
          </cell>
          <cell r="F2088">
            <v>0</v>
          </cell>
          <cell r="I2088" t="e">
            <v>#N/A</v>
          </cell>
          <cell r="J2088">
            <v>0</v>
          </cell>
          <cell r="L2088" t="e">
            <v>#N/A</v>
          </cell>
          <cell r="Z2088" t="e">
            <v>#N/A</v>
          </cell>
        </row>
        <row r="2089">
          <cell r="D2089" t="str">
            <v>AIUAIVAUTI</v>
          </cell>
          <cell r="E2089" t="str">
            <v>IVA utilidad</v>
          </cell>
          <cell r="F2089">
            <v>0</v>
          </cell>
          <cell r="I2089" t="e">
            <v>#N/A</v>
          </cell>
          <cell r="J2089">
            <v>0</v>
          </cell>
          <cell r="L2089" t="e">
            <v>#N/A</v>
          </cell>
          <cell r="Z2089" t="e">
            <v>#N/A</v>
          </cell>
        </row>
        <row r="2091">
          <cell r="E2091" t="str">
            <v>ITEM</v>
          </cell>
        </row>
        <row r="2092">
          <cell r="D2092" t="str">
            <v>PEDOC</v>
          </cell>
          <cell r="E2092" t="str">
            <v>Direccion Obra</v>
          </cell>
          <cell r="G2092" t="str">
            <v>UN.</v>
          </cell>
          <cell r="H2092" t="str">
            <v>Mes</v>
          </cell>
          <cell r="I2092" t="e">
            <v>#N/A</v>
          </cell>
          <cell r="K2092">
            <v>0</v>
          </cell>
          <cell r="L2092" t="e">
            <v>#N/A</v>
          </cell>
          <cell r="P2092" t="e">
            <v>#N/A</v>
          </cell>
          <cell r="Q2092" t="e">
            <v>#N/A</v>
          </cell>
          <cell r="X2092" t="e">
            <v>#N/A</v>
          </cell>
          <cell r="Z2092" t="e">
            <v>#VALUE!</v>
          </cell>
          <cell r="AC2092" t="e">
            <v>#VALUE!</v>
          </cell>
        </row>
        <row r="2094">
          <cell r="D2094" t="str">
            <v>CODIGO</v>
          </cell>
          <cell r="E2094" t="str">
            <v>DESCRIPCION</v>
          </cell>
          <cell r="F2094" t="str">
            <v>UN</v>
          </cell>
          <cell r="G2094" t="str">
            <v>CANT</v>
          </cell>
          <cell r="H2094" t="str">
            <v>V/UNIT.</v>
          </cell>
          <cell r="I2094" t="str">
            <v>V/TOTAL</v>
          </cell>
          <cell r="K2094" t="str">
            <v>CANT TOTAL</v>
          </cell>
          <cell r="L2094" t="str">
            <v>Vr TOTAL</v>
          </cell>
          <cell r="Y2094" t="str">
            <v>CANT.</v>
          </cell>
          <cell r="Z2094" t="str">
            <v>V/TOTAL</v>
          </cell>
        </row>
        <row r="2095">
          <cell r="E2095" t="str">
            <v>VARIOS</v>
          </cell>
          <cell r="I2095" t="e">
            <v>#N/A</v>
          </cell>
          <cell r="L2095" t="e">
            <v>#N/A</v>
          </cell>
          <cell r="Z2095" t="e">
            <v>#VALUE!</v>
          </cell>
        </row>
        <row r="2096">
          <cell r="D2096" t="str">
            <v>TC65DO</v>
          </cell>
          <cell r="E2096" t="e">
            <v>#N/A</v>
          </cell>
          <cell r="F2096" t="e">
            <v>#N/A</v>
          </cell>
          <cell r="G2096">
            <v>0.503</v>
          </cell>
          <cell r="H2096" t="e">
            <v>#N/A</v>
          </cell>
          <cell r="I2096" t="e">
            <v>#N/A</v>
          </cell>
          <cell r="J2096" t="e">
            <v>#N/A</v>
          </cell>
          <cell r="K2096">
            <v>0</v>
          </cell>
          <cell r="L2096" t="e">
            <v>#N/A</v>
          </cell>
          <cell r="Y2096" t="e">
            <v>#VALUE!</v>
          </cell>
          <cell r="Z2096" t="e">
            <v>#VALUE!</v>
          </cell>
        </row>
        <row r="2100">
          <cell r="E2100" t="str">
            <v>SUBTOTAL</v>
          </cell>
          <cell r="I2100" t="e">
            <v>#N/A</v>
          </cell>
          <cell r="L2100" t="e">
            <v>#N/A</v>
          </cell>
          <cell r="Z2100" t="e">
            <v>#VALUE!</v>
          </cell>
        </row>
        <row r="2101">
          <cell r="E2101" t="str">
            <v>A.I.U</v>
          </cell>
          <cell r="I2101" t="e">
            <v>#N/A</v>
          </cell>
          <cell r="L2101" t="e">
            <v>#N/A</v>
          </cell>
          <cell r="Z2101" t="e">
            <v>#N/A</v>
          </cell>
        </row>
        <row r="2102">
          <cell r="D2102" t="str">
            <v>AIUAADMON</v>
          </cell>
          <cell r="E2102" t="str">
            <v>Admon</v>
          </cell>
          <cell r="F2102">
            <v>0</v>
          </cell>
          <cell r="I2102" t="e">
            <v>#N/A</v>
          </cell>
          <cell r="J2102">
            <v>0</v>
          </cell>
          <cell r="L2102" t="e">
            <v>#N/A</v>
          </cell>
          <cell r="Z2102" t="e">
            <v>#N/A</v>
          </cell>
        </row>
        <row r="2103">
          <cell r="D2103" t="str">
            <v>AIUAIMPRE</v>
          </cell>
          <cell r="E2103" t="str">
            <v>Imprevistos</v>
          </cell>
          <cell r="F2103">
            <v>0</v>
          </cell>
          <cell r="I2103" t="e">
            <v>#N/A</v>
          </cell>
          <cell r="J2103">
            <v>0</v>
          </cell>
          <cell r="L2103" t="e">
            <v>#N/A</v>
          </cell>
          <cell r="Z2103" t="e">
            <v>#N/A</v>
          </cell>
        </row>
        <row r="2104">
          <cell r="D2104" t="str">
            <v>AIUAUTILI</v>
          </cell>
          <cell r="E2104" t="str">
            <v>Utilidad</v>
          </cell>
          <cell r="F2104">
            <v>0</v>
          </cell>
          <cell r="I2104" t="e">
            <v>#N/A</v>
          </cell>
          <cell r="J2104">
            <v>0</v>
          </cell>
          <cell r="L2104" t="e">
            <v>#N/A</v>
          </cell>
          <cell r="Z2104" t="e">
            <v>#N/A</v>
          </cell>
        </row>
        <row r="2105">
          <cell r="D2105" t="str">
            <v>AIUAIVAUTI</v>
          </cell>
          <cell r="E2105" t="str">
            <v>IVA utilidad</v>
          </cell>
          <cell r="F2105">
            <v>0</v>
          </cell>
          <cell r="I2105" t="e">
            <v>#N/A</v>
          </cell>
          <cell r="J2105">
            <v>0</v>
          </cell>
          <cell r="L2105" t="e">
            <v>#N/A</v>
          </cell>
          <cell r="Z2105" t="e">
            <v>#N/A</v>
          </cell>
        </row>
        <row r="2107">
          <cell r="E2107" t="str">
            <v>ITEM</v>
          </cell>
        </row>
        <row r="2108">
          <cell r="D2108" t="str">
            <v>PEAL</v>
          </cell>
          <cell r="E2108" t="str">
            <v>Almacen</v>
          </cell>
          <cell r="G2108" t="str">
            <v>UN.</v>
          </cell>
          <cell r="H2108" t="str">
            <v>Mes</v>
          </cell>
          <cell r="I2108" t="e">
            <v>#N/A</v>
          </cell>
          <cell r="K2108">
            <v>0</v>
          </cell>
          <cell r="L2108" t="e">
            <v>#N/A</v>
          </cell>
          <cell r="P2108" t="e">
            <v>#N/A</v>
          </cell>
          <cell r="Q2108" t="e">
            <v>#N/A</v>
          </cell>
          <cell r="X2108" t="e">
            <v>#N/A</v>
          </cell>
          <cell r="Z2108" t="e">
            <v>#VALUE!</v>
          </cell>
          <cell r="AC2108" t="e">
            <v>#VALUE!</v>
          </cell>
        </row>
        <row r="2110">
          <cell r="D2110" t="str">
            <v>CODIGO</v>
          </cell>
          <cell r="E2110" t="str">
            <v>DESCRIPCION</v>
          </cell>
          <cell r="F2110" t="str">
            <v>UN</v>
          </cell>
          <cell r="G2110" t="str">
            <v>CANT</v>
          </cell>
          <cell r="H2110" t="str">
            <v>V/UNIT.</v>
          </cell>
          <cell r="I2110" t="str">
            <v>V/TOTAL</v>
          </cell>
          <cell r="K2110" t="str">
            <v>CANT TOTAL</v>
          </cell>
          <cell r="L2110" t="str">
            <v>Vr TOTAL</v>
          </cell>
          <cell r="Y2110" t="str">
            <v>CANT.</v>
          </cell>
          <cell r="Z2110" t="str">
            <v>V/TOTAL</v>
          </cell>
        </row>
        <row r="2111">
          <cell r="E2111" t="str">
            <v>VARIOS</v>
          </cell>
          <cell r="I2111" t="e">
            <v>#N/A</v>
          </cell>
          <cell r="L2111" t="e">
            <v>#N/A</v>
          </cell>
          <cell r="Z2111" t="e">
            <v>#VALUE!</v>
          </cell>
        </row>
        <row r="2112">
          <cell r="D2112" t="str">
            <v>TC65ALMA</v>
          </cell>
          <cell r="E2112" t="e">
            <v>#N/A</v>
          </cell>
          <cell r="F2112" t="e">
            <v>#N/A</v>
          </cell>
          <cell r="G2112">
            <v>1</v>
          </cell>
          <cell r="H2112" t="e">
            <v>#N/A</v>
          </cell>
          <cell r="I2112" t="e">
            <v>#N/A</v>
          </cell>
          <cell r="J2112" t="e">
            <v>#N/A</v>
          </cell>
          <cell r="K2112">
            <v>0</v>
          </cell>
          <cell r="L2112" t="e">
            <v>#N/A</v>
          </cell>
          <cell r="Y2112" t="e">
            <v>#VALUE!</v>
          </cell>
          <cell r="Z2112" t="e">
            <v>#VALUE!</v>
          </cell>
        </row>
        <row r="2113">
          <cell r="D2113" t="str">
            <v>TC65AYAL</v>
          </cell>
          <cell r="E2113" t="e">
            <v>#N/A</v>
          </cell>
          <cell r="F2113" t="e">
            <v>#N/A</v>
          </cell>
          <cell r="G2113">
            <v>2</v>
          </cell>
          <cell r="H2113" t="e">
            <v>#N/A</v>
          </cell>
          <cell r="I2113" t="e">
            <v>#N/A</v>
          </cell>
          <cell r="J2113" t="e">
            <v>#N/A</v>
          </cell>
          <cell r="K2113">
            <v>0</v>
          </cell>
          <cell r="L2113" t="e">
            <v>#N/A</v>
          </cell>
          <cell r="Y2113" t="e">
            <v>#VALUE!</v>
          </cell>
          <cell r="Z2113" t="e">
            <v>#VALUE!</v>
          </cell>
        </row>
        <row r="2115">
          <cell r="E2115" t="str">
            <v>SUBTOTAL</v>
          </cell>
          <cell r="I2115" t="e">
            <v>#N/A</v>
          </cell>
          <cell r="L2115" t="e">
            <v>#N/A</v>
          </cell>
          <cell r="Z2115" t="e">
            <v>#VALUE!</v>
          </cell>
        </row>
        <row r="2116">
          <cell r="E2116" t="str">
            <v>A.I.U</v>
          </cell>
          <cell r="I2116" t="e">
            <v>#N/A</v>
          </cell>
          <cell r="L2116" t="e">
            <v>#N/A</v>
          </cell>
          <cell r="Z2116" t="e">
            <v>#N/A</v>
          </cell>
        </row>
        <row r="2117">
          <cell r="D2117" t="str">
            <v>AIUAADMON</v>
          </cell>
          <cell r="E2117" t="str">
            <v>Admon</v>
          </cell>
          <cell r="F2117">
            <v>0</v>
          </cell>
          <cell r="I2117" t="e">
            <v>#N/A</v>
          </cell>
          <cell r="J2117">
            <v>0</v>
          </cell>
          <cell r="L2117" t="e">
            <v>#N/A</v>
          </cell>
          <cell r="Z2117" t="e">
            <v>#N/A</v>
          </cell>
        </row>
        <row r="2118">
          <cell r="D2118" t="str">
            <v>AIUAIMPRE</v>
          </cell>
          <cell r="E2118" t="str">
            <v>Imprevistos</v>
          </cell>
          <cell r="F2118">
            <v>0</v>
          </cell>
          <cell r="I2118" t="e">
            <v>#N/A</v>
          </cell>
          <cell r="J2118">
            <v>0</v>
          </cell>
          <cell r="L2118" t="e">
            <v>#N/A</v>
          </cell>
          <cell r="Z2118" t="e">
            <v>#N/A</v>
          </cell>
        </row>
        <row r="2119">
          <cell r="D2119" t="str">
            <v>AIUAUTILI</v>
          </cell>
          <cell r="E2119" t="str">
            <v>Utilidad</v>
          </cell>
          <cell r="F2119">
            <v>0</v>
          </cell>
          <cell r="I2119" t="e">
            <v>#N/A</v>
          </cell>
          <cell r="J2119">
            <v>0</v>
          </cell>
          <cell r="L2119" t="e">
            <v>#N/A</v>
          </cell>
          <cell r="Z2119" t="e">
            <v>#N/A</v>
          </cell>
        </row>
        <row r="2120">
          <cell r="D2120" t="str">
            <v>AIUAIVAUTI</v>
          </cell>
          <cell r="E2120" t="str">
            <v>IVA utilidad</v>
          </cell>
          <cell r="F2120">
            <v>0</v>
          </cell>
          <cell r="I2120" t="e">
            <v>#N/A</v>
          </cell>
          <cell r="J2120">
            <v>0</v>
          </cell>
          <cell r="L2120" t="e">
            <v>#N/A</v>
          </cell>
          <cell r="Z2120" t="e">
            <v>#N/A</v>
          </cell>
        </row>
        <row r="2122">
          <cell r="E2122" t="str">
            <v>ITEM</v>
          </cell>
        </row>
        <row r="2123">
          <cell r="D2123" t="str">
            <v>PEVI</v>
          </cell>
          <cell r="E2123" t="str">
            <v>Vigilancia</v>
          </cell>
          <cell r="G2123" t="str">
            <v>UN.</v>
          </cell>
          <cell r="H2123" t="str">
            <v>Mes</v>
          </cell>
          <cell r="I2123" t="e">
            <v>#N/A</v>
          </cell>
          <cell r="K2123">
            <v>0</v>
          </cell>
          <cell r="L2123" t="e">
            <v>#N/A</v>
          </cell>
          <cell r="P2123" t="e">
            <v>#N/A</v>
          </cell>
          <cell r="Q2123" t="e">
            <v>#N/A</v>
          </cell>
          <cell r="X2123" t="e">
            <v>#N/A</v>
          </cell>
          <cell r="Z2123" t="e">
            <v>#VALUE!</v>
          </cell>
          <cell r="AC2123" t="e">
            <v>#VALUE!</v>
          </cell>
        </row>
        <row r="2125">
          <cell r="D2125" t="str">
            <v>CODIGO</v>
          </cell>
          <cell r="E2125" t="str">
            <v>DESCRIPCION</v>
          </cell>
          <cell r="F2125" t="str">
            <v>UN</v>
          </cell>
          <cell r="G2125" t="str">
            <v>CANT</v>
          </cell>
          <cell r="H2125" t="str">
            <v>V/UNIT.</v>
          </cell>
          <cell r="I2125" t="str">
            <v>V/TOTAL</v>
          </cell>
          <cell r="K2125" t="str">
            <v>CANT TOTAL</v>
          </cell>
          <cell r="L2125" t="str">
            <v>Vr TOTAL</v>
          </cell>
          <cell r="Y2125" t="str">
            <v>CANT.</v>
          </cell>
          <cell r="Z2125" t="str">
            <v>V/TOTAL</v>
          </cell>
        </row>
        <row r="2126">
          <cell r="E2126" t="str">
            <v>VARIOS</v>
          </cell>
          <cell r="I2126" t="e">
            <v>#N/A</v>
          </cell>
          <cell r="L2126" t="e">
            <v>#N/A</v>
          </cell>
          <cell r="Z2126" t="e">
            <v>#VALUE!</v>
          </cell>
        </row>
        <row r="2127">
          <cell r="D2127" t="str">
            <v>TC65VI</v>
          </cell>
          <cell r="E2127" t="e">
            <v>#N/A</v>
          </cell>
          <cell r="F2127" t="e">
            <v>#N/A</v>
          </cell>
          <cell r="G2127">
            <v>1</v>
          </cell>
          <cell r="H2127" t="e">
            <v>#N/A</v>
          </cell>
          <cell r="I2127" t="e">
            <v>#N/A</v>
          </cell>
          <cell r="J2127" t="e">
            <v>#N/A</v>
          </cell>
          <cell r="K2127">
            <v>0</v>
          </cell>
          <cell r="L2127" t="e">
            <v>#N/A</v>
          </cell>
          <cell r="Y2127" t="e">
            <v>#VALUE!</v>
          </cell>
          <cell r="Z2127" t="e">
            <v>#VALUE!</v>
          </cell>
        </row>
        <row r="2129">
          <cell r="E2129" t="str">
            <v>SUBTOTAL</v>
          </cell>
          <cell r="I2129" t="e">
            <v>#N/A</v>
          </cell>
          <cell r="L2129" t="e">
            <v>#N/A</v>
          </cell>
          <cell r="Z2129" t="e">
            <v>#VALUE!</v>
          </cell>
        </row>
        <row r="2130">
          <cell r="E2130" t="str">
            <v>A.I.U</v>
          </cell>
          <cell r="I2130" t="e">
            <v>#N/A</v>
          </cell>
          <cell r="L2130" t="e">
            <v>#N/A</v>
          </cell>
          <cell r="Z2130" t="e">
            <v>#VALUE!</v>
          </cell>
        </row>
        <row r="2131">
          <cell r="D2131" t="str">
            <v>AIUAADMON</v>
          </cell>
          <cell r="E2131" t="str">
            <v>Admon</v>
          </cell>
          <cell r="F2131">
            <v>0</v>
          </cell>
          <cell r="I2131" t="e">
            <v>#N/A</v>
          </cell>
          <cell r="L2131" t="e">
            <v>#N/A</v>
          </cell>
          <cell r="Z2131" t="e">
            <v>#VALUE!</v>
          </cell>
        </row>
        <row r="2132">
          <cell r="D2132" t="str">
            <v>AIUAIMPRE</v>
          </cell>
          <cell r="E2132" t="str">
            <v>Imprevistos</v>
          </cell>
          <cell r="F2132">
            <v>0</v>
          </cell>
          <cell r="I2132" t="e">
            <v>#N/A</v>
          </cell>
          <cell r="L2132" t="e">
            <v>#N/A</v>
          </cell>
          <cell r="Z2132" t="e">
            <v>#VALUE!</v>
          </cell>
        </row>
        <row r="2133">
          <cell r="D2133" t="str">
            <v>AIUAUTILI</v>
          </cell>
          <cell r="E2133" t="str">
            <v>Utilidad</v>
          </cell>
          <cell r="F2133">
            <v>0</v>
          </cell>
          <cell r="I2133" t="e">
            <v>#N/A</v>
          </cell>
          <cell r="L2133" t="e">
            <v>#N/A</v>
          </cell>
          <cell r="Z2133" t="e">
            <v>#VALUE!</v>
          </cell>
        </row>
        <row r="2134">
          <cell r="D2134" t="str">
            <v>AIUAIVAUTI</v>
          </cell>
          <cell r="E2134" t="str">
            <v>IVA utilidad</v>
          </cell>
          <cell r="F2134">
            <v>0</v>
          </cell>
          <cell r="I2134" t="e">
            <v>#N/A</v>
          </cell>
          <cell r="L2134" t="e">
            <v>#N/A</v>
          </cell>
          <cell r="Z2134" t="e">
            <v>#VALUE!</v>
          </cell>
        </row>
        <row r="2136">
          <cell r="E2136" t="str">
            <v>ITEM</v>
          </cell>
        </row>
        <row r="2137">
          <cell r="D2137" t="str">
            <v>PRPR</v>
          </cell>
          <cell r="E2137" t="e">
            <v>#N/A</v>
          </cell>
          <cell r="G2137" t="str">
            <v>UN.</v>
          </cell>
          <cell r="H2137" t="e">
            <v>#N/A</v>
          </cell>
          <cell r="I2137" t="e">
            <v>#N/A</v>
          </cell>
          <cell r="K2137">
            <v>0</v>
          </cell>
          <cell r="L2137" t="e">
            <v>#N/A</v>
          </cell>
          <cell r="P2137" t="e">
            <v>#N/A</v>
          </cell>
          <cell r="Q2137" t="e">
            <v>#N/A</v>
          </cell>
          <cell r="X2137" t="e">
            <v>#N/A</v>
          </cell>
          <cell r="Z2137" t="e">
            <v>#VALUE!</v>
          </cell>
          <cell r="AC2137" t="e">
            <v>#VALUE!</v>
          </cell>
        </row>
        <row r="2139">
          <cell r="D2139" t="str">
            <v>CODIGO</v>
          </cell>
          <cell r="E2139" t="str">
            <v>DESCRIPCION</v>
          </cell>
          <cell r="F2139" t="str">
            <v>UN</v>
          </cell>
          <cell r="G2139" t="str">
            <v>CANT</v>
          </cell>
          <cell r="H2139" t="str">
            <v>V/UNIT.</v>
          </cell>
          <cell r="I2139" t="str">
            <v>V/TOTAL</v>
          </cell>
          <cell r="K2139" t="str">
            <v>CANT TOTAL</v>
          </cell>
          <cell r="L2139" t="str">
            <v>Vr TOTAL</v>
          </cell>
          <cell r="Y2139" t="str">
            <v>CANT.</v>
          </cell>
          <cell r="Z2139" t="str">
            <v>V/TOTAL</v>
          </cell>
        </row>
        <row r="2140">
          <cell r="E2140" t="str">
            <v>VARIOS</v>
          </cell>
          <cell r="I2140" t="e">
            <v>#N/A</v>
          </cell>
          <cell r="L2140" t="e">
            <v>#N/A</v>
          </cell>
          <cell r="Z2140" t="e">
            <v>#VALUE!</v>
          </cell>
        </row>
        <row r="2141">
          <cell r="D2141" t="str">
            <v>TCPRPR</v>
          </cell>
          <cell r="E2141" t="e">
            <v>#N/A</v>
          </cell>
          <cell r="F2141" t="e">
            <v>#N/A</v>
          </cell>
          <cell r="G2141">
            <v>1.4999999999999999E-2</v>
          </cell>
          <cell r="H2141" t="e">
            <v>#N/A</v>
          </cell>
          <cell r="I2141" t="e">
            <v>#N/A</v>
          </cell>
          <cell r="J2141" t="e">
            <v>#N/A</v>
          </cell>
          <cell r="K2141">
            <v>0</v>
          </cell>
          <cell r="L2141" t="e">
            <v>#N/A</v>
          </cell>
          <cell r="Y2141" t="e">
            <v>#VALUE!</v>
          </cell>
          <cell r="Z2141" t="e">
            <v>#VALUE!</v>
          </cell>
        </row>
        <row r="2143">
          <cell r="E2143" t="str">
            <v>SUBTOTAL</v>
          </cell>
          <cell r="I2143" t="e">
            <v>#N/A</v>
          </cell>
          <cell r="L2143" t="e">
            <v>#N/A</v>
          </cell>
          <cell r="Z2143" t="e">
            <v>#VALUE!</v>
          </cell>
        </row>
        <row r="2144">
          <cell r="E2144" t="str">
            <v>A.I.U</v>
          </cell>
          <cell r="I2144" t="e">
            <v>#N/A</v>
          </cell>
          <cell r="L2144" t="e">
            <v>#N/A</v>
          </cell>
          <cell r="Z2144" t="e">
            <v>#VALUE!</v>
          </cell>
        </row>
        <row r="2145">
          <cell r="D2145" t="str">
            <v>AIUAADMON</v>
          </cell>
          <cell r="E2145" t="str">
            <v>Admon</v>
          </cell>
          <cell r="F2145">
            <v>0</v>
          </cell>
          <cell r="I2145" t="e">
            <v>#N/A</v>
          </cell>
          <cell r="L2145" t="e">
            <v>#N/A</v>
          </cell>
          <cell r="Z2145" t="e">
            <v>#VALUE!</v>
          </cell>
        </row>
        <row r="2146">
          <cell r="D2146" t="str">
            <v>AIUAIMPRE</v>
          </cell>
          <cell r="E2146" t="str">
            <v>Imprevistos</v>
          </cell>
          <cell r="F2146">
            <v>0</v>
          </cell>
          <cell r="I2146" t="e">
            <v>#N/A</v>
          </cell>
          <cell r="L2146" t="e">
            <v>#N/A</v>
          </cell>
          <cell r="Z2146" t="e">
            <v>#VALUE!</v>
          </cell>
        </row>
        <row r="2147">
          <cell r="D2147" t="str">
            <v>AIUAUTILI</v>
          </cell>
          <cell r="E2147" t="str">
            <v>Utilidad</v>
          </cell>
          <cell r="F2147">
            <v>0</v>
          </cell>
          <cell r="I2147" t="e">
            <v>#N/A</v>
          </cell>
          <cell r="L2147" t="e">
            <v>#N/A</v>
          </cell>
          <cell r="Z2147" t="e">
            <v>#VALUE!</v>
          </cell>
        </row>
        <row r="2148">
          <cell r="D2148" t="str">
            <v>AIUAIVAUTI</v>
          </cell>
          <cell r="E2148" t="str">
            <v>IVA utilidad</v>
          </cell>
          <cell r="F2148">
            <v>0</v>
          </cell>
          <cell r="I2148" t="e">
            <v>#N/A</v>
          </cell>
          <cell r="L2148" t="e">
            <v>#N/A</v>
          </cell>
          <cell r="Z2148" t="e">
            <v>#VALUE!</v>
          </cell>
        </row>
        <row r="2151">
          <cell r="E2151" t="str">
            <v>ITEM</v>
          </cell>
        </row>
        <row r="2152">
          <cell r="D2152" t="str">
            <v>MSAGU</v>
          </cell>
          <cell r="E2152" t="str">
            <v>Agua</v>
          </cell>
          <cell r="G2152" t="str">
            <v>UN.</v>
          </cell>
          <cell r="H2152" t="str">
            <v>Mes</v>
          </cell>
          <cell r="I2152" t="e">
            <v>#N/A</v>
          </cell>
          <cell r="K2152">
            <v>0</v>
          </cell>
          <cell r="L2152" t="e">
            <v>#N/A</v>
          </cell>
          <cell r="P2152" t="e">
            <v>#N/A</v>
          </cell>
          <cell r="Q2152" t="e">
            <v>#N/A</v>
          </cell>
          <cell r="X2152" t="e">
            <v>#N/A</v>
          </cell>
          <cell r="Z2152" t="e">
            <v>#VALUE!</v>
          </cell>
          <cell r="AC2152" t="e">
            <v>#VALUE!</v>
          </cell>
        </row>
        <row r="2154">
          <cell r="D2154" t="str">
            <v>CODIGO</v>
          </cell>
          <cell r="E2154" t="str">
            <v>DESCRIPCION</v>
          </cell>
          <cell r="F2154" t="str">
            <v>UN</v>
          </cell>
          <cell r="G2154" t="str">
            <v>CANT</v>
          </cell>
          <cell r="H2154" t="str">
            <v>V/UNIT.</v>
          </cell>
          <cell r="I2154" t="str">
            <v>V/TOTAL</v>
          </cell>
          <cell r="K2154" t="str">
            <v>CANT TOTAL</v>
          </cell>
          <cell r="L2154" t="str">
            <v>Vr TOTAL</v>
          </cell>
          <cell r="Y2154" t="str">
            <v>CANT.</v>
          </cell>
          <cell r="Z2154" t="str">
            <v>V/TOTAL</v>
          </cell>
        </row>
        <row r="2155">
          <cell r="E2155" t="str">
            <v>VARIOS</v>
          </cell>
          <cell r="I2155" t="e">
            <v>#N/A</v>
          </cell>
          <cell r="L2155" t="e">
            <v>#N/A</v>
          </cell>
          <cell r="Z2155" t="e">
            <v>#VALUE!</v>
          </cell>
        </row>
        <row r="2156">
          <cell r="D2156" t="str">
            <v>TCMSAGU</v>
          </cell>
          <cell r="E2156" t="e">
            <v>#N/A</v>
          </cell>
          <cell r="F2156" t="e">
            <v>#N/A</v>
          </cell>
          <cell r="G2156">
            <v>1</v>
          </cell>
          <cell r="H2156" t="e">
            <v>#N/A</v>
          </cell>
          <cell r="I2156" t="e">
            <v>#N/A</v>
          </cell>
          <cell r="J2156" t="e">
            <v>#N/A</v>
          </cell>
          <cell r="K2156">
            <v>0</v>
          </cell>
          <cell r="L2156" t="e">
            <v>#N/A</v>
          </cell>
          <cell r="Y2156" t="e">
            <v>#VALUE!</v>
          </cell>
          <cell r="Z2156" t="e">
            <v>#VALUE!</v>
          </cell>
        </row>
        <row r="2158">
          <cell r="E2158" t="str">
            <v>SUBTOTAL</v>
          </cell>
          <cell r="I2158" t="e">
            <v>#N/A</v>
          </cell>
          <cell r="L2158" t="e">
            <v>#N/A</v>
          </cell>
          <cell r="Z2158" t="e">
            <v>#VALUE!</v>
          </cell>
        </row>
        <row r="2159">
          <cell r="E2159" t="str">
            <v>A.I.U</v>
          </cell>
          <cell r="I2159" t="e">
            <v>#N/A</v>
          </cell>
          <cell r="L2159" t="e">
            <v>#N/A</v>
          </cell>
          <cell r="Z2159" t="e">
            <v>#VALUE!</v>
          </cell>
        </row>
        <row r="2160">
          <cell r="D2160" t="str">
            <v>AIUAADMON</v>
          </cell>
          <cell r="E2160" t="str">
            <v>Admon</v>
          </cell>
          <cell r="F2160">
            <v>0</v>
          </cell>
          <cell r="I2160" t="e">
            <v>#N/A</v>
          </cell>
          <cell r="L2160" t="e">
            <v>#N/A</v>
          </cell>
          <cell r="Z2160" t="e">
            <v>#VALUE!</v>
          </cell>
        </row>
        <row r="2161">
          <cell r="D2161" t="str">
            <v>AIUAIMPRE</v>
          </cell>
          <cell r="E2161" t="str">
            <v>Imprevistos</v>
          </cell>
          <cell r="F2161">
            <v>0</v>
          </cell>
          <cell r="I2161" t="e">
            <v>#N/A</v>
          </cell>
          <cell r="L2161" t="e">
            <v>#N/A</v>
          </cell>
          <cell r="Z2161" t="e">
            <v>#VALUE!</v>
          </cell>
        </row>
        <row r="2162">
          <cell r="D2162" t="str">
            <v>AIUAUTILI</v>
          </cell>
          <cell r="E2162" t="str">
            <v>Utilidad</v>
          </cell>
          <cell r="F2162">
            <v>0</v>
          </cell>
          <cell r="I2162" t="e">
            <v>#N/A</v>
          </cell>
          <cell r="L2162" t="e">
            <v>#N/A</v>
          </cell>
          <cell r="Z2162" t="e">
            <v>#VALUE!</v>
          </cell>
        </row>
        <row r="2163">
          <cell r="D2163" t="str">
            <v>AIUAIVAUTI</v>
          </cell>
          <cell r="E2163" t="str">
            <v>IVA utilidad</v>
          </cell>
          <cell r="F2163">
            <v>0</v>
          </cell>
          <cell r="I2163" t="e">
            <v>#N/A</v>
          </cell>
          <cell r="L2163" t="e">
            <v>#N/A</v>
          </cell>
          <cell r="Z2163" t="e">
            <v>#VALUE!</v>
          </cell>
        </row>
        <row r="2165">
          <cell r="E2165" t="str">
            <v>ITEM</v>
          </cell>
        </row>
        <row r="2166">
          <cell r="D2166" t="str">
            <v>MSENE</v>
          </cell>
          <cell r="E2166" t="str">
            <v>Luz</v>
          </cell>
          <cell r="G2166" t="str">
            <v>UN.</v>
          </cell>
          <cell r="H2166" t="str">
            <v>Mes</v>
          </cell>
          <cell r="I2166" t="e">
            <v>#N/A</v>
          </cell>
          <cell r="K2166">
            <v>0</v>
          </cell>
          <cell r="L2166" t="e">
            <v>#N/A</v>
          </cell>
          <cell r="P2166" t="e">
            <v>#N/A</v>
          </cell>
          <cell r="Q2166" t="e">
            <v>#N/A</v>
          </cell>
          <cell r="X2166" t="e">
            <v>#N/A</v>
          </cell>
          <cell r="Z2166" t="e">
            <v>#VALUE!</v>
          </cell>
          <cell r="AC2166" t="e">
            <v>#VALUE!</v>
          </cell>
        </row>
        <row r="2168">
          <cell r="D2168" t="str">
            <v>CODIGO</v>
          </cell>
          <cell r="E2168" t="str">
            <v>DESCRIPCION</v>
          </cell>
          <cell r="F2168" t="str">
            <v>UN</v>
          </cell>
          <cell r="G2168" t="str">
            <v>CANT</v>
          </cell>
          <cell r="H2168" t="str">
            <v>V/UNIT.</v>
          </cell>
          <cell r="I2168" t="str">
            <v>V/TOTAL</v>
          </cell>
          <cell r="K2168" t="str">
            <v>CANT TOTAL</v>
          </cell>
          <cell r="L2168" t="str">
            <v>Vr TOTAL</v>
          </cell>
          <cell r="Y2168" t="str">
            <v>CANT.</v>
          </cell>
          <cell r="Z2168" t="str">
            <v>V/TOTAL</v>
          </cell>
        </row>
        <row r="2169">
          <cell r="E2169" t="str">
            <v>VARIOS</v>
          </cell>
          <cell r="I2169" t="e">
            <v>#N/A</v>
          </cell>
          <cell r="L2169" t="e">
            <v>#N/A</v>
          </cell>
          <cell r="Z2169" t="e">
            <v>#VALUE!</v>
          </cell>
        </row>
        <row r="2170">
          <cell r="D2170" t="str">
            <v>TCMSENE</v>
          </cell>
          <cell r="E2170" t="e">
            <v>#N/A</v>
          </cell>
          <cell r="F2170" t="e">
            <v>#N/A</v>
          </cell>
          <cell r="G2170">
            <v>1</v>
          </cell>
          <cell r="H2170" t="e">
            <v>#N/A</v>
          </cell>
          <cell r="I2170" t="e">
            <v>#N/A</v>
          </cell>
          <cell r="J2170" t="e">
            <v>#N/A</v>
          </cell>
          <cell r="K2170">
            <v>0</v>
          </cell>
          <cell r="L2170" t="e">
            <v>#N/A</v>
          </cell>
          <cell r="Y2170" t="e">
            <v>#VALUE!</v>
          </cell>
          <cell r="Z2170" t="e">
            <v>#VALUE!</v>
          </cell>
        </row>
        <row r="2172">
          <cell r="E2172" t="str">
            <v>SUBTOTAL</v>
          </cell>
          <cell r="I2172" t="e">
            <v>#N/A</v>
          </cell>
          <cell r="L2172" t="e">
            <v>#N/A</v>
          </cell>
          <cell r="Z2172" t="e">
            <v>#VALUE!</v>
          </cell>
        </row>
        <row r="2173">
          <cell r="E2173" t="str">
            <v>A.I.U</v>
          </cell>
          <cell r="I2173" t="e">
            <v>#N/A</v>
          </cell>
          <cell r="L2173" t="e">
            <v>#N/A</v>
          </cell>
          <cell r="Z2173" t="e">
            <v>#VALUE!</v>
          </cell>
        </row>
        <row r="2174">
          <cell r="D2174" t="str">
            <v>AIUAADMON</v>
          </cell>
          <cell r="E2174" t="str">
            <v>Admon</v>
          </cell>
          <cell r="F2174">
            <v>0</v>
          </cell>
          <cell r="I2174" t="e">
            <v>#N/A</v>
          </cell>
          <cell r="L2174" t="e">
            <v>#N/A</v>
          </cell>
          <cell r="Z2174" t="e">
            <v>#VALUE!</v>
          </cell>
        </row>
        <row r="2175">
          <cell r="D2175" t="str">
            <v>AIUAIMPRE</v>
          </cell>
          <cell r="E2175" t="str">
            <v>Imprevistos</v>
          </cell>
          <cell r="F2175">
            <v>0</v>
          </cell>
          <cell r="I2175" t="e">
            <v>#N/A</v>
          </cell>
          <cell r="L2175" t="e">
            <v>#N/A</v>
          </cell>
          <cell r="Z2175" t="e">
            <v>#VALUE!</v>
          </cell>
        </row>
        <row r="2176">
          <cell r="D2176" t="str">
            <v>AIUAUTILI</v>
          </cell>
          <cell r="E2176" t="str">
            <v>Utilidad</v>
          </cell>
          <cell r="F2176">
            <v>0</v>
          </cell>
          <cell r="I2176" t="e">
            <v>#N/A</v>
          </cell>
          <cell r="L2176" t="e">
            <v>#N/A</v>
          </cell>
          <cell r="Z2176" t="e">
            <v>#VALUE!</v>
          </cell>
        </row>
        <row r="2177">
          <cell r="D2177" t="str">
            <v>AIUAIVAUTI</v>
          </cell>
          <cell r="E2177" t="str">
            <v>IVA utilidad</v>
          </cell>
          <cell r="F2177">
            <v>0</v>
          </cell>
          <cell r="I2177" t="e">
            <v>#N/A</v>
          </cell>
          <cell r="L2177" t="e">
            <v>#N/A</v>
          </cell>
          <cell r="Z2177" t="e">
            <v>#VALUE!</v>
          </cell>
        </row>
        <row r="2179">
          <cell r="E2179" t="str">
            <v>ITEM</v>
          </cell>
        </row>
        <row r="2180">
          <cell r="D2180" t="str">
            <v>MSPENE</v>
          </cell>
          <cell r="E2180" t="str">
            <v>Provisional electrica</v>
          </cell>
          <cell r="G2180" t="str">
            <v>UN.</v>
          </cell>
          <cell r="H2180" t="str">
            <v>Gb</v>
          </cell>
          <cell r="I2180" t="e">
            <v>#N/A</v>
          </cell>
          <cell r="K2180">
            <v>0</v>
          </cell>
          <cell r="L2180" t="e">
            <v>#N/A</v>
          </cell>
          <cell r="P2180" t="e">
            <v>#N/A</v>
          </cell>
          <cell r="Q2180" t="e">
            <v>#N/A</v>
          </cell>
          <cell r="X2180" t="e">
            <v>#N/A</v>
          </cell>
          <cell r="Z2180" t="e">
            <v>#VALUE!</v>
          </cell>
          <cell r="AC2180" t="e">
            <v>#VALUE!</v>
          </cell>
        </row>
        <row r="2182">
          <cell r="D2182" t="str">
            <v>CODIGO</v>
          </cell>
          <cell r="E2182" t="str">
            <v>DESCRIPCION</v>
          </cell>
          <cell r="F2182" t="str">
            <v>UN</v>
          </cell>
          <cell r="G2182" t="str">
            <v>CANT</v>
          </cell>
          <cell r="H2182" t="str">
            <v>V/UNIT.</v>
          </cell>
          <cell r="I2182" t="str">
            <v>V/TOTAL</v>
          </cell>
          <cell r="K2182" t="str">
            <v>CANT TOTAL</v>
          </cell>
          <cell r="L2182" t="str">
            <v>Vr TOTAL</v>
          </cell>
          <cell r="Y2182" t="str">
            <v>CANT.</v>
          </cell>
          <cell r="Z2182" t="str">
            <v>V/TOTAL</v>
          </cell>
        </row>
        <row r="2183">
          <cell r="E2183" t="str">
            <v>VARIOS</v>
          </cell>
          <cell r="I2183" t="e">
            <v>#N/A</v>
          </cell>
          <cell r="L2183" t="e">
            <v>#N/A</v>
          </cell>
          <cell r="Z2183" t="e">
            <v>#VALUE!</v>
          </cell>
        </row>
        <row r="2184">
          <cell r="D2184" t="str">
            <v>TCMSPENE</v>
          </cell>
          <cell r="E2184" t="e">
            <v>#N/A</v>
          </cell>
          <cell r="F2184" t="e">
            <v>#N/A</v>
          </cell>
          <cell r="G2184">
            <v>1</v>
          </cell>
          <cell r="H2184" t="e">
            <v>#N/A</v>
          </cell>
          <cell r="I2184" t="e">
            <v>#N/A</v>
          </cell>
          <cell r="J2184" t="e">
            <v>#N/A</v>
          </cell>
          <cell r="K2184">
            <v>0</v>
          </cell>
          <cell r="L2184" t="e">
            <v>#N/A</v>
          </cell>
          <cell r="Y2184" t="e">
            <v>#VALUE!</v>
          </cell>
          <cell r="Z2184" t="e">
            <v>#VALUE!</v>
          </cell>
        </row>
        <row r="2186">
          <cell r="E2186" t="str">
            <v>SUBTOTAL</v>
          </cell>
          <cell r="I2186" t="e">
            <v>#N/A</v>
          </cell>
          <cell r="L2186" t="e">
            <v>#N/A</v>
          </cell>
          <cell r="Z2186" t="e">
            <v>#VALUE!</v>
          </cell>
        </row>
        <row r="2187">
          <cell r="E2187" t="str">
            <v>A.I.U</v>
          </cell>
          <cell r="I2187" t="e">
            <v>#N/A</v>
          </cell>
          <cell r="L2187" t="e">
            <v>#N/A</v>
          </cell>
          <cell r="Z2187" t="e">
            <v>#VALUE!</v>
          </cell>
        </row>
        <row r="2188">
          <cell r="D2188" t="str">
            <v>AIUAADMON</v>
          </cell>
          <cell r="E2188" t="str">
            <v>Admon</v>
          </cell>
          <cell r="F2188">
            <v>0</v>
          </cell>
          <cell r="I2188" t="e">
            <v>#N/A</v>
          </cell>
          <cell r="L2188" t="e">
            <v>#N/A</v>
          </cell>
          <cell r="Z2188" t="e">
            <v>#VALUE!</v>
          </cell>
        </row>
        <row r="2189">
          <cell r="D2189" t="str">
            <v>AIUAIMPRE</v>
          </cell>
          <cell r="E2189" t="str">
            <v>Imprevistos</v>
          </cell>
          <cell r="F2189">
            <v>0</v>
          </cell>
          <cell r="I2189" t="e">
            <v>#N/A</v>
          </cell>
          <cell r="L2189" t="e">
            <v>#N/A</v>
          </cell>
          <cell r="Z2189" t="e">
            <v>#VALUE!</v>
          </cell>
        </row>
        <row r="2190">
          <cell r="D2190" t="str">
            <v>AIUAUTILI</v>
          </cell>
          <cell r="E2190" t="str">
            <v>Utilidad</v>
          </cell>
          <cell r="F2190">
            <v>0</v>
          </cell>
          <cell r="I2190" t="e">
            <v>#N/A</v>
          </cell>
          <cell r="L2190" t="e">
            <v>#N/A</v>
          </cell>
          <cell r="Z2190" t="e">
            <v>#VALUE!</v>
          </cell>
        </row>
        <row r="2191">
          <cell r="D2191" t="str">
            <v>AIUAIVAUTI</v>
          </cell>
          <cell r="E2191" t="str">
            <v>IVA utilidad</v>
          </cell>
          <cell r="F2191">
            <v>0</v>
          </cell>
          <cell r="I2191" t="e">
            <v>#N/A</v>
          </cell>
          <cell r="L2191" t="e">
            <v>#N/A</v>
          </cell>
          <cell r="Z2191" t="e">
            <v>#VALUE!</v>
          </cell>
        </row>
        <row r="2194">
          <cell r="E2194" t="str">
            <v>ITEM</v>
          </cell>
        </row>
        <row r="2195">
          <cell r="D2195" t="str">
            <v>MSTEL</v>
          </cell>
          <cell r="E2195" t="str">
            <v>Telefono</v>
          </cell>
          <cell r="G2195" t="str">
            <v>UN.</v>
          </cell>
          <cell r="H2195" t="str">
            <v>Mes</v>
          </cell>
          <cell r="I2195" t="e">
            <v>#N/A</v>
          </cell>
          <cell r="K2195">
            <v>0</v>
          </cell>
          <cell r="L2195" t="e">
            <v>#N/A</v>
          </cell>
          <cell r="P2195" t="e">
            <v>#N/A</v>
          </cell>
          <cell r="Q2195" t="e">
            <v>#N/A</v>
          </cell>
          <cell r="X2195" t="e">
            <v>#N/A</v>
          </cell>
          <cell r="Z2195" t="e">
            <v>#VALUE!</v>
          </cell>
          <cell r="AC2195" t="e">
            <v>#VALUE!</v>
          </cell>
        </row>
        <row r="2197">
          <cell r="D2197" t="str">
            <v>CODIGO</v>
          </cell>
          <cell r="E2197" t="str">
            <v>DESCRIPCION</v>
          </cell>
          <cell r="F2197" t="str">
            <v>UN</v>
          </cell>
          <cell r="G2197" t="str">
            <v>CANT</v>
          </cell>
          <cell r="H2197" t="str">
            <v>V/UNIT.</v>
          </cell>
          <cell r="I2197" t="str">
            <v>V/TOTAL</v>
          </cell>
          <cell r="K2197" t="str">
            <v>CANT TOTAL</v>
          </cell>
          <cell r="L2197" t="str">
            <v>Vr TOTAL</v>
          </cell>
          <cell r="Y2197" t="str">
            <v>CANT.</v>
          </cell>
          <cell r="Z2197" t="str">
            <v>V/TOTAL</v>
          </cell>
        </row>
        <row r="2198">
          <cell r="E2198" t="str">
            <v>VARIOS</v>
          </cell>
          <cell r="I2198" t="e">
            <v>#N/A</v>
          </cell>
          <cell r="L2198" t="e">
            <v>#N/A</v>
          </cell>
          <cell r="Z2198" t="e">
            <v>#VALUE!</v>
          </cell>
        </row>
        <row r="2199">
          <cell r="D2199" t="str">
            <v>TCMSTEL</v>
          </cell>
          <cell r="E2199" t="e">
            <v>#N/A</v>
          </cell>
          <cell r="F2199" t="e">
            <v>#N/A</v>
          </cell>
          <cell r="G2199">
            <v>1</v>
          </cell>
          <cell r="H2199" t="e">
            <v>#N/A</v>
          </cell>
          <cell r="I2199" t="e">
            <v>#N/A</v>
          </cell>
          <cell r="J2199" t="e">
            <v>#N/A</v>
          </cell>
          <cell r="K2199">
            <v>0</v>
          </cell>
          <cell r="L2199" t="e">
            <v>#N/A</v>
          </cell>
          <cell r="Y2199" t="e">
            <v>#VALUE!</v>
          </cell>
          <cell r="Z2199" t="e">
            <v>#VALUE!</v>
          </cell>
        </row>
        <row r="2201">
          <cell r="E2201" t="str">
            <v>SUBTOTAL</v>
          </cell>
          <cell r="I2201" t="e">
            <v>#N/A</v>
          </cell>
          <cell r="L2201" t="e">
            <v>#N/A</v>
          </cell>
          <cell r="Z2201" t="e">
            <v>#VALUE!</v>
          </cell>
        </row>
        <row r="2202">
          <cell r="E2202" t="str">
            <v>A.I.U</v>
          </cell>
          <cell r="I2202" t="e">
            <v>#N/A</v>
          </cell>
          <cell r="L2202" t="e">
            <v>#N/A</v>
          </cell>
          <cell r="Z2202" t="e">
            <v>#VALUE!</v>
          </cell>
        </row>
        <row r="2203">
          <cell r="D2203" t="str">
            <v>AIUAADMON</v>
          </cell>
          <cell r="E2203" t="str">
            <v>Admon</v>
          </cell>
          <cell r="F2203">
            <v>0</v>
          </cell>
          <cell r="I2203" t="e">
            <v>#N/A</v>
          </cell>
          <cell r="L2203" t="e">
            <v>#N/A</v>
          </cell>
          <cell r="Z2203" t="e">
            <v>#VALUE!</v>
          </cell>
        </row>
        <row r="2204">
          <cell r="D2204" t="str">
            <v>AIUAIMPRE</v>
          </cell>
          <cell r="E2204" t="str">
            <v>Imprevistos</v>
          </cell>
          <cell r="F2204">
            <v>0</v>
          </cell>
          <cell r="I2204" t="e">
            <v>#N/A</v>
          </cell>
          <cell r="L2204" t="e">
            <v>#N/A</v>
          </cell>
          <cell r="Z2204" t="e">
            <v>#VALUE!</v>
          </cell>
        </row>
        <row r="2205">
          <cell r="D2205" t="str">
            <v>AIUAUTILI</v>
          </cell>
          <cell r="E2205" t="str">
            <v>Utilidad</v>
          </cell>
          <cell r="F2205">
            <v>0</v>
          </cell>
          <cell r="I2205" t="e">
            <v>#N/A</v>
          </cell>
          <cell r="L2205" t="e">
            <v>#N/A</v>
          </cell>
          <cell r="Z2205" t="e">
            <v>#VALUE!</v>
          </cell>
        </row>
        <row r="2206">
          <cell r="D2206" t="str">
            <v>AIUAIVAUTI</v>
          </cell>
          <cell r="E2206" t="str">
            <v>IVA utilidad</v>
          </cell>
          <cell r="F2206">
            <v>0</v>
          </cell>
          <cell r="I2206" t="e">
            <v>#N/A</v>
          </cell>
          <cell r="L2206" t="e">
            <v>#N/A</v>
          </cell>
          <cell r="Z2206" t="e">
            <v>#VALUE!</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Est_y_Dis"/>
      <sheetName val="Fondo_Ensayos"/>
      <sheetName val="Obra_puente"/>
      <sheetName val="Fondo_Ajustes"/>
      <sheetName val="FACTOR_MULTIPLICADOR"/>
      <sheetName val="Datos_Generales"/>
      <sheetName val="APU_ANTICORROSIVO"/>
      <sheetName val="APU_LIMPIEZA_Y_PINTURA"/>
      <sheetName val="APU_REFUERZOS"/>
      <sheetName val="APU_ADECUACIÓN_PASAMANOS"/>
      <sheetName val="APU_DESMONTE_BARANDA"/>
      <sheetName val="APU_REINSTALACIÓN_BARANDA"/>
      <sheetName val="APU_BARANDA_NUEVA"/>
      <sheetName val="APU_PINTURA_BARANDA"/>
      <sheetName val="APU_CONCRETO_-_METALDECK"/>
    </sheetNames>
    <sheetDataSet>
      <sheetData sheetId="0" refreshError="1"/>
      <sheetData sheetId="1" refreshError="1"/>
      <sheetData sheetId="2" refreshError="1"/>
      <sheetData sheetId="3">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OBRA"/>
      <sheetName val="CANT P.H."/>
      <sheetName val="CANT PH RECTA Y CT1"/>
      <sheetName val="CANT PH CT 2, 3 y 4"/>
      <sheetName val="CANT PH CT 5 Y 6"/>
      <sheetName val="CANT PH CT 7 y 9"/>
      <sheetName val="CANT PH CT8 y 10"/>
      <sheetName val="CANT PH CT11 "/>
      <sheetName val="CANT PH CT12"/>
      <sheetName val="CANT Ø36"/>
      <sheetName val="PPTO"/>
      <sheetName val="A.U.I."/>
      <sheetName val="crono"/>
      <sheetName val="flujo"/>
      <sheetName val="PTO MGA"/>
      <sheetName val="COSTOS MGA"/>
      <sheetName val="DISEÑOS"/>
      <sheetName val="PMA-PAGA"/>
      <sheetName val="PLAN M.T."/>
      <sheetName val="CARACT VIAL"/>
      <sheetName val="FM"/>
      <sheetName val="INTERV"/>
      <sheetName val="310.1"/>
      <sheetName val="320,1"/>
      <sheetName val="600.4 P"/>
      <sheetName val="630.4"/>
      <sheetName val="630.4."/>
      <sheetName val="630.7"/>
      <sheetName val="640,1,3"/>
      <sheetName val="610.1"/>
      <sheetName val="661.1"/>
      <sheetName val="630.6"/>
      <sheetName val="635.1P"/>
      <sheetName val="Mat"/>
      <sheetName val="DIST. ACARREO"/>
      <sheetName val="Equi"/>
      <sheetName val="M,Obra"/>
    </sheetNames>
    <sheetDataSet>
      <sheetData sheetId="0">
        <row r="1">
          <cell r="B1" t="str">
            <v>MEJORAMIENTO CON PLACA HUELLA DE LA VIA LA CONCEPCION - SAN LUIS BAJO, PARA LA IMPLEMENTACION DEL ACUERDO DE PAZ EN EL MUNICIPIO DE TANGUA DEPARTAMENTO DE NARIÑO</v>
          </cell>
        </row>
        <row r="43">
          <cell r="B43" t="str">
            <v>ING. OSWALDO ANTONIO OJEDA HIDALGO</v>
          </cell>
        </row>
        <row r="44">
          <cell r="B44" t="str">
            <v>M.P. 19202-18034 CAU.</v>
          </cell>
        </row>
      </sheetData>
      <sheetData sheetId="1"/>
      <sheetData sheetId="2"/>
      <sheetData sheetId="3"/>
      <sheetData sheetId="4"/>
      <sheetData sheetId="5"/>
      <sheetData sheetId="6"/>
      <sheetData sheetId="7"/>
      <sheetData sheetId="8"/>
      <sheetData sheetId="9"/>
      <sheetData sheetId="10"/>
      <sheetData sheetId="11">
        <row r="46">
          <cell r="H46">
            <v>0.245</v>
          </cell>
        </row>
        <row r="52">
          <cell r="H52">
            <v>0.05</v>
          </cell>
        </row>
        <row r="55">
          <cell r="H55">
            <v>2.5000000000000001E-2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
          <cell r="C10">
            <v>42500</v>
          </cell>
        </row>
        <row r="12">
          <cell r="C12">
            <v>35000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IDEROS (2)"/>
      <sheetName val="FACTORES"/>
      <sheetName val="SUMA TUBERIA"/>
      <sheetName val="TUBERIA"/>
      <sheetName val="TUB SUMID"/>
      <sheetName val="SUMIDEROS"/>
      <sheetName val="PAVIMENTO"/>
      <sheetName val="RESUMEN"/>
      <sheetName val="VILLA SAGRA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_BT"/>
      <sheetName val="P_XHHW"/>
      <sheetName val="XHHW-2"/>
      <sheetName val="P_RHW-2"/>
      <sheetName val="RHW-2 0.6"/>
      <sheetName val="RHW-2 2"/>
      <sheetName val="P_USE-2"/>
      <sheetName val="USE-2"/>
      <sheetName val="P_TTU"/>
      <sheetName val="TTU 0.6"/>
      <sheetName val="TTU 2"/>
      <sheetName val="POTENCIA"/>
      <sheetName val="PVC-PVC"/>
      <sheetName val="PVC-PVC PC"/>
      <sheetName val="PVC-PVC_AH"/>
      <sheetName val="PVC-PVC_AF"/>
      <sheetName val="PVC-PVC_IL"/>
      <sheetName val="XLPE-PVC"/>
      <sheetName val="XLPE-PVC PC"/>
      <sheetName val="XLPE-PVC_AH"/>
      <sheetName val="XLPE-PVC_IL"/>
      <sheetName val="XLPE-PVC_AF"/>
      <sheetName val="POT mm2"/>
      <sheetName val="P_MLPLX"/>
      <sheetName val="DPLX"/>
      <sheetName val="TPLX"/>
      <sheetName val="QPLX"/>
      <sheetName val="NM GC-SW"/>
      <sheetName val="P_SEU_SER"/>
      <sheetName val="SER"/>
      <sheetName val="P_APE_ARE"/>
      <sheetName val="ARE"/>
      <sheetName val="APE"/>
      <sheetName val="Cab"/>
      <sheetName val="CG"/>
      <sheetName val="AMPACITY"/>
      <sheetName val="FACTORES"/>
      <sheetName val="Esp"/>
      <sheetName val="TPLX UD 600"/>
      <sheetName val="Single UD 600"/>
      <sheetName val="TPLX-Cu"/>
      <sheetName val="SER-AL"/>
      <sheetName val="S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4">
          <cell r="E4">
            <v>18</v>
          </cell>
          <cell r="F4">
            <v>1.0236873428326527</v>
          </cell>
          <cell r="G4">
            <v>7</v>
          </cell>
          <cell r="H4">
            <v>0.38607999999999998</v>
          </cell>
          <cell r="I4">
            <v>1.1582399999999999</v>
          </cell>
          <cell r="J4">
            <v>1.1234928</v>
          </cell>
          <cell r="K4">
            <v>19</v>
          </cell>
          <cell r="L4">
            <v>0.23367999999999997</v>
          </cell>
          <cell r="M4">
            <v>1.1683999999999999</v>
          </cell>
          <cell r="N4">
            <v>1.1333479999999998</v>
          </cell>
          <cell r="O4">
            <v>19</v>
          </cell>
          <cell r="P4">
            <v>0.254</v>
          </cell>
          <cell r="Q4">
            <v>0.18592800000000001</v>
          </cell>
          <cell r="R4">
            <v>1.133856</v>
          </cell>
          <cell r="S4">
            <v>1.09984032</v>
          </cell>
          <cell r="T4">
            <v>0.82304683373131526</v>
          </cell>
          <cell r="U4">
            <v>16</v>
          </cell>
          <cell r="V4">
            <v>0.254</v>
          </cell>
          <cell r="W4">
            <v>1.22</v>
          </cell>
        </row>
        <row r="5">
          <cell r="E5">
            <v>16</v>
          </cell>
          <cell r="F5">
            <v>1.2908459058322823</v>
          </cell>
          <cell r="G5">
            <v>7</v>
          </cell>
          <cell r="H5">
            <v>0.48767999999999995</v>
          </cell>
          <cell r="I5">
            <v>1.4630399999999999</v>
          </cell>
          <cell r="J5">
            <v>1.4191487999999999</v>
          </cell>
          <cell r="K5">
            <v>19</v>
          </cell>
          <cell r="L5">
            <v>0.29717999999999994</v>
          </cell>
          <cell r="M5">
            <v>1.4858999999999998</v>
          </cell>
          <cell r="N5">
            <v>1.4413229999999997</v>
          </cell>
          <cell r="O5">
            <v>19</v>
          </cell>
          <cell r="P5">
            <v>0.32003999999999999</v>
          </cell>
          <cell r="Q5">
            <v>0.23426928</v>
          </cell>
          <cell r="R5">
            <v>1.4286585599999999</v>
          </cell>
          <cell r="S5">
            <v>1.3857988031999999</v>
          </cell>
          <cell r="T5">
            <v>1.3086957277552644</v>
          </cell>
          <cell r="U5">
            <v>26</v>
          </cell>
          <cell r="V5">
            <v>0.254</v>
          </cell>
          <cell r="W5">
            <v>1.52</v>
          </cell>
        </row>
        <row r="6">
          <cell r="E6">
            <v>14</v>
          </cell>
          <cell r="F6">
            <v>1.6277266337915062</v>
          </cell>
          <cell r="G6">
            <v>7</v>
          </cell>
          <cell r="H6">
            <v>0.61468</v>
          </cell>
          <cell r="I6">
            <v>1.8440400000000001</v>
          </cell>
          <cell r="J6">
            <v>1.7887188000000001</v>
          </cell>
          <cell r="K6">
            <v>19</v>
          </cell>
          <cell r="L6">
            <v>0.37337999999999999</v>
          </cell>
          <cell r="M6">
            <v>1.8669</v>
          </cell>
          <cell r="N6">
            <v>1.8108929999999999</v>
          </cell>
          <cell r="O6">
            <v>19</v>
          </cell>
          <cell r="P6">
            <v>0.40386</v>
          </cell>
          <cell r="Q6">
            <v>0.29562551999999997</v>
          </cell>
          <cell r="R6">
            <v>1.8028310400000001</v>
          </cell>
          <cell r="S6">
            <v>1.7487461088</v>
          </cell>
          <cell r="T6">
            <v>2.0809077170983796</v>
          </cell>
          <cell r="U6">
            <v>41</v>
          </cell>
          <cell r="V6">
            <v>0.254</v>
          </cell>
          <cell r="W6">
            <v>1.98</v>
          </cell>
        </row>
        <row r="7">
          <cell r="E7">
            <v>12</v>
          </cell>
          <cell r="F7">
            <v>2.0525253884939483</v>
          </cell>
          <cell r="G7">
            <v>7</v>
          </cell>
          <cell r="H7">
            <v>0.77469999999999994</v>
          </cell>
          <cell r="I7">
            <v>2.3240999999999996</v>
          </cell>
          <cell r="J7">
            <v>2.2543769999999994</v>
          </cell>
          <cell r="K7">
            <v>19</v>
          </cell>
          <cell r="L7">
            <v>0.46989999999999998</v>
          </cell>
          <cell r="M7">
            <v>2.3494999999999999</v>
          </cell>
          <cell r="N7">
            <v>2.2790149999999998</v>
          </cell>
          <cell r="O7">
            <v>19</v>
          </cell>
          <cell r="P7">
            <v>0.51053999999999999</v>
          </cell>
          <cell r="Q7">
            <v>0.37371527999999998</v>
          </cell>
          <cell r="R7">
            <v>2.2790505599999999</v>
          </cell>
          <cell r="S7">
            <v>2.2106790431999999</v>
          </cell>
          <cell r="T7">
            <v>3.3087728761114783</v>
          </cell>
          <cell r="U7">
            <v>65</v>
          </cell>
          <cell r="V7">
            <v>0.254</v>
          </cell>
          <cell r="W7">
            <v>2.57</v>
          </cell>
        </row>
        <row r="8">
          <cell r="E8">
            <v>10</v>
          </cell>
          <cell r="F8">
            <v>2.5881867280128654</v>
          </cell>
          <cell r="G8">
            <v>7</v>
          </cell>
          <cell r="H8">
            <v>0.97789999999999999</v>
          </cell>
          <cell r="I8">
            <v>2.9337</v>
          </cell>
          <cell r="J8">
            <v>2.8456889999999997</v>
          </cell>
          <cell r="K8">
            <v>19</v>
          </cell>
          <cell r="L8">
            <v>0.59435999999999989</v>
          </cell>
          <cell r="M8">
            <v>2.9717999999999996</v>
          </cell>
          <cell r="N8">
            <v>2.8826459999999994</v>
          </cell>
          <cell r="O8">
            <v>19</v>
          </cell>
          <cell r="P8">
            <v>0.64261999999999997</v>
          </cell>
          <cell r="Q8">
            <v>0.47039784000000001</v>
          </cell>
          <cell r="R8">
            <v>2.8686556799999998</v>
          </cell>
          <cell r="S8">
            <v>2.7825960095999998</v>
          </cell>
          <cell r="T8">
            <v>5.2611549545103795</v>
          </cell>
          <cell r="U8">
            <v>104</v>
          </cell>
          <cell r="V8">
            <v>0.254</v>
          </cell>
          <cell r="W8">
            <v>3.2</v>
          </cell>
        </row>
        <row r="9">
          <cell r="E9">
            <v>8</v>
          </cell>
          <cell r="F9">
            <v>3.2636432058836342</v>
          </cell>
          <cell r="G9">
            <v>7</v>
          </cell>
          <cell r="H9">
            <v>1.23444</v>
          </cell>
          <cell r="I9">
            <v>3.7033199999999997</v>
          </cell>
          <cell r="J9">
            <v>3.5922203999999995</v>
          </cell>
          <cell r="K9">
            <v>19</v>
          </cell>
          <cell r="L9">
            <v>0.74929999999999997</v>
          </cell>
          <cell r="M9">
            <v>3.7464999999999997</v>
          </cell>
          <cell r="N9">
            <v>3.6341049999999995</v>
          </cell>
          <cell r="O9">
            <v>19</v>
          </cell>
          <cell r="P9">
            <v>0.81025999999999998</v>
          </cell>
          <cell r="Q9">
            <v>0.59311031999999997</v>
          </cell>
          <cell r="R9">
            <v>3.6170006399999997</v>
          </cell>
          <cell r="S9">
            <v>3.5084906207999995</v>
          </cell>
          <cell r="T9">
            <v>8.3655640600810273</v>
          </cell>
          <cell r="U9">
            <v>24</v>
          </cell>
          <cell r="V9">
            <v>0.254</v>
          </cell>
          <cell r="W9">
            <v>3.99</v>
          </cell>
          <cell r="X9">
            <v>3.4</v>
          </cell>
        </row>
        <row r="10">
          <cell r="E10">
            <v>6</v>
          </cell>
          <cell r="F10">
            <v>4.1153780985069099</v>
          </cell>
          <cell r="G10">
            <v>7</v>
          </cell>
          <cell r="H10">
            <v>1.5544800000000001</v>
          </cell>
          <cell r="I10">
            <v>4.6634400000000005</v>
          </cell>
          <cell r="J10">
            <v>4.5235368000000005</v>
          </cell>
          <cell r="K10">
            <v>19</v>
          </cell>
          <cell r="L10">
            <v>0.94488000000000005</v>
          </cell>
          <cell r="M10">
            <v>4.7244000000000002</v>
          </cell>
          <cell r="N10">
            <v>4.582668</v>
          </cell>
          <cell r="O10">
            <v>19</v>
          </cell>
          <cell r="P10">
            <v>1.02108</v>
          </cell>
          <cell r="Q10">
            <v>0.74743055999999997</v>
          </cell>
          <cell r="R10">
            <v>4.5581011199999999</v>
          </cell>
          <cell r="S10">
            <v>4.4213580863999997</v>
          </cell>
          <cell r="T10">
            <v>13.301767890969138</v>
          </cell>
          <cell r="U10">
            <v>38</v>
          </cell>
          <cell r="V10">
            <v>0.254</v>
          </cell>
          <cell r="W10">
            <v>5.33</v>
          </cell>
          <cell r="X10">
            <v>4.29</v>
          </cell>
        </row>
        <row r="11">
          <cell r="E11">
            <v>4</v>
          </cell>
          <cell r="F11">
            <v>5.1893959680205972</v>
          </cell>
          <cell r="G11">
            <v>7</v>
          </cell>
          <cell r="H11">
            <v>1.96088</v>
          </cell>
          <cell r="I11">
            <v>5.8826400000000003</v>
          </cell>
          <cell r="J11">
            <v>5.7061608000000001</v>
          </cell>
          <cell r="K11">
            <v>19</v>
          </cell>
          <cell r="L11">
            <v>1.19126</v>
          </cell>
          <cell r="M11">
            <v>5.9562999999999997</v>
          </cell>
          <cell r="N11">
            <v>5.7776109999999994</v>
          </cell>
          <cell r="O11">
            <v>19</v>
          </cell>
          <cell r="P11">
            <v>1.2877799999999999</v>
          </cell>
          <cell r="Q11">
            <v>0.94265495999999993</v>
          </cell>
          <cell r="R11">
            <v>5.7486499200000001</v>
          </cell>
          <cell r="S11">
            <v>5.5761904223999998</v>
          </cell>
          <cell r="T11">
            <v>21.150639425442844</v>
          </cell>
          <cell r="U11">
            <v>60</v>
          </cell>
          <cell r="V11">
            <v>0.254</v>
          </cell>
          <cell r="W11">
            <v>6.91</v>
          </cell>
          <cell r="X11">
            <v>5.41</v>
          </cell>
        </row>
        <row r="12">
          <cell r="E12">
            <v>2</v>
          </cell>
          <cell r="F12">
            <v>6.5437074962027859</v>
          </cell>
          <cell r="G12">
            <v>7</v>
          </cell>
          <cell r="H12">
            <v>2.4739599999999999</v>
          </cell>
          <cell r="I12">
            <v>7.4218799999999998</v>
          </cell>
          <cell r="J12">
            <v>7.1992235999999998</v>
          </cell>
          <cell r="K12">
            <v>19</v>
          </cell>
          <cell r="L12">
            <v>1.5011399999999999</v>
          </cell>
          <cell r="M12">
            <v>7.5056999999999992</v>
          </cell>
          <cell r="N12">
            <v>7.2805289999999987</v>
          </cell>
          <cell r="O12">
            <v>19</v>
          </cell>
          <cell r="P12">
            <v>1.6255999999999999</v>
          </cell>
          <cell r="Q12">
            <v>1.1899392</v>
          </cell>
          <cell r="R12">
            <v>7.2566783999999993</v>
          </cell>
          <cell r="S12">
            <v>7.0389780479999988</v>
          </cell>
          <cell r="T12">
            <v>33.630834019349621</v>
          </cell>
          <cell r="U12">
            <v>35</v>
          </cell>
          <cell r="V12">
            <v>0.254</v>
          </cell>
          <cell r="W12">
            <v>8.59</v>
          </cell>
          <cell r="X12">
            <v>6.82</v>
          </cell>
        </row>
        <row r="13">
          <cell r="E13">
            <v>1</v>
          </cell>
          <cell r="F13">
            <v>7.3481398321757503</v>
          </cell>
          <cell r="G13">
            <v>19</v>
          </cell>
          <cell r="H13">
            <v>1.6865600000000001</v>
          </cell>
          <cell r="I13">
            <v>8.4328000000000003</v>
          </cell>
          <cell r="J13">
            <v>8.1798160000000006</v>
          </cell>
          <cell r="K13">
            <v>37</v>
          </cell>
          <cell r="L13">
            <v>1.2090399999999999</v>
          </cell>
          <cell r="M13">
            <v>8.4632799999999992</v>
          </cell>
          <cell r="N13">
            <v>8.2093815999999986</v>
          </cell>
          <cell r="O13">
            <v>19</v>
          </cell>
          <cell r="P13">
            <v>1.8237199999999998</v>
          </cell>
          <cell r="Q13">
            <v>1.3349630399999999</v>
          </cell>
          <cell r="R13">
            <v>8.1410860799999991</v>
          </cell>
          <cell r="S13">
            <v>7.8968534975999987</v>
          </cell>
          <cell r="T13">
            <v>42.407698705618671</v>
          </cell>
          <cell r="U13">
            <v>44</v>
          </cell>
          <cell r="V13">
            <v>0.254</v>
          </cell>
          <cell r="W13">
            <v>10.1</v>
          </cell>
          <cell r="X13">
            <v>7.61</v>
          </cell>
        </row>
        <row r="14">
          <cell r="E14" t="str">
            <v>1/0</v>
          </cell>
          <cell r="F14">
            <v>8.2514628021714636</v>
          </cell>
          <cell r="G14">
            <v>19</v>
          </cell>
          <cell r="H14">
            <v>1.8922999999999999</v>
          </cell>
          <cell r="I14">
            <v>9.4614999999999991</v>
          </cell>
          <cell r="J14">
            <v>9.1776549999999997</v>
          </cell>
          <cell r="K14">
            <v>37</v>
          </cell>
          <cell r="L14">
            <v>1.35636</v>
          </cell>
          <cell r="M14">
            <v>9.4945199999999996</v>
          </cell>
          <cell r="N14">
            <v>9.2096843999999987</v>
          </cell>
          <cell r="O14">
            <v>19</v>
          </cell>
          <cell r="P14">
            <v>2.0497800000000002</v>
          </cell>
          <cell r="Q14">
            <v>1.5004389599999999</v>
          </cell>
          <cell r="R14">
            <v>9.1502179199999993</v>
          </cell>
          <cell r="S14">
            <v>8.8757113823999987</v>
          </cell>
          <cell r="T14">
            <v>53.475120732117652</v>
          </cell>
          <cell r="X14">
            <v>8.64</v>
          </cell>
        </row>
        <row r="15">
          <cell r="E15" t="str">
            <v>2/0</v>
          </cell>
          <cell r="F15">
            <v>9.265833249046814</v>
          </cell>
          <cell r="G15">
            <v>19</v>
          </cell>
          <cell r="H15">
            <v>2.1259800000000002</v>
          </cell>
          <cell r="I15">
            <v>10.629900000000001</v>
          </cell>
          <cell r="J15">
            <v>10.311003000000001</v>
          </cell>
          <cell r="K15">
            <v>37</v>
          </cell>
          <cell r="L15">
            <v>1.524</v>
          </cell>
          <cell r="M15">
            <v>10.667999999999999</v>
          </cell>
          <cell r="N15">
            <v>10.347959999999999</v>
          </cell>
          <cell r="O15">
            <v>19</v>
          </cell>
          <cell r="P15">
            <v>2.30124</v>
          </cell>
          <cell r="Q15">
            <v>1.6845076799999998</v>
          </cell>
          <cell r="R15">
            <v>10.272735359999999</v>
          </cell>
          <cell r="S15">
            <v>9.9645532991999985</v>
          </cell>
          <cell r="T15">
            <v>67.430882235910801</v>
          </cell>
          <cell r="X15">
            <v>9.59</v>
          </cell>
        </row>
        <row r="16">
          <cell r="E16" t="str">
            <v>3/0</v>
          </cell>
          <cell r="F16">
            <v>10.404902483053986</v>
          </cell>
          <cell r="G16">
            <v>19</v>
          </cell>
          <cell r="H16">
            <v>2.3875999999999999</v>
          </cell>
          <cell r="I16">
            <v>11.937999999999999</v>
          </cell>
          <cell r="J16">
            <v>11.579859999999998</v>
          </cell>
          <cell r="K16">
            <v>37</v>
          </cell>
          <cell r="L16">
            <v>1.7094199999999999</v>
          </cell>
          <cell r="M16">
            <v>11.96594</v>
          </cell>
          <cell r="N16">
            <v>11.606961799999999</v>
          </cell>
          <cell r="O16">
            <v>19</v>
          </cell>
          <cell r="P16">
            <v>2.58318</v>
          </cell>
          <cell r="Q16">
            <v>1.89088776</v>
          </cell>
          <cell r="R16">
            <v>11.53131552</v>
          </cell>
          <cell r="S16">
            <v>11.185376054399999</v>
          </cell>
          <cell r="T16">
            <v>85.028772574277681</v>
          </cell>
          <cell r="X16">
            <v>10.77</v>
          </cell>
        </row>
        <row r="17">
          <cell r="E17" t="str">
            <v>4/0</v>
          </cell>
          <cell r="F17">
            <v>11.683999999999999</v>
          </cell>
          <cell r="G17">
            <v>19</v>
          </cell>
          <cell r="H17">
            <v>2.6797</v>
          </cell>
          <cell r="I17">
            <v>13.3985</v>
          </cell>
          <cell r="J17">
            <v>12.996544999999999</v>
          </cell>
          <cell r="K17">
            <v>37</v>
          </cell>
          <cell r="L17">
            <v>1.9202399999999997</v>
          </cell>
          <cell r="M17">
            <v>13.441679999999998</v>
          </cell>
          <cell r="N17">
            <v>13.038429599999997</v>
          </cell>
          <cell r="O17">
            <v>19</v>
          </cell>
          <cell r="P17">
            <v>2.9006799999999999</v>
          </cell>
          <cell r="Q17">
            <v>2.1232977599999998</v>
          </cell>
          <cell r="R17">
            <v>12.94863552</v>
          </cell>
          <cell r="S17">
            <v>12.560176454399999</v>
          </cell>
          <cell r="T17">
            <v>107.2193025770305</v>
          </cell>
          <cell r="X17">
            <v>12.1</v>
          </cell>
        </row>
        <row r="18">
          <cell r="E18">
            <v>250</v>
          </cell>
          <cell r="G18">
            <v>37</v>
          </cell>
          <cell r="H18">
            <v>2.0878800000000002</v>
          </cell>
          <cell r="I18">
            <v>14.615160000000001</v>
          </cell>
          <cell r="J18">
            <v>14.176705200000001</v>
          </cell>
          <cell r="K18">
            <v>61</v>
          </cell>
          <cell r="L18">
            <v>1.6255999999999999</v>
          </cell>
          <cell r="M18">
            <v>14.6304</v>
          </cell>
          <cell r="N18">
            <v>14.191488</v>
          </cell>
          <cell r="O18">
            <v>19</v>
          </cell>
          <cell r="P18">
            <v>3.1546799999999999</v>
          </cell>
          <cell r="Q18">
            <v>2.3092257599999999</v>
          </cell>
          <cell r="R18">
            <v>14.082491520000001</v>
          </cell>
          <cell r="S18">
            <v>13.660016774400001</v>
          </cell>
          <cell r="T18">
            <v>126.67500000000001</v>
          </cell>
          <cell r="X18">
            <v>13.23</v>
          </cell>
        </row>
        <row r="19">
          <cell r="E19">
            <v>300</v>
          </cell>
          <cell r="G19">
            <v>37</v>
          </cell>
          <cell r="H19">
            <v>2.286</v>
          </cell>
          <cell r="I19">
            <v>16.001999999999999</v>
          </cell>
          <cell r="J19">
            <v>15.521939999999999</v>
          </cell>
          <cell r="K19">
            <v>61</v>
          </cell>
          <cell r="L19">
            <v>1.7805399999999998</v>
          </cell>
          <cell r="M19">
            <v>16.024859999999997</v>
          </cell>
          <cell r="N19">
            <v>15.544114199999996</v>
          </cell>
          <cell r="O19">
            <v>19</v>
          </cell>
          <cell r="P19">
            <v>3.4543999999999997</v>
          </cell>
          <cell r="Q19">
            <v>2.5286207999999997</v>
          </cell>
          <cell r="R19">
            <v>15.420441599999998</v>
          </cell>
          <cell r="S19">
            <v>14.957828351999998</v>
          </cell>
          <cell r="T19">
            <v>152.01000000000002</v>
          </cell>
          <cell r="X19">
            <v>14.5</v>
          </cell>
        </row>
        <row r="20">
          <cell r="E20">
            <v>350</v>
          </cell>
          <cell r="G20">
            <v>37</v>
          </cell>
          <cell r="H20">
            <v>2.4714199999999997</v>
          </cell>
          <cell r="I20">
            <v>17.299939999999999</v>
          </cell>
          <cell r="J20">
            <v>16.780941799999997</v>
          </cell>
          <cell r="K20">
            <v>61</v>
          </cell>
          <cell r="L20">
            <v>1.9227799999999999</v>
          </cell>
          <cell r="M20">
            <v>17.305019999999999</v>
          </cell>
          <cell r="N20">
            <v>16.785869399999999</v>
          </cell>
          <cell r="O20">
            <v>19</v>
          </cell>
          <cell r="P20">
            <v>3.7312599999999998</v>
          </cell>
          <cell r="Q20">
            <v>2.73128232</v>
          </cell>
          <cell r="R20">
            <v>16.65634464</v>
          </cell>
          <cell r="S20">
            <v>16.1566543008</v>
          </cell>
          <cell r="T20">
            <v>177.34500000000003</v>
          </cell>
          <cell r="X20">
            <v>15.66</v>
          </cell>
        </row>
        <row r="21">
          <cell r="E21">
            <v>400</v>
          </cell>
          <cell r="G21">
            <v>37</v>
          </cell>
          <cell r="H21">
            <v>2.6415999999999999</v>
          </cell>
          <cell r="I21">
            <v>18.491199999999999</v>
          </cell>
          <cell r="J21">
            <v>17.936463999999997</v>
          </cell>
          <cell r="K21">
            <v>61</v>
          </cell>
          <cell r="L21">
            <v>2.0573999999999999</v>
          </cell>
          <cell r="M21">
            <v>18.5166</v>
          </cell>
          <cell r="N21">
            <v>17.961102</v>
          </cell>
          <cell r="O21">
            <v>19</v>
          </cell>
          <cell r="P21">
            <v>3.9903399999999998</v>
          </cell>
          <cell r="Q21">
            <v>2.9209288799999995</v>
          </cell>
          <cell r="R21">
            <v>17.812877759999999</v>
          </cell>
          <cell r="S21">
            <v>17.278491427199999</v>
          </cell>
          <cell r="T21">
            <v>202.68</v>
          </cell>
          <cell r="X21">
            <v>16.739999999999998</v>
          </cell>
        </row>
        <row r="22">
          <cell r="E22">
            <v>500</v>
          </cell>
          <cell r="G22">
            <v>37</v>
          </cell>
          <cell r="H22">
            <v>2.9514800000000001</v>
          </cell>
          <cell r="I22">
            <v>20.660360000000001</v>
          </cell>
          <cell r="J22">
            <v>20.040549200000001</v>
          </cell>
          <cell r="K22">
            <v>61</v>
          </cell>
          <cell r="L22">
            <v>2.2986999999999997</v>
          </cell>
          <cell r="M22">
            <v>20.688299999999998</v>
          </cell>
          <cell r="N22">
            <v>20.067650999999998</v>
          </cell>
          <cell r="O22">
            <v>19</v>
          </cell>
          <cell r="P22">
            <v>4.4602399999999998</v>
          </cell>
          <cell r="Q22">
            <v>3.2648956799999995</v>
          </cell>
          <cell r="R22">
            <v>19.910511360000001</v>
          </cell>
          <cell r="S22">
            <v>19.313196019199999</v>
          </cell>
          <cell r="T22">
            <v>253.35000000000002</v>
          </cell>
          <cell r="X22">
            <v>18.71</v>
          </cell>
        </row>
        <row r="23">
          <cell r="E23">
            <v>600</v>
          </cell>
          <cell r="G23">
            <v>61</v>
          </cell>
          <cell r="H23">
            <v>2.5196800000000001</v>
          </cell>
          <cell r="I23">
            <v>22.677120000000002</v>
          </cell>
          <cell r="J23">
            <v>21.996806400000001</v>
          </cell>
          <cell r="K23">
            <v>91</v>
          </cell>
          <cell r="L23">
            <v>2.0624799999999999</v>
          </cell>
          <cell r="M23">
            <v>22.687279999999998</v>
          </cell>
          <cell r="N23">
            <v>22.006661599999997</v>
          </cell>
          <cell r="T23">
            <v>304.02000000000004</v>
          </cell>
          <cell r="X23">
            <v>20.59</v>
          </cell>
        </row>
        <row r="24">
          <cell r="E24">
            <v>700</v>
          </cell>
          <cell r="G24">
            <v>61</v>
          </cell>
          <cell r="H24">
            <v>2.7203399999999998</v>
          </cell>
          <cell r="I24">
            <v>24.483059999999998</v>
          </cell>
          <cell r="J24">
            <v>23.748568199999998</v>
          </cell>
          <cell r="K24">
            <v>91</v>
          </cell>
          <cell r="L24">
            <v>2.2275800000000001</v>
          </cell>
          <cell r="M24">
            <v>24.50338</v>
          </cell>
          <cell r="N24">
            <v>23.768278599999999</v>
          </cell>
          <cell r="T24">
            <v>354.69000000000005</v>
          </cell>
          <cell r="X24">
            <v>22.24</v>
          </cell>
        </row>
        <row r="25">
          <cell r="E25">
            <v>750</v>
          </cell>
          <cell r="G25">
            <v>61</v>
          </cell>
          <cell r="H25">
            <v>2.8168600000000001</v>
          </cell>
          <cell r="I25">
            <v>25.351739999999999</v>
          </cell>
          <cell r="J25">
            <v>24.5911878</v>
          </cell>
          <cell r="K25">
            <v>91</v>
          </cell>
          <cell r="L25">
            <v>2.3063199999999999</v>
          </cell>
          <cell r="M25">
            <v>25.369519999999998</v>
          </cell>
          <cell r="N25">
            <v>24.608434399999997</v>
          </cell>
          <cell r="T25">
            <v>380.02500000000003</v>
          </cell>
          <cell r="X25">
            <v>23.02</v>
          </cell>
        </row>
        <row r="26">
          <cell r="E26">
            <v>800</v>
          </cell>
          <cell r="G26">
            <v>61</v>
          </cell>
          <cell r="H26">
            <v>2.9082999999999997</v>
          </cell>
          <cell r="I26">
            <v>26.174699999999998</v>
          </cell>
          <cell r="J26">
            <v>25.389458999999999</v>
          </cell>
          <cell r="K26">
            <v>91</v>
          </cell>
          <cell r="L26">
            <v>2.38252</v>
          </cell>
          <cell r="M26">
            <v>26.207719999999998</v>
          </cell>
          <cell r="N26">
            <v>25.421488399999998</v>
          </cell>
          <cell r="T26">
            <v>405.36</v>
          </cell>
          <cell r="X26">
            <v>23.78</v>
          </cell>
        </row>
        <row r="27">
          <cell r="E27">
            <v>900</v>
          </cell>
          <cell r="G27">
            <v>61</v>
          </cell>
          <cell r="H27">
            <v>3.0861000000000001</v>
          </cell>
          <cell r="I27">
            <v>27.774900000000002</v>
          </cell>
          <cell r="J27">
            <v>26.941653000000002</v>
          </cell>
          <cell r="K27">
            <v>91</v>
          </cell>
          <cell r="L27">
            <v>2.5247600000000001</v>
          </cell>
          <cell r="M27">
            <v>27.772360000000003</v>
          </cell>
          <cell r="N27">
            <v>26.939189200000001</v>
          </cell>
          <cell r="T27">
            <v>456.03000000000003</v>
          </cell>
          <cell r="X27">
            <v>25.22</v>
          </cell>
        </row>
        <row r="28">
          <cell r="E28">
            <v>1000</v>
          </cell>
          <cell r="G28">
            <v>61</v>
          </cell>
          <cell r="H28">
            <v>3.2511999999999999</v>
          </cell>
          <cell r="I28">
            <v>29.2608</v>
          </cell>
          <cell r="J28">
            <v>28.382975999999999</v>
          </cell>
          <cell r="K28">
            <v>91</v>
          </cell>
          <cell r="L28">
            <v>2.6619199999999998</v>
          </cell>
          <cell r="M28">
            <v>29.281119999999998</v>
          </cell>
          <cell r="N28">
            <v>28.402686399999997</v>
          </cell>
          <cell r="T28">
            <v>506.70000000000005</v>
          </cell>
          <cell r="X28">
            <v>26.58</v>
          </cell>
        </row>
      </sheetData>
      <sheetData sheetId="34" refreshError="1"/>
      <sheetData sheetId="35" refreshError="1">
        <row r="6">
          <cell r="B6">
            <v>14</v>
          </cell>
          <cell r="C6">
            <v>2.0809077170983796</v>
          </cell>
          <cell r="D6">
            <v>25</v>
          </cell>
          <cell r="E6">
            <v>20</v>
          </cell>
          <cell r="F6">
            <v>30</v>
          </cell>
          <cell r="G6">
            <v>20</v>
          </cell>
          <cell r="H6">
            <v>35</v>
          </cell>
          <cell r="I6">
            <v>25</v>
          </cell>
        </row>
        <row r="7">
          <cell r="B7">
            <v>12</v>
          </cell>
          <cell r="C7">
            <v>3.3087728761114783</v>
          </cell>
          <cell r="D7">
            <v>30</v>
          </cell>
          <cell r="E7">
            <v>25</v>
          </cell>
          <cell r="F7">
            <v>35</v>
          </cell>
          <cell r="G7">
            <v>25</v>
          </cell>
          <cell r="H7">
            <v>40</v>
          </cell>
          <cell r="I7">
            <v>30</v>
          </cell>
        </row>
        <row r="8">
          <cell r="B8">
            <v>10</v>
          </cell>
          <cell r="C8">
            <v>5.2611549545103795</v>
          </cell>
          <cell r="D8">
            <v>40</v>
          </cell>
          <cell r="E8">
            <v>30</v>
          </cell>
          <cell r="F8">
            <v>50</v>
          </cell>
          <cell r="G8">
            <v>35</v>
          </cell>
          <cell r="H8">
            <v>55</v>
          </cell>
          <cell r="I8">
            <v>40</v>
          </cell>
        </row>
        <row r="9">
          <cell r="B9">
            <v>8</v>
          </cell>
          <cell r="C9">
            <v>8.3655640600810273</v>
          </cell>
          <cell r="D9">
            <v>60</v>
          </cell>
          <cell r="E9">
            <v>40</v>
          </cell>
          <cell r="F9">
            <v>70</v>
          </cell>
          <cell r="G9">
            <v>50</v>
          </cell>
          <cell r="H9">
            <v>80</v>
          </cell>
          <cell r="I9">
            <v>55</v>
          </cell>
        </row>
        <row r="10">
          <cell r="B10">
            <v>6</v>
          </cell>
          <cell r="C10">
            <v>13.301767890969138</v>
          </cell>
          <cell r="D10">
            <v>80</v>
          </cell>
          <cell r="E10">
            <v>55</v>
          </cell>
          <cell r="F10">
            <v>95</v>
          </cell>
          <cell r="G10">
            <v>65</v>
          </cell>
          <cell r="H10">
            <v>105</v>
          </cell>
          <cell r="I10">
            <v>75</v>
          </cell>
        </row>
        <row r="11">
          <cell r="B11">
            <v>4</v>
          </cell>
          <cell r="C11">
            <v>21.150639425442844</v>
          </cell>
          <cell r="D11">
            <v>105</v>
          </cell>
          <cell r="E11">
            <v>70</v>
          </cell>
          <cell r="F11">
            <v>125</v>
          </cell>
          <cell r="G11">
            <v>85</v>
          </cell>
          <cell r="H11">
            <v>140</v>
          </cell>
          <cell r="I11">
            <v>95</v>
          </cell>
        </row>
        <row r="12">
          <cell r="B12">
            <v>2</v>
          </cell>
          <cell r="C12">
            <v>33.630834019349621</v>
          </cell>
          <cell r="D12">
            <v>140</v>
          </cell>
          <cell r="E12">
            <v>95</v>
          </cell>
          <cell r="F12">
            <v>170</v>
          </cell>
          <cell r="G12">
            <v>115</v>
          </cell>
          <cell r="H12">
            <v>190</v>
          </cell>
          <cell r="I12">
            <v>130</v>
          </cell>
        </row>
        <row r="13">
          <cell r="B13">
            <v>1</v>
          </cell>
          <cell r="C13">
            <v>42.407698705618671</v>
          </cell>
          <cell r="D13">
            <v>165</v>
          </cell>
          <cell r="E13">
            <v>110</v>
          </cell>
          <cell r="F13">
            <v>195</v>
          </cell>
          <cell r="G13">
            <v>130</v>
          </cell>
          <cell r="H13">
            <v>220</v>
          </cell>
          <cell r="I13">
            <v>150</v>
          </cell>
        </row>
        <row r="14">
          <cell r="B14" t="str">
            <v>1/0</v>
          </cell>
          <cell r="C14">
            <v>53.475120732117652</v>
          </cell>
          <cell r="D14">
            <v>195</v>
          </cell>
          <cell r="E14">
            <v>125</v>
          </cell>
          <cell r="F14">
            <v>230</v>
          </cell>
          <cell r="G14">
            <v>150</v>
          </cell>
          <cell r="H14">
            <v>260</v>
          </cell>
          <cell r="I14">
            <v>170</v>
          </cell>
        </row>
        <row r="15">
          <cell r="B15" t="str">
            <v>2/0</v>
          </cell>
          <cell r="C15">
            <v>67.430882235910801</v>
          </cell>
          <cell r="D15">
            <v>225</v>
          </cell>
          <cell r="E15">
            <v>145</v>
          </cell>
          <cell r="F15">
            <v>265</v>
          </cell>
          <cell r="G15">
            <v>175</v>
          </cell>
          <cell r="H15">
            <v>300</v>
          </cell>
          <cell r="I15">
            <v>195</v>
          </cell>
        </row>
        <row r="16">
          <cell r="B16" t="str">
            <v>3/0</v>
          </cell>
          <cell r="C16">
            <v>85.028772574277681</v>
          </cell>
          <cell r="D16">
            <v>260</v>
          </cell>
          <cell r="E16">
            <v>165</v>
          </cell>
          <cell r="F16">
            <v>310</v>
          </cell>
          <cell r="G16">
            <v>200</v>
          </cell>
          <cell r="H16">
            <v>350</v>
          </cell>
          <cell r="I16">
            <v>225</v>
          </cell>
        </row>
        <row r="17">
          <cell r="B17" t="str">
            <v>4/0</v>
          </cell>
          <cell r="C17">
            <v>107.2193025770305</v>
          </cell>
          <cell r="D17">
            <v>300</v>
          </cell>
          <cell r="E17">
            <v>195</v>
          </cell>
          <cell r="F17">
            <v>360</v>
          </cell>
          <cell r="G17">
            <v>230</v>
          </cell>
          <cell r="H17">
            <v>405</v>
          </cell>
          <cell r="I17">
            <v>260</v>
          </cell>
        </row>
        <row r="18">
          <cell r="B18">
            <v>250</v>
          </cell>
          <cell r="C18">
            <v>126.67500000000001</v>
          </cell>
          <cell r="D18">
            <v>340</v>
          </cell>
          <cell r="E18">
            <v>215</v>
          </cell>
          <cell r="F18">
            <v>405</v>
          </cell>
          <cell r="G18">
            <v>255</v>
          </cell>
          <cell r="H18">
            <v>455</v>
          </cell>
          <cell r="I18">
            <v>290</v>
          </cell>
        </row>
        <row r="19">
          <cell r="B19">
            <v>300</v>
          </cell>
          <cell r="C19">
            <v>152.01000000000002</v>
          </cell>
          <cell r="D19">
            <v>375</v>
          </cell>
          <cell r="E19">
            <v>240</v>
          </cell>
          <cell r="F19">
            <v>455</v>
          </cell>
          <cell r="G19">
            <v>285</v>
          </cell>
          <cell r="H19">
            <v>505</v>
          </cell>
          <cell r="I19">
            <v>320</v>
          </cell>
        </row>
        <row r="20">
          <cell r="B20">
            <v>350</v>
          </cell>
          <cell r="C20">
            <v>177.34500000000003</v>
          </cell>
          <cell r="D20">
            <v>420</v>
          </cell>
          <cell r="E20">
            <v>260</v>
          </cell>
          <cell r="F20">
            <v>505</v>
          </cell>
          <cell r="G20">
            <v>310</v>
          </cell>
          <cell r="H20">
            <v>570</v>
          </cell>
          <cell r="I20">
            <v>350</v>
          </cell>
        </row>
        <row r="21">
          <cell r="B21">
            <v>400</v>
          </cell>
          <cell r="C21">
            <v>202.68</v>
          </cell>
          <cell r="D21">
            <v>455</v>
          </cell>
          <cell r="E21">
            <v>280</v>
          </cell>
          <cell r="F21">
            <v>545</v>
          </cell>
          <cell r="G21">
            <v>335</v>
          </cell>
          <cell r="H21">
            <v>615</v>
          </cell>
          <cell r="I21">
            <v>380</v>
          </cell>
        </row>
        <row r="22">
          <cell r="B22">
            <v>500</v>
          </cell>
          <cell r="C22">
            <v>253.35000000000002</v>
          </cell>
          <cell r="D22">
            <v>515</v>
          </cell>
          <cell r="E22">
            <v>320</v>
          </cell>
          <cell r="F22">
            <v>620</v>
          </cell>
          <cell r="G22">
            <v>380</v>
          </cell>
          <cell r="H22">
            <v>700</v>
          </cell>
          <cell r="I22">
            <v>430</v>
          </cell>
        </row>
        <row r="23">
          <cell r="B23">
            <v>600</v>
          </cell>
          <cell r="C23">
            <v>304.02000000000004</v>
          </cell>
          <cell r="D23">
            <v>575</v>
          </cell>
          <cell r="E23">
            <v>355</v>
          </cell>
          <cell r="F23">
            <v>690</v>
          </cell>
          <cell r="G23">
            <v>420</v>
          </cell>
          <cell r="H23">
            <v>780</v>
          </cell>
          <cell r="I23">
            <v>475</v>
          </cell>
        </row>
        <row r="24">
          <cell r="B24">
            <v>700</v>
          </cell>
          <cell r="C24">
            <v>354.69000000000005</v>
          </cell>
          <cell r="D24">
            <v>630</v>
          </cell>
          <cell r="E24">
            <v>385</v>
          </cell>
          <cell r="F24">
            <v>755</v>
          </cell>
          <cell r="G24">
            <v>460</v>
          </cell>
          <cell r="H24">
            <v>855</v>
          </cell>
          <cell r="I24">
            <v>520</v>
          </cell>
        </row>
        <row r="25">
          <cell r="B25">
            <v>750</v>
          </cell>
          <cell r="C25">
            <v>380.02500000000003</v>
          </cell>
          <cell r="D25">
            <v>655</v>
          </cell>
          <cell r="E25">
            <v>400</v>
          </cell>
          <cell r="F25">
            <v>785</v>
          </cell>
          <cell r="G25">
            <v>475</v>
          </cell>
          <cell r="H25">
            <v>885</v>
          </cell>
          <cell r="I25">
            <v>535</v>
          </cell>
        </row>
        <row r="26">
          <cell r="B26">
            <v>800</v>
          </cell>
          <cell r="C26">
            <v>405.36</v>
          </cell>
          <cell r="D26">
            <v>680</v>
          </cell>
          <cell r="E26">
            <v>410</v>
          </cell>
          <cell r="F26">
            <v>815</v>
          </cell>
          <cell r="G26">
            <v>490</v>
          </cell>
          <cell r="H26">
            <v>920</v>
          </cell>
          <cell r="I26">
            <v>555</v>
          </cell>
        </row>
        <row r="27">
          <cell r="B27">
            <v>900</v>
          </cell>
          <cell r="C27">
            <v>456.03000000000003</v>
          </cell>
          <cell r="D27">
            <v>730</v>
          </cell>
          <cell r="E27">
            <v>435</v>
          </cell>
          <cell r="F27">
            <v>870</v>
          </cell>
          <cell r="G27">
            <v>520</v>
          </cell>
          <cell r="H27">
            <v>985</v>
          </cell>
          <cell r="I27">
            <v>585</v>
          </cell>
        </row>
        <row r="28">
          <cell r="B28">
            <v>1000</v>
          </cell>
          <cell r="C28">
            <v>506.70000000000005</v>
          </cell>
          <cell r="D28">
            <v>780</v>
          </cell>
          <cell r="E28">
            <v>455</v>
          </cell>
          <cell r="F28">
            <v>935</v>
          </cell>
          <cell r="G28">
            <v>545</v>
          </cell>
          <cell r="H28">
            <v>1055</v>
          </cell>
          <cell r="I28">
            <v>615</v>
          </cell>
        </row>
      </sheetData>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ALIMENDORES UHP"/>
    </sheetNames>
    <sheetDataSet>
      <sheetData sheetId="0">
        <row r="5">
          <cell r="N5">
            <v>14</v>
          </cell>
        </row>
        <row r="6">
          <cell r="N6">
            <v>12</v>
          </cell>
        </row>
        <row r="7">
          <cell r="N7">
            <v>10</v>
          </cell>
        </row>
        <row r="8">
          <cell r="N8">
            <v>8</v>
          </cell>
        </row>
        <row r="9">
          <cell r="N9">
            <v>6</v>
          </cell>
        </row>
        <row r="10">
          <cell r="N10">
            <v>4</v>
          </cell>
        </row>
        <row r="11">
          <cell r="N11">
            <v>3</v>
          </cell>
        </row>
        <row r="12">
          <cell r="N12">
            <v>2</v>
          </cell>
        </row>
        <row r="13">
          <cell r="N13">
            <v>1</v>
          </cell>
        </row>
        <row r="14">
          <cell r="N14" t="str">
            <v xml:space="preserve">1/0 </v>
          </cell>
        </row>
        <row r="15">
          <cell r="N15" t="str">
            <v xml:space="preserve">2/0 </v>
          </cell>
        </row>
        <row r="16">
          <cell r="N16" t="str">
            <v xml:space="preserve">3/0 </v>
          </cell>
        </row>
        <row r="17">
          <cell r="N17" t="str">
            <v xml:space="preserve">4/0 </v>
          </cell>
        </row>
        <row r="18">
          <cell r="N18">
            <v>250</v>
          </cell>
        </row>
        <row r="19">
          <cell r="N19">
            <v>300</v>
          </cell>
        </row>
        <row r="20">
          <cell r="N20">
            <v>350</v>
          </cell>
        </row>
        <row r="21">
          <cell r="N21">
            <v>400</v>
          </cell>
        </row>
        <row r="22">
          <cell r="N22">
            <v>500</v>
          </cell>
        </row>
        <row r="23">
          <cell r="N23">
            <v>600</v>
          </cell>
        </row>
        <row r="24">
          <cell r="N24">
            <v>700</v>
          </cell>
        </row>
        <row r="25">
          <cell r="N25">
            <v>750</v>
          </cell>
        </row>
        <row r="26">
          <cell r="N26">
            <v>800</v>
          </cell>
        </row>
        <row r="27">
          <cell r="N27">
            <v>900</v>
          </cell>
        </row>
        <row r="28">
          <cell r="N28">
            <v>1000</v>
          </cell>
        </row>
        <row r="29">
          <cell r="N29">
            <v>1250</v>
          </cell>
        </row>
        <row r="30">
          <cell r="N30">
            <v>1500</v>
          </cell>
        </row>
        <row r="31">
          <cell r="N31">
            <v>1750</v>
          </cell>
        </row>
        <row r="32">
          <cell r="N32">
            <v>2000</v>
          </cell>
        </row>
      </sheetData>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ta Ines"/>
      <sheetName val="Pinos 4-8 "/>
      <sheetName val="Pinos 4-7"/>
      <sheetName val="San Vicente"/>
      <sheetName val="San Isidro"/>
      <sheetName val="Paraiso"/>
      <sheetName val="Uval"/>
      <sheetName val="Casaloma"/>
      <sheetName val="Mirad. de la Prim."/>
      <sheetName val="Porv. de la Est."/>
      <sheetName val="Huertas"/>
      <sheetName val="Rincon Porv."/>
      <sheetName val="20 de Julio"/>
      <sheetName val="Project"/>
      <sheetName val="Formulario N° 4"/>
      <sheetName val="MATERIALES"/>
      <sheetName val="EQUIPO"/>
    </sheetNames>
    <sheetDataSet>
      <sheetData sheetId="0"/>
      <sheetData sheetId="1">
        <row r="6">
          <cell r="D6">
            <v>2760.5</v>
          </cell>
        </row>
        <row r="7">
          <cell r="D7">
            <v>331.48854599999999</v>
          </cell>
        </row>
        <row r="8">
          <cell r="D8">
            <v>625.56679199998882</v>
          </cell>
        </row>
        <row r="9">
          <cell r="D9">
            <v>44.13</v>
          </cell>
        </row>
        <row r="11">
          <cell r="D11">
            <v>987.37</v>
          </cell>
        </row>
        <row r="12">
          <cell r="D12">
            <v>1099.9223379999887</v>
          </cell>
        </row>
        <row r="15">
          <cell r="D15">
            <v>1673.75</v>
          </cell>
        </row>
        <row r="17">
          <cell r="D17">
            <v>574.98749999999995</v>
          </cell>
        </row>
        <row r="21">
          <cell r="D21">
            <v>3.6883989999999995</v>
          </cell>
        </row>
        <row r="22">
          <cell r="D22">
            <v>18.600000000000001</v>
          </cell>
        </row>
        <row r="23">
          <cell r="D23">
            <v>189.80347662017479</v>
          </cell>
        </row>
        <row r="24">
          <cell r="D24">
            <v>20</v>
          </cell>
        </row>
        <row r="27">
          <cell r="D27">
            <v>368.22500000000002</v>
          </cell>
        </row>
        <row r="32">
          <cell r="D32">
            <v>657.12</v>
          </cell>
        </row>
        <row r="33">
          <cell r="D33">
            <v>2.5</v>
          </cell>
        </row>
        <row r="34">
          <cell r="D34">
            <v>1165.3399999999999</v>
          </cell>
        </row>
        <row r="36">
          <cell r="D36">
            <v>1771.82</v>
          </cell>
        </row>
        <row r="37">
          <cell r="D37">
            <v>431</v>
          </cell>
        </row>
        <row r="39">
          <cell r="D39">
            <v>10.26</v>
          </cell>
        </row>
        <row r="41">
          <cell r="D41">
            <v>142.47000000000003</v>
          </cell>
        </row>
        <row r="44">
          <cell r="D44">
            <v>163.08999999999997</v>
          </cell>
        </row>
        <row r="47">
          <cell r="D47">
            <v>3</v>
          </cell>
        </row>
        <row r="53">
          <cell r="D53">
            <v>4.9098540000000002</v>
          </cell>
        </row>
        <row r="54">
          <cell r="D54">
            <v>3.4871400000000001</v>
          </cell>
        </row>
        <row r="58">
          <cell r="D58">
            <v>7</v>
          </cell>
        </row>
        <row r="59">
          <cell r="D59">
            <v>23.67</v>
          </cell>
        </row>
        <row r="60">
          <cell r="D60">
            <v>7.2499999999999964</v>
          </cell>
        </row>
        <row r="66">
          <cell r="D66">
            <v>89.789999999999992</v>
          </cell>
        </row>
        <row r="67">
          <cell r="D67">
            <v>14</v>
          </cell>
        </row>
        <row r="70">
          <cell r="D70">
            <v>64.424499999999981</v>
          </cell>
        </row>
        <row r="72">
          <cell r="D72">
            <v>490.36</v>
          </cell>
        </row>
        <row r="73">
          <cell r="D73">
            <v>20</v>
          </cell>
        </row>
        <row r="77">
          <cell r="D77">
            <v>163.86</v>
          </cell>
        </row>
        <row r="78">
          <cell r="D78">
            <v>4</v>
          </cell>
        </row>
        <row r="79">
          <cell r="D79">
            <v>4</v>
          </cell>
        </row>
        <row r="80">
          <cell r="D80">
            <v>1</v>
          </cell>
        </row>
        <row r="81">
          <cell r="D81">
            <v>1.5</v>
          </cell>
        </row>
        <row r="85">
          <cell r="D85">
            <v>3</v>
          </cell>
        </row>
        <row r="86">
          <cell r="D86">
            <v>5</v>
          </cell>
        </row>
        <row r="88">
          <cell r="D88">
            <v>5</v>
          </cell>
        </row>
        <row r="89">
          <cell r="D89">
            <v>5</v>
          </cell>
        </row>
        <row r="92">
          <cell r="D92">
            <v>5</v>
          </cell>
        </row>
        <row r="93">
          <cell r="D93">
            <v>58</v>
          </cell>
        </row>
        <row r="97">
          <cell r="D97">
            <v>30</v>
          </cell>
        </row>
        <row r="112">
          <cell r="D112">
            <v>20</v>
          </cell>
        </row>
        <row r="114">
          <cell r="D114">
            <v>3819.89</v>
          </cell>
        </row>
        <row r="139">
          <cell r="D139">
            <v>10</v>
          </cell>
        </row>
        <row r="146">
          <cell r="D146">
            <v>10</v>
          </cell>
        </row>
        <row r="147">
          <cell r="D147">
            <v>43</v>
          </cell>
        </row>
        <row r="148">
          <cell r="D148">
            <v>15</v>
          </cell>
        </row>
        <row r="149">
          <cell r="D149">
            <v>10</v>
          </cell>
        </row>
        <row r="150">
          <cell r="D150">
            <v>17</v>
          </cell>
        </row>
        <row r="151">
          <cell r="D151">
            <v>0</v>
          </cell>
        </row>
        <row r="152">
          <cell r="D152">
            <v>5</v>
          </cell>
        </row>
        <row r="153">
          <cell r="D153">
            <v>5</v>
          </cell>
        </row>
        <row r="154">
          <cell r="D154">
            <v>4</v>
          </cell>
        </row>
        <row r="155">
          <cell r="D155">
            <v>20.97</v>
          </cell>
        </row>
        <row r="156">
          <cell r="D156">
            <v>5</v>
          </cell>
        </row>
        <row r="157">
          <cell r="D157">
            <v>0</v>
          </cell>
        </row>
        <row r="158">
          <cell r="D158">
            <v>58</v>
          </cell>
        </row>
        <row r="159">
          <cell r="D159">
            <v>0</v>
          </cell>
        </row>
        <row r="160">
          <cell r="D160">
            <v>858.96</v>
          </cell>
        </row>
        <row r="161">
          <cell r="D161">
            <v>728.49999999999989</v>
          </cell>
        </row>
        <row r="162">
          <cell r="D162">
            <v>0</v>
          </cell>
        </row>
        <row r="163">
          <cell r="D163">
            <v>0</v>
          </cell>
        </row>
        <row r="164">
          <cell r="D164">
            <v>0</v>
          </cell>
        </row>
        <row r="165">
          <cell r="D165">
            <v>0</v>
          </cell>
        </row>
        <row r="166">
          <cell r="D166">
            <v>0</v>
          </cell>
        </row>
        <row r="167">
          <cell r="D167">
            <v>0</v>
          </cell>
        </row>
        <row r="168">
          <cell r="D168">
            <v>0</v>
          </cell>
        </row>
        <row r="169">
          <cell r="D169">
            <v>0</v>
          </cell>
        </row>
        <row r="170">
          <cell r="D170">
            <v>3</v>
          </cell>
        </row>
        <row r="171">
          <cell r="D171">
            <v>0</v>
          </cell>
        </row>
        <row r="172">
          <cell r="D172">
            <v>0</v>
          </cell>
        </row>
        <row r="173">
          <cell r="D173">
            <v>20</v>
          </cell>
        </row>
        <row r="174">
          <cell r="D174">
            <v>0</v>
          </cell>
        </row>
        <row r="175">
          <cell r="D175">
            <v>10</v>
          </cell>
        </row>
        <row r="176">
          <cell r="D176">
            <v>0</v>
          </cell>
        </row>
        <row r="177">
          <cell r="D177">
            <v>0</v>
          </cell>
        </row>
        <row r="178">
          <cell r="D178">
            <v>0</v>
          </cell>
        </row>
        <row r="179">
          <cell r="D179">
            <v>0</v>
          </cell>
        </row>
        <row r="180">
          <cell r="D180">
            <v>0</v>
          </cell>
        </row>
        <row r="181">
          <cell r="D181">
            <v>0</v>
          </cell>
        </row>
        <row r="182">
          <cell r="D182">
            <v>0</v>
          </cell>
        </row>
        <row r="183">
          <cell r="D183">
            <v>228.95999999999995</v>
          </cell>
        </row>
        <row r="184">
          <cell r="D184">
            <v>10</v>
          </cell>
        </row>
        <row r="185">
          <cell r="D185">
            <v>491.64</v>
          </cell>
        </row>
        <row r="186">
          <cell r="D186">
            <v>0</v>
          </cell>
        </row>
        <row r="187">
          <cell r="D187">
            <v>0</v>
          </cell>
        </row>
        <row r="188">
          <cell r="D188">
            <v>0</v>
          </cell>
        </row>
        <row r="189">
          <cell r="D189">
            <v>9</v>
          </cell>
        </row>
        <row r="190">
          <cell r="D190">
            <v>0</v>
          </cell>
        </row>
        <row r="191">
          <cell r="D191">
            <v>0</v>
          </cell>
        </row>
        <row r="192">
          <cell r="D192">
            <v>0</v>
          </cell>
        </row>
        <row r="193">
          <cell r="D193">
            <v>0</v>
          </cell>
        </row>
        <row r="194">
          <cell r="D194">
            <v>0</v>
          </cell>
        </row>
        <row r="195">
          <cell r="D195">
            <v>0</v>
          </cell>
        </row>
        <row r="196">
          <cell r="D196">
            <v>0</v>
          </cell>
        </row>
        <row r="197">
          <cell r="D197">
            <v>10</v>
          </cell>
        </row>
        <row r="198">
          <cell r="D198">
            <v>15</v>
          </cell>
        </row>
        <row r="199">
          <cell r="D199">
            <v>0</v>
          </cell>
        </row>
        <row r="200">
          <cell r="D200">
            <v>0</v>
          </cell>
        </row>
        <row r="201">
          <cell r="D201">
            <v>0</v>
          </cell>
        </row>
      </sheetData>
      <sheetData sheetId="2">
        <row r="13">
          <cell r="G13">
            <v>1776</v>
          </cell>
        </row>
        <row r="14">
          <cell r="G14">
            <v>1203.6895629999999</v>
          </cell>
        </row>
        <row r="15">
          <cell r="G15">
            <v>228.6</v>
          </cell>
        </row>
        <row r="16">
          <cell r="G16">
            <v>2.0550000000000002</v>
          </cell>
        </row>
        <row r="18">
          <cell r="G18">
            <v>4.7699999999999996</v>
          </cell>
        </row>
        <row r="19">
          <cell r="G19">
            <v>1439.1145629999999</v>
          </cell>
        </row>
        <row r="22">
          <cell r="G22">
            <v>985.16</v>
          </cell>
        </row>
        <row r="24">
          <cell r="G24">
            <v>182.6925</v>
          </cell>
        </row>
        <row r="27">
          <cell r="G27">
            <v>147.774</v>
          </cell>
        </row>
        <row r="28">
          <cell r="G28">
            <v>59.87</v>
          </cell>
        </row>
        <row r="29">
          <cell r="G29">
            <v>18</v>
          </cell>
        </row>
        <row r="30">
          <cell r="G30">
            <v>176.8</v>
          </cell>
        </row>
        <row r="31">
          <cell r="G31">
            <v>20</v>
          </cell>
        </row>
        <row r="34">
          <cell r="G34">
            <v>197.03200000000001</v>
          </cell>
        </row>
        <row r="38">
          <cell r="G38">
            <v>7.68</v>
          </cell>
        </row>
        <row r="39">
          <cell r="G39">
            <v>531.62</v>
          </cell>
        </row>
        <row r="40">
          <cell r="G40">
            <v>5</v>
          </cell>
        </row>
        <row r="41">
          <cell r="G41">
            <v>723.82999999999993</v>
          </cell>
        </row>
        <row r="44">
          <cell r="G44">
            <v>270.32</v>
          </cell>
        </row>
        <row r="46">
          <cell r="G46">
            <v>4.96</v>
          </cell>
        </row>
        <row r="48">
          <cell r="G48">
            <v>301.03000000000043</v>
          </cell>
        </row>
        <row r="51">
          <cell r="G51">
            <v>59.399999999999991</v>
          </cell>
        </row>
        <row r="54">
          <cell r="G54">
            <v>8</v>
          </cell>
        </row>
        <row r="56">
          <cell r="G56">
            <v>3</v>
          </cell>
        </row>
        <row r="60">
          <cell r="G60">
            <v>3.5</v>
          </cell>
        </row>
        <row r="61">
          <cell r="G61">
            <v>10.64</v>
          </cell>
        </row>
        <row r="63">
          <cell r="G63">
            <v>0</v>
          </cell>
        </row>
        <row r="64">
          <cell r="G64">
            <v>3</v>
          </cell>
        </row>
        <row r="65">
          <cell r="G65">
            <v>4</v>
          </cell>
        </row>
        <row r="66">
          <cell r="G66">
            <v>12.8</v>
          </cell>
        </row>
        <row r="67">
          <cell r="G67">
            <v>5</v>
          </cell>
        </row>
        <row r="71">
          <cell r="G71">
            <v>12.259999999999998</v>
          </cell>
        </row>
        <row r="77">
          <cell r="G77">
            <v>0.71779999999999999</v>
          </cell>
        </row>
        <row r="79">
          <cell r="G79">
            <v>286.14</v>
          </cell>
        </row>
        <row r="80">
          <cell r="G80">
            <v>15</v>
          </cell>
        </row>
        <row r="84">
          <cell r="G84">
            <v>104.38</v>
          </cell>
        </row>
        <row r="86">
          <cell r="G86">
            <v>4</v>
          </cell>
        </row>
        <row r="87">
          <cell r="G87">
            <v>1</v>
          </cell>
        </row>
        <row r="88">
          <cell r="G88">
            <v>3.25</v>
          </cell>
        </row>
        <row r="90">
          <cell r="G90">
            <v>3</v>
          </cell>
        </row>
        <row r="92">
          <cell r="G92">
            <v>6</v>
          </cell>
        </row>
        <row r="93">
          <cell r="G93">
            <v>3</v>
          </cell>
        </row>
        <row r="95">
          <cell r="G95">
            <v>3</v>
          </cell>
        </row>
        <row r="101">
          <cell r="G101">
            <v>24</v>
          </cell>
        </row>
        <row r="106">
          <cell r="G106">
            <v>1</v>
          </cell>
        </row>
        <row r="109">
          <cell r="G109">
            <v>1</v>
          </cell>
        </row>
        <row r="110">
          <cell r="G110">
            <v>1</v>
          </cell>
        </row>
        <row r="112">
          <cell r="G112">
            <v>145</v>
          </cell>
        </row>
        <row r="114">
          <cell r="G114">
            <v>2</v>
          </cell>
        </row>
        <row r="116">
          <cell r="G116">
            <v>2</v>
          </cell>
        </row>
        <row r="117">
          <cell r="G117">
            <v>2</v>
          </cell>
        </row>
        <row r="121">
          <cell r="G121">
            <v>2049</v>
          </cell>
        </row>
        <row r="153">
          <cell r="G153">
            <v>144</v>
          </cell>
        </row>
        <row r="154">
          <cell r="G154">
            <v>6</v>
          </cell>
        </row>
        <row r="155">
          <cell r="G155">
            <v>6</v>
          </cell>
        </row>
        <row r="156">
          <cell r="G156">
            <v>10</v>
          </cell>
        </row>
        <row r="159">
          <cell r="G159">
            <v>3</v>
          </cell>
        </row>
        <row r="161">
          <cell r="G161">
            <v>1</v>
          </cell>
        </row>
        <row r="162">
          <cell r="G162">
            <v>13.1</v>
          </cell>
        </row>
        <row r="163">
          <cell r="G163">
            <v>3</v>
          </cell>
        </row>
        <row r="164">
          <cell r="G164">
            <v>24</v>
          </cell>
        </row>
        <row r="166">
          <cell r="G166">
            <v>4</v>
          </cell>
        </row>
        <row r="167">
          <cell r="G167">
            <v>4.7699999999999996</v>
          </cell>
        </row>
        <row r="168">
          <cell r="G168">
            <v>419.65</v>
          </cell>
        </row>
        <row r="173">
          <cell r="G173">
            <v>10.120000000000001</v>
          </cell>
        </row>
        <row r="177">
          <cell r="G177">
            <v>1.5</v>
          </cell>
        </row>
        <row r="180">
          <cell r="G180">
            <v>20</v>
          </cell>
        </row>
        <row r="182">
          <cell r="G182">
            <v>10</v>
          </cell>
        </row>
        <row r="187">
          <cell r="G187">
            <v>155</v>
          </cell>
        </row>
        <row r="188">
          <cell r="G188">
            <v>0</v>
          </cell>
        </row>
        <row r="189">
          <cell r="G189">
            <v>0</v>
          </cell>
        </row>
        <row r="190">
          <cell r="G190">
            <v>0</v>
          </cell>
        </row>
        <row r="191">
          <cell r="G191">
            <v>5</v>
          </cell>
        </row>
        <row r="192">
          <cell r="G192">
            <v>286.05</v>
          </cell>
        </row>
        <row r="193">
          <cell r="G193">
            <v>0</v>
          </cell>
        </row>
        <row r="194">
          <cell r="G194">
            <v>0</v>
          </cell>
        </row>
        <row r="195">
          <cell r="G195">
            <v>2</v>
          </cell>
        </row>
        <row r="196">
          <cell r="G196">
            <v>6</v>
          </cell>
        </row>
        <row r="197">
          <cell r="G197">
            <v>5</v>
          </cell>
        </row>
        <row r="198">
          <cell r="G198">
            <v>0</v>
          </cell>
        </row>
        <row r="199">
          <cell r="G199">
            <v>0</v>
          </cell>
        </row>
        <row r="200">
          <cell r="G200">
            <v>0</v>
          </cell>
        </row>
        <row r="201">
          <cell r="G201">
            <v>10</v>
          </cell>
        </row>
        <row r="202">
          <cell r="G202">
            <v>0</v>
          </cell>
        </row>
        <row r="203">
          <cell r="G203">
            <v>0</v>
          </cell>
        </row>
        <row r="204">
          <cell r="G204">
            <v>0</v>
          </cell>
        </row>
        <row r="205">
          <cell r="G205">
            <v>30</v>
          </cell>
        </row>
        <row r="206">
          <cell r="G206">
            <v>0</v>
          </cell>
        </row>
        <row r="207">
          <cell r="G207">
            <v>0</v>
          </cell>
        </row>
        <row r="208">
          <cell r="G208">
            <v>0</v>
          </cell>
        </row>
      </sheetData>
      <sheetData sheetId="3">
        <row r="5">
          <cell r="E5">
            <v>338.14</v>
          </cell>
        </row>
        <row r="7">
          <cell r="E7">
            <v>27.5</v>
          </cell>
        </row>
        <row r="11">
          <cell r="E11">
            <v>27.5</v>
          </cell>
        </row>
        <row r="16">
          <cell r="E16">
            <v>15.75</v>
          </cell>
        </row>
        <row r="17">
          <cell r="E17">
            <v>31.5</v>
          </cell>
        </row>
        <row r="20">
          <cell r="E20">
            <v>23.45</v>
          </cell>
        </row>
        <row r="22">
          <cell r="E22">
            <v>6.3</v>
          </cell>
        </row>
        <row r="29">
          <cell r="E29">
            <v>201.1</v>
          </cell>
        </row>
        <row r="30">
          <cell r="E30">
            <v>162.96</v>
          </cell>
        </row>
        <row r="32">
          <cell r="E32">
            <v>2</v>
          </cell>
        </row>
        <row r="38">
          <cell r="E38">
            <v>2</v>
          </cell>
        </row>
        <row r="40">
          <cell r="E40">
            <v>43.24</v>
          </cell>
        </row>
        <row r="43">
          <cell r="E43">
            <v>18.62</v>
          </cell>
        </row>
        <row r="52">
          <cell r="E52">
            <v>1.65</v>
          </cell>
        </row>
        <row r="55">
          <cell r="E55">
            <v>46.93</v>
          </cell>
        </row>
        <row r="56">
          <cell r="E56">
            <v>2</v>
          </cell>
        </row>
        <row r="57">
          <cell r="E57">
            <v>5</v>
          </cell>
        </row>
        <row r="59">
          <cell r="E59">
            <v>5</v>
          </cell>
        </row>
        <row r="63">
          <cell r="E63">
            <v>5.38</v>
          </cell>
        </row>
        <row r="68">
          <cell r="E68">
            <v>3</v>
          </cell>
        </row>
        <row r="69">
          <cell r="E69">
            <v>5</v>
          </cell>
        </row>
        <row r="71">
          <cell r="E71">
            <v>38.64</v>
          </cell>
        </row>
        <row r="72">
          <cell r="E72">
            <v>5</v>
          </cell>
        </row>
        <row r="78">
          <cell r="E78">
            <v>4</v>
          </cell>
        </row>
        <row r="111">
          <cell r="E111">
            <v>2</v>
          </cell>
        </row>
        <row r="113">
          <cell r="E113">
            <v>500</v>
          </cell>
        </row>
        <row r="143">
          <cell r="E143">
            <v>9</v>
          </cell>
        </row>
        <row r="147">
          <cell r="E147">
            <v>5</v>
          </cell>
        </row>
        <row r="153">
          <cell r="E153">
            <v>3</v>
          </cell>
        </row>
        <row r="182">
          <cell r="E182">
            <v>50.51</v>
          </cell>
        </row>
      </sheetData>
      <sheetData sheetId="4">
        <row r="13">
          <cell r="G13">
            <v>4052.41</v>
          </cell>
        </row>
        <row r="14">
          <cell r="G14">
            <v>4279.8558824999927</v>
          </cell>
        </row>
        <row r="15">
          <cell r="G15">
            <v>966.69220000000666</v>
          </cell>
        </row>
        <row r="16">
          <cell r="G16">
            <v>61.080300000000008</v>
          </cell>
        </row>
        <row r="18">
          <cell r="G18">
            <v>405.38560000000001</v>
          </cell>
        </row>
        <row r="19">
          <cell r="G19">
            <v>5850.2739824999999</v>
          </cell>
        </row>
        <row r="21">
          <cell r="G21">
            <v>0</v>
          </cell>
        </row>
        <row r="22">
          <cell r="G22">
            <v>2887.64</v>
          </cell>
        </row>
        <row r="23">
          <cell r="G23">
            <v>1176.7893999999999</v>
          </cell>
        </row>
        <row r="24">
          <cell r="G24">
            <v>411.71700000000004</v>
          </cell>
        </row>
        <row r="25">
          <cell r="G25">
            <v>205.85850000000002</v>
          </cell>
        </row>
        <row r="26">
          <cell r="G26">
            <v>0</v>
          </cell>
        </row>
        <row r="27">
          <cell r="G27">
            <v>433.14599999999996</v>
          </cell>
        </row>
        <row r="29">
          <cell r="G29">
            <v>19.684421715806401</v>
          </cell>
        </row>
        <row r="30">
          <cell r="G30">
            <v>1195.41033133777</v>
          </cell>
        </row>
        <row r="31">
          <cell r="G31">
            <v>866.29199999999992</v>
          </cell>
        </row>
        <row r="33">
          <cell r="G33">
            <v>0</v>
          </cell>
        </row>
        <row r="34">
          <cell r="G34">
            <v>0</v>
          </cell>
        </row>
        <row r="35">
          <cell r="G35">
            <v>0</v>
          </cell>
        </row>
        <row r="36">
          <cell r="G36">
            <v>531.37349999999992</v>
          </cell>
        </row>
        <row r="37">
          <cell r="G37">
            <v>50.49</v>
          </cell>
        </row>
        <row r="38">
          <cell r="G38">
            <v>15.039999999999997</v>
          </cell>
        </row>
        <row r="39">
          <cell r="G39">
            <v>1018.4099999999999</v>
          </cell>
        </row>
        <row r="40">
          <cell r="G40">
            <v>5</v>
          </cell>
        </row>
        <row r="41">
          <cell r="G41">
            <v>885.51</v>
          </cell>
        </row>
        <row r="43">
          <cell r="G43">
            <v>1372.39</v>
          </cell>
        </row>
        <row r="44">
          <cell r="G44">
            <v>567</v>
          </cell>
        </row>
        <row r="46">
          <cell r="G46">
            <v>22.490000000000002</v>
          </cell>
        </row>
        <row r="48">
          <cell r="G48">
            <v>238.00999999999991</v>
          </cell>
        </row>
        <row r="50">
          <cell r="G50">
            <v>0</v>
          </cell>
        </row>
        <row r="51">
          <cell r="G51">
            <v>164.39999999999998</v>
          </cell>
        </row>
        <row r="54">
          <cell r="G54">
            <v>9</v>
          </cell>
        </row>
        <row r="56">
          <cell r="G56">
            <v>3</v>
          </cell>
        </row>
        <row r="57">
          <cell r="G57">
            <v>0</v>
          </cell>
        </row>
        <row r="58">
          <cell r="G58">
            <v>0</v>
          </cell>
        </row>
        <row r="59">
          <cell r="G59">
            <v>0</v>
          </cell>
        </row>
        <row r="60">
          <cell r="G60">
            <v>2.65</v>
          </cell>
        </row>
        <row r="61">
          <cell r="G61">
            <v>0</v>
          </cell>
        </row>
        <row r="62">
          <cell r="G62">
            <v>0</v>
          </cell>
        </row>
        <row r="63">
          <cell r="G63">
            <v>0</v>
          </cell>
        </row>
        <row r="64">
          <cell r="G64">
            <v>2</v>
          </cell>
        </row>
        <row r="65">
          <cell r="G65">
            <v>10</v>
          </cell>
        </row>
        <row r="66">
          <cell r="G66">
            <v>71.86</v>
          </cell>
        </row>
        <row r="67">
          <cell r="G67">
            <v>10</v>
          </cell>
        </row>
        <row r="68">
          <cell r="G68">
            <v>0</v>
          </cell>
        </row>
        <row r="69">
          <cell r="G69">
            <v>0</v>
          </cell>
        </row>
        <row r="70">
          <cell r="G70">
            <v>0</v>
          </cell>
        </row>
        <row r="71">
          <cell r="G71">
            <v>12.46</v>
          </cell>
        </row>
        <row r="72">
          <cell r="G72">
            <v>0</v>
          </cell>
        </row>
        <row r="73">
          <cell r="G73">
            <v>50.49</v>
          </cell>
        </row>
        <row r="74">
          <cell r="G74">
            <v>0</v>
          </cell>
        </row>
        <row r="75">
          <cell r="G75">
            <v>0</v>
          </cell>
        </row>
        <row r="76">
          <cell r="G76">
            <v>0</v>
          </cell>
        </row>
        <row r="77">
          <cell r="G77">
            <v>62.27</v>
          </cell>
        </row>
        <row r="78">
          <cell r="G78">
            <v>0</v>
          </cell>
        </row>
        <row r="79">
          <cell r="G79">
            <v>678.67</v>
          </cell>
        </row>
        <row r="80">
          <cell r="G80">
            <v>25</v>
          </cell>
        </row>
        <row r="81">
          <cell r="G81">
            <v>0</v>
          </cell>
        </row>
        <row r="82">
          <cell r="G82">
            <v>0</v>
          </cell>
        </row>
        <row r="84">
          <cell r="G84">
            <v>174.17000000000002</v>
          </cell>
        </row>
        <row r="86">
          <cell r="G86">
            <v>10</v>
          </cell>
        </row>
        <row r="87">
          <cell r="G87">
            <v>0</v>
          </cell>
        </row>
        <row r="88">
          <cell r="G88">
            <v>65.300000000000495</v>
          </cell>
        </row>
        <row r="90">
          <cell r="G90">
            <v>26</v>
          </cell>
        </row>
        <row r="92">
          <cell r="G92">
            <v>31</v>
          </cell>
        </row>
        <row r="93">
          <cell r="G93">
            <v>5</v>
          </cell>
        </row>
        <row r="95">
          <cell r="G95">
            <v>5</v>
          </cell>
        </row>
        <row r="96">
          <cell r="G96">
            <v>6</v>
          </cell>
        </row>
        <row r="97">
          <cell r="G97">
            <v>0</v>
          </cell>
        </row>
        <row r="98">
          <cell r="G98">
            <v>0</v>
          </cell>
        </row>
        <row r="100">
          <cell r="G100">
            <v>60</v>
          </cell>
        </row>
        <row r="101">
          <cell r="G101">
            <v>10</v>
          </cell>
        </row>
        <row r="103">
          <cell r="G103">
            <v>0</v>
          </cell>
        </row>
        <row r="104">
          <cell r="G104">
            <v>53</v>
          </cell>
        </row>
        <row r="106">
          <cell r="G106">
            <v>0</v>
          </cell>
        </row>
        <row r="107">
          <cell r="G107">
            <v>0</v>
          </cell>
        </row>
        <row r="108">
          <cell r="G108">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4</v>
          </cell>
        </row>
        <row r="121">
          <cell r="G121">
            <v>6299</v>
          </cell>
        </row>
        <row r="122">
          <cell r="G122">
            <v>0</v>
          </cell>
        </row>
        <row r="123">
          <cell r="G123">
            <v>0</v>
          </cell>
        </row>
        <row r="125">
          <cell r="G125">
            <v>0</v>
          </cell>
        </row>
        <row r="146">
          <cell r="G146">
            <v>15</v>
          </cell>
        </row>
        <row r="147">
          <cell r="G147">
            <v>5</v>
          </cell>
        </row>
        <row r="153">
          <cell r="G153">
            <v>360</v>
          </cell>
        </row>
        <row r="155">
          <cell r="G155">
            <v>60</v>
          </cell>
        </row>
        <row r="156">
          <cell r="G156">
            <v>50</v>
          </cell>
        </row>
        <row r="159">
          <cell r="G159">
            <v>15</v>
          </cell>
        </row>
        <row r="162">
          <cell r="G162">
            <v>168.66244941888479</v>
          </cell>
        </row>
        <row r="163">
          <cell r="G163">
            <v>5</v>
          </cell>
        </row>
        <row r="164">
          <cell r="G164">
            <v>60</v>
          </cell>
        </row>
        <row r="167">
          <cell r="G167">
            <v>1372.61</v>
          </cell>
        </row>
        <row r="168">
          <cell r="G168">
            <v>958.20500000000004</v>
          </cell>
        </row>
        <row r="172">
          <cell r="G172">
            <v>178.99</v>
          </cell>
        </row>
        <row r="173">
          <cell r="G173">
            <v>75.73</v>
          </cell>
        </row>
        <row r="175">
          <cell r="G175">
            <v>25.9</v>
          </cell>
        </row>
        <row r="176">
          <cell r="G176">
            <v>15</v>
          </cell>
        </row>
        <row r="177">
          <cell r="G177">
            <v>20</v>
          </cell>
        </row>
        <row r="180">
          <cell r="G180">
            <v>60</v>
          </cell>
        </row>
        <row r="182">
          <cell r="G182">
            <v>20</v>
          </cell>
        </row>
        <row r="191">
          <cell r="G191">
            <v>25.790714615999999</v>
          </cell>
        </row>
        <row r="192">
          <cell r="G192">
            <v>488.08000000000004</v>
          </cell>
        </row>
        <row r="196">
          <cell r="G196">
            <v>5</v>
          </cell>
        </row>
        <row r="205">
          <cell r="G205">
            <v>50</v>
          </cell>
        </row>
      </sheetData>
      <sheetData sheetId="5">
        <row r="15">
          <cell r="G15">
            <v>35.711799999999997</v>
          </cell>
        </row>
        <row r="19">
          <cell r="G19">
            <v>35.711799999999997</v>
          </cell>
        </row>
        <row r="24">
          <cell r="G24">
            <v>97.817499999999995</v>
          </cell>
        </row>
        <row r="28">
          <cell r="G28">
            <v>35</v>
          </cell>
        </row>
        <row r="37">
          <cell r="G37">
            <v>55.59</v>
          </cell>
        </row>
        <row r="38">
          <cell r="G38">
            <v>335.68</v>
          </cell>
        </row>
        <row r="40">
          <cell r="G40">
            <v>3</v>
          </cell>
        </row>
        <row r="46">
          <cell r="G46">
            <v>3</v>
          </cell>
        </row>
        <row r="48">
          <cell r="G48">
            <v>28.1</v>
          </cell>
        </row>
        <row r="51">
          <cell r="G51">
            <v>47.4</v>
          </cell>
        </row>
        <row r="60">
          <cell r="G60">
            <v>4.991625</v>
          </cell>
        </row>
        <row r="61">
          <cell r="G61">
            <v>1.8719999999999999</v>
          </cell>
        </row>
        <row r="63">
          <cell r="G63">
            <v>122.03</v>
          </cell>
        </row>
        <row r="65">
          <cell r="G65">
            <v>2</v>
          </cell>
        </row>
        <row r="67">
          <cell r="G67">
            <v>5</v>
          </cell>
        </row>
        <row r="71">
          <cell r="G71">
            <v>17.57</v>
          </cell>
        </row>
        <row r="73">
          <cell r="G73">
            <v>15.34</v>
          </cell>
        </row>
        <row r="77">
          <cell r="G77">
            <v>37.896000000000001</v>
          </cell>
        </row>
        <row r="84">
          <cell r="G84">
            <v>9.1199999999999992</v>
          </cell>
        </row>
        <row r="85">
          <cell r="G85">
            <v>9</v>
          </cell>
        </row>
        <row r="104">
          <cell r="G104">
            <v>4</v>
          </cell>
        </row>
        <row r="112">
          <cell r="G112">
            <v>25</v>
          </cell>
        </row>
        <row r="119">
          <cell r="G119">
            <v>110</v>
          </cell>
        </row>
        <row r="121">
          <cell r="G121">
            <v>300</v>
          </cell>
        </row>
        <row r="154">
          <cell r="G154">
            <v>4</v>
          </cell>
        </row>
        <row r="155">
          <cell r="G155">
            <v>6</v>
          </cell>
        </row>
        <row r="161">
          <cell r="G161">
            <v>3</v>
          </cell>
        </row>
        <row r="169">
          <cell r="G169">
            <v>0.63</v>
          </cell>
        </row>
        <row r="183">
          <cell r="G183">
            <v>11.83511</v>
          </cell>
        </row>
        <row r="190">
          <cell r="G190">
            <v>15.2</v>
          </cell>
        </row>
      </sheetData>
      <sheetData sheetId="6">
        <row r="8">
          <cell r="G8">
            <v>3092.01</v>
          </cell>
        </row>
        <row r="9">
          <cell r="G9">
            <v>1821.7235400000002</v>
          </cell>
        </row>
        <row r="10">
          <cell r="G10">
            <v>468.82975129079375</v>
          </cell>
        </row>
        <row r="13">
          <cell r="G13">
            <v>6.5</v>
          </cell>
        </row>
        <row r="14">
          <cell r="G14">
            <v>2297.0532912907938</v>
          </cell>
        </row>
        <row r="17">
          <cell r="G17">
            <v>1092.33</v>
          </cell>
        </row>
        <row r="19">
          <cell r="G19">
            <v>338.98250000000002</v>
          </cell>
        </row>
        <row r="22">
          <cell r="G22">
            <v>80.846999999999994</v>
          </cell>
        </row>
        <row r="25">
          <cell r="G25">
            <v>437.65708426188525</v>
          </cell>
        </row>
        <row r="26">
          <cell r="G26">
            <v>20</v>
          </cell>
        </row>
        <row r="30">
          <cell r="G30">
            <v>107.79600000000001</v>
          </cell>
        </row>
        <row r="32">
          <cell r="G32">
            <v>112.39999999999999</v>
          </cell>
        </row>
        <row r="35">
          <cell r="G35">
            <v>5</v>
          </cell>
        </row>
        <row r="36">
          <cell r="G36">
            <v>798.06</v>
          </cell>
        </row>
        <row r="39">
          <cell r="G39">
            <v>271.60000000000002</v>
          </cell>
        </row>
        <row r="41">
          <cell r="G41">
            <v>5.77</v>
          </cell>
        </row>
        <row r="43">
          <cell r="G43">
            <v>790.97999999999968</v>
          </cell>
        </row>
        <row r="45">
          <cell r="G45">
            <v>800.58900000000006</v>
          </cell>
        </row>
        <row r="46">
          <cell r="G46">
            <v>151.32999999999998</v>
          </cell>
        </row>
        <row r="47">
          <cell r="G47">
            <v>1</v>
          </cell>
        </row>
        <row r="49">
          <cell r="G49">
            <v>2</v>
          </cell>
        </row>
        <row r="55">
          <cell r="G55">
            <v>6.5</v>
          </cell>
        </row>
        <row r="56">
          <cell r="G56">
            <v>5.4</v>
          </cell>
        </row>
        <row r="57">
          <cell r="G57">
            <v>45.104032000000004</v>
          </cell>
        </row>
        <row r="60">
          <cell r="G60">
            <v>2</v>
          </cell>
        </row>
        <row r="61">
          <cell r="G61">
            <v>81.300000000000011</v>
          </cell>
        </row>
        <row r="62">
          <cell r="G62">
            <v>12.533000000000001</v>
          </cell>
        </row>
        <row r="66">
          <cell r="G66">
            <v>79.200000000000017</v>
          </cell>
        </row>
        <row r="68">
          <cell r="G68">
            <v>172.08999999999997</v>
          </cell>
        </row>
        <row r="74">
          <cell r="G74">
            <v>118.08</v>
          </cell>
        </row>
        <row r="77">
          <cell r="G77">
            <v>5.77</v>
          </cell>
        </row>
        <row r="79">
          <cell r="G79">
            <v>269.11</v>
          </cell>
        </row>
        <row r="80">
          <cell r="G80">
            <v>0</v>
          </cell>
        </row>
        <row r="81">
          <cell r="G81">
            <v>6</v>
          </cell>
        </row>
        <row r="82">
          <cell r="G82">
            <v>0</v>
          </cell>
        </row>
        <row r="83">
          <cell r="G83">
            <v>13.5</v>
          </cell>
        </row>
        <row r="85">
          <cell r="G85">
            <v>9</v>
          </cell>
        </row>
        <row r="87">
          <cell r="G87">
            <v>9</v>
          </cell>
        </row>
        <row r="88">
          <cell r="G88">
            <v>5</v>
          </cell>
        </row>
        <row r="90">
          <cell r="G90">
            <v>5</v>
          </cell>
        </row>
        <row r="94">
          <cell r="G94">
            <v>10</v>
          </cell>
        </row>
        <row r="95">
          <cell r="G95">
            <v>25</v>
          </cell>
        </row>
        <row r="96">
          <cell r="G96">
            <v>13</v>
          </cell>
        </row>
        <row r="99">
          <cell r="G99">
            <v>8</v>
          </cell>
        </row>
        <row r="114">
          <cell r="G114">
            <v>43</v>
          </cell>
        </row>
        <row r="116">
          <cell r="G116">
            <v>793.5</v>
          </cell>
        </row>
        <row r="118">
          <cell r="G118">
            <v>458.21999999999997</v>
          </cell>
        </row>
        <row r="148">
          <cell r="G148">
            <v>25</v>
          </cell>
        </row>
        <row r="149">
          <cell r="G149">
            <v>26</v>
          </cell>
        </row>
        <row r="150">
          <cell r="G150">
            <v>15</v>
          </cell>
        </row>
        <row r="151">
          <cell r="G151">
            <v>20</v>
          </cell>
        </row>
        <row r="153">
          <cell r="G153">
            <v>25.58</v>
          </cell>
        </row>
        <row r="154">
          <cell r="G154">
            <v>5</v>
          </cell>
        </row>
        <row r="155">
          <cell r="G155">
            <v>5</v>
          </cell>
        </row>
        <row r="156">
          <cell r="G156">
            <v>3.5</v>
          </cell>
        </row>
        <row r="157">
          <cell r="G157">
            <v>24.74</v>
          </cell>
        </row>
        <row r="158">
          <cell r="G158">
            <v>5</v>
          </cell>
        </row>
        <row r="160">
          <cell r="G160">
            <v>26</v>
          </cell>
        </row>
        <row r="162">
          <cell r="G162">
            <v>20</v>
          </cell>
        </row>
        <row r="163">
          <cell r="G163">
            <v>448.81</v>
          </cell>
        </row>
        <row r="168">
          <cell r="G168">
            <v>21.07</v>
          </cell>
        </row>
        <row r="171">
          <cell r="G171">
            <v>10</v>
          </cell>
        </row>
        <row r="172">
          <cell r="G172">
            <v>2.5</v>
          </cell>
        </row>
        <row r="175">
          <cell r="G175">
            <v>25</v>
          </cell>
        </row>
        <row r="177">
          <cell r="G177">
            <v>10</v>
          </cell>
        </row>
        <row r="183">
          <cell r="G183">
            <v>0</v>
          </cell>
        </row>
        <row r="184">
          <cell r="G184">
            <v>0</v>
          </cell>
        </row>
        <row r="185">
          <cell r="G185">
            <v>237.96999999999997</v>
          </cell>
        </row>
        <row r="186">
          <cell r="G186">
            <v>17.600000000000001</v>
          </cell>
        </row>
        <row r="187">
          <cell r="G187">
            <v>460.64</v>
          </cell>
        </row>
        <row r="188">
          <cell r="G188">
            <v>0</v>
          </cell>
        </row>
        <row r="189">
          <cell r="G189">
            <v>0</v>
          </cell>
        </row>
        <row r="190">
          <cell r="G190">
            <v>0</v>
          </cell>
        </row>
        <row r="191">
          <cell r="G191">
            <v>5</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30</v>
          </cell>
        </row>
        <row r="201">
          <cell r="G201">
            <v>0</v>
          </cell>
        </row>
        <row r="202">
          <cell r="G202">
            <v>0</v>
          </cell>
        </row>
        <row r="203">
          <cell r="G203">
            <v>0</v>
          </cell>
        </row>
      </sheetData>
      <sheetData sheetId="7">
        <row r="4">
          <cell r="D4">
            <v>1785.26</v>
          </cell>
        </row>
        <row r="5">
          <cell r="D5">
            <v>328.59</v>
          </cell>
        </row>
        <row r="6">
          <cell r="D6">
            <v>212.44800000000001</v>
          </cell>
        </row>
        <row r="10">
          <cell r="D10">
            <v>541.03800000000001</v>
          </cell>
        </row>
        <row r="11">
          <cell r="D11">
            <v>0</v>
          </cell>
        </row>
        <row r="13">
          <cell r="D13">
            <v>1266.6399999999999</v>
          </cell>
        </row>
        <row r="15">
          <cell r="D15">
            <v>519.101</v>
          </cell>
        </row>
        <row r="19">
          <cell r="D19">
            <v>612.88000000000011</v>
          </cell>
        </row>
        <row r="27">
          <cell r="D27">
            <v>323.92520000000002</v>
          </cell>
        </row>
        <row r="28">
          <cell r="D28">
            <v>311.54999999999995</v>
          </cell>
        </row>
        <row r="29">
          <cell r="D29">
            <v>843.81999999999994</v>
          </cell>
        </row>
        <row r="31">
          <cell r="D31">
            <v>156.29</v>
          </cell>
        </row>
        <row r="32">
          <cell r="D32">
            <v>1095.9000000000001</v>
          </cell>
        </row>
        <row r="34">
          <cell r="D34">
            <v>1100.72</v>
          </cell>
        </row>
        <row r="35">
          <cell r="D35">
            <v>343.56</v>
          </cell>
        </row>
        <row r="37">
          <cell r="D37">
            <v>10</v>
          </cell>
        </row>
        <row r="39">
          <cell r="D39">
            <v>238.39</v>
          </cell>
        </row>
        <row r="42">
          <cell r="D42">
            <v>123.73</v>
          </cell>
        </row>
        <row r="45">
          <cell r="D45">
            <v>1</v>
          </cell>
        </row>
        <row r="46">
          <cell r="D46">
            <v>27.2</v>
          </cell>
        </row>
        <row r="47">
          <cell r="D47">
            <v>3</v>
          </cell>
        </row>
        <row r="48">
          <cell r="D48">
            <v>2</v>
          </cell>
        </row>
        <row r="54">
          <cell r="D54">
            <v>17.22</v>
          </cell>
        </row>
        <row r="56">
          <cell r="D56">
            <v>8</v>
          </cell>
        </row>
        <row r="57">
          <cell r="D57">
            <v>77.22</v>
          </cell>
        </row>
        <row r="58">
          <cell r="D58">
            <v>8</v>
          </cell>
        </row>
        <row r="62">
          <cell r="D62">
            <v>10.91</v>
          </cell>
        </row>
        <row r="64">
          <cell r="D64">
            <v>49.02</v>
          </cell>
        </row>
        <row r="69">
          <cell r="D69">
            <v>262.52999999999997</v>
          </cell>
        </row>
        <row r="70">
          <cell r="D70">
            <v>616.99</v>
          </cell>
        </row>
        <row r="71">
          <cell r="D71">
            <v>20</v>
          </cell>
        </row>
        <row r="75">
          <cell r="D75">
            <v>25</v>
          </cell>
        </row>
        <row r="76">
          <cell r="D76">
            <v>17</v>
          </cell>
        </row>
        <row r="79">
          <cell r="D79">
            <v>3</v>
          </cell>
        </row>
        <row r="83">
          <cell r="D83">
            <v>3</v>
          </cell>
        </row>
        <row r="84">
          <cell r="D84">
            <v>3</v>
          </cell>
        </row>
        <row r="85">
          <cell r="D85">
            <v>8</v>
          </cell>
        </row>
        <row r="86">
          <cell r="D86">
            <v>5</v>
          </cell>
        </row>
        <row r="95">
          <cell r="D95">
            <v>9</v>
          </cell>
        </row>
        <row r="103">
          <cell r="D103">
            <v>110</v>
          </cell>
        </row>
        <row r="111">
          <cell r="D111">
            <v>68</v>
          </cell>
        </row>
        <row r="112">
          <cell r="D112">
            <v>4871.5</v>
          </cell>
        </row>
        <row r="114">
          <cell r="D114">
            <v>571.22</v>
          </cell>
        </row>
        <row r="145">
          <cell r="D145">
            <v>1</v>
          </cell>
        </row>
        <row r="146">
          <cell r="D146">
            <v>11</v>
          </cell>
        </row>
        <row r="150">
          <cell r="D150">
            <v>6</v>
          </cell>
        </row>
        <row r="151">
          <cell r="D151">
            <v>2</v>
          </cell>
        </row>
        <row r="152">
          <cell r="D152">
            <v>6</v>
          </cell>
        </row>
        <row r="154">
          <cell r="D154">
            <v>6</v>
          </cell>
        </row>
        <row r="156">
          <cell r="D156">
            <v>11</v>
          </cell>
        </row>
        <row r="159">
          <cell r="D159">
            <v>1020.9000000000001</v>
          </cell>
        </row>
        <row r="168">
          <cell r="D168">
            <v>2</v>
          </cell>
        </row>
        <row r="170">
          <cell r="D170">
            <v>3</v>
          </cell>
        </row>
        <row r="173">
          <cell r="D173">
            <v>10</v>
          </cell>
        </row>
        <row r="179">
          <cell r="D179">
            <v>0</v>
          </cell>
        </row>
        <row r="180">
          <cell r="D180">
            <v>0</v>
          </cell>
        </row>
        <row r="181">
          <cell r="D181">
            <v>15</v>
          </cell>
        </row>
        <row r="183">
          <cell r="D183">
            <v>461.67</v>
          </cell>
        </row>
        <row r="184">
          <cell r="D184">
            <v>0</v>
          </cell>
        </row>
        <row r="185">
          <cell r="D185">
            <v>0</v>
          </cell>
        </row>
        <row r="186">
          <cell r="D186">
            <v>2</v>
          </cell>
        </row>
        <row r="187">
          <cell r="D187">
            <v>0</v>
          </cell>
        </row>
        <row r="188">
          <cell r="D188">
            <v>2</v>
          </cell>
        </row>
        <row r="189">
          <cell r="D189">
            <v>2</v>
          </cell>
        </row>
        <row r="190">
          <cell r="D190">
            <v>2</v>
          </cell>
        </row>
        <row r="191">
          <cell r="D191">
            <v>0</v>
          </cell>
        </row>
        <row r="192">
          <cell r="D192">
            <v>0</v>
          </cell>
        </row>
        <row r="193">
          <cell r="D193">
            <v>0</v>
          </cell>
        </row>
        <row r="194">
          <cell r="D194">
            <v>0</v>
          </cell>
        </row>
        <row r="195">
          <cell r="D195">
            <v>8</v>
          </cell>
        </row>
        <row r="196">
          <cell r="D196">
            <v>20</v>
          </cell>
        </row>
        <row r="197">
          <cell r="D197">
            <v>0</v>
          </cell>
        </row>
        <row r="198">
          <cell r="D198">
            <v>0</v>
          </cell>
        </row>
        <row r="199">
          <cell r="D199">
            <v>0</v>
          </cell>
        </row>
      </sheetData>
      <sheetData sheetId="8">
        <row r="15">
          <cell r="G15">
            <v>54</v>
          </cell>
        </row>
        <row r="19">
          <cell r="G19">
            <v>54</v>
          </cell>
        </row>
        <row r="23">
          <cell r="G23">
            <v>15.77</v>
          </cell>
        </row>
        <row r="24">
          <cell r="G24">
            <v>16.88</v>
          </cell>
        </row>
        <row r="27">
          <cell r="G27">
            <v>15.77</v>
          </cell>
        </row>
        <row r="28">
          <cell r="G28">
            <v>16.36</v>
          </cell>
        </row>
        <row r="30">
          <cell r="G30">
            <v>26.33</v>
          </cell>
        </row>
        <row r="35">
          <cell r="G35">
            <v>39.25</v>
          </cell>
        </row>
        <row r="37">
          <cell r="G37">
            <v>16.809999999999999</v>
          </cell>
        </row>
        <row r="38">
          <cell r="G38">
            <v>120.91</v>
          </cell>
        </row>
        <row r="40">
          <cell r="G40">
            <v>1.89</v>
          </cell>
        </row>
        <row r="41">
          <cell r="G41">
            <v>77.36</v>
          </cell>
        </row>
        <row r="44">
          <cell r="G44">
            <v>56</v>
          </cell>
        </row>
        <row r="47">
          <cell r="G47">
            <v>40.61</v>
          </cell>
        </row>
        <row r="48">
          <cell r="G48">
            <v>17.100000000000001</v>
          </cell>
        </row>
        <row r="51">
          <cell r="G51">
            <v>28.89</v>
          </cell>
        </row>
        <row r="63">
          <cell r="G63">
            <v>167.86</v>
          </cell>
        </row>
        <row r="66">
          <cell r="G66">
            <v>6.04</v>
          </cell>
        </row>
        <row r="67">
          <cell r="G67">
            <v>6.81</v>
          </cell>
        </row>
        <row r="77">
          <cell r="G77">
            <v>29.74</v>
          </cell>
        </row>
        <row r="85">
          <cell r="G85">
            <v>1</v>
          </cell>
        </row>
        <row r="88">
          <cell r="G88">
            <v>0.7</v>
          </cell>
        </row>
        <row r="92">
          <cell r="G92">
            <v>2</v>
          </cell>
        </row>
        <row r="101">
          <cell r="G101">
            <v>4</v>
          </cell>
        </row>
        <row r="154">
          <cell r="G154">
            <v>3</v>
          </cell>
        </row>
        <row r="155">
          <cell r="G155">
            <v>3</v>
          </cell>
        </row>
        <row r="159">
          <cell r="G159">
            <v>1</v>
          </cell>
        </row>
        <row r="162">
          <cell r="G162">
            <v>6.54</v>
          </cell>
        </row>
        <row r="168">
          <cell r="G168">
            <v>60</v>
          </cell>
        </row>
        <row r="184">
          <cell r="G184">
            <v>6.51</v>
          </cell>
        </row>
      </sheetData>
      <sheetData sheetId="9">
        <row r="13">
          <cell r="G13">
            <v>1152.03</v>
          </cell>
        </row>
        <row r="14">
          <cell r="G14">
            <v>197.02</v>
          </cell>
        </row>
        <row r="15">
          <cell r="G15">
            <v>196.73</v>
          </cell>
        </row>
        <row r="19">
          <cell r="G19">
            <v>393.75</v>
          </cell>
        </row>
        <row r="22">
          <cell r="G22">
            <v>566.96</v>
          </cell>
        </row>
        <row r="27">
          <cell r="G27">
            <v>132.53</v>
          </cell>
        </row>
        <row r="28">
          <cell r="G28">
            <v>32.5</v>
          </cell>
        </row>
        <row r="30">
          <cell r="G30">
            <v>10</v>
          </cell>
        </row>
        <row r="34">
          <cell r="G34">
            <v>190.81</v>
          </cell>
        </row>
        <row r="37">
          <cell r="G37">
            <v>28.21</v>
          </cell>
        </row>
        <row r="38">
          <cell r="G38">
            <v>540</v>
          </cell>
        </row>
        <row r="40">
          <cell r="G40">
            <v>2</v>
          </cell>
        </row>
        <row r="41">
          <cell r="G41">
            <v>306.5</v>
          </cell>
        </row>
        <row r="44">
          <cell r="G44">
            <v>221.5</v>
          </cell>
        </row>
        <row r="46">
          <cell r="G46">
            <v>5</v>
          </cell>
        </row>
        <row r="48">
          <cell r="G48">
            <v>140.77000000000001</v>
          </cell>
        </row>
        <row r="51">
          <cell r="G51">
            <v>183.12</v>
          </cell>
        </row>
        <row r="54">
          <cell r="G54">
            <v>7</v>
          </cell>
        </row>
        <row r="56">
          <cell r="G56">
            <v>4</v>
          </cell>
        </row>
        <row r="60">
          <cell r="G60">
            <v>5.42</v>
          </cell>
        </row>
        <row r="63">
          <cell r="G63">
            <v>46.7</v>
          </cell>
        </row>
        <row r="66">
          <cell r="G66">
            <v>31.44</v>
          </cell>
        </row>
        <row r="67">
          <cell r="G67">
            <v>8</v>
          </cell>
        </row>
        <row r="71">
          <cell r="G71">
            <v>33.86</v>
          </cell>
        </row>
        <row r="77">
          <cell r="G77">
            <v>21.58</v>
          </cell>
        </row>
        <row r="78">
          <cell r="G78">
            <v>30.04</v>
          </cell>
        </row>
        <row r="79">
          <cell r="G79">
            <v>139.5</v>
          </cell>
        </row>
        <row r="80">
          <cell r="G80">
            <v>15</v>
          </cell>
        </row>
        <row r="86">
          <cell r="G86">
            <v>9</v>
          </cell>
        </row>
        <row r="90">
          <cell r="G90">
            <v>1</v>
          </cell>
        </row>
        <row r="92">
          <cell r="G92">
            <v>4</v>
          </cell>
        </row>
        <row r="93">
          <cell r="G93">
            <v>3</v>
          </cell>
        </row>
        <row r="100">
          <cell r="G100">
            <v>26</v>
          </cell>
        </row>
        <row r="111">
          <cell r="G111">
            <v>1</v>
          </cell>
        </row>
        <row r="119">
          <cell r="G119">
            <v>8</v>
          </cell>
        </row>
        <row r="121">
          <cell r="G121">
            <v>1966.65</v>
          </cell>
        </row>
        <row r="151">
          <cell r="G151">
            <v>11</v>
          </cell>
        </row>
        <row r="153">
          <cell r="G153">
            <v>8</v>
          </cell>
        </row>
        <row r="154">
          <cell r="G154">
            <v>10</v>
          </cell>
        </row>
        <row r="155">
          <cell r="G155">
            <v>16</v>
          </cell>
        </row>
        <row r="159">
          <cell r="G159">
            <v>4</v>
          </cell>
        </row>
        <row r="161">
          <cell r="G161">
            <v>5</v>
          </cell>
        </row>
        <row r="163">
          <cell r="G163">
            <v>2</v>
          </cell>
        </row>
        <row r="164">
          <cell r="G164">
            <v>1</v>
          </cell>
        </row>
        <row r="168">
          <cell r="G168">
            <v>306.5</v>
          </cell>
        </row>
        <row r="172">
          <cell r="G172">
            <v>2</v>
          </cell>
        </row>
        <row r="179">
          <cell r="G179">
            <v>1</v>
          </cell>
        </row>
        <row r="190">
          <cell r="G190">
            <v>45.5</v>
          </cell>
        </row>
        <row r="192">
          <cell r="G192">
            <v>203.3</v>
          </cell>
        </row>
        <row r="204">
          <cell r="G204">
            <v>4</v>
          </cell>
        </row>
        <row r="205">
          <cell r="G205">
            <v>15</v>
          </cell>
        </row>
      </sheetData>
      <sheetData sheetId="10">
        <row r="6">
          <cell r="E6">
            <v>5.52</v>
          </cell>
        </row>
        <row r="7">
          <cell r="E7">
            <v>396.74</v>
          </cell>
        </row>
        <row r="11">
          <cell r="E11">
            <v>402.26</v>
          </cell>
        </row>
        <row r="15">
          <cell r="E15">
            <v>5.52</v>
          </cell>
        </row>
        <row r="16">
          <cell r="E16">
            <v>121.69</v>
          </cell>
        </row>
        <row r="19">
          <cell r="E19">
            <v>58.489999999999995</v>
          </cell>
        </row>
        <row r="20">
          <cell r="E20">
            <v>133.76000000000002</v>
          </cell>
        </row>
        <row r="22">
          <cell r="E22">
            <v>187.76999999999998</v>
          </cell>
        </row>
        <row r="26">
          <cell r="E26">
            <v>95.87</v>
          </cell>
        </row>
        <row r="29">
          <cell r="E29">
            <v>164.75</v>
          </cell>
        </row>
        <row r="30">
          <cell r="E30">
            <v>426.09000000000003</v>
          </cell>
        </row>
        <row r="32">
          <cell r="E32">
            <v>10.6</v>
          </cell>
        </row>
        <row r="33">
          <cell r="E33">
            <v>272.67</v>
          </cell>
        </row>
        <row r="35">
          <cell r="E35">
            <v>39</v>
          </cell>
        </row>
        <row r="36">
          <cell r="E36">
            <v>114</v>
          </cell>
        </row>
        <row r="39">
          <cell r="E39">
            <v>129.96</v>
          </cell>
        </row>
        <row r="40">
          <cell r="E40">
            <v>223.71</v>
          </cell>
        </row>
        <row r="43">
          <cell r="E43">
            <v>136.93</v>
          </cell>
        </row>
        <row r="53">
          <cell r="E53">
            <v>3.24</v>
          </cell>
        </row>
        <row r="55">
          <cell r="E55">
            <v>117.67000000000002</v>
          </cell>
        </row>
        <row r="58">
          <cell r="E58">
            <v>30.490000000000002</v>
          </cell>
        </row>
        <row r="59">
          <cell r="E59">
            <v>58.04</v>
          </cell>
        </row>
        <row r="63">
          <cell r="E63">
            <v>118.25</v>
          </cell>
        </row>
        <row r="69">
          <cell r="E69">
            <v>124.24000000000001</v>
          </cell>
        </row>
        <row r="72">
          <cell r="E72">
            <v>10.9</v>
          </cell>
        </row>
        <row r="80">
          <cell r="E80">
            <v>2.5</v>
          </cell>
        </row>
        <row r="84">
          <cell r="E84">
            <v>4</v>
          </cell>
        </row>
        <row r="85">
          <cell r="E85">
            <v>4</v>
          </cell>
        </row>
        <row r="86">
          <cell r="E86">
            <v>5</v>
          </cell>
        </row>
        <row r="87">
          <cell r="E87">
            <v>6</v>
          </cell>
        </row>
        <row r="92">
          <cell r="E92">
            <v>8</v>
          </cell>
        </row>
        <row r="93">
          <cell r="E93">
            <v>30</v>
          </cell>
        </row>
        <row r="101">
          <cell r="E101">
            <v>3</v>
          </cell>
        </row>
        <row r="103">
          <cell r="E103">
            <v>8</v>
          </cell>
        </row>
        <row r="145">
          <cell r="E145">
            <v>3.75</v>
          </cell>
        </row>
        <row r="146">
          <cell r="E146">
            <v>31</v>
          </cell>
        </row>
        <row r="147">
          <cell r="E147">
            <v>22</v>
          </cell>
        </row>
        <row r="151">
          <cell r="E151">
            <v>3</v>
          </cell>
        </row>
        <row r="152">
          <cell r="E152">
            <v>6</v>
          </cell>
        </row>
        <row r="153">
          <cell r="E153">
            <v>21</v>
          </cell>
        </row>
        <row r="154">
          <cell r="E154">
            <v>9.5500000000000007</v>
          </cell>
        </row>
        <row r="155">
          <cell r="E155">
            <v>3</v>
          </cell>
        </row>
        <row r="157">
          <cell r="E157">
            <v>21</v>
          </cell>
        </row>
        <row r="158">
          <cell r="E158">
            <v>15</v>
          </cell>
        </row>
        <row r="159">
          <cell r="E159">
            <v>18.060000000000002</v>
          </cell>
        </row>
        <row r="160">
          <cell r="E160">
            <v>141</v>
          </cell>
        </row>
        <row r="164">
          <cell r="E164">
            <v>3.75</v>
          </cell>
        </row>
        <row r="167">
          <cell r="E167">
            <v>70.739999999999995</v>
          </cell>
        </row>
        <row r="168">
          <cell r="E168">
            <v>2.1800000000000002</v>
          </cell>
        </row>
        <row r="169">
          <cell r="E169">
            <v>2.2999999999999998</v>
          </cell>
        </row>
        <row r="172">
          <cell r="E172">
            <v>72</v>
          </cell>
        </row>
        <row r="175">
          <cell r="E175">
            <v>48.86</v>
          </cell>
        </row>
        <row r="178">
          <cell r="E178">
            <v>18</v>
          </cell>
        </row>
        <row r="182">
          <cell r="E182">
            <v>131.97999999999999</v>
          </cell>
        </row>
        <row r="196">
          <cell r="E196">
            <v>3</v>
          </cell>
        </row>
        <row r="197">
          <cell r="E197">
            <v>20</v>
          </cell>
        </row>
      </sheetData>
      <sheetData sheetId="11">
        <row r="26">
          <cell r="E26">
            <v>3.83</v>
          </cell>
        </row>
        <row r="30">
          <cell r="E30">
            <v>15.32</v>
          </cell>
        </row>
        <row r="43">
          <cell r="E43">
            <v>3.52</v>
          </cell>
        </row>
        <row r="55">
          <cell r="E55">
            <v>63.16</v>
          </cell>
        </row>
        <row r="77">
          <cell r="E77">
            <v>2</v>
          </cell>
        </row>
        <row r="146">
          <cell r="E146">
            <v>1</v>
          </cell>
        </row>
        <row r="182">
          <cell r="E182">
            <v>7.8</v>
          </cell>
        </row>
      </sheetData>
      <sheetData sheetId="12">
        <row r="7">
          <cell r="E7">
            <v>8.31</v>
          </cell>
        </row>
        <row r="11">
          <cell r="E11">
            <v>8.31</v>
          </cell>
        </row>
        <row r="15">
          <cell r="E15">
            <v>3.98</v>
          </cell>
        </row>
        <row r="16">
          <cell r="E16">
            <v>9.89</v>
          </cell>
        </row>
        <row r="19">
          <cell r="E19">
            <v>3.98</v>
          </cell>
        </row>
        <row r="20">
          <cell r="E20">
            <v>7.41</v>
          </cell>
        </row>
        <row r="26">
          <cell r="E26">
            <v>9.23</v>
          </cell>
        </row>
        <row r="29">
          <cell r="E29">
            <v>114.35</v>
          </cell>
        </row>
        <row r="30">
          <cell r="E30">
            <v>49.43</v>
          </cell>
        </row>
        <row r="32">
          <cell r="E32">
            <v>0.23</v>
          </cell>
        </row>
        <row r="33">
          <cell r="E33">
            <v>211.61</v>
          </cell>
        </row>
        <row r="36">
          <cell r="E36">
            <v>15</v>
          </cell>
        </row>
        <row r="39">
          <cell r="E39">
            <v>81.42</v>
          </cell>
        </row>
        <row r="43">
          <cell r="E43">
            <v>2.23</v>
          </cell>
        </row>
        <row r="55">
          <cell r="E55">
            <v>43.24</v>
          </cell>
        </row>
        <row r="59">
          <cell r="E59">
            <v>6.87</v>
          </cell>
        </row>
        <row r="63">
          <cell r="E63">
            <v>4.8899999999999997</v>
          </cell>
        </row>
        <row r="71">
          <cell r="E71">
            <v>18.8</v>
          </cell>
        </row>
        <row r="72">
          <cell r="E72">
            <v>19.2</v>
          </cell>
        </row>
        <row r="93">
          <cell r="E93">
            <v>3</v>
          </cell>
        </row>
        <row r="146">
          <cell r="E146">
            <v>1</v>
          </cell>
        </row>
        <row r="160">
          <cell r="E160">
            <v>15</v>
          </cell>
        </row>
        <row r="178">
          <cell r="E178">
            <v>3</v>
          </cell>
        </row>
        <row r="182">
          <cell r="E182">
            <v>11.4</v>
          </cell>
        </row>
      </sheetData>
      <sheetData sheetId="13">
        <row r="12">
          <cell r="E12">
            <v>45.741</v>
          </cell>
        </row>
        <row r="13">
          <cell r="E13">
            <v>5.134500000000001</v>
          </cell>
        </row>
        <row r="14">
          <cell r="E14">
            <v>29.757599999999996</v>
          </cell>
        </row>
        <row r="15">
          <cell r="E15">
            <v>15.25</v>
          </cell>
        </row>
        <row r="16">
          <cell r="E16">
            <v>95.883099999999999</v>
          </cell>
        </row>
        <row r="17">
          <cell r="E17">
            <v>161.18700000000001</v>
          </cell>
        </row>
        <row r="20">
          <cell r="E20">
            <v>22.8705</v>
          </cell>
        </row>
        <row r="21">
          <cell r="E21">
            <v>86.792999999999992</v>
          </cell>
        </row>
        <row r="22">
          <cell r="E22">
            <v>49.596000000000004</v>
          </cell>
        </row>
        <row r="23">
          <cell r="E23">
            <v>22.8705</v>
          </cell>
        </row>
        <row r="24">
          <cell r="E24">
            <v>98.299999999999983</v>
          </cell>
        </row>
        <row r="30">
          <cell r="E30">
            <v>241.18</v>
          </cell>
        </row>
        <row r="31">
          <cell r="E31">
            <v>166.42000000000002</v>
          </cell>
        </row>
        <row r="32">
          <cell r="E32">
            <v>166.42000000000002</v>
          </cell>
        </row>
        <row r="36">
          <cell r="E36">
            <v>45.96</v>
          </cell>
        </row>
        <row r="37">
          <cell r="E37">
            <v>118.83999999999999</v>
          </cell>
        </row>
        <row r="38">
          <cell r="E38">
            <v>4</v>
          </cell>
        </row>
        <row r="40">
          <cell r="E40">
            <v>56.980000000000004</v>
          </cell>
        </row>
        <row r="41">
          <cell r="E41">
            <v>128.88999999999999</v>
          </cell>
        </row>
        <row r="44">
          <cell r="E44">
            <v>74.429999999999993</v>
          </cell>
        </row>
        <row r="47">
          <cell r="E47">
            <v>7.2</v>
          </cell>
        </row>
        <row r="51">
          <cell r="E51">
            <v>4</v>
          </cell>
        </row>
        <row r="52">
          <cell r="E52">
            <v>8</v>
          </cell>
        </row>
        <row r="54">
          <cell r="E54">
            <v>1</v>
          </cell>
        </row>
        <row r="61">
          <cell r="E61">
            <v>2</v>
          </cell>
        </row>
        <row r="68">
          <cell r="E68">
            <v>1</v>
          </cell>
        </row>
        <row r="69">
          <cell r="E69">
            <v>2</v>
          </cell>
        </row>
        <row r="123">
          <cell r="E123">
            <v>2</v>
          </cell>
        </row>
      </sheetData>
      <sheetData sheetId="14"/>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PRELIM"/>
      <sheetName val="TUBERIA"/>
      <sheetName val="EXCAVA"/>
      <sheetName val="APU BOMBEO Y L. IMPUL."/>
      <sheetName val="RESUMEN OBRAS "/>
      <sheetName val="OPTIMIZACIÓN"/>
      <sheetName val="APU OPTIMIZACIÓN"/>
      <sheetName val="PTAP"/>
      <sheetName val="APU PTAP"/>
      <sheetName val="Tanque de Almacenamiento"/>
      <sheetName val="APU TAL"/>
      <sheetName val=" REDES DE DISTRI"/>
      <sheetName val="APU_Redes"/>
      <sheetName val="ESTAC.  REGULA"/>
      <sheetName val="APU ESTC REGUL "/>
      <sheetName val="REDES ALCANTARILLADO"/>
      <sheetName val="APU REDES ALCANTARILLADO"/>
      <sheetName val="VIA"/>
      <sheetName val="APU VIA"/>
      <sheetName val="SENDEROS"/>
      <sheetName val="APU SENDEROS"/>
      <sheetName val="ResumenGeneral"/>
      <sheetName val="BOCATOMA"/>
      <sheetName val="APU BOCATOMA"/>
      <sheetName val="ADUCCIÓN"/>
      <sheetName val="APU ADUCCIÓN"/>
      <sheetName val="DESARENADOR"/>
      <sheetName val="APU DESARENADOR"/>
      <sheetName val="PLANTA DE TRATAMIENTO"/>
      <sheetName val="APU PLANTA DE TRATAMIENTO"/>
      <sheetName val="APU TANQUE ALMAC"/>
      <sheetName val="CASETA DE OPERACIONES"/>
      <sheetName val="APU CASETA DE OPERACIONES"/>
      <sheetName val="BASE_CTOS"/>
      <sheetName val="BASE_CTOS2"/>
      <sheetName val="BASE_CTOS1"/>
      <sheetName val="Hoja1"/>
      <sheetName val="Hoja2"/>
      <sheetName val="Hoja3"/>
      <sheetName val="Solicitud"/>
      <sheetName val="ID-01A"/>
      <sheetName val="ID-01B"/>
      <sheetName val="ID-01C"/>
      <sheetName val="ID-01D"/>
      <sheetName val="ID-01E"/>
      <sheetName val="ID-01F"/>
      <sheetName val="ID-02"/>
      <sheetName val="ID-03"/>
      <sheetName val="ID-05"/>
      <sheetName val="ID-06"/>
      <sheetName val="PE-01"/>
      <sheetName val="PE-02B"/>
      <sheetName val="PE-03"/>
      <sheetName val="PE-04"/>
      <sheetName val="PE-05A"/>
      <sheetName val="PE-05B"/>
      <sheetName val="PE-06"/>
      <sheetName val="PE-07B"/>
      <sheetName val="PE-07C"/>
      <sheetName val="PE-08A"/>
      <sheetName val="PE-08B"/>
      <sheetName val="PE-09(a)"/>
      <sheetName val="PE-09(b)"/>
      <sheetName val="PE-09(c)"/>
      <sheetName val="PE-10"/>
      <sheetName val="FS-01(h)"/>
      <sheetName val="FS-02"/>
      <sheetName val="FS-03"/>
      <sheetName val="FF-01"/>
      <sheetName val="FS-01(h) (2)"/>
      <sheetName val="FS-02 (2)"/>
      <sheetName val="FF-01 (2)"/>
      <sheetName val="POI Físico"/>
      <sheetName val="POI Financiero"/>
      <sheetName val="FLUJO DE FONDOS "/>
      <sheetName val="PRESTACIONES"/>
      <sheetName val="BASE SALARIOS"/>
      <sheetName val="BASE CONCRETOS"/>
      <sheetName val="CUADRO RESUMEN"/>
      <sheetName val="PRESUPUESTO"/>
      <sheetName val="APU"/>
      <sheetName val="Tabla 1.1"/>
      <sheetName val="CANALETA9"/>
      <sheetName val="FS-01(h)_(2)"/>
      <sheetName val="FS-02_(2)"/>
      <sheetName val="FF-01_(2)"/>
      <sheetName val="POI_Físico"/>
      <sheetName val="POI_Financiero"/>
      <sheetName val="FLUJO_DE_FONDOS_"/>
      <sheetName val="BASE_SALARIOS"/>
      <sheetName val="BASE_CONCRETOS"/>
      <sheetName val="CUADRO_RESUMEN"/>
      <sheetName val="RESUMEN_OBRAS_"/>
      <sheetName val="_REDES_DE_DISTRI"/>
      <sheetName val="APU_OPTIMIZACIÓN"/>
      <sheetName val="APU_PTAP"/>
      <sheetName val="Tanque_de_Almacenamiento"/>
      <sheetName val="APU_TAL"/>
      <sheetName val="ESTAC___REGULA"/>
      <sheetName val="APU_ESTC_REGUL_"/>
      <sheetName val="REDES_ALCANTARILLADO"/>
      <sheetName val="APU_REDES_ALCANTARILLADO"/>
      <sheetName val="APU_VIA"/>
      <sheetName val="APU_SENDEROS"/>
    </sheetNames>
    <sheetDataSet>
      <sheetData sheetId="0" refreshError="1"/>
      <sheetData sheetId="1" refreshError="1"/>
      <sheetData sheetId="2" refreshError="1">
        <row r="3">
          <cell r="C3">
            <v>0.25</v>
          </cell>
        </row>
        <row r="392">
          <cell r="D392">
            <v>71500</v>
          </cell>
        </row>
        <row r="394">
          <cell r="D394">
            <v>19800</v>
          </cell>
        </row>
        <row r="395">
          <cell r="D395">
            <v>14400</v>
          </cell>
        </row>
        <row r="396">
          <cell r="D396">
            <v>7250</v>
          </cell>
        </row>
        <row r="401">
          <cell r="D401">
            <v>5120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4. G1 Norte"/>
      <sheetName val="4__G1_Norte2"/>
      <sheetName val="4__G1_Norte"/>
      <sheetName val="4__G1_Norte1"/>
      <sheetName val="BASE"/>
    </sheetNames>
    <sheetDataSet>
      <sheetData sheetId="0">
        <row r="5">
          <cell r="A5">
            <v>4010000</v>
          </cell>
          <cell r="B5" t="str">
            <v>ACTIVIDADES PRELIMINARES</v>
          </cell>
          <cell r="D5">
            <v>0</v>
          </cell>
          <cell r="E5">
            <v>0</v>
          </cell>
          <cell r="F5">
            <v>62910244</v>
          </cell>
        </row>
        <row r="6">
          <cell r="A6">
            <v>4015100</v>
          </cell>
          <cell r="B6" t="str">
            <v>DEMOL. DE CORDONES Y CUNETAS</v>
          </cell>
          <cell r="D6">
            <v>0</v>
          </cell>
          <cell r="E6">
            <v>0</v>
          </cell>
          <cell r="F6">
            <v>1676272</v>
          </cell>
        </row>
        <row r="7">
          <cell r="A7">
            <v>4015103</v>
          </cell>
          <cell r="B7" t="str">
            <v>Demolición de cordones</v>
          </cell>
          <cell r="C7" t="str">
            <v>m3</v>
          </cell>
          <cell r="D7">
            <v>26</v>
          </cell>
          <cell r="E7">
            <v>64472</v>
          </cell>
          <cell r="F7">
            <v>1676272</v>
          </cell>
        </row>
        <row r="8">
          <cell r="A8">
            <v>4015200</v>
          </cell>
          <cell r="B8" t="str">
            <v>DEMOLICIÓN DE ANDENES</v>
          </cell>
          <cell r="D8">
            <v>0</v>
          </cell>
          <cell r="E8">
            <v>0</v>
          </cell>
          <cell r="F8">
            <v>58275360</v>
          </cell>
        </row>
        <row r="9">
          <cell r="A9">
            <v>4015201</v>
          </cell>
          <cell r="B9" t="str">
            <v>Demolición de andenes</v>
          </cell>
          <cell r="C9" t="str">
            <v>m3</v>
          </cell>
          <cell r="D9">
            <v>990</v>
          </cell>
          <cell r="E9">
            <v>58864</v>
          </cell>
          <cell r="F9">
            <v>58275360</v>
          </cell>
        </row>
        <row r="10">
          <cell r="A10">
            <v>4015300</v>
          </cell>
          <cell r="B10" t="str">
            <v>DEMOL. C.I. Y TUB. CTO. EMPOT.</v>
          </cell>
          <cell r="D10">
            <v>0</v>
          </cell>
          <cell r="E10">
            <v>0</v>
          </cell>
          <cell r="F10">
            <v>198464</v>
          </cell>
        </row>
        <row r="11">
          <cell r="A11">
            <v>4015322</v>
          </cell>
          <cell r="B11" t="str">
            <v>Demolición de cajas válvulas</v>
          </cell>
          <cell r="C11" t="str">
            <v>un</v>
          </cell>
          <cell r="D11">
            <v>32</v>
          </cell>
          <cell r="E11">
            <v>6202</v>
          </cell>
          <cell r="F11">
            <v>198464</v>
          </cell>
        </row>
        <row r="12">
          <cell r="A12">
            <v>4015400</v>
          </cell>
          <cell r="B12" t="str">
            <v>DEMOLICIÓN DE SUMIDEROS</v>
          </cell>
          <cell r="D12">
            <v>0</v>
          </cell>
          <cell r="E12">
            <v>0</v>
          </cell>
          <cell r="F12">
            <v>209400</v>
          </cell>
        </row>
        <row r="13">
          <cell r="A13">
            <v>4015401</v>
          </cell>
          <cell r="B13" t="str">
            <v>Demolicion de sumideros</v>
          </cell>
          <cell r="C13" t="str">
            <v>un</v>
          </cell>
          <cell r="D13">
            <v>5</v>
          </cell>
          <cell r="E13">
            <v>41880</v>
          </cell>
          <cell r="F13">
            <v>209400</v>
          </cell>
        </row>
        <row r="14">
          <cell r="A14">
            <v>4015500</v>
          </cell>
          <cell r="B14" t="str">
            <v>DEMOLICIONES EN EDIFICACIONES</v>
          </cell>
          <cell r="D14">
            <v>0</v>
          </cell>
          <cell r="E14">
            <v>0</v>
          </cell>
          <cell r="F14">
            <v>2550748</v>
          </cell>
        </row>
        <row r="15">
          <cell r="A15">
            <v>4015521</v>
          </cell>
          <cell r="B15" t="str">
            <v>Demolición muro bloque y ladri</v>
          </cell>
          <cell r="C15" t="str">
            <v>m3</v>
          </cell>
          <cell r="D15">
            <v>10</v>
          </cell>
          <cell r="E15">
            <v>49846</v>
          </cell>
          <cell r="F15">
            <v>498460</v>
          </cell>
        </row>
        <row r="16">
          <cell r="A16">
            <v>4015536</v>
          </cell>
          <cell r="B16" t="str">
            <v>Demolición obras en concreto</v>
          </cell>
          <cell r="C16" t="str">
            <v>m3</v>
          </cell>
          <cell r="D16">
            <v>24</v>
          </cell>
          <cell r="E16">
            <v>85512</v>
          </cell>
          <cell r="F16">
            <v>2052288</v>
          </cell>
        </row>
        <row r="17">
          <cell r="A17">
            <v>0</v>
          </cell>
        </row>
        <row r="18">
          <cell r="A18">
            <v>4020000</v>
          </cell>
          <cell r="B18" t="str">
            <v>EXCAVACIONES Y LLENOS ESTRUCT.</v>
          </cell>
          <cell r="D18">
            <v>0</v>
          </cell>
          <cell r="E18">
            <v>0</v>
          </cell>
          <cell r="F18">
            <v>268584624</v>
          </cell>
        </row>
        <row r="19">
          <cell r="A19">
            <v>4021100</v>
          </cell>
          <cell r="B19" t="str">
            <v>EXCAVACIONES MAT. COMÚN SECO</v>
          </cell>
          <cell r="D19">
            <v>0</v>
          </cell>
          <cell r="E19">
            <v>0</v>
          </cell>
          <cell r="F19">
            <v>56438550</v>
          </cell>
        </row>
        <row r="20">
          <cell r="A20">
            <v>4021103</v>
          </cell>
          <cell r="B20" t="str">
            <v>Excavación mat. común seco&lt;2m</v>
          </cell>
          <cell r="C20" t="str">
            <v>m3</v>
          </cell>
          <cell r="D20">
            <v>5985</v>
          </cell>
          <cell r="E20">
            <v>9430</v>
          </cell>
          <cell r="F20">
            <v>56438550</v>
          </cell>
        </row>
        <row r="21">
          <cell r="A21">
            <v>4021300</v>
          </cell>
          <cell r="B21" t="str">
            <v>EXCAVACIONES EN ROCA</v>
          </cell>
          <cell r="D21">
            <v>0</v>
          </cell>
          <cell r="E21">
            <v>0</v>
          </cell>
          <cell r="F21">
            <v>18831890</v>
          </cell>
        </row>
        <row r="22">
          <cell r="A22">
            <v>4021303</v>
          </cell>
          <cell r="B22" t="str">
            <v>Excavación roca a cualq. prof.</v>
          </cell>
          <cell r="C22" t="str">
            <v>m3</v>
          </cell>
          <cell r="D22">
            <v>259</v>
          </cell>
          <cell r="E22">
            <v>72710</v>
          </cell>
          <cell r="F22">
            <v>18831890</v>
          </cell>
        </row>
        <row r="23">
          <cell r="A23">
            <v>4021500</v>
          </cell>
          <cell r="B23" t="str">
            <v>EXCAVACIÓN NICHOS Y OTROS</v>
          </cell>
          <cell r="D23">
            <v>0</v>
          </cell>
          <cell r="E23">
            <v>0</v>
          </cell>
          <cell r="F23">
            <v>39399984</v>
          </cell>
        </row>
        <row r="24">
          <cell r="A24">
            <v>4021503</v>
          </cell>
          <cell r="B24" t="str">
            <v>Excavac.lle y ap.nicho m.s&lt;2m In.bo</v>
          </cell>
          <cell r="C24" t="str">
            <v>m3</v>
          </cell>
          <cell r="D24">
            <v>1619</v>
          </cell>
          <cell r="E24">
            <v>24336</v>
          </cell>
          <cell r="F24">
            <v>39399984</v>
          </cell>
        </row>
        <row r="25">
          <cell r="A25">
            <v>4024100</v>
          </cell>
          <cell r="B25" t="str">
            <v>LLENOS EN ZANJAS Y APIQUES</v>
          </cell>
          <cell r="D25">
            <v>0</v>
          </cell>
          <cell r="E25">
            <v>0</v>
          </cell>
          <cell r="F25">
            <v>53014904</v>
          </cell>
        </row>
        <row r="26">
          <cell r="A26">
            <v>4024103</v>
          </cell>
          <cell r="B26" t="str">
            <v>Lleno ap.z. y apiq.material selecto</v>
          </cell>
          <cell r="C26" t="str">
            <v>m3</v>
          </cell>
          <cell r="D26">
            <v>1663</v>
          </cell>
          <cell r="E26">
            <v>10688</v>
          </cell>
          <cell r="F26">
            <v>17774144</v>
          </cell>
        </row>
        <row r="27">
          <cell r="A27">
            <v>4024112</v>
          </cell>
          <cell r="B27" t="str">
            <v>Lleno ap.z. y apiq. mat. prestamo</v>
          </cell>
          <cell r="C27" t="str">
            <v>m3</v>
          </cell>
          <cell r="D27">
            <v>1590</v>
          </cell>
          <cell r="E27">
            <v>22164</v>
          </cell>
          <cell r="F27">
            <v>35240760</v>
          </cell>
        </row>
        <row r="28">
          <cell r="A28">
            <v>4025000</v>
          </cell>
          <cell r="B28" t="str">
            <v>CARGUE, RETIRO Y BOTADA MAT.S.</v>
          </cell>
          <cell r="D28">
            <v>0</v>
          </cell>
          <cell r="E28">
            <v>0</v>
          </cell>
          <cell r="F28">
            <v>100899296</v>
          </cell>
        </row>
        <row r="29">
          <cell r="A29">
            <v>4025001</v>
          </cell>
          <cell r="B29" t="str">
            <v>Cargue,ret. y bot. m.sobran.</v>
          </cell>
          <cell r="C29" t="str">
            <v>m3</v>
          </cell>
          <cell r="D29">
            <v>4588</v>
          </cell>
          <cell r="E29">
            <v>21992</v>
          </cell>
          <cell r="F29">
            <v>100899296</v>
          </cell>
        </row>
        <row r="30">
          <cell r="A30">
            <v>0</v>
          </cell>
        </row>
        <row r="31">
          <cell r="A31">
            <v>4030000</v>
          </cell>
          <cell r="B31" t="str">
            <v>PAVIMENTOS</v>
          </cell>
          <cell r="D31">
            <v>0</v>
          </cell>
          <cell r="E31">
            <v>0</v>
          </cell>
          <cell r="F31">
            <v>264236671</v>
          </cell>
        </row>
        <row r="32">
          <cell r="A32">
            <v>4030100</v>
          </cell>
          <cell r="B32" t="str">
            <v>CORTE Y RETIRO DE PAVIMENTO</v>
          </cell>
          <cell r="D32">
            <v>0</v>
          </cell>
          <cell r="E32">
            <v>0</v>
          </cell>
          <cell r="F32">
            <v>30564947</v>
          </cell>
        </row>
        <row r="33">
          <cell r="A33">
            <v>4030101</v>
          </cell>
          <cell r="B33" t="str">
            <v>Corte y ret. pav. asf. e&lt; 10cm</v>
          </cell>
          <cell r="C33" t="str">
            <v>m3</v>
          </cell>
          <cell r="D33">
            <v>223</v>
          </cell>
          <cell r="E33">
            <v>57629</v>
          </cell>
          <cell r="F33">
            <v>12851267</v>
          </cell>
        </row>
        <row r="34">
          <cell r="A34">
            <v>4030103</v>
          </cell>
          <cell r="B34" t="str">
            <v>Corte y ret. pav. Cto. e&lt; 20cm</v>
          </cell>
          <cell r="C34" t="str">
            <v>m3</v>
          </cell>
          <cell r="D34">
            <v>240</v>
          </cell>
          <cell r="E34">
            <v>73807</v>
          </cell>
          <cell r="F34">
            <v>17713680</v>
          </cell>
        </row>
        <row r="35">
          <cell r="A35">
            <v>4030300</v>
          </cell>
          <cell r="B35" t="str">
            <v>BASE GRANULAR</v>
          </cell>
          <cell r="D35">
            <v>0</v>
          </cell>
          <cell r="E35">
            <v>0</v>
          </cell>
          <cell r="F35">
            <v>79287264</v>
          </cell>
        </row>
        <row r="36">
          <cell r="A36">
            <v>4030301</v>
          </cell>
          <cell r="B36" t="str">
            <v>STC y comp. base granular</v>
          </cell>
          <cell r="C36" t="str">
            <v>m3</v>
          </cell>
          <cell r="D36">
            <v>1407</v>
          </cell>
          <cell r="E36">
            <v>56352</v>
          </cell>
          <cell r="F36">
            <v>79287264</v>
          </cell>
        </row>
        <row r="37">
          <cell r="A37">
            <v>4030700</v>
          </cell>
          <cell r="B37" t="str">
            <v>CONCRETO ASFÁLTICO</v>
          </cell>
          <cell r="D37">
            <v>0</v>
          </cell>
          <cell r="E37">
            <v>0</v>
          </cell>
          <cell r="F37">
            <v>81025340</v>
          </cell>
        </row>
        <row r="38">
          <cell r="A38">
            <v>4030706</v>
          </cell>
          <cell r="B38" t="str">
            <v>STC C.pav.asf.z.y ap-proyectos</v>
          </cell>
          <cell r="C38" t="str">
            <v>m3</v>
          </cell>
          <cell r="D38">
            <v>212</v>
          </cell>
          <cell r="E38">
            <v>382195</v>
          </cell>
          <cell r="F38">
            <v>81025340</v>
          </cell>
        </row>
        <row r="39">
          <cell r="A39">
            <v>4030800</v>
          </cell>
          <cell r="B39" t="str">
            <v>PAVIMENTOS RÍGIDOS</v>
          </cell>
          <cell r="D39">
            <v>0</v>
          </cell>
          <cell r="E39">
            <v>0</v>
          </cell>
          <cell r="F39">
            <v>73359120</v>
          </cell>
        </row>
        <row r="40">
          <cell r="A40">
            <v>4030801</v>
          </cell>
          <cell r="B40" t="str">
            <v>Reconst.pav.Cto.28 Mpa-e=0.20</v>
          </cell>
          <cell r="C40" t="str">
            <v>m3</v>
          </cell>
          <cell r="D40">
            <v>240</v>
          </cell>
          <cell r="E40">
            <v>305663</v>
          </cell>
          <cell r="F40">
            <v>73359120</v>
          </cell>
        </row>
        <row r="41">
          <cell r="A41">
            <v>0</v>
          </cell>
        </row>
        <row r="42">
          <cell r="A42">
            <v>4040000</v>
          </cell>
          <cell r="B42" t="str">
            <v>OBRAS VARIAS</v>
          </cell>
          <cell r="D42">
            <v>0</v>
          </cell>
          <cell r="E42">
            <v>0</v>
          </cell>
          <cell r="F42">
            <v>645067350</v>
          </cell>
        </row>
        <row r="43">
          <cell r="A43">
            <v>4040100</v>
          </cell>
          <cell r="B43" t="str">
            <v>CUNETAS</v>
          </cell>
          <cell r="D43">
            <v>0</v>
          </cell>
          <cell r="E43">
            <v>0</v>
          </cell>
          <cell r="F43">
            <v>749528</v>
          </cell>
        </row>
        <row r="44">
          <cell r="A44">
            <v>4040130</v>
          </cell>
          <cell r="B44" t="str">
            <v>Reconst. cunetas Cto.-Esq. 10</v>
          </cell>
          <cell r="C44" t="str">
            <v>m</v>
          </cell>
          <cell r="D44">
            <v>26</v>
          </cell>
          <cell r="E44">
            <v>28828</v>
          </cell>
          <cell r="F44">
            <v>749528</v>
          </cell>
        </row>
        <row r="45">
          <cell r="A45">
            <v>4040300</v>
          </cell>
          <cell r="B45" t="str">
            <v>ANDENES</v>
          </cell>
          <cell r="D45">
            <v>0</v>
          </cell>
          <cell r="E45">
            <v>0</v>
          </cell>
          <cell r="F45">
            <v>556310268</v>
          </cell>
        </row>
        <row r="46">
          <cell r="A46">
            <v>4040301</v>
          </cell>
          <cell r="B46" t="str">
            <v>Rec. anden Cto. con escalas</v>
          </cell>
          <cell r="C46" t="str">
            <v>m2</v>
          </cell>
          <cell r="D46">
            <v>12793</v>
          </cell>
          <cell r="E46">
            <v>42366</v>
          </cell>
          <cell r="F46">
            <v>541988238</v>
          </cell>
        </row>
        <row r="47">
          <cell r="A47">
            <v>4040310</v>
          </cell>
          <cell r="B47" t="str">
            <v>Rec. anden granito con escalas</v>
          </cell>
          <cell r="C47" t="str">
            <v>m2</v>
          </cell>
          <cell r="D47">
            <v>50</v>
          </cell>
          <cell r="E47">
            <v>49870</v>
          </cell>
          <cell r="F47">
            <v>2493500</v>
          </cell>
        </row>
        <row r="48">
          <cell r="A48">
            <v>4040323</v>
          </cell>
          <cell r="B48" t="str">
            <v>Rec.anden vitrific.sin escalas</v>
          </cell>
          <cell r="C48" t="str">
            <v>m2</v>
          </cell>
          <cell r="D48">
            <v>100</v>
          </cell>
          <cell r="E48">
            <v>53848</v>
          </cell>
          <cell r="F48">
            <v>5384800</v>
          </cell>
        </row>
        <row r="49">
          <cell r="A49">
            <v>4040333</v>
          </cell>
          <cell r="B49" t="str">
            <v>Rec. anden arenón sin escalas</v>
          </cell>
          <cell r="C49" t="str">
            <v>m2</v>
          </cell>
          <cell r="D49">
            <v>100</v>
          </cell>
          <cell r="E49">
            <v>59010</v>
          </cell>
          <cell r="F49">
            <v>5901000</v>
          </cell>
        </row>
        <row r="50">
          <cell r="A50">
            <v>4040345</v>
          </cell>
          <cell r="B50" t="str">
            <v>Rec. anden adoquin-colocación</v>
          </cell>
          <cell r="C50" t="str">
            <v>m2</v>
          </cell>
          <cell r="D50">
            <v>30</v>
          </cell>
          <cell r="E50">
            <v>18091</v>
          </cell>
          <cell r="F50">
            <v>542730</v>
          </cell>
        </row>
        <row r="51">
          <cell r="A51">
            <v>4040600</v>
          </cell>
          <cell r="B51" t="str">
            <v>ENGRAMADOS</v>
          </cell>
          <cell r="D51">
            <v>0</v>
          </cell>
          <cell r="E51">
            <v>0</v>
          </cell>
          <cell r="F51">
            <v>5760937</v>
          </cell>
        </row>
        <row r="52">
          <cell r="A52">
            <v>4040601</v>
          </cell>
          <cell r="B52" t="str">
            <v>Engramado con reut.grama exist</v>
          </cell>
          <cell r="C52" t="str">
            <v>m2</v>
          </cell>
          <cell r="D52">
            <v>413</v>
          </cell>
          <cell r="E52">
            <v>5243</v>
          </cell>
          <cell r="F52">
            <v>2165359</v>
          </cell>
        </row>
        <row r="53">
          <cell r="A53">
            <v>4040603</v>
          </cell>
          <cell r="B53" t="str">
            <v>Engramado-STC grama t.macana</v>
          </cell>
          <cell r="C53" t="str">
            <v>m2</v>
          </cell>
          <cell r="D53">
            <v>413</v>
          </cell>
          <cell r="E53">
            <v>8706</v>
          </cell>
          <cell r="F53">
            <v>3595578</v>
          </cell>
        </row>
        <row r="54">
          <cell r="A54">
            <v>4041100</v>
          </cell>
          <cell r="B54" t="str">
            <v>CORTES CON ACETILENO</v>
          </cell>
          <cell r="D54">
            <v>0</v>
          </cell>
          <cell r="E54">
            <v>0</v>
          </cell>
          <cell r="F54">
            <v>19360302</v>
          </cell>
        </row>
        <row r="55">
          <cell r="A55">
            <v>4041101</v>
          </cell>
          <cell r="B55" t="str">
            <v>Cortes tub.acero-incl.biselada</v>
          </cell>
          <cell r="C55" t="str">
            <v>cm</v>
          </cell>
          <cell r="D55">
            <v>24414</v>
          </cell>
          <cell r="E55">
            <v>793</v>
          </cell>
          <cell r="F55">
            <v>19360302</v>
          </cell>
        </row>
        <row r="56">
          <cell r="A56">
            <v>4041200</v>
          </cell>
          <cell r="B56" t="str">
            <v>CORTES SIN ACETILENO</v>
          </cell>
          <cell r="D56">
            <v>0</v>
          </cell>
          <cell r="E56">
            <v>0</v>
          </cell>
          <cell r="F56">
            <v>7018050</v>
          </cell>
        </row>
        <row r="57">
          <cell r="A57">
            <v>4041201</v>
          </cell>
          <cell r="B57" t="str">
            <v>Corte sin acetileno con pulidora</v>
          </cell>
          <cell r="C57" t="str">
            <v>cm</v>
          </cell>
          <cell r="D57">
            <v>8850</v>
          </cell>
          <cell r="E57">
            <v>793</v>
          </cell>
          <cell r="F57">
            <v>7018050</v>
          </cell>
        </row>
        <row r="58">
          <cell r="A58">
            <v>4041300</v>
          </cell>
          <cell r="B58" t="str">
            <v>SOLDADURA</v>
          </cell>
          <cell r="D58">
            <v>0</v>
          </cell>
          <cell r="E58">
            <v>0</v>
          </cell>
          <cell r="F58">
            <v>24738480</v>
          </cell>
        </row>
        <row r="59">
          <cell r="A59">
            <v>4041301</v>
          </cell>
          <cell r="B59" t="str">
            <v>STC Cordon soldadura compl.</v>
          </cell>
          <cell r="C59" t="str">
            <v>cm</v>
          </cell>
          <cell r="D59">
            <v>21144</v>
          </cell>
          <cell r="E59">
            <v>1170</v>
          </cell>
          <cell r="F59">
            <v>24738480</v>
          </cell>
        </row>
        <row r="60">
          <cell r="A60">
            <v>4042100</v>
          </cell>
          <cell r="B60" t="str">
            <v>OTRAS OBRAS VARIAS</v>
          </cell>
          <cell r="D60">
            <v>0</v>
          </cell>
          <cell r="E60">
            <v>0</v>
          </cell>
          <cell r="F60">
            <v>28988769</v>
          </cell>
        </row>
        <row r="61">
          <cell r="A61">
            <v>4042117</v>
          </cell>
          <cell r="B61" t="str">
            <v>STC cinta poliet-re.red 10cm</v>
          </cell>
          <cell r="C61" t="str">
            <v>m</v>
          </cell>
          <cell r="D61">
            <v>10143</v>
          </cell>
          <cell r="E61">
            <v>1419</v>
          </cell>
          <cell r="F61">
            <v>14392917</v>
          </cell>
        </row>
        <row r="62">
          <cell r="A62">
            <v>4042130</v>
          </cell>
          <cell r="B62" t="str">
            <v>Alquiler retroexcav. hr.diurna</v>
          </cell>
          <cell r="C62" t="str">
            <v>h</v>
          </cell>
          <cell r="D62">
            <v>24</v>
          </cell>
          <cell r="E62">
            <v>70668</v>
          </cell>
          <cell r="F62">
            <v>1696032</v>
          </cell>
        </row>
        <row r="63">
          <cell r="A63">
            <v>4042132</v>
          </cell>
          <cell r="B63" t="str">
            <v>Alquiler retroexcav. hr.noctur</v>
          </cell>
          <cell r="C63" t="str">
            <v>h</v>
          </cell>
          <cell r="D63">
            <v>12</v>
          </cell>
          <cell r="E63">
            <v>81068</v>
          </cell>
          <cell r="F63">
            <v>972816</v>
          </cell>
        </row>
        <row r="64">
          <cell r="A64">
            <v>4042136</v>
          </cell>
          <cell r="B64" t="str">
            <v>Alquiler volqueta 6m3 hr.diurn</v>
          </cell>
          <cell r="C64" t="str">
            <v>h</v>
          </cell>
          <cell r="D64">
            <v>24</v>
          </cell>
          <cell r="E64">
            <v>38042</v>
          </cell>
          <cell r="F64">
            <v>913008</v>
          </cell>
        </row>
        <row r="65">
          <cell r="A65">
            <v>4042137</v>
          </cell>
          <cell r="B65" t="str">
            <v>Alquiler volqueta 6m3 hr.noctu</v>
          </cell>
          <cell r="C65" t="str">
            <v>h</v>
          </cell>
          <cell r="D65">
            <v>12</v>
          </cell>
          <cell r="E65">
            <v>47553</v>
          </cell>
          <cell r="F65">
            <v>570636</v>
          </cell>
        </row>
        <row r="66">
          <cell r="A66">
            <v>4042150</v>
          </cell>
          <cell r="B66" t="str">
            <v>Ayudante incluye prestaciones</v>
          </cell>
          <cell r="C66" t="str">
            <v>h</v>
          </cell>
          <cell r="D66">
            <v>960</v>
          </cell>
          <cell r="E66">
            <v>5372</v>
          </cell>
          <cell r="F66">
            <v>5157120</v>
          </cell>
        </row>
        <row r="67">
          <cell r="A67">
            <v>4042152</v>
          </cell>
          <cell r="B67" t="str">
            <v>Oficial incluye prestaciones</v>
          </cell>
          <cell r="C67" t="str">
            <v>h</v>
          </cell>
          <cell r="D67">
            <v>480</v>
          </cell>
          <cell r="E67">
            <v>11013</v>
          </cell>
          <cell r="F67">
            <v>5286240</v>
          </cell>
        </row>
        <row r="68">
          <cell r="A68">
            <v>4042200</v>
          </cell>
          <cell r="B68" t="str">
            <v>OTRAS OBRAS VARIAS-CONTINUACIÓN</v>
          </cell>
          <cell r="D68">
            <v>0</v>
          </cell>
          <cell r="E68">
            <v>0</v>
          </cell>
          <cell r="F68">
            <v>2141016</v>
          </cell>
        </row>
        <row r="69">
          <cell r="A69">
            <v>4042201</v>
          </cell>
          <cell r="B69" t="str">
            <v>Compresor 125 P3/min-in.mart.d</v>
          </cell>
          <cell r="C69" t="str">
            <v>h</v>
          </cell>
          <cell r="D69">
            <v>24</v>
          </cell>
          <cell r="E69">
            <v>53259</v>
          </cell>
          <cell r="F69">
            <v>1278216</v>
          </cell>
        </row>
        <row r="70">
          <cell r="A70">
            <v>4042203</v>
          </cell>
          <cell r="B70" t="str">
            <v>Compresor 125 P3/min-in.mart.n</v>
          </cell>
          <cell r="C70" t="str">
            <v>h</v>
          </cell>
          <cell r="D70">
            <v>12</v>
          </cell>
          <cell r="E70">
            <v>71900</v>
          </cell>
          <cell r="F70">
            <v>862800</v>
          </cell>
        </row>
        <row r="71">
          <cell r="A71">
            <v>0</v>
          </cell>
        </row>
        <row r="72">
          <cell r="A72">
            <v>4050000</v>
          </cell>
          <cell r="B72" t="str">
            <v>FABRICACIÓN Y UTILIZACIÓN CTO.</v>
          </cell>
          <cell r="D72">
            <v>0</v>
          </cell>
          <cell r="E72">
            <v>0</v>
          </cell>
          <cell r="F72">
            <v>3510676</v>
          </cell>
        </row>
        <row r="73">
          <cell r="A73">
            <v>4051100</v>
          </cell>
          <cell r="B73" t="str">
            <v>CONCRETOS DE 21 MPa</v>
          </cell>
          <cell r="D73">
            <v>0</v>
          </cell>
          <cell r="E73">
            <v>0</v>
          </cell>
          <cell r="F73">
            <v>3510676</v>
          </cell>
        </row>
        <row r="74">
          <cell r="A74">
            <v>4051101</v>
          </cell>
          <cell r="B74" t="str">
            <v>STC Cto.21MPa em.tuxve-an-ap</v>
          </cell>
          <cell r="C74" t="str">
            <v>m3</v>
          </cell>
          <cell r="D74">
            <v>13</v>
          </cell>
          <cell r="E74">
            <v>270052</v>
          </cell>
          <cell r="F74">
            <v>3510676</v>
          </cell>
        </row>
        <row r="75">
          <cell r="A75">
            <v>0</v>
          </cell>
        </row>
        <row r="76">
          <cell r="A76">
            <v>4060000</v>
          </cell>
          <cell r="B76" t="str">
            <v>ACERO DE REFUERZO</v>
          </cell>
          <cell r="D76">
            <v>0</v>
          </cell>
          <cell r="E76">
            <v>0</v>
          </cell>
          <cell r="F76">
            <v>555420</v>
          </cell>
        </row>
        <row r="77">
          <cell r="A77">
            <v>4060100</v>
          </cell>
          <cell r="B77" t="str">
            <v>BARRAS DE ACERO DE REFUERZO</v>
          </cell>
          <cell r="D77">
            <v>0</v>
          </cell>
          <cell r="E77">
            <v>0</v>
          </cell>
          <cell r="F77">
            <v>555420</v>
          </cell>
        </row>
        <row r="78">
          <cell r="A78">
            <v>4060120</v>
          </cell>
          <cell r="B78" t="str">
            <v>S.T.F.C.acero refuerzo 420 MPa 1/2"</v>
          </cell>
          <cell r="C78" t="str">
            <v>kg</v>
          </cell>
          <cell r="D78">
            <v>60</v>
          </cell>
          <cell r="E78">
            <v>3710</v>
          </cell>
          <cell r="F78">
            <v>222600</v>
          </cell>
        </row>
        <row r="79">
          <cell r="A79">
            <v>4060122</v>
          </cell>
          <cell r="B79" t="str">
            <v>S.T.F.C.acero refuerzo 420 MPa 3/8"</v>
          </cell>
          <cell r="C79" t="str">
            <v>kg</v>
          </cell>
          <cell r="D79">
            <v>60</v>
          </cell>
          <cell r="E79">
            <v>5547</v>
          </cell>
          <cell r="F79">
            <v>332820</v>
          </cell>
        </row>
        <row r="80">
          <cell r="A80">
            <v>0</v>
          </cell>
        </row>
        <row r="81">
          <cell r="A81">
            <v>4070000</v>
          </cell>
          <cell r="B81" t="str">
            <v>REDES DISTRIB.ACOM.YCOND.ACDTO</v>
          </cell>
          <cell r="D81">
            <v>0</v>
          </cell>
          <cell r="E81">
            <v>0</v>
          </cell>
          <cell r="F81">
            <v>638555084</v>
          </cell>
        </row>
        <row r="82">
          <cell r="A82">
            <v>4071000</v>
          </cell>
          <cell r="B82" t="str">
            <v>TUBERÍAS DE ACERO</v>
          </cell>
          <cell r="D82">
            <v>0</v>
          </cell>
          <cell r="E82">
            <v>0</v>
          </cell>
          <cell r="F82">
            <v>18457907</v>
          </cell>
        </row>
        <row r="83">
          <cell r="A83">
            <v>4071004</v>
          </cell>
          <cell r="B83" t="str">
            <v>STC Tuberia acero 2"</v>
          </cell>
          <cell r="C83" t="str">
            <v>m</v>
          </cell>
          <cell r="D83">
            <v>10</v>
          </cell>
          <cell r="E83">
            <v>34151</v>
          </cell>
          <cell r="F83">
            <v>341510</v>
          </cell>
        </row>
        <row r="84">
          <cell r="A84">
            <v>4071008</v>
          </cell>
          <cell r="B84" t="str">
            <v>STC Tuberia acero 3"</v>
          </cell>
          <cell r="C84" t="str">
            <v>m</v>
          </cell>
          <cell r="D84">
            <v>113</v>
          </cell>
          <cell r="E84">
            <v>75385</v>
          </cell>
          <cell r="F84">
            <v>8518505</v>
          </cell>
        </row>
        <row r="85">
          <cell r="A85">
            <v>4071010</v>
          </cell>
          <cell r="B85" t="str">
            <v>STC Tuberia acero 4"</v>
          </cell>
          <cell r="C85" t="str">
            <v>m</v>
          </cell>
          <cell r="D85">
            <v>13</v>
          </cell>
          <cell r="E85">
            <v>106533</v>
          </cell>
          <cell r="F85">
            <v>1384929</v>
          </cell>
        </row>
        <row r="86">
          <cell r="A86">
            <v>4071014</v>
          </cell>
          <cell r="B86" t="str">
            <v>STC Tuberia acero 6"</v>
          </cell>
          <cell r="C86" t="str">
            <v>m</v>
          </cell>
          <cell r="D86">
            <v>2</v>
          </cell>
          <cell r="E86">
            <v>184010</v>
          </cell>
          <cell r="F86">
            <v>368020</v>
          </cell>
        </row>
        <row r="87">
          <cell r="A87">
            <v>4071016</v>
          </cell>
          <cell r="B87" t="str">
            <v>STC Tuberia acero 8"</v>
          </cell>
          <cell r="C87" t="str">
            <v>m</v>
          </cell>
          <cell r="D87">
            <v>1</v>
          </cell>
          <cell r="E87">
            <v>274790</v>
          </cell>
          <cell r="F87">
            <v>274790</v>
          </cell>
        </row>
        <row r="88">
          <cell r="A88">
            <v>4071018</v>
          </cell>
          <cell r="B88" t="str">
            <v>STC Tuberia acero 10"</v>
          </cell>
          <cell r="C88" t="str">
            <v>m</v>
          </cell>
          <cell r="D88">
            <v>7</v>
          </cell>
          <cell r="E88">
            <v>387661</v>
          </cell>
          <cell r="F88">
            <v>2713627</v>
          </cell>
        </row>
        <row r="89">
          <cell r="A89">
            <v>4071068</v>
          </cell>
          <cell r="B89" t="str">
            <v>STC Tub. galvanix. pesada 11/2"</v>
          </cell>
          <cell r="C89" t="str">
            <v>m</v>
          </cell>
          <cell r="D89">
            <v>306</v>
          </cell>
          <cell r="E89">
            <v>15871</v>
          </cell>
          <cell r="F89">
            <v>4856526</v>
          </cell>
        </row>
        <row r="90">
          <cell r="A90">
            <v>4071500</v>
          </cell>
          <cell r="B90" t="str">
            <v>TEES Y TAPONES EN ACERO</v>
          </cell>
          <cell r="D90">
            <v>0</v>
          </cell>
          <cell r="E90">
            <v>0</v>
          </cell>
          <cell r="F90">
            <v>21455799</v>
          </cell>
        </row>
        <row r="91">
          <cell r="A91">
            <v>4071531</v>
          </cell>
          <cell r="B91" t="str">
            <v>STC Tee partida R.D 6"x3"</v>
          </cell>
          <cell r="C91" t="str">
            <v>un</v>
          </cell>
          <cell r="D91">
            <v>7</v>
          </cell>
          <cell r="E91">
            <v>2634924</v>
          </cell>
          <cell r="F91">
            <v>18444468</v>
          </cell>
        </row>
        <row r="92">
          <cell r="A92">
            <v>4071541</v>
          </cell>
          <cell r="B92" t="str">
            <v>STC Tee partida R.B 8"x6"</v>
          </cell>
          <cell r="C92" t="str">
            <v>un</v>
          </cell>
          <cell r="D92">
            <v>1</v>
          </cell>
          <cell r="E92">
            <v>3011331</v>
          </cell>
          <cell r="F92">
            <v>3011331</v>
          </cell>
        </row>
        <row r="93">
          <cell r="A93">
            <v>4072000</v>
          </cell>
          <cell r="B93" t="str">
            <v>TUBERÍAS Y ACCESORIOS DE H.D.</v>
          </cell>
          <cell r="D93">
            <v>0</v>
          </cell>
          <cell r="E93">
            <v>0</v>
          </cell>
          <cell r="F93">
            <v>18722245</v>
          </cell>
        </row>
        <row r="94">
          <cell r="A94">
            <v>4072006</v>
          </cell>
          <cell r="B94" t="str">
            <v>STC Tuberia H.D. 6"</v>
          </cell>
          <cell r="C94" t="str">
            <v>m</v>
          </cell>
          <cell r="D94">
            <v>1396</v>
          </cell>
          <cell r="E94">
            <v>13335</v>
          </cell>
          <cell r="F94">
            <v>18615660</v>
          </cell>
        </row>
        <row r="95">
          <cell r="A95">
            <v>4072008</v>
          </cell>
          <cell r="B95" t="str">
            <v>STC Tuberia H.D. 8"</v>
          </cell>
          <cell r="C95" t="str">
            <v>m</v>
          </cell>
          <cell r="D95">
            <v>5</v>
          </cell>
          <cell r="E95">
            <v>21317</v>
          </cell>
          <cell r="F95">
            <v>106585</v>
          </cell>
        </row>
        <row r="96">
          <cell r="A96">
            <v>4072100</v>
          </cell>
          <cell r="B96" t="str">
            <v>CODOS EN H.D.</v>
          </cell>
          <cell r="D96">
            <v>0</v>
          </cell>
          <cell r="E96">
            <v>0</v>
          </cell>
          <cell r="F96">
            <v>9597735</v>
          </cell>
        </row>
        <row r="97">
          <cell r="A97">
            <v>4072152</v>
          </cell>
          <cell r="B97" t="str">
            <v>STC codo H.D-J.R. PVC 45° 6"</v>
          </cell>
          <cell r="C97" t="str">
            <v>un</v>
          </cell>
          <cell r="D97">
            <v>28</v>
          </cell>
          <cell r="E97">
            <v>238066</v>
          </cell>
          <cell r="F97">
            <v>6665848</v>
          </cell>
        </row>
        <row r="98">
          <cell r="A98">
            <v>4072174</v>
          </cell>
          <cell r="B98" t="str">
            <v>STC codo H.D-J.R. PVC 22.5° 6"</v>
          </cell>
          <cell r="C98" t="str">
            <v>un</v>
          </cell>
          <cell r="D98">
            <v>7</v>
          </cell>
          <cell r="E98">
            <v>216762</v>
          </cell>
          <cell r="F98">
            <v>1517334</v>
          </cell>
        </row>
        <row r="99">
          <cell r="A99">
            <v>4072192</v>
          </cell>
          <cell r="B99" t="str">
            <v>STC codo H.D-J.R.PVC 11.25° 6"</v>
          </cell>
          <cell r="C99" t="str">
            <v>un</v>
          </cell>
          <cell r="D99">
            <v>7</v>
          </cell>
          <cell r="E99">
            <v>202079</v>
          </cell>
          <cell r="F99">
            <v>1414553</v>
          </cell>
        </row>
        <row r="100">
          <cell r="A100">
            <v>4072300</v>
          </cell>
          <cell r="B100" t="str">
            <v>REDUCCIONES Y TEES EN H.D.</v>
          </cell>
          <cell r="D100">
            <v>0</v>
          </cell>
          <cell r="E100">
            <v>0</v>
          </cell>
          <cell r="F100">
            <v>16054785</v>
          </cell>
        </row>
        <row r="101">
          <cell r="A101">
            <v>4072302</v>
          </cell>
          <cell r="B101" t="str">
            <v>STC Reduccion H.D-E.L. PVC 3"x2"</v>
          </cell>
          <cell r="C101" t="str">
            <v>un</v>
          </cell>
          <cell r="D101">
            <v>18</v>
          </cell>
          <cell r="E101">
            <v>52691</v>
          </cell>
          <cell r="F101">
            <v>948438</v>
          </cell>
        </row>
        <row r="102">
          <cell r="A102">
            <v>4072304</v>
          </cell>
          <cell r="B102" t="str">
            <v>STC Reduccion H.D-E.L. PVC 4"x2"</v>
          </cell>
          <cell r="C102" t="str">
            <v>un</v>
          </cell>
          <cell r="D102">
            <v>4</v>
          </cell>
          <cell r="E102">
            <v>64822</v>
          </cell>
          <cell r="F102">
            <v>259288</v>
          </cell>
        </row>
        <row r="103">
          <cell r="A103">
            <v>4072306</v>
          </cell>
          <cell r="B103" t="str">
            <v>STC Reduccion H.D-E.L. PVC 4"x3"</v>
          </cell>
          <cell r="C103" t="str">
            <v>un</v>
          </cell>
          <cell r="D103">
            <v>4</v>
          </cell>
          <cell r="E103">
            <v>80039</v>
          </cell>
          <cell r="F103">
            <v>320156</v>
          </cell>
        </row>
        <row r="104">
          <cell r="A104">
            <v>4072354</v>
          </cell>
          <cell r="B104" t="str">
            <v>STC Tee H.D-E.L. PVC 3"x3"</v>
          </cell>
          <cell r="C104" t="str">
            <v>un</v>
          </cell>
          <cell r="D104">
            <v>46</v>
          </cell>
          <cell r="E104">
            <v>98341</v>
          </cell>
          <cell r="F104">
            <v>4523686</v>
          </cell>
        </row>
        <row r="105">
          <cell r="A105">
            <v>4072358</v>
          </cell>
          <cell r="B105" t="str">
            <v>STC Tee H.D-E.L. PVC 4"x3"</v>
          </cell>
          <cell r="C105" t="str">
            <v>un</v>
          </cell>
          <cell r="D105">
            <v>23</v>
          </cell>
          <cell r="E105">
            <v>125690</v>
          </cell>
          <cell r="F105">
            <v>2890870</v>
          </cell>
        </row>
        <row r="106">
          <cell r="A106">
            <v>4072360</v>
          </cell>
          <cell r="B106" t="str">
            <v>STC Tee H.D-E.L. PVC 4"x4"</v>
          </cell>
          <cell r="C106" t="str">
            <v>un</v>
          </cell>
          <cell r="D106">
            <v>25</v>
          </cell>
          <cell r="E106">
            <v>145472</v>
          </cell>
          <cell r="F106">
            <v>3636800</v>
          </cell>
        </row>
        <row r="107">
          <cell r="A107">
            <v>4072384</v>
          </cell>
          <cell r="B107" t="str">
            <v>STC Tee H.D-E.L. AC 6"x3"</v>
          </cell>
          <cell r="C107" t="str">
            <v>un</v>
          </cell>
          <cell r="D107">
            <v>6</v>
          </cell>
          <cell r="E107">
            <v>227201</v>
          </cell>
          <cell r="F107">
            <v>1363206</v>
          </cell>
        </row>
        <row r="108">
          <cell r="A108">
            <v>4072388</v>
          </cell>
          <cell r="B108" t="str">
            <v>STC Tee H.D-E.L. AC 6"x6"</v>
          </cell>
          <cell r="C108" t="str">
            <v>un</v>
          </cell>
          <cell r="D108">
            <v>7</v>
          </cell>
          <cell r="E108">
            <v>301763</v>
          </cell>
          <cell r="F108">
            <v>2112341</v>
          </cell>
        </row>
        <row r="109">
          <cell r="A109">
            <v>4072400</v>
          </cell>
          <cell r="B109" t="str">
            <v>TEES Y TAPONES EN H.D.</v>
          </cell>
          <cell r="D109">
            <v>0</v>
          </cell>
          <cell r="E109">
            <v>0</v>
          </cell>
          <cell r="F109">
            <v>1231287</v>
          </cell>
        </row>
        <row r="110">
          <cell r="A110">
            <v>4072450</v>
          </cell>
          <cell r="B110" t="str">
            <v>STC Tapon H.D-PVC 2"</v>
          </cell>
          <cell r="C110" t="str">
            <v>un</v>
          </cell>
          <cell r="D110">
            <v>1</v>
          </cell>
          <cell r="E110">
            <v>31806</v>
          </cell>
          <cell r="F110">
            <v>31806</v>
          </cell>
        </row>
        <row r="111">
          <cell r="A111">
            <v>4072452</v>
          </cell>
          <cell r="B111" t="str">
            <v>STC Tapon H.D-PVC 3"</v>
          </cell>
          <cell r="C111" t="str">
            <v>un</v>
          </cell>
          <cell r="D111">
            <v>25</v>
          </cell>
          <cell r="E111">
            <v>45082</v>
          </cell>
          <cell r="F111">
            <v>1127050</v>
          </cell>
        </row>
        <row r="112">
          <cell r="A112">
            <v>4072454</v>
          </cell>
          <cell r="B112" t="str">
            <v>STC Tapon H.D-PVC 4"</v>
          </cell>
          <cell r="C112" t="str">
            <v>un</v>
          </cell>
          <cell r="D112">
            <v>1</v>
          </cell>
          <cell r="E112">
            <v>72431</v>
          </cell>
          <cell r="F112">
            <v>72431</v>
          </cell>
        </row>
        <row r="113">
          <cell r="A113">
            <v>4073000</v>
          </cell>
          <cell r="B113" t="str">
            <v>TUBERÍAS DE PVC</v>
          </cell>
          <cell r="D113">
            <v>0</v>
          </cell>
          <cell r="E113">
            <v>0</v>
          </cell>
          <cell r="F113">
            <v>93360571</v>
          </cell>
        </row>
        <row r="114">
          <cell r="A114">
            <v>4073010</v>
          </cell>
          <cell r="B114" t="str">
            <v>STC Tub. PVC-P E.L. 3" RDE 13.5</v>
          </cell>
          <cell r="C114" t="str">
            <v>m</v>
          </cell>
          <cell r="D114">
            <v>6293</v>
          </cell>
          <cell r="E114">
            <v>9497</v>
          </cell>
          <cell r="F114">
            <v>59764621</v>
          </cell>
        </row>
        <row r="115">
          <cell r="A115">
            <v>4073012</v>
          </cell>
          <cell r="B115" t="str">
            <v>STC Tub. PVC-P E.L. 4" RDE 13.5</v>
          </cell>
          <cell r="C115" t="str">
            <v>m</v>
          </cell>
          <cell r="D115">
            <v>2309</v>
          </cell>
          <cell r="E115">
            <v>14550</v>
          </cell>
          <cell r="F115">
            <v>33595950</v>
          </cell>
        </row>
        <row r="116">
          <cell r="A116">
            <v>4073400</v>
          </cell>
          <cell r="B116" t="str">
            <v>CODOS EN PVC-P</v>
          </cell>
          <cell r="D116">
            <v>0</v>
          </cell>
          <cell r="E116">
            <v>0</v>
          </cell>
          <cell r="F116">
            <v>47997977</v>
          </cell>
        </row>
        <row r="117">
          <cell r="A117">
            <v>4073444</v>
          </cell>
          <cell r="B117" t="str">
            <v>STC Codo G.R. PVC-P 90° RDE 21 3"</v>
          </cell>
          <cell r="C117" t="str">
            <v>un</v>
          </cell>
          <cell r="D117">
            <v>3</v>
          </cell>
          <cell r="E117">
            <v>87277</v>
          </cell>
          <cell r="F117">
            <v>261831</v>
          </cell>
        </row>
        <row r="118">
          <cell r="A118">
            <v>4073446</v>
          </cell>
          <cell r="B118" t="str">
            <v>STC Codo G.R. PVC-P 90° RDE 21 4"</v>
          </cell>
          <cell r="C118" t="str">
            <v>un</v>
          </cell>
          <cell r="D118">
            <v>4</v>
          </cell>
          <cell r="E118">
            <v>161547</v>
          </cell>
          <cell r="F118">
            <v>646188</v>
          </cell>
        </row>
        <row r="119">
          <cell r="A119">
            <v>4073462</v>
          </cell>
          <cell r="B119" t="str">
            <v>STC Codo G.R. PVC-P 45° RDE 21 3"</v>
          </cell>
          <cell r="C119" t="str">
            <v>un</v>
          </cell>
          <cell r="D119">
            <v>426</v>
          </cell>
          <cell r="E119">
            <v>61480</v>
          </cell>
          <cell r="F119">
            <v>26190480</v>
          </cell>
        </row>
        <row r="120">
          <cell r="A120">
            <v>4073464</v>
          </cell>
          <cell r="B120" t="str">
            <v>STC Codo G.R. PVC-P 45° RDE 21 4"</v>
          </cell>
          <cell r="C120" t="str">
            <v>un</v>
          </cell>
          <cell r="D120">
            <v>100</v>
          </cell>
          <cell r="E120">
            <v>116953</v>
          </cell>
          <cell r="F120">
            <v>11695300</v>
          </cell>
        </row>
        <row r="121">
          <cell r="A121">
            <v>4073478</v>
          </cell>
          <cell r="B121" t="str">
            <v>STC Codo G.R. PVC-P22.5° RDE21 3"</v>
          </cell>
          <cell r="C121" t="str">
            <v>un</v>
          </cell>
          <cell r="D121">
            <v>56</v>
          </cell>
          <cell r="E121">
            <v>60625</v>
          </cell>
          <cell r="F121">
            <v>3395000</v>
          </cell>
        </row>
        <row r="122">
          <cell r="A122">
            <v>4073480</v>
          </cell>
          <cell r="B122" t="str">
            <v>STC Codo G.R. PVC-P22.5° RDE21 4"</v>
          </cell>
          <cell r="C122" t="str">
            <v>un</v>
          </cell>
          <cell r="D122">
            <v>14</v>
          </cell>
          <cell r="E122">
            <v>106132</v>
          </cell>
          <cell r="F122">
            <v>1485848</v>
          </cell>
        </row>
        <row r="123">
          <cell r="A123">
            <v>4073494</v>
          </cell>
          <cell r="B123" t="str">
            <v>STC Codo G.R.PVC-P11.25° RDE21 3"</v>
          </cell>
          <cell r="C123" t="str">
            <v>un</v>
          </cell>
          <cell r="D123">
            <v>50</v>
          </cell>
          <cell r="E123">
            <v>56049</v>
          </cell>
          <cell r="F123">
            <v>2802450</v>
          </cell>
        </row>
        <row r="124">
          <cell r="A124">
            <v>4073496</v>
          </cell>
          <cell r="B124" t="str">
            <v>STC Codo G.R.PVC-P11.25° RDE21 4"</v>
          </cell>
          <cell r="C124" t="str">
            <v>un</v>
          </cell>
          <cell r="D124">
            <v>15</v>
          </cell>
          <cell r="E124">
            <v>101392</v>
          </cell>
          <cell r="F124">
            <v>1520880</v>
          </cell>
        </row>
        <row r="125">
          <cell r="A125">
            <v>4075500</v>
          </cell>
          <cell r="B125" t="str">
            <v>TUBERÍAS Y ACCES. PF+UAD y PE-AL-PE</v>
          </cell>
          <cell r="D125">
            <v>0</v>
          </cell>
          <cell r="E125">
            <v>0</v>
          </cell>
          <cell r="F125">
            <v>29313060</v>
          </cell>
        </row>
        <row r="126">
          <cell r="A126">
            <v>4075511</v>
          </cell>
          <cell r="B126" t="str">
            <v>TC Tub. PE-AL-PE  1/2"</v>
          </cell>
          <cell r="C126" t="str">
            <v>un</v>
          </cell>
          <cell r="D126">
            <v>9830</v>
          </cell>
          <cell r="E126">
            <v>2982</v>
          </cell>
          <cell r="F126">
            <v>29313060</v>
          </cell>
        </row>
        <row r="127">
          <cell r="A127">
            <v>4076600</v>
          </cell>
          <cell r="B127" t="str">
            <v>DESVÍOS Y REDUCCIONES EN H.F.</v>
          </cell>
          <cell r="D127">
            <v>0</v>
          </cell>
          <cell r="E127">
            <v>0</v>
          </cell>
          <cell r="F127">
            <v>1954039</v>
          </cell>
        </row>
        <row r="128">
          <cell r="A128">
            <v>4076648</v>
          </cell>
          <cell r="B128" t="str">
            <v>STC Reduccion H.F. E.L. PVC 6"x2"</v>
          </cell>
          <cell r="C128" t="str">
            <v>un</v>
          </cell>
          <cell r="D128">
            <v>1</v>
          </cell>
          <cell r="E128">
            <v>125248</v>
          </cell>
          <cell r="F128">
            <v>125248</v>
          </cell>
        </row>
        <row r="129">
          <cell r="A129">
            <v>4076650</v>
          </cell>
          <cell r="B129" t="str">
            <v>STC Reduccion H.F. E.L. PVC 6"x3"</v>
          </cell>
          <cell r="C129" t="str">
            <v>un</v>
          </cell>
          <cell r="D129">
            <v>3</v>
          </cell>
          <cell r="E129">
            <v>154160</v>
          </cell>
          <cell r="F129">
            <v>462480</v>
          </cell>
        </row>
        <row r="130">
          <cell r="A130">
            <v>4076652</v>
          </cell>
          <cell r="B130" t="str">
            <v>STC Reduccion H.F. E.L. PVC 6"x4"</v>
          </cell>
          <cell r="C130" t="str">
            <v>un</v>
          </cell>
          <cell r="D130">
            <v>5</v>
          </cell>
          <cell r="E130">
            <v>167855</v>
          </cell>
          <cell r="F130">
            <v>839275</v>
          </cell>
        </row>
        <row r="131">
          <cell r="A131">
            <v>4076658</v>
          </cell>
          <cell r="B131" t="str">
            <v>STC Reduccion H.F. E.L. PVC 8"x4"</v>
          </cell>
          <cell r="C131" t="str">
            <v>un</v>
          </cell>
          <cell r="D131">
            <v>2</v>
          </cell>
          <cell r="E131">
            <v>263518</v>
          </cell>
          <cell r="F131">
            <v>527036</v>
          </cell>
        </row>
        <row r="132">
          <cell r="A132">
            <v>4076900</v>
          </cell>
          <cell r="B132" t="str">
            <v>TEES EN H.F.</v>
          </cell>
          <cell r="D132">
            <v>0</v>
          </cell>
          <cell r="E132">
            <v>0</v>
          </cell>
          <cell r="F132">
            <v>13822200</v>
          </cell>
        </row>
        <row r="133">
          <cell r="A133">
            <v>4076910</v>
          </cell>
          <cell r="B133" t="str">
            <v>STC Tee H.F. E.L. PVC-AC 6"x3"</v>
          </cell>
          <cell r="C133" t="str">
            <v>un</v>
          </cell>
          <cell r="D133">
            <v>18</v>
          </cell>
          <cell r="E133">
            <v>227201</v>
          </cell>
          <cell r="F133">
            <v>4089618</v>
          </cell>
        </row>
        <row r="134">
          <cell r="A134">
            <v>4076911</v>
          </cell>
          <cell r="B134" t="str">
            <v>STC Tee H.F. E.L. PVC-AC 6"x4"</v>
          </cell>
          <cell r="C134" t="str">
            <v>un</v>
          </cell>
          <cell r="D134">
            <v>3</v>
          </cell>
          <cell r="E134">
            <v>269808</v>
          </cell>
          <cell r="F134">
            <v>809424</v>
          </cell>
        </row>
        <row r="135">
          <cell r="A135">
            <v>4076946</v>
          </cell>
          <cell r="B135" t="str">
            <v>STC Tee H.F. E.L. PVC 8"x6"</v>
          </cell>
          <cell r="C135" t="str">
            <v>un</v>
          </cell>
          <cell r="D135">
            <v>2</v>
          </cell>
          <cell r="E135">
            <v>663722</v>
          </cell>
          <cell r="F135">
            <v>1327444</v>
          </cell>
        </row>
        <row r="136">
          <cell r="A136">
            <v>4076978</v>
          </cell>
          <cell r="B136" t="str">
            <v>STC Tee H.F. E.L. AC 8"x3"</v>
          </cell>
          <cell r="C136" t="str">
            <v>un</v>
          </cell>
          <cell r="D136">
            <v>11</v>
          </cell>
          <cell r="E136">
            <v>546552</v>
          </cell>
          <cell r="F136">
            <v>6012072</v>
          </cell>
        </row>
        <row r="137">
          <cell r="A137">
            <v>4076984</v>
          </cell>
          <cell r="B137" t="str">
            <v>STC Tee H.F. E.L. AC 8"x8"</v>
          </cell>
          <cell r="C137" t="str">
            <v>un</v>
          </cell>
          <cell r="D137">
            <v>1</v>
          </cell>
          <cell r="E137">
            <v>709373</v>
          </cell>
          <cell r="F137">
            <v>709373</v>
          </cell>
        </row>
        <row r="138">
          <cell r="A138">
            <v>4076992</v>
          </cell>
          <cell r="B138" t="str">
            <v>STC Tee H.F. E.L. AC 10"x6"</v>
          </cell>
          <cell r="C138" t="str">
            <v>un</v>
          </cell>
          <cell r="D138">
            <v>1</v>
          </cell>
          <cell r="E138">
            <v>874269</v>
          </cell>
          <cell r="F138">
            <v>874269</v>
          </cell>
        </row>
        <row r="139">
          <cell r="A139">
            <v>4077200</v>
          </cell>
          <cell r="B139" t="str">
            <v>TEES Y TAPONES EN H.F. Continua 3..</v>
          </cell>
          <cell r="D139">
            <v>0</v>
          </cell>
          <cell r="E139">
            <v>0</v>
          </cell>
          <cell r="F139">
            <v>275268</v>
          </cell>
        </row>
        <row r="140">
          <cell r="A140">
            <v>4077290</v>
          </cell>
          <cell r="B140" t="str">
            <v>Retiro tapones existente 3"y 4"</v>
          </cell>
          <cell r="C140" t="str">
            <v>un</v>
          </cell>
          <cell r="D140">
            <v>7</v>
          </cell>
          <cell r="E140">
            <v>39324</v>
          </cell>
          <cell r="F140">
            <v>275268</v>
          </cell>
        </row>
        <row r="141">
          <cell r="A141">
            <v>4078200</v>
          </cell>
          <cell r="B141" t="str">
            <v>VÁLVULAS DE COMPUERTA</v>
          </cell>
          <cell r="D141">
            <v>0</v>
          </cell>
          <cell r="E141">
            <v>0</v>
          </cell>
          <cell r="F141">
            <v>2156010</v>
          </cell>
        </row>
        <row r="142">
          <cell r="A142">
            <v>4078204</v>
          </cell>
          <cell r="B142" t="str">
            <v>STC Valvula c.elas.H.D. EL.PVC 3"</v>
          </cell>
          <cell r="C142" t="str">
            <v>un</v>
          </cell>
          <cell r="D142">
            <v>34</v>
          </cell>
          <cell r="E142">
            <v>17783</v>
          </cell>
          <cell r="F142">
            <v>604622</v>
          </cell>
        </row>
        <row r="143">
          <cell r="A143">
            <v>4078206</v>
          </cell>
          <cell r="B143" t="str">
            <v>STC Valvula c.elas.H.D. EL.PVC 4"</v>
          </cell>
          <cell r="C143" t="str">
            <v>un</v>
          </cell>
          <cell r="D143">
            <v>39</v>
          </cell>
          <cell r="E143">
            <v>22232</v>
          </cell>
          <cell r="F143">
            <v>867048</v>
          </cell>
        </row>
        <row r="144">
          <cell r="A144">
            <v>4078218</v>
          </cell>
          <cell r="B144" t="str">
            <v>STC Valvula c.elas.H.D. EL.AC 6"</v>
          </cell>
          <cell r="C144" t="str">
            <v>un</v>
          </cell>
          <cell r="D144">
            <v>12</v>
          </cell>
          <cell r="E144">
            <v>52638</v>
          </cell>
          <cell r="F144">
            <v>631656</v>
          </cell>
        </row>
        <row r="145">
          <cell r="A145">
            <v>4078220</v>
          </cell>
          <cell r="B145" t="str">
            <v>STC Valvula c.elas.H.D. EL.AC 8"</v>
          </cell>
          <cell r="C145" t="str">
            <v>un</v>
          </cell>
          <cell r="D145">
            <v>1</v>
          </cell>
          <cell r="E145">
            <v>52684</v>
          </cell>
          <cell r="F145">
            <v>52684</v>
          </cell>
        </row>
        <row r="146">
          <cell r="A146">
            <v>4078300</v>
          </cell>
          <cell r="B146" t="str">
            <v>VÁLVULAS DE COMPUERTA Continuación.</v>
          </cell>
          <cell r="D146">
            <v>0</v>
          </cell>
          <cell r="E146">
            <v>0</v>
          </cell>
          <cell r="F146">
            <v>80642110</v>
          </cell>
        </row>
        <row r="147">
          <cell r="A147">
            <v>4078350</v>
          </cell>
          <cell r="B147" t="str">
            <v>ST e Intercal.Valv.d.com.VNA 2"</v>
          </cell>
          <cell r="C147" t="str">
            <v>un</v>
          </cell>
          <cell r="D147">
            <v>41</v>
          </cell>
          <cell r="E147">
            <v>442439</v>
          </cell>
          <cell r="F147">
            <v>18139999</v>
          </cell>
        </row>
        <row r="148">
          <cell r="A148">
            <v>4078371</v>
          </cell>
          <cell r="B148" t="str">
            <v>T e Intercal.Valv.d.com.VNA 3"</v>
          </cell>
          <cell r="C148" t="str">
            <v>un</v>
          </cell>
          <cell r="D148">
            <v>144</v>
          </cell>
          <cell r="E148">
            <v>218209</v>
          </cell>
          <cell r="F148">
            <v>31422096</v>
          </cell>
        </row>
        <row r="149">
          <cell r="A149">
            <v>4078372</v>
          </cell>
          <cell r="B149" t="str">
            <v>T e Intercal.Valv.d.com.VNA 4"</v>
          </cell>
          <cell r="C149" t="str">
            <v>un</v>
          </cell>
          <cell r="D149">
            <v>59</v>
          </cell>
          <cell r="E149">
            <v>242421</v>
          </cell>
          <cell r="F149">
            <v>14302839</v>
          </cell>
        </row>
        <row r="150">
          <cell r="A150">
            <v>4078373</v>
          </cell>
          <cell r="B150" t="str">
            <v>T e Intercal.Valv.d.com.VNA 6"</v>
          </cell>
          <cell r="C150" t="str">
            <v>un</v>
          </cell>
          <cell r="D150">
            <v>35</v>
          </cell>
          <cell r="E150">
            <v>368134</v>
          </cell>
          <cell r="F150">
            <v>12884690</v>
          </cell>
        </row>
        <row r="151">
          <cell r="A151">
            <v>4078374</v>
          </cell>
          <cell r="B151" t="str">
            <v>T e Intercal.Valv.d.com.VNA 8"</v>
          </cell>
          <cell r="C151" t="str">
            <v>un</v>
          </cell>
          <cell r="D151">
            <v>4</v>
          </cell>
          <cell r="E151">
            <v>553780</v>
          </cell>
          <cell r="F151">
            <v>2215120</v>
          </cell>
        </row>
        <row r="152">
          <cell r="A152">
            <v>4078375</v>
          </cell>
          <cell r="B152" t="str">
            <v>T e Intercal.Valv.d.com.VNA 10"</v>
          </cell>
          <cell r="C152" t="str">
            <v>un</v>
          </cell>
          <cell r="D152">
            <v>2</v>
          </cell>
          <cell r="E152">
            <v>838683</v>
          </cell>
          <cell r="F152">
            <v>1677366</v>
          </cell>
        </row>
        <row r="153">
          <cell r="A153">
            <v>4078400</v>
          </cell>
          <cell r="B153" t="str">
            <v>VÁLVULAS REGULADORAS PRESIÓN</v>
          </cell>
          <cell r="D153">
            <v>0</v>
          </cell>
          <cell r="E153">
            <v>0</v>
          </cell>
          <cell r="F153">
            <v>100258724</v>
          </cell>
        </row>
        <row r="154">
          <cell r="A154">
            <v>4078412</v>
          </cell>
          <cell r="B154" t="str">
            <v>STC Valvula reg.pre sin m.fluj 3"</v>
          </cell>
          <cell r="C154" t="str">
            <v>un</v>
          </cell>
          <cell r="D154">
            <v>12</v>
          </cell>
          <cell r="E154">
            <v>5746524</v>
          </cell>
          <cell r="F154">
            <v>68958288</v>
          </cell>
        </row>
        <row r="155">
          <cell r="A155">
            <v>4078416</v>
          </cell>
          <cell r="B155" t="str">
            <v>STC Valvula reg.pre sin m.fluj 4"</v>
          </cell>
          <cell r="C155" t="str">
            <v>un</v>
          </cell>
          <cell r="D155">
            <v>1</v>
          </cell>
          <cell r="E155">
            <v>7058802</v>
          </cell>
          <cell r="F155">
            <v>7058802</v>
          </cell>
        </row>
        <row r="156">
          <cell r="A156">
            <v>4078420</v>
          </cell>
          <cell r="B156" t="str">
            <v>STC Valvula reg.pre sin m.fluj 6"</v>
          </cell>
          <cell r="C156" t="str">
            <v>un</v>
          </cell>
          <cell r="D156">
            <v>2</v>
          </cell>
          <cell r="E156">
            <v>12120817</v>
          </cell>
          <cell r="F156">
            <v>24241634</v>
          </cell>
        </row>
        <row r="157">
          <cell r="A157">
            <v>4078700</v>
          </cell>
          <cell r="B157" t="str">
            <v>HIDRANTES</v>
          </cell>
          <cell r="D157">
            <v>0</v>
          </cell>
          <cell r="E157">
            <v>0</v>
          </cell>
          <cell r="F157">
            <v>44133</v>
          </cell>
        </row>
        <row r="158">
          <cell r="A158">
            <v>4078760</v>
          </cell>
          <cell r="B158" t="str">
            <v>T.C. de hidrante 3"</v>
          </cell>
          <cell r="C158" t="str">
            <v>un</v>
          </cell>
          <cell r="D158">
            <v>1</v>
          </cell>
          <cell r="E158">
            <v>44133</v>
          </cell>
          <cell r="F158">
            <v>44133</v>
          </cell>
        </row>
        <row r="159">
          <cell r="A159">
            <v>4079000</v>
          </cell>
          <cell r="B159" t="str">
            <v>UNIONES MECÁNICAS  Continuación1...</v>
          </cell>
          <cell r="D159">
            <v>0</v>
          </cell>
          <cell r="E159">
            <v>0</v>
          </cell>
          <cell r="F159">
            <v>12086051</v>
          </cell>
        </row>
        <row r="160">
          <cell r="A160">
            <v>4079080</v>
          </cell>
          <cell r="B160" t="str">
            <v>STC Union H.F. Tipo dresser 3"</v>
          </cell>
          <cell r="C160" t="str">
            <v>un</v>
          </cell>
          <cell r="D160">
            <v>99</v>
          </cell>
          <cell r="E160">
            <v>86644</v>
          </cell>
          <cell r="F160">
            <v>8577756</v>
          </cell>
        </row>
        <row r="161">
          <cell r="A161">
            <v>4079082</v>
          </cell>
          <cell r="B161" t="str">
            <v>STC Union H.F. Tipo dresser 4"</v>
          </cell>
          <cell r="C161" t="str">
            <v>un</v>
          </cell>
          <cell r="D161">
            <v>17</v>
          </cell>
          <cell r="E161">
            <v>105332</v>
          </cell>
          <cell r="F161">
            <v>1790644</v>
          </cell>
        </row>
        <row r="162">
          <cell r="A162">
            <v>4079084</v>
          </cell>
          <cell r="B162" t="str">
            <v>STC Union H.F. Tipo dresser 6"</v>
          </cell>
          <cell r="C162" t="str">
            <v>un</v>
          </cell>
          <cell r="D162">
            <v>4</v>
          </cell>
          <cell r="E162">
            <v>157249</v>
          </cell>
          <cell r="F162">
            <v>628996</v>
          </cell>
        </row>
        <row r="163">
          <cell r="A163">
            <v>4079086</v>
          </cell>
          <cell r="B163" t="str">
            <v>STC Union H.F. Tipo dresser 8"</v>
          </cell>
          <cell r="C163" t="str">
            <v>un</v>
          </cell>
          <cell r="D163">
            <v>5</v>
          </cell>
          <cell r="E163">
            <v>217731</v>
          </cell>
          <cell r="F163">
            <v>1088655</v>
          </cell>
        </row>
        <row r="164">
          <cell r="A164">
            <v>4079100</v>
          </cell>
          <cell r="B164" t="str">
            <v>UNIONES MECÁNICAS  Continuanción2..</v>
          </cell>
          <cell r="D164">
            <v>0</v>
          </cell>
          <cell r="E164">
            <v>0</v>
          </cell>
          <cell r="F164">
            <v>27980702</v>
          </cell>
        </row>
        <row r="165">
          <cell r="A165">
            <v>4079149</v>
          </cell>
          <cell r="B165" t="str">
            <v>STC unión univ. Ra59.5-72.0 mm</v>
          </cell>
          <cell r="C165" t="str">
            <v>un</v>
          </cell>
          <cell r="D165">
            <v>23</v>
          </cell>
          <cell r="E165">
            <v>43499</v>
          </cell>
          <cell r="F165">
            <v>1000477</v>
          </cell>
        </row>
        <row r="166">
          <cell r="A166">
            <v>4079150</v>
          </cell>
          <cell r="B166" t="str">
            <v>STC unión univ.Ra.88-102 75mm</v>
          </cell>
          <cell r="C166" t="str">
            <v>un</v>
          </cell>
          <cell r="D166">
            <v>46</v>
          </cell>
          <cell r="E166">
            <v>104615</v>
          </cell>
          <cell r="F166">
            <v>4812290</v>
          </cell>
        </row>
        <row r="167">
          <cell r="A167">
            <v>4079152</v>
          </cell>
          <cell r="B167" t="str">
            <v>STC unión univ.Ra.109-127 4"</v>
          </cell>
          <cell r="C167" t="str">
            <v>un</v>
          </cell>
          <cell r="D167">
            <v>59</v>
          </cell>
          <cell r="E167">
            <v>106504</v>
          </cell>
          <cell r="F167">
            <v>6283736</v>
          </cell>
        </row>
        <row r="168">
          <cell r="A168">
            <v>4079154</v>
          </cell>
          <cell r="B168" t="str">
            <v>STC unión univ.Ra.159-181 6"</v>
          </cell>
          <cell r="C168" t="str">
            <v>un</v>
          </cell>
          <cell r="D168">
            <v>48</v>
          </cell>
          <cell r="E168">
            <v>172633</v>
          </cell>
          <cell r="F168">
            <v>8286384</v>
          </cell>
        </row>
        <row r="169">
          <cell r="A169">
            <v>4079156</v>
          </cell>
          <cell r="B169" t="str">
            <v>STC unión univ.Ra.218-235 8"</v>
          </cell>
          <cell r="C169" t="str">
            <v>un</v>
          </cell>
          <cell r="D169">
            <v>25</v>
          </cell>
          <cell r="E169">
            <v>271447</v>
          </cell>
          <cell r="F169">
            <v>6786175</v>
          </cell>
        </row>
        <row r="170">
          <cell r="A170">
            <v>4079158</v>
          </cell>
          <cell r="B170" t="str">
            <v>STC unión univ.Ra.272-289 10"</v>
          </cell>
          <cell r="C170" t="str">
            <v>un</v>
          </cell>
          <cell r="D170">
            <v>2</v>
          </cell>
          <cell r="E170">
            <v>405820</v>
          </cell>
          <cell r="F170">
            <v>811640</v>
          </cell>
        </row>
        <row r="171">
          <cell r="A171">
            <v>4079300</v>
          </cell>
          <cell r="B171" t="str">
            <v>CAJAS PARA VÁLVULAS</v>
          </cell>
          <cell r="D171">
            <v>0</v>
          </cell>
          <cell r="E171">
            <v>0</v>
          </cell>
          <cell r="F171">
            <v>42089022</v>
          </cell>
        </row>
        <row r="172">
          <cell r="A172">
            <v>4079302</v>
          </cell>
          <cell r="B172" t="str">
            <v>Const.caja valvula con tapa -Esq.1</v>
          </cell>
          <cell r="C172" t="str">
            <v>un</v>
          </cell>
          <cell r="D172">
            <v>122</v>
          </cell>
          <cell r="E172">
            <v>176630</v>
          </cell>
          <cell r="F172">
            <v>21548860</v>
          </cell>
        </row>
        <row r="173">
          <cell r="A173">
            <v>4079318</v>
          </cell>
          <cell r="B173" t="str">
            <v>C. caja v.reg.pr 3" con me.fl-E.11</v>
          </cell>
          <cell r="C173" t="str">
            <v>un</v>
          </cell>
          <cell r="D173">
            <v>2</v>
          </cell>
          <cell r="E173">
            <v>2283024</v>
          </cell>
          <cell r="F173">
            <v>4566048</v>
          </cell>
        </row>
        <row r="174">
          <cell r="A174">
            <v>4079322</v>
          </cell>
          <cell r="B174" t="str">
            <v>C. caja v.reg.pr 6" con me.fl-E.11</v>
          </cell>
          <cell r="C174" t="str">
            <v>un</v>
          </cell>
          <cell r="D174">
            <v>3</v>
          </cell>
          <cell r="E174">
            <v>2894416</v>
          </cell>
          <cell r="F174">
            <v>8683248</v>
          </cell>
        </row>
        <row r="175">
          <cell r="A175">
            <v>4079334</v>
          </cell>
          <cell r="B175" t="str">
            <v>Muro cortina valv.adm.y expuls.aire</v>
          </cell>
          <cell r="C175" t="str">
            <v>m2</v>
          </cell>
          <cell r="D175">
            <v>25</v>
          </cell>
          <cell r="E175">
            <v>160898</v>
          </cell>
          <cell r="F175">
            <v>4022450</v>
          </cell>
        </row>
        <row r="176">
          <cell r="A176">
            <v>4079336</v>
          </cell>
          <cell r="B176" t="str">
            <v>Losa cubierta valv.adm.y expul.aire</v>
          </cell>
          <cell r="C176" t="str">
            <v>m2</v>
          </cell>
          <cell r="D176">
            <v>12</v>
          </cell>
          <cell r="E176">
            <v>174183</v>
          </cell>
          <cell r="F176">
            <v>2090196</v>
          </cell>
        </row>
        <row r="177">
          <cell r="A177">
            <v>4079338</v>
          </cell>
          <cell r="B177" t="str">
            <v>Losa fondo valv. descarga y flujo</v>
          </cell>
          <cell r="C177" t="str">
            <v>m2</v>
          </cell>
          <cell r="D177">
            <v>12</v>
          </cell>
          <cell r="E177">
            <v>98185</v>
          </cell>
          <cell r="F177">
            <v>1178220</v>
          </cell>
        </row>
        <row r="178">
          <cell r="A178">
            <v>4079400</v>
          </cell>
          <cell r="B178" t="str">
            <v>ACOMETIDAS DE ACUEDUCTO</v>
          </cell>
          <cell r="D178">
            <v>0</v>
          </cell>
          <cell r="E178">
            <v>0</v>
          </cell>
          <cell r="F178">
            <v>90847137</v>
          </cell>
        </row>
        <row r="179">
          <cell r="A179">
            <v>4079414</v>
          </cell>
          <cell r="B179" t="str">
            <v>STC Llave Corte o Acera-racor 1/2"</v>
          </cell>
          <cell r="C179" t="str">
            <v>un</v>
          </cell>
          <cell r="D179">
            <v>1420</v>
          </cell>
          <cell r="E179">
            <v>5950</v>
          </cell>
          <cell r="F179">
            <v>8449000</v>
          </cell>
        </row>
        <row r="180">
          <cell r="A180">
            <v>4079426</v>
          </cell>
          <cell r="B180" t="str">
            <v>STC Llave Incorporacion conica 1/2"</v>
          </cell>
          <cell r="C180" t="str">
            <v>un</v>
          </cell>
          <cell r="D180">
            <v>2902</v>
          </cell>
          <cell r="E180">
            <v>13487</v>
          </cell>
          <cell r="F180">
            <v>39139274</v>
          </cell>
        </row>
        <row r="181">
          <cell r="A181">
            <v>4079449</v>
          </cell>
          <cell r="B181" t="str">
            <v>STC Llave paso libre o contenc.1/2"</v>
          </cell>
          <cell r="C181" t="str">
            <v>un</v>
          </cell>
          <cell r="D181">
            <v>126</v>
          </cell>
          <cell r="E181">
            <v>5582</v>
          </cell>
          <cell r="F181">
            <v>703332</v>
          </cell>
        </row>
        <row r="182">
          <cell r="A182">
            <v>4079459</v>
          </cell>
          <cell r="B182" t="str">
            <v>STC Collar H.D p' PVCx1/2 3"</v>
          </cell>
          <cell r="C182" t="str">
            <v>un</v>
          </cell>
          <cell r="D182">
            <v>2245</v>
          </cell>
          <cell r="E182">
            <v>14835</v>
          </cell>
          <cell r="F182">
            <v>33304575</v>
          </cell>
        </row>
        <row r="183">
          <cell r="A183">
            <v>4079460</v>
          </cell>
          <cell r="B183" t="str">
            <v>STC Collar H.D p' PVCx1/2 4"</v>
          </cell>
          <cell r="C183" t="str">
            <v>un</v>
          </cell>
          <cell r="D183">
            <v>468</v>
          </cell>
          <cell r="E183">
            <v>19767</v>
          </cell>
          <cell r="F183">
            <v>9250956</v>
          </cell>
        </row>
        <row r="184">
          <cell r="A184">
            <v>4079500</v>
          </cell>
          <cell r="B184" t="str">
            <v>COLLARES CONTINUACIÓN.....</v>
          </cell>
          <cell r="C184" t="str">
            <v>un</v>
          </cell>
          <cell r="D184">
            <v>0</v>
          </cell>
          <cell r="E184">
            <v>0</v>
          </cell>
          <cell r="F184">
            <v>3137706</v>
          </cell>
        </row>
        <row r="185">
          <cell r="A185">
            <v>4079569</v>
          </cell>
          <cell r="B185" t="str">
            <v>STC Union 3 partes CU t.CU-PVC 1/2"</v>
          </cell>
          <cell r="C185" t="str">
            <v>un</v>
          </cell>
          <cell r="D185">
            <v>159</v>
          </cell>
          <cell r="E185">
            <v>19734</v>
          </cell>
          <cell r="F185">
            <v>3137706</v>
          </cell>
        </row>
        <row r="186">
          <cell r="A186">
            <v>4079600</v>
          </cell>
          <cell r="B186" t="str">
            <v>MEDIDORES DE ACUEDUCTO</v>
          </cell>
          <cell r="D186">
            <v>0</v>
          </cell>
          <cell r="E186">
            <v>0</v>
          </cell>
          <cell r="F186">
            <v>1397214</v>
          </cell>
        </row>
        <row r="187">
          <cell r="A187">
            <v>4079601</v>
          </cell>
          <cell r="B187" t="str">
            <v>STC Medidor tipo volum. 1/2"</v>
          </cell>
          <cell r="C187" t="str">
            <v>un</v>
          </cell>
          <cell r="D187">
            <v>126</v>
          </cell>
          <cell r="E187">
            <v>11089</v>
          </cell>
          <cell r="F187">
            <v>1397214</v>
          </cell>
        </row>
        <row r="188">
          <cell r="A188">
            <v>4079700</v>
          </cell>
          <cell r="B188" t="str">
            <v>CAJAS Y TAPAS PARA MEDIDORES</v>
          </cell>
          <cell r="D188">
            <v>0</v>
          </cell>
          <cell r="E188">
            <v>0</v>
          </cell>
          <cell r="F188">
            <v>5673402</v>
          </cell>
        </row>
        <row r="189">
          <cell r="A189">
            <v>4079702</v>
          </cell>
          <cell r="B189" t="str">
            <v>C. caja medi.anden&lt;19mm-Eq.24-No.ta</v>
          </cell>
          <cell r="C189" t="str">
            <v>un</v>
          </cell>
          <cell r="D189">
            <v>126</v>
          </cell>
          <cell r="E189">
            <v>35962</v>
          </cell>
          <cell r="F189">
            <v>4531212</v>
          </cell>
        </row>
        <row r="190">
          <cell r="A190">
            <v>4079746</v>
          </cell>
          <cell r="B190" t="str">
            <v>TC tapa HD caja medidor 1/2"</v>
          </cell>
          <cell r="C190" t="str">
            <v>un</v>
          </cell>
          <cell r="D190">
            <v>126</v>
          </cell>
          <cell r="E190">
            <v>9065</v>
          </cell>
          <cell r="F190">
            <v>1142190</v>
          </cell>
        </row>
        <row r="191">
          <cell r="A191">
            <v>0</v>
          </cell>
        </row>
        <row r="192">
          <cell r="A192">
            <v>4080000</v>
          </cell>
          <cell r="B192" t="str">
            <v>REDES Y ACOMET. ALCANTARILLADO</v>
          </cell>
          <cell r="D192">
            <v>0</v>
          </cell>
          <cell r="E192">
            <v>0</v>
          </cell>
          <cell r="F192">
            <v>7147843</v>
          </cell>
        </row>
        <row r="193">
          <cell r="A193">
            <v>4082000</v>
          </cell>
          <cell r="B193" t="str">
            <v>TUBERÍAS CTO. ALCANTARILLADO</v>
          </cell>
          <cell r="D193">
            <v>0</v>
          </cell>
          <cell r="E193">
            <v>0</v>
          </cell>
          <cell r="F193">
            <v>642150</v>
          </cell>
        </row>
        <row r="194">
          <cell r="A194">
            <v>4082004</v>
          </cell>
          <cell r="B194" t="str">
            <v>STC Tub.Cto.simple U.caucho 6"Cl.1</v>
          </cell>
          <cell r="C194" t="str">
            <v>m</v>
          </cell>
          <cell r="D194">
            <v>18</v>
          </cell>
          <cell r="E194">
            <v>18646</v>
          </cell>
          <cell r="F194">
            <v>335628</v>
          </cell>
        </row>
        <row r="195">
          <cell r="A195">
            <v>4082008</v>
          </cell>
          <cell r="B195" t="str">
            <v>STC Tub.Cto.simple U.caucho 10"Cl.1</v>
          </cell>
          <cell r="C195" t="str">
            <v>m</v>
          </cell>
          <cell r="D195">
            <v>9</v>
          </cell>
          <cell r="E195">
            <v>34058</v>
          </cell>
          <cell r="F195">
            <v>306522</v>
          </cell>
        </row>
        <row r="196">
          <cell r="A196">
            <v>4083100</v>
          </cell>
          <cell r="B196" t="str">
            <v>TUBERÍA PVA-ALCANT. Continuación...</v>
          </cell>
          <cell r="D196">
            <v>0</v>
          </cell>
          <cell r="E196">
            <v>0</v>
          </cell>
          <cell r="F196">
            <v>3481500</v>
          </cell>
        </row>
        <row r="197">
          <cell r="A197">
            <v>4083170</v>
          </cell>
          <cell r="B197" t="str">
            <v>STC Tuberia PVC-S U.S. 6"</v>
          </cell>
          <cell r="C197" t="str">
            <v>m</v>
          </cell>
          <cell r="D197">
            <v>75</v>
          </cell>
          <cell r="E197">
            <v>46420</v>
          </cell>
          <cell r="F197">
            <v>3481500</v>
          </cell>
        </row>
        <row r="198">
          <cell r="A198">
            <v>4085900</v>
          </cell>
          <cell r="B198" t="str">
            <v>CAJAS DE EMPALME A LA RED</v>
          </cell>
          <cell r="D198">
            <v>0</v>
          </cell>
          <cell r="E198">
            <v>0</v>
          </cell>
          <cell r="F198">
            <v>641400</v>
          </cell>
        </row>
        <row r="199">
          <cell r="A199">
            <v>4085901</v>
          </cell>
          <cell r="B199" t="str">
            <v>Const.caja empalme a la red Esq. 27</v>
          </cell>
          <cell r="C199" t="str">
            <v>un</v>
          </cell>
          <cell r="D199">
            <v>10</v>
          </cell>
          <cell r="E199">
            <v>64140</v>
          </cell>
          <cell r="F199">
            <v>641400</v>
          </cell>
        </row>
        <row r="200">
          <cell r="A200">
            <v>4086300</v>
          </cell>
          <cell r="B200" t="str">
            <v>SUMIDEROS</v>
          </cell>
          <cell r="D200">
            <v>0</v>
          </cell>
          <cell r="E200">
            <v>0</v>
          </cell>
          <cell r="F200">
            <v>2382793</v>
          </cell>
        </row>
        <row r="201">
          <cell r="A201">
            <v>4086310</v>
          </cell>
          <cell r="B201" t="str">
            <v>Const.sumidero aguas llu.T.B</v>
          </cell>
          <cell r="C201" t="str">
            <v>un</v>
          </cell>
          <cell r="D201">
            <v>7</v>
          </cell>
          <cell r="E201">
            <v>340399</v>
          </cell>
          <cell r="F201">
            <v>2382793</v>
          </cell>
        </row>
        <row r="202">
          <cell r="A202">
            <v>0</v>
          </cell>
        </row>
        <row r="203">
          <cell r="A203">
            <v>4140000</v>
          </cell>
          <cell r="B203" t="str">
            <v>MAMPORTERÍA Y PREFABRICADOS</v>
          </cell>
          <cell r="D203">
            <v>0</v>
          </cell>
          <cell r="E203">
            <v>0</v>
          </cell>
          <cell r="F203">
            <v>352010</v>
          </cell>
        </row>
        <row r="204">
          <cell r="A204">
            <v>4140100</v>
          </cell>
          <cell r="B204" t="str">
            <v>MURO EN LADRILLO O BLOQUE CTO.</v>
          </cell>
          <cell r="D204">
            <v>0</v>
          </cell>
          <cell r="E204">
            <v>0</v>
          </cell>
          <cell r="F204">
            <v>352010</v>
          </cell>
        </row>
        <row r="205">
          <cell r="A205">
            <v>4140104</v>
          </cell>
          <cell r="B205" t="str">
            <v>Construccion muro bloque e=10cm</v>
          </cell>
          <cell r="C205" t="str">
            <v>m2</v>
          </cell>
          <cell r="D205">
            <v>5</v>
          </cell>
          <cell r="E205">
            <v>28919</v>
          </cell>
          <cell r="F205">
            <v>144595</v>
          </cell>
        </row>
        <row r="206">
          <cell r="A206">
            <v>4140140</v>
          </cell>
          <cell r="B206" t="str">
            <v>Construccion muro ladrillo e=20cm</v>
          </cell>
          <cell r="C206" t="str">
            <v>m2</v>
          </cell>
          <cell r="D206">
            <v>5</v>
          </cell>
          <cell r="E206">
            <v>41483</v>
          </cell>
          <cell r="F206">
            <v>207415</v>
          </cell>
        </row>
        <row r="207">
          <cell r="A207">
            <v>0</v>
          </cell>
        </row>
        <row r="208">
          <cell r="A208">
            <v>4250000</v>
          </cell>
          <cell r="B208" t="str">
            <v>MMTO. DE REDES DE ACUEDUCTO</v>
          </cell>
          <cell r="D208">
            <v>0</v>
          </cell>
          <cell r="E208">
            <v>0</v>
          </cell>
          <cell r="F208">
            <v>2358351</v>
          </cell>
        </row>
        <row r="209">
          <cell r="A209">
            <v>4250100</v>
          </cell>
          <cell r="B209" t="str">
            <v>MANTENIMIENTO ACOMETIDAS ACUEDUCTO</v>
          </cell>
          <cell r="D209">
            <v>0</v>
          </cell>
          <cell r="E209">
            <v>0</v>
          </cell>
          <cell r="F209">
            <v>2358351</v>
          </cell>
        </row>
        <row r="210">
          <cell r="A210">
            <v>4250103</v>
          </cell>
          <cell r="B210" t="str">
            <v>Cambio de tomas acueducto 1/2"</v>
          </cell>
          <cell r="C210" t="str">
            <v>un</v>
          </cell>
          <cell r="D210">
            <v>207</v>
          </cell>
          <cell r="E210">
            <v>11393</v>
          </cell>
          <cell r="F210">
            <v>2358351</v>
          </cell>
        </row>
        <row r="211">
          <cell r="A211">
            <v>0</v>
          </cell>
        </row>
      </sheetData>
      <sheetData sheetId="1"/>
      <sheetData sheetId="2"/>
      <sheetData sheetId="3"/>
      <sheetData sheetId="4"/>
      <sheetData sheetId="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TUB"/>
      <sheetName val="JAPON LLUVIAS"/>
      <sheetName val="TUBERIA"/>
      <sheetName val="TUB SUMID"/>
      <sheetName val="SUMIDEROS"/>
      <sheetName val="T-4"/>
      <sheetName val="DEM PAVIMENTO"/>
      <sheetName val="EXC-RELLPAVIMENTO"/>
      <sheetName val="REP PAVIMENTO"/>
      <sheetName val="SARDINELES"/>
      <sheetName val="ANDENES"/>
      <sheetName val="REP. DOM."/>
      <sheetName val="REP. ACOM."/>
      <sheetName val="FACTORES"/>
      <sheetName val="calid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TOTCAPIT"/>
      <sheetName val="JORNABAS"/>
      <sheetName val="MATERIALES"/>
      <sheetName val="TOTCUADEQ"/>
      <sheetName val="TOTCUADMO"/>
      <sheetName val="Puntajes"/>
      <sheetName val="Anexo No. 5"/>
      <sheetName val="5094-2003"/>
      <sheetName val="FINANCIERA"/>
      <sheetName val="DATOS"/>
      <sheetName val="PREACTA"/>
      <sheetName val="ESTADO VÍA-CRIT.TECNICO"/>
      <sheetName val="PRESUPUESTO"/>
      <sheetName val="MANO"/>
      <sheetName val="EQUIPO"/>
      <sheetName val="MATERIAL"/>
      <sheetName val="TRANSPORTE"/>
      <sheetName val="BASES"/>
      <sheetName val="BASE"/>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FLUJOS"/>
      <sheetName val="General"/>
      <sheetName val="\\Pc1\E\AMV-3005-2005\ADMON GRU"/>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Interc_de_Hidr_"/>
      <sheetName val="Cambio_de_Valv_"/>
      <sheetName val="Interc_tapones"/>
      <sheetName val="Interc_válv_"/>
      <sheetName val="Coloc__e_Interc__Tapones"/>
      <sheetName val="Varios_"/>
      <sheetName val="Paral__1"/>
      <sheetName val="Paral__2"/>
      <sheetName val="Paral__3"/>
      <sheetName val="Paral_4"/>
      <sheetName val="Interc_de_Hidr_2"/>
      <sheetName val="Cambio_de_Valv_2"/>
      <sheetName val="Interc_tapones2"/>
      <sheetName val="Interc_válv_2"/>
      <sheetName val="Coloc__e_Interc__Tapones2"/>
      <sheetName val="Varios_2"/>
      <sheetName val="Paral__12"/>
      <sheetName val="Paral__22"/>
      <sheetName val="Paral__32"/>
      <sheetName val="Paral_42"/>
      <sheetName val="Interc_de_Hidr_1"/>
      <sheetName val="Cambio_de_Valv_1"/>
      <sheetName val="Interc_tapones1"/>
      <sheetName val="Interc_válv_1"/>
      <sheetName val="Coloc__e_Interc__Tapones1"/>
      <sheetName val="Varios_1"/>
      <sheetName val="Paral__11"/>
      <sheetName val="Paral__21"/>
      <sheetName val="Paral__31"/>
      <sheetName val="Paral_41"/>
      <sheetName val="Hoja1"/>
      <sheetName val="PrecRec"/>
      <sheetName val="32"/>
    </sheetNames>
    <sheetDataSet>
      <sheetData sheetId="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3">
          <cell r="E153">
            <v>6</v>
          </cell>
        </row>
        <row r="155">
          <cell r="E155">
            <v>21.7</v>
          </cell>
        </row>
        <row r="157">
          <cell r="E157">
            <v>3</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277">
          <cell r="E277">
            <v>6</v>
          </cell>
        </row>
        <row r="281">
          <cell r="E281">
            <v>6</v>
          </cell>
        </row>
        <row r="287">
          <cell r="E287">
            <v>2</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3">
          <cell r="E483">
            <v>0</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 refreshError="1">
        <row r="5">
          <cell r="E5" t="str">
            <v>CANTIDAD</v>
          </cell>
        </row>
        <row r="11">
          <cell r="E11">
            <v>22.94</v>
          </cell>
        </row>
        <row r="13">
          <cell r="E13">
            <v>2</v>
          </cell>
        </row>
        <row r="15">
          <cell r="E15">
            <v>6</v>
          </cell>
        </row>
        <row r="19">
          <cell r="E19">
            <v>3.38</v>
          </cell>
        </row>
        <row r="21">
          <cell r="E21">
            <v>1</v>
          </cell>
        </row>
        <row r="23">
          <cell r="E23">
            <v>1</v>
          </cell>
        </row>
        <row r="25">
          <cell r="E25">
            <v>4.6399999999999997</v>
          </cell>
        </row>
        <row r="27">
          <cell r="E27">
            <v>11</v>
          </cell>
        </row>
        <row r="29">
          <cell r="E29">
            <v>6.5</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69">
          <cell r="E69">
            <v>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1">
          <cell r="E101">
            <v>2</v>
          </cell>
        </row>
        <row r="107">
          <cell r="E107">
            <v>6.72</v>
          </cell>
        </row>
        <row r="123">
          <cell r="E123">
            <v>0</v>
          </cell>
        </row>
        <row r="124">
          <cell r="E124">
            <v>0</v>
          </cell>
        </row>
        <row r="125">
          <cell r="E125">
            <v>0</v>
          </cell>
        </row>
        <row r="126">
          <cell r="E126">
            <v>0</v>
          </cell>
        </row>
        <row r="127">
          <cell r="E127">
            <v>270</v>
          </cell>
        </row>
        <row r="141">
          <cell r="E141">
            <v>98</v>
          </cell>
        </row>
        <row r="143">
          <cell r="E143">
            <v>310</v>
          </cell>
        </row>
        <row r="153">
          <cell r="E153">
            <v>11.5</v>
          </cell>
        </row>
        <row r="155">
          <cell r="E155">
            <v>15</v>
          </cell>
        </row>
        <row r="157">
          <cell r="E157">
            <v>20</v>
          </cell>
        </row>
        <row r="159">
          <cell r="E159">
            <v>2</v>
          </cell>
        </row>
        <row r="161">
          <cell r="E161">
            <v>5</v>
          </cell>
        </row>
        <row r="163">
          <cell r="E163">
            <v>2</v>
          </cell>
        </row>
        <row r="165">
          <cell r="E165">
            <v>13</v>
          </cell>
        </row>
        <row r="171">
          <cell r="E171">
            <v>24</v>
          </cell>
        </row>
        <row r="175">
          <cell r="E175">
            <v>4</v>
          </cell>
        </row>
        <row r="177">
          <cell r="E177">
            <v>6</v>
          </cell>
        </row>
        <row r="179">
          <cell r="E179">
            <v>2</v>
          </cell>
        </row>
        <row r="193">
          <cell r="E193">
            <v>4</v>
          </cell>
        </row>
        <row r="195">
          <cell r="E195">
            <v>4</v>
          </cell>
        </row>
        <row r="197">
          <cell r="E197">
            <v>5</v>
          </cell>
        </row>
        <row r="209">
          <cell r="E209">
            <v>6</v>
          </cell>
        </row>
        <row r="211">
          <cell r="E211">
            <v>4</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426</v>
          </cell>
        </row>
        <row r="424">
          <cell r="E424">
            <v>4</v>
          </cell>
        </row>
        <row r="432">
          <cell r="E432">
            <v>1</v>
          </cell>
        </row>
        <row r="434">
          <cell r="E434">
            <v>2</v>
          </cell>
        </row>
        <row r="450">
          <cell r="E450">
            <v>1723.2</v>
          </cell>
        </row>
        <row r="452">
          <cell r="E452">
            <v>951.3</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4</v>
          </cell>
        </row>
        <row r="489">
          <cell r="E489">
            <v>0</v>
          </cell>
        </row>
        <row r="490">
          <cell r="E490">
            <v>0</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8" refreshError="1">
        <row r="5">
          <cell r="E5" t="str">
            <v>CANTIDAD</v>
          </cell>
        </row>
        <row r="11">
          <cell r="E11">
            <v>29.76</v>
          </cell>
        </row>
        <row r="13">
          <cell r="E13">
            <v>1</v>
          </cell>
        </row>
        <row r="15">
          <cell r="E15">
            <v>6</v>
          </cell>
        </row>
        <row r="19">
          <cell r="E19">
            <v>4.6100000000000003</v>
          </cell>
        </row>
        <row r="21">
          <cell r="E21">
            <v>2</v>
          </cell>
        </row>
        <row r="23">
          <cell r="E23">
            <v>2</v>
          </cell>
        </row>
        <row r="25">
          <cell r="E25">
            <v>4.6399999999999997</v>
          </cell>
        </row>
        <row r="27">
          <cell r="E27">
            <v>11</v>
          </cell>
        </row>
        <row r="29">
          <cell r="E29">
            <v>6.5</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79">
          <cell r="E79">
            <v>5</v>
          </cell>
        </row>
        <row r="83">
          <cell r="E83">
            <v>5</v>
          </cell>
        </row>
        <row r="85">
          <cell r="E85">
            <v>23</v>
          </cell>
        </row>
        <row r="89">
          <cell r="E89">
            <v>2.74</v>
          </cell>
        </row>
        <row r="99">
          <cell r="E99">
            <v>19.84</v>
          </cell>
        </row>
        <row r="101">
          <cell r="E101">
            <v>1</v>
          </cell>
        </row>
        <row r="107">
          <cell r="E107">
            <v>10.08</v>
          </cell>
        </row>
        <row r="123">
          <cell r="E123">
            <v>0</v>
          </cell>
        </row>
        <row r="124">
          <cell r="E124">
            <v>0</v>
          </cell>
        </row>
        <row r="125">
          <cell r="E125">
            <v>0</v>
          </cell>
        </row>
        <row r="126">
          <cell r="E126">
            <v>0</v>
          </cell>
        </row>
        <row r="127">
          <cell r="E127">
            <v>420</v>
          </cell>
        </row>
        <row r="141">
          <cell r="E141">
            <v>98</v>
          </cell>
        </row>
        <row r="143">
          <cell r="E143">
            <v>310</v>
          </cell>
        </row>
        <row r="153">
          <cell r="E153">
            <v>3</v>
          </cell>
        </row>
        <row r="155">
          <cell r="E155">
            <v>15</v>
          </cell>
        </row>
        <row r="157">
          <cell r="E157">
            <v>19</v>
          </cell>
        </row>
        <row r="159">
          <cell r="E159">
            <v>2</v>
          </cell>
        </row>
        <row r="161">
          <cell r="E161">
            <v>5</v>
          </cell>
        </row>
        <row r="163">
          <cell r="E163">
            <v>2</v>
          </cell>
        </row>
        <row r="165">
          <cell r="E165">
            <v>10</v>
          </cell>
        </row>
        <row r="171">
          <cell r="E171">
            <v>12</v>
          </cell>
        </row>
        <row r="175">
          <cell r="E175">
            <v>2</v>
          </cell>
        </row>
        <row r="177">
          <cell r="E177">
            <v>4</v>
          </cell>
        </row>
        <row r="179">
          <cell r="E179">
            <v>2</v>
          </cell>
        </row>
        <row r="193">
          <cell r="E193">
            <v>4</v>
          </cell>
        </row>
        <row r="195">
          <cell r="E195">
            <v>4</v>
          </cell>
        </row>
        <row r="197">
          <cell r="E197">
            <v>4</v>
          </cell>
        </row>
        <row r="209">
          <cell r="E209">
            <v>2</v>
          </cell>
        </row>
        <row r="211">
          <cell r="E211">
            <v>4</v>
          </cell>
        </row>
        <row r="213">
          <cell r="E213">
            <v>2</v>
          </cell>
        </row>
        <row r="217">
          <cell r="E217">
            <v>2</v>
          </cell>
        </row>
        <row r="219">
          <cell r="E219">
            <v>4</v>
          </cell>
        </row>
        <row r="225">
          <cell r="E225">
            <v>2</v>
          </cell>
        </row>
        <row r="233">
          <cell r="E233">
            <v>2</v>
          </cell>
        </row>
        <row r="263">
          <cell r="E263">
            <v>1</v>
          </cell>
        </row>
        <row r="267">
          <cell r="E267">
            <v>3</v>
          </cell>
        </row>
        <row r="269">
          <cell r="E269">
            <v>1</v>
          </cell>
        </row>
        <row r="273">
          <cell r="E273">
            <v>1</v>
          </cell>
        </row>
        <row r="294">
          <cell r="E294">
            <v>4</v>
          </cell>
        </row>
        <row r="296">
          <cell r="E296">
            <v>4</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165</v>
          </cell>
        </row>
        <row r="424">
          <cell r="E424">
            <v>2</v>
          </cell>
        </row>
        <row r="432">
          <cell r="E432">
            <v>1</v>
          </cell>
        </row>
        <row r="434">
          <cell r="E434">
            <v>2</v>
          </cell>
        </row>
        <row r="450">
          <cell r="E450">
            <v>3438.1</v>
          </cell>
        </row>
        <row r="452">
          <cell r="E452">
            <v>167.4</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2</v>
          </cell>
        </row>
        <row r="489">
          <cell r="E489">
            <v>0</v>
          </cell>
        </row>
        <row r="490">
          <cell r="E490">
            <v>0</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9" refreshError="1">
        <row r="5">
          <cell r="E5" t="str">
            <v>CANTIDAD</v>
          </cell>
        </row>
        <row r="11">
          <cell r="E11">
            <v>24.25</v>
          </cell>
        </row>
        <row r="13">
          <cell r="E13">
            <v>1</v>
          </cell>
        </row>
        <row r="15">
          <cell r="E15">
            <v>6</v>
          </cell>
        </row>
        <row r="19">
          <cell r="E19">
            <v>2.86</v>
          </cell>
        </row>
        <row r="21">
          <cell r="E21">
            <v>2</v>
          </cell>
        </row>
        <row r="23">
          <cell r="E23">
            <v>2</v>
          </cell>
        </row>
        <row r="25">
          <cell r="E25">
            <v>4.6399999999999997</v>
          </cell>
        </row>
        <row r="27">
          <cell r="E27">
            <v>11</v>
          </cell>
        </row>
        <row r="29">
          <cell r="E29">
            <v>6.5</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75">
          <cell r="E75">
            <v>2</v>
          </cell>
        </row>
        <row r="77">
          <cell r="E77">
            <v>2</v>
          </cell>
        </row>
        <row r="79">
          <cell r="E79">
            <v>5</v>
          </cell>
        </row>
        <row r="83">
          <cell r="E83">
            <v>6</v>
          </cell>
        </row>
        <row r="85">
          <cell r="E85">
            <v>10</v>
          </cell>
        </row>
        <row r="89">
          <cell r="E89">
            <v>5.0999999999999996</v>
          </cell>
        </row>
        <row r="99">
          <cell r="E99">
            <v>15.11</v>
          </cell>
        </row>
        <row r="101">
          <cell r="E101">
            <v>1</v>
          </cell>
        </row>
        <row r="107">
          <cell r="E107">
            <v>10.08</v>
          </cell>
        </row>
        <row r="123">
          <cell r="E123">
            <v>0</v>
          </cell>
        </row>
        <row r="124">
          <cell r="E124">
            <v>0</v>
          </cell>
        </row>
        <row r="125">
          <cell r="E125">
            <v>0</v>
          </cell>
        </row>
        <row r="126">
          <cell r="E126">
            <v>0</v>
          </cell>
        </row>
        <row r="127">
          <cell r="E127">
            <v>270</v>
          </cell>
        </row>
        <row r="141">
          <cell r="E141">
            <v>98</v>
          </cell>
        </row>
        <row r="143">
          <cell r="E143">
            <v>310</v>
          </cell>
        </row>
        <row r="153">
          <cell r="E153">
            <v>3</v>
          </cell>
        </row>
        <row r="155">
          <cell r="E155">
            <v>1</v>
          </cell>
        </row>
        <row r="157">
          <cell r="E157">
            <v>16</v>
          </cell>
        </row>
        <row r="159">
          <cell r="E159">
            <v>2</v>
          </cell>
        </row>
        <row r="161">
          <cell r="E161">
            <v>5</v>
          </cell>
        </row>
        <row r="163">
          <cell r="E163">
            <v>2</v>
          </cell>
        </row>
        <row r="165">
          <cell r="E165">
            <v>15</v>
          </cell>
        </row>
        <row r="171">
          <cell r="E171">
            <v>12</v>
          </cell>
        </row>
        <row r="175">
          <cell r="E175">
            <v>2</v>
          </cell>
        </row>
        <row r="177">
          <cell r="E177">
            <v>2</v>
          </cell>
        </row>
        <row r="179">
          <cell r="E179">
            <v>2</v>
          </cell>
        </row>
        <row r="193">
          <cell r="E193">
            <v>4</v>
          </cell>
        </row>
        <row r="195">
          <cell r="E195">
            <v>3</v>
          </cell>
        </row>
        <row r="197">
          <cell r="E197">
            <v>4</v>
          </cell>
        </row>
        <row r="209">
          <cell r="E209">
            <v>2</v>
          </cell>
        </row>
        <row r="211">
          <cell r="E211">
            <v>2</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250</v>
          </cell>
        </row>
        <row r="424">
          <cell r="E424">
            <v>2</v>
          </cell>
        </row>
        <row r="432">
          <cell r="E432">
            <v>1</v>
          </cell>
        </row>
        <row r="434">
          <cell r="E434">
            <v>2</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 sheetId="11">
        <row r="5">
          <cell r="E5" t="str">
            <v>CANTIDAD</v>
          </cell>
        </row>
      </sheetData>
      <sheetData sheetId="12">
        <row r="5">
          <cell r="E5" t="str">
            <v>CANTIDAD</v>
          </cell>
        </row>
      </sheetData>
      <sheetData sheetId="13">
        <row r="5">
          <cell r="E5" t="str">
            <v>CANTIDAD</v>
          </cell>
        </row>
      </sheetData>
      <sheetData sheetId="14">
        <row r="5">
          <cell r="E5" t="str">
            <v>CANTIDAD</v>
          </cell>
        </row>
      </sheetData>
      <sheetData sheetId="15">
        <row r="5">
          <cell r="E5" t="str">
            <v>CANTIDAD</v>
          </cell>
        </row>
      </sheetData>
      <sheetData sheetId="16">
        <row r="5">
          <cell r="E5" t="str">
            <v>CANTIDAD</v>
          </cell>
        </row>
      </sheetData>
      <sheetData sheetId="17">
        <row r="5">
          <cell r="E5" t="str">
            <v>CANTIDAD</v>
          </cell>
        </row>
      </sheetData>
      <sheetData sheetId="18">
        <row r="5">
          <cell r="E5" t="str">
            <v>CANTIDAD</v>
          </cell>
        </row>
      </sheetData>
      <sheetData sheetId="19">
        <row r="5">
          <cell r="E5" t="str">
            <v>CANTIDAD</v>
          </cell>
        </row>
      </sheetData>
      <sheetData sheetId="20">
        <row r="5">
          <cell r="E5" t="str">
            <v>CANTIDAD</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s>
    <sheetDataSet>
      <sheetData sheetId="0" refreshError="1">
        <row r="60">
          <cell r="F60">
            <v>80591.125</v>
          </cell>
        </row>
        <row r="81">
          <cell r="C81">
            <v>1030017.2290000001</v>
          </cell>
        </row>
      </sheetData>
      <sheetData sheetId="1"/>
      <sheetData sheetId="2"/>
      <sheetData sheetId="3"/>
      <sheetData sheetId="4"/>
      <sheetData sheetId="5"/>
      <sheetData sheetId="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 SAGRARIO"/>
      <sheetName val="RESUMEN"/>
      <sheetName val="TUBERIA"/>
      <sheetName val="DOMICILIARIAS"/>
      <sheetName val="ASFALTO"/>
      <sheetName val="PAVIMENTO"/>
      <sheetName val="ANDENES"/>
      <sheetName val="SOBREPISO"/>
      <sheetName val="ACOMETIDAS"/>
      <sheetName val="FACTORES"/>
      <sheetName val="CDItem"/>
      <sheetName val="BASES"/>
    </sheetNames>
    <sheetDataSet>
      <sheetData sheetId="0" refreshError="1"/>
      <sheetData sheetId="1" refreshError="1"/>
      <sheetData sheetId="2" refreshError="1">
        <row r="10">
          <cell r="AE10">
            <v>0</v>
          </cell>
        </row>
        <row r="14">
          <cell r="AE1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 P. U."/>
      <sheetName val="AI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PRELIM"/>
      <sheetName val="TUBERIA"/>
      <sheetName val="EXCAVA"/>
    </sheetNames>
    <sheetDataSet>
      <sheetData sheetId="0" refreshError="1"/>
      <sheetData sheetId="1" refreshError="1"/>
      <sheetData sheetId="2" refreshError="1">
        <row r="455">
          <cell r="D455">
            <v>53359.999999999993</v>
          </cell>
        </row>
      </sheetData>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OPTIM. SIST. DE CAPTACION"/>
      <sheetName val="PPTO. CONST. ESTAC.  REGULA"/>
      <sheetName val="APU CONST. ESTACIÓN REGULADORA"/>
      <sheetName val="PPTO. OPTIM. REDES DE DISTRIB."/>
      <sheetName val="APU OPTM. REDES DIST"/>
      <sheetName val="BASE"/>
    </sheetNames>
    <sheetDataSet>
      <sheetData sheetId="0"/>
      <sheetData sheetId="1"/>
      <sheetData sheetId="2"/>
      <sheetData sheetId="3"/>
      <sheetData sheetId="4"/>
      <sheetData sheetId="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2">
          <cell r="B2" t="str">
            <v>CONSORCIO CIVILTEC-CEI</v>
          </cell>
        </row>
        <row r="3">
          <cell r="B3" t="str">
            <v>IDU-044-2003</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IP3C"/>
      <sheetName val="#REF"/>
      <sheetName val="Resumen"/>
      <sheetName val="cp03"/>
      <sheetName val="PERFASES"/>
      <sheetName val="Book1"/>
      <sheetName val="rencst0599"/>
      <sheetName val="VENTA"/>
      <sheetName val="SUMMA"/>
      <sheetName val="DATA-FASE"/>
      <sheetName val="SRG1-S1"/>
      <sheetName val="20 de Julio"/>
      <sheetName val="Casaloma"/>
      <sheetName val="Huertas"/>
      <sheetName val="Pinos 4-8 "/>
      <sheetName val="Pinos 4-7"/>
      <sheetName val="Mirad. de la Prim."/>
      <sheetName val="Paraiso"/>
      <sheetName val="Porv. de la Est."/>
      <sheetName val="Rincon Porv."/>
      <sheetName val="San Isidro"/>
      <sheetName val="Sta Ines"/>
      <sheetName val="San Vicente"/>
      <sheetName val="Uva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Insum"/>
      <sheetName val="UNITARIOS GENERALES"/>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s>
    <sheetDataSet>
      <sheetData sheetId="0" refreshError="1">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C9">
            <v>4000</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C44">
            <v>1750</v>
          </cell>
          <cell r="D44">
            <v>1750</v>
          </cell>
        </row>
        <row r="45">
          <cell r="A45">
            <v>41</v>
          </cell>
          <cell r="B45" t="str">
            <v>CLASIFICACION DE MATERIAL</v>
          </cell>
          <cell r="C45" t="str">
            <v>M3</v>
          </cell>
          <cell r="D45">
            <v>6000</v>
          </cell>
        </row>
        <row r="46">
          <cell r="A46">
            <v>42</v>
          </cell>
          <cell r="B46" t="str">
            <v>DESPERDICIO 10%</v>
          </cell>
          <cell r="C46">
            <v>2700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iseño"/>
      <sheetName val="Diagnóstico"/>
      <sheetName val="Ppto total"/>
      <sheetName val="Tabla"/>
      <sheetName val="Cimentación"/>
      <sheetName val="Parámetros"/>
      <sheetName val="Resumen tubería"/>
      <sheetName val="Tabla 4.1 Distrito Nº1"/>
      <sheetName val="Tabla 4.2 Distrito Nº2"/>
      <sheetName val="Tabal 4.3 Resumén distritos"/>
      <sheetName val="Tabla 4.4 Sistemas"/>
      <sheetName val="Insuficiencia"/>
      <sheetName val="Ppto alcantarillado"/>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s>
    <sheetDataSet>
      <sheetData sheetId="0" refreshError="1">
        <row r="1">
          <cell r="A1" t="str">
            <v>Name</v>
          </cell>
          <cell r="B1" t="str">
            <v>North</v>
          </cell>
          <cell r="C1" t="str">
            <v>East</v>
          </cell>
          <cell r="D1" t="str">
            <v>Zeta</v>
          </cell>
        </row>
        <row r="2">
          <cell r="A2" t="str">
            <v>56A</v>
          </cell>
          <cell r="B2">
            <v>1150890.493277774</v>
          </cell>
          <cell r="C2">
            <v>1148699.9976036465</v>
          </cell>
          <cell r="D2">
            <v>1357.8468233615824</v>
          </cell>
        </row>
        <row r="3">
          <cell r="A3" t="str">
            <v>55´</v>
          </cell>
          <cell r="B3">
            <v>1150939.6088</v>
          </cell>
          <cell r="C3">
            <v>1148731.3541999999</v>
          </cell>
          <cell r="D3">
            <v>1353.26</v>
          </cell>
        </row>
        <row r="4">
          <cell r="A4" t="str">
            <v>51B</v>
          </cell>
          <cell r="B4">
            <v>1150967.3355223082</v>
          </cell>
          <cell r="C4">
            <v>1148745.3622652381</v>
          </cell>
          <cell r="D4">
            <v>1351.3370866375085</v>
          </cell>
        </row>
        <row r="5">
          <cell r="A5">
            <v>51</v>
          </cell>
          <cell r="B5">
            <v>1151008.2450840478</v>
          </cell>
          <cell r="C5">
            <v>1148788.9781526409</v>
          </cell>
          <cell r="D5">
            <v>1346.7613011758103</v>
          </cell>
        </row>
        <row r="6">
          <cell r="A6">
            <v>52</v>
          </cell>
          <cell r="B6">
            <v>1151008.3400097564</v>
          </cell>
          <cell r="C6">
            <v>1148797.9004691627</v>
          </cell>
          <cell r="D6">
            <v>1346.7115480832808</v>
          </cell>
        </row>
        <row r="7">
          <cell r="A7">
            <v>153</v>
          </cell>
          <cell r="B7">
            <v>1151652.4674790408</v>
          </cell>
          <cell r="C7">
            <v>1148568.56123569</v>
          </cell>
          <cell r="D7">
            <v>1308.1328615355651</v>
          </cell>
        </row>
        <row r="8">
          <cell r="A8" t="str">
            <v>54A</v>
          </cell>
          <cell r="B8">
            <v>1150953.9060811799</v>
          </cell>
          <cell r="C8">
            <v>1148835.3323437518</v>
          </cell>
          <cell r="D8">
            <v>1359.4524193247446</v>
          </cell>
        </row>
        <row r="9">
          <cell r="A9">
            <v>50</v>
          </cell>
          <cell r="B9">
            <v>1151079.4170390253</v>
          </cell>
          <cell r="C9">
            <v>1148780.2852623155</v>
          </cell>
          <cell r="D9">
            <v>1341.7160417902012</v>
          </cell>
        </row>
        <row r="10">
          <cell r="A10" t="str">
            <v>49A</v>
          </cell>
          <cell r="B10">
            <v>1151132.4496352081</v>
          </cell>
          <cell r="C10">
            <v>1148766.1117737354</v>
          </cell>
          <cell r="D10">
            <v>1337.3564679161727</v>
          </cell>
        </row>
        <row r="11">
          <cell r="A11">
            <v>48</v>
          </cell>
          <cell r="B11">
            <v>1151204.7227012513</v>
          </cell>
          <cell r="C11">
            <v>1148731.7370260572</v>
          </cell>
          <cell r="D11">
            <v>1333.5220250614016</v>
          </cell>
        </row>
        <row r="12">
          <cell r="A12" t="str">
            <v>79A</v>
          </cell>
          <cell r="B12">
            <v>1151203.5444295572</v>
          </cell>
          <cell r="C12">
            <v>1148729.5418679791</v>
          </cell>
          <cell r="D12">
            <v>1333.5779267467412</v>
          </cell>
        </row>
        <row r="13">
          <cell r="A13">
            <v>57</v>
          </cell>
          <cell r="B13">
            <v>1151168.1878823163</v>
          </cell>
          <cell r="C13">
            <v>1148835.7758053313</v>
          </cell>
          <cell r="D13">
            <v>1332.341811154718</v>
          </cell>
        </row>
        <row r="14">
          <cell r="A14">
            <v>47</v>
          </cell>
          <cell r="B14">
            <v>1151238.3266864987</v>
          </cell>
          <cell r="C14">
            <v>1148798.0507170982</v>
          </cell>
          <cell r="D14">
            <v>1330.9776230528728</v>
          </cell>
        </row>
        <row r="15">
          <cell r="A15">
            <v>22</v>
          </cell>
          <cell r="B15">
            <v>1151183.4416591949</v>
          </cell>
          <cell r="C15">
            <v>1148869.4940884453</v>
          </cell>
          <cell r="D15">
            <v>1330.4908393994401</v>
          </cell>
        </row>
        <row r="16">
          <cell r="A16">
            <v>21</v>
          </cell>
          <cell r="B16">
            <v>1151210.6655712093</v>
          </cell>
          <cell r="C16">
            <v>1148921.8264671685</v>
          </cell>
          <cell r="D16">
            <v>1332.9726121331232</v>
          </cell>
        </row>
        <row r="17">
          <cell r="A17">
            <v>58</v>
          </cell>
          <cell r="B17">
            <v>1151133.5163972522</v>
          </cell>
          <cell r="C17">
            <v>1148853.6335178257</v>
          </cell>
          <cell r="D17">
            <v>1335.3154292551149</v>
          </cell>
        </row>
        <row r="18">
          <cell r="A18" t="str">
            <v>20A</v>
          </cell>
          <cell r="B18">
            <v>1151228.5688273532</v>
          </cell>
          <cell r="C18">
            <v>1148957.0964353324</v>
          </cell>
          <cell r="D18">
            <v>1333.7781795124936</v>
          </cell>
        </row>
        <row r="19">
          <cell r="A19">
            <v>23</v>
          </cell>
          <cell r="B19">
            <v>1151282.1254725184</v>
          </cell>
          <cell r="C19">
            <v>1148884.2047152522</v>
          </cell>
          <cell r="D19">
            <v>1326.8094664403145</v>
          </cell>
        </row>
        <row r="20">
          <cell r="A20">
            <v>19</v>
          </cell>
          <cell r="B20">
            <v>1151151.411888367</v>
          </cell>
          <cell r="C20">
            <v>1148951.560060662</v>
          </cell>
          <cell r="D20">
            <v>1336.3897296079072</v>
          </cell>
        </row>
        <row r="21">
          <cell r="A21">
            <v>7</v>
          </cell>
          <cell r="B21">
            <v>1150993.2220902746</v>
          </cell>
          <cell r="C21">
            <v>1148968.7832952163</v>
          </cell>
          <cell r="D21">
            <v>1361.8109900723489</v>
          </cell>
        </row>
        <row r="22">
          <cell r="A22">
            <v>244</v>
          </cell>
          <cell r="B22">
            <v>1151135.7517834278</v>
          </cell>
          <cell r="C22">
            <v>1148953.992519429</v>
          </cell>
          <cell r="D22">
            <v>1337.9686773003784</v>
          </cell>
        </row>
        <row r="23">
          <cell r="A23" t="str">
            <v>18A</v>
          </cell>
          <cell r="B23">
            <v>1151108.2314831046</v>
          </cell>
          <cell r="C23">
            <v>1148902.5007640375</v>
          </cell>
          <cell r="D23">
            <v>1339.8995084173137</v>
          </cell>
        </row>
        <row r="24">
          <cell r="A24">
            <v>261</v>
          </cell>
          <cell r="B24">
            <v>1151135.7517834278</v>
          </cell>
          <cell r="C24">
            <v>1148953.992519429</v>
          </cell>
          <cell r="D24">
            <v>1337.9686773003784</v>
          </cell>
        </row>
        <row r="25">
          <cell r="A25">
            <v>46</v>
          </cell>
          <cell r="B25">
            <v>1151112.4610964647</v>
          </cell>
          <cell r="C25">
            <v>1148936.2977245869</v>
          </cell>
          <cell r="D25">
            <v>1343.2294872909042</v>
          </cell>
        </row>
        <row r="26">
          <cell r="A26" t="str">
            <v>45A</v>
          </cell>
          <cell r="B26">
            <v>1151098.5621628934</v>
          </cell>
          <cell r="C26">
            <v>1148908.6707229412</v>
          </cell>
          <cell r="D26">
            <v>1344.8006000362748</v>
          </cell>
        </row>
        <row r="27">
          <cell r="A27">
            <v>61</v>
          </cell>
          <cell r="B27">
            <v>1151083.6715819638</v>
          </cell>
          <cell r="C27">
            <v>1148879.9605464032</v>
          </cell>
          <cell r="D27">
            <v>1344.0350426577841</v>
          </cell>
        </row>
        <row r="28">
          <cell r="A28">
            <v>10</v>
          </cell>
          <cell r="B28">
            <v>1151058.5954847152</v>
          </cell>
          <cell r="C28">
            <v>1148998.1493384498</v>
          </cell>
          <cell r="D28">
            <v>1351.4400127770471</v>
          </cell>
        </row>
        <row r="29">
          <cell r="A29">
            <v>9</v>
          </cell>
          <cell r="B29">
            <v>1151026.355220868</v>
          </cell>
          <cell r="C29">
            <v>1148935.1216390317</v>
          </cell>
          <cell r="D29">
            <v>1354.8503867135087</v>
          </cell>
        </row>
        <row r="30">
          <cell r="A30">
            <v>8</v>
          </cell>
          <cell r="B30">
            <v>1151022.9865773923</v>
          </cell>
          <cell r="C30">
            <v>1148930.3547811224</v>
          </cell>
          <cell r="D30">
            <v>1355.2620701696233</v>
          </cell>
        </row>
        <row r="31">
          <cell r="A31" t="str">
            <v>14A</v>
          </cell>
          <cell r="B31">
            <v>1151026.8686560146</v>
          </cell>
          <cell r="C31">
            <v>1149064.3791065551</v>
          </cell>
          <cell r="D31">
            <v>1359.647664261031</v>
          </cell>
        </row>
        <row r="32">
          <cell r="A32">
            <v>12</v>
          </cell>
          <cell r="B32">
            <v>1151098.5188178634</v>
          </cell>
          <cell r="C32">
            <v>1149073.4922249566</v>
          </cell>
          <cell r="D32">
            <v>1355.8392352142116</v>
          </cell>
        </row>
        <row r="33">
          <cell r="A33">
            <v>11</v>
          </cell>
          <cell r="B33">
            <v>1151077.6619190925</v>
          </cell>
          <cell r="C33">
            <v>1149036.7897374383</v>
          </cell>
          <cell r="D33">
            <v>1354.4959158024456</v>
          </cell>
        </row>
        <row r="34">
          <cell r="A34">
            <v>13</v>
          </cell>
          <cell r="B34">
            <v>1151048.3990745903</v>
          </cell>
          <cell r="C34">
            <v>1149099.0257615754</v>
          </cell>
          <cell r="D34">
            <v>1357.9725179132356</v>
          </cell>
        </row>
        <row r="35">
          <cell r="A35">
            <v>262</v>
          </cell>
          <cell r="B35">
            <v>1151004.4912259961</v>
          </cell>
          <cell r="C35">
            <v>1149025.0849031573</v>
          </cell>
          <cell r="D35">
            <v>1361.4499153808936</v>
          </cell>
        </row>
        <row r="36">
          <cell r="A36">
            <v>16</v>
          </cell>
          <cell r="B36">
            <v>1150995.1874033813</v>
          </cell>
          <cell r="C36">
            <v>1149029.8121934782</v>
          </cell>
          <cell r="D36">
            <v>1363.2155277383447</v>
          </cell>
        </row>
        <row r="37">
          <cell r="A37" t="str">
            <v>15A</v>
          </cell>
          <cell r="B37">
            <v>1150977.7464497215</v>
          </cell>
          <cell r="C37">
            <v>1149038.6658172507</v>
          </cell>
          <cell r="D37">
            <v>1364.7401172085349</v>
          </cell>
        </row>
        <row r="38">
          <cell r="A38">
            <v>6</v>
          </cell>
          <cell r="B38">
            <v>1150963.1274990751</v>
          </cell>
          <cell r="C38">
            <v>1149008.347188845</v>
          </cell>
          <cell r="D38">
            <v>1364.3542953925962</v>
          </cell>
        </row>
        <row r="39">
          <cell r="A39">
            <v>17</v>
          </cell>
          <cell r="B39">
            <v>1151141.8034219691</v>
          </cell>
          <cell r="C39">
            <v>1148956.3900550397</v>
          </cell>
          <cell r="D39">
            <v>1337.4683796959914</v>
          </cell>
        </row>
        <row r="40">
          <cell r="A40" t="str">
            <v>200A</v>
          </cell>
          <cell r="B40">
            <v>1151032.3495295774</v>
          </cell>
          <cell r="C40">
            <v>1148924.3942487428</v>
          </cell>
          <cell r="D40">
            <v>1354.525102858337</v>
          </cell>
        </row>
        <row r="41">
          <cell r="A41">
            <v>63</v>
          </cell>
          <cell r="B41">
            <v>1151055.4543660544</v>
          </cell>
          <cell r="C41">
            <v>1148921.7278309299</v>
          </cell>
          <cell r="D41">
            <v>1352.3889884608823</v>
          </cell>
        </row>
        <row r="42">
          <cell r="A42" t="str">
            <v>64A</v>
          </cell>
          <cell r="B42">
            <v>1151072.0636055109</v>
          </cell>
          <cell r="C42">
            <v>1148955.61588167</v>
          </cell>
          <cell r="D42">
            <v>1352.3702292516743</v>
          </cell>
        </row>
        <row r="43">
          <cell r="A43">
            <v>62</v>
          </cell>
          <cell r="B43">
            <v>1151059.7261104977</v>
          </cell>
          <cell r="C43">
            <v>1148899.3567772531</v>
          </cell>
          <cell r="D43">
            <v>1350.545742305291</v>
          </cell>
        </row>
        <row r="44">
          <cell r="A44">
            <v>44</v>
          </cell>
          <cell r="B44">
            <v>1151264.8361581019</v>
          </cell>
          <cell r="C44">
            <v>1148850.0532957893</v>
          </cell>
          <cell r="D44">
            <v>1327.8954260108117</v>
          </cell>
        </row>
        <row r="45">
          <cell r="A45">
            <v>24</v>
          </cell>
          <cell r="B45">
            <v>1151309.21</v>
          </cell>
          <cell r="C45">
            <v>1148870.7</v>
          </cell>
          <cell r="D45">
            <v>1326.28</v>
          </cell>
        </row>
        <row r="46">
          <cell r="A46">
            <v>25</v>
          </cell>
          <cell r="B46">
            <v>1151362.5060870789</v>
          </cell>
          <cell r="C46">
            <v>1148843.8456186319</v>
          </cell>
          <cell r="D46">
            <v>1325.8269282528281</v>
          </cell>
        </row>
        <row r="47">
          <cell r="A47">
            <v>43</v>
          </cell>
          <cell r="B47">
            <v>1151319.0600961938</v>
          </cell>
          <cell r="C47">
            <v>1148757.06547595</v>
          </cell>
          <cell r="D47">
            <v>1327.1651043106815</v>
          </cell>
        </row>
        <row r="48">
          <cell r="A48">
            <v>201</v>
          </cell>
          <cell r="B48">
            <v>1151306.0505700782</v>
          </cell>
          <cell r="C48">
            <v>1148730.2268973694</v>
          </cell>
          <cell r="D48">
            <v>1326.8987382930391</v>
          </cell>
        </row>
        <row r="49">
          <cell r="A49">
            <v>202</v>
          </cell>
          <cell r="B49">
            <v>1151291.5048365991</v>
          </cell>
          <cell r="C49">
            <v>1148699.8068667436</v>
          </cell>
          <cell r="D49">
            <v>1327.2316327608828</v>
          </cell>
        </row>
        <row r="50">
          <cell r="A50">
            <v>101</v>
          </cell>
          <cell r="B50">
            <v>1151287.5231146077</v>
          </cell>
          <cell r="C50">
            <v>1148687.6168845526</v>
          </cell>
          <cell r="D50">
            <v>1327.186592928904</v>
          </cell>
        </row>
        <row r="51">
          <cell r="A51">
            <v>203</v>
          </cell>
          <cell r="B51">
            <v>1151295.1759405355</v>
          </cell>
          <cell r="C51">
            <v>1148681.4858961669</v>
          </cell>
          <cell r="D51">
            <v>1326.326359215012</v>
          </cell>
        </row>
        <row r="52">
          <cell r="A52">
            <v>220</v>
          </cell>
          <cell r="B52">
            <v>1151270.5096259217</v>
          </cell>
          <cell r="C52">
            <v>1148658.0921981109</v>
          </cell>
          <cell r="D52">
            <v>1327.4960653935275</v>
          </cell>
        </row>
        <row r="53">
          <cell r="A53" t="str">
            <v>90A</v>
          </cell>
          <cell r="B53">
            <v>1151205.5256082765</v>
          </cell>
          <cell r="C53">
            <v>1148680.0092459517</v>
          </cell>
          <cell r="D53">
            <v>1331.4873214339698</v>
          </cell>
        </row>
        <row r="54">
          <cell r="A54">
            <v>78</v>
          </cell>
          <cell r="B54">
            <v>1151193.3010028289</v>
          </cell>
          <cell r="C54">
            <v>1148709.6458514908</v>
          </cell>
          <cell r="D54">
            <v>1332.549325612345</v>
          </cell>
        </row>
        <row r="55">
          <cell r="A55">
            <v>77</v>
          </cell>
          <cell r="B55">
            <v>1151183.7264971512</v>
          </cell>
          <cell r="C55">
            <v>1148687.4281196315</v>
          </cell>
          <cell r="D55">
            <v>1330.2644562821579</v>
          </cell>
        </row>
        <row r="56">
          <cell r="A56">
            <v>76</v>
          </cell>
          <cell r="B56">
            <v>1151171.9710216476</v>
          </cell>
          <cell r="C56">
            <v>1148665.7884250814</v>
          </cell>
          <cell r="D56">
            <v>1327.3333999184038</v>
          </cell>
        </row>
        <row r="57">
          <cell r="A57">
            <v>75</v>
          </cell>
          <cell r="B57">
            <v>1151154.3929999999</v>
          </cell>
          <cell r="C57">
            <v>1148622.8535</v>
          </cell>
          <cell r="D57">
            <v>1324.5662872811001</v>
          </cell>
        </row>
        <row r="58">
          <cell r="A58">
            <v>72</v>
          </cell>
          <cell r="B58">
            <v>1151130.97</v>
          </cell>
          <cell r="C58">
            <v>1148579.1089999999</v>
          </cell>
          <cell r="D58">
            <v>1321.4099999999999</v>
          </cell>
        </row>
        <row r="59">
          <cell r="A59">
            <v>73</v>
          </cell>
          <cell r="B59">
            <v>1151126.4038159726</v>
          </cell>
          <cell r="C59">
            <v>1148569.2673538057</v>
          </cell>
          <cell r="D59">
            <v>1322.0645776328436</v>
          </cell>
        </row>
        <row r="60">
          <cell r="A60">
            <v>217</v>
          </cell>
          <cell r="B60">
            <v>1151178.566254305</v>
          </cell>
          <cell r="C60">
            <v>1148538.4247280378</v>
          </cell>
          <cell r="D60">
            <v>1318.6581713835806</v>
          </cell>
        </row>
        <row r="61">
          <cell r="A61">
            <v>218</v>
          </cell>
          <cell r="B61">
            <v>1151197.6262841185</v>
          </cell>
          <cell r="C61">
            <v>1148550.0481416783</v>
          </cell>
          <cell r="D61">
            <v>1315.4846485457178</v>
          </cell>
        </row>
        <row r="62">
          <cell r="A62">
            <v>219</v>
          </cell>
          <cell r="B62">
            <v>1151201.707688818</v>
          </cell>
          <cell r="C62">
            <v>1148569.3253559452</v>
          </cell>
          <cell r="D62">
            <v>1317.8323720695976</v>
          </cell>
        </row>
        <row r="63">
          <cell r="A63">
            <v>216</v>
          </cell>
          <cell r="B63">
            <v>1151225.4132518293</v>
          </cell>
          <cell r="C63">
            <v>1148518.8593837544</v>
          </cell>
          <cell r="D63">
            <v>1311.3504917518001</v>
          </cell>
        </row>
        <row r="64">
          <cell r="A64">
            <v>255</v>
          </cell>
          <cell r="B64">
            <v>1151263.3914242866</v>
          </cell>
          <cell r="C64">
            <v>1148558.6377487867</v>
          </cell>
          <cell r="D64">
            <v>1317.4920775248022</v>
          </cell>
        </row>
        <row r="65">
          <cell r="A65">
            <v>210</v>
          </cell>
          <cell r="B65">
            <v>1151253.0524313932</v>
          </cell>
          <cell r="C65">
            <v>1148469.4865884893</v>
          </cell>
          <cell r="D65">
            <v>1309.4642647962642</v>
          </cell>
        </row>
        <row r="66">
          <cell r="A66" t="str">
            <v>71A</v>
          </cell>
          <cell r="B66">
            <v>1151115.7847693965</v>
          </cell>
          <cell r="C66">
            <v>1148643.0807847043</v>
          </cell>
          <cell r="D66">
            <v>1329.3308903994437</v>
          </cell>
        </row>
        <row r="67">
          <cell r="A67" t="str">
            <v>81A</v>
          </cell>
          <cell r="B67">
            <v>1151134.6047570049</v>
          </cell>
          <cell r="C67">
            <v>1148679.6123421285</v>
          </cell>
          <cell r="D67">
            <v>1329.3625978967411</v>
          </cell>
        </row>
        <row r="68">
          <cell r="A68" t="str">
            <v>85A</v>
          </cell>
          <cell r="B68">
            <v>1151081.0796274815</v>
          </cell>
          <cell r="C68">
            <v>1148661.9458679473</v>
          </cell>
          <cell r="D68">
            <v>1331.6305219397461</v>
          </cell>
        </row>
        <row r="69">
          <cell r="A69">
            <v>71</v>
          </cell>
          <cell r="B69">
            <v>1151094.1446617951</v>
          </cell>
          <cell r="C69">
            <v>1148602.6102189976</v>
          </cell>
          <cell r="D69">
            <v>1323.4890927616343</v>
          </cell>
        </row>
        <row r="70">
          <cell r="A70">
            <v>80</v>
          </cell>
          <cell r="B70">
            <v>1151160.9790000001</v>
          </cell>
          <cell r="C70">
            <v>1148700.5789999999</v>
          </cell>
          <cell r="D70">
            <v>1330.875</v>
          </cell>
        </row>
        <row r="71">
          <cell r="A71" t="str">
            <v>CJ82</v>
          </cell>
          <cell r="B71">
            <v>1151098.8674388544</v>
          </cell>
          <cell r="C71">
            <v>1148693.6913246096</v>
          </cell>
          <cell r="D71">
            <v>1332.5423001778324</v>
          </cell>
        </row>
        <row r="72">
          <cell r="A72" t="str">
            <v>82A</v>
          </cell>
          <cell r="B72">
            <v>1151104.8940819514</v>
          </cell>
          <cell r="C72">
            <v>1148701.5600514568</v>
          </cell>
          <cell r="D72">
            <v>1332.9722430336058</v>
          </cell>
        </row>
        <row r="73">
          <cell r="A73">
            <v>82</v>
          </cell>
          <cell r="B73">
            <v>1151096.3098258215</v>
          </cell>
          <cell r="C73">
            <v>1148708.8202834898</v>
          </cell>
          <cell r="D73">
            <v>1335.1402251249597</v>
          </cell>
        </row>
        <row r="74">
          <cell r="A74">
            <v>86</v>
          </cell>
          <cell r="B74">
            <v>1151059.6074372241</v>
          </cell>
          <cell r="C74">
            <v>1148623.1146933264</v>
          </cell>
          <cell r="D74">
            <v>1326.7679140245484</v>
          </cell>
        </row>
        <row r="75">
          <cell r="A75">
            <v>60</v>
          </cell>
          <cell r="B75">
            <v>1151089.8337173536</v>
          </cell>
          <cell r="C75">
            <v>1148891.466866859</v>
          </cell>
          <cell r="D75">
            <v>1344.5141339051972</v>
          </cell>
        </row>
        <row r="76">
          <cell r="A76" t="str">
            <v>65A</v>
          </cell>
          <cell r="B76">
            <v>1150910.3674630995</v>
          </cell>
          <cell r="C76">
            <v>1148670.3746952615</v>
          </cell>
          <cell r="D76">
            <v>1352.2210540071512</v>
          </cell>
        </row>
        <row r="77">
          <cell r="A77">
            <v>89</v>
          </cell>
          <cell r="B77">
            <v>1150956.6385658588</v>
          </cell>
          <cell r="C77">
            <v>1148644.124177306</v>
          </cell>
          <cell r="D77">
            <v>1341.4260925688691</v>
          </cell>
        </row>
        <row r="78">
          <cell r="A78">
            <v>88</v>
          </cell>
          <cell r="B78">
            <v>1150986.5638188175</v>
          </cell>
          <cell r="C78">
            <v>1148627.2744050543</v>
          </cell>
          <cell r="D78">
            <v>1337.2411111924082</v>
          </cell>
        </row>
        <row r="79">
          <cell r="A79">
            <v>87</v>
          </cell>
          <cell r="B79">
            <v>1151005.7955992499</v>
          </cell>
          <cell r="C79">
            <v>1148616.2576566741</v>
          </cell>
          <cell r="D79">
            <v>1335.3309915064096</v>
          </cell>
        </row>
        <row r="80">
          <cell r="A80">
            <v>69</v>
          </cell>
          <cell r="B80">
            <v>1151051.1265362487</v>
          </cell>
          <cell r="C80">
            <v>1148590.7856498142</v>
          </cell>
          <cell r="D80">
            <v>1329.1370475617673</v>
          </cell>
        </row>
        <row r="81">
          <cell r="A81">
            <v>221</v>
          </cell>
          <cell r="B81">
            <v>1151057.9711334559</v>
          </cell>
          <cell r="C81">
            <v>1148591.5972339832</v>
          </cell>
          <cell r="D81">
            <v>1328.1412066707021</v>
          </cell>
        </row>
        <row r="82">
          <cell r="A82">
            <v>68</v>
          </cell>
          <cell r="B82">
            <v>1151019.1672265283</v>
          </cell>
          <cell r="C82">
            <v>1148555.9637174096</v>
          </cell>
          <cell r="D82">
            <v>1336.0259859318408</v>
          </cell>
        </row>
        <row r="83">
          <cell r="A83" t="str">
            <v>66A</v>
          </cell>
          <cell r="B83">
            <v>1150915.667171842</v>
          </cell>
          <cell r="C83">
            <v>1148614.4148936991</v>
          </cell>
          <cell r="D83">
            <v>1345.7218434281829</v>
          </cell>
        </row>
        <row r="84">
          <cell r="A84">
            <v>67</v>
          </cell>
          <cell r="B84">
            <v>1150963.9882180393</v>
          </cell>
          <cell r="C84">
            <v>1148587.0227221956</v>
          </cell>
          <cell r="D84">
            <v>1339.2588025398586</v>
          </cell>
        </row>
        <row r="85">
          <cell r="A85" t="str">
            <v>83A</v>
          </cell>
          <cell r="B85">
            <v>1151064.8688418614</v>
          </cell>
          <cell r="C85">
            <v>1148733.2802838814</v>
          </cell>
          <cell r="D85">
            <v>1337.6737873533291</v>
          </cell>
        </row>
        <row r="86">
          <cell r="A86" t="str">
            <v>CJ255A</v>
          </cell>
          <cell r="B86">
            <v>1151289.3906379179</v>
          </cell>
          <cell r="C86">
            <v>1148546.1454071826</v>
          </cell>
          <cell r="D86">
            <v>1314.2304446415558</v>
          </cell>
        </row>
        <row r="87">
          <cell r="A87">
            <v>94</v>
          </cell>
          <cell r="B87">
            <v>1151307.2140522101</v>
          </cell>
          <cell r="C87">
            <v>1148537.708765619</v>
          </cell>
          <cell r="D87">
            <v>1312.7186235219669</v>
          </cell>
        </row>
        <row r="88">
          <cell r="A88">
            <v>95</v>
          </cell>
          <cell r="B88">
            <v>1151300.5448576743</v>
          </cell>
          <cell r="C88">
            <v>1148513.9450757906</v>
          </cell>
          <cell r="D88">
            <v>1310.4832733552007</v>
          </cell>
        </row>
        <row r="89">
          <cell r="A89">
            <v>97</v>
          </cell>
          <cell r="B89">
            <v>1151337.0226764609</v>
          </cell>
          <cell r="C89">
            <v>1148523.4106147108</v>
          </cell>
          <cell r="D89">
            <v>1313.5221565279505</v>
          </cell>
        </row>
        <row r="90">
          <cell r="A90">
            <v>96</v>
          </cell>
          <cell r="B90">
            <v>1151300.0347343453</v>
          </cell>
          <cell r="C90">
            <v>1148462.3872225289</v>
          </cell>
          <cell r="D90">
            <v>1302.3014133697372</v>
          </cell>
        </row>
        <row r="91">
          <cell r="A91">
            <v>212</v>
          </cell>
          <cell r="B91">
            <v>1151287.9100306323</v>
          </cell>
          <cell r="C91">
            <v>1148469.7869794625</v>
          </cell>
          <cell r="D91">
            <v>1305.3429140125509</v>
          </cell>
        </row>
        <row r="92">
          <cell r="A92">
            <v>211</v>
          </cell>
          <cell r="B92">
            <v>1151265.5858893902</v>
          </cell>
          <cell r="C92">
            <v>1148465.0850551676</v>
          </cell>
          <cell r="D92">
            <v>1307.0761491930057</v>
          </cell>
        </row>
        <row r="93">
          <cell r="A93">
            <v>208</v>
          </cell>
          <cell r="B93">
            <v>1151300.2584034256</v>
          </cell>
          <cell r="C93">
            <v>1148431.0280963366</v>
          </cell>
          <cell r="D93">
            <v>1300.2225257221767</v>
          </cell>
        </row>
        <row r="94">
          <cell r="A94">
            <v>258</v>
          </cell>
          <cell r="B94">
            <v>1151322.7914154534</v>
          </cell>
          <cell r="C94">
            <v>1148429.112632731</v>
          </cell>
          <cell r="D94">
            <v>1298.8508433945678</v>
          </cell>
        </row>
        <row r="95">
          <cell r="A95" t="str">
            <v>199A</v>
          </cell>
          <cell r="B95">
            <v>1151335.9800982745</v>
          </cell>
          <cell r="C95">
            <v>1148454.7091627161</v>
          </cell>
          <cell r="D95">
            <v>1303.0695447414712</v>
          </cell>
        </row>
        <row r="96">
          <cell r="A96">
            <v>214</v>
          </cell>
          <cell r="B96">
            <v>1151215.7298571668</v>
          </cell>
          <cell r="C96">
            <v>1148434.0182640983</v>
          </cell>
          <cell r="D96">
            <v>1305.9575144399801</v>
          </cell>
        </row>
        <row r="97">
          <cell r="A97">
            <v>215</v>
          </cell>
          <cell r="B97">
            <v>1151199.2545212787</v>
          </cell>
          <cell r="C97">
            <v>1148437.7634232449</v>
          </cell>
          <cell r="D97">
            <v>1306.8379854058219</v>
          </cell>
        </row>
        <row r="98">
          <cell r="A98">
            <v>213</v>
          </cell>
          <cell r="B98">
            <v>1151214.6013504101</v>
          </cell>
          <cell r="C98">
            <v>1148413.5498197312</v>
          </cell>
          <cell r="D98">
            <v>1305.4897574204765</v>
          </cell>
        </row>
        <row r="99">
          <cell r="A99">
            <v>222</v>
          </cell>
          <cell r="B99">
            <v>1151293.2270181987</v>
          </cell>
          <cell r="C99">
            <v>1148398.5560882036</v>
          </cell>
          <cell r="D99">
            <v>1299.3190243042732</v>
          </cell>
        </row>
        <row r="100">
          <cell r="A100">
            <v>223</v>
          </cell>
          <cell r="B100">
            <v>1151289.8015691093</v>
          </cell>
          <cell r="C100">
            <v>1148379.6932618781</v>
          </cell>
          <cell r="D100">
            <v>1297.0834867449441</v>
          </cell>
        </row>
        <row r="101">
          <cell r="A101">
            <v>209</v>
          </cell>
          <cell r="B101">
            <v>1151251.3120192047</v>
          </cell>
          <cell r="C101">
            <v>1148406.8167570189</v>
          </cell>
          <cell r="D101">
            <v>1302.756660711025</v>
          </cell>
        </row>
        <row r="102">
          <cell r="A102">
            <v>224</v>
          </cell>
          <cell r="B102">
            <v>1151263.8030685855</v>
          </cell>
          <cell r="C102">
            <v>1148353.6907741309</v>
          </cell>
          <cell r="D102">
            <v>1288.1668665317982</v>
          </cell>
        </row>
        <row r="103">
          <cell r="A103" t="str">
            <v>109A</v>
          </cell>
          <cell r="B103">
            <v>1151350.5749764103</v>
          </cell>
          <cell r="C103">
            <v>1148351.1358806477</v>
          </cell>
          <cell r="D103">
            <v>1288.2990619103534</v>
          </cell>
        </row>
        <row r="104">
          <cell r="A104">
            <v>127</v>
          </cell>
          <cell r="B104">
            <v>1151345.9727719096</v>
          </cell>
          <cell r="C104">
            <v>1148343.2091738614</v>
          </cell>
          <cell r="D104">
            <v>1288.7707662308019</v>
          </cell>
        </row>
        <row r="105">
          <cell r="A105">
            <v>109</v>
          </cell>
          <cell r="B105">
            <v>1151358.7836018377</v>
          </cell>
          <cell r="C105">
            <v>1148366.3229974753</v>
          </cell>
          <cell r="D105">
            <v>1293.2323060288252</v>
          </cell>
        </row>
        <row r="106">
          <cell r="A106">
            <v>108</v>
          </cell>
          <cell r="B106">
            <v>1151376.3081463464</v>
          </cell>
          <cell r="C106">
            <v>1148400.2911714204</v>
          </cell>
          <cell r="D106">
            <v>1295.4229628686064</v>
          </cell>
        </row>
        <row r="107">
          <cell r="A107">
            <v>110</v>
          </cell>
          <cell r="B107">
            <v>1151383.3012392889</v>
          </cell>
          <cell r="C107">
            <v>1148413.7773120357</v>
          </cell>
          <cell r="D107">
            <v>1296.9497589426319</v>
          </cell>
        </row>
        <row r="108">
          <cell r="A108">
            <v>111</v>
          </cell>
          <cell r="B108">
            <v>1151396.1051370283</v>
          </cell>
          <cell r="C108">
            <v>1148439.4646963559</v>
          </cell>
          <cell r="D108">
            <v>1300.6505512958956</v>
          </cell>
        </row>
        <row r="109">
          <cell r="A109">
            <v>107</v>
          </cell>
          <cell r="B109">
            <v>1151344.5786752105</v>
          </cell>
          <cell r="C109">
            <v>1148417.7437091372</v>
          </cell>
          <cell r="D109">
            <v>1297.020100693039</v>
          </cell>
        </row>
        <row r="110">
          <cell r="A110" t="str">
            <v>CJ258A</v>
          </cell>
          <cell r="B110">
            <v>1151317.9157587145</v>
          </cell>
          <cell r="C110">
            <v>1148431.6801892288</v>
          </cell>
          <cell r="D110">
            <v>1297.5892890776004</v>
          </cell>
        </row>
        <row r="111">
          <cell r="A111">
            <v>106</v>
          </cell>
          <cell r="B111">
            <v>1151359.2487616511</v>
          </cell>
          <cell r="C111">
            <v>1148444.186925584</v>
          </cell>
          <cell r="D111">
            <v>1302.2642481393373</v>
          </cell>
        </row>
        <row r="112">
          <cell r="A112" t="str">
            <v>198A</v>
          </cell>
          <cell r="B112">
            <v>1151347.5770615209</v>
          </cell>
          <cell r="C112">
            <v>1148478.3496585821</v>
          </cell>
          <cell r="D112">
            <v>1308.7820517120713</v>
          </cell>
        </row>
        <row r="113">
          <cell r="A113">
            <v>103</v>
          </cell>
          <cell r="B113">
            <v>1151371.0219404057</v>
          </cell>
          <cell r="C113">
            <v>1148466.6404584947</v>
          </cell>
          <cell r="D113">
            <v>1309.3655523770256</v>
          </cell>
        </row>
        <row r="114">
          <cell r="A114" t="str">
            <v>102A</v>
          </cell>
          <cell r="B114">
            <v>1151385.1344992181</v>
          </cell>
          <cell r="C114">
            <v>1148493.6665940909</v>
          </cell>
          <cell r="D114">
            <v>1313.2660030446293</v>
          </cell>
        </row>
        <row r="115">
          <cell r="A115">
            <v>112</v>
          </cell>
          <cell r="B115">
            <v>1151401.7817717334</v>
          </cell>
          <cell r="C115">
            <v>1148451.0763649635</v>
          </cell>
          <cell r="D115">
            <v>1307.9407569881878</v>
          </cell>
        </row>
        <row r="116">
          <cell r="A116">
            <v>113</v>
          </cell>
          <cell r="B116">
            <v>1151415.3122686637</v>
          </cell>
          <cell r="C116">
            <v>1148444.5890040009</v>
          </cell>
          <cell r="D116">
            <v>1306.8670312382569</v>
          </cell>
        </row>
        <row r="117">
          <cell r="A117" t="str">
            <v>115A</v>
          </cell>
          <cell r="B117">
            <v>1151410.3963137451</v>
          </cell>
          <cell r="C117">
            <v>1148466.0298068037</v>
          </cell>
          <cell r="D117">
            <v>1311.3427838448649</v>
          </cell>
        </row>
        <row r="118">
          <cell r="A118">
            <v>114</v>
          </cell>
          <cell r="B118">
            <v>1151440.6347005439</v>
          </cell>
          <cell r="C118">
            <v>1148432.6353457626</v>
          </cell>
          <cell r="D118">
            <v>1300.1617456570011</v>
          </cell>
        </row>
        <row r="119">
          <cell r="A119">
            <v>124</v>
          </cell>
          <cell r="B119">
            <v>1151464.0525576628</v>
          </cell>
          <cell r="C119">
            <v>1148419.1945182038</v>
          </cell>
          <cell r="D119">
            <v>1298.958678849782</v>
          </cell>
        </row>
        <row r="120">
          <cell r="A120">
            <v>121</v>
          </cell>
          <cell r="B120">
            <v>1151478.3342596083</v>
          </cell>
          <cell r="C120">
            <v>1148412.4030216595</v>
          </cell>
          <cell r="D120">
            <v>1298.4950243258345</v>
          </cell>
        </row>
        <row r="121">
          <cell r="A121">
            <v>119</v>
          </cell>
          <cell r="B121">
            <v>1151485.9448184995</v>
          </cell>
          <cell r="C121">
            <v>1148423.8537589884</v>
          </cell>
          <cell r="D121">
            <v>1303.5849867079228</v>
          </cell>
        </row>
        <row r="122">
          <cell r="A122">
            <v>117</v>
          </cell>
          <cell r="B122">
            <v>1151498.614300899</v>
          </cell>
          <cell r="C122">
            <v>1148444.2397754469</v>
          </cell>
          <cell r="D122">
            <v>1312.1639960042041</v>
          </cell>
        </row>
        <row r="123">
          <cell r="A123" t="str">
            <v>123A</v>
          </cell>
          <cell r="B123">
            <v>1151470.7103294651</v>
          </cell>
          <cell r="C123">
            <v>1148433.5867809425</v>
          </cell>
          <cell r="D123">
            <v>1304.9833632846758</v>
          </cell>
        </row>
        <row r="124">
          <cell r="A124" t="str">
            <v>120A</v>
          </cell>
          <cell r="B124">
            <v>1151508.0069764671</v>
          </cell>
          <cell r="C124">
            <v>1148415.0739128552</v>
          </cell>
          <cell r="D124">
            <v>1304.5094514925945</v>
          </cell>
        </row>
        <row r="125">
          <cell r="A125" t="str">
            <v>116A</v>
          </cell>
          <cell r="B125">
            <v>1151503.0479586003</v>
          </cell>
          <cell r="C125">
            <v>1148453.8296252391</v>
          </cell>
          <cell r="D125">
            <v>1314.2263441250027</v>
          </cell>
        </row>
        <row r="126">
          <cell r="A126" t="str">
            <v>206A</v>
          </cell>
          <cell r="B126">
            <v>1151520.7449253076</v>
          </cell>
          <cell r="C126">
            <v>1148482.0796149017</v>
          </cell>
          <cell r="D126">
            <v>1314.3048100199667</v>
          </cell>
        </row>
        <row r="127">
          <cell r="A127" t="str">
            <v>100A</v>
          </cell>
          <cell r="B127">
            <v>1151480.3387320719</v>
          </cell>
          <cell r="C127">
            <v>1148460.2206529654</v>
          </cell>
          <cell r="D127">
            <v>1315.1279897351155</v>
          </cell>
        </row>
        <row r="128">
          <cell r="A128">
            <v>99</v>
          </cell>
          <cell r="B128">
            <v>1151463.7301824719</v>
          </cell>
          <cell r="C128">
            <v>1148463.5012284881</v>
          </cell>
          <cell r="D128">
            <v>1315.3612812717051</v>
          </cell>
        </row>
        <row r="129">
          <cell r="A129">
            <v>257</v>
          </cell>
          <cell r="B129">
            <v>1151451.3311325207</v>
          </cell>
          <cell r="C129">
            <v>1148465.7102600492</v>
          </cell>
          <cell r="D129">
            <v>1315.2956167202751</v>
          </cell>
        </row>
        <row r="130">
          <cell r="A130" t="str">
            <v>132A</v>
          </cell>
          <cell r="B130">
            <v>1151475.4499637992</v>
          </cell>
          <cell r="C130">
            <v>1148489.1597703458</v>
          </cell>
          <cell r="D130">
            <v>1315.8468132233825</v>
          </cell>
        </row>
        <row r="131">
          <cell r="A131">
            <v>133</v>
          </cell>
          <cell r="B131">
            <v>1151482.1320670084</v>
          </cell>
          <cell r="C131">
            <v>1148501.0944339542</v>
          </cell>
          <cell r="D131">
            <v>1315.4110941453359</v>
          </cell>
        </row>
        <row r="132">
          <cell r="A132">
            <v>134</v>
          </cell>
          <cell r="B132">
            <v>1151494.9637163733</v>
          </cell>
          <cell r="C132">
            <v>1148528.7082881788</v>
          </cell>
          <cell r="D132">
            <v>1309.4713374904118</v>
          </cell>
        </row>
        <row r="133">
          <cell r="A133">
            <v>207</v>
          </cell>
          <cell r="B133">
            <v>1151534.2122798064</v>
          </cell>
          <cell r="C133">
            <v>1148505.9462440058</v>
          </cell>
          <cell r="D133">
            <v>1309.2082056892</v>
          </cell>
        </row>
        <row r="134">
          <cell r="A134">
            <v>225</v>
          </cell>
          <cell r="B134">
            <v>1151544.2189052566</v>
          </cell>
          <cell r="C134">
            <v>1148522.9898523013</v>
          </cell>
          <cell r="D134">
            <v>1307.577024919718</v>
          </cell>
        </row>
        <row r="135">
          <cell r="A135">
            <v>135</v>
          </cell>
          <cell r="B135">
            <v>1151587.8380908461</v>
          </cell>
          <cell r="C135">
            <v>1148520.9463409174</v>
          </cell>
          <cell r="D135">
            <v>1305.5979694758857</v>
          </cell>
        </row>
        <row r="136">
          <cell r="A136" t="str">
            <v>136A</v>
          </cell>
          <cell r="B136">
            <v>1151591.3367941668</v>
          </cell>
          <cell r="C136">
            <v>1148491.9465252652</v>
          </cell>
          <cell r="D136">
            <v>1304.4400277305463</v>
          </cell>
        </row>
        <row r="137">
          <cell r="A137">
            <v>137</v>
          </cell>
          <cell r="B137">
            <v>1151605.5814868223</v>
          </cell>
          <cell r="C137">
            <v>1148444.8257483365</v>
          </cell>
          <cell r="D137">
            <v>1301.9714640026814</v>
          </cell>
        </row>
        <row r="138">
          <cell r="A138">
            <v>138</v>
          </cell>
          <cell r="B138">
            <v>1151637.768752553</v>
          </cell>
          <cell r="C138">
            <v>1148432.8575422668</v>
          </cell>
          <cell r="D138">
            <v>1297.3916379841623</v>
          </cell>
        </row>
        <row r="139">
          <cell r="A139" t="str">
            <v>127A</v>
          </cell>
          <cell r="B139">
            <v>1151385.3927212588</v>
          </cell>
          <cell r="C139">
            <v>1148359.7927949391</v>
          </cell>
          <cell r="D139">
            <v>1290.2222535029268</v>
          </cell>
        </row>
        <row r="140">
          <cell r="A140">
            <v>126</v>
          </cell>
          <cell r="B140">
            <v>1151414.8837812282</v>
          </cell>
          <cell r="C140">
            <v>1148400.5020879623</v>
          </cell>
          <cell r="D140">
            <v>1291.8292305938437</v>
          </cell>
        </row>
        <row r="141">
          <cell r="A141">
            <v>125</v>
          </cell>
          <cell r="B141">
            <v>1151440.1051050071</v>
          </cell>
          <cell r="C141">
            <v>1148409.5014712089</v>
          </cell>
          <cell r="D141">
            <v>1292.9641691271713</v>
          </cell>
        </row>
        <row r="142">
          <cell r="A142">
            <v>122</v>
          </cell>
          <cell r="B142">
            <v>1151474.0752014269</v>
          </cell>
          <cell r="C142">
            <v>1148401.5379401804</v>
          </cell>
          <cell r="D142">
            <v>1294.743711612723</v>
          </cell>
        </row>
        <row r="143">
          <cell r="A143">
            <v>149</v>
          </cell>
          <cell r="B143">
            <v>1151624.4839654816</v>
          </cell>
          <cell r="C143">
            <v>1148501.7988710173</v>
          </cell>
          <cell r="D143">
            <v>1301.7611921558635</v>
          </cell>
        </row>
        <row r="144">
          <cell r="A144">
            <v>228</v>
          </cell>
          <cell r="B144">
            <v>1151624.8877206733</v>
          </cell>
          <cell r="C144">
            <v>1148505.6375813922</v>
          </cell>
          <cell r="D144">
            <v>1302.8683490544372</v>
          </cell>
        </row>
        <row r="145">
          <cell r="A145" t="str">
            <v>148A</v>
          </cell>
          <cell r="B145">
            <v>1151653.2046524277</v>
          </cell>
          <cell r="C145">
            <v>1148502.8370989144</v>
          </cell>
          <cell r="D145">
            <v>1298.914536326045</v>
          </cell>
        </row>
        <row r="146">
          <cell r="A146">
            <v>229</v>
          </cell>
          <cell r="B146">
            <v>1151664.2785599497</v>
          </cell>
          <cell r="C146">
            <v>1148522.3412683492</v>
          </cell>
          <cell r="D146">
            <v>1301.0367201660201</v>
          </cell>
        </row>
        <row r="147">
          <cell r="A147">
            <v>230</v>
          </cell>
          <cell r="B147">
            <v>1151675.7223935623</v>
          </cell>
          <cell r="C147">
            <v>1148495.9961664691</v>
          </cell>
          <cell r="D147">
            <v>1295.8856116365566</v>
          </cell>
        </row>
        <row r="148">
          <cell r="A148" t="str">
            <v>231A</v>
          </cell>
          <cell r="B148">
            <v>1151680.023434703</v>
          </cell>
          <cell r="C148">
            <v>1148514.2231066164</v>
          </cell>
          <cell r="D148">
            <v>1298.6584179040512</v>
          </cell>
        </row>
        <row r="149">
          <cell r="A149" t="str">
            <v>147A</v>
          </cell>
          <cell r="B149">
            <v>1151653.0152039144</v>
          </cell>
          <cell r="C149">
            <v>1148480.1587234747</v>
          </cell>
          <cell r="D149">
            <v>1296.7275712511791</v>
          </cell>
        </row>
        <row r="150">
          <cell r="A150">
            <v>146</v>
          </cell>
          <cell r="B150">
            <v>1151682.9361511236</v>
          </cell>
          <cell r="C150">
            <v>1148456.8045148647</v>
          </cell>
          <cell r="D150">
            <v>1294.6960796987139</v>
          </cell>
        </row>
        <row r="151">
          <cell r="A151">
            <v>142</v>
          </cell>
          <cell r="B151">
            <v>1151695.2700344168</v>
          </cell>
          <cell r="C151">
            <v>1148445.7641160849</v>
          </cell>
          <cell r="D151">
            <v>1295.821361664197</v>
          </cell>
        </row>
        <row r="152">
          <cell r="A152" t="str">
            <v>CJ141A</v>
          </cell>
          <cell r="B152">
            <v>1151690.6094892342</v>
          </cell>
          <cell r="C152">
            <v>1148439.1554891909</v>
          </cell>
          <cell r="D152">
            <v>1294.893652310968</v>
          </cell>
        </row>
        <row r="153">
          <cell r="A153">
            <v>235</v>
          </cell>
          <cell r="B153">
            <v>1151676.8193800512</v>
          </cell>
          <cell r="C153">
            <v>1148424.1570009398</v>
          </cell>
          <cell r="D153">
            <v>1293.0584641332923</v>
          </cell>
        </row>
        <row r="154">
          <cell r="A154">
            <v>139</v>
          </cell>
          <cell r="B154">
            <v>1151664.5322342762</v>
          </cell>
          <cell r="C154">
            <v>1148422.4142870966</v>
          </cell>
          <cell r="D154">
            <v>1293.9551380946809</v>
          </cell>
        </row>
        <row r="155">
          <cell r="A155" t="str">
            <v>CJ256</v>
          </cell>
          <cell r="B155">
            <v>1151686.746580451</v>
          </cell>
          <cell r="C155">
            <v>1148388.6227055688</v>
          </cell>
          <cell r="D155">
            <v>1291.7368526335797</v>
          </cell>
        </row>
        <row r="156">
          <cell r="A156">
            <v>145</v>
          </cell>
          <cell r="B156">
            <v>1151685.1425335112</v>
          </cell>
          <cell r="C156">
            <v>1148492.9859339329</v>
          </cell>
          <cell r="D156">
            <v>1295.9938331071967</v>
          </cell>
        </row>
        <row r="157">
          <cell r="A157" t="str">
            <v>232A</v>
          </cell>
          <cell r="B157">
            <v>1151691.4196471837</v>
          </cell>
          <cell r="C157">
            <v>1148490.1336055622</v>
          </cell>
          <cell r="D157">
            <v>1296.7190714519945</v>
          </cell>
        </row>
        <row r="158">
          <cell r="A158" t="str">
            <v>144A</v>
          </cell>
          <cell r="B158">
            <v>1151712.342578742</v>
          </cell>
          <cell r="C158">
            <v>1148470.2393546056</v>
          </cell>
          <cell r="D158">
            <v>1299.1999757155115</v>
          </cell>
        </row>
        <row r="159">
          <cell r="A159">
            <v>234</v>
          </cell>
          <cell r="B159">
            <v>1151706.4407801947</v>
          </cell>
          <cell r="C159">
            <v>1148460.2787127879</v>
          </cell>
          <cell r="D159">
            <v>1297.9370983492217</v>
          </cell>
        </row>
        <row r="160">
          <cell r="A160" t="str">
            <v>143A</v>
          </cell>
          <cell r="B160">
            <v>1151736.2513843256</v>
          </cell>
          <cell r="C160">
            <v>1148445.6688523318</v>
          </cell>
          <cell r="D160">
            <v>1297.593195157127</v>
          </cell>
        </row>
        <row r="161">
          <cell r="A161" t="str">
            <v>CJ163A</v>
          </cell>
          <cell r="B161">
            <v>1152070.5748179744</v>
          </cell>
          <cell r="C161">
            <v>1148462.4449594559</v>
          </cell>
          <cell r="D161">
            <v>1270.6485305990122</v>
          </cell>
        </row>
        <row r="162">
          <cell r="A162" t="str">
            <v>CJ163B</v>
          </cell>
          <cell r="B162">
            <v>1152004.0948621677</v>
          </cell>
          <cell r="C162">
            <v>1148432.8741743274</v>
          </cell>
          <cell r="D162">
            <v>1275.5991937978215</v>
          </cell>
        </row>
        <row r="163">
          <cell r="A163">
            <v>165</v>
          </cell>
          <cell r="B163">
            <v>1152109.4076463769</v>
          </cell>
          <cell r="C163">
            <v>1148453.1770689834</v>
          </cell>
          <cell r="D163">
            <v>1267.466288686112</v>
          </cell>
        </row>
        <row r="164">
          <cell r="A164">
            <v>166</v>
          </cell>
          <cell r="B164">
            <v>1152132.3998206609</v>
          </cell>
          <cell r="C164">
            <v>1148454.3966443366</v>
          </cell>
          <cell r="D164">
            <v>1266.5360222107365</v>
          </cell>
        </row>
        <row r="165">
          <cell r="A165" t="str">
            <v>167A</v>
          </cell>
          <cell r="B165">
            <v>1151664.7687773514</v>
          </cell>
          <cell r="C165">
            <v>1148690.6618326178</v>
          </cell>
          <cell r="D165">
            <v>1306.2571420662321</v>
          </cell>
        </row>
        <row r="166">
          <cell r="A166" t="str">
            <v>CJ167A</v>
          </cell>
          <cell r="B166">
            <v>1152176.5493058267</v>
          </cell>
          <cell r="C166">
            <v>1148490.1855542788</v>
          </cell>
          <cell r="D166">
            <v>1263.6301261978408</v>
          </cell>
        </row>
        <row r="167">
          <cell r="A167">
            <v>168</v>
          </cell>
          <cell r="B167">
            <v>1152191.4758070456</v>
          </cell>
          <cell r="C167">
            <v>1148495.8848738386</v>
          </cell>
          <cell r="D167">
            <v>1264.2301505404876</v>
          </cell>
        </row>
        <row r="168">
          <cell r="A168">
            <v>169</v>
          </cell>
          <cell r="B168">
            <v>1152246.75640887</v>
          </cell>
          <cell r="C168">
            <v>1148539.9075431216</v>
          </cell>
          <cell r="D168">
            <v>1262.5356648048482</v>
          </cell>
        </row>
        <row r="169">
          <cell r="A169">
            <v>170</v>
          </cell>
          <cell r="B169">
            <v>1152254.3482410305</v>
          </cell>
          <cell r="C169">
            <v>1148562.1490397665</v>
          </cell>
          <cell r="D169">
            <v>1263.1951492415278</v>
          </cell>
        </row>
        <row r="170">
          <cell r="A170" t="str">
            <v>170A</v>
          </cell>
          <cell r="B170">
            <v>1152262.3607000001</v>
          </cell>
          <cell r="C170">
            <v>1148577.8147</v>
          </cell>
          <cell r="D170">
            <v>1263.1500000000001</v>
          </cell>
        </row>
        <row r="171">
          <cell r="A171">
            <v>171</v>
          </cell>
          <cell r="B171">
            <v>1152267.8956928132</v>
          </cell>
          <cell r="C171">
            <v>1148594.1122654215</v>
          </cell>
          <cell r="D171">
            <v>1263.5353353902328</v>
          </cell>
        </row>
        <row r="172">
          <cell r="A172">
            <v>172</v>
          </cell>
          <cell r="B172">
            <v>1152254.529653755</v>
          </cell>
          <cell r="C172">
            <v>1148620.471783139</v>
          </cell>
          <cell r="D172">
            <v>1259.9233217632293</v>
          </cell>
        </row>
        <row r="173">
          <cell r="A173" t="str">
            <v>CJ237</v>
          </cell>
          <cell r="B173">
            <v>1152256.5485479529</v>
          </cell>
          <cell r="C173">
            <v>1148628.6533891368</v>
          </cell>
          <cell r="D173">
            <v>1258.0031348647287</v>
          </cell>
        </row>
        <row r="174">
          <cell r="A174">
            <v>238</v>
          </cell>
          <cell r="B174">
            <v>1152260.7799296789</v>
          </cell>
          <cell r="C174">
            <v>1148637.5589726602</v>
          </cell>
          <cell r="D174">
            <v>1254.2693924245682</v>
          </cell>
        </row>
        <row r="175">
          <cell r="A175">
            <v>91</v>
          </cell>
          <cell r="B175">
            <v>1151343.4541948179</v>
          </cell>
          <cell r="C175">
            <v>1148619.4584166277</v>
          </cell>
          <cell r="D175">
            <v>1318.0850879930347</v>
          </cell>
        </row>
        <row r="176">
          <cell r="A176">
            <v>93</v>
          </cell>
          <cell r="B176">
            <v>1151325.1265182265</v>
          </cell>
          <cell r="C176">
            <v>1148579.9417800684</v>
          </cell>
          <cell r="D176">
            <v>1314.246163505353</v>
          </cell>
        </row>
        <row r="177">
          <cell r="A177">
            <v>91</v>
          </cell>
          <cell r="B177">
            <v>1151322.5219395969</v>
          </cell>
          <cell r="C177">
            <v>1148574.6502080949</v>
          </cell>
          <cell r="D177">
            <v>1314.0347240076858</v>
          </cell>
        </row>
        <row r="178">
          <cell r="A178" t="str">
            <v>92A</v>
          </cell>
          <cell r="B178">
            <v>1151377.2913418191</v>
          </cell>
          <cell r="C178">
            <v>1148600.7424430395</v>
          </cell>
          <cell r="D178">
            <v>1317.2329623803266</v>
          </cell>
        </row>
        <row r="179">
          <cell r="A179" t="str">
            <v>41B</v>
          </cell>
          <cell r="B179">
            <v>1151358.7398618904</v>
          </cell>
          <cell r="C179">
            <v>1148650.0165236429</v>
          </cell>
          <cell r="D179">
            <v>1321.2114034832287</v>
          </cell>
        </row>
        <row r="180">
          <cell r="A180" t="str">
            <v>41A</v>
          </cell>
          <cell r="B180">
            <v>1151359.67994518</v>
          </cell>
          <cell r="C180">
            <v>1148649.5008634971</v>
          </cell>
          <cell r="D180">
            <v>1321.1754593532505</v>
          </cell>
        </row>
        <row r="181">
          <cell r="A181" t="str">
            <v>204A</v>
          </cell>
          <cell r="B181">
            <v>1151392.3974878741</v>
          </cell>
          <cell r="C181">
            <v>1148632.2673513102</v>
          </cell>
          <cell r="D181">
            <v>1320.364732134977</v>
          </cell>
        </row>
        <row r="182">
          <cell r="A182">
            <v>42</v>
          </cell>
          <cell r="B182">
            <v>1151397.68125501</v>
          </cell>
          <cell r="C182">
            <v>1148718.6774993767</v>
          </cell>
          <cell r="D182">
            <v>1319.7843539615856</v>
          </cell>
        </row>
        <row r="183">
          <cell r="A183">
            <v>39</v>
          </cell>
          <cell r="B183">
            <v>1151473.5466905967</v>
          </cell>
          <cell r="C183">
            <v>1148680.098696646</v>
          </cell>
          <cell r="D183">
            <v>1315.5629125978517</v>
          </cell>
        </row>
        <row r="184">
          <cell r="A184">
            <v>26</v>
          </cell>
          <cell r="B184">
            <v>1151445.1413710834</v>
          </cell>
          <cell r="C184">
            <v>1148802.5222360089</v>
          </cell>
          <cell r="D184">
            <v>1323.9094101391941</v>
          </cell>
        </row>
        <row r="185">
          <cell r="A185">
            <v>27</v>
          </cell>
          <cell r="B185">
            <v>1151473.7782665454</v>
          </cell>
          <cell r="C185">
            <v>1148851.0330315584</v>
          </cell>
          <cell r="D185">
            <v>1319.5441395170951</v>
          </cell>
        </row>
        <row r="186">
          <cell r="A186">
            <v>28</v>
          </cell>
          <cell r="B186">
            <v>1151581.0416493679</v>
          </cell>
          <cell r="C186">
            <v>1148793.9848268898</v>
          </cell>
          <cell r="D186">
            <v>1313.3777829905134</v>
          </cell>
        </row>
        <row r="187">
          <cell r="A187">
            <v>37</v>
          </cell>
          <cell r="B187">
            <v>1151540.6705123375</v>
          </cell>
          <cell r="C187">
            <v>1148712.5187230369</v>
          </cell>
          <cell r="D187">
            <v>1314.3936260527075</v>
          </cell>
        </row>
        <row r="188">
          <cell r="A188">
            <v>36</v>
          </cell>
          <cell r="B188">
            <v>1151557.2376936381</v>
          </cell>
          <cell r="C188">
            <v>1148746.6039187023</v>
          </cell>
          <cell r="D188">
            <v>1315.3135087345865</v>
          </cell>
        </row>
        <row r="189">
          <cell r="A189" t="str">
            <v>38B</v>
          </cell>
          <cell r="B189">
            <v>1151543.8842830369</v>
          </cell>
          <cell r="C189">
            <v>1148641.9676871398</v>
          </cell>
          <cell r="D189">
            <v>1314.8626680308255</v>
          </cell>
        </row>
        <row r="190">
          <cell r="A190" t="str">
            <v>38B</v>
          </cell>
          <cell r="B190">
            <v>1151495.7922653526</v>
          </cell>
          <cell r="C190">
            <v>1148624.0645946893</v>
          </cell>
          <cell r="D190">
            <v>1316.1566868544867</v>
          </cell>
        </row>
        <row r="191">
          <cell r="A191" t="str">
            <v>38A</v>
          </cell>
          <cell r="B191">
            <v>1151514.7166361932</v>
          </cell>
          <cell r="C191">
            <v>1148659.3661344752</v>
          </cell>
          <cell r="D191">
            <v>1315.0465556372992</v>
          </cell>
        </row>
        <row r="192">
          <cell r="A192">
            <v>129</v>
          </cell>
          <cell r="B192">
            <v>1151460.1689020086</v>
          </cell>
          <cell r="C192">
            <v>1148557.3515281044</v>
          </cell>
          <cell r="D192">
            <v>1314.7513793895664</v>
          </cell>
        </row>
        <row r="193">
          <cell r="A193" t="str">
            <v>40A</v>
          </cell>
          <cell r="B193">
            <v>1151476.7454578457</v>
          </cell>
          <cell r="C193">
            <v>1148588.1614798843</v>
          </cell>
          <cell r="D193">
            <v>1318.4645067707697</v>
          </cell>
        </row>
        <row r="194">
          <cell r="A194">
            <v>130</v>
          </cell>
          <cell r="B194">
            <v>1151446.0222039064</v>
          </cell>
          <cell r="C194">
            <v>1148531.0493875344</v>
          </cell>
          <cell r="D194">
            <v>1313.208403703997</v>
          </cell>
        </row>
        <row r="195">
          <cell r="A195" t="str">
            <v>98A</v>
          </cell>
          <cell r="B195">
            <v>1151418.6326701753</v>
          </cell>
          <cell r="C195">
            <v>1148480.0762492763</v>
          </cell>
          <cell r="D195">
            <v>1313.9090044749844</v>
          </cell>
        </row>
        <row r="196">
          <cell r="A196" t="str">
            <v>227A</v>
          </cell>
          <cell r="B196">
            <v>1151567.8397028488</v>
          </cell>
          <cell r="C196">
            <v>1148570.4690328643</v>
          </cell>
          <cell r="D196">
            <v>1313.0328758026367</v>
          </cell>
        </row>
        <row r="197">
          <cell r="A197">
            <v>226</v>
          </cell>
          <cell r="B197">
            <v>1151562.4378230029</v>
          </cell>
          <cell r="C197">
            <v>1148558.4665038674</v>
          </cell>
          <cell r="D197">
            <v>1312.7774900695758</v>
          </cell>
        </row>
        <row r="198">
          <cell r="A198">
            <v>151</v>
          </cell>
          <cell r="B198">
            <v>1151571.047726969</v>
          </cell>
          <cell r="C198">
            <v>1148580.3962668206</v>
          </cell>
          <cell r="D198">
            <v>1313.1040415411946</v>
          </cell>
        </row>
        <row r="199">
          <cell r="A199">
            <v>150</v>
          </cell>
          <cell r="B199">
            <v>1151602.9184141213</v>
          </cell>
          <cell r="C199">
            <v>1148578.6382087027</v>
          </cell>
          <cell r="D199">
            <v>1310.37279975817</v>
          </cell>
        </row>
        <row r="200">
          <cell r="A200" t="str">
            <v>197A</v>
          </cell>
          <cell r="B200">
            <v>1151582.6415286143</v>
          </cell>
          <cell r="C200">
            <v>1148624.4046923113</v>
          </cell>
          <cell r="D200">
            <v>1313.9468883594118</v>
          </cell>
        </row>
        <row r="201">
          <cell r="A201">
            <v>243</v>
          </cell>
          <cell r="B201">
            <v>1151616.2164705556</v>
          </cell>
          <cell r="C201">
            <v>1148685.2480251808</v>
          </cell>
          <cell r="D201">
            <v>1311.5068728376123</v>
          </cell>
        </row>
        <row r="202">
          <cell r="A202">
            <v>35</v>
          </cell>
          <cell r="B202">
            <v>1151626.5142740244</v>
          </cell>
          <cell r="C202">
            <v>1148711.4769282034</v>
          </cell>
          <cell r="D202">
            <v>1309.4196835150972</v>
          </cell>
        </row>
        <row r="203">
          <cell r="A203">
            <v>167</v>
          </cell>
          <cell r="B203">
            <v>1152149.8744469753</v>
          </cell>
          <cell r="C203">
            <v>1148469.1869591104</v>
          </cell>
          <cell r="D203">
            <v>1265.8831724425772</v>
          </cell>
        </row>
        <row r="204">
          <cell r="A204" t="str">
            <v>195A</v>
          </cell>
          <cell r="B204">
            <v>1151667.7022950605</v>
          </cell>
          <cell r="C204">
            <v>1148689.6831163724</v>
          </cell>
          <cell r="D204">
            <v>1306.1596300315775</v>
          </cell>
        </row>
        <row r="205">
          <cell r="A205">
            <v>194</v>
          </cell>
          <cell r="B205">
            <v>1151708.1272511662</v>
          </cell>
          <cell r="C205">
            <v>1148669.6802667705</v>
          </cell>
          <cell r="D205">
            <v>1304.7410795873898</v>
          </cell>
        </row>
        <row r="206">
          <cell r="A206">
            <v>29</v>
          </cell>
          <cell r="B206">
            <v>1151650.7668628893</v>
          </cell>
          <cell r="C206">
            <v>1148758.0330381545</v>
          </cell>
          <cell r="D206">
            <v>1308.6488731799664</v>
          </cell>
        </row>
        <row r="207">
          <cell r="A207">
            <v>30</v>
          </cell>
          <cell r="B207">
            <v>1151702.3626988719</v>
          </cell>
          <cell r="C207">
            <v>1148734.6535584796</v>
          </cell>
          <cell r="D207">
            <v>1303.9933866259273</v>
          </cell>
        </row>
        <row r="208">
          <cell r="A208">
            <v>192</v>
          </cell>
          <cell r="B208">
            <v>1151722.8999999999</v>
          </cell>
          <cell r="C208">
            <v>1148723.18</v>
          </cell>
          <cell r="D208">
            <v>1302.8083036912797</v>
          </cell>
        </row>
        <row r="209">
          <cell r="A209">
            <v>193</v>
          </cell>
          <cell r="B209">
            <v>1151732.6828137552</v>
          </cell>
          <cell r="C209">
            <v>1148718.7256573734</v>
          </cell>
          <cell r="D209">
            <v>1302.2497152188844</v>
          </cell>
        </row>
        <row r="210">
          <cell r="A210" t="str">
            <v>191A</v>
          </cell>
          <cell r="B210">
            <v>1151739.4372468719</v>
          </cell>
          <cell r="C210">
            <v>1148714.686572735</v>
          </cell>
          <cell r="D210">
            <v>1301.9701003363868</v>
          </cell>
        </row>
        <row r="211">
          <cell r="A211">
            <v>242</v>
          </cell>
          <cell r="B211">
            <v>1151730.8941975038</v>
          </cell>
          <cell r="C211">
            <v>1148737.5880459179</v>
          </cell>
          <cell r="D211">
            <v>1300.8653950588762</v>
          </cell>
        </row>
        <row r="212">
          <cell r="A212">
            <v>241</v>
          </cell>
          <cell r="B212">
            <v>1151749.2681671262</v>
          </cell>
          <cell r="C212">
            <v>1148771.6019564816</v>
          </cell>
          <cell r="D212">
            <v>1299.8127210602172</v>
          </cell>
        </row>
        <row r="213">
          <cell r="A213" t="str">
            <v>189A</v>
          </cell>
          <cell r="B213">
            <v>1151811.2063262346</v>
          </cell>
          <cell r="C213">
            <v>1148680.0887808225</v>
          </cell>
          <cell r="D213">
            <v>1297.945952977469</v>
          </cell>
        </row>
        <row r="214">
          <cell r="A214">
            <v>196</v>
          </cell>
          <cell r="B214">
            <v>1151664.3031091515</v>
          </cell>
          <cell r="C214">
            <v>1148583.0490153602</v>
          </cell>
          <cell r="D214">
            <v>1308.1171699410338</v>
          </cell>
        </row>
        <row r="215">
          <cell r="A215" t="str">
            <v>152A</v>
          </cell>
          <cell r="B215">
            <v>1151620.9567490565</v>
          </cell>
          <cell r="C215">
            <v>1148578.2718537077</v>
          </cell>
          <cell r="D215">
            <v>1309.766225089528</v>
          </cell>
        </row>
        <row r="216">
          <cell r="A216">
            <v>53</v>
          </cell>
          <cell r="B216">
            <v>1150980.2884931229</v>
          </cell>
          <cell r="C216">
            <v>1148812.8855180768</v>
          </cell>
          <cell r="D216">
            <v>1351.9105418075978</v>
          </cell>
        </row>
        <row r="217">
          <cell r="A217" t="str">
            <v>196A</v>
          </cell>
          <cell r="B217">
            <v>1151628.7186660117</v>
          </cell>
          <cell r="C217">
            <v>1148602.0070844139</v>
          </cell>
          <cell r="D217">
            <v>1310.6580238976358</v>
          </cell>
        </row>
        <row r="218">
          <cell r="A218">
            <v>154</v>
          </cell>
          <cell r="B218">
            <v>1151702.7631912846</v>
          </cell>
          <cell r="C218">
            <v>1148547.2351504152</v>
          </cell>
          <cell r="D218">
            <v>1302.2967259970769</v>
          </cell>
        </row>
        <row r="219">
          <cell r="A219" t="str">
            <v>159A</v>
          </cell>
          <cell r="B219">
            <v>1151802.7171664049</v>
          </cell>
          <cell r="C219">
            <v>1148522.4254595509</v>
          </cell>
          <cell r="D219">
            <v>1296.6075745682115</v>
          </cell>
        </row>
        <row r="220">
          <cell r="A220">
            <v>155</v>
          </cell>
          <cell r="B220">
            <v>1151749.9908889586</v>
          </cell>
          <cell r="C220">
            <v>1148532.1404104575</v>
          </cell>
          <cell r="D220">
            <v>1299.8452316487815</v>
          </cell>
        </row>
        <row r="221">
          <cell r="A221" t="str">
            <v>156A</v>
          </cell>
          <cell r="B221">
            <v>1151736.312744393</v>
          </cell>
          <cell r="C221">
            <v>1148508.8813793657</v>
          </cell>
          <cell r="D221">
            <v>1301.7930832114421</v>
          </cell>
        </row>
        <row r="222">
          <cell r="A222">
            <v>233</v>
          </cell>
          <cell r="B222">
            <v>1151724.0226220544</v>
          </cell>
          <cell r="C222">
            <v>1148484.520712435</v>
          </cell>
          <cell r="D222">
            <v>1302.544186338944</v>
          </cell>
        </row>
        <row r="223">
          <cell r="A223">
            <v>157</v>
          </cell>
          <cell r="B223">
            <v>1151767.9166875116</v>
          </cell>
          <cell r="C223">
            <v>1148464.0760358248</v>
          </cell>
          <cell r="D223">
            <v>1299.0275037818387</v>
          </cell>
        </row>
        <row r="224">
          <cell r="A224" t="str">
            <v>158A</v>
          </cell>
          <cell r="B224">
            <v>1151761.8557979153</v>
          </cell>
          <cell r="C224">
            <v>1148453.1191516845</v>
          </cell>
          <cell r="D224">
            <v>1298.9601226383299</v>
          </cell>
        </row>
        <row r="225">
          <cell r="A225" t="str">
            <v>160A</v>
          </cell>
          <cell r="B225">
            <v>1151820.2527278347</v>
          </cell>
          <cell r="C225">
            <v>1148510.2974493196</v>
          </cell>
          <cell r="D225">
            <v>1294.5934246040986</v>
          </cell>
        </row>
        <row r="226">
          <cell r="A226" t="str">
            <v>179A</v>
          </cell>
          <cell r="B226">
            <v>1151814.1906129678</v>
          </cell>
          <cell r="C226">
            <v>1148544.737826488</v>
          </cell>
          <cell r="D226">
            <v>1296.4918721439801</v>
          </cell>
        </row>
        <row r="227">
          <cell r="A227">
            <v>178</v>
          </cell>
          <cell r="B227">
            <v>1151849.6586898123</v>
          </cell>
          <cell r="C227">
            <v>1148526.6790704124</v>
          </cell>
          <cell r="D227">
            <v>1294.4716992065205</v>
          </cell>
        </row>
        <row r="228">
          <cell r="A228" t="str">
            <v>185A</v>
          </cell>
          <cell r="B228">
            <v>1151769.0973121659</v>
          </cell>
          <cell r="C228">
            <v>1148567.2716472056</v>
          </cell>
          <cell r="D228">
            <v>1297.473864201258</v>
          </cell>
        </row>
        <row r="229">
          <cell r="A229" t="str">
            <v>187A</v>
          </cell>
          <cell r="B229">
            <v>1151771.4206539269</v>
          </cell>
          <cell r="C229">
            <v>1148604.4797448167</v>
          </cell>
          <cell r="D229">
            <v>1295.5039229197287</v>
          </cell>
        </row>
        <row r="230">
          <cell r="A230" t="str">
            <v>186A</v>
          </cell>
          <cell r="B230">
            <v>1151774.3193928557</v>
          </cell>
          <cell r="C230">
            <v>1148600.7790521421</v>
          </cell>
          <cell r="D230">
            <v>1295.3954527937715</v>
          </cell>
        </row>
        <row r="231">
          <cell r="A231" t="str">
            <v>177A</v>
          </cell>
          <cell r="B231">
            <v>1151864.7484792098</v>
          </cell>
          <cell r="C231">
            <v>1148554.8466317747</v>
          </cell>
          <cell r="D231">
            <v>1294.5856740320717</v>
          </cell>
        </row>
        <row r="232">
          <cell r="A232">
            <v>180</v>
          </cell>
          <cell r="B232">
            <v>1151828.544163597</v>
          </cell>
          <cell r="C232">
            <v>1148572.8650563208</v>
          </cell>
          <cell r="D232">
            <v>1295.3473628538413</v>
          </cell>
        </row>
        <row r="233">
          <cell r="A233">
            <v>181</v>
          </cell>
          <cell r="B233">
            <v>1151844.9433897198</v>
          </cell>
          <cell r="C233">
            <v>1148604.1349467984</v>
          </cell>
          <cell r="D233">
            <v>1293.6983079353147</v>
          </cell>
        </row>
        <row r="234">
          <cell r="A234">
            <v>176</v>
          </cell>
          <cell r="B234">
            <v>1151871.4238794155</v>
          </cell>
          <cell r="C234">
            <v>1148586.7719291556</v>
          </cell>
          <cell r="D234">
            <v>1293.0897808881998</v>
          </cell>
        </row>
        <row r="235">
          <cell r="A235" t="str">
            <v>CJ175A</v>
          </cell>
          <cell r="B235">
            <v>1151899.1932944707</v>
          </cell>
          <cell r="C235">
            <v>1148572.645597721</v>
          </cell>
          <cell r="D235">
            <v>1291.6475397169613</v>
          </cell>
        </row>
        <row r="236">
          <cell r="A236" t="str">
            <v>190A</v>
          </cell>
          <cell r="B236">
            <v>1151768.197690438</v>
          </cell>
          <cell r="C236">
            <v>1148643.4494422888</v>
          </cell>
          <cell r="D236">
            <v>1296.0658232344936</v>
          </cell>
        </row>
        <row r="237">
          <cell r="A237">
            <v>188</v>
          </cell>
          <cell r="B237">
            <v>1151787.0466557827</v>
          </cell>
          <cell r="C237">
            <v>1148633.3317305935</v>
          </cell>
          <cell r="D237">
            <v>1295.4056986939149</v>
          </cell>
        </row>
        <row r="238">
          <cell r="A238">
            <v>184</v>
          </cell>
          <cell r="B238">
            <v>1151815.7952560314</v>
          </cell>
          <cell r="C238">
            <v>1148618.8169786695</v>
          </cell>
          <cell r="D238">
            <v>1294.2331934591225</v>
          </cell>
        </row>
        <row r="239">
          <cell r="A239" t="str">
            <v>183A</v>
          </cell>
          <cell r="B239">
            <v>1151840.1779906591</v>
          </cell>
          <cell r="C239">
            <v>1148665.5680463556</v>
          </cell>
          <cell r="D239">
            <v>1294.8429411993145</v>
          </cell>
        </row>
        <row r="240">
          <cell r="A240">
            <v>182</v>
          </cell>
          <cell r="B240">
            <v>1151868.6587743463</v>
          </cell>
          <cell r="C240">
            <v>1148651.2460405657</v>
          </cell>
          <cell r="D240">
            <v>1291.7442131079697</v>
          </cell>
        </row>
        <row r="241">
          <cell r="A241">
            <v>236</v>
          </cell>
          <cell r="B241">
            <v>1151895.0068230964</v>
          </cell>
          <cell r="C241">
            <v>1148631.4362048125</v>
          </cell>
          <cell r="D241">
            <v>1290.2010483382467</v>
          </cell>
        </row>
        <row r="242">
          <cell r="A242">
            <v>174</v>
          </cell>
          <cell r="B242">
            <v>1151943.6994026084</v>
          </cell>
          <cell r="C242">
            <v>1148557.4343397403</v>
          </cell>
          <cell r="D242">
            <v>1285.6410521506205</v>
          </cell>
        </row>
        <row r="243">
          <cell r="A243">
            <v>173</v>
          </cell>
          <cell r="B243">
            <v>1151959.6172731828</v>
          </cell>
          <cell r="C243">
            <v>1148513.1107530193</v>
          </cell>
          <cell r="D243">
            <v>1281.6176624057696</v>
          </cell>
        </row>
        <row r="244">
          <cell r="A244">
            <v>162</v>
          </cell>
          <cell r="B244">
            <v>1151920.6989750403</v>
          </cell>
          <cell r="C244">
            <v>1148464.3607057021</v>
          </cell>
          <cell r="D244">
            <v>1281.8665448070053</v>
          </cell>
        </row>
        <row r="245">
          <cell r="A245">
            <v>163</v>
          </cell>
          <cell r="B245">
            <v>1151997.6521018036</v>
          </cell>
          <cell r="C245">
            <v>1148449.7638199658</v>
          </cell>
          <cell r="D245">
            <v>1277.153590090177</v>
          </cell>
        </row>
        <row r="246">
          <cell r="A246">
            <v>161</v>
          </cell>
          <cell r="B246">
            <v>1151848.4634086573</v>
          </cell>
          <cell r="C246">
            <v>1148491.2749540398</v>
          </cell>
          <cell r="D246">
            <v>1289.9097701648454</v>
          </cell>
        </row>
        <row r="247">
          <cell r="A247">
            <v>160</v>
          </cell>
          <cell r="B247">
            <v>1151836.0636977083</v>
          </cell>
          <cell r="C247">
            <v>1148499.3772504381</v>
          </cell>
          <cell r="D247">
            <v>1291.7679697140156</v>
          </cell>
        </row>
        <row r="248">
          <cell r="A248" t="str">
            <v>CJ163C</v>
          </cell>
          <cell r="B248">
            <v>1151987.7705951601</v>
          </cell>
          <cell r="C248">
            <v>1148421.2594891426</v>
          </cell>
          <cell r="D248">
            <v>1275.56505888421</v>
          </cell>
        </row>
        <row r="249">
          <cell r="A249">
            <v>31</v>
          </cell>
          <cell r="B249">
            <v>1151736.3748807493</v>
          </cell>
          <cell r="C249">
            <v>1148776.8295116681</v>
          </cell>
          <cell r="D249">
            <v>1296.8320235513897</v>
          </cell>
        </row>
        <row r="250">
          <cell r="A250" t="str">
            <v>27A</v>
          </cell>
          <cell r="B250">
            <v>1151486.0546954912</v>
          </cell>
          <cell r="C250">
            <v>1148933.3341981913</v>
          </cell>
          <cell r="D250">
            <v>1316.49918844477</v>
          </cell>
        </row>
        <row r="251">
          <cell r="A251" t="str">
            <v>27B</v>
          </cell>
          <cell r="B251">
            <v>1151518.388989338</v>
          </cell>
          <cell r="C251">
            <v>1148941.6187684566</v>
          </cell>
          <cell r="D251">
            <v>1314.6885262302699</v>
          </cell>
        </row>
        <row r="252">
          <cell r="A252" t="str">
            <v>1A</v>
          </cell>
          <cell r="B252">
            <v>1150543.6506597537</v>
          </cell>
          <cell r="C252">
            <v>1149016.7116236743</v>
          </cell>
          <cell r="D252">
            <v>1391.4934198841761</v>
          </cell>
        </row>
        <row r="253">
          <cell r="A253">
            <v>3</v>
          </cell>
          <cell r="B253">
            <v>1150599.4695758151</v>
          </cell>
          <cell r="C253">
            <v>1149012.5368548292</v>
          </cell>
          <cell r="D253">
            <v>1386.3907429040823</v>
          </cell>
        </row>
        <row r="254">
          <cell r="A254" t="str">
            <v>2A</v>
          </cell>
          <cell r="B254">
            <v>1150601.6455442153</v>
          </cell>
          <cell r="C254">
            <v>1149044.3902644217</v>
          </cell>
          <cell r="D254">
            <v>1386.6685910670581</v>
          </cell>
        </row>
        <row r="255">
          <cell r="A255">
            <v>4</v>
          </cell>
          <cell r="B255">
            <v>1150651.0275648539</v>
          </cell>
          <cell r="C255">
            <v>1149008.9142202851</v>
          </cell>
          <cell r="D255">
            <v>1384.9995773641242</v>
          </cell>
        </row>
        <row r="256">
          <cell r="A256">
            <v>5</v>
          </cell>
          <cell r="B256">
            <v>1150681.4956238831</v>
          </cell>
          <cell r="C256">
            <v>1149038.4988333476</v>
          </cell>
          <cell r="D256">
            <v>1384.6398264971069</v>
          </cell>
        </row>
        <row r="257">
          <cell r="A257" t="str">
            <v>1C</v>
          </cell>
          <cell r="B257">
            <v>1150526.7</v>
          </cell>
          <cell r="C257">
            <v>1149006.098</v>
          </cell>
          <cell r="D257">
            <v>1396.5</v>
          </cell>
        </row>
        <row r="258">
          <cell r="A258" t="str">
            <v>1B</v>
          </cell>
          <cell r="B258">
            <v>1150511.7037</v>
          </cell>
          <cell r="C258">
            <v>1149006.4121000001</v>
          </cell>
          <cell r="D258">
            <v>1395.9</v>
          </cell>
        </row>
        <row r="259">
          <cell r="A259" t="str">
            <v>BOT1</v>
          </cell>
          <cell r="B259">
            <v>1150736.2454455053</v>
          </cell>
          <cell r="C259">
            <v>1149083.1763381369</v>
          </cell>
          <cell r="D259">
            <v>1375.4809654374014</v>
          </cell>
        </row>
        <row r="260">
          <cell r="A260" t="str">
            <v>BOT2</v>
          </cell>
          <cell r="B260">
            <v>1151184.9831464568</v>
          </cell>
          <cell r="C260">
            <v>1148861.2434203981</v>
          </cell>
          <cell r="D260">
            <v>1330.6180094195531</v>
          </cell>
        </row>
        <row r="261">
          <cell r="A261" t="str">
            <v>51A</v>
          </cell>
          <cell r="B261">
            <v>1150980.6321</v>
          </cell>
          <cell r="C261">
            <v>1148771.6643000001</v>
          </cell>
          <cell r="D261">
            <v>1349.29</v>
          </cell>
        </row>
        <row r="262">
          <cell r="A262" t="str">
            <v>CJ1</v>
          </cell>
          <cell r="B262">
            <v>1150900.7104690119</v>
          </cell>
          <cell r="C262">
            <v>1148853.2777352056</v>
          </cell>
          <cell r="D262">
            <v>1369.5731856955999</v>
          </cell>
        </row>
        <row r="263">
          <cell r="A263">
            <v>59</v>
          </cell>
          <cell r="B263">
            <v>1151103.0508999999</v>
          </cell>
          <cell r="C263">
            <v>1148870.1719</v>
          </cell>
          <cell r="D263">
            <v>1339</v>
          </cell>
        </row>
        <row r="264">
          <cell r="A264" t="str">
            <v>BOT3</v>
          </cell>
          <cell r="B264">
            <v>1151261.1627592309</v>
          </cell>
          <cell r="C264">
            <v>1148852.0948524266</v>
          </cell>
          <cell r="D264">
            <v>1326.7316340248872</v>
          </cell>
        </row>
        <row r="265">
          <cell r="A265" t="str">
            <v>TC1</v>
          </cell>
          <cell r="B265">
            <v>1150994.0906</v>
          </cell>
          <cell r="C265">
            <v>1148588.0312999999</v>
          </cell>
          <cell r="D265">
            <v>1337</v>
          </cell>
        </row>
        <row r="266">
          <cell r="A266">
            <v>84</v>
          </cell>
          <cell r="B266">
            <v>1151080.5739</v>
          </cell>
          <cell r="C266">
            <v>1148721.0673</v>
          </cell>
          <cell r="D266">
            <v>1335</v>
          </cell>
        </row>
        <row r="267">
          <cell r="A267" t="str">
            <v>CJ255</v>
          </cell>
          <cell r="B267">
            <v>1151266.81</v>
          </cell>
          <cell r="C267">
            <v>1148568.1100000001</v>
          </cell>
          <cell r="D267">
            <v>1320.64</v>
          </cell>
        </row>
        <row r="268">
          <cell r="A268" t="str">
            <v>BOT4</v>
          </cell>
          <cell r="B268">
            <v>1151265.6019993247</v>
          </cell>
          <cell r="C268">
            <v>1148341.9616155077</v>
          </cell>
          <cell r="D268">
            <v>1285.0525816942959</v>
          </cell>
        </row>
        <row r="269">
          <cell r="A269" t="str">
            <v>BOT5</v>
          </cell>
          <cell r="B269">
            <v>1151312.91994881</v>
          </cell>
          <cell r="C269">
            <v>1148877.5418262766</v>
          </cell>
          <cell r="D269">
            <v>1322.05</v>
          </cell>
        </row>
        <row r="270">
          <cell r="A270" t="str">
            <v>TC2</v>
          </cell>
          <cell r="B270">
            <v>1151562.6592000001</v>
          </cell>
          <cell r="C270">
            <v>1148756.4952</v>
          </cell>
          <cell r="D270">
            <v>1315</v>
          </cell>
        </row>
        <row r="271">
          <cell r="A271" t="str">
            <v>TC3</v>
          </cell>
          <cell r="B271">
            <v>1151617.8685999999</v>
          </cell>
          <cell r="C271">
            <v>1148696.8551</v>
          </cell>
          <cell r="D271">
            <v>1311</v>
          </cell>
        </row>
        <row r="272">
          <cell r="A272" t="str">
            <v>TC4</v>
          </cell>
          <cell r="B272">
            <v>1151597.4129000001</v>
          </cell>
          <cell r="C272">
            <v>1148656.9887999999</v>
          </cell>
          <cell r="D272">
            <v>1313</v>
          </cell>
        </row>
        <row r="273">
          <cell r="A273" t="str">
            <v>PTAR</v>
          </cell>
          <cell r="B273">
            <v>1151765.0356640574</v>
          </cell>
          <cell r="C273">
            <v>1148777.8032302971</v>
          </cell>
          <cell r="D273">
            <v>1297.6190400131859</v>
          </cell>
        </row>
        <row r="274">
          <cell r="A274" t="str">
            <v>BOT10</v>
          </cell>
          <cell r="B274">
            <v>1151759.7471599397</v>
          </cell>
          <cell r="C274">
            <v>1148782.0347924193</v>
          </cell>
          <cell r="D274">
            <v>1298.7722749911015</v>
          </cell>
        </row>
        <row r="275">
          <cell r="A275" t="str">
            <v>BOT7</v>
          </cell>
          <cell r="B275">
            <v>1151336.2346746898</v>
          </cell>
          <cell r="C275">
            <v>1148342.4810068768</v>
          </cell>
          <cell r="D275">
            <v>1285.5724017373286</v>
          </cell>
        </row>
        <row r="276">
          <cell r="A276" t="str">
            <v>CJ130</v>
          </cell>
          <cell r="B276">
            <v>1151467.4378</v>
          </cell>
          <cell r="C276">
            <v>1148532.0723000001</v>
          </cell>
          <cell r="D276">
            <v>1310.3</v>
          </cell>
        </row>
        <row r="277">
          <cell r="A277" t="str">
            <v>BOT8</v>
          </cell>
          <cell r="B277">
            <v>1151696.6020456252</v>
          </cell>
          <cell r="C277">
            <v>1148367.7710238246</v>
          </cell>
          <cell r="D277">
            <v>1287.2042960007518</v>
          </cell>
        </row>
        <row r="278">
          <cell r="A278" t="str">
            <v>TC5</v>
          </cell>
          <cell r="B278">
            <v>1151835.9676999999</v>
          </cell>
          <cell r="C278">
            <v>1148656.8032</v>
          </cell>
          <cell r="D278">
            <v>1294.7</v>
          </cell>
        </row>
        <row r="279">
          <cell r="A279" t="str">
            <v>TC6</v>
          </cell>
          <cell r="B279">
            <v>1151851.6457</v>
          </cell>
          <cell r="C279">
            <v>1148617.5623999999</v>
          </cell>
          <cell r="D279">
            <v>1293.3</v>
          </cell>
        </row>
        <row r="280">
          <cell r="A280" t="str">
            <v>BOT9</v>
          </cell>
          <cell r="B280">
            <v>1152271.1552671087</v>
          </cell>
          <cell r="C280">
            <v>1148639.7910184837</v>
          </cell>
          <cell r="D280">
            <v>1248.9965380610192</v>
          </cell>
        </row>
        <row r="281">
          <cell r="A281" t="str">
            <v>OBRA</v>
          </cell>
          <cell r="B281">
            <v>1151958.7909773067</v>
          </cell>
          <cell r="C281">
            <v>1148419.514113948</v>
          </cell>
          <cell r="D281">
            <v>1275.2</v>
          </cell>
        </row>
        <row r="282">
          <cell r="A282" t="str">
            <v>S163A</v>
          </cell>
          <cell r="B282">
            <v>1151993.9349729232</v>
          </cell>
          <cell r="C282">
            <v>1148444.7730684588</v>
          </cell>
          <cell r="D282">
            <v>1275.7974903947254</v>
          </cell>
        </row>
        <row r="283">
          <cell r="A283" t="str">
            <v>BOT15</v>
          </cell>
          <cell r="B283">
            <v>1152033.8691</v>
          </cell>
          <cell r="C283">
            <v>1148461.7611</v>
          </cell>
          <cell r="D283">
            <v>1273.7</v>
          </cell>
        </row>
        <row r="284">
          <cell r="A284" t="str">
            <v>BOT13</v>
          </cell>
          <cell r="B284">
            <v>1151553.8191502229</v>
          </cell>
          <cell r="C284">
            <v>1148949.5852873139</v>
          </cell>
          <cell r="D284">
            <v>1310.9035573521376</v>
          </cell>
        </row>
        <row r="285">
          <cell r="A285">
            <v>70</v>
          </cell>
          <cell r="B285">
            <v>1151079.3119845525</v>
          </cell>
          <cell r="C285">
            <v>1148613.9787219439</v>
          </cell>
          <cell r="D285">
            <v>1325.0819496480879</v>
          </cell>
        </row>
        <row r="286">
          <cell r="A286" t="str">
            <v>168A</v>
          </cell>
          <cell r="B286">
            <v>1152228.3799999999</v>
          </cell>
          <cell r="C286">
            <v>1148517.3</v>
          </cell>
          <cell r="D286">
            <v>1262.4100000000001</v>
          </cell>
        </row>
        <row r="287">
          <cell r="A287" t="str">
            <v>BOT11</v>
          </cell>
          <cell r="B287">
            <v>1151757.7685181033</v>
          </cell>
          <cell r="C287">
            <v>1148783.6067118025</v>
          </cell>
          <cell r="D287">
            <v>1298.3704512511542</v>
          </cell>
        </row>
        <row r="288">
          <cell r="A288">
            <v>33</v>
          </cell>
          <cell r="B288">
            <v>1151676.3600000001</v>
          </cell>
          <cell r="C288">
            <v>1148704.96</v>
          </cell>
          <cell r="D288">
            <v>1305</v>
          </cell>
        </row>
        <row r="289">
          <cell r="A289" t="str">
            <v>TC7</v>
          </cell>
          <cell r="B289">
            <v>1151575.9967</v>
          </cell>
          <cell r="C289">
            <v>1148603.1161</v>
          </cell>
          <cell r="D289">
            <v>1314</v>
          </cell>
        </row>
        <row r="290">
          <cell r="A290" t="str">
            <v>CJ37A</v>
          </cell>
          <cell r="B290">
            <v>1151575.9967</v>
          </cell>
          <cell r="C290">
            <v>1148603.1161</v>
          </cell>
          <cell r="D290">
            <v>1314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sheetData sheetId="93"/>
      <sheetData sheetId="94"/>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sheetData sheetId="214"/>
      <sheetData sheetId="215"/>
      <sheetData sheetId="216">
        <row r="1">
          <cell r="A1" t="str">
            <v>ITEM</v>
          </cell>
        </row>
      </sheetData>
      <sheetData sheetId="217">
        <row r="1">
          <cell r="A1" t="str">
            <v>EQUIPO</v>
          </cell>
        </row>
      </sheetData>
      <sheetData sheetId="218">
        <row r="1">
          <cell r="A1" t="str">
            <v>ADMINISTRACION</v>
          </cell>
        </row>
      </sheetData>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refreshError="1"/>
      <sheetData sheetId="581" refreshError="1"/>
      <sheetData sheetId="58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Sheet1"/>
      <sheetName val="PALET DEL 21 FEB AL 5 MARZ"/>
      <sheetName val="CUADRO_CONTROL"/>
      <sheetName val="GPI_526"/>
      <sheetName val="AEA-_264"/>
      <sheetName val="SKG_-419"/>
      <sheetName val="VEA_363"/>
      <sheetName val="VEA_374"/>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DATA I"/>
      <sheetName val="LIQ"/>
      <sheetName val="PREACTA"/>
      <sheetName val="SEÑAL 1"/>
      <sheetName val="General"/>
      <sheetName val="Calc"/>
      <sheetName val="Pavement Data"/>
      <sheetName val="AEA_944"/>
      <sheetName val="DUB_823"/>
      <sheetName val="210.2.2"/>
      <sheetName val="ESTADO FINANCIERO"/>
      <sheetName val="BASE DATOS"/>
      <sheetName val="PESOS"/>
      <sheetName val="TARIFAS"/>
      <sheetName val="OCTUBRE"/>
      <sheetName val="PrecRec"/>
      <sheetName val="EST2"/>
      <sheetName val="Hoja2"/>
      <sheetName val="MATERIA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te (6)"/>
      <sheetName val="Corte (5)"/>
      <sheetName val="Corte (4)"/>
      <sheetName val="Corte (3)"/>
      <sheetName val="Corte (2)"/>
      <sheetName val="Corte (1)"/>
      <sheetName val="Corte"/>
      <sheetName val="pagos"/>
      <sheetName val="%EJECUTADO"/>
      <sheetName val="RESUMENREAJUSTES"/>
      <sheetName val="REAJUSTESACTA1PROVI"/>
      <sheetName val="REAJUSTE DEFINITACTA1"/>
      <sheetName val="REAJUSTESDEFINITACTAS2 (2)"/>
      <sheetName val="REAJUSTESDEFINITIVOSACTA3"/>
      <sheetName val="REAJUSTESDEFINITIVOSACTA4"/>
      <sheetName val="REAJUSTESDEFINITIVOSACTA5"/>
      <sheetName val="Hoja2"/>
      <sheetName val="Hoja1"/>
      <sheetName val="Gráfico6"/>
      <sheetName val="Valores"/>
      <sheetName val="Grafico"/>
      <sheetName val="Módulo1"/>
      <sheetName val="REAJUSTESDEFINITACTAS3"/>
      <sheetName val="REAJUSTESDEFINITACTAS4"/>
      <sheetName val="REAJUSTESDEFINITACTAS5"/>
      <sheetName val="BASE"/>
      <sheetName val="Corte_(6)"/>
      <sheetName val="Corte_(5)"/>
      <sheetName val="Corte_(4)"/>
      <sheetName val="Corte_(3)"/>
      <sheetName val="Corte_(2)"/>
      <sheetName val="Corte_(1)"/>
      <sheetName val="REAJUSTE_DEFINITACTA1"/>
      <sheetName val="REAJUSTESDEFINITACTAS2_(2)"/>
      <sheetName val="Paral. 1"/>
      <sheetName val="Paral. 2"/>
      <sheetName val="Paral. 3"/>
      <sheetName val="Paral.4"/>
      <sheetName val="Coloc. e Interc. Tapones"/>
      <sheetName val="Cambio de Valv."/>
      <sheetName val="Interc de Hidr."/>
      <sheetName val="Interc.tapones"/>
      <sheetName val="Interc.válv."/>
      <sheetName val="Varios."/>
      <sheetName val="Acum"/>
      <sheetName val="REA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catoma"/>
      <sheetName val="Condución PVC"/>
      <sheetName val="Tanque"/>
      <sheetName val="PTO BOCA-COND"/>
      <sheetName val="PTO TANQ.DE ALM"/>
      <sheetName val="PTO REDES"/>
      <sheetName val="PTO REDES BA"/>
      <sheetName val="Inversión Acdto"/>
      <sheetName val="CANT OBRA "/>
      <sheetName val="APU "/>
      <sheetName val="Base de Diseño"/>
      <sheetName val="Hoja2"/>
      <sheetName val="VI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Name</v>
          </cell>
          <cell r="B1" t="str">
            <v>North</v>
          </cell>
          <cell r="C1" t="str">
            <v>East</v>
          </cell>
          <cell r="D1" t="str">
            <v>Zeta</v>
          </cell>
        </row>
        <row r="2">
          <cell r="A2" t="str">
            <v>E 1</v>
          </cell>
          <cell r="B2">
            <v>1198640</v>
          </cell>
          <cell r="C2">
            <v>1156060</v>
          </cell>
          <cell r="D2">
            <v>2550</v>
          </cell>
        </row>
        <row r="3">
          <cell r="A3" t="str">
            <v>E 2</v>
          </cell>
          <cell r="B3">
            <v>1198661.4314833826</v>
          </cell>
          <cell r="C3">
            <v>1156068.3521955032</v>
          </cell>
          <cell r="D3">
            <v>2545.1046240562905</v>
          </cell>
        </row>
        <row r="4">
          <cell r="A4" t="str">
            <v>E 3</v>
          </cell>
          <cell r="B4">
            <v>1198683.586271784</v>
          </cell>
          <cell r="C4">
            <v>1156071.7747893706</v>
          </cell>
          <cell r="D4">
            <v>2543.7430088693109</v>
          </cell>
        </row>
        <row r="5">
          <cell r="A5" t="str">
            <v>E 4</v>
          </cell>
          <cell r="B5">
            <v>1198698.1670580145</v>
          </cell>
          <cell r="C5">
            <v>1156081.3966551002</v>
          </cell>
          <cell r="D5">
            <v>2538.5431524070723</v>
          </cell>
        </row>
        <row r="6">
          <cell r="A6" t="str">
            <v>E 5</v>
          </cell>
          <cell r="B6">
            <v>1198736.3187798336</v>
          </cell>
          <cell r="C6">
            <v>1156098.3968606419</v>
          </cell>
          <cell r="D6">
            <v>2525.3241544755488</v>
          </cell>
        </row>
        <row r="7">
          <cell r="A7" t="str">
            <v>E 6</v>
          </cell>
          <cell r="B7">
            <v>1198797.1544322704</v>
          </cell>
          <cell r="C7">
            <v>1156159.0675707262</v>
          </cell>
          <cell r="D7">
            <v>2476.4892245824485</v>
          </cell>
        </row>
        <row r="8">
          <cell r="A8" t="str">
            <v>E 7</v>
          </cell>
          <cell r="B8">
            <v>1198870.1339611248</v>
          </cell>
          <cell r="C8">
            <v>1156211.0742659138</v>
          </cell>
          <cell r="D8">
            <v>2440.1465126943672</v>
          </cell>
        </row>
        <row r="9">
          <cell r="A9" t="str">
            <v>E 8</v>
          </cell>
          <cell r="B9">
            <v>1198912.005967923</v>
          </cell>
          <cell r="C9">
            <v>1156281.1683285895</v>
          </cell>
          <cell r="D9">
            <v>2396.6195408709491</v>
          </cell>
        </row>
        <row r="10">
          <cell r="A10" t="str">
            <v>E 9</v>
          </cell>
          <cell r="B10">
            <v>1198929.4387574408</v>
          </cell>
          <cell r="C10">
            <v>1156292.470221336</v>
          </cell>
          <cell r="D10">
            <v>2405.4598504983906</v>
          </cell>
        </row>
        <row r="11">
          <cell r="A11" t="str">
            <v>E 10</v>
          </cell>
          <cell r="B11">
            <v>1198959.5201276727</v>
          </cell>
          <cell r="C11">
            <v>1156292.0501788759</v>
          </cell>
          <cell r="D11">
            <v>2407.3290903378183</v>
          </cell>
        </row>
        <row r="12">
          <cell r="A12" t="str">
            <v>E 11</v>
          </cell>
          <cell r="B12">
            <v>1198969.6578653136</v>
          </cell>
          <cell r="C12">
            <v>1156296.5703879667</v>
          </cell>
          <cell r="D12">
            <v>2408.6289055529542</v>
          </cell>
        </row>
        <row r="13">
          <cell r="A13" t="str">
            <v>E 12</v>
          </cell>
          <cell r="B13">
            <v>1198997.1656322635</v>
          </cell>
          <cell r="C13">
            <v>1156318.0714770283</v>
          </cell>
          <cell r="D13">
            <v>2410.3657641319828</v>
          </cell>
        </row>
        <row r="14">
          <cell r="A14" t="str">
            <v>E 13</v>
          </cell>
          <cell r="B14">
            <v>1199014.6888316069</v>
          </cell>
          <cell r="C14">
            <v>1156366.7144359644</v>
          </cell>
          <cell r="D14">
            <v>2418.656790779115</v>
          </cell>
        </row>
        <row r="15">
          <cell r="A15" t="str">
            <v>E 14</v>
          </cell>
          <cell r="B15">
            <v>1199045.5391627883</v>
          </cell>
          <cell r="C15">
            <v>1156394.2185225531</v>
          </cell>
          <cell r="D15">
            <v>2413.3544141438406</v>
          </cell>
        </row>
        <row r="16">
          <cell r="A16" t="str">
            <v>E 15</v>
          </cell>
          <cell r="B16">
            <v>1199072.6851913074</v>
          </cell>
          <cell r="C16">
            <v>1156403.7376346891</v>
          </cell>
          <cell r="D16">
            <v>2412.374426449378</v>
          </cell>
        </row>
        <row r="17">
          <cell r="A17" t="str">
            <v>E 16</v>
          </cell>
          <cell r="B17">
            <v>1199109.1054662245</v>
          </cell>
          <cell r="C17">
            <v>1156404.662002966</v>
          </cell>
          <cell r="D17">
            <v>2410.2977053058694</v>
          </cell>
        </row>
        <row r="18">
          <cell r="A18" t="str">
            <v>E 17</v>
          </cell>
          <cell r="B18">
            <v>1199146.7301672616</v>
          </cell>
          <cell r="C18">
            <v>1156419.2380378852</v>
          </cell>
          <cell r="D18">
            <v>2414.0748706577365</v>
          </cell>
        </row>
        <row r="19">
          <cell r="A19" t="str">
            <v>E 18</v>
          </cell>
          <cell r="B19">
            <v>1199155.218049777</v>
          </cell>
          <cell r="C19">
            <v>1156421.6727897346</v>
          </cell>
          <cell r="D19">
            <v>2412.5079255404767</v>
          </cell>
        </row>
        <row r="20">
          <cell r="A20" t="str">
            <v>E 19</v>
          </cell>
          <cell r="B20">
            <v>1199169.9025881013</v>
          </cell>
          <cell r="C20">
            <v>1156446.3989092207</v>
          </cell>
          <cell r="D20">
            <v>2405.9085691368978</v>
          </cell>
        </row>
        <row r="21">
          <cell r="A21" t="str">
            <v>E 20</v>
          </cell>
          <cell r="B21">
            <v>1199298.650311891</v>
          </cell>
          <cell r="C21">
            <v>1156463.8730267235</v>
          </cell>
          <cell r="D21">
            <v>2408.9650377332209</v>
          </cell>
        </row>
        <row r="22">
          <cell r="A22" t="str">
            <v>E 21</v>
          </cell>
          <cell r="B22">
            <v>1199373.198706822</v>
          </cell>
          <cell r="C22">
            <v>1156498.8760566739</v>
          </cell>
          <cell r="D22">
            <v>2412.3997980423665</v>
          </cell>
        </row>
        <row r="23">
          <cell r="A23" t="str">
            <v>E 22</v>
          </cell>
          <cell r="B23">
            <v>1199441.4786268498</v>
          </cell>
          <cell r="C23">
            <v>1156545.3187344507</v>
          </cell>
          <cell r="D23">
            <v>2436.802798203616</v>
          </cell>
        </row>
        <row r="24">
          <cell r="A24" t="str">
            <v>E 23</v>
          </cell>
          <cell r="B24">
            <v>1199521.2996775832</v>
          </cell>
          <cell r="C24">
            <v>1156548.5618900547</v>
          </cell>
          <cell r="D24">
            <v>2464.4118288048576</v>
          </cell>
        </row>
        <row r="25">
          <cell r="A25" t="str">
            <v>E 24</v>
          </cell>
          <cell r="B25">
            <v>1199572.2389211939</v>
          </cell>
          <cell r="C25">
            <v>1156571.0494265996</v>
          </cell>
          <cell r="D25">
            <v>2473.0790380116791</v>
          </cell>
        </row>
        <row r="26">
          <cell r="A26" t="str">
            <v>E 25</v>
          </cell>
          <cell r="B26">
            <v>1199603.4357596841</v>
          </cell>
          <cell r="C26">
            <v>1156603.7219986247</v>
          </cell>
          <cell r="D26">
            <v>2477.979364855566</v>
          </cell>
        </row>
        <row r="27">
          <cell r="A27" t="str">
            <v>E 26</v>
          </cell>
          <cell r="B27">
            <v>1199701.4847613908</v>
          </cell>
          <cell r="C27">
            <v>1156655.3262834204</v>
          </cell>
          <cell r="D27">
            <v>2489.5731431741115</v>
          </cell>
        </row>
        <row r="28">
          <cell r="A28" t="str">
            <v>E 27</v>
          </cell>
          <cell r="B28">
            <v>1199788.6923681123</v>
          </cell>
          <cell r="C28">
            <v>1156699.5267066755</v>
          </cell>
          <cell r="D28">
            <v>2498.0566500024424</v>
          </cell>
        </row>
        <row r="29">
          <cell r="A29" t="str">
            <v>E 28</v>
          </cell>
          <cell r="B29">
            <v>1199956.8116079145</v>
          </cell>
          <cell r="C29">
            <v>1156733.4509385289</v>
          </cell>
          <cell r="D29">
            <v>2526.1746814342487</v>
          </cell>
        </row>
        <row r="30">
          <cell r="A30" t="str">
            <v>E29</v>
          </cell>
          <cell r="B30">
            <v>1199980.2646430244</v>
          </cell>
          <cell r="C30">
            <v>1156722.4720818489</v>
          </cell>
          <cell r="D30">
            <v>2526.5137019595463</v>
          </cell>
        </row>
        <row r="31">
          <cell r="A31" t="str">
            <v>E 30</v>
          </cell>
          <cell r="B31">
            <v>1200044.6801509394</v>
          </cell>
          <cell r="C31">
            <v>1156678.4964718393</v>
          </cell>
          <cell r="D31">
            <v>2527.1414319375754</v>
          </cell>
        </row>
        <row r="32">
          <cell r="A32" t="str">
            <v>E 31</v>
          </cell>
          <cell r="B32">
            <v>1200136.8110802278</v>
          </cell>
          <cell r="C32">
            <v>1156607.2182229683</v>
          </cell>
          <cell r="D32">
            <v>2528.4743495898706</v>
          </cell>
        </row>
        <row r="33">
          <cell r="A33" t="str">
            <v>E 32</v>
          </cell>
          <cell r="B33">
            <v>1200162.5207158499</v>
          </cell>
          <cell r="C33">
            <v>1156596.6185593507</v>
          </cell>
          <cell r="D33">
            <v>2529.543450072958</v>
          </cell>
        </row>
        <row r="34">
          <cell r="A34" t="str">
            <v>E 33</v>
          </cell>
          <cell r="B34">
            <v>1200175.6344881034</v>
          </cell>
          <cell r="C34">
            <v>1156604.8501298656</v>
          </cell>
          <cell r="D34">
            <v>2529.0333000633195</v>
          </cell>
        </row>
        <row r="35">
          <cell r="A35" t="str">
            <v>E 34</v>
          </cell>
          <cell r="B35">
            <v>1200185.7576149923</v>
          </cell>
          <cell r="C35">
            <v>1156626.4035404285</v>
          </cell>
          <cell r="D35">
            <v>2527.5858055742556</v>
          </cell>
        </row>
        <row r="36">
          <cell r="A36" t="str">
            <v>E 35</v>
          </cell>
          <cell r="B36">
            <v>1200196.636358859</v>
          </cell>
          <cell r="C36">
            <v>1156658.1777511265</v>
          </cell>
          <cell r="D36">
            <v>2522.9993702856968</v>
          </cell>
        </row>
        <row r="37">
          <cell r="A37" t="str">
            <v>E 36</v>
          </cell>
          <cell r="B37">
            <v>1200214.8943246687</v>
          </cell>
          <cell r="C37">
            <v>1156670.5470704213</v>
          </cell>
          <cell r="D37">
            <v>2524.4619796295628</v>
          </cell>
        </row>
        <row r="38">
          <cell r="A38" t="str">
            <v>E 37</v>
          </cell>
          <cell r="B38">
            <v>1200227.4525368223</v>
          </cell>
          <cell r="C38">
            <v>1156676.5126103323</v>
          </cell>
          <cell r="D38">
            <v>2526.515243746564</v>
          </cell>
        </row>
        <row r="39">
          <cell r="A39" t="str">
            <v>E 38</v>
          </cell>
          <cell r="B39">
            <v>1200245.0926652306</v>
          </cell>
          <cell r="C39">
            <v>1156686.3057915287</v>
          </cell>
          <cell r="D39">
            <v>2525.8224102553554</v>
          </cell>
        </row>
        <row r="40">
          <cell r="A40" t="str">
            <v>E 39</v>
          </cell>
          <cell r="B40">
            <v>1200263.0483829228</v>
          </cell>
          <cell r="C40">
            <v>1156709.0382745424</v>
          </cell>
          <cell r="D40">
            <v>2524.8665308469367</v>
          </cell>
        </row>
        <row r="41">
          <cell r="A41" t="str">
            <v>E 41</v>
          </cell>
          <cell r="B41">
            <v>1200410.2710751474</v>
          </cell>
          <cell r="C41">
            <v>1156789.9855081504</v>
          </cell>
          <cell r="D41">
            <v>2520.745140985654</v>
          </cell>
        </row>
        <row r="42">
          <cell r="A42" t="str">
            <v>E 42</v>
          </cell>
          <cell r="B42">
            <v>1200427.8152201665</v>
          </cell>
          <cell r="C42">
            <v>1156804.1999423217</v>
          </cell>
          <cell r="D42">
            <v>2522.3970014328224</v>
          </cell>
        </row>
        <row r="43">
          <cell r="A43" t="str">
            <v>E 43</v>
          </cell>
          <cell r="B43">
            <v>1200443.419138185</v>
          </cell>
          <cell r="C43">
            <v>1156826.4880962861</v>
          </cell>
          <cell r="D43">
            <v>2523.4740919172491</v>
          </cell>
        </row>
        <row r="44">
          <cell r="A44" t="str">
            <v>E 44</v>
          </cell>
          <cell r="B44">
            <v>1200460.2974662515</v>
          </cell>
          <cell r="C44">
            <v>1156842.8395745573</v>
          </cell>
          <cell r="D44">
            <v>2523.4495967104467</v>
          </cell>
        </row>
        <row r="45">
          <cell r="A45" t="str">
            <v>E 45</v>
          </cell>
          <cell r="B45">
            <v>1200468.2695589254</v>
          </cell>
          <cell r="C45">
            <v>1156856.8799684118</v>
          </cell>
          <cell r="D45">
            <v>2521.032104719337</v>
          </cell>
        </row>
        <row r="46">
          <cell r="A46" t="str">
            <v>E 46</v>
          </cell>
          <cell r="B46">
            <v>1200476.6167207242</v>
          </cell>
          <cell r="C46">
            <v>1156874.3627035725</v>
          </cell>
          <cell r="D46">
            <v>2525.1188178440757</v>
          </cell>
        </row>
        <row r="47">
          <cell r="A47" t="str">
            <v>E 47</v>
          </cell>
          <cell r="B47">
            <v>1200485.5136852486</v>
          </cell>
          <cell r="C47">
            <v>1156888.2938358786</v>
          </cell>
          <cell r="D47">
            <v>2522.2913882734438</v>
          </cell>
        </row>
        <row r="48">
          <cell r="A48" t="str">
            <v>E 48</v>
          </cell>
          <cell r="B48">
            <v>1200495.2845766561</v>
          </cell>
          <cell r="C48">
            <v>1156919.8395358517</v>
          </cell>
          <cell r="D48">
            <v>2530.6070980262871</v>
          </cell>
        </row>
        <row r="49">
          <cell r="A49" t="str">
            <v>E 49</v>
          </cell>
          <cell r="B49">
            <v>1200494.4885837378</v>
          </cell>
          <cell r="C49">
            <v>1156929.4927303381</v>
          </cell>
          <cell r="D49">
            <v>2530.9761702945561</v>
          </cell>
        </row>
        <row r="50">
          <cell r="A50" t="str">
            <v>E 50</v>
          </cell>
          <cell r="B50">
            <v>1200513.6383498514</v>
          </cell>
          <cell r="C50">
            <v>1156948.3275848073</v>
          </cell>
          <cell r="D50">
            <v>2532.9196575334759</v>
          </cell>
        </row>
        <row r="51">
          <cell r="A51" t="str">
            <v>E 51</v>
          </cell>
          <cell r="B51">
            <v>1200527.8018260011</v>
          </cell>
          <cell r="C51">
            <v>1156951.6575679844</v>
          </cell>
          <cell r="D51">
            <v>2532.8501755128191</v>
          </cell>
        </row>
        <row r="52">
          <cell r="A52" t="str">
            <v>E 52</v>
          </cell>
          <cell r="B52">
            <v>1200555.8606089833</v>
          </cell>
          <cell r="C52">
            <v>1156965.6293315708</v>
          </cell>
          <cell r="D52">
            <v>2539.633655583702</v>
          </cell>
        </row>
        <row r="53">
          <cell r="A53" t="str">
            <v>E 53</v>
          </cell>
          <cell r="B53">
            <v>1200588.968307907</v>
          </cell>
          <cell r="C53">
            <v>1156968.3383526683</v>
          </cell>
          <cell r="D53">
            <v>2536.052654585189</v>
          </cell>
        </row>
        <row r="54">
          <cell r="A54" t="str">
            <v>E 54</v>
          </cell>
          <cell r="B54">
            <v>1200636.4165721599</v>
          </cell>
          <cell r="C54">
            <v>1156935.6796077611</v>
          </cell>
          <cell r="D54">
            <v>2524.0563747214169</v>
          </cell>
        </row>
        <row r="55">
          <cell r="A55" t="str">
            <v>E 56</v>
          </cell>
          <cell r="B55">
            <v>1200693.9773621943</v>
          </cell>
          <cell r="C55">
            <v>1156907.2694783767</v>
          </cell>
          <cell r="D55">
            <v>2519.9643090939949</v>
          </cell>
        </row>
        <row r="56">
          <cell r="A56" t="str">
            <v>E 57</v>
          </cell>
          <cell r="B56">
            <v>1200828.4679483431</v>
          </cell>
          <cell r="C56">
            <v>1156873.6610171979</v>
          </cell>
          <cell r="D56">
            <v>2512.7569087757802</v>
          </cell>
        </row>
        <row r="57">
          <cell r="A57" t="str">
            <v>E 58</v>
          </cell>
          <cell r="B57">
            <v>1200910.4893043702</v>
          </cell>
          <cell r="C57">
            <v>1156924.935768188</v>
          </cell>
          <cell r="D57">
            <v>2514.1640308735709</v>
          </cell>
        </row>
        <row r="58">
          <cell r="A58" t="str">
            <v>E 59</v>
          </cell>
          <cell r="B58">
            <v>1201009.0339333627</v>
          </cell>
          <cell r="C58">
            <v>1156969.0765534306</v>
          </cell>
          <cell r="D58">
            <v>2515.6719463501986</v>
          </cell>
        </row>
        <row r="59">
          <cell r="A59" t="str">
            <v>E 60</v>
          </cell>
          <cell r="B59">
            <v>1201158.8053361846</v>
          </cell>
          <cell r="C59">
            <v>1156997.7109470337</v>
          </cell>
          <cell r="D59">
            <v>2514.1149215443006</v>
          </cell>
        </row>
        <row r="60">
          <cell r="A60" t="str">
            <v>E 61</v>
          </cell>
          <cell r="B60">
            <v>1201236.5577927362</v>
          </cell>
          <cell r="C60">
            <v>1156974.4457112809</v>
          </cell>
          <cell r="D60">
            <v>2515.4459357619758</v>
          </cell>
        </row>
        <row r="61">
          <cell r="A61" t="str">
            <v>TANQUE</v>
          </cell>
          <cell r="B61">
            <v>1201223.0777387635</v>
          </cell>
          <cell r="C61">
            <v>1156997.6346046545</v>
          </cell>
          <cell r="D61">
            <v>2515.4459357619758</v>
          </cell>
        </row>
        <row r="62">
          <cell r="A62" t="str">
            <v>E 63</v>
          </cell>
          <cell r="B62">
            <v>1201329.7340078545</v>
          </cell>
          <cell r="C62">
            <v>1157002.9621789558</v>
          </cell>
          <cell r="D62">
            <v>2499.4530312399193</v>
          </cell>
        </row>
        <row r="63">
          <cell r="A63" t="str">
            <v>E 64</v>
          </cell>
          <cell r="B63">
            <v>1201410.1940114372</v>
          </cell>
          <cell r="C63">
            <v>1157056.6110600331</v>
          </cell>
          <cell r="D63">
            <v>2494.1111248591005</v>
          </cell>
        </row>
        <row r="64">
          <cell r="A64" t="str">
            <v>E 65</v>
          </cell>
          <cell r="B64">
            <v>1201456.7728091641</v>
          </cell>
          <cell r="C64">
            <v>1157077.2427571008</v>
          </cell>
          <cell r="D64">
            <v>2495.8069813297693</v>
          </cell>
        </row>
        <row r="65">
          <cell r="A65" t="str">
            <v>E 66</v>
          </cell>
          <cell r="B65">
            <v>1201524.1942204738</v>
          </cell>
          <cell r="C65">
            <v>1157073.8030849809</v>
          </cell>
          <cell r="D65">
            <v>2485.6643794112151</v>
          </cell>
        </row>
        <row r="66">
          <cell r="A66" t="str">
            <v>E 67</v>
          </cell>
          <cell r="B66">
            <v>1201624.6767403781</v>
          </cell>
          <cell r="C66">
            <v>1157090.9889045537</v>
          </cell>
          <cell r="D66">
            <v>2471.0331145625109</v>
          </cell>
        </row>
        <row r="67">
          <cell r="A67" t="str">
            <v>E 68</v>
          </cell>
          <cell r="B67">
            <v>1201740.8944677503</v>
          </cell>
          <cell r="C67">
            <v>1157104.4260477917</v>
          </cell>
          <cell r="D67">
            <v>2455.5748598036562</v>
          </cell>
        </row>
        <row r="68">
          <cell r="A68" t="str">
            <v>E 69</v>
          </cell>
          <cell r="B68">
            <v>1201767.9082942279</v>
          </cell>
          <cell r="C68">
            <v>1157084.5400441966</v>
          </cell>
          <cell r="D68">
            <v>2449.2413625378786</v>
          </cell>
        </row>
        <row r="69">
          <cell r="A69" t="str">
            <v>E 70</v>
          </cell>
          <cell r="B69">
            <v>1201801.3983906147</v>
          </cell>
          <cell r="C69">
            <v>1157064.4701631886</v>
          </cell>
          <cell r="D69">
            <v>2450.7290662171895</v>
          </cell>
        </row>
        <row r="70">
          <cell r="A70" t="str">
            <v>E 71</v>
          </cell>
          <cell r="B70">
            <v>1201844.8558655567</v>
          </cell>
          <cell r="C70">
            <v>1157068.5653501705</v>
          </cell>
          <cell r="D70">
            <v>2448.6374382848117</v>
          </cell>
        </row>
        <row r="71">
          <cell r="A71" t="str">
            <v>E 72</v>
          </cell>
          <cell r="B71">
            <v>1201883.660074306</v>
          </cell>
          <cell r="C71">
            <v>1157059.8402101472</v>
          </cell>
          <cell r="D71">
            <v>2444.4945160042294</v>
          </cell>
        </row>
        <row r="72">
          <cell r="A72" t="str">
            <v>E 73</v>
          </cell>
          <cell r="B72">
            <v>1202017.8484438281</v>
          </cell>
          <cell r="C72">
            <v>1157027.9613910771</v>
          </cell>
          <cell r="D72">
            <v>2441.2365798892761</v>
          </cell>
        </row>
        <row r="73">
          <cell r="A73" t="str">
            <v>E 74</v>
          </cell>
          <cell r="B73">
            <v>1202118.2784571757</v>
          </cell>
          <cell r="C73">
            <v>1157017.5288250018</v>
          </cell>
          <cell r="D73">
            <v>2426.7781364565503</v>
          </cell>
        </row>
        <row r="74">
          <cell r="A74" t="str">
            <v>E 75</v>
          </cell>
          <cell r="B74">
            <v>1202258.4071790825</v>
          </cell>
          <cell r="C74">
            <v>1156925.9378520846</v>
          </cell>
          <cell r="D74">
            <v>2410.3681708084036</v>
          </cell>
        </row>
        <row r="75">
          <cell r="A75" t="str">
            <v>E 76</v>
          </cell>
          <cell r="B75">
            <v>1202323.5447882202</v>
          </cell>
          <cell r="C75">
            <v>1156842.8871709555</v>
          </cell>
          <cell r="D75">
            <v>2394.0941138854596</v>
          </cell>
        </row>
        <row r="76">
          <cell r="A76" t="str">
            <v>E 77</v>
          </cell>
          <cell r="B76">
            <v>1202412.7836709954</v>
          </cell>
          <cell r="C76">
            <v>1156756.1692606518</v>
          </cell>
          <cell r="D76">
            <v>2391.2061802686144</v>
          </cell>
        </row>
        <row r="77">
          <cell r="A77" t="str">
            <v>E 78</v>
          </cell>
          <cell r="B77">
            <v>1202439.1360077332</v>
          </cell>
          <cell r="C77">
            <v>1156723.8421072371</v>
          </cell>
          <cell r="D77">
            <v>2385.4015255408476</v>
          </cell>
        </row>
        <row r="78">
          <cell r="A78" t="str">
            <v>E 79</v>
          </cell>
          <cell r="B78">
            <v>1202561.419794491</v>
          </cell>
          <cell r="C78">
            <v>1156615.9553988799</v>
          </cell>
          <cell r="D78">
            <v>2348.5846277771839</v>
          </cell>
        </row>
        <row r="79">
          <cell r="A79" t="str">
            <v>E80A</v>
          </cell>
          <cell r="B79">
            <v>1202619.8500000001</v>
          </cell>
          <cell r="C79">
            <v>1156534.6229999999</v>
          </cell>
          <cell r="D79">
            <v>2317.4856465617436</v>
          </cell>
        </row>
        <row r="80">
          <cell r="A80" t="str">
            <v>E127</v>
          </cell>
          <cell r="B80">
            <v>1202652.0113594693</v>
          </cell>
          <cell r="C80">
            <v>1156436.2368778361</v>
          </cell>
          <cell r="D80">
            <v>2304.5038364206489</v>
          </cell>
        </row>
        <row r="81">
          <cell r="A81" t="str">
            <v>E128</v>
          </cell>
          <cell r="B81">
            <v>1202651.7579246738</v>
          </cell>
          <cell r="C81">
            <v>1156405.6395445704</v>
          </cell>
          <cell r="D81">
            <v>2299.948682216856</v>
          </cell>
        </row>
        <row r="82">
          <cell r="A82" t="str">
            <v>E 81</v>
          </cell>
          <cell r="B82">
            <v>1202660.3728691745</v>
          </cell>
          <cell r="C82">
            <v>1156382.2248110771</v>
          </cell>
          <cell r="D82">
            <v>2298.3571462635655</v>
          </cell>
        </row>
        <row r="83">
          <cell r="A83" t="str">
            <v>E129</v>
          </cell>
          <cell r="B83">
            <v>1202682.5453559035</v>
          </cell>
          <cell r="C83">
            <v>1156346.1133751874</v>
          </cell>
          <cell r="D83">
            <v>2289.5045121793346</v>
          </cell>
        </row>
        <row r="84">
          <cell r="A84" t="str">
            <v>E130</v>
          </cell>
          <cell r="B84">
            <v>1202692.9902001237</v>
          </cell>
          <cell r="C84">
            <v>1156290.5403181058</v>
          </cell>
          <cell r="D84">
            <v>2274.0640717290662</v>
          </cell>
        </row>
        <row r="85">
          <cell r="A85" t="str">
            <v>E132</v>
          </cell>
          <cell r="B85">
            <v>1202714.5075197327</v>
          </cell>
          <cell r="C85">
            <v>1156215.6154882633</v>
          </cell>
          <cell r="D85">
            <v>2261.493430221587</v>
          </cell>
        </row>
        <row r="86">
          <cell r="A86" t="str">
            <v>E133</v>
          </cell>
          <cell r="B86">
            <v>1202762.5919691478</v>
          </cell>
          <cell r="C86">
            <v>1156146.0104082164</v>
          </cell>
          <cell r="D86">
            <v>2250.9637334111858</v>
          </cell>
        </row>
        <row r="87">
          <cell r="A87" t="str">
            <v>E134</v>
          </cell>
          <cell r="B87">
            <v>1202746.6763642642</v>
          </cell>
          <cell r="C87">
            <v>1156115.554587173</v>
          </cell>
          <cell r="D87">
            <v>2246.7461162573441</v>
          </cell>
        </row>
        <row r="88">
          <cell r="A88" t="str">
            <v>E135</v>
          </cell>
          <cell r="B88">
            <v>1202717.3957928275</v>
          </cell>
          <cell r="C88">
            <v>1156100.2693209024</v>
          </cell>
          <cell r="D88">
            <v>2245.3879312571803</v>
          </cell>
        </row>
        <row r="89">
          <cell r="A89" t="str">
            <v>E136</v>
          </cell>
          <cell r="B89">
            <v>1202659.2287504165</v>
          </cell>
          <cell r="C89">
            <v>1156054.4602618862</v>
          </cell>
          <cell r="D89">
            <v>2233.4576224904363</v>
          </cell>
        </row>
        <row r="90">
          <cell r="A90" t="str">
            <v>E137</v>
          </cell>
          <cell r="B90">
            <v>1202636.0846501845</v>
          </cell>
          <cell r="C90">
            <v>1156034.8870973312</v>
          </cell>
          <cell r="D90">
            <v>2233.0910943831077</v>
          </cell>
        </row>
        <row r="91">
          <cell r="A91" t="str">
            <v>E138</v>
          </cell>
          <cell r="B91">
            <v>1202588.0716337475</v>
          </cell>
          <cell r="C91">
            <v>1156019.8439053283</v>
          </cell>
          <cell r="D91">
            <v>2228.8689421967406</v>
          </cell>
        </row>
        <row r="92">
          <cell r="A92" t="str">
            <v>E139</v>
          </cell>
          <cell r="B92">
            <v>1202521.840837135</v>
          </cell>
          <cell r="C92">
            <v>1156025.6832849195</v>
          </cell>
          <cell r="D92">
            <v>2216.3543644555903</v>
          </cell>
        </row>
        <row r="93">
          <cell r="A93" t="str">
            <v>E140</v>
          </cell>
          <cell r="B93">
            <v>1202496.0903670695</v>
          </cell>
          <cell r="C93">
            <v>1156055.3485713762</v>
          </cell>
          <cell r="D93">
            <v>2210.7524898742217</v>
          </cell>
        </row>
        <row r="95">
          <cell r="A95">
            <v>86</v>
          </cell>
          <cell r="B95">
            <v>1201455.0879299478</v>
          </cell>
          <cell r="C95">
            <v>1157036.6709356536</v>
          </cell>
          <cell r="D95">
            <v>2496.7982274880205</v>
          </cell>
        </row>
        <row r="96">
          <cell r="A96">
            <v>87</v>
          </cell>
          <cell r="B96">
            <v>1201523.1753915499</v>
          </cell>
          <cell r="C96">
            <v>1157064.8609382799</v>
          </cell>
          <cell r="D96">
            <v>2485.6643794112151</v>
          </cell>
        </row>
        <row r="97">
          <cell r="A97">
            <v>88</v>
          </cell>
          <cell r="B97">
            <v>1201537.936856657</v>
          </cell>
          <cell r="C97">
            <v>1157066.1330742217</v>
          </cell>
          <cell r="D97">
            <v>2483.6174969903886</v>
          </cell>
        </row>
        <row r="98">
          <cell r="A98">
            <v>203</v>
          </cell>
          <cell r="B98">
            <v>1201685.6526446501</v>
          </cell>
          <cell r="C98">
            <v>1157211.9267090939</v>
          </cell>
          <cell r="D98">
            <v>2285.0005209954352</v>
          </cell>
        </row>
        <row r="99">
          <cell r="A99">
            <v>210</v>
          </cell>
          <cell r="B99">
            <v>1201731.9890232733</v>
          </cell>
          <cell r="C99">
            <v>1156919.782756869</v>
          </cell>
          <cell r="D99">
            <v>2299.6747515096022</v>
          </cell>
        </row>
        <row r="100">
          <cell r="A100">
            <v>209</v>
          </cell>
          <cell r="B100">
            <v>1201732.1412336736</v>
          </cell>
          <cell r="C100">
            <v>1156891.6409350443</v>
          </cell>
          <cell r="D100">
            <v>2299.5581673037705</v>
          </cell>
        </row>
        <row r="101">
          <cell r="A101">
            <v>211</v>
          </cell>
          <cell r="B101">
            <v>1201696.8220173253</v>
          </cell>
          <cell r="C101">
            <v>1156883.2854818371</v>
          </cell>
          <cell r="D101">
            <v>2300.9440968076619</v>
          </cell>
        </row>
        <row r="102">
          <cell r="A102">
            <v>212</v>
          </cell>
          <cell r="B102">
            <v>1201644.879379109</v>
          </cell>
          <cell r="C102">
            <v>1156797.1207006231</v>
          </cell>
          <cell r="D102">
            <v>2324.635327445556</v>
          </cell>
        </row>
        <row r="103">
          <cell r="A103">
            <v>208</v>
          </cell>
          <cell r="B103">
            <v>1201768.6759431229</v>
          </cell>
          <cell r="C103">
            <v>1156905.4145019932</v>
          </cell>
          <cell r="D103">
            <v>2293.8486182029364</v>
          </cell>
        </row>
        <row r="104">
          <cell r="A104">
            <v>207</v>
          </cell>
          <cell r="B104">
            <v>1201775.5443879138</v>
          </cell>
          <cell r="C104">
            <v>1156872.0317861168</v>
          </cell>
          <cell r="D104">
            <v>2286.3429947724708</v>
          </cell>
        </row>
        <row r="105">
          <cell r="A105">
            <v>206</v>
          </cell>
          <cell r="B105">
            <v>1201813.3719176103</v>
          </cell>
          <cell r="C105">
            <v>1156899.1934615038</v>
          </cell>
          <cell r="D105">
            <v>2278.5404555024388</v>
          </cell>
        </row>
        <row r="106">
          <cell r="A106">
            <v>204</v>
          </cell>
          <cell r="B106">
            <v>1201941.9871835229</v>
          </cell>
          <cell r="C106">
            <v>1156865.0948092754</v>
          </cell>
          <cell r="D106">
            <v>2276.1961727152543</v>
          </cell>
        </row>
        <row r="107">
          <cell r="A107">
            <v>213</v>
          </cell>
          <cell r="B107">
            <v>1201869.8376666289</v>
          </cell>
          <cell r="C107">
            <v>1157106.049477889</v>
          </cell>
          <cell r="D107">
            <v>2275.5070727189368</v>
          </cell>
        </row>
        <row r="108">
          <cell r="A108">
            <v>98</v>
          </cell>
          <cell r="B108">
            <v>1201880.301002478</v>
          </cell>
          <cell r="C108">
            <v>1157164.7829104403</v>
          </cell>
          <cell r="D108">
            <v>2443.8836542119552</v>
          </cell>
        </row>
        <row r="109">
          <cell r="A109">
            <v>97</v>
          </cell>
          <cell r="B109">
            <v>1201926.219174315</v>
          </cell>
          <cell r="C109">
            <v>1157138.7160612997</v>
          </cell>
          <cell r="D109">
            <v>2438.6866082614633</v>
          </cell>
        </row>
        <row r="110">
          <cell r="A110">
            <v>102</v>
          </cell>
          <cell r="B110">
            <v>1202012.7157914918</v>
          </cell>
          <cell r="C110">
            <v>1157043.1106470148</v>
          </cell>
          <cell r="D110">
            <v>2441.5158183922726</v>
          </cell>
        </row>
        <row r="111">
          <cell r="A111">
            <v>111</v>
          </cell>
          <cell r="B111">
            <v>1202122.6511351035</v>
          </cell>
          <cell r="C111">
            <v>1157003.589803281</v>
          </cell>
          <cell r="D111">
            <v>2422.0601476578627</v>
          </cell>
        </row>
        <row r="112">
          <cell r="A112">
            <v>110</v>
          </cell>
          <cell r="B112">
            <v>1202099.8613786928</v>
          </cell>
          <cell r="C112">
            <v>1156952.8751686553</v>
          </cell>
          <cell r="D112">
            <v>2412.8423350354415</v>
          </cell>
        </row>
        <row r="113">
          <cell r="A113">
            <v>198</v>
          </cell>
          <cell r="B113">
            <v>1202127.5307931774</v>
          </cell>
          <cell r="C113">
            <v>1156989.4638352133</v>
          </cell>
          <cell r="D113">
            <v>2446.9349488347002</v>
          </cell>
        </row>
        <row r="114">
          <cell r="A114">
            <v>103</v>
          </cell>
          <cell r="B114">
            <v>1202046.1714988863</v>
          </cell>
          <cell r="C114">
            <v>1156927.3113119854</v>
          </cell>
          <cell r="D114">
            <v>2416.7726468244286</v>
          </cell>
        </row>
        <row r="115">
          <cell r="A115" t="str">
            <v>E 85</v>
          </cell>
          <cell r="B115">
            <v>1202129.6661161201</v>
          </cell>
          <cell r="C115">
            <v>1156773.5679469011</v>
          </cell>
          <cell r="D115">
            <v>2290.6997682413576</v>
          </cell>
        </row>
        <row r="116">
          <cell r="A116">
            <v>196</v>
          </cell>
          <cell r="B116">
            <v>1202131.5636169766</v>
          </cell>
          <cell r="C116">
            <v>1156756.7835835852</v>
          </cell>
          <cell r="D116">
            <v>2288.7802270003872</v>
          </cell>
        </row>
        <row r="117">
          <cell r="A117">
            <v>175</v>
          </cell>
          <cell r="B117">
            <v>1202163.2689256617</v>
          </cell>
          <cell r="C117">
            <v>1156656.2602897964</v>
          </cell>
          <cell r="D117">
            <v>2314.315745111292</v>
          </cell>
        </row>
        <row r="118">
          <cell r="A118">
            <v>174</v>
          </cell>
          <cell r="B118">
            <v>1202203.7581261904</v>
          </cell>
          <cell r="C118">
            <v>1156587.1730688394</v>
          </cell>
          <cell r="D118">
            <v>2275.5147868012282</v>
          </cell>
        </row>
        <row r="119">
          <cell r="A119">
            <v>195</v>
          </cell>
          <cell r="B119">
            <v>1202078.1260710056</v>
          </cell>
          <cell r="C119">
            <v>1156782.8724234786</v>
          </cell>
          <cell r="D119">
            <v>2294.3467485281685</v>
          </cell>
        </row>
        <row r="120">
          <cell r="A120">
            <v>214</v>
          </cell>
          <cell r="B120">
            <v>1201981.0391769647</v>
          </cell>
          <cell r="C120">
            <v>1156594.8631563371</v>
          </cell>
          <cell r="D120">
            <v>2278.8350044491981</v>
          </cell>
        </row>
        <row r="121">
          <cell r="A121">
            <v>215</v>
          </cell>
          <cell r="B121">
            <v>1201969.1453609725</v>
          </cell>
          <cell r="C121">
            <v>1156604.9545125209</v>
          </cell>
          <cell r="D121">
            <v>2280.1049832927347</v>
          </cell>
        </row>
        <row r="122">
          <cell r="A122">
            <v>217</v>
          </cell>
          <cell r="B122">
            <v>1202059.2205305959</v>
          </cell>
          <cell r="C122">
            <v>1156466.063076251</v>
          </cell>
          <cell r="D122">
            <v>2226.3891398435376</v>
          </cell>
        </row>
        <row r="123">
          <cell r="A123">
            <v>216</v>
          </cell>
          <cell r="B123">
            <v>1202097.552268977</v>
          </cell>
          <cell r="C123">
            <v>1156485.485916021</v>
          </cell>
          <cell r="D123">
            <v>2236.596480133549</v>
          </cell>
        </row>
        <row r="124">
          <cell r="A124">
            <v>173</v>
          </cell>
          <cell r="B124">
            <v>1202131.554245628</v>
          </cell>
          <cell r="C124">
            <v>1156489.0712794461</v>
          </cell>
          <cell r="D124">
            <v>2236.1450457111705</v>
          </cell>
        </row>
        <row r="125">
          <cell r="A125">
            <v>172</v>
          </cell>
          <cell r="B125">
            <v>1202135.2984421197</v>
          </cell>
          <cell r="C125">
            <v>1156460.7146553106</v>
          </cell>
          <cell r="D125">
            <v>2223.1573230202498</v>
          </cell>
        </row>
        <row r="126">
          <cell r="A126">
            <v>194</v>
          </cell>
          <cell r="B126">
            <v>1202241.2377753661</v>
          </cell>
          <cell r="C126">
            <v>1156794.5307767421</v>
          </cell>
          <cell r="D126">
            <v>2264.3476434376962</v>
          </cell>
        </row>
        <row r="127">
          <cell r="A127">
            <v>119</v>
          </cell>
          <cell r="B127">
            <v>1202388.0165418454</v>
          </cell>
          <cell r="C127">
            <v>1156759.0276145977</v>
          </cell>
          <cell r="D127">
            <v>2389.8977813625406</v>
          </cell>
        </row>
        <row r="128">
          <cell r="A128">
            <v>188</v>
          </cell>
          <cell r="B128">
            <v>1202594.9376269158</v>
          </cell>
          <cell r="C128">
            <v>1156868.8355860095</v>
          </cell>
          <cell r="D128">
            <v>2191.296842593953</v>
          </cell>
        </row>
        <row r="129">
          <cell r="A129">
            <v>192</v>
          </cell>
          <cell r="B129">
            <v>1202439.3365694527</v>
          </cell>
          <cell r="C129">
            <v>1156698.4049070573</v>
          </cell>
          <cell r="D129">
            <v>2245.6351523255098</v>
          </cell>
        </row>
        <row r="130">
          <cell r="A130">
            <v>121</v>
          </cell>
          <cell r="B130">
            <v>1202461.1643546901</v>
          </cell>
          <cell r="C130">
            <v>1156723.726766028</v>
          </cell>
          <cell r="D130">
            <v>2376.7827218537127</v>
          </cell>
        </row>
        <row r="131">
          <cell r="A131">
            <v>123</v>
          </cell>
          <cell r="B131">
            <v>1202584.6303333684</v>
          </cell>
          <cell r="C131">
            <v>1156567.0741175357</v>
          </cell>
          <cell r="D131">
            <v>2341.5960743041096</v>
          </cell>
        </row>
        <row r="132">
          <cell r="A132">
            <v>124</v>
          </cell>
          <cell r="B132">
            <v>1202609.95239242</v>
          </cell>
          <cell r="C132">
            <v>1156584.7780849321</v>
          </cell>
          <cell r="D132">
            <v>2344.3031606500217</v>
          </cell>
        </row>
        <row r="133">
          <cell r="A133">
            <v>189</v>
          </cell>
          <cell r="B133">
            <v>1202637.4660466511</v>
          </cell>
          <cell r="C133">
            <v>1156564.8221817221</v>
          </cell>
          <cell r="D133">
            <v>2183.5923612605579</v>
          </cell>
        </row>
        <row r="134">
          <cell r="A134">
            <v>187</v>
          </cell>
          <cell r="B134">
            <v>1202737.3963703469</v>
          </cell>
          <cell r="C134">
            <v>1156668.0987138147</v>
          </cell>
          <cell r="D134">
            <v>2160.2442161428503</v>
          </cell>
        </row>
        <row r="135">
          <cell r="A135">
            <v>153</v>
          </cell>
          <cell r="B135">
            <v>1202440.9525142992</v>
          </cell>
          <cell r="C135">
            <v>1156388.864823434</v>
          </cell>
          <cell r="D135">
            <v>2252.4968616775254</v>
          </cell>
        </row>
        <row r="136">
          <cell r="A136">
            <v>154</v>
          </cell>
          <cell r="B136">
            <v>1202397.9108938405</v>
          </cell>
          <cell r="C136">
            <v>1156473.538144089</v>
          </cell>
          <cell r="D136">
            <v>2289.6240129170733</v>
          </cell>
        </row>
        <row r="137">
          <cell r="A137">
            <v>152</v>
          </cell>
          <cell r="B137">
            <v>1202434.6651877488</v>
          </cell>
          <cell r="C137">
            <v>1156372.7648563781</v>
          </cell>
          <cell r="D137">
            <v>2250.0645805568979</v>
          </cell>
        </row>
        <row r="138">
          <cell r="A138">
            <v>150</v>
          </cell>
          <cell r="B138">
            <v>1202491.3282123257</v>
          </cell>
          <cell r="C138">
            <v>1156283.3111161536</v>
          </cell>
          <cell r="D138">
            <v>2217.8971403759965</v>
          </cell>
        </row>
        <row r="139">
          <cell r="A139">
            <v>151</v>
          </cell>
          <cell r="B139">
            <v>1202426.6569870608</v>
          </cell>
          <cell r="C139">
            <v>1156286.1325945714</v>
          </cell>
          <cell r="D139">
            <v>2214.7849141832812</v>
          </cell>
        </row>
        <row r="140">
          <cell r="A140">
            <v>123</v>
          </cell>
          <cell r="B140">
            <v>1202584.6303333684</v>
          </cell>
          <cell r="C140">
            <v>1156567.0741175357</v>
          </cell>
          <cell r="D140">
            <v>2341.5960743041096</v>
          </cell>
        </row>
        <row r="141">
          <cell r="A141">
            <v>141</v>
          </cell>
          <cell r="B141">
            <v>1202708.0421958403</v>
          </cell>
          <cell r="C141">
            <v>1156351.0704712609</v>
          </cell>
          <cell r="D141">
            <v>2292.5726838128135</v>
          </cell>
        </row>
        <row r="142">
          <cell r="A142">
            <v>142</v>
          </cell>
          <cell r="B142">
            <v>1202710.6934242232</v>
          </cell>
          <cell r="C142">
            <v>1156330.6294050338</v>
          </cell>
          <cell r="D142">
            <v>2286.74870903786</v>
          </cell>
        </row>
        <row r="143">
          <cell r="A143">
            <v>178</v>
          </cell>
          <cell r="B143">
            <v>1202849.6742635116</v>
          </cell>
          <cell r="C143">
            <v>1156460.8551465403</v>
          </cell>
          <cell r="D143">
            <v>2176.1187983219384</v>
          </cell>
        </row>
        <row r="144">
          <cell r="A144">
            <v>184</v>
          </cell>
          <cell r="B144">
            <v>1202978.5262766099</v>
          </cell>
          <cell r="C144">
            <v>1156331.2179200363</v>
          </cell>
          <cell r="D144">
            <v>2146.2031668300906</v>
          </cell>
        </row>
        <row r="145">
          <cell r="A145" t="str">
            <v>E 83</v>
          </cell>
          <cell r="B145">
            <v>1202867.3980875504</v>
          </cell>
          <cell r="C145">
            <v>1156133.5941127921</v>
          </cell>
          <cell r="D145">
            <v>2173.6400180831474</v>
          </cell>
        </row>
        <row r="146">
          <cell r="A146">
            <v>177</v>
          </cell>
          <cell r="B146">
            <v>1202872.7026697353</v>
          </cell>
          <cell r="C146">
            <v>1156119.5682836876</v>
          </cell>
          <cell r="D146">
            <v>2173.2691734057908</v>
          </cell>
        </row>
        <row r="147">
          <cell r="A147">
            <v>191</v>
          </cell>
          <cell r="B147">
            <v>1203034.5219990935</v>
          </cell>
          <cell r="C147">
            <v>1156069.4412537562</v>
          </cell>
          <cell r="D147">
            <v>2154.8248946949698</v>
          </cell>
        </row>
        <row r="148">
          <cell r="A148">
            <v>143</v>
          </cell>
          <cell r="B148">
            <v>1202761.9713364933</v>
          </cell>
          <cell r="C148">
            <v>1156068.294465614</v>
          </cell>
          <cell r="D148">
            <v>2236.0102968170886</v>
          </cell>
        </row>
        <row r="149">
          <cell r="A149">
            <v>144</v>
          </cell>
          <cell r="B149">
            <v>1202627.7704915146</v>
          </cell>
          <cell r="C149">
            <v>1156042.6006887215</v>
          </cell>
          <cell r="D149">
            <v>2233.5810790384521</v>
          </cell>
        </row>
        <row r="150">
          <cell r="A150">
            <v>146</v>
          </cell>
          <cell r="B150">
            <v>1202543.9178892551</v>
          </cell>
          <cell r="C150">
            <v>1156040.1405551075</v>
          </cell>
          <cell r="D150">
            <v>2219.3469604026532</v>
          </cell>
        </row>
        <row r="151">
          <cell r="A151">
            <v>148</v>
          </cell>
          <cell r="B151">
            <v>1202456.4573171213</v>
          </cell>
          <cell r="C151">
            <v>1155853.3072624032</v>
          </cell>
          <cell r="D151">
            <v>2185.6007928479039</v>
          </cell>
        </row>
        <row r="152">
          <cell r="A152">
            <v>147</v>
          </cell>
          <cell r="B152">
            <v>1202508.9734029269</v>
          </cell>
          <cell r="C152">
            <v>1156080.3258842411</v>
          </cell>
          <cell r="D152">
            <v>2208.2824483998024</v>
          </cell>
        </row>
        <row r="153">
          <cell r="A153">
            <v>149</v>
          </cell>
          <cell r="B153">
            <v>1202363.1991052094</v>
          </cell>
          <cell r="C153">
            <v>1156085.7417984491</v>
          </cell>
          <cell r="D153">
            <v>2168.0122969830531</v>
          </cell>
        </row>
        <row r="154">
          <cell r="A154" t="str">
            <v>E 82</v>
          </cell>
          <cell r="B154">
            <v>1202287.3742291403</v>
          </cell>
          <cell r="C154">
            <v>1156276.55963637</v>
          </cell>
          <cell r="D154">
            <v>2201.8422485176143</v>
          </cell>
        </row>
        <row r="155">
          <cell r="A155">
            <v>155</v>
          </cell>
          <cell r="B155">
            <v>1202259.7451152729</v>
          </cell>
          <cell r="C155">
            <v>1156239.1983077466</v>
          </cell>
          <cell r="D155">
            <v>2189.8104909404833</v>
          </cell>
        </row>
        <row r="156">
          <cell r="A156">
            <v>171</v>
          </cell>
          <cell r="B156">
            <v>1202133.5750349495</v>
          </cell>
          <cell r="C156">
            <v>1156319.8872022713</v>
          </cell>
          <cell r="D156">
            <v>2171.9920827003593</v>
          </cell>
        </row>
        <row r="157">
          <cell r="A157">
            <v>170</v>
          </cell>
          <cell r="B157">
            <v>1202049.7154983932</v>
          </cell>
          <cell r="C157">
            <v>1156310.1013995111</v>
          </cell>
          <cell r="D157">
            <v>2158.873111628614</v>
          </cell>
        </row>
        <row r="158">
          <cell r="A158">
            <v>156</v>
          </cell>
          <cell r="B158">
            <v>1202038.5740666685</v>
          </cell>
          <cell r="C158">
            <v>1156228.7233294747</v>
          </cell>
          <cell r="D158">
            <v>2121.634833669566</v>
          </cell>
        </row>
        <row r="159">
          <cell r="A159">
            <v>158</v>
          </cell>
          <cell r="B159">
            <v>1202083.7649139848</v>
          </cell>
          <cell r="C159">
            <v>1156114.8913786726</v>
          </cell>
          <cell r="D159">
            <v>2176.2891893089845</v>
          </cell>
        </row>
      </sheetData>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sheetName val="PERFIL_BORDE"/>
      <sheetName val="Hoja2"/>
      <sheetName val="Hoja3"/>
      <sheetName val="Hoja1"/>
    </sheetNames>
    <sheetDataSet>
      <sheetData sheetId="0">
        <row r="7">
          <cell r="C7">
            <v>0</v>
          </cell>
          <cell r="D7">
            <v>3.5680000000000001</v>
          </cell>
          <cell r="G7">
            <v>0</v>
          </cell>
          <cell r="H7">
            <v>-4.0540000000000003</v>
          </cell>
        </row>
        <row r="8">
          <cell r="C8">
            <v>2.0350000000000001</v>
          </cell>
          <cell r="D8">
            <v>3.802</v>
          </cell>
          <cell r="G8">
            <v>5.0659999999999998</v>
          </cell>
          <cell r="H8">
            <v>-3.899</v>
          </cell>
        </row>
        <row r="9">
          <cell r="C9">
            <v>3.9</v>
          </cell>
          <cell r="D9">
            <v>3.37</v>
          </cell>
          <cell r="G9">
            <v>10.167999999999999</v>
          </cell>
          <cell r="H9">
            <v>-4.242</v>
          </cell>
        </row>
        <row r="10">
          <cell r="C10">
            <v>4.9930000000000003</v>
          </cell>
          <cell r="D10">
            <v>4.1920000000000002</v>
          </cell>
          <cell r="G10">
            <v>13.282999999999999</v>
          </cell>
          <cell r="H10">
            <v>-4.1440000000000001</v>
          </cell>
        </row>
        <row r="11">
          <cell r="C11">
            <v>5.6660000000000004</v>
          </cell>
          <cell r="D11">
            <v>3.2690000000000001</v>
          </cell>
          <cell r="G11">
            <v>14.019</v>
          </cell>
          <cell r="H11">
            <v>-3.8279999999999998</v>
          </cell>
        </row>
        <row r="12">
          <cell r="C12">
            <v>8.9420000000000002</v>
          </cell>
          <cell r="D12">
            <v>3.2570000000000001</v>
          </cell>
          <cell r="G12">
            <v>17.884</v>
          </cell>
          <cell r="H12">
            <v>-3.911</v>
          </cell>
        </row>
        <row r="13">
          <cell r="C13">
            <v>10.955</v>
          </cell>
          <cell r="D13">
            <v>4.83</v>
          </cell>
          <cell r="G13">
            <v>19.751000000000001</v>
          </cell>
          <cell r="H13">
            <v>-4.1379999999999999</v>
          </cell>
        </row>
        <row r="14">
          <cell r="C14">
            <v>11.234999999999999</v>
          </cell>
          <cell r="D14">
            <v>3.2650000000000001</v>
          </cell>
          <cell r="G14">
            <v>22.628</v>
          </cell>
          <cell r="H14">
            <v>-3.83</v>
          </cell>
        </row>
        <row r="15">
          <cell r="C15">
            <v>14.218</v>
          </cell>
          <cell r="D15">
            <v>3.3330000000000002</v>
          </cell>
          <cell r="G15">
            <v>25.687000000000001</v>
          </cell>
          <cell r="H15">
            <v>-3.7989999999999999</v>
          </cell>
        </row>
        <row r="16">
          <cell r="C16">
            <v>14.893000000000001</v>
          </cell>
          <cell r="D16">
            <v>4.9580000000000002</v>
          </cell>
          <cell r="G16">
            <v>31.495999999999999</v>
          </cell>
          <cell r="H16">
            <v>-3.774</v>
          </cell>
        </row>
        <row r="17">
          <cell r="C17">
            <v>15.831</v>
          </cell>
          <cell r="D17">
            <v>3.3940000000000001</v>
          </cell>
          <cell r="G17">
            <v>38.909999999999997</v>
          </cell>
          <cell r="H17">
            <v>-3.5830000000000002</v>
          </cell>
        </row>
        <row r="18">
          <cell r="C18">
            <v>18.920000000000002</v>
          </cell>
          <cell r="D18">
            <v>3.4980000000000002</v>
          </cell>
          <cell r="G18">
            <v>40.685000000000002</v>
          </cell>
          <cell r="H18">
            <v>-3.5720000000000001</v>
          </cell>
        </row>
        <row r="19">
          <cell r="C19">
            <v>19.977</v>
          </cell>
          <cell r="D19">
            <v>4.827</v>
          </cell>
          <cell r="G19">
            <v>44.287999999999997</v>
          </cell>
          <cell r="H19">
            <v>-3.488</v>
          </cell>
        </row>
        <row r="20">
          <cell r="C20">
            <v>21.440999999999999</v>
          </cell>
          <cell r="D20">
            <v>3.5049999999999999</v>
          </cell>
          <cell r="G20">
            <v>47.893000000000001</v>
          </cell>
          <cell r="H20">
            <v>-3.532</v>
          </cell>
        </row>
        <row r="21">
          <cell r="C21">
            <v>23.661000000000001</v>
          </cell>
          <cell r="D21">
            <v>3.5150000000000001</v>
          </cell>
          <cell r="G21">
            <v>52.031999999999996</v>
          </cell>
          <cell r="H21">
            <v>-3.5049999999999999</v>
          </cell>
        </row>
        <row r="22">
          <cell r="C22">
            <v>26.562999999999999</v>
          </cell>
          <cell r="D22">
            <v>3.573</v>
          </cell>
          <cell r="G22">
            <v>56.424999999999997</v>
          </cell>
          <cell r="H22">
            <v>-3.5419999999999998</v>
          </cell>
        </row>
        <row r="23">
          <cell r="C23">
            <v>29.581</v>
          </cell>
          <cell r="D23">
            <v>3.6819999999999999</v>
          </cell>
          <cell r="G23">
            <v>58.994</v>
          </cell>
          <cell r="H23">
            <v>-3.42</v>
          </cell>
        </row>
        <row r="24">
          <cell r="C24">
            <v>32.929000000000002</v>
          </cell>
          <cell r="D24">
            <v>3.6869999999999998</v>
          </cell>
          <cell r="G24">
            <v>63.061999999999998</v>
          </cell>
          <cell r="H24">
            <v>-3.4569999999999999</v>
          </cell>
        </row>
        <row r="25">
          <cell r="C25">
            <v>34.896999999999998</v>
          </cell>
          <cell r="D25">
            <v>3.7240000000000002</v>
          </cell>
          <cell r="G25">
            <v>67.566000000000003</v>
          </cell>
          <cell r="H25">
            <v>-3.5150000000000001</v>
          </cell>
        </row>
        <row r="26">
          <cell r="C26">
            <v>37.186</v>
          </cell>
          <cell r="D26">
            <v>3.82</v>
          </cell>
          <cell r="G26">
            <v>71.977000000000004</v>
          </cell>
          <cell r="H26">
            <v>-3.5630000000000002</v>
          </cell>
        </row>
        <row r="27">
          <cell r="C27">
            <v>40.131</v>
          </cell>
          <cell r="D27">
            <v>3.9180000000000001</v>
          </cell>
          <cell r="G27">
            <v>76.602000000000004</v>
          </cell>
          <cell r="H27">
            <v>-3.5139999999999998</v>
          </cell>
        </row>
        <row r="28">
          <cell r="C28">
            <v>43.402000000000001</v>
          </cell>
          <cell r="D28">
            <v>4.0819999999999999</v>
          </cell>
          <cell r="G28">
            <v>81.968999999999994</v>
          </cell>
          <cell r="H28">
            <v>-3.5579999999999998</v>
          </cell>
        </row>
        <row r="29">
          <cell r="C29">
            <v>45.713999999999999</v>
          </cell>
          <cell r="D29">
            <v>4.2130000000000001</v>
          </cell>
          <cell r="G29">
            <v>85.998000000000005</v>
          </cell>
          <cell r="H29">
            <v>-3.8159999999999998</v>
          </cell>
        </row>
        <row r="30">
          <cell r="C30">
            <v>47.588000000000001</v>
          </cell>
          <cell r="D30">
            <v>4.3460000000000001</v>
          </cell>
          <cell r="G30">
            <v>89.358999999999995</v>
          </cell>
          <cell r="H30">
            <v>-3.9430000000000001</v>
          </cell>
        </row>
        <row r="31">
          <cell r="C31">
            <v>49.546999999999997</v>
          </cell>
          <cell r="D31">
            <v>4.4530000000000003</v>
          </cell>
          <cell r="G31">
            <v>96.394999999999996</v>
          </cell>
          <cell r="H31">
            <v>-4.024</v>
          </cell>
        </row>
        <row r="32">
          <cell r="C32">
            <v>51.136000000000003</v>
          </cell>
          <cell r="D32">
            <v>4.5609999999999999</v>
          </cell>
          <cell r="G32">
            <v>105.40300000000001</v>
          </cell>
          <cell r="H32">
            <v>-4.1280000000000001</v>
          </cell>
        </row>
        <row r="33">
          <cell r="C33">
            <v>53.284999999999997</v>
          </cell>
          <cell r="D33">
            <v>4.5460000000000003</v>
          </cell>
          <cell r="G33">
            <v>115.105</v>
          </cell>
          <cell r="H33">
            <v>-4.165</v>
          </cell>
        </row>
        <row r="34">
          <cell r="C34">
            <v>55.720999999999997</v>
          </cell>
          <cell r="D34">
            <v>4.5129999999999999</v>
          </cell>
          <cell r="G34">
            <v>142.81700000000001</v>
          </cell>
          <cell r="H34">
            <v>-4.3479999999999999</v>
          </cell>
        </row>
        <row r="35">
          <cell r="C35">
            <v>58.542999999999999</v>
          </cell>
          <cell r="D35">
            <v>4.4039999999999999</v>
          </cell>
          <cell r="G35">
            <v>163.518</v>
          </cell>
          <cell r="H35">
            <v>-4.58</v>
          </cell>
        </row>
        <row r="36">
          <cell r="C36">
            <v>61.591000000000001</v>
          </cell>
          <cell r="D36">
            <v>4.3639999999999999</v>
          </cell>
          <cell r="G36">
            <v>184.358</v>
          </cell>
          <cell r="H36">
            <v>-4.6239999999999997</v>
          </cell>
        </row>
        <row r="37">
          <cell r="C37">
            <v>63.725000000000001</v>
          </cell>
          <cell r="D37">
            <v>4.3970000000000002</v>
          </cell>
          <cell r="G37">
            <v>200.45699999999999</v>
          </cell>
          <cell r="H37">
            <v>-4.694</v>
          </cell>
        </row>
        <row r="38">
          <cell r="C38">
            <v>65.914000000000001</v>
          </cell>
          <cell r="D38">
            <v>4.3220000000000001</v>
          </cell>
          <cell r="G38">
            <v>209.18199999999999</v>
          </cell>
          <cell r="H38">
            <v>-4.6959999999999997</v>
          </cell>
        </row>
        <row r="39">
          <cell r="C39">
            <v>69.326999999999998</v>
          </cell>
          <cell r="D39">
            <v>4.32</v>
          </cell>
          <cell r="G39">
            <v>226.86099999999999</v>
          </cell>
          <cell r="H39">
            <v>-4.968</v>
          </cell>
        </row>
        <row r="40">
          <cell r="C40">
            <v>71.997</v>
          </cell>
          <cell r="D40">
            <v>4.3540000000000001</v>
          </cell>
          <cell r="G40">
            <v>246.971</v>
          </cell>
          <cell r="H40">
            <v>-5.3040000000000003</v>
          </cell>
        </row>
        <row r="41">
          <cell r="C41">
            <v>75.317999999999998</v>
          </cell>
          <cell r="D41">
            <v>4.3259999999999996</v>
          </cell>
          <cell r="G41">
            <v>264.61200000000002</v>
          </cell>
          <cell r="H41">
            <v>-6.5270000000000001</v>
          </cell>
        </row>
        <row r="42">
          <cell r="C42">
            <v>77.215000000000003</v>
          </cell>
          <cell r="D42">
            <v>4.327</v>
          </cell>
          <cell r="G42">
            <v>272.44200000000001</v>
          </cell>
          <cell r="H42">
            <v>-7.3940000000000001</v>
          </cell>
        </row>
        <row r="43">
          <cell r="C43">
            <v>79.972999999999999</v>
          </cell>
          <cell r="D43">
            <v>4.274</v>
          </cell>
          <cell r="G43">
            <v>279.83600000000001</v>
          </cell>
          <cell r="H43">
            <v>-8.5169999999999995</v>
          </cell>
        </row>
        <row r="44">
          <cell r="C44">
            <v>82.649000000000001</v>
          </cell>
          <cell r="D44">
            <v>4.1970000000000001</v>
          </cell>
          <cell r="G44">
            <v>284.81400000000002</v>
          </cell>
          <cell r="H44">
            <v>-9.0250000000000004</v>
          </cell>
        </row>
        <row r="45">
          <cell r="C45">
            <v>85.924999999999997</v>
          </cell>
          <cell r="D45">
            <v>4.1219999999999999</v>
          </cell>
          <cell r="G45">
            <v>290.435</v>
          </cell>
          <cell r="H45">
            <v>-9.69</v>
          </cell>
        </row>
        <row r="46">
          <cell r="C46">
            <v>92.917000000000002</v>
          </cell>
          <cell r="D46">
            <v>4.0019999999999998</v>
          </cell>
          <cell r="G46">
            <v>295.93400000000003</v>
          </cell>
          <cell r="H46">
            <v>-10.284000000000001</v>
          </cell>
        </row>
        <row r="47">
          <cell r="C47">
            <v>97.772999999999996</v>
          </cell>
          <cell r="D47">
            <v>3.9049999999999998</v>
          </cell>
          <cell r="G47">
            <v>301.73399999999998</v>
          </cell>
          <cell r="H47">
            <v>-10.955</v>
          </cell>
        </row>
        <row r="48">
          <cell r="C48">
            <v>101.3</v>
          </cell>
          <cell r="D48">
            <v>3.8260000000000001</v>
          </cell>
          <cell r="G48">
            <v>306.79700000000003</v>
          </cell>
          <cell r="H48">
            <v>-11.257</v>
          </cell>
        </row>
        <row r="49">
          <cell r="C49">
            <v>107.078</v>
          </cell>
          <cell r="D49">
            <v>3.7669999999999999</v>
          </cell>
          <cell r="G49">
            <v>312.18400000000003</v>
          </cell>
          <cell r="H49">
            <v>-11.516</v>
          </cell>
        </row>
        <row r="50">
          <cell r="C50">
            <v>118.61799999999999</v>
          </cell>
          <cell r="D50">
            <v>3.8380000000000001</v>
          </cell>
          <cell r="G50">
            <v>318.15600000000001</v>
          </cell>
          <cell r="H50">
            <v>-11.577999999999999</v>
          </cell>
        </row>
        <row r="51">
          <cell r="C51">
            <v>130.12200000000001</v>
          </cell>
          <cell r="D51">
            <v>3.8980000000000001</v>
          </cell>
          <cell r="G51">
            <v>323.33499999999998</v>
          </cell>
          <cell r="H51">
            <v>-11.773999999999999</v>
          </cell>
        </row>
        <row r="52">
          <cell r="C52">
            <v>140.32499999999999</v>
          </cell>
          <cell r="D52">
            <v>3.6539999999999999</v>
          </cell>
          <cell r="G52">
            <v>327.40699999999998</v>
          </cell>
          <cell r="H52">
            <v>-11.781000000000001</v>
          </cell>
        </row>
        <row r="53">
          <cell r="C53">
            <v>155.898</v>
          </cell>
          <cell r="D53">
            <v>3.6309999999999998</v>
          </cell>
          <cell r="G53">
            <v>329.62400000000002</v>
          </cell>
          <cell r="H53">
            <v>-11.663</v>
          </cell>
        </row>
        <row r="54">
          <cell r="C54">
            <v>168.559</v>
          </cell>
          <cell r="D54">
            <v>3.42</v>
          </cell>
          <cell r="G54">
            <v>333.33499999999998</v>
          </cell>
          <cell r="H54">
            <v>-11.445</v>
          </cell>
        </row>
        <row r="55">
          <cell r="C55">
            <v>178.67400000000001</v>
          </cell>
          <cell r="D55">
            <v>3.2890000000000001</v>
          </cell>
          <cell r="G55">
            <v>338.56200000000001</v>
          </cell>
          <cell r="H55">
            <v>-11.332000000000001</v>
          </cell>
        </row>
        <row r="56">
          <cell r="C56">
            <v>193.40299999999999</v>
          </cell>
          <cell r="D56">
            <v>3.129</v>
          </cell>
          <cell r="G56">
            <v>345.50299999999999</v>
          </cell>
          <cell r="H56">
            <v>-10.734</v>
          </cell>
        </row>
        <row r="57">
          <cell r="C57">
            <v>205.45</v>
          </cell>
          <cell r="D57">
            <v>2.93</v>
          </cell>
          <cell r="G57">
            <v>348.30399999999997</v>
          </cell>
          <cell r="H57">
            <v>-10.593999999999999</v>
          </cell>
        </row>
        <row r="58">
          <cell r="C58">
            <v>215.57599999999999</v>
          </cell>
          <cell r="D58">
            <v>2.802</v>
          </cell>
          <cell r="G58">
            <v>352.30700000000002</v>
          </cell>
          <cell r="H58">
            <v>-10.291</v>
          </cell>
        </row>
        <row r="59">
          <cell r="C59">
            <v>231.28800000000001</v>
          </cell>
          <cell r="D59">
            <v>2.5579999999999998</v>
          </cell>
          <cell r="G59">
            <v>356.37900000000002</v>
          </cell>
          <cell r="H59">
            <v>-9.8989999999999991</v>
          </cell>
        </row>
        <row r="60">
          <cell r="C60">
            <v>245.708</v>
          </cell>
          <cell r="D60">
            <v>2.2160000000000002</v>
          </cell>
          <cell r="G60">
            <v>359.93700000000001</v>
          </cell>
          <cell r="H60">
            <v>-9.3870000000000005</v>
          </cell>
        </row>
        <row r="61">
          <cell r="C61">
            <v>259.39699999999999</v>
          </cell>
          <cell r="D61">
            <v>1.5129999999999999</v>
          </cell>
          <cell r="G61">
            <v>362.423</v>
          </cell>
          <cell r="H61">
            <v>-9.0890000000000004</v>
          </cell>
        </row>
        <row r="62">
          <cell r="C62">
            <v>272.22399999999999</v>
          </cell>
          <cell r="D62">
            <v>5.6000000000000001E-2</v>
          </cell>
          <cell r="G62">
            <v>366.76299999999998</v>
          </cell>
          <cell r="H62">
            <v>-8.3420000000000005</v>
          </cell>
        </row>
        <row r="63">
          <cell r="C63">
            <v>273.80900000000003</v>
          </cell>
          <cell r="D63">
            <v>-0.17699999999999999</v>
          </cell>
          <cell r="G63">
            <v>376.52100000000002</v>
          </cell>
          <cell r="H63">
            <v>-6.8650000000000002</v>
          </cell>
        </row>
        <row r="64">
          <cell r="C64">
            <v>276.12299999999999</v>
          </cell>
          <cell r="D64">
            <v>-0.42399999999999999</v>
          </cell>
          <cell r="G64">
            <v>384.60500000000002</v>
          </cell>
          <cell r="H64">
            <v>-6.1109999999999998</v>
          </cell>
        </row>
        <row r="65">
          <cell r="C65">
            <v>279.20400000000001</v>
          </cell>
          <cell r="D65">
            <v>-0.747</v>
          </cell>
          <cell r="G65">
            <v>399.86200000000002</v>
          </cell>
          <cell r="H65">
            <v>-4.6219999999999999</v>
          </cell>
        </row>
        <row r="66">
          <cell r="C66">
            <v>282.67399999999998</v>
          </cell>
          <cell r="D66">
            <v>-1.167</v>
          </cell>
          <cell r="G66">
            <v>413.59300000000002</v>
          </cell>
          <cell r="H66">
            <v>-4.0270000000000001</v>
          </cell>
        </row>
        <row r="67">
          <cell r="C67">
            <v>284.44200000000001</v>
          </cell>
          <cell r="D67">
            <v>-1.2869999999999999</v>
          </cell>
          <cell r="G67">
            <v>429.63200000000001</v>
          </cell>
          <cell r="H67">
            <v>-3.9529999999999998</v>
          </cell>
        </row>
        <row r="68">
          <cell r="C68">
            <v>288.279</v>
          </cell>
          <cell r="D68">
            <v>-1.7110000000000001</v>
          </cell>
          <cell r="G68">
            <v>450.93099999999998</v>
          </cell>
          <cell r="H68">
            <v>-3.569</v>
          </cell>
        </row>
        <row r="69">
          <cell r="C69">
            <v>292.29899999999998</v>
          </cell>
          <cell r="D69">
            <v>-2.0270000000000001</v>
          </cell>
          <cell r="G69">
            <v>468.79599999999999</v>
          </cell>
          <cell r="H69">
            <v>-3.3180000000000001</v>
          </cell>
        </row>
        <row r="70">
          <cell r="C70">
            <v>297.589</v>
          </cell>
          <cell r="D70">
            <v>-2.6080000000000001</v>
          </cell>
          <cell r="G70">
            <v>485.48700000000002</v>
          </cell>
          <cell r="H70">
            <v>-2.6669999999999998</v>
          </cell>
        </row>
        <row r="71">
          <cell r="C71">
            <v>303.637</v>
          </cell>
          <cell r="D71">
            <v>-3.1309999999999998</v>
          </cell>
          <cell r="G71">
            <v>498.91399999999999</v>
          </cell>
          <cell r="H71">
            <v>-2.089</v>
          </cell>
        </row>
        <row r="72">
          <cell r="C72">
            <v>308.24</v>
          </cell>
          <cell r="D72">
            <v>-3.6680000000000001</v>
          </cell>
          <cell r="G72">
            <v>514.21600000000001</v>
          </cell>
          <cell r="H72">
            <v>-1.1559999999999999</v>
          </cell>
        </row>
        <row r="73">
          <cell r="C73">
            <v>309.68099999999998</v>
          </cell>
          <cell r="D73">
            <v>-3.847</v>
          </cell>
          <cell r="G73">
            <v>528.53099999999995</v>
          </cell>
          <cell r="H73">
            <v>0.47499999999999998</v>
          </cell>
        </row>
        <row r="74">
          <cell r="C74">
            <v>312.48099999999999</v>
          </cell>
          <cell r="D74">
            <v>-4.0670000000000002</v>
          </cell>
          <cell r="G74">
            <v>532.39300000000003</v>
          </cell>
          <cell r="H74">
            <v>0.96099999999999997</v>
          </cell>
        </row>
        <row r="75">
          <cell r="C75">
            <v>315.49099999999999</v>
          </cell>
          <cell r="D75">
            <v>-4.3120000000000003</v>
          </cell>
          <cell r="G75">
            <v>536.13199999999995</v>
          </cell>
          <cell r="H75">
            <v>1.3220000000000001</v>
          </cell>
        </row>
        <row r="76">
          <cell r="C76">
            <v>317.24099999999999</v>
          </cell>
          <cell r="D76">
            <v>-4.3949999999999996</v>
          </cell>
          <cell r="G76">
            <v>537.99900000000002</v>
          </cell>
          <cell r="H76">
            <v>1.4750000000000001</v>
          </cell>
        </row>
        <row r="77">
          <cell r="C77">
            <v>318.64299999999997</v>
          </cell>
          <cell r="D77">
            <v>-4.4550000000000001</v>
          </cell>
          <cell r="G77">
            <v>541.54999999999995</v>
          </cell>
          <cell r="H77">
            <v>1.665</v>
          </cell>
        </row>
        <row r="78">
          <cell r="C78">
            <v>320.70600000000002</v>
          </cell>
          <cell r="D78">
            <v>-4.4710000000000001</v>
          </cell>
          <cell r="G78">
            <v>546.37199999999996</v>
          </cell>
          <cell r="H78">
            <v>1.744</v>
          </cell>
        </row>
        <row r="79">
          <cell r="C79">
            <v>323.19099999999997</v>
          </cell>
          <cell r="D79">
            <v>-4.3879999999999999</v>
          </cell>
          <cell r="G79">
            <v>552.78</v>
          </cell>
          <cell r="H79">
            <v>1.897</v>
          </cell>
        </row>
        <row r="80">
          <cell r="C80">
            <v>326.98</v>
          </cell>
          <cell r="D80">
            <v>-4.3979999999999997</v>
          </cell>
          <cell r="G80">
            <v>557.98299999999995</v>
          </cell>
          <cell r="H80">
            <v>1.9630000000000001</v>
          </cell>
        </row>
        <row r="81">
          <cell r="C81">
            <v>329.399</v>
          </cell>
          <cell r="D81">
            <v>-4.3239999999999998</v>
          </cell>
          <cell r="G81">
            <v>562.17999999999995</v>
          </cell>
          <cell r="H81">
            <v>1.841</v>
          </cell>
        </row>
        <row r="82">
          <cell r="C82">
            <v>331.38900000000001</v>
          </cell>
          <cell r="D82">
            <v>-4.2130000000000001</v>
          </cell>
          <cell r="G82">
            <v>566.18299999999999</v>
          </cell>
          <cell r="H82">
            <v>1.835</v>
          </cell>
        </row>
        <row r="83">
          <cell r="C83">
            <v>334.57</v>
          </cell>
          <cell r="D83">
            <v>-4.13</v>
          </cell>
          <cell r="G83">
            <v>571.68299999999999</v>
          </cell>
          <cell r="H83">
            <v>1.5640000000000001</v>
          </cell>
        </row>
        <row r="84">
          <cell r="C84">
            <v>338.07600000000002</v>
          </cell>
          <cell r="D84">
            <v>-3.9089999999999998</v>
          </cell>
          <cell r="G84">
            <v>574.50400000000002</v>
          </cell>
          <cell r="H84">
            <v>1.3109999999999999</v>
          </cell>
        </row>
        <row r="85">
          <cell r="C85">
            <v>346.16800000000001</v>
          </cell>
          <cell r="D85">
            <v>-3.25</v>
          </cell>
          <cell r="G85">
            <v>581.52300000000002</v>
          </cell>
          <cell r="H85">
            <v>0.63700000000000001</v>
          </cell>
        </row>
        <row r="86">
          <cell r="C86">
            <v>348.33699999999999</v>
          </cell>
          <cell r="D86">
            <v>-3.2010000000000001</v>
          </cell>
          <cell r="G86">
            <v>591.33299999999997</v>
          </cell>
          <cell r="H86">
            <v>-0.439</v>
          </cell>
        </row>
        <row r="87">
          <cell r="C87">
            <v>350.59</v>
          </cell>
          <cell r="D87">
            <v>-2.992</v>
          </cell>
          <cell r="G87">
            <v>596.07500000000005</v>
          </cell>
          <cell r="H87">
            <v>-1.0069999999999999</v>
          </cell>
        </row>
        <row r="88">
          <cell r="C88">
            <v>353.35</v>
          </cell>
          <cell r="D88">
            <v>-2.8450000000000002</v>
          </cell>
          <cell r="G88">
            <v>599.52700000000004</v>
          </cell>
          <cell r="H88">
            <v>-1.5269999999999999</v>
          </cell>
        </row>
        <row r="89">
          <cell r="C89">
            <v>355.935</v>
          </cell>
          <cell r="D89">
            <v>-2.6720000000000002</v>
          </cell>
          <cell r="G89">
            <v>607.53700000000003</v>
          </cell>
          <cell r="H89">
            <v>-2.7879999999999998</v>
          </cell>
        </row>
        <row r="90">
          <cell r="C90">
            <v>359.27699999999999</v>
          </cell>
          <cell r="D90">
            <v>-2.1859999999999999</v>
          </cell>
          <cell r="G90">
            <v>611.202</v>
          </cell>
          <cell r="H90">
            <v>-3.5840000000000001</v>
          </cell>
        </row>
        <row r="91">
          <cell r="C91">
            <v>364.78500000000003</v>
          </cell>
          <cell r="D91">
            <v>-1.3720000000000001</v>
          </cell>
          <cell r="G91">
            <v>616.96100000000001</v>
          </cell>
          <cell r="H91">
            <v>-4.7949999999999999</v>
          </cell>
        </row>
        <row r="92">
          <cell r="C92">
            <v>367.358</v>
          </cell>
          <cell r="D92">
            <v>-0.97799999999999998</v>
          </cell>
          <cell r="G92">
            <v>621.29999999999995</v>
          </cell>
          <cell r="H92">
            <v>-5.6559999999999997</v>
          </cell>
        </row>
        <row r="93">
          <cell r="C93">
            <v>369.63799999999998</v>
          </cell>
          <cell r="D93">
            <v>-0.60099999999999998</v>
          </cell>
          <cell r="G93">
            <v>625.726</v>
          </cell>
          <cell r="H93">
            <v>-6.5439999999999996</v>
          </cell>
        </row>
        <row r="94">
          <cell r="C94">
            <v>373.04</v>
          </cell>
          <cell r="D94">
            <v>2.5999999999999999E-2</v>
          </cell>
          <cell r="G94">
            <v>642.51499999999999</v>
          </cell>
          <cell r="H94">
            <v>-9.6649999999999991</v>
          </cell>
        </row>
        <row r="95">
          <cell r="C95">
            <v>376.94900000000001</v>
          </cell>
          <cell r="D95">
            <v>0.56000000000000005</v>
          </cell>
          <cell r="G95">
            <v>662.6</v>
          </cell>
          <cell r="H95">
            <v>-13.103</v>
          </cell>
        </row>
        <row r="96">
          <cell r="C96">
            <v>385.65300000000002</v>
          </cell>
          <cell r="D96">
            <v>1.66</v>
          </cell>
          <cell r="G96">
            <v>672.91300000000001</v>
          </cell>
          <cell r="H96">
            <v>-14.772</v>
          </cell>
        </row>
        <row r="97">
          <cell r="C97">
            <v>395.19099999999997</v>
          </cell>
          <cell r="D97">
            <v>2.444</v>
          </cell>
          <cell r="G97">
            <v>680.83699999999999</v>
          </cell>
          <cell r="H97">
            <v>-15.92</v>
          </cell>
        </row>
        <row r="98">
          <cell r="C98">
            <v>406.23500000000001</v>
          </cell>
          <cell r="D98">
            <v>3.0880000000000001</v>
          </cell>
          <cell r="G98">
            <v>686.56</v>
          </cell>
          <cell r="H98">
            <v>-16.420000000000002</v>
          </cell>
        </row>
        <row r="99">
          <cell r="C99">
            <v>418.98</v>
          </cell>
          <cell r="D99">
            <v>3.504</v>
          </cell>
          <cell r="G99">
            <v>690.673</v>
          </cell>
          <cell r="H99">
            <v>-16.77</v>
          </cell>
        </row>
        <row r="100">
          <cell r="C100">
            <v>430.63</v>
          </cell>
          <cell r="D100">
            <v>3.5529999999999999</v>
          </cell>
          <cell r="G100">
            <v>695.83799999999997</v>
          </cell>
          <cell r="H100">
            <v>-17.033000000000001</v>
          </cell>
        </row>
        <row r="101">
          <cell r="C101">
            <v>444.38499999999999</v>
          </cell>
          <cell r="D101">
            <v>3.7650000000000001</v>
          </cell>
          <cell r="G101">
            <v>698.47</v>
          </cell>
          <cell r="H101">
            <v>-17.152999999999999</v>
          </cell>
        </row>
        <row r="102">
          <cell r="C102">
            <v>459.27</v>
          </cell>
          <cell r="D102">
            <v>4.1619999999999999</v>
          </cell>
          <cell r="G102">
            <v>706.96699999999998</v>
          </cell>
          <cell r="H102">
            <v>-17.157</v>
          </cell>
        </row>
        <row r="103">
          <cell r="C103">
            <v>467.43599999999998</v>
          </cell>
          <cell r="D103">
            <v>4.2140000000000004</v>
          </cell>
          <cell r="G103">
            <v>714.20600000000002</v>
          </cell>
          <cell r="H103">
            <v>-16.891999999999999</v>
          </cell>
        </row>
        <row r="104">
          <cell r="C104">
            <v>476.47500000000002</v>
          </cell>
          <cell r="D104">
            <v>4.2530000000000001</v>
          </cell>
          <cell r="G104">
            <v>718.02099999999996</v>
          </cell>
          <cell r="H104">
            <v>-16.704000000000001</v>
          </cell>
        </row>
        <row r="105">
          <cell r="C105">
            <v>484.91300000000001</v>
          </cell>
          <cell r="D105">
            <v>4.3949999999999996</v>
          </cell>
          <cell r="G105">
            <v>723.59799999999996</v>
          </cell>
          <cell r="H105">
            <v>-16.361000000000001</v>
          </cell>
        </row>
        <row r="106">
          <cell r="C106">
            <v>491.70800000000003</v>
          </cell>
          <cell r="D106">
            <v>4.7060000000000004</v>
          </cell>
          <cell r="G106">
            <v>728.60599999999999</v>
          </cell>
          <cell r="H106">
            <v>-15.9</v>
          </cell>
        </row>
        <row r="107">
          <cell r="C107">
            <v>498.30900000000003</v>
          </cell>
          <cell r="D107">
            <v>5.0039999999999996</v>
          </cell>
          <cell r="G107">
            <v>732.92200000000003</v>
          </cell>
          <cell r="H107">
            <v>-15.417999999999999</v>
          </cell>
        </row>
        <row r="108">
          <cell r="C108">
            <v>504.37</v>
          </cell>
          <cell r="D108">
            <v>5.2050000000000001</v>
          </cell>
          <cell r="G108">
            <v>736.72699999999998</v>
          </cell>
          <cell r="H108">
            <v>-14.901999999999999</v>
          </cell>
        </row>
        <row r="109">
          <cell r="C109">
            <v>510.49799999999999</v>
          </cell>
          <cell r="D109">
            <v>5.5389999999999997</v>
          </cell>
          <cell r="G109">
            <v>742.69200000000001</v>
          </cell>
          <cell r="H109">
            <v>-14.099</v>
          </cell>
        </row>
        <row r="110">
          <cell r="C110">
            <v>514.88</v>
          </cell>
          <cell r="D110">
            <v>5.9480000000000004</v>
          </cell>
          <cell r="G110">
            <v>748.40800000000002</v>
          </cell>
          <cell r="H110">
            <v>-13.301</v>
          </cell>
        </row>
        <row r="111">
          <cell r="C111">
            <v>521.50199999999995</v>
          </cell>
          <cell r="D111">
            <v>6.6749999999999998</v>
          </cell>
          <cell r="G111">
            <v>752.89400000000001</v>
          </cell>
          <cell r="H111">
            <v>-12.615</v>
          </cell>
        </row>
        <row r="112">
          <cell r="C112">
            <v>527.42899999999997</v>
          </cell>
          <cell r="D112">
            <v>7.5010000000000003</v>
          </cell>
          <cell r="G112">
            <v>759.60799999999995</v>
          </cell>
          <cell r="H112">
            <v>-11.541</v>
          </cell>
        </row>
        <row r="113">
          <cell r="C113">
            <v>528.55399999999997</v>
          </cell>
          <cell r="D113">
            <v>7.657</v>
          </cell>
          <cell r="G113">
            <v>765.05</v>
          </cell>
          <cell r="H113">
            <v>-10.629</v>
          </cell>
        </row>
        <row r="114">
          <cell r="C114">
            <v>531.23</v>
          </cell>
          <cell r="D114">
            <v>7.9710000000000001</v>
          </cell>
          <cell r="G114">
            <v>769.476</v>
          </cell>
          <cell r="H114">
            <v>-9.718</v>
          </cell>
        </row>
        <row r="115">
          <cell r="C115">
            <v>533.67100000000005</v>
          </cell>
          <cell r="D115">
            <v>8.3510000000000009</v>
          </cell>
          <cell r="G115">
            <v>771.66899999999998</v>
          </cell>
          <cell r="H115">
            <v>-9.3360000000000003</v>
          </cell>
        </row>
        <row r="116">
          <cell r="C116">
            <v>535.4</v>
          </cell>
          <cell r="D116">
            <v>8.5820000000000007</v>
          </cell>
          <cell r="G116">
            <v>777.36300000000006</v>
          </cell>
          <cell r="H116">
            <v>-7.992</v>
          </cell>
        </row>
        <row r="117">
          <cell r="C117">
            <v>537.39099999999996</v>
          </cell>
          <cell r="D117">
            <v>8.7010000000000005</v>
          </cell>
          <cell r="G117">
            <v>780.41300000000001</v>
          </cell>
          <cell r="H117">
            <v>-7.2750000000000004</v>
          </cell>
        </row>
        <row r="118">
          <cell r="C118">
            <v>538.80100000000004</v>
          </cell>
          <cell r="D118">
            <v>8.8140000000000001</v>
          </cell>
          <cell r="G118">
            <v>797.66499999999996</v>
          </cell>
          <cell r="H118">
            <v>-3.6749999999999998</v>
          </cell>
        </row>
        <row r="119">
          <cell r="C119">
            <v>540.46500000000003</v>
          </cell>
          <cell r="D119">
            <v>8.9469999999999992</v>
          </cell>
          <cell r="G119">
            <v>818.31399999999996</v>
          </cell>
          <cell r="H119">
            <v>-1.032</v>
          </cell>
        </row>
        <row r="120">
          <cell r="C120">
            <v>541.88499999999999</v>
          </cell>
          <cell r="D120">
            <v>9.0559999999999992</v>
          </cell>
          <cell r="G120">
            <v>839.28499999999997</v>
          </cell>
          <cell r="H120">
            <v>0.25600000000000001</v>
          </cell>
        </row>
        <row r="121">
          <cell r="C121">
            <v>543.34199999999998</v>
          </cell>
          <cell r="D121">
            <v>9.1170000000000009</v>
          </cell>
          <cell r="G121">
            <v>854.84400000000005</v>
          </cell>
          <cell r="H121">
            <v>0.36399999999999999</v>
          </cell>
        </row>
        <row r="122">
          <cell r="C122">
            <v>544.29999999999995</v>
          </cell>
          <cell r="D122">
            <v>9.1679999999999993</v>
          </cell>
          <cell r="G122">
            <v>876.30600000000004</v>
          </cell>
          <cell r="H122">
            <v>-0.873</v>
          </cell>
        </row>
        <row r="123">
          <cell r="C123">
            <v>546.30600000000004</v>
          </cell>
          <cell r="D123">
            <v>9.18</v>
          </cell>
          <cell r="G123">
            <v>891.274</v>
          </cell>
          <cell r="H123">
            <v>-2.4569999999999999</v>
          </cell>
        </row>
        <row r="124">
          <cell r="C124">
            <v>549.02200000000005</v>
          </cell>
          <cell r="D124">
            <v>9.16</v>
          </cell>
          <cell r="G124">
            <v>898.78399999999999</v>
          </cell>
          <cell r="H124">
            <v>-3.45</v>
          </cell>
        </row>
        <row r="125">
          <cell r="C125">
            <v>550.49800000000005</v>
          </cell>
          <cell r="D125">
            <v>9.1370000000000005</v>
          </cell>
          <cell r="G125">
            <v>904.74900000000002</v>
          </cell>
          <cell r="H125">
            <v>-4.5259999999999998</v>
          </cell>
        </row>
        <row r="126">
          <cell r="C126">
            <v>552.43200000000002</v>
          </cell>
          <cell r="D126">
            <v>9.1839999999999993</v>
          </cell>
          <cell r="G126">
            <v>909.45399999999995</v>
          </cell>
          <cell r="H126">
            <v>-5.5110000000000001</v>
          </cell>
        </row>
        <row r="127">
          <cell r="C127">
            <v>554.73699999999997</v>
          </cell>
          <cell r="D127">
            <v>9.26</v>
          </cell>
          <cell r="G127">
            <v>929.72799999999995</v>
          </cell>
          <cell r="H127">
            <v>-10.323</v>
          </cell>
        </row>
        <row r="128">
          <cell r="C128">
            <v>556.53599999999994</v>
          </cell>
          <cell r="D128">
            <v>9.3160000000000007</v>
          </cell>
          <cell r="G128">
            <v>937.971</v>
          </cell>
          <cell r="H128">
            <v>-12.289</v>
          </cell>
        </row>
        <row r="129">
          <cell r="C129">
            <v>557.84299999999996</v>
          </cell>
          <cell r="D129">
            <v>9.3030000000000008</v>
          </cell>
          <cell r="G129">
            <v>945.55100000000004</v>
          </cell>
          <cell r="H129">
            <v>-13.742000000000001</v>
          </cell>
        </row>
        <row r="130">
          <cell r="C130">
            <v>559.38300000000004</v>
          </cell>
          <cell r="D130">
            <v>9.2929999999999993</v>
          </cell>
          <cell r="G130">
            <v>950.30799999999999</v>
          </cell>
          <cell r="H130">
            <v>-14.417999999999999</v>
          </cell>
        </row>
        <row r="131">
          <cell r="C131">
            <v>560.42999999999995</v>
          </cell>
          <cell r="D131">
            <v>9.2840000000000007</v>
          </cell>
          <cell r="G131">
            <v>956.61099999999999</v>
          </cell>
          <cell r="H131">
            <v>-15.055</v>
          </cell>
        </row>
        <row r="132">
          <cell r="C132">
            <v>562.22299999999996</v>
          </cell>
          <cell r="D132">
            <v>9.3070000000000004</v>
          </cell>
          <cell r="G132">
            <v>963.70699999999999</v>
          </cell>
          <cell r="H132">
            <v>-15.567</v>
          </cell>
        </row>
        <row r="133">
          <cell r="C133">
            <v>564.03300000000002</v>
          </cell>
          <cell r="D133">
            <v>9.3170000000000002</v>
          </cell>
          <cell r="G133">
            <v>969.03499999999997</v>
          </cell>
          <cell r="H133">
            <v>-15.688000000000001</v>
          </cell>
        </row>
        <row r="134">
          <cell r="C134">
            <v>565.40599999999995</v>
          </cell>
          <cell r="D134">
            <v>9.2690000000000001</v>
          </cell>
          <cell r="G134">
            <v>974.90200000000004</v>
          </cell>
          <cell r="H134">
            <v>-15.834</v>
          </cell>
        </row>
        <row r="135">
          <cell r="C135">
            <v>567.60199999999998</v>
          </cell>
          <cell r="D135">
            <v>9.1170000000000009</v>
          </cell>
          <cell r="G135">
            <v>981.00099999999998</v>
          </cell>
          <cell r="H135">
            <v>-15.53</v>
          </cell>
        </row>
        <row r="136">
          <cell r="C136">
            <v>569.17700000000002</v>
          </cell>
          <cell r="D136">
            <v>9.0090000000000003</v>
          </cell>
          <cell r="G136">
            <v>986.35299999999995</v>
          </cell>
          <cell r="H136">
            <v>-15.192</v>
          </cell>
        </row>
        <row r="137">
          <cell r="C137">
            <v>571.24599999999998</v>
          </cell>
          <cell r="D137">
            <v>8.8049999999999997</v>
          </cell>
          <cell r="G137">
            <v>991.58399999999995</v>
          </cell>
          <cell r="H137">
            <v>-14.852</v>
          </cell>
        </row>
        <row r="138">
          <cell r="C138">
            <v>573.24699999999996</v>
          </cell>
          <cell r="D138">
            <v>8.6280000000000001</v>
          </cell>
          <cell r="G138">
            <v>994.03599999999994</v>
          </cell>
          <cell r="H138">
            <v>-14.638</v>
          </cell>
        </row>
        <row r="139">
          <cell r="C139">
            <v>575.77200000000005</v>
          </cell>
          <cell r="D139">
            <v>8.4369999999999994</v>
          </cell>
          <cell r="G139">
            <v>999.053</v>
          </cell>
          <cell r="H139">
            <v>-13.773</v>
          </cell>
        </row>
        <row r="140">
          <cell r="C140">
            <v>577.90300000000002</v>
          </cell>
          <cell r="D140">
            <v>8.24</v>
          </cell>
          <cell r="G140">
            <v>1003.869</v>
          </cell>
          <cell r="H140">
            <v>-12.978</v>
          </cell>
        </row>
        <row r="141">
          <cell r="C141">
            <v>580.29200000000003</v>
          </cell>
          <cell r="D141">
            <v>8.1039999999999992</v>
          </cell>
          <cell r="G141">
            <v>1010.158</v>
          </cell>
          <cell r="H141">
            <v>-11.724</v>
          </cell>
        </row>
        <row r="142">
          <cell r="C142">
            <v>582.83699999999999</v>
          </cell>
          <cell r="D142">
            <v>7.8369999999999997</v>
          </cell>
          <cell r="G142">
            <v>1014.616</v>
          </cell>
          <cell r="H142">
            <v>-10.884</v>
          </cell>
        </row>
        <row r="143">
          <cell r="C143">
            <v>585.85599999999999</v>
          </cell>
          <cell r="D143">
            <v>7.4690000000000003</v>
          </cell>
          <cell r="G143">
            <v>1019.894</v>
          </cell>
          <cell r="H143">
            <v>-9.9260000000000002</v>
          </cell>
        </row>
        <row r="144">
          <cell r="C144">
            <v>587.18399999999997</v>
          </cell>
          <cell r="D144">
            <v>7.2350000000000003</v>
          </cell>
          <cell r="G144">
            <v>1028.623</v>
          </cell>
          <cell r="H144">
            <v>-8.5120000000000005</v>
          </cell>
        </row>
        <row r="145">
          <cell r="C145">
            <v>589.17899999999997</v>
          </cell>
          <cell r="D145">
            <v>7.0060000000000002</v>
          </cell>
          <cell r="G145">
            <v>1045.3440000000001</v>
          </cell>
          <cell r="H145">
            <v>-6.7759999999999998</v>
          </cell>
        </row>
        <row r="146">
          <cell r="C146">
            <v>591.452</v>
          </cell>
          <cell r="D146">
            <v>6.8159999999999998</v>
          </cell>
          <cell r="G146">
            <v>1066.1659999999999</v>
          </cell>
          <cell r="H146">
            <v>-5.8460000000000001</v>
          </cell>
        </row>
        <row r="147">
          <cell r="C147">
            <v>594.12400000000002</v>
          </cell>
          <cell r="D147">
            <v>6.3739999999999997</v>
          </cell>
          <cell r="G147">
            <v>1083.2439999999999</v>
          </cell>
          <cell r="H147">
            <v>-5.96</v>
          </cell>
        </row>
        <row r="148">
          <cell r="C148">
            <v>596.13900000000001</v>
          </cell>
          <cell r="D148">
            <v>6.0490000000000004</v>
          </cell>
          <cell r="G148">
            <v>1099.0150000000001</v>
          </cell>
          <cell r="H148">
            <v>-6.1749999999999998</v>
          </cell>
        </row>
        <row r="149">
          <cell r="C149">
            <v>600.23699999999997</v>
          </cell>
          <cell r="D149">
            <v>5.5309999999999997</v>
          </cell>
          <cell r="G149">
            <v>1115.4380000000001</v>
          </cell>
          <cell r="H149">
            <v>-6.3</v>
          </cell>
        </row>
        <row r="150">
          <cell r="C150">
            <v>605.03899999999999</v>
          </cell>
          <cell r="D150">
            <v>4.8339999999999996</v>
          </cell>
          <cell r="G150">
            <v>1132.461</v>
          </cell>
          <cell r="H150">
            <v>-6.7439999999999998</v>
          </cell>
        </row>
        <row r="151">
          <cell r="C151">
            <v>606.80899999999997</v>
          </cell>
          <cell r="D151">
            <v>4.5789999999999997</v>
          </cell>
          <cell r="G151">
            <v>1148.9090000000001</v>
          </cell>
          <cell r="H151">
            <v>-7.0110000000000001</v>
          </cell>
        </row>
        <row r="152">
          <cell r="C152">
            <v>609.53599999999994</v>
          </cell>
          <cell r="D152">
            <v>4.0659999999999998</v>
          </cell>
          <cell r="G152">
            <v>1163.884</v>
          </cell>
          <cell r="H152">
            <v>-7.3890000000000002</v>
          </cell>
        </row>
        <row r="153">
          <cell r="C153">
            <v>612.59</v>
          </cell>
          <cell r="D153">
            <v>3.5219999999999998</v>
          </cell>
          <cell r="G153">
            <v>1179.846</v>
          </cell>
          <cell r="H153">
            <v>-7.2439999999999998</v>
          </cell>
        </row>
        <row r="154">
          <cell r="C154">
            <v>615.46199999999999</v>
          </cell>
          <cell r="D154">
            <v>3.0139999999999998</v>
          </cell>
          <cell r="G154">
            <v>1186.049</v>
          </cell>
          <cell r="H154">
            <v>-7.0270000000000001</v>
          </cell>
        </row>
        <row r="155">
          <cell r="C155">
            <v>617.20899999999995</v>
          </cell>
          <cell r="D155">
            <v>2.7120000000000002</v>
          </cell>
          <cell r="G155">
            <v>1195.4749999999999</v>
          </cell>
          <cell r="H155">
            <v>-6.7039999999999997</v>
          </cell>
        </row>
        <row r="156">
          <cell r="C156">
            <v>618.67600000000004</v>
          </cell>
          <cell r="D156">
            <v>2.427</v>
          </cell>
          <cell r="G156">
            <v>1202.2349999999999</v>
          </cell>
          <cell r="H156">
            <v>-6.4859999999999998</v>
          </cell>
        </row>
        <row r="157">
          <cell r="C157">
            <v>620.87</v>
          </cell>
          <cell r="D157">
            <v>1.992</v>
          </cell>
          <cell r="G157">
            <v>1209.498</v>
          </cell>
          <cell r="H157">
            <v>-6.3250000000000002</v>
          </cell>
        </row>
        <row r="158">
          <cell r="C158">
            <v>624.66</v>
          </cell>
          <cell r="D158">
            <v>1.238</v>
          </cell>
          <cell r="G158">
            <v>1214.4169999999999</v>
          </cell>
          <cell r="H158">
            <v>-6.2050000000000001</v>
          </cell>
        </row>
        <row r="159">
          <cell r="C159">
            <v>633.51199999999994</v>
          </cell>
          <cell r="D159">
            <v>-0.51100000000000001</v>
          </cell>
          <cell r="G159">
            <v>1218.951</v>
          </cell>
          <cell r="H159">
            <v>-6.085</v>
          </cell>
        </row>
        <row r="160">
          <cell r="C160">
            <v>642.43700000000001</v>
          </cell>
          <cell r="D160">
            <v>-2.153</v>
          </cell>
          <cell r="G160">
            <v>1230.9010000000001</v>
          </cell>
          <cell r="H160">
            <v>-5.7969999999999997</v>
          </cell>
        </row>
        <row r="161">
          <cell r="C161">
            <v>650.02</v>
          </cell>
          <cell r="D161">
            <v>-3.3530000000000002</v>
          </cell>
          <cell r="G161">
            <v>1236.979</v>
          </cell>
          <cell r="H161">
            <v>-5.5170000000000003</v>
          </cell>
        </row>
        <row r="162">
          <cell r="C162">
            <v>655.71400000000006</v>
          </cell>
          <cell r="D162">
            <v>-4.3460000000000001</v>
          </cell>
          <cell r="G162">
            <v>1247.325</v>
          </cell>
          <cell r="H162">
            <v>-5.4189999999999996</v>
          </cell>
        </row>
        <row r="163">
          <cell r="C163">
            <v>666.04</v>
          </cell>
          <cell r="D163">
            <v>-6.069</v>
          </cell>
          <cell r="G163">
            <v>1251.836</v>
          </cell>
          <cell r="H163">
            <v>-5.3529999999999998</v>
          </cell>
        </row>
        <row r="164">
          <cell r="C164">
            <v>673.43799999999999</v>
          </cell>
          <cell r="D164">
            <v>-7.2450000000000001</v>
          </cell>
          <cell r="G164">
            <v>1261.126</v>
          </cell>
          <cell r="H164">
            <v>-5.3479999999999999</v>
          </cell>
        </row>
        <row r="165">
          <cell r="C165">
            <v>679.09400000000005</v>
          </cell>
          <cell r="D165">
            <v>-8.1959999999999997</v>
          </cell>
          <cell r="G165">
            <v>1268.808</v>
          </cell>
          <cell r="H165">
            <v>-5.39</v>
          </cell>
        </row>
        <row r="166">
          <cell r="C166">
            <v>683.36199999999997</v>
          </cell>
          <cell r="D166">
            <v>-8.6940000000000008</v>
          </cell>
          <cell r="G166">
            <v>1284.52</v>
          </cell>
          <cell r="H166">
            <v>-5.5510000000000002</v>
          </cell>
        </row>
        <row r="167">
          <cell r="C167">
            <v>690.28099999999995</v>
          </cell>
          <cell r="D167">
            <v>-9.3190000000000008</v>
          </cell>
          <cell r="G167">
            <v>1300.8489999999999</v>
          </cell>
          <cell r="H167">
            <v>-5.5229999999999997</v>
          </cell>
        </row>
        <row r="168">
          <cell r="C168">
            <v>694.803</v>
          </cell>
          <cell r="D168">
            <v>-9.5779999999999994</v>
          </cell>
          <cell r="G168">
            <v>1319.376</v>
          </cell>
          <cell r="H168">
            <v>-5.6429999999999998</v>
          </cell>
        </row>
        <row r="169">
          <cell r="C169">
            <v>697.79499999999996</v>
          </cell>
          <cell r="D169">
            <v>-9.5909999999999993</v>
          </cell>
          <cell r="G169">
            <v>1333.415</v>
          </cell>
          <cell r="H169">
            <v>-5.7489999999999997</v>
          </cell>
        </row>
        <row r="170">
          <cell r="C170">
            <v>703.40899999999999</v>
          </cell>
          <cell r="D170">
            <v>-9.7270000000000003</v>
          </cell>
          <cell r="G170">
            <v>1346.84</v>
          </cell>
          <cell r="H170">
            <v>-5.9020000000000001</v>
          </cell>
        </row>
        <row r="171">
          <cell r="C171">
            <v>705.70799999999997</v>
          </cell>
          <cell r="D171">
            <v>-9.6780000000000008</v>
          </cell>
          <cell r="G171">
            <v>1356.626</v>
          </cell>
          <cell r="H171">
            <v>-5.8860000000000001</v>
          </cell>
        </row>
        <row r="172">
          <cell r="C172">
            <v>709.34500000000003</v>
          </cell>
          <cell r="D172">
            <v>-9.6310000000000002</v>
          </cell>
          <cell r="G172">
            <v>1362.6859999999999</v>
          </cell>
          <cell r="H172">
            <v>-5.9009999999999998</v>
          </cell>
        </row>
        <row r="173">
          <cell r="C173">
            <v>713.27800000000002</v>
          </cell>
          <cell r="D173">
            <v>-9.6029999999999998</v>
          </cell>
          <cell r="G173">
            <v>1372.9259999999999</v>
          </cell>
          <cell r="H173">
            <v>-5.758</v>
          </cell>
        </row>
        <row r="174">
          <cell r="C174">
            <v>715.279</v>
          </cell>
          <cell r="D174">
            <v>-9.5180000000000007</v>
          </cell>
          <cell r="G174">
            <v>1377.367</v>
          </cell>
          <cell r="H174">
            <v>-5.9169999999999998</v>
          </cell>
        </row>
        <row r="175">
          <cell r="C175">
            <v>720.72</v>
          </cell>
          <cell r="D175">
            <v>-9.1189999999999998</v>
          </cell>
          <cell r="G175">
            <v>1400.6780000000001</v>
          </cell>
          <cell r="H175">
            <v>-5.5519999999999996</v>
          </cell>
        </row>
        <row r="176">
          <cell r="C176">
            <v>723.26400000000001</v>
          </cell>
          <cell r="D176">
            <v>-8.9860000000000007</v>
          </cell>
          <cell r="G176">
            <v>1425.7280000000001</v>
          </cell>
          <cell r="H176">
            <v>-5.7210000000000001</v>
          </cell>
        </row>
        <row r="177">
          <cell r="C177">
            <v>727.00599999999997</v>
          </cell>
          <cell r="D177">
            <v>-8.5990000000000002</v>
          </cell>
          <cell r="G177">
            <v>1451.096</v>
          </cell>
          <cell r="H177">
            <v>-5.9130000000000003</v>
          </cell>
        </row>
        <row r="178">
          <cell r="C178">
            <v>729.33299999999997</v>
          </cell>
          <cell r="D178">
            <v>-8.4169999999999998</v>
          </cell>
          <cell r="G178">
            <v>1479.4559999999999</v>
          </cell>
          <cell r="H178">
            <v>-5.7530000000000001</v>
          </cell>
        </row>
        <row r="179">
          <cell r="C179">
            <v>732.74400000000003</v>
          </cell>
          <cell r="D179">
            <v>-7.9720000000000004</v>
          </cell>
          <cell r="G179">
            <v>1506.6880000000001</v>
          </cell>
          <cell r="H179">
            <v>-6.5410000000000004</v>
          </cell>
        </row>
        <row r="180">
          <cell r="C180">
            <v>735.91499999999996</v>
          </cell>
          <cell r="D180">
            <v>-7.5549999999999997</v>
          </cell>
          <cell r="G180">
            <v>1516.405</v>
          </cell>
          <cell r="H180">
            <v>-7.4260000000000002</v>
          </cell>
        </row>
        <row r="181">
          <cell r="C181">
            <v>739.26199999999994</v>
          </cell>
          <cell r="D181">
            <v>-7.0659999999999998</v>
          </cell>
          <cell r="G181">
            <v>1522.3720000000001</v>
          </cell>
          <cell r="H181">
            <v>-8.3070000000000004</v>
          </cell>
        </row>
        <row r="182">
          <cell r="C182">
            <v>741.93700000000001</v>
          </cell>
          <cell r="D182">
            <v>-6.7220000000000004</v>
          </cell>
          <cell r="G182">
            <v>1527.48</v>
          </cell>
          <cell r="H182">
            <v>-8.9830000000000005</v>
          </cell>
        </row>
        <row r="183">
          <cell r="C183">
            <v>745.52200000000005</v>
          </cell>
          <cell r="D183">
            <v>-6.2590000000000003</v>
          </cell>
          <cell r="G183">
            <v>1533.35</v>
          </cell>
          <cell r="H183">
            <v>-9.5860000000000003</v>
          </cell>
        </row>
        <row r="184">
          <cell r="C184">
            <v>752.69500000000005</v>
          </cell>
          <cell r="D184">
            <v>-5.2</v>
          </cell>
          <cell r="G184">
            <v>1539.5329999999999</v>
          </cell>
          <cell r="H184">
            <v>-10.481999999999999</v>
          </cell>
        </row>
        <row r="185">
          <cell r="C185">
            <v>756.81500000000005</v>
          </cell>
          <cell r="D185">
            <v>-4.601</v>
          </cell>
          <cell r="G185">
            <v>1544.7660000000001</v>
          </cell>
          <cell r="H185">
            <v>-11.217000000000001</v>
          </cell>
        </row>
        <row r="186">
          <cell r="C186">
            <v>761.92899999999997</v>
          </cell>
          <cell r="D186">
            <v>-3.6779999999999999</v>
          </cell>
          <cell r="G186">
            <v>1548.3689999999999</v>
          </cell>
          <cell r="H186">
            <v>-11.605</v>
          </cell>
        </row>
        <row r="187">
          <cell r="C187">
            <v>767.23</v>
          </cell>
          <cell r="D187">
            <v>-2.6019999999999999</v>
          </cell>
          <cell r="G187">
            <v>1553.308</v>
          </cell>
          <cell r="H187">
            <v>-12.222</v>
          </cell>
        </row>
        <row r="188">
          <cell r="C188">
            <v>769.476</v>
          </cell>
          <cell r="D188">
            <v>-2.1869999999999998</v>
          </cell>
          <cell r="G188">
            <v>1558.8710000000001</v>
          </cell>
          <cell r="H188">
            <v>-12.906000000000001</v>
          </cell>
        </row>
        <row r="189">
          <cell r="C189">
            <v>776.54600000000005</v>
          </cell>
          <cell r="D189">
            <v>-0.86399999999999999</v>
          </cell>
          <cell r="G189">
            <v>1565.335</v>
          </cell>
          <cell r="H189">
            <v>-13.529</v>
          </cell>
        </row>
        <row r="190">
          <cell r="C190">
            <v>784.59900000000005</v>
          </cell>
          <cell r="D190">
            <v>0.84099999999999997</v>
          </cell>
          <cell r="G190">
            <v>1572.029</v>
          </cell>
          <cell r="H190">
            <v>-14.279</v>
          </cell>
        </row>
        <row r="191">
          <cell r="C191">
            <v>788.81799999999998</v>
          </cell>
          <cell r="D191">
            <v>1.7909999999999999</v>
          </cell>
          <cell r="G191">
            <v>1576.7529999999999</v>
          </cell>
          <cell r="H191">
            <v>-14.714</v>
          </cell>
        </row>
        <row r="192">
          <cell r="C192">
            <v>792.84799999999996</v>
          </cell>
          <cell r="D192">
            <v>2.6749999999999998</v>
          </cell>
          <cell r="G192">
            <v>1579.769</v>
          </cell>
          <cell r="H192">
            <v>-14.948</v>
          </cell>
        </row>
        <row r="193">
          <cell r="C193">
            <v>797.52800000000002</v>
          </cell>
          <cell r="D193">
            <v>3.5920000000000001</v>
          </cell>
          <cell r="G193">
            <v>1582.4829999999999</v>
          </cell>
          <cell r="H193">
            <v>-15.074999999999999</v>
          </cell>
        </row>
        <row r="194">
          <cell r="C194">
            <v>800.43</v>
          </cell>
          <cell r="D194">
            <v>4.093</v>
          </cell>
          <cell r="G194">
            <v>1588.4939999999999</v>
          </cell>
          <cell r="H194">
            <v>-15.391999999999999</v>
          </cell>
        </row>
        <row r="195">
          <cell r="C195">
            <v>805.27800000000002</v>
          </cell>
          <cell r="D195">
            <v>4.76</v>
          </cell>
          <cell r="G195">
            <v>1596.2329999999999</v>
          </cell>
          <cell r="H195">
            <v>-15.677</v>
          </cell>
        </row>
        <row r="196">
          <cell r="C196">
            <v>810.18600000000004</v>
          </cell>
          <cell r="D196">
            <v>5.4119999999999999</v>
          </cell>
          <cell r="G196">
            <v>1598.2750000000001</v>
          </cell>
          <cell r="H196">
            <v>-15.711</v>
          </cell>
        </row>
        <row r="197">
          <cell r="C197">
            <v>814.99699999999996</v>
          </cell>
          <cell r="D197">
            <v>6.0019999999999998</v>
          </cell>
          <cell r="G197">
            <v>1605.7760000000001</v>
          </cell>
          <cell r="H197">
            <v>-15.971</v>
          </cell>
        </row>
        <row r="198">
          <cell r="C198">
            <v>824.86900000000003</v>
          </cell>
          <cell r="D198">
            <v>6.867</v>
          </cell>
          <cell r="G198">
            <v>1611.7529999999999</v>
          </cell>
          <cell r="H198">
            <v>-16.035</v>
          </cell>
        </row>
        <row r="199">
          <cell r="C199">
            <v>834.35799999999995</v>
          </cell>
          <cell r="D199">
            <v>7.4630000000000001</v>
          </cell>
          <cell r="G199">
            <v>1615.6980000000001</v>
          </cell>
          <cell r="H199">
            <v>-16.300999999999998</v>
          </cell>
        </row>
        <row r="200">
          <cell r="C200">
            <v>841.27300000000002</v>
          </cell>
          <cell r="D200">
            <v>7.6379999999999999</v>
          </cell>
          <cell r="G200">
            <v>1618.6410000000001</v>
          </cell>
          <cell r="H200">
            <v>-16.213999999999999</v>
          </cell>
        </row>
        <row r="201">
          <cell r="C201">
            <v>868.81200000000001</v>
          </cell>
          <cell r="D201">
            <v>7.1269999999999998</v>
          </cell>
          <cell r="G201">
            <v>1624.9110000000001</v>
          </cell>
          <cell r="H201">
            <v>-15.871</v>
          </cell>
        </row>
        <row r="202">
          <cell r="C202">
            <v>880.995</v>
          </cell>
          <cell r="D202">
            <v>6.093</v>
          </cell>
          <cell r="G202">
            <v>1631.319</v>
          </cell>
          <cell r="H202">
            <v>-15.606</v>
          </cell>
        </row>
        <row r="203">
          <cell r="C203">
            <v>891.79899999999998</v>
          </cell>
          <cell r="D203">
            <v>4.9189999999999996</v>
          </cell>
          <cell r="G203">
            <v>1639.1010000000001</v>
          </cell>
          <cell r="H203">
            <v>-14.994</v>
          </cell>
        </row>
        <row r="204">
          <cell r="C204">
            <v>900.30799999999999</v>
          </cell>
          <cell r="D204">
            <v>3.6920000000000002</v>
          </cell>
          <cell r="G204">
            <v>1660.37</v>
          </cell>
          <cell r="H204">
            <v>-13.122</v>
          </cell>
        </row>
        <row r="205">
          <cell r="C205">
            <v>907.74699999999996</v>
          </cell>
          <cell r="D205">
            <v>2.3239999999999998</v>
          </cell>
          <cell r="G205">
            <v>1679.819</v>
          </cell>
          <cell r="H205">
            <v>-11.443</v>
          </cell>
        </row>
        <row r="206">
          <cell r="C206">
            <v>914.31299999999999</v>
          </cell>
          <cell r="D206">
            <v>1.052</v>
          </cell>
          <cell r="G206">
            <v>1703.7329999999999</v>
          </cell>
          <cell r="H206">
            <v>-9.3249999999999993</v>
          </cell>
        </row>
        <row r="207">
          <cell r="C207">
            <v>922.36300000000006</v>
          </cell>
          <cell r="D207">
            <v>-0.746</v>
          </cell>
          <cell r="G207">
            <v>1722.1469999999999</v>
          </cell>
          <cell r="H207">
            <v>-7.85</v>
          </cell>
        </row>
        <row r="208">
          <cell r="C208">
            <v>930.923</v>
          </cell>
          <cell r="D208">
            <v>-2.9409999999999998</v>
          </cell>
          <cell r="G208">
            <v>1737.0650000000001</v>
          </cell>
          <cell r="H208">
            <v>-6.77</v>
          </cell>
        </row>
        <row r="209">
          <cell r="C209">
            <v>938.58799999999997</v>
          </cell>
          <cell r="D209">
            <v>-4.7939999999999996</v>
          </cell>
          <cell r="G209">
            <v>1749.5830000000001</v>
          </cell>
          <cell r="H209">
            <v>-6.0590000000000002</v>
          </cell>
        </row>
        <row r="210">
          <cell r="C210">
            <v>939.68</v>
          </cell>
          <cell r="D210">
            <v>-5.0519999999999996</v>
          </cell>
          <cell r="G210">
            <v>1757.991</v>
          </cell>
          <cell r="H210">
            <v>-5.7240000000000002</v>
          </cell>
        </row>
        <row r="211">
          <cell r="C211">
            <v>943.55100000000004</v>
          </cell>
          <cell r="D211">
            <v>-5.774</v>
          </cell>
          <cell r="G211">
            <v>1773.2270000000001</v>
          </cell>
          <cell r="H211">
            <v>-5.42</v>
          </cell>
        </row>
        <row r="212">
          <cell r="C212">
            <v>946.08199999999999</v>
          </cell>
          <cell r="D212">
            <v>-6.218</v>
          </cell>
          <cell r="G212">
            <v>1780.4459999999999</v>
          </cell>
          <cell r="H212">
            <v>-5.5469999999999997</v>
          </cell>
        </row>
        <row r="213">
          <cell r="C213">
            <v>948.67499999999995</v>
          </cell>
          <cell r="D213">
            <v>-6.5449999999999999</v>
          </cell>
          <cell r="G213">
            <v>1799.0609999999999</v>
          </cell>
          <cell r="H213">
            <v>-6.2859999999999996</v>
          </cell>
        </row>
        <row r="214">
          <cell r="C214">
            <v>951.69100000000003</v>
          </cell>
          <cell r="D214">
            <v>-6.9550000000000001</v>
          </cell>
          <cell r="G214">
            <v>1821.913</v>
          </cell>
          <cell r="H214">
            <v>-7.5869999999999997</v>
          </cell>
        </row>
        <row r="215">
          <cell r="C215">
            <v>954.85699999999997</v>
          </cell>
          <cell r="D215">
            <v>-7.2679999999999998</v>
          </cell>
          <cell r="G215">
            <v>1832.8969999999999</v>
          </cell>
          <cell r="H215">
            <v>-8.2070000000000007</v>
          </cell>
        </row>
        <row r="216">
          <cell r="C216">
            <v>957.02700000000004</v>
          </cell>
          <cell r="D216">
            <v>-7.4610000000000003</v>
          </cell>
          <cell r="G216">
            <v>1842.94</v>
          </cell>
          <cell r="H216">
            <v>-8.7710000000000008</v>
          </cell>
        </row>
        <row r="217">
          <cell r="C217">
            <v>961.59799999999996</v>
          </cell>
          <cell r="D217">
            <v>-7.8319999999999999</v>
          </cell>
          <cell r="G217">
            <v>1848.8689999999999</v>
          </cell>
          <cell r="H217">
            <v>-9.1790000000000003</v>
          </cell>
        </row>
        <row r="218">
          <cell r="C218">
            <v>965.59199999999998</v>
          </cell>
          <cell r="D218">
            <v>-8.0869999999999997</v>
          </cell>
          <cell r="G218">
            <v>1869.895</v>
          </cell>
          <cell r="H218">
            <v>-10.558</v>
          </cell>
        </row>
        <row r="219">
          <cell r="C219">
            <v>968.90800000000002</v>
          </cell>
          <cell r="D219">
            <v>-8.2309999999999999</v>
          </cell>
          <cell r="G219">
            <v>1887.7190000000001</v>
          </cell>
          <cell r="H219">
            <v>-11.839</v>
          </cell>
        </row>
        <row r="220">
          <cell r="C220">
            <v>972.44100000000003</v>
          </cell>
          <cell r="D220">
            <v>-8.3070000000000004</v>
          </cell>
          <cell r="G220">
            <v>1907.607</v>
          </cell>
          <cell r="H220">
            <v>-12.308999999999999</v>
          </cell>
        </row>
        <row r="221">
          <cell r="C221">
            <v>975.197</v>
          </cell>
          <cell r="D221">
            <v>-8.282</v>
          </cell>
          <cell r="G221">
            <v>1928.96</v>
          </cell>
          <cell r="H221">
            <v>-12.026</v>
          </cell>
        </row>
        <row r="222">
          <cell r="C222">
            <v>977.13</v>
          </cell>
          <cell r="D222">
            <v>-8.1669999999999998</v>
          </cell>
          <cell r="G222">
            <v>1942.039</v>
          </cell>
          <cell r="H222">
            <v>-10.929</v>
          </cell>
        </row>
        <row r="223">
          <cell r="C223">
            <v>981.37900000000002</v>
          </cell>
          <cell r="D223">
            <v>-7.8810000000000002</v>
          </cell>
          <cell r="G223">
            <v>1964.354</v>
          </cell>
          <cell r="H223">
            <v>-7.274</v>
          </cell>
        </row>
        <row r="224">
          <cell r="C224">
            <v>984.58600000000001</v>
          </cell>
          <cell r="D224">
            <v>-7.8159999999999998</v>
          </cell>
          <cell r="G224">
            <v>1982.393</v>
          </cell>
          <cell r="H224">
            <v>-2.6160000000000001</v>
          </cell>
        </row>
        <row r="225">
          <cell r="C225">
            <v>987.16399999999999</v>
          </cell>
          <cell r="D225">
            <v>-7.5880000000000001</v>
          </cell>
          <cell r="G225">
            <v>1985.269</v>
          </cell>
          <cell r="H225">
            <v>-1.7370000000000001</v>
          </cell>
        </row>
        <row r="226">
          <cell r="C226">
            <v>989.73900000000003</v>
          </cell>
          <cell r="D226">
            <v>-7.3490000000000002</v>
          </cell>
          <cell r="G226">
            <v>1991.1510000000001</v>
          </cell>
          <cell r="H226">
            <v>0.224</v>
          </cell>
        </row>
        <row r="227">
          <cell r="C227">
            <v>992.56200000000001</v>
          </cell>
          <cell r="D227">
            <v>-6.9560000000000004</v>
          </cell>
          <cell r="G227">
            <v>1993.454</v>
          </cell>
          <cell r="H227">
            <v>1.0349999999999999</v>
          </cell>
        </row>
        <row r="228">
          <cell r="C228">
            <v>995.51</v>
          </cell>
          <cell r="D228">
            <v>-6.6230000000000002</v>
          </cell>
          <cell r="G228">
            <v>1996.588</v>
          </cell>
          <cell r="H228">
            <v>1.9339999999999999</v>
          </cell>
        </row>
        <row r="229">
          <cell r="C229">
            <v>999.30499999999995</v>
          </cell>
          <cell r="D229">
            <v>-6.0449999999999999</v>
          </cell>
          <cell r="G229">
            <v>2001.61</v>
          </cell>
          <cell r="H229">
            <v>3.1379999999999999</v>
          </cell>
        </row>
        <row r="230">
          <cell r="C230">
            <v>1003.538</v>
          </cell>
          <cell r="D230">
            <v>-5.3410000000000002</v>
          </cell>
          <cell r="G230">
            <v>2004.925</v>
          </cell>
          <cell r="H230">
            <v>4.0880000000000001</v>
          </cell>
        </row>
        <row r="231">
          <cell r="C231">
            <v>1006.726</v>
          </cell>
          <cell r="D231">
            <v>-4.806</v>
          </cell>
          <cell r="G231">
            <v>2008.508</v>
          </cell>
          <cell r="H231">
            <v>4.9130000000000003</v>
          </cell>
        </row>
        <row r="232">
          <cell r="C232">
            <v>1009.915</v>
          </cell>
          <cell r="D232">
            <v>-4.2869999999999999</v>
          </cell>
          <cell r="G232">
            <v>2012.374</v>
          </cell>
          <cell r="H232">
            <v>5.8079999999999998</v>
          </cell>
        </row>
        <row r="233">
          <cell r="C233">
            <v>1013.388</v>
          </cell>
          <cell r="D233">
            <v>-3.629</v>
          </cell>
          <cell r="G233">
            <v>2016.211</v>
          </cell>
          <cell r="H233">
            <v>6.5940000000000003</v>
          </cell>
        </row>
        <row r="234">
          <cell r="C234">
            <v>1017.231</v>
          </cell>
          <cell r="D234">
            <v>-2.9260000000000002</v>
          </cell>
          <cell r="G234">
            <v>2018.279</v>
          </cell>
          <cell r="H234">
            <v>7.0030000000000001</v>
          </cell>
        </row>
        <row r="235">
          <cell r="C235">
            <v>1021.95</v>
          </cell>
          <cell r="D235">
            <v>-1.992</v>
          </cell>
          <cell r="G235">
            <v>2022.509</v>
          </cell>
          <cell r="H235">
            <v>7.6390000000000002</v>
          </cell>
        </row>
        <row r="236">
          <cell r="C236">
            <v>1025.299</v>
          </cell>
          <cell r="D236">
            <v>-1.474</v>
          </cell>
          <cell r="G236">
            <v>2027.904</v>
          </cell>
          <cell r="H236">
            <v>8.5150000000000006</v>
          </cell>
        </row>
        <row r="237">
          <cell r="C237">
            <v>1031.0530000000001</v>
          </cell>
          <cell r="D237">
            <v>-0.76300000000000001</v>
          </cell>
          <cell r="G237">
            <v>2031.856</v>
          </cell>
          <cell r="H237">
            <v>9.1010000000000009</v>
          </cell>
        </row>
        <row r="238">
          <cell r="C238">
            <v>1038.4359999999999</v>
          </cell>
          <cell r="D238">
            <v>7.8E-2</v>
          </cell>
          <cell r="G238">
            <v>2035.991</v>
          </cell>
          <cell r="H238">
            <v>9.4169999999999998</v>
          </cell>
        </row>
        <row r="239">
          <cell r="C239">
            <v>1040.9159999999999</v>
          </cell>
          <cell r="D239">
            <v>0.27400000000000002</v>
          </cell>
          <cell r="G239">
            <v>2039.7919999999999</v>
          </cell>
          <cell r="H239">
            <v>9.7240000000000002</v>
          </cell>
        </row>
        <row r="240">
          <cell r="C240">
            <v>1048.943</v>
          </cell>
          <cell r="D240">
            <v>0.95099999999999996</v>
          </cell>
          <cell r="G240">
            <v>2042.68</v>
          </cell>
          <cell r="H240">
            <v>9.9410000000000007</v>
          </cell>
        </row>
        <row r="241">
          <cell r="C241">
            <v>1055.7080000000001</v>
          </cell>
          <cell r="D241">
            <v>1.333</v>
          </cell>
          <cell r="G241">
            <v>2046.7149999999999</v>
          </cell>
          <cell r="H241">
            <v>10.113</v>
          </cell>
        </row>
        <row r="242">
          <cell r="C242">
            <v>1060.952</v>
          </cell>
          <cell r="D242">
            <v>1.4870000000000001</v>
          </cell>
          <cell r="G242">
            <v>2050.0059999999999</v>
          </cell>
          <cell r="H242">
            <v>10.212999999999999</v>
          </cell>
        </row>
        <row r="243">
          <cell r="C243">
            <v>1069.1949999999999</v>
          </cell>
          <cell r="D243">
            <v>1.663</v>
          </cell>
          <cell r="G243">
            <v>2052.835</v>
          </cell>
          <cell r="H243">
            <v>10.233000000000001</v>
          </cell>
        </row>
        <row r="244">
          <cell r="C244">
            <v>1077.9690000000001</v>
          </cell>
          <cell r="D244">
            <v>1.5860000000000001</v>
          </cell>
          <cell r="G244">
            <v>2055.4479999999999</v>
          </cell>
          <cell r="H244">
            <v>10.198</v>
          </cell>
        </row>
        <row r="245">
          <cell r="C245">
            <v>1080.991</v>
          </cell>
          <cell r="D245">
            <v>1.57</v>
          </cell>
          <cell r="G245">
            <v>2058.779</v>
          </cell>
          <cell r="H245">
            <v>10.173</v>
          </cell>
        </row>
        <row r="246">
          <cell r="C246">
            <v>1089.578</v>
          </cell>
          <cell r="D246">
            <v>1.4530000000000001</v>
          </cell>
          <cell r="G246">
            <v>2062.3560000000002</v>
          </cell>
          <cell r="H246">
            <v>10.052</v>
          </cell>
        </row>
        <row r="247">
          <cell r="C247">
            <v>1095.7950000000001</v>
          </cell>
          <cell r="D247">
            <v>1.31</v>
          </cell>
          <cell r="G247">
            <v>2070.741</v>
          </cell>
          <cell r="H247">
            <v>9.3190000000000008</v>
          </cell>
        </row>
        <row r="248">
          <cell r="C248">
            <v>1102.02</v>
          </cell>
          <cell r="D248">
            <v>1.179</v>
          </cell>
          <cell r="G248">
            <v>2075.5729999999999</v>
          </cell>
          <cell r="H248">
            <v>8.9440000000000008</v>
          </cell>
        </row>
        <row r="249">
          <cell r="C249">
            <v>1107.4829999999999</v>
          </cell>
          <cell r="D249">
            <v>1.091</v>
          </cell>
          <cell r="G249">
            <v>2079.1869999999999</v>
          </cell>
          <cell r="H249">
            <v>8.2940000000000005</v>
          </cell>
        </row>
        <row r="250">
          <cell r="C250">
            <v>1112.5139999999999</v>
          </cell>
          <cell r="D250">
            <v>0.96099999999999997</v>
          </cell>
          <cell r="G250">
            <v>2083.2080000000001</v>
          </cell>
          <cell r="H250">
            <v>7.7729999999999997</v>
          </cell>
        </row>
        <row r="251">
          <cell r="C251">
            <v>1121.2660000000001</v>
          </cell>
          <cell r="D251">
            <v>0.871</v>
          </cell>
          <cell r="G251">
            <v>2085.9659999999999</v>
          </cell>
          <cell r="H251">
            <v>7.2949999999999999</v>
          </cell>
        </row>
        <row r="252">
          <cell r="C252">
            <v>1130.325</v>
          </cell>
          <cell r="D252">
            <v>0.68100000000000005</v>
          </cell>
          <cell r="G252">
            <v>2091.096</v>
          </cell>
          <cell r="H252">
            <v>6.2430000000000003</v>
          </cell>
        </row>
        <row r="253">
          <cell r="C253">
            <v>1141.4739999999999</v>
          </cell>
          <cell r="D253">
            <v>0.40500000000000003</v>
          </cell>
          <cell r="G253">
            <v>2095.0770000000002</v>
          </cell>
          <cell r="H253">
            <v>5.4020000000000001</v>
          </cell>
        </row>
        <row r="254">
          <cell r="C254">
            <v>1150.672</v>
          </cell>
          <cell r="D254">
            <v>0.27500000000000002</v>
          </cell>
          <cell r="G254">
            <v>2099.3710000000001</v>
          </cell>
          <cell r="H254">
            <v>4.3760000000000003</v>
          </cell>
        </row>
        <row r="255">
          <cell r="C255">
            <v>1159.117</v>
          </cell>
          <cell r="D255">
            <v>0.17899999999999999</v>
          </cell>
          <cell r="G255">
            <v>2102.835</v>
          </cell>
          <cell r="H255">
            <v>3.399</v>
          </cell>
        </row>
        <row r="256">
          <cell r="C256">
            <v>1173.4960000000001</v>
          </cell>
          <cell r="D256">
            <v>0.245</v>
          </cell>
          <cell r="G256">
            <v>2113.9369999999999</v>
          </cell>
          <cell r="H256">
            <v>0.57699999999999996</v>
          </cell>
        </row>
        <row r="257">
          <cell r="C257">
            <v>1183.682</v>
          </cell>
          <cell r="D257">
            <v>0.65300000000000002</v>
          </cell>
          <cell r="G257">
            <v>2126.846</v>
          </cell>
          <cell r="H257">
            <v>-1.7689999999999999</v>
          </cell>
        </row>
        <row r="258">
          <cell r="C258">
            <v>1188.364</v>
          </cell>
          <cell r="D258">
            <v>0.81499999999999995</v>
          </cell>
          <cell r="G258">
            <v>2142.5189999999998</v>
          </cell>
          <cell r="H258">
            <v>-3.6549999999999998</v>
          </cell>
        </row>
        <row r="259">
          <cell r="C259">
            <v>1194.655</v>
          </cell>
          <cell r="D259">
            <v>1.111</v>
          </cell>
          <cell r="G259">
            <v>2152.777</v>
          </cell>
          <cell r="H259">
            <v>-4.6689999999999996</v>
          </cell>
        </row>
        <row r="260">
          <cell r="C260">
            <v>1197.954</v>
          </cell>
          <cell r="D260">
            <v>1.232</v>
          </cell>
          <cell r="G260">
            <v>2165.3470000000002</v>
          </cell>
          <cell r="H260">
            <v>-5.2729999999999997</v>
          </cell>
        </row>
        <row r="261">
          <cell r="C261">
            <v>1201.172</v>
          </cell>
          <cell r="D261">
            <v>1.2569999999999999</v>
          </cell>
          <cell r="G261">
            <v>2175.9690000000001</v>
          </cell>
          <cell r="H261">
            <v>-5.6109999999999998</v>
          </cell>
        </row>
        <row r="262">
          <cell r="C262">
            <v>1204.4359999999999</v>
          </cell>
          <cell r="D262">
            <v>1.3879999999999999</v>
          </cell>
          <cell r="G262">
            <v>2185.181</v>
          </cell>
          <cell r="H262">
            <v>-5.6509999999999998</v>
          </cell>
        </row>
        <row r="263">
          <cell r="C263">
            <v>1207.2270000000001</v>
          </cell>
          <cell r="D263">
            <v>1.4690000000000001</v>
          </cell>
          <cell r="G263">
            <v>2199.7950000000001</v>
          </cell>
          <cell r="H263">
            <v>-5.758</v>
          </cell>
        </row>
        <row r="264">
          <cell r="C264">
            <v>1210.5830000000001</v>
          </cell>
          <cell r="D264">
            <v>1.577</v>
          </cell>
          <cell r="G264">
            <v>2214.319</v>
          </cell>
          <cell r="H264">
            <v>-5.6689999999999996</v>
          </cell>
        </row>
        <row r="265">
          <cell r="C265">
            <v>1214.6279999999999</v>
          </cell>
          <cell r="D265">
            <v>1.716</v>
          </cell>
          <cell r="G265">
            <v>2230.1529999999998</v>
          </cell>
          <cell r="H265">
            <v>-5.7670000000000003</v>
          </cell>
        </row>
        <row r="266">
          <cell r="C266">
            <v>1220.6880000000001</v>
          </cell>
          <cell r="D266">
            <v>2.0249999999999999</v>
          </cell>
          <cell r="G266">
            <v>2241.4479999999999</v>
          </cell>
          <cell r="H266">
            <v>-5.6950000000000003</v>
          </cell>
        </row>
        <row r="267">
          <cell r="C267">
            <v>1223.4829999999999</v>
          </cell>
          <cell r="D267">
            <v>2.1219999999999999</v>
          </cell>
          <cell r="G267">
            <v>2248.4949999999999</v>
          </cell>
          <cell r="H267">
            <v>-5.7409999999999997</v>
          </cell>
        </row>
        <row r="268">
          <cell r="C268">
            <v>1225.4960000000001</v>
          </cell>
          <cell r="D268">
            <v>2.1560000000000001</v>
          </cell>
          <cell r="G268">
            <v>2255.377</v>
          </cell>
          <cell r="H268">
            <v>-5.6849999999999996</v>
          </cell>
        </row>
        <row r="269">
          <cell r="C269">
            <v>1228.8389999999999</v>
          </cell>
          <cell r="D269">
            <v>2.161</v>
          </cell>
          <cell r="G269">
            <v>2259.9110000000001</v>
          </cell>
          <cell r="H269">
            <v>-5.7229999999999999</v>
          </cell>
        </row>
        <row r="270">
          <cell r="C270">
            <v>1232.7</v>
          </cell>
          <cell r="D270">
            <v>2.2269999999999999</v>
          </cell>
          <cell r="G270">
            <v>2265.5059999999999</v>
          </cell>
          <cell r="H270">
            <v>-5.6779999999999999</v>
          </cell>
        </row>
        <row r="271">
          <cell r="C271">
            <v>1234.4559999999999</v>
          </cell>
          <cell r="D271">
            <v>2.1720000000000002</v>
          </cell>
          <cell r="G271">
            <v>2273.0929999999998</v>
          </cell>
          <cell r="H271">
            <v>-5.7119999999999997</v>
          </cell>
        </row>
        <row r="272">
          <cell r="C272">
            <v>1237.79</v>
          </cell>
          <cell r="D272">
            <v>2.2229999999999999</v>
          </cell>
          <cell r="G272">
            <v>2281.203</v>
          </cell>
          <cell r="H272">
            <v>-5.6120000000000001</v>
          </cell>
        </row>
        <row r="273">
          <cell r="C273">
            <v>1241.0989999999999</v>
          </cell>
          <cell r="D273">
            <v>2.1680000000000001</v>
          </cell>
          <cell r="G273">
            <v>2300.8980000000001</v>
          </cell>
          <cell r="H273">
            <v>-5.7549999999999999</v>
          </cell>
        </row>
        <row r="274">
          <cell r="C274">
            <v>1243.325</v>
          </cell>
          <cell r="D274">
            <v>2.25</v>
          </cell>
          <cell r="G274">
            <v>2317.2939999999999</v>
          </cell>
          <cell r="H274">
            <v>-5.61</v>
          </cell>
        </row>
        <row r="275">
          <cell r="C275">
            <v>1245.9190000000001</v>
          </cell>
          <cell r="D275">
            <v>2.1429999999999998</v>
          </cell>
          <cell r="G275">
            <v>2338.7739999999999</v>
          </cell>
          <cell r="H275">
            <v>-5.7060000000000004</v>
          </cell>
        </row>
        <row r="276">
          <cell r="C276">
            <v>1249.0989999999999</v>
          </cell>
          <cell r="D276">
            <v>2.1179999999999999</v>
          </cell>
          <cell r="G276">
            <v>2355.4589999999998</v>
          </cell>
          <cell r="H276">
            <v>-5.7720000000000002</v>
          </cell>
        </row>
        <row r="277">
          <cell r="C277">
            <v>1252.6559999999999</v>
          </cell>
          <cell r="D277">
            <v>2.1469999999999998</v>
          </cell>
          <cell r="G277">
            <v>2369.136</v>
          </cell>
          <cell r="H277">
            <v>-5.8739999999999997</v>
          </cell>
        </row>
        <row r="278">
          <cell r="C278">
            <v>1255.422</v>
          </cell>
          <cell r="D278">
            <v>2.0720000000000001</v>
          </cell>
          <cell r="G278">
            <v>2381.6390000000001</v>
          </cell>
          <cell r="H278">
            <v>-5.9509999999999996</v>
          </cell>
        </row>
        <row r="279">
          <cell r="C279">
            <v>1260.8620000000001</v>
          </cell>
          <cell r="D279">
            <v>1.923</v>
          </cell>
          <cell r="G279">
            <v>2393.29</v>
          </cell>
          <cell r="H279">
            <v>-6.048</v>
          </cell>
        </row>
        <row r="280">
          <cell r="C280">
            <v>1269.712</v>
          </cell>
          <cell r="D280">
            <v>1.7729999999999999</v>
          </cell>
          <cell r="G280">
            <v>2399.114</v>
          </cell>
          <cell r="H280">
            <v>-6.0449999999999999</v>
          </cell>
        </row>
        <row r="281">
          <cell r="C281">
            <v>1275.008</v>
          </cell>
          <cell r="D281">
            <v>1.6819999999999999</v>
          </cell>
          <cell r="G281">
            <v>2410.2449999999999</v>
          </cell>
          <cell r="H281">
            <v>-6.0940000000000003</v>
          </cell>
        </row>
        <row r="282">
          <cell r="C282">
            <v>1281.47</v>
          </cell>
          <cell r="D282">
            <v>1.7050000000000001</v>
          </cell>
          <cell r="G282">
            <v>2416.3049999999998</v>
          </cell>
          <cell r="H282">
            <v>-6.0839999999999996</v>
          </cell>
        </row>
        <row r="283">
          <cell r="C283">
            <v>1284.934</v>
          </cell>
          <cell r="D283">
            <v>1.663</v>
          </cell>
          <cell r="G283">
            <v>2430.527</v>
          </cell>
          <cell r="H283">
            <v>-5.9649999999999999</v>
          </cell>
        </row>
        <row r="284">
          <cell r="C284">
            <v>1295.299</v>
          </cell>
          <cell r="D284">
            <v>1.661</v>
          </cell>
          <cell r="G284">
            <v>2443.1</v>
          </cell>
          <cell r="H284">
            <v>-5.9720000000000004</v>
          </cell>
        </row>
        <row r="285">
          <cell r="C285">
            <v>1301.973</v>
          </cell>
          <cell r="D285">
            <v>1.6519999999999999</v>
          </cell>
          <cell r="G285">
            <v>2461.8339999999998</v>
          </cell>
          <cell r="H285">
            <v>-5.8860000000000001</v>
          </cell>
        </row>
        <row r="286">
          <cell r="C286">
            <v>1310.9760000000001</v>
          </cell>
          <cell r="D286">
            <v>1.7769999999999999</v>
          </cell>
          <cell r="G286">
            <v>2484.8649999999998</v>
          </cell>
          <cell r="H286">
            <v>-5.9370000000000003</v>
          </cell>
        </row>
        <row r="287">
          <cell r="C287">
            <v>1324.1389999999999</v>
          </cell>
          <cell r="D287">
            <v>1.7010000000000001</v>
          </cell>
          <cell r="G287">
            <v>2488.63</v>
          </cell>
          <cell r="H287">
            <v>-5.88</v>
          </cell>
        </row>
        <row r="288">
          <cell r="C288">
            <v>1337</v>
          </cell>
          <cell r="D288">
            <v>1.7509999999999999</v>
          </cell>
          <cell r="G288">
            <v>2501.973</v>
          </cell>
          <cell r="H288">
            <v>-5.9669999999999996</v>
          </cell>
        </row>
        <row r="289">
          <cell r="C289">
            <v>1352.7449999999999</v>
          </cell>
          <cell r="D289">
            <v>1.7430000000000001</v>
          </cell>
          <cell r="G289">
            <v>2516.5430000000001</v>
          </cell>
          <cell r="H289">
            <v>-5.8710000000000004</v>
          </cell>
        </row>
        <row r="290">
          <cell r="C290">
            <v>1365.249</v>
          </cell>
          <cell r="D290">
            <v>1.6839999999999999</v>
          </cell>
          <cell r="G290">
            <v>2532.547</v>
          </cell>
          <cell r="H290">
            <v>-5.81</v>
          </cell>
        </row>
        <row r="291">
          <cell r="C291">
            <v>1376.039</v>
          </cell>
          <cell r="D291">
            <v>1.7090000000000001</v>
          </cell>
          <cell r="G291">
            <v>2549.1489999999999</v>
          </cell>
          <cell r="H291">
            <v>-5.7960000000000003</v>
          </cell>
        </row>
        <row r="292">
          <cell r="C292">
            <v>1387.6110000000001</v>
          </cell>
          <cell r="D292">
            <v>1.671</v>
          </cell>
          <cell r="G292">
            <v>2561.114</v>
          </cell>
          <cell r="H292">
            <v>-5.8029999999999999</v>
          </cell>
        </row>
        <row r="293">
          <cell r="C293">
            <v>1397.241</v>
          </cell>
          <cell r="D293">
            <v>1.716</v>
          </cell>
          <cell r="G293">
            <v>2575.5749999999998</v>
          </cell>
          <cell r="H293">
            <v>-5.8090000000000002</v>
          </cell>
        </row>
        <row r="294">
          <cell r="C294">
            <v>1406.229</v>
          </cell>
          <cell r="D294">
            <v>1.734</v>
          </cell>
          <cell r="G294">
            <v>2587.2759999999998</v>
          </cell>
          <cell r="H294">
            <v>-5.7380000000000004</v>
          </cell>
        </row>
        <row r="295">
          <cell r="C295">
            <v>1414.9770000000001</v>
          </cell>
          <cell r="D295">
            <v>1.7130000000000001</v>
          </cell>
          <cell r="G295">
            <v>2598.194</v>
          </cell>
          <cell r="H295">
            <v>-5.5540000000000003</v>
          </cell>
        </row>
        <row r="296">
          <cell r="C296">
            <v>1424.3689999999999</v>
          </cell>
          <cell r="D296">
            <v>1.6830000000000001</v>
          </cell>
          <cell r="G296">
            <v>2614.23</v>
          </cell>
          <cell r="H296">
            <v>-5.5090000000000003</v>
          </cell>
        </row>
        <row r="297">
          <cell r="C297">
            <v>1432.35</v>
          </cell>
          <cell r="D297">
            <v>1.6739999999999999</v>
          </cell>
          <cell r="G297">
            <v>2617.346</v>
          </cell>
          <cell r="H297">
            <v>-5.4320000000000004</v>
          </cell>
        </row>
        <row r="298">
          <cell r="C298">
            <v>1442.1859999999999</v>
          </cell>
          <cell r="D298">
            <v>1.6539999999999999</v>
          </cell>
          <cell r="G298">
            <v>2621.3139999999999</v>
          </cell>
          <cell r="H298">
            <v>-5.5469999999999997</v>
          </cell>
        </row>
        <row r="299">
          <cell r="C299">
            <v>1456.588</v>
          </cell>
          <cell r="D299">
            <v>1.6519999999999999</v>
          </cell>
          <cell r="G299">
            <v>2625.393</v>
          </cell>
          <cell r="H299">
            <v>-5.5019999999999998</v>
          </cell>
        </row>
        <row r="300">
          <cell r="C300">
            <v>1468.4079999999999</v>
          </cell>
          <cell r="D300">
            <v>1.55</v>
          </cell>
          <cell r="G300">
            <v>2633.6260000000002</v>
          </cell>
          <cell r="H300">
            <v>-5.5449999999999999</v>
          </cell>
        </row>
        <row r="301">
          <cell r="C301">
            <v>1481.29</v>
          </cell>
          <cell r="D301">
            <v>1.5580000000000001</v>
          </cell>
          <cell r="G301">
            <v>2638.9430000000002</v>
          </cell>
          <cell r="H301">
            <v>-5.6769999999999996</v>
          </cell>
        </row>
        <row r="302">
          <cell r="C302">
            <v>1493.1010000000001</v>
          </cell>
          <cell r="D302">
            <v>1.494</v>
          </cell>
          <cell r="G302">
            <v>2644.0010000000002</v>
          </cell>
          <cell r="H302">
            <v>-5.7480000000000002</v>
          </cell>
        </row>
        <row r="303">
          <cell r="C303">
            <v>1501.595</v>
          </cell>
          <cell r="D303">
            <v>1.254</v>
          </cell>
          <cell r="G303">
            <v>2647.6930000000002</v>
          </cell>
          <cell r="H303">
            <v>-5.7359999999999998</v>
          </cell>
        </row>
        <row r="304">
          <cell r="C304">
            <v>1509.19</v>
          </cell>
          <cell r="D304">
            <v>0.98899999999999999</v>
          </cell>
          <cell r="G304">
            <v>2653.393</v>
          </cell>
          <cell r="H304">
            <v>-5.5739999999999998</v>
          </cell>
        </row>
        <row r="305">
          <cell r="C305">
            <v>1514.712</v>
          </cell>
          <cell r="D305">
            <v>0.53800000000000003</v>
          </cell>
          <cell r="G305">
            <v>2659.3969999999999</v>
          </cell>
          <cell r="H305">
            <v>-5.6509999999999998</v>
          </cell>
        </row>
        <row r="306">
          <cell r="C306">
            <v>1522.087</v>
          </cell>
          <cell r="D306">
            <v>-0.187</v>
          </cell>
          <cell r="G306">
            <v>2663.768</v>
          </cell>
          <cell r="H306">
            <v>-5.64</v>
          </cell>
        </row>
        <row r="307">
          <cell r="C307">
            <v>1528.27</v>
          </cell>
          <cell r="D307">
            <v>-0.96699999999999997</v>
          </cell>
          <cell r="G307">
            <v>2671.9459999999999</v>
          </cell>
          <cell r="H307">
            <v>-5.6040000000000001</v>
          </cell>
        </row>
        <row r="308">
          <cell r="C308">
            <v>1534.454</v>
          </cell>
          <cell r="D308">
            <v>-1.8420000000000001</v>
          </cell>
          <cell r="G308">
            <v>2681.8470000000002</v>
          </cell>
          <cell r="H308">
            <v>-5.4980000000000002</v>
          </cell>
        </row>
        <row r="309">
          <cell r="C309">
            <v>1539.4269999999999</v>
          </cell>
          <cell r="D309">
            <v>-2.556</v>
          </cell>
          <cell r="G309">
            <v>2691.74</v>
          </cell>
          <cell r="H309">
            <v>-5.5839999999999996</v>
          </cell>
        </row>
        <row r="310">
          <cell r="C310">
            <v>1544.3579999999999</v>
          </cell>
          <cell r="D310">
            <v>-3.1389999999999998</v>
          </cell>
          <cell r="G310">
            <v>2695.5889999999999</v>
          </cell>
          <cell r="H310">
            <v>-5.5449999999999999</v>
          </cell>
        </row>
        <row r="311">
          <cell r="C311">
            <v>1547.8889999999999</v>
          </cell>
          <cell r="D311">
            <v>-3.5990000000000002</v>
          </cell>
          <cell r="G311">
            <v>2704.89</v>
          </cell>
          <cell r="H311">
            <v>-5.5129999999999999</v>
          </cell>
        </row>
        <row r="312">
          <cell r="C312">
            <v>1550.1569999999999</v>
          </cell>
          <cell r="D312">
            <v>-3.9009999999999998</v>
          </cell>
          <cell r="G312">
            <v>2712.39</v>
          </cell>
          <cell r="H312">
            <v>-5.5730000000000004</v>
          </cell>
        </row>
        <row r="313">
          <cell r="C313">
            <v>1552.424</v>
          </cell>
          <cell r="D313">
            <v>-4.2110000000000003</v>
          </cell>
          <cell r="G313">
            <v>2715.424</v>
          </cell>
          <cell r="H313">
            <v>-5.6029999999999998</v>
          </cell>
        </row>
        <row r="314">
          <cell r="C314">
            <v>1554.9480000000001</v>
          </cell>
          <cell r="D314">
            <v>-4.5449999999999999</v>
          </cell>
          <cell r="G314">
            <v>2719.98</v>
          </cell>
          <cell r="H314">
            <v>-5.6870000000000003</v>
          </cell>
        </row>
        <row r="315">
          <cell r="C315">
            <v>1556.952</v>
          </cell>
          <cell r="D315">
            <v>-4.78</v>
          </cell>
          <cell r="G315">
            <v>2723.116</v>
          </cell>
          <cell r="H315">
            <v>-5.702</v>
          </cell>
        </row>
        <row r="316">
          <cell r="C316">
            <v>1563.4880000000001</v>
          </cell>
          <cell r="D316">
            <v>-5.4089999999999998</v>
          </cell>
          <cell r="G316">
            <v>2727.7420000000002</v>
          </cell>
          <cell r="H316">
            <v>-5.7240000000000002</v>
          </cell>
        </row>
        <row r="317">
          <cell r="C317">
            <v>1566.2460000000001</v>
          </cell>
          <cell r="D317">
            <v>-5.6769999999999996</v>
          </cell>
          <cell r="G317">
            <v>2732.636</v>
          </cell>
          <cell r="H317">
            <v>-5.8040000000000003</v>
          </cell>
        </row>
        <row r="318">
          <cell r="C318">
            <v>1568.29</v>
          </cell>
          <cell r="D318">
            <v>-5.91</v>
          </cell>
          <cell r="G318">
            <v>2737.2130000000002</v>
          </cell>
          <cell r="H318">
            <v>-5.7690000000000001</v>
          </cell>
        </row>
        <row r="319">
          <cell r="C319">
            <v>1571.3630000000001</v>
          </cell>
          <cell r="D319">
            <v>-6.202</v>
          </cell>
          <cell r="G319">
            <v>2739.8649999999998</v>
          </cell>
          <cell r="H319">
            <v>-5.7629999999999999</v>
          </cell>
        </row>
        <row r="320">
          <cell r="C320">
            <v>1573.4870000000001</v>
          </cell>
          <cell r="D320">
            <v>-6.359</v>
          </cell>
          <cell r="G320">
            <v>2750.422</v>
          </cell>
          <cell r="H320">
            <v>-5.7569999999999997</v>
          </cell>
        </row>
        <row r="321">
          <cell r="C321">
            <v>1576.1</v>
          </cell>
          <cell r="D321">
            <v>-6.4859999999999998</v>
          </cell>
          <cell r="G321">
            <v>2767.4450000000002</v>
          </cell>
          <cell r="H321">
            <v>-5.5119999999999996</v>
          </cell>
        </row>
        <row r="322">
          <cell r="C322">
            <v>1580.6980000000001</v>
          </cell>
          <cell r="D322">
            <v>-6.7809999999999997</v>
          </cell>
          <cell r="G322">
            <v>2777.5329999999999</v>
          </cell>
          <cell r="H322">
            <v>-5.6559999999999997</v>
          </cell>
        </row>
        <row r="323">
          <cell r="C323">
            <v>1587.731</v>
          </cell>
          <cell r="D323">
            <v>-7.2089999999999996</v>
          </cell>
          <cell r="G323">
            <v>2795.1509999999998</v>
          </cell>
          <cell r="H323">
            <v>-5.649</v>
          </cell>
        </row>
        <row r="324">
          <cell r="C324">
            <v>1588.4369999999999</v>
          </cell>
          <cell r="D324">
            <v>-7.2489999999999997</v>
          </cell>
          <cell r="G324">
            <v>2800.4340000000002</v>
          </cell>
          <cell r="H324">
            <v>-5.6859999999999999</v>
          </cell>
        </row>
        <row r="325">
          <cell r="C325">
            <v>1591.154</v>
          </cell>
          <cell r="D325">
            <v>-7.4260000000000002</v>
          </cell>
          <cell r="G325">
            <v>2803.2809999999999</v>
          </cell>
          <cell r="H325">
            <v>-5.702</v>
          </cell>
        </row>
        <row r="326">
          <cell r="C326">
            <v>1593.1389999999999</v>
          </cell>
          <cell r="D326">
            <v>-7.5730000000000004</v>
          </cell>
          <cell r="G326">
            <v>2814.4079999999999</v>
          </cell>
          <cell r="H326">
            <v>-5.6909999999999998</v>
          </cell>
        </row>
        <row r="327">
          <cell r="C327">
            <v>1594.9960000000001</v>
          </cell>
          <cell r="D327">
            <v>-7.6689999999999996</v>
          </cell>
          <cell r="G327">
            <v>2829.3409999999999</v>
          </cell>
          <cell r="H327">
            <v>-5.5579999999999998</v>
          </cell>
        </row>
        <row r="328">
          <cell r="C328">
            <v>1596.925</v>
          </cell>
          <cell r="D328">
            <v>-7.6660000000000004</v>
          </cell>
          <cell r="G328">
            <v>2844.0639999999999</v>
          </cell>
          <cell r="H328">
            <v>-5.6260000000000003</v>
          </cell>
        </row>
        <row r="329">
          <cell r="C329">
            <v>1599.74</v>
          </cell>
          <cell r="D329">
            <v>-7.7949999999999999</v>
          </cell>
          <cell r="G329">
            <v>2858.808</v>
          </cell>
          <cell r="H329">
            <v>-5.6369999999999996</v>
          </cell>
        </row>
        <row r="330">
          <cell r="C330">
            <v>1602.403</v>
          </cell>
          <cell r="D330">
            <v>-7.9790000000000001</v>
          </cell>
          <cell r="G330">
            <v>2866.2950000000001</v>
          </cell>
          <cell r="H330">
            <v>-5.5119999999999996</v>
          </cell>
        </row>
        <row r="331">
          <cell r="C331">
            <v>1604.45</v>
          </cell>
          <cell r="D331">
            <v>-8.0229999999999997</v>
          </cell>
          <cell r="G331">
            <v>2876.0079999999998</v>
          </cell>
          <cell r="H331">
            <v>-5.2309999999999999</v>
          </cell>
        </row>
        <row r="332">
          <cell r="C332">
            <v>1606.4670000000001</v>
          </cell>
          <cell r="D332">
            <v>-8.0939999999999994</v>
          </cell>
          <cell r="G332">
            <v>2883.7559999999999</v>
          </cell>
          <cell r="H332">
            <v>-5.3360000000000003</v>
          </cell>
        </row>
        <row r="333">
          <cell r="C333">
            <v>1608.6880000000001</v>
          </cell>
          <cell r="D333">
            <v>-8.0549999999999997</v>
          </cell>
          <cell r="G333">
            <v>2895.835</v>
          </cell>
          <cell r="H333">
            <v>-5.36</v>
          </cell>
        </row>
        <row r="334">
          <cell r="C334">
            <v>1614.903</v>
          </cell>
          <cell r="D334">
            <v>-8.1460000000000008</v>
          </cell>
          <cell r="G334">
            <v>2908.6689999999999</v>
          </cell>
          <cell r="H334">
            <v>-5.51</v>
          </cell>
        </row>
        <row r="335">
          <cell r="C335">
            <v>1622.221</v>
          </cell>
          <cell r="D335">
            <v>-8.1300000000000008</v>
          </cell>
          <cell r="G335">
            <v>2919.8719999999998</v>
          </cell>
          <cell r="H335">
            <v>-5.5190000000000001</v>
          </cell>
        </row>
        <row r="336">
          <cell r="C336">
            <v>1624.0630000000001</v>
          </cell>
          <cell r="D336">
            <v>-8.09</v>
          </cell>
          <cell r="G336">
            <v>2940.0479999999998</v>
          </cell>
          <cell r="H336">
            <v>-5.2750000000000004</v>
          </cell>
        </row>
        <row r="337">
          <cell r="C337">
            <v>1626.797</v>
          </cell>
          <cell r="D337">
            <v>-7.891</v>
          </cell>
          <cell r="G337">
            <v>2946.422</v>
          </cell>
          <cell r="H337">
            <v>-5.2729999999999997</v>
          </cell>
        </row>
        <row r="338">
          <cell r="C338">
            <v>1633.499</v>
          </cell>
          <cell r="D338">
            <v>-7.5140000000000002</v>
          </cell>
          <cell r="G338">
            <v>2955.3440000000001</v>
          </cell>
          <cell r="H338">
            <v>-5.3920000000000003</v>
          </cell>
        </row>
        <row r="339">
          <cell r="C339">
            <v>1639.008</v>
          </cell>
          <cell r="D339">
            <v>-7.0330000000000004</v>
          </cell>
          <cell r="G339">
            <v>2958.8249999999998</v>
          </cell>
          <cell r="H339">
            <v>-5.5049999999999999</v>
          </cell>
        </row>
        <row r="340">
          <cell r="C340">
            <v>1645.029</v>
          </cell>
          <cell r="D340">
            <v>-6.4809999999999999</v>
          </cell>
          <cell r="G340">
            <v>2964.7779999999998</v>
          </cell>
          <cell r="H340">
            <v>-5.5670000000000002</v>
          </cell>
        </row>
        <row r="341">
          <cell r="C341">
            <v>1650.8240000000001</v>
          </cell>
          <cell r="D341">
            <v>-6.0339999999999998</v>
          </cell>
          <cell r="G341">
            <v>2968.5790000000002</v>
          </cell>
          <cell r="H341">
            <v>-5.6070000000000002</v>
          </cell>
        </row>
        <row r="342">
          <cell r="C342">
            <v>1656.692</v>
          </cell>
          <cell r="D342">
            <v>-5.3719999999999999</v>
          </cell>
          <cell r="G342">
            <v>2976.1990000000001</v>
          </cell>
          <cell r="H342">
            <v>-5.5780000000000003</v>
          </cell>
        </row>
        <row r="343">
          <cell r="C343">
            <v>1662.6489999999999</v>
          </cell>
          <cell r="D343">
            <v>-4.8680000000000003</v>
          </cell>
          <cell r="G343">
            <v>2982.6060000000002</v>
          </cell>
          <cell r="H343">
            <v>-5.6349999999999998</v>
          </cell>
        </row>
        <row r="344">
          <cell r="C344">
            <v>1667.8969999999999</v>
          </cell>
          <cell r="D344">
            <v>-4.37</v>
          </cell>
          <cell r="G344">
            <v>2987.982</v>
          </cell>
          <cell r="H344">
            <v>-5.5270000000000001</v>
          </cell>
        </row>
        <row r="345">
          <cell r="C345">
            <v>1674.36</v>
          </cell>
          <cell r="D345">
            <v>-3.798</v>
          </cell>
          <cell r="G345">
            <v>2995.9389999999999</v>
          </cell>
          <cell r="H345">
            <v>-5.4020000000000001</v>
          </cell>
        </row>
        <row r="346">
          <cell r="C346">
            <v>1680.386</v>
          </cell>
          <cell r="D346">
            <v>-3.2639999999999998</v>
          </cell>
          <cell r="G346">
            <v>3002.3069999999998</v>
          </cell>
          <cell r="H346">
            <v>-5.4909999999999997</v>
          </cell>
        </row>
        <row r="347">
          <cell r="C347">
            <v>1685.338</v>
          </cell>
          <cell r="D347">
            <v>-2.7759999999999998</v>
          </cell>
          <cell r="G347">
            <v>3007.6469999999999</v>
          </cell>
          <cell r="H347">
            <v>-5.508</v>
          </cell>
        </row>
        <row r="348">
          <cell r="C348">
            <v>1694.538</v>
          </cell>
          <cell r="D348">
            <v>-2.0139999999999998</v>
          </cell>
          <cell r="G348">
            <v>3011.5459999999998</v>
          </cell>
          <cell r="H348">
            <v>-5.5250000000000004</v>
          </cell>
        </row>
        <row r="349">
          <cell r="C349">
            <v>1703.2840000000001</v>
          </cell>
          <cell r="D349">
            <v>-1.2529999999999999</v>
          </cell>
          <cell r="G349">
            <v>3014.8069999999998</v>
          </cell>
          <cell r="H349">
            <v>-5.5250000000000004</v>
          </cell>
        </row>
        <row r="350">
          <cell r="C350">
            <v>1713.3789999999999</v>
          </cell>
          <cell r="D350">
            <v>-0.41599999999999998</v>
          </cell>
          <cell r="G350">
            <v>3019.2370000000001</v>
          </cell>
          <cell r="H350">
            <v>-5.5170000000000003</v>
          </cell>
        </row>
        <row r="351">
          <cell r="C351">
            <v>1722.0519999999999</v>
          </cell>
          <cell r="D351">
            <v>0.3</v>
          </cell>
          <cell r="G351">
            <v>3022.6759999999999</v>
          </cell>
          <cell r="H351">
            <v>-5.5389999999999997</v>
          </cell>
        </row>
        <row r="352">
          <cell r="C352">
            <v>1730.627</v>
          </cell>
          <cell r="D352">
            <v>1.0569999999999999</v>
          </cell>
          <cell r="G352">
            <v>3026.8919999999998</v>
          </cell>
          <cell r="H352">
            <v>-5.4960000000000004</v>
          </cell>
        </row>
        <row r="353">
          <cell r="C353">
            <v>1739.0239999999999</v>
          </cell>
          <cell r="D353">
            <v>1.522</v>
          </cell>
          <cell r="G353">
            <v>3034.2779999999998</v>
          </cell>
          <cell r="H353">
            <v>-5.52</v>
          </cell>
        </row>
        <row r="354">
          <cell r="C354">
            <v>1744.6130000000001</v>
          </cell>
          <cell r="D354">
            <v>1.873</v>
          </cell>
          <cell r="G354">
            <v>3042.2860000000001</v>
          </cell>
          <cell r="H354">
            <v>-5.4169999999999998</v>
          </cell>
        </row>
        <row r="355">
          <cell r="C355">
            <v>1747.9670000000001</v>
          </cell>
          <cell r="D355">
            <v>2.0089999999999999</v>
          </cell>
          <cell r="G355">
            <v>3053.0740000000001</v>
          </cell>
          <cell r="H355">
            <v>-5.5090000000000003</v>
          </cell>
        </row>
        <row r="356">
          <cell r="C356">
            <v>1751.8320000000001</v>
          </cell>
          <cell r="D356">
            <v>2.1709999999999998</v>
          </cell>
          <cell r="G356">
            <v>3058.0709999999999</v>
          </cell>
          <cell r="H356">
            <v>-5.4450000000000003</v>
          </cell>
        </row>
        <row r="357">
          <cell r="C357">
            <v>1756.768</v>
          </cell>
          <cell r="D357">
            <v>2.3559999999999999</v>
          </cell>
          <cell r="G357">
            <v>3061.703</v>
          </cell>
          <cell r="H357">
            <v>-5.4930000000000003</v>
          </cell>
        </row>
        <row r="358">
          <cell r="C358">
            <v>1758.2370000000001</v>
          </cell>
          <cell r="D358">
            <v>2.3809999999999998</v>
          </cell>
          <cell r="G358">
            <v>3067.6060000000002</v>
          </cell>
          <cell r="H358">
            <v>-5.452</v>
          </cell>
        </row>
        <row r="359">
          <cell r="C359">
            <v>1766.9</v>
          </cell>
          <cell r="D359">
            <v>2.5659999999999998</v>
          </cell>
          <cell r="G359">
            <v>3074.748</v>
          </cell>
          <cell r="H359">
            <v>-5.5359999999999996</v>
          </cell>
        </row>
        <row r="360">
          <cell r="C360">
            <v>1775.232</v>
          </cell>
          <cell r="D360">
            <v>2.6019999999999999</v>
          </cell>
          <cell r="G360">
            <v>3079.4769999999999</v>
          </cell>
          <cell r="H360">
            <v>-5.5069999999999997</v>
          </cell>
        </row>
        <row r="361">
          <cell r="C361">
            <v>1777.6479999999999</v>
          </cell>
          <cell r="D361">
            <v>2.57</v>
          </cell>
          <cell r="G361">
            <v>3084.2150000000001</v>
          </cell>
          <cell r="H361">
            <v>-5.5780000000000003</v>
          </cell>
        </row>
        <row r="362">
          <cell r="C362">
            <v>1783.9749999999999</v>
          </cell>
          <cell r="D362">
            <v>2.4329999999999998</v>
          </cell>
          <cell r="G362">
            <v>3087.893</v>
          </cell>
          <cell r="H362">
            <v>-5.5709999999999997</v>
          </cell>
        </row>
        <row r="363">
          <cell r="C363">
            <v>1788.3330000000001</v>
          </cell>
          <cell r="D363">
            <v>2.3650000000000002</v>
          </cell>
          <cell r="G363">
            <v>3096.5149999999999</v>
          </cell>
          <cell r="H363">
            <v>-5.5860000000000003</v>
          </cell>
        </row>
        <row r="364">
          <cell r="C364">
            <v>1791.2170000000001</v>
          </cell>
          <cell r="D364">
            <v>2.2709999999999999</v>
          </cell>
          <cell r="G364">
            <v>3102.7150000000001</v>
          </cell>
          <cell r="H364">
            <v>-5.7069999999999999</v>
          </cell>
        </row>
        <row r="365">
          <cell r="C365">
            <v>1795.69</v>
          </cell>
          <cell r="D365">
            <v>2.0739999999999998</v>
          </cell>
          <cell r="G365">
            <v>3107.6260000000002</v>
          </cell>
          <cell r="H365">
            <v>-5.6529999999999996</v>
          </cell>
        </row>
        <row r="366">
          <cell r="C366">
            <v>1797.6279999999999</v>
          </cell>
          <cell r="D366">
            <v>1.9870000000000001</v>
          </cell>
          <cell r="G366">
            <v>3120.6210000000001</v>
          </cell>
          <cell r="H366">
            <v>-5.4379999999999997</v>
          </cell>
        </row>
        <row r="367">
          <cell r="C367">
            <v>1800.0129999999999</v>
          </cell>
          <cell r="D367">
            <v>1.845</v>
          </cell>
          <cell r="G367">
            <v>3124.317</v>
          </cell>
          <cell r="H367">
            <v>-5.3869999999999996</v>
          </cell>
        </row>
        <row r="368">
          <cell r="C368">
            <v>1803.1849999999999</v>
          </cell>
          <cell r="D368">
            <v>1.657</v>
          </cell>
          <cell r="G368">
            <v>3135.7510000000002</v>
          </cell>
          <cell r="H368">
            <v>-5.3049999999999997</v>
          </cell>
        </row>
        <row r="369">
          <cell r="C369">
            <v>1809.383</v>
          </cell>
          <cell r="D369">
            <v>1.2410000000000001</v>
          </cell>
          <cell r="G369">
            <v>3145.3580000000002</v>
          </cell>
          <cell r="H369">
            <v>-5.3949999999999996</v>
          </cell>
        </row>
        <row r="370">
          <cell r="C370">
            <v>1814.877</v>
          </cell>
          <cell r="D370">
            <v>0.876</v>
          </cell>
          <cell r="G370">
            <v>3161.587</v>
          </cell>
          <cell r="H370">
            <v>-5.4550000000000001</v>
          </cell>
        </row>
        <row r="371">
          <cell r="C371">
            <v>1816.865</v>
          </cell>
          <cell r="D371">
            <v>0.77600000000000002</v>
          </cell>
          <cell r="G371">
            <v>3174.0039999999999</v>
          </cell>
          <cell r="H371">
            <v>-5.49</v>
          </cell>
        </row>
        <row r="372">
          <cell r="C372">
            <v>1820.3240000000001</v>
          </cell>
          <cell r="D372">
            <v>0.61899999999999999</v>
          </cell>
          <cell r="G372">
            <v>3185.38</v>
          </cell>
          <cell r="H372">
            <v>-5.5309999999999997</v>
          </cell>
        </row>
        <row r="373">
          <cell r="C373">
            <v>1823.0509999999999</v>
          </cell>
          <cell r="D373">
            <v>0.44400000000000001</v>
          </cell>
          <cell r="G373">
            <v>3202.4780000000001</v>
          </cell>
          <cell r="H373">
            <v>-5.3380000000000001</v>
          </cell>
        </row>
        <row r="374">
          <cell r="C374">
            <v>1826.67</v>
          </cell>
          <cell r="D374">
            <v>0.28100000000000003</v>
          </cell>
          <cell r="G374">
            <v>3217.5059999999999</v>
          </cell>
          <cell r="H374">
            <v>-5.2640000000000002</v>
          </cell>
        </row>
        <row r="375">
          <cell r="C375">
            <v>1828.0350000000001</v>
          </cell>
          <cell r="D375">
            <v>0.25700000000000001</v>
          </cell>
          <cell r="G375">
            <v>3238.9</v>
          </cell>
          <cell r="H375">
            <v>-5.125</v>
          </cell>
        </row>
        <row r="376">
          <cell r="C376">
            <v>1833.1969999999999</v>
          </cell>
          <cell r="D376">
            <v>-0.17799999999999999</v>
          </cell>
          <cell r="G376">
            <v>3244.748</v>
          </cell>
          <cell r="H376">
            <v>-5.1680000000000001</v>
          </cell>
        </row>
        <row r="377">
          <cell r="C377">
            <v>1836.298</v>
          </cell>
          <cell r="D377">
            <v>-0.13</v>
          </cell>
          <cell r="G377">
            <v>3250.2089999999998</v>
          </cell>
          <cell r="H377">
            <v>-5.2279999999999998</v>
          </cell>
        </row>
        <row r="378">
          <cell r="C378">
            <v>1838.6569999999999</v>
          </cell>
          <cell r="D378">
            <v>0.104</v>
          </cell>
          <cell r="G378">
            <v>3252.846</v>
          </cell>
          <cell r="H378">
            <v>-5.2050000000000001</v>
          </cell>
        </row>
        <row r="379">
          <cell r="C379">
            <v>1842.008</v>
          </cell>
          <cell r="D379">
            <v>0.14699999999999999</v>
          </cell>
          <cell r="G379">
            <v>3259.1529999999998</v>
          </cell>
          <cell r="H379">
            <v>-5.444</v>
          </cell>
        </row>
        <row r="380">
          <cell r="C380">
            <v>1847.9169999999999</v>
          </cell>
          <cell r="D380">
            <v>-0.28899999999999998</v>
          </cell>
          <cell r="G380">
            <v>3265.866</v>
          </cell>
          <cell r="H380">
            <v>-5.4329999999999998</v>
          </cell>
        </row>
        <row r="381">
          <cell r="C381">
            <v>1857.443</v>
          </cell>
          <cell r="D381">
            <v>-0.78800000000000003</v>
          </cell>
          <cell r="G381">
            <v>3272.183</v>
          </cell>
          <cell r="H381">
            <v>-5.3810000000000002</v>
          </cell>
        </row>
        <row r="382">
          <cell r="C382">
            <v>1867.444</v>
          </cell>
          <cell r="D382">
            <v>-1.5389999999999999</v>
          </cell>
          <cell r="G382">
            <v>3297.1309999999999</v>
          </cell>
          <cell r="H382">
            <v>-5.3789999999999996</v>
          </cell>
        </row>
        <row r="383">
          <cell r="C383">
            <v>1875.655</v>
          </cell>
          <cell r="D383">
            <v>-2.1110000000000002</v>
          </cell>
          <cell r="G383">
            <v>3301.1469999999999</v>
          </cell>
          <cell r="H383">
            <v>-5.2510000000000003</v>
          </cell>
        </row>
        <row r="384">
          <cell r="C384">
            <v>1881.579</v>
          </cell>
          <cell r="D384">
            <v>-2.5630000000000002</v>
          </cell>
          <cell r="G384">
            <v>3303.2150000000001</v>
          </cell>
          <cell r="H384">
            <v>-5.2510000000000003</v>
          </cell>
        </row>
        <row r="385">
          <cell r="C385">
            <v>1890.019</v>
          </cell>
          <cell r="D385">
            <v>-3.0249999999999999</v>
          </cell>
          <cell r="G385">
            <v>3310.6990000000001</v>
          </cell>
          <cell r="H385">
            <v>-5.2859999999999996</v>
          </cell>
        </row>
        <row r="386">
          <cell r="C386">
            <v>1899.4739999999999</v>
          </cell>
          <cell r="D386">
            <v>-3.41</v>
          </cell>
          <cell r="G386">
            <v>3318.7829999999999</v>
          </cell>
          <cell r="H386">
            <v>-5.3390000000000004</v>
          </cell>
        </row>
        <row r="387">
          <cell r="C387">
            <v>1909.6279999999999</v>
          </cell>
          <cell r="D387">
            <v>-3.6469999999999998</v>
          </cell>
          <cell r="G387">
            <v>3337.8490000000002</v>
          </cell>
          <cell r="H387">
            <v>-5.25</v>
          </cell>
        </row>
        <row r="388">
          <cell r="C388">
            <v>1919.096</v>
          </cell>
          <cell r="D388">
            <v>-3.62</v>
          </cell>
          <cell r="G388">
            <v>3344.7350000000001</v>
          </cell>
          <cell r="H388">
            <v>-5.5339999999999998</v>
          </cell>
        </row>
        <row r="389">
          <cell r="C389">
            <v>1927.8430000000001</v>
          </cell>
          <cell r="D389">
            <v>-3.323</v>
          </cell>
          <cell r="G389">
            <v>3353.3409999999999</v>
          </cell>
          <cell r="H389">
            <v>-5.8840000000000003</v>
          </cell>
        </row>
        <row r="390">
          <cell r="C390">
            <v>1934.5309999999999</v>
          </cell>
          <cell r="D390">
            <v>-2.8239999999999998</v>
          </cell>
          <cell r="G390">
            <v>3366.7020000000002</v>
          </cell>
          <cell r="H390">
            <v>-5.7960000000000003</v>
          </cell>
        </row>
        <row r="391">
          <cell r="C391">
            <v>1941.5429999999999</v>
          </cell>
          <cell r="D391">
            <v>-2.0939999999999999</v>
          </cell>
          <cell r="G391">
            <v>3381.2579999999998</v>
          </cell>
          <cell r="H391">
            <v>-5.7190000000000003</v>
          </cell>
        </row>
        <row r="392">
          <cell r="C392">
            <v>1947.518</v>
          </cell>
          <cell r="D392">
            <v>-1.4079999999999999</v>
          </cell>
          <cell r="G392">
            <v>3395.3789999999999</v>
          </cell>
          <cell r="H392">
            <v>-5.7510000000000003</v>
          </cell>
        </row>
        <row r="393">
          <cell r="C393">
            <v>1954.152</v>
          </cell>
          <cell r="D393">
            <v>-0.307</v>
          </cell>
          <cell r="G393">
            <v>3409.2820000000002</v>
          </cell>
          <cell r="H393">
            <v>-5.9329999999999998</v>
          </cell>
        </row>
        <row r="394">
          <cell r="C394">
            <v>1966.269</v>
          </cell>
          <cell r="D394">
            <v>2.2050000000000001</v>
          </cell>
          <cell r="G394">
            <v>3424.1990000000001</v>
          </cell>
          <cell r="H394">
            <v>-5.7279999999999998</v>
          </cell>
        </row>
        <row r="395">
          <cell r="C395">
            <v>1973.857</v>
          </cell>
          <cell r="D395">
            <v>4.1630000000000003</v>
          </cell>
          <cell r="G395">
            <v>3439.8850000000002</v>
          </cell>
          <cell r="H395">
            <v>-5.6429999999999998</v>
          </cell>
        </row>
        <row r="396">
          <cell r="C396">
            <v>1984.8209999999999</v>
          </cell>
          <cell r="D396">
            <v>7.3239999999999998</v>
          </cell>
          <cell r="G396">
            <v>3462.3</v>
          </cell>
          <cell r="H396">
            <v>-5.6340000000000003</v>
          </cell>
        </row>
        <row r="397">
          <cell r="C397">
            <v>1992.6559999999999</v>
          </cell>
          <cell r="D397">
            <v>9.8149999999999995</v>
          </cell>
          <cell r="G397">
            <v>3479.2109999999998</v>
          </cell>
          <cell r="H397">
            <v>-5.63</v>
          </cell>
        </row>
        <row r="398">
          <cell r="C398">
            <v>1996.596</v>
          </cell>
          <cell r="D398">
            <v>10.95</v>
          </cell>
          <cell r="G398">
            <v>3497.9659999999999</v>
          </cell>
          <cell r="H398">
            <v>-5.4260000000000002</v>
          </cell>
        </row>
        <row r="399">
          <cell r="C399">
            <v>2001.4949999999999</v>
          </cell>
          <cell r="D399">
            <v>12.327999999999999</v>
          </cell>
          <cell r="G399">
            <v>3519.982</v>
          </cell>
          <cell r="H399">
            <v>-5.3090000000000002</v>
          </cell>
        </row>
        <row r="400">
          <cell r="C400">
            <v>2005.0609999999999</v>
          </cell>
          <cell r="D400">
            <v>13.281000000000001</v>
          </cell>
          <cell r="G400">
            <v>3538.12</v>
          </cell>
          <cell r="H400">
            <v>-5.3789999999999996</v>
          </cell>
        </row>
        <row r="401">
          <cell r="C401">
            <v>2008.5250000000001</v>
          </cell>
          <cell r="D401">
            <v>13.961</v>
          </cell>
          <cell r="G401">
            <v>3557.1889999999999</v>
          </cell>
          <cell r="H401">
            <v>-5.16</v>
          </cell>
        </row>
        <row r="402">
          <cell r="C402">
            <v>2011.1420000000001</v>
          </cell>
          <cell r="D402">
            <v>14.702999999999999</v>
          </cell>
          <cell r="G402">
            <v>3574.509</v>
          </cell>
          <cell r="H402">
            <v>-5.282</v>
          </cell>
        </row>
        <row r="403">
          <cell r="C403">
            <v>2012.5740000000001</v>
          </cell>
          <cell r="D403">
            <v>15.044</v>
          </cell>
          <cell r="G403">
            <v>3585.5169999999998</v>
          </cell>
          <cell r="H403">
            <v>-5.5910000000000002</v>
          </cell>
        </row>
        <row r="404">
          <cell r="C404">
            <v>2015.5060000000001</v>
          </cell>
          <cell r="D404">
            <v>15.497999999999999</v>
          </cell>
          <cell r="G404">
            <v>3589.4609999999998</v>
          </cell>
          <cell r="H404">
            <v>-5.6879999999999997</v>
          </cell>
        </row>
        <row r="405">
          <cell r="C405">
            <v>2022.348</v>
          </cell>
          <cell r="D405">
            <v>16.712</v>
          </cell>
          <cell r="G405">
            <v>3596.2460000000001</v>
          </cell>
          <cell r="H405">
            <v>-5.8529999999999998</v>
          </cell>
        </row>
        <row r="406">
          <cell r="C406">
            <v>2024.8789999999999</v>
          </cell>
          <cell r="D406">
            <v>17.033999999999999</v>
          </cell>
          <cell r="G406">
            <v>3602.9580000000001</v>
          </cell>
          <cell r="H406">
            <v>-5.9039999999999999</v>
          </cell>
        </row>
        <row r="407">
          <cell r="C407">
            <v>2028.6510000000001</v>
          </cell>
          <cell r="D407">
            <v>17.376999999999999</v>
          </cell>
          <cell r="G407">
            <v>3608.915</v>
          </cell>
          <cell r="H407">
            <v>-6.0229999999999997</v>
          </cell>
        </row>
        <row r="408">
          <cell r="C408">
            <v>2032.2850000000001</v>
          </cell>
          <cell r="D408">
            <v>17.695</v>
          </cell>
          <cell r="G408">
            <v>3616.489</v>
          </cell>
          <cell r="H408">
            <v>-5.9779999999999998</v>
          </cell>
        </row>
        <row r="409">
          <cell r="C409">
            <v>2034.8389999999999</v>
          </cell>
          <cell r="D409">
            <v>17.963000000000001</v>
          </cell>
          <cell r="G409">
            <v>3630.223</v>
          </cell>
          <cell r="H409">
            <v>-5.83</v>
          </cell>
        </row>
        <row r="410">
          <cell r="C410">
            <v>2038.8489999999999</v>
          </cell>
          <cell r="D410">
            <v>18.213999999999999</v>
          </cell>
          <cell r="G410">
            <v>3652.0390000000002</v>
          </cell>
          <cell r="H410">
            <v>-5.4779999999999998</v>
          </cell>
        </row>
        <row r="411">
          <cell r="C411">
            <v>2042.8340000000001</v>
          </cell>
          <cell r="D411">
            <v>18.411000000000001</v>
          </cell>
          <cell r="G411">
            <v>3672.85</v>
          </cell>
          <cell r="H411">
            <v>-5.274</v>
          </cell>
        </row>
        <row r="412">
          <cell r="C412">
            <v>2046.239</v>
          </cell>
          <cell r="D412">
            <v>18.631</v>
          </cell>
          <cell r="G412">
            <v>3694.627</v>
          </cell>
          <cell r="H412">
            <v>-5.35</v>
          </cell>
        </row>
        <row r="413">
          <cell r="C413">
            <v>2053.0920000000001</v>
          </cell>
          <cell r="D413">
            <v>18.792000000000002</v>
          </cell>
          <cell r="G413">
            <v>3714.232</v>
          </cell>
          <cell r="H413">
            <v>-5.423</v>
          </cell>
        </row>
        <row r="414">
          <cell r="C414">
            <v>2059.8980000000001</v>
          </cell>
          <cell r="D414">
            <v>18.68</v>
          </cell>
          <cell r="G414">
            <v>3734.9879999999998</v>
          </cell>
          <cell r="H414">
            <v>-5.2089999999999996</v>
          </cell>
        </row>
        <row r="415">
          <cell r="C415">
            <v>2065.1759999999999</v>
          </cell>
          <cell r="D415">
            <v>18.553000000000001</v>
          </cell>
          <cell r="G415">
            <v>3755.4920000000002</v>
          </cell>
          <cell r="H415">
            <v>-5.1740000000000004</v>
          </cell>
        </row>
        <row r="416">
          <cell r="C416">
            <v>2077.1080000000002</v>
          </cell>
          <cell r="D416">
            <v>17.071000000000002</v>
          </cell>
          <cell r="G416">
            <v>3768.6309999999999</v>
          </cell>
          <cell r="H416">
            <v>-5.0350000000000001</v>
          </cell>
        </row>
        <row r="417">
          <cell r="C417">
            <v>2078.8159999999998</v>
          </cell>
          <cell r="D417">
            <v>16.745000000000001</v>
          </cell>
          <cell r="G417">
            <v>3776.5279999999998</v>
          </cell>
          <cell r="H417">
            <v>-4.9480000000000004</v>
          </cell>
        </row>
        <row r="418">
          <cell r="C418">
            <v>2081.6970000000001</v>
          </cell>
          <cell r="D418">
            <v>16.225999999999999</v>
          </cell>
          <cell r="G418">
            <v>3782.0920000000001</v>
          </cell>
          <cell r="H418">
            <v>-4.9260000000000002</v>
          </cell>
        </row>
        <row r="419">
          <cell r="C419">
            <v>2085.2750000000001</v>
          </cell>
          <cell r="D419">
            <v>15.629</v>
          </cell>
          <cell r="G419">
            <v>3788.0360000000001</v>
          </cell>
          <cell r="H419">
            <v>-4.9969999999999999</v>
          </cell>
        </row>
        <row r="420">
          <cell r="C420">
            <v>2088.0529999999999</v>
          </cell>
          <cell r="D420">
            <v>15.103</v>
          </cell>
          <cell r="G420">
            <v>3794.0390000000002</v>
          </cell>
          <cell r="H420">
            <v>-4.9630000000000001</v>
          </cell>
        </row>
        <row r="421">
          <cell r="C421">
            <v>2090.5340000000001</v>
          </cell>
          <cell r="D421">
            <v>14.56</v>
          </cell>
          <cell r="G421">
            <v>3803.069</v>
          </cell>
          <cell r="H421">
            <v>-5.07</v>
          </cell>
        </row>
        <row r="422">
          <cell r="C422">
            <v>2093.873</v>
          </cell>
          <cell r="D422">
            <v>13.911</v>
          </cell>
          <cell r="G422">
            <v>3816.6149999999998</v>
          </cell>
          <cell r="H422">
            <v>-5.0430000000000001</v>
          </cell>
        </row>
        <row r="423">
          <cell r="C423">
            <v>2096.4299999999998</v>
          </cell>
          <cell r="D423">
            <v>13.379</v>
          </cell>
          <cell r="G423">
            <v>3821.7159999999999</v>
          </cell>
          <cell r="H423">
            <v>-4.9820000000000002</v>
          </cell>
        </row>
        <row r="424">
          <cell r="C424">
            <v>2098.9050000000002</v>
          </cell>
          <cell r="D424">
            <v>12.813000000000001</v>
          </cell>
          <cell r="G424">
            <v>3824.3719999999998</v>
          </cell>
          <cell r="H424">
            <v>-4.96</v>
          </cell>
        </row>
        <row r="425">
          <cell r="C425">
            <v>2101.5140000000001</v>
          </cell>
          <cell r="D425">
            <v>12.212999999999999</v>
          </cell>
          <cell r="G425">
            <v>3830.518</v>
          </cell>
          <cell r="H425">
            <v>-5.0780000000000003</v>
          </cell>
        </row>
        <row r="426">
          <cell r="C426">
            <v>2105.0059999999999</v>
          </cell>
          <cell r="D426">
            <v>11.231999999999999</v>
          </cell>
          <cell r="G426">
            <v>3838.1610000000001</v>
          </cell>
          <cell r="H426">
            <v>-5.1130000000000004</v>
          </cell>
        </row>
        <row r="427">
          <cell r="C427">
            <v>2111.2779999999998</v>
          </cell>
          <cell r="D427">
            <v>9.7669999999999995</v>
          </cell>
          <cell r="G427">
            <v>3847.665</v>
          </cell>
          <cell r="H427">
            <v>-5.048</v>
          </cell>
        </row>
        <row r="428">
          <cell r="C428">
            <v>2118.4369999999999</v>
          </cell>
          <cell r="D428">
            <v>8.2430000000000003</v>
          </cell>
          <cell r="G428">
            <v>3858.3180000000002</v>
          </cell>
          <cell r="H428">
            <v>-5.2309999999999999</v>
          </cell>
        </row>
        <row r="429">
          <cell r="C429">
            <v>2124.692</v>
          </cell>
          <cell r="D429">
            <v>7.0910000000000002</v>
          </cell>
          <cell r="G429">
            <v>3870.502</v>
          </cell>
          <cell r="H429">
            <v>-5.4729999999999999</v>
          </cell>
        </row>
        <row r="430">
          <cell r="C430">
            <v>2133.2280000000001</v>
          </cell>
          <cell r="D430">
            <v>5.8540000000000001</v>
          </cell>
          <cell r="G430">
            <v>3878.0439999999999</v>
          </cell>
          <cell r="H430">
            <v>-5.41</v>
          </cell>
        </row>
        <row r="431">
          <cell r="C431">
            <v>2137.442</v>
          </cell>
          <cell r="D431">
            <v>5.4160000000000004</v>
          </cell>
          <cell r="G431">
            <v>3885.9969999999998</v>
          </cell>
          <cell r="H431">
            <v>-5.4050000000000002</v>
          </cell>
        </row>
        <row r="432">
          <cell r="C432">
            <v>2141.9349999999999</v>
          </cell>
          <cell r="D432">
            <v>5.0330000000000004</v>
          </cell>
          <cell r="G432">
            <v>3892.1179999999999</v>
          </cell>
          <cell r="H432">
            <v>-5.4829999999999997</v>
          </cell>
        </row>
        <row r="433">
          <cell r="C433">
            <v>2145.5889999999999</v>
          </cell>
          <cell r="D433">
            <v>4.8860000000000001</v>
          </cell>
          <cell r="G433">
            <v>3902.5990000000002</v>
          </cell>
          <cell r="H433">
            <v>-5.5789999999999997</v>
          </cell>
        </row>
        <row r="434">
          <cell r="C434">
            <v>2149.8180000000002</v>
          </cell>
          <cell r="D434">
            <v>4.6840000000000002</v>
          </cell>
          <cell r="G434">
            <v>3912.0740000000001</v>
          </cell>
          <cell r="H434">
            <v>-5.74</v>
          </cell>
        </row>
        <row r="435">
          <cell r="C435">
            <v>2154.9499999999998</v>
          </cell>
          <cell r="D435">
            <v>4.3070000000000004</v>
          </cell>
          <cell r="G435">
            <v>3921.4549999999999</v>
          </cell>
          <cell r="H435">
            <v>-5.8719999999999999</v>
          </cell>
        </row>
        <row r="436">
          <cell r="C436">
            <v>2162.9250000000002</v>
          </cell>
          <cell r="D436">
            <v>3.7490000000000001</v>
          </cell>
          <cell r="G436">
            <v>3929.6329999999998</v>
          </cell>
          <cell r="H436">
            <v>-5.8159999999999998</v>
          </cell>
        </row>
        <row r="437">
          <cell r="C437">
            <v>2169.3029999999999</v>
          </cell>
          <cell r="D437">
            <v>3.5259999999999998</v>
          </cell>
          <cell r="G437">
            <v>3936.3229999999999</v>
          </cell>
          <cell r="H437">
            <v>-5.8410000000000002</v>
          </cell>
        </row>
        <row r="438">
          <cell r="C438">
            <v>2176.48</v>
          </cell>
          <cell r="D438">
            <v>3.3580000000000001</v>
          </cell>
          <cell r="G438">
            <v>3945.3449999999998</v>
          </cell>
          <cell r="H438">
            <v>-5.4640000000000004</v>
          </cell>
        </row>
        <row r="439">
          <cell r="C439">
            <v>2183.739</v>
          </cell>
          <cell r="D439">
            <v>3.2549999999999999</v>
          </cell>
          <cell r="G439">
            <v>3949.3989999999999</v>
          </cell>
          <cell r="H439">
            <v>-5.3410000000000002</v>
          </cell>
        </row>
        <row r="440">
          <cell r="C440">
            <v>2196.598</v>
          </cell>
          <cell r="D440">
            <v>2.9980000000000002</v>
          </cell>
          <cell r="G440">
            <v>3976.6149999999998</v>
          </cell>
          <cell r="H440">
            <v>-5.423</v>
          </cell>
        </row>
        <row r="441">
          <cell r="C441">
            <v>2207.9630000000002</v>
          </cell>
          <cell r="D441">
            <v>2.827</v>
          </cell>
          <cell r="G441">
            <v>4010.1529999999998</v>
          </cell>
          <cell r="H441">
            <v>-5.1840000000000002</v>
          </cell>
        </row>
        <row r="442">
          <cell r="C442">
            <v>2221.7689999999998</v>
          </cell>
          <cell r="D442">
            <v>2.8340000000000001</v>
          </cell>
          <cell r="G442">
            <v>4056.1260000000002</v>
          </cell>
          <cell r="H442">
            <v>-5.29</v>
          </cell>
        </row>
        <row r="443">
          <cell r="C443">
            <v>2230.4349999999999</v>
          </cell>
          <cell r="D443">
            <v>2.931</v>
          </cell>
          <cell r="G443">
            <v>4082.37</v>
          </cell>
          <cell r="H443">
            <v>-5.3070000000000004</v>
          </cell>
        </row>
        <row r="444">
          <cell r="C444">
            <v>2241.7139999999999</v>
          </cell>
          <cell r="D444">
            <v>3.0710000000000002</v>
          </cell>
          <cell r="G444">
            <v>4105.0630000000001</v>
          </cell>
          <cell r="H444">
            <v>-5.3</v>
          </cell>
        </row>
        <row r="445">
          <cell r="C445">
            <v>2254.1170000000002</v>
          </cell>
          <cell r="D445">
            <v>3.097</v>
          </cell>
          <cell r="G445">
            <v>4122.1769999999997</v>
          </cell>
          <cell r="H445">
            <v>-5.4509999999999996</v>
          </cell>
        </row>
        <row r="446">
          <cell r="C446">
            <v>2263.011</v>
          </cell>
          <cell r="D446">
            <v>3.0859999999999999</v>
          </cell>
          <cell r="G446">
            <v>4131.5020000000004</v>
          </cell>
          <cell r="H446">
            <v>-5.3460000000000001</v>
          </cell>
        </row>
        <row r="447">
          <cell r="C447">
            <v>2276.5210000000002</v>
          </cell>
          <cell r="D447">
            <v>3.0569999999999999</v>
          </cell>
          <cell r="G447">
            <v>4136.8320000000003</v>
          </cell>
          <cell r="H447">
            <v>-5.4189999999999996</v>
          </cell>
        </row>
        <row r="448">
          <cell r="C448">
            <v>2287.5770000000002</v>
          </cell>
          <cell r="D448">
            <v>3.1110000000000002</v>
          </cell>
          <cell r="G448">
            <v>4143.0240000000003</v>
          </cell>
          <cell r="H448">
            <v>-5.4809999999999999</v>
          </cell>
        </row>
        <row r="449">
          <cell r="C449">
            <v>2312.9569999999999</v>
          </cell>
          <cell r="D449">
            <v>2.984</v>
          </cell>
          <cell r="G449">
            <v>4147.2460000000001</v>
          </cell>
          <cell r="H449">
            <v>-5.516</v>
          </cell>
        </row>
        <row r="450">
          <cell r="C450">
            <v>2321.154</v>
          </cell>
          <cell r="D450">
            <v>3.0339999999999998</v>
          </cell>
          <cell r="G450">
            <v>4153.2079999999996</v>
          </cell>
          <cell r="H450">
            <v>-5.4989999999999997</v>
          </cell>
        </row>
        <row r="451">
          <cell r="C451">
            <v>2345.0120000000002</v>
          </cell>
          <cell r="D451">
            <v>2.976</v>
          </cell>
          <cell r="G451">
            <v>4159.21</v>
          </cell>
          <cell r="H451">
            <v>-5.5030000000000001</v>
          </cell>
        </row>
        <row r="452">
          <cell r="C452">
            <v>2362.355</v>
          </cell>
          <cell r="D452">
            <v>2.8769999999999998</v>
          </cell>
          <cell r="G452">
            <v>4163.8249999999998</v>
          </cell>
          <cell r="H452">
            <v>-5.601</v>
          </cell>
        </row>
        <row r="453">
          <cell r="C453">
            <v>2371.1860000000001</v>
          </cell>
          <cell r="D453">
            <v>2.8279999999999998</v>
          </cell>
          <cell r="G453">
            <v>4167.5309999999999</v>
          </cell>
          <cell r="H453">
            <v>-5.5460000000000003</v>
          </cell>
        </row>
        <row r="454">
          <cell r="C454">
            <v>2379.5610000000001</v>
          </cell>
          <cell r="D454">
            <v>2.7890000000000001</v>
          </cell>
          <cell r="G454">
            <v>4172.47</v>
          </cell>
          <cell r="H454">
            <v>-5.5140000000000002</v>
          </cell>
        </row>
        <row r="455">
          <cell r="C455">
            <v>2386.89</v>
          </cell>
          <cell r="D455">
            <v>2.8330000000000002</v>
          </cell>
          <cell r="G455">
            <v>4177.0339999999997</v>
          </cell>
          <cell r="H455">
            <v>-5.5419999999999998</v>
          </cell>
        </row>
        <row r="456">
          <cell r="C456">
            <v>2395.0540000000001</v>
          </cell>
          <cell r="D456">
            <v>2.8490000000000002</v>
          </cell>
          <cell r="G456">
            <v>4180.8289999999997</v>
          </cell>
          <cell r="H456">
            <v>-5.5430000000000001</v>
          </cell>
        </row>
        <row r="457">
          <cell r="C457">
            <v>2402.2750000000001</v>
          </cell>
          <cell r="D457">
            <v>2.823</v>
          </cell>
          <cell r="G457">
            <v>4184.5219999999999</v>
          </cell>
          <cell r="H457">
            <v>-5.5190000000000001</v>
          </cell>
        </row>
        <row r="458">
          <cell r="C458">
            <v>2412.4430000000002</v>
          </cell>
          <cell r="D458">
            <v>2.8530000000000002</v>
          </cell>
          <cell r="G458">
            <v>4189.7920000000004</v>
          </cell>
          <cell r="H458">
            <v>-5.5060000000000002</v>
          </cell>
        </row>
        <row r="459">
          <cell r="C459">
            <v>2422.3470000000002</v>
          </cell>
          <cell r="D459">
            <v>2.8290000000000002</v>
          </cell>
          <cell r="G459">
            <v>4194.893</v>
          </cell>
          <cell r="H459">
            <v>-5.56</v>
          </cell>
        </row>
        <row r="460">
          <cell r="C460">
            <v>2431.768</v>
          </cell>
          <cell r="D460">
            <v>2.7629999999999999</v>
          </cell>
          <cell r="G460">
            <v>4200.2719999999999</v>
          </cell>
          <cell r="H460">
            <v>-5.5419999999999998</v>
          </cell>
        </row>
        <row r="461">
          <cell r="C461">
            <v>2439.8270000000002</v>
          </cell>
          <cell r="D461">
            <v>2.74</v>
          </cell>
          <cell r="G461">
            <v>4205.9110000000001</v>
          </cell>
          <cell r="H461">
            <v>-5.6369999999999996</v>
          </cell>
        </row>
        <row r="462">
          <cell r="C462">
            <v>2448.357</v>
          </cell>
          <cell r="D462">
            <v>2.746</v>
          </cell>
          <cell r="G462">
            <v>4209.83</v>
          </cell>
          <cell r="H462">
            <v>-5.6689999999999996</v>
          </cell>
        </row>
        <row r="463">
          <cell r="C463">
            <v>2458.7289999999998</v>
          </cell>
          <cell r="D463">
            <v>2.653</v>
          </cell>
          <cell r="G463">
            <v>4213.6329999999998</v>
          </cell>
          <cell r="H463">
            <v>-5.6440000000000001</v>
          </cell>
        </row>
        <row r="464">
          <cell r="C464">
            <v>2463.8890000000001</v>
          </cell>
          <cell r="D464">
            <v>2.5979999999999999</v>
          </cell>
          <cell r="G464">
            <v>4217.2259999999997</v>
          </cell>
          <cell r="H464">
            <v>-5.6779999999999999</v>
          </cell>
        </row>
        <row r="465">
          <cell r="C465">
            <v>2468.9229999999998</v>
          </cell>
          <cell r="D465">
            <v>2.6040000000000001</v>
          </cell>
          <cell r="G465">
            <v>4224.5349999999999</v>
          </cell>
          <cell r="H465">
            <v>-5.6360000000000001</v>
          </cell>
        </row>
        <row r="466">
          <cell r="C466">
            <v>2473.8000000000002</v>
          </cell>
          <cell r="D466">
            <v>2.5289999999999999</v>
          </cell>
          <cell r="G466">
            <v>4239.4290000000001</v>
          </cell>
          <cell r="H466">
            <v>-5.5170000000000003</v>
          </cell>
        </row>
        <row r="467">
          <cell r="C467">
            <v>2480.5430000000001</v>
          </cell>
          <cell r="D467">
            <v>2.464</v>
          </cell>
          <cell r="G467">
            <v>4254.2610000000004</v>
          </cell>
          <cell r="H467">
            <v>-5.3730000000000002</v>
          </cell>
        </row>
        <row r="468">
          <cell r="C468">
            <v>2485.3119999999999</v>
          </cell>
          <cell r="D468">
            <v>2.3820000000000001</v>
          </cell>
          <cell r="G468">
            <v>4268.317</v>
          </cell>
          <cell r="H468">
            <v>-5.5010000000000003</v>
          </cell>
        </row>
        <row r="469">
          <cell r="C469">
            <v>2488.5859999999998</v>
          </cell>
          <cell r="D469">
            <v>2.4140000000000001</v>
          </cell>
          <cell r="G469">
            <v>4283.9750000000004</v>
          </cell>
          <cell r="H469">
            <v>-5.4450000000000003</v>
          </cell>
        </row>
        <row r="470">
          <cell r="C470">
            <v>2493.857</v>
          </cell>
          <cell r="D470">
            <v>2.4079999999999999</v>
          </cell>
          <cell r="G470">
            <v>4299.4560000000001</v>
          </cell>
          <cell r="H470">
            <v>-5.3620000000000001</v>
          </cell>
        </row>
        <row r="471">
          <cell r="C471">
            <v>2497.0529999999999</v>
          </cell>
          <cell r="D471">
            <v>2.3860000000000001</v>
          </cell>
          <cell r="G471">
            <v>4317.12</v>
          </cell>
          <cell r="H471">
            <v>-5.3019999999999996</v>
          </cell>
        </row>
        <row r="472">
          <cell r="C472">
            <v>2503.9430000000002</v>
          </cell>
          <cell r="D472">
            <v>2.4630000000000001</v>
          </cell>
          <cell r="G472">
            <v>4335.2110000000002</v>
          </cell>
          <cell r="H472">
            <v>-5.2460000000000004</v>
          </cell>
        </row>
        <row r="473">
          <cell r="C473">
            <v>2505.768</v>
          </cell>
          <cell r="D473">
            <v>2.4769999999999999</v>
          </cell>
          <cell r="G473">
            <v>4349.701</v>
          </cell>
          <cell r="H473">
            <v>-5.1689999999999996</v>
          </cell>
        </row>
        <row r="474">
          <cell r="C474">
            <v>2512.0149999999999</v>
          </cell>
          <cell r="D474">
            <v>2.6440000000000001</v>
          </cell>
          <cell r="G474">
            <v>4360.4759999999997</v>
          </cell>
          <cell r="H474">
            <v>-5.2439999999999998</v>
          </cell>
        </row>
        <row r="475">
          <cell r="C475">
            <v>2514.0680000000002</v>
          </cell>
          <cell r="D475">
            <v>2.6219999999999999</v>
          </cell>
          <cell r="G475">
            <v>4374.2690000000002</v>
          </cell>
          <cell r="H475">
            <v>-5.1340000000000003</v>
          </cell>
        </row>
        <row r="476">
          <cell r="C476">
            <v>2520.701</v>
          </cell>
          <cell r="D476">
            <v>2.601</v>
          </cell>
          <cell r="G476">
            <v>4387.9530000000004</v>
          </cell>
          <cell r="H476">
            <v>-5.2</v>
          </cell>
        </row>
        <row r="477">
          <cell r="C477">
            <v>2526.5830000000001</v>
          </cell>
          <cell r="D477">
            <v>2.7440000000000002</v>
          </cell>
          <cell r="G477">
            <v>4402.4830000000002</v>
          </cell>
          <cell r="H477">
            <v>-5.09</v>
          </cell>
        </row>
        <row r="478">
          <cell r="C478">
            <v>2529.3589999999999</v>
          </cell>
          <cell r="D478">
            <v>2.8250000000000002</v>
          </cell>
          <cell r="G478">
            <v>4412.5339999999997</v>
          </cell>
          <cell r="H478">
            <v>-5.6109999999999998</v>
          </cell>
        </row>
        <row r="479">
          <cell r="C479">
            <v>2533.1480000000001</v>
          </cell>
          <cell r="D479">
            <v>2.9750000000000001</v>
          </cell>
          <cell r="G479">
            <v>4419.616</v>
          </cell>
          <cell r="H479">
            <v>-5.5439999999999996</v>
          </cell>
        </row>
        <row r="480">
          <cell r="C480">
            <v>2538.569</v>
          </cell>
          <cell r="D480">
            <v>3.0379999999999998</v>
          </cell>
          <cell r="G480">
            <v>4439.402</v>
          </cell>
          <cell r="H480">
            <v>-5.7389999999999999</v>
          </cell>
        </row>
        <row r="481">
          <cell r="C481">
            <v>2546.64</v>
          </cell>
          <cell r="D481">
            <v>3.0710000000000002</v>
          </cell>
          <cell r="G481">
            <v>4443.0379999999996</v>
          </cell>
          <cell r="H481">
            <v>-5.7160000000000002</v>
          </cell>
        </row>
        <row r="482">
          <cell r="C482">
            <v>2554.308</v>
          </cell>
          <cell r="D482">
            <v>2.9510000000000001</v>
          </cell>
          <cell r="G482">
            <v>4463.9340000000002</v>
          </cell>
          <cell r="H482">
            <v>-5.9390000000000001</v>
          </cell>
        </row>
        <row r="483">
          <cell r="C483">
            <v>2561.5349999999999</v>
          </cell>
          <cell r="D483">
            <v>3.036</v>
          </cell>
          <cell r="G483">
            <v>4480.7690000000002</v>
          </cell>
          <cell r="H483">
            <v>-7.46</v>
          </cell>
        </row>
        <row r="484">
          <cell r="C484">
            <v>2568.826</v>
          </cell>
          <cell r="D484">
            <v>3.0649999999999999</v>
          </cell>
          <cell r="G484">
            <v>4489.6059999999998</v>
          </cell>
          <cell r="H484">
            <v>-8.7040000000000006</v>
          </cell>
        </row>
        <row r="485">
          <cell r="C485">
            <v>2580.7539999999999</v>
          </cell>
          <cell r="D485">
            <v>3.149</v>
          </cell>
          <cell r="G485">
            <v>4496.692</v>
          </cell>
          <cell r="H485">
            <v>-9.7579999999999991</v>
          </cell>
        </row>
        <row r="486">
          <cell r="C486">
            <v>2592.63</v>
          </cell>
          <cell r="D486">
            <v>3.2719999999999998</v>
          </cell>
          <cell r="G486">
            <v>4501.4520000000002</v>
          </cell>
          <cell r="H486">
            <v>-10.455</v>
          </cell>
        </row>
        <row r="487">
          <cell r="C487">
            <v>2604.5949999999998</v>
          </cell>
          <cell r="D487">
            <v>3.3090000000000002</v>
          </cell>
          <cell r="G487">
            <v>4506.1459999999997</v>
          </cell>
          <cell r="H487">
            <v>-10.97</v>
          </cell>
        </row>
        <row r="488">
          <cell r="C488">
            <v>2614.2809999999999</v>
          </cell>
          <cell r="D488">
            <v>3.2610000000000001</v>
          </cell>
          <cell r="G488">
            <v>4509.6329999999998</v>
          </cell>
          <cell r="H488">
            <v>-11.271000000000001</v>
          </cell>
        </row>
        <row r="489">
          <cell r="C489">
            <v>2623.9679999999998</v>
          </cell>
          <cell r="D489">
            <v>3.327</v>
          </cell>
          <cell r="G489">
            <v>4517.0309999999999</v>
          </cell>
          <cell r="H489">
            <v>-11.895</v>
          </cell>
        </row>
        <row r="490">
          <cell r="C490">
            <v>2631.12</v>
          </cell>
          <cell r="D490">
            <v>3.1760000000000002</v>
          </cell>
          <cell r="G490">
            <v>4520.9799999999996</v>
          </cell>
          <cell r="H490">
            <v>-12.287000000000001</v>
          </cell>
        </row>
        <row r="491">
          <cell r="C491">
            <v>2641.0970000000002</v>
          </cell>
          <cell r="D491">
            <v>3.2650000000000001</v>
          </cell>
          <cell r="G491">
            <v>4528.1139999999996</v>
          </cell>
          <cell r="H491">
            <v>-12.635</v>
          </cell>
        </row>
        <row r="492">
          <cell r="C492">
            <v>2644.3159999999998</v>
          </cell>
          <cell r="D492">
            <v>3.1560000000000001</v>
          </cell>
          <cell r="G492">
            <v>4532.2110000000002</v>
          </cell>
          <cell r="H492">
            <v>-12.83</v>
          </cell>
        </row>
        <row r="493">
          <cell r="C493">
            <v>2649.712</v>
          </cell>
          <cell r="D493">
            <v>3.2320000000000002</v>
          </cell>
          <cell r="G493">
            <v>4538.491</v>
          </cell>
          <cell r="H493">
            <v>-12.775</v>
          </cell>
        </row>
        <row r="494">
          <cell r="C494">
            <v>2656.1129999999998</v>
          </cell>
          <cell r="D494">
            <v>3.2090000000000001</v>
          </cell>
          <cell r="G494">
            <v>4540.7179999999998</v>
          </cell>
          <cell r="H494">
            <v>-12.909000000000001</v>
          </cell>
        </row>
        <row r="495">
          <cell r="C495">
            <v>2661.9989999999998</v>
          </cell>
          <cell r="D495">
            <v>3.1859999999999999</v>
          </cell>
          <cell r="G495">
            <v>4543.5200000000004</v>
          </cell>
          <cell r="H495">
            <v>-12.997999999999999</v>
          </cell>
        </row>
        <row r="496">
          <cell r="C496">
            <v>2664.7739999999999</v>
          </cell>
          <cell r="D496">
            <v>3.2370000000000001</v>
          </cell>
          <cell r="G496">
            <v>4547.5050000000001</v>
          </cell>
          <cell r="H496">
            <v>-12.842000000000001</v>
          </cell>
        </row>
        <row r="497">
          <cell r="C497">
            <v>2668.828</v>
          </cell>
          <cell r="D497">
            <v>3.19</v>
          </cell>
          <cell r="G497">
            <v>4553.2920000000004</v>
          </cell>
          <cell r="H497">
            <v>-12.603</v>
          </cell>
        </row>
        <row r="498">
          <cell r="C498">
            <v>2672.2930000000001</v>
          </cell>
          <cell r="D498">
            <v>3.1859999999999999</v>
          </cell>
          <cell r="G498">
            <v>4557.2550000000001</v>
          </cell>
          <cell r="H498">
            <v>-12.619</v>
          </cell>
        </row>
        <row r="499">
          <cell r="C499">
            <v>2674.6909999999998</v>
          </cell>
          <cell r="D499">
            <v>3.3170000000000002</v>
          </cell>
          <cell r="G499">
            <v>4561.8599999999997</v>
          </cell>
          <cell r="H499">
            <v>-12.332000000000001</v>
          </cell>
        </row>
        <row r="500">
          <cell r="C500">
            <v>2678.87</v>
          </cell>
          <cell r="D500">
            <v>3.2639999999999998</v>
          </cell>
          <cell r="G500">
            <v>4569.2209999999995</v>
          </cell>
          <cell r="H500">
            <v>-11.622999999999999</v>
          </cell>
        </row>
        <row r="501">
          <cell r="C501">
            <v>2684.2109999999998</v>
          </cell>
          <cell r="D501">
            <v>3.2320000000000002</v>
          </cell>
          <cell r="G501">
            <v>4572.0069999999996</v>
          </cell>
          <cell r="H501">
            <v>-11.236000000000001</v>
          </cell>
        </row>
        <row r="502">
          <cell r="C502">
            <v>2687.8989999999999</v>
          </cell>
          <cell r="D502">
            <v>3.2250000000000001</v>
          </cell>
          <cell r="G502">
            <v>4577.5280000000002</v>
          </cell>
          <cell r="H502">
            <v>-10.414</v>
          </cell>
        </row>
        <row r="503">
          <cell r="C503">
            <v>2695.723</v>
          </cell>
          <cell r="D503">
            <v>3.1070000000000002</v>
          </cell>
          <cell r="G503">
            <v>4584.9589999999998</v>
          </cell>
          <cell r="H503">
            <v>-9.5860000000000003</v>
          </cell>
        </row>
        <row r="504">
          <cell r="C504">
            <v>2700.451</v>
          </cell>
          <cell r="D504">
            <v>3.0270000000000001</v>
          </cell>
          <cell r="G504">
            <v>4590.6490000000003</v>
          </cell>
          <cell r="H504">
            <v>-8.7270000000000003</v>
          </cell>
        </row>
        <row r="505">
          <cell r="C505">
            <v>2703.5520000000001</v>
          </cell>
          <cell r="D505">
            <v>3.2160000000000002</v>
          </cell>
          <cell r="G505">
            <v>4598.8429999999998</v>
          </cell>
          <cell r="H505">
            <v>-7.4420000000000002</v>
          </cell>
        </row>
        <row r="506">
          <cell r="C506">
            <v>2709.5740000000001</v>
          </cell>
          <cell r="D506">
            <v>3.1789999999999998</v>
          </cell>
          <cell r="G506">
            <v>4609.7849999999999</v>
          </cell>
          <cell r="H506">
            <v>-6.569</v>
          </cell>
        </row>
        <row r="507">
          <cell r="C507">
            <v>2716.971</v>
          </cell>
          <cell r="D507">
            <v>3.1859999999999999</v>
          </cell>
          <cell r="G507">
            <v>4620.8919999999998</v>
          </cell>
          <cell r="H507">
            <v>-5.9749999999999996</v>
          </cell>
        </row>
        <row r="508">
          <cell r="C508">
            <v>2721.942</v>
          </cell>
          <cell r="D508">
            <v>3.089</v>
          </cell>
          <cell r="G508">
            <v>4647.3190000000004</v>
          </cell>
          <cell r="H508">
            <v>-5.7220000000000004</v>
          </cell>
        </row>
        <row r="509">
          <cell r="C509">
            <v>2727.364</v>
          </cell>
          <cell r="D509">
            <v>2.9940000000000002</v>
          </cell>
          <cell r="G509">
            <v>4665.8509999999997</v>
          </cell>
          <cell r="H509">
            <v>-5.6859999999999999</v>
          </cell>
        </row>
        <row r="510">
          <cell r="C510">
            <v>2730.4839999999999</v>
          </cell>
          <cell r="D510">
            <v>2.9780000000000002</v>
          </cell>
          <cell r="G510">
            <v>4687.973</v>
          </cell>
          <cell r="H510">
            <v>-5.7629999999999999</v>
          </cell>
        </row>
        <row r="511">
          <cell r="C511">
            <v>2734.5650000000001</v>
          </cell>
          <cell r="D511">
            <v>3.0489999999999999</v>
          </cell>
          <cell r="G511">
            <v>4707.107</v>
          </cell>
          <cell r="H511">
            <v>-5.4169999999999998</v>
          </cell>
        </row>
        <row r="512">
          <cell r="C512">
            <v>2737.81</v>
          </cell>
          <cell r="D512">
            <v>2.9870000000000001</v>
          </cell>
          <cell r="G512">
            <v>4712.2489999999998</v>
          </cell>
          <cell r="H512">
            <v>-5.3019999999999996</v>
          </cell>
        </row>
        <row r="513">
          <cell r="C513">
            <v>2742.415</v>
          </cell>
          <cell r="D513">
            <v>2.98</v>
          </cell>
          <cell r="G513">
            <v>4720.0550000000003</v>
          </cell>
          <cell r="H513">
            <v>-5.35</v>
          </cell>
        </row>
        <row r="514">
          <cell r="C514">
            <v>2747.0079999999998</v>
          </cell>
          <cell r="D514">
            <v>2.9489999999999998</v>
          </cell>
          <cell r="G514">
            <v>4726.4070000000002</v>
          </cell>
          <cell r="H514">
            <v>-5.34</v>
          </cell>
        </row>
        <row r="515">
          <cell r="C515">
            <v>2751.308</v>
          </cell>
          <cell r="D515">
            <v>2.9710000000000001</v>
          </cell>
          <cell r="G515">
            <v>4731.067</v>
          </cell>
          <cell r="H515">
            <v>-5.21</v>
          </cell>
        </row>
        <row r="516">
          <cell r="C516">
            <v>2755.2159999999999</v>
          </cell>
          <cell r="D516">
            <v>3.0129999999999999</v>
          </cell>
          <cell r="G516">
            <v>4735.2169999999996</v>
          </cell>
          <cell r="H516">
            <v>-5.3049999999999997</v>
          </cell>
        </row>
        <row r="517">
          <cell r="C517">
            <v>2760.3229999999999</v>
          </cell>
          <cell r="D517">
            <v>3.1440000000000001</v>
          </cell>
          <cell r="G517">
            <v>4740.7700000000004</v>
          </cell>
          <cell r="H517">
            <v>-5.4690000000000003</v>
          </cell>
        </row>
        <row r="518">
          <cell r="C518">
            <v>2764.4749999999999</v>
          </cell>
          <cell r="D518">
            <v>3.22</v>
          </cell>
          <cell r="G518">
            <v>4745.6120000000001</v>
          </cell>
          <cell r="H518">
            <v>-5.5510000000000002</v>
          </cell>
        </row>
        <row r="519">
          <cell r="C519">
            <v>2767.2849999999999</v>
          </cell>
          <cell r="D519">
            <v>3.2789999999999999</v>
          </cell>
          <cell r="G519">
            <v>4748.46</v>
          </cell>
          <cell r="H519">
            <v>-5.5380000000000003</v>
          </cell>
        </row>
        <row r="520">
          <cell r="C520">
            <v>2772.2809999999999</v>
          </cell>
          <cell r="D520">
            <v>3.2570000000000001</v>
          </cell>
          <cell r="G520">
            <v>4760.1260000000002</v>
          </cell>
          <cell r="H520">
            <v>-5.7149999999999999</v>
          </cell>
        </row>
        <row r="521">
          <cell r="C521">
            <v>2776.2089999999998</v>
          </cell>
          <cell r="D521">
            <v>3.254</v>
          </cell>
          <cell r="G521">
            <v>4765.5230000000001</v>
          </cell>
          <cell r="H521">
            <v>-5.7519999999999998</v>
          </cell>
        </row>
        <row r="522">
          <cell r="C522">
            <v>2781.4229999999998</v>
          </cell>
          <cell r="D522">
            <v>3.2160000000000002</v>
          </cell>
          <cell r="G522">
            <v>4773.2839999999997</v>
          </cell>
          <cell r="H522">
            <v>-5.8929999999999998</v>
          </cell>
        </row>
        <row r="523">
          <cell r="C523">
            <v>2789.0210000000002</v>
          </cell>
          <cell r="D523">
            <v>3.3</v>
          </cell>
          <cell r="G523">
            <v>4778.5969999999998</v>
          </cell>
          <cell r="H523">
            <v>-5.7869999999999999</v>
          </cell>
        </row>
        <row r="524">
          <cell r="C524">
            <v>2797.2359999999999</v>
          </cell>
          <cell r="D524">
            <v>3.2519999999999998</v>
          </cell>
          <cell r="G524">
            <v>4785.3289999999997</v>
          </cell>
          <cell r="H524">
            <v>-5.6360000000000001</v>
          </cell>
        </row>
        <row r="525">
          <cell r="C525">
            <v>2801.8919999999998</v>
          </cell>
          <cell r="D525">
            <v>3.169</v>
          </cell>
          <cell r="G525">
            <v>4789.8980000000001</v>
          </cell>
          <cell r="H525">
            <v>-5.5990000000000002</v>
          </cell>
        </row>
        <row r="526">
          <cell r="C526">
            <v>2833.578</v>
          </cell>
          <cell r="D526">
            <v>3.48</v>
          </cell>
          <cell r="G526">
            <v>4796.152</v>
          </cell>
          <cell r="H526">
            <v>-5.6539999999999999</v>
          </cell>
        </row>
        <row r="527">
          <cell r="C527">
            <v>2842.6030000000001</v>
          </cell>
          <cell r="D527">
            <v>3.3860000000000001</v>
          </cell>
          <cell r="G527">
            <v>4801.3289999999997</v>
          </cell>
          <cell r="H527">
            <v>-5.6379999999999999</v>
          </cell>
        </row>
        <row r="528">
          <cell r="C528">
            <v>2858.558</v>
          </cell>
          <cell r="D528">
            <v>3.4620000000000002</v>
          </cell>
          <cell r="G528">
            <v>4806.3029999999999</v>
          </cell>
          <cell r="H528">
            <v>-5.5990000000000002</v>
          </cell>
        </row>
        <row r="529">
          <cell r="C529">
            <v>2875.942</v>
          </cell>
          <cell r="D529">
            <v>3.673</v>
          </cell>
          <cell r="G529">
            <v>4812.5079999999998</v>
          </cell>
          <cell r="H529">
            <v>-5.7060000000000004</v>
          </cell>
        </row>
        <row r="530">
          <cell r="C530">
            <v>2893.4459999999999</v>
          </cell>
          <cell r="D530">
            <v>3.3959999999999999</v>
          </cell>
          <cell r="G530">
            <v>4817.2879999999996</v>
          </cell>
          <cell r="H530">
            <v>-5.6710000000000003</v>
          </cell>
        </row>
        <row r="531">
          <cell r="C531">
            <v>2904.5329999999999</v>
          </cell>
          <cell r="D531">
            <v>3.4860000000000002</v>
          </cell>
          <cell r="G531">
            <v>4823.0330000000004</v>
          </cell>
          <cell r="H531">
            <v>-5.7290000000000001</v>
          </cell>
        </row>
        <row r="532">
          <cell r="C532">
            <v>2921.5459999999998</v>
          </cell>
          <cell r="D532">
            <v>3.371</v>
          </cell>
          <cell r="G532">
            <v>4827.3789999999999</v>
          </cell>
          <cell r="H532">
            <v>-5.6559999999999997</v>
          </cell>
        </row>
        <row r="533">
          <cell r="C533">
            <v>2933.0610000000001</v>
          </cell>
          <cell r="D533">
            <v>3.5350000000000001</v>
          </cell>
          <cell r="G533">
            <v>4830.808</v>
          </cell>
          <cell r="H533">
            <v>-5.7080000000000002</v>
          </cell>
        </row>
        <row r="534">
          <cell r="C534">
            <v>2944.2449999999999</v>
          </cell>
          <cell r="D534">
            <v>3.742</v>
          </cell>
          <cell r="G534">
            <v>4836.4830000000002</v>
          </cell>
          <cell r="H534">
            <v>-5.6479999999999997</v>
          </cell>
        </row>
        <row r="535">
          <cell r="C535">
            <v>2955.3310000000001</v>
          </cell>
          <cell r="D535">
            <v>3.589</v>
          </cell>
          <cell r="G535">
            <v>4842.692</v>
          </cell>
          <cell r="H535">
            <v>-5.57</v>
          </cell>
        </row>
        <row r="536">
          <cell r="C536">
            <v>2961.116</v>
          </cell>
          <cell r="D536">
            <v>3.3719999999999999</v>
          </cell>
          <cell r="G536">
            <v>4848.7579999999998</v>
          </cell>
          <cell r="H536">
            <v>-5.47</v>
          </cell>
        </row>
        <row r="537">
          <cell r="C537">
            <v>2965.8</v>
          </cell>
          <cell r="D537">
            <v>3.3740000000000001</v>
          </cell>
          <cell r="G537">
            <v>4852.2030000000004</v>
          </cell>
          <cell r="H537">
            <v>-5.3959999999999999</v>
          </cell>
        </row>
        <row r="538">
          <cell r="C538">
            <v>2970.8820000000001</v>
          </cell>
          <cell r="D538">
            <v>3.4020000000000001</v>
          </cell>
          <cell r="G538">
            <v>4856.848</v>
          </cell>
          <cell r="H538">
            <v>-5.2320000000000002</v>
          </cell>
        </row>
        <row r="539">
          <cell r="C539">
            <v>2976.0680000000002</v>
          </cell>
          <cell r="D539">
            <v>3.3220000000000001</v>
          </cell>
          <cell r="G539">
            <v>4862.5529999999999</v>
          </cell>
          <cell r="H539">
            <v>-5.35</v>
          </cell>
        </row>
        <row r="540">
          <cell r="C540">
            <v>2981.8229999999999</v>
          </cell>
          <cell r="D540">
            <v>3.2450000000000001</v>
          </cell>
          <cell r="G540">
            <v>4866.1040000000003</v>
          </cell>
          <cell r="H540">
            <v>-5.2839999999999998</v>
          </cell>
        </row>
        <row r="541">
          <cell r="C541">
            <v>2985.2080000000001</v>
          </cell>
          <cell r="D541">
            <v>3.2839999999999998</v>
          </cell>
          <cell r="G541">
            <v>4870.4219999999996</v>
          </cell>
          <cell r="H541">
            <v>-5.2619999999999996</v>
          </cell>
        </row>
        <row r="542">
          <cell r="C542">
            <v>2990.3049999999998</v>
          </cell>
          <cell r="D542">
            <v>3.4889999999999999</v>
          </cell>
          <cell r="G542">
            <v>4876.1030000000001</v>
          </cell>
          <cell r="H542">
            <v>-5.2560000000000002</v>
          </cell>
        </row>
        <row r="543">
          <cell r="C543">
            <v>2996.6950000000002</v>
          </cell>
          <cell r="D543">
            <v>3.504</v>
          </cell>
          <cell r="G543">
            <v>4879.1350000000002</v>
          </cell>
          <cell r="H543">
            <v>-5.4459999999999997</v>
          </cell>
        </row>
        <row r="544">
          <cell r="C544">
            <v>3003.2240000000002</v>
          </cell>
          <cell r="D544">
            <v>3.3929999999999998</v>
          </cell>
          <cell r="G544">
            <v>4887.6270000000004</v>
          </cell>
          <cell r="H544">
            <v>-5.6929999999999996</v>
          </cell>
        </row>
        <row r="545">
          <cell r="C545">
            <v>3009.8440000000001</v>
          </cell>
          <cell r="D545">
            <v>3.4660000000000002</v>
          </cell>
          <cell r="G545">
            <v>4894.76</v>
          </cell>
          <cell r="H545">
            <v>-5.7359999999999998</v>
          </cell>
        </row>
        <row r="546">
          <cell r="C546">
            <v>3016.7220000000002</v>
          </cell>
          <cell r="D546">
            <v>3.2919999999999998</v>
          </cell>
          <cell r="G546">
            <v>4904.5600000000004</v>
          </cell>
          <cell r="H546">
            <v>-5.6319999999999997</v>
          </cell>
        </row>
        <row r="547">
          <cell r="C547">
            <v>3020.0410000000002</v>
          </cell>
          <cell r="D547">
            <v>3.2869999999999999</v>
          </cell>
          <cell r="G547">
            <v>4909.9979999999996</v>
          </cell>
          <cell r="H547">
            <v>-5.3860000000000001</v>
          </cell>
        </row>
        <row r="548">
          <cell r="C548">
            <v>3025.3879999999999</v>
          </cell>
          <cell r="D548">
            <v>3.4119999999999999</v>
          </cell>
          <cell r="G548">
            <v>4915.9859999999999</v>
          </cell>
          <cell r="H548">
            <v>-5.2370000000000001</v>
          </cell>
        </row>
        <row r="549">
          <cell r="C549">
            <v>3031.172</v>
          </cell>
          <cell r="D549">
            <v>3.387</v>
          </cell>
          <cell r="G549">
            <v>4920.6570000000002</v>
          </cell>
          <cell r="H549">
            <v>-5.1970000000000001</v>
          </cell>
        </row>
        <row r="550">
          <cell r="C550">
            <v>3036.0859999999998</v>
          </cell>
          <cell r="D550">
            <v>3.3410000000000002</v>
          </cell>
          <cell r="G550">
            <v>4924.5910000000003</v>
          </cell>
          <cell r="H550">
            <v>-5.1509999999999998</v>
          </cell>
        </row>
        <row r="551">
          <cell r="C551">
            <v>3042.0459999999998</v>
          </cell>
          <cell r="D551">
            <v>3.302</v>
          </cell>
          <cell r="G551">
            <v>4927.357</v>
          </cell>
          <cell r="H551">
            <v>-5.25</v>
          </cell>
        </row>
        <row r="552">
          <cell r="C552">
            <v>3045.7020000000002</v>
          </cell>
          <cell r="D552">
            <v>3.298</v>
          </cell>
          <cell r="G552">
            <v>4931.241</v>
          </cell>
          <cell r="H552">
            <v>-5.4160000000000004</v>
          </cell>
        </row>
        <row r="553">
          <cell r="C553">
            <v>3050.5120000000002</v>
          </cell>
          <cell r="D553">
            <v>3.294</v>
          </cell>
          <cell r="G553">
            <v>4937.13</v>
          </cell>
          <cell r="H553">
            <v>-6.12</v>
          </cell>
        </row>
        <row r="554">
          <cell r="C554">
            <v>3057.29</v>
          </cell>
          <cell r="D554">
            <v>3.2839999999999998</v>
          </cell>
          <cell r="G554">
            <v>4941.9170000000004</v>
          </cell>
          <cell r="H554">
            <v>-6.87</v>
          </cell>
        </row>
        <row r="555">
          <cell r="C555">
            <v>3066.125</v>
          </cell>
          <cell r="D555">
            <v>3.2839999999999998</v>
          </cell>
          <cell r="G555">
            <v>4961.808</v>
          </cell>
          <cell r="H555">
            <v>-8.375</v>
          </cell>
        </row>
        <row r="556">
          <cell r="C556">
            <v>3072.8249999999998</v>
          </cell>
          <cell r="D556">
            <v>3.1680000000000001</v>
          </cell>
          <cell r="G556">
            <v>4981.1559999999999</v>
          </cell>
          <cell r="H556">
            <v>-8.5540000000000003</v>
          </cell>
        </row>
        <row r="557">
          <cell r="C557">
            <v>3080.63</v>
          </cell>
          <cell r="D557">
            <v>3.2229999999999999</v>
          </cell>
          <cell r="G557">
            <v>5000.24</v>
          </cell>
          <cell r="H557">
            <v>-8.3840000000000003</v>
          </cell>
        </row>
        <row r="558">
          <cell r="C558">
            <v>3085.098</v>
          </cell>
          <cell r="D558">
            <v>3.1989999999999998</v>
          </cell>
          <cell r="G558">
            <v>5022.808</v>
          </cell>
          <cell r="H558">
            <v>-7.468</v>
          </cell>
        </row>
        <row r="559">
          <cell r="C559">
            <v>3091.692</v>
          </cell>
          <cell r="D559">
            <v>3.1240000000000001</v>
          </cell>
          <cell r="G559">
            <v>5043.7730000000001</v>
          </cell>
          <cell r="H559">
            <v>-6.4</v>
          </cell>
        </row>
        <row r="560">
          <cell r="C560">
            <v>3098.9749999999999</v>
          </cell>
          <cell r="D560">
            <v>3.0920000000000001</v>
          </cell>
          <cell r="G560">
            <v>5058.7849999999999</v>
          </cell>
          <cell r="H560">
            <v>-5.6230000000000002</v>
          </cell>
        </row>
        <row r="561">
          <cell r="C561">
            <v>3102.9630000000002</v>
          </cell>
          <cell r="D561">
            <v>3.0870000000000002</v>
          </cell>
          <cell r="G561">
            <v>5069.9759999999997</v>
          </cell>
          <cell r="H561">
            <v>-5.6280000000000001</v>
          </cell>
        </row>
        <row r="562">
          <cell r="C562">
            <v>3107.6</v>
          </cell>
          <cell r="D562">
            <v>3.125</v>
          </cell>
          <cell r="G562">
            <v>5089.3360000000002</v>
          </cell>
          <cell r="H562">
            <v>-5.7830000000000004</v>
          </cell>
        </row>
        <row r="563">
          <cell r="C563">
            <v>3113.94</v>
          </cell>
          <cell r="D563">
            <v>3.218</v>
          </cell>
          <cell r="G563">
            <v>5105.0349999999999</v>
          </cell>
          <cell r="H563">
            <v>-6.4169999999999998</v>
          </cell>
        </row>
        <row r="564">
          <cell r="C564">
            <v>3122.79</v>
          </cell>
          <cell r="D564">
            <v>3.3650000000000002</v>
          </cell>
          <cell r="G564">
            <v>5117.4229999999998</v>
          </cell>
          <cell r="H564">
            <v>-7.6340000000000003</v>
          </cell>
        </row>
        <row r="565">
          <cell r="C565">
            <v>3134.4250000000002</v>
          </cell>
          <cell r="D565">
            <v>3.5350000000000001</v>
          </cell>
          <cell r="G565">
            <v>5124.8530000000001</v>
          </cell>
          <cell r="H565">
            <v>-8.7170000000000005</v>
          </cell>
        </row>
        <row r="566">
          <cell r="C566">
            <v>3153.3690000000001</v>
          </cell>
          <cell r="D566">
            <v>3.22</v>
          </cell>
          <cell r="G566">
            <v>5130.2299999999996</v>
          </cell>
          <cell r="H566">
            <v>-9.6620000000000008</v>
          </cell>
        </row>
        <row r="567">
          <cell r="C567">
            <v>3159.261</v>
          </cell>
          <cell r="D567">
            <v>3.1779999999999999</v>
          </cell>
          <cell r="G567">
            <v>5134.6229999999996</v>
          </cell>
          <cell r="H567">
            <v>-10.624000000000001</v>
          </cell>
        </row>
        <row r="568">
          <cell r="C568">
            <v>3182.107</v>
          </cell>
          <cell r="D568">
            <v>2.9790000000000001</v>
          </cell>
          <cell r="G568">
            <v>5138.4970000000003</v>
          </cell>
          <cell r="H568">
            <v>-11.375999999999999</v>
          </cell>
        </row>
        <row r="569">
          <cell r="C569">
            <v>3207.3090000000002</v>
          </cell>
          <cell r="D569">
            <v>2.8530000000000002</v>
          </cell>
          <cell r="G569">
            <v>5143.5209999999997</v>
          </cell>
          <cell r="H569">
            <v>-12.346</v>
          </cell>
        </row>
        <row r="570">
          <cell r="C570">
            <v>3219.9769999999999</v>
          </cell>
          <cell r="D570">
            <v>3.0259999999999998</v>
          </cell>
          <cell r="G570">
            <v>5147.348</v>
          </cell>
          <cell r="H570">
            <v>-13.111000000000001</v>
          </cell>
        </row>
        <row r="571">
          <cell r="C571">
            <v>3224.1970000000001</v>
          </cell>
          <cell r="D571">
            <v>2.8980000000000001</v>
          </cell>
          <cell r="G571">
            <v>5150.9769999999999</v>
          </cell>
          <cell r="H571">
            <v>-13.694000000000001</v>
          </cell>
        </row>
        <row r="572">
          <cell r="C572">
            <v>3229.4189999999999</v>
          </cell>
          <cell r="D572">
            <v>3.0339999999999998</v>
          </cell>
          <cell r="G572">
            <v>5153.4880000000003</v>
          </cell>
          <cell r="H572">
            <v>-14.183</v>
          </cell>
        </row>
        <row r="573">
          <cell r="C573">
            <v>3234.288</v>
          </cell>
          <cell r="D573">
            <v>2.9409999999999998</v>
          </cell>
          <cell r="G573">
            <v>5157.1450000000004</v>
          </cell>
          <cell r="H573">
            <v>-14.79</v>
          </cell>
        </row>
        <row r="574">
          <cell r="C574">
            <v>3241.0970000000002</v>
          </cell>
          <cell r="D574">
            <v>2.7210000000000001</v>
          </cell>
          <cell r="G574">
            <v>5159.9830000000002</v>
          </cell>
          <cell r="H574">
            <v>-15.196999999999999</v>
          </cell>
        </row>
        <row r="575">
          <cell r="C575">
            <v>3250.5529999999999</v>
          </cell>
          <cell r="D575">
            <v>2.5710000000000002</v>
          </cell>
          <cell r="G575">
            <v>5164.5020000000004</v>
          </cell>
          <cell r="H575">
            <v>-15.798999999999999</v>
          </cell>
        </row>
        <row r="576">
          <cell r="C576">
            <v>3253.9209999999998</v>
          </cell>
          <cell r="D576">
            <v>2.4329999999999998</v>
          </cell>
          <cell r="G576">
            <v>5168.8630000000003</v>
          </cell>
          <cell r="H576">
            <v>-16.46</v>
          </cell>
        </row>
        <row r="577">
          <cell r="C577">
            <v>3260.8240000000001</v>
          </cell>
          <cell r="D577">
            <v>2.3889999999999998</v>
          </cell>
          <cell r="G577">
            <v>5174.0619999999999</v>
          </cell>
          <cell r="H577">
            <v>-16.902000000000001</v>
          </cell>
        </row>
        <row r="578">
          <cell r="C578">
            <v>3265.61</v>
          </cell>
          <cell r="D578">
            <v>2.4430000000000001</v>
          </cell>
          <cell r="G578">
            <v>5179.4390000000003</v>
          </cell>
          <cell r="H578">
            <v>-17.177</v>
          </cell>
        </row>
        <row r="579">
          <cell r="C579">
            <v>3267.2620000000002</v>
          </cell>
          <cell r="D579">
            <v>2.4500000000000002</v>
          </cell>
          <cell r="G579">
            <v>5184.259</v>
          </cell>
          <cell r="H579">
            <v>-17.363</v>
          </cell>
        </row>
        <row r="580">
          <cell r="C580">
            <v>3270.8829999999998</v>
          </cell>
          <cell r="D580">
            <v>2.4289999999999998</v>
          </cell>
          <cell r="G580">
            <v>5188.9979999999996</v>
          </cell>
          <cell r="H580">
            <v>-17.638999999999999</v>
          </cell>
        </row>
        <row r="581">
          <cell r="C581">
            <v>3274.8809999999999</v>
          </cell>
          <cell r="D581">
            <v>2.496</v>
          </cell>
          <cell r="G581">
            <v>5191.88</v>
          </cell>
          <cell r="H581">
            <v>-17.725000000000001</v>
          </cell>
        </row>
        <row r="582">
          <cell r="C582">
            <v>3279.556</v>
          </cell>
          <cell r="D582">
            <v>2.4340000000000002</v>
          </cell>
          <cell r="G582">
            <v>5195.6629999999996</v>
          </cell>
          <cell r="H582">
            <v>-17.890999999999998</v>
          </cell>
        </row>
        <row r="583">
          <cell r="C583">
            <v>3282.26</v>
          </cell>
          <cell r="D583">
            <v>2.5289999999999999</v>
          </cell>
          <cell r="G583">
            <v>5200.2920000000004</v>
          </cell>
          <cell r="H583">
            <v>-18.146999999999998</v>
          </cell>
        </row>
        <row r="584">
          <cell r="C584">
            <v>3284.8310000000001</v>
          </cell>
          <cell r="D584">
            <v>2.5819999999999999</v>
          </cell>
          <cell r="G584">
            <v>5204.6379999999999</v>
          </cell>
          <cell r="H584">
            <v>-18.126000000000001</v>
          </cell>
        </row>
        <row r="585">
          <cell r="C585">
            <v>3287.3130000000001</v>
          </cell>
          <cell r="D585">
            <v>2.5739999999999998</v>
          </cell>
          <cell r="G585">
            <v>5208.951</v>
          </cell>
          <cell r="H585">
            <v>-18.134</v>
          </cell>
        </row>
        <row r="586">
          <cell r="C586">
            <v>3290.8560000000002</v>
          </cell>
          <cell r="D586">
            <v>2.6589999999999998</v>
          </cell>
          <cell r="G586">
            <v>5211.6400000000003</v>
          </cell>
          <cell r="H586">
            <v>-18.163</v>
          </cell>
        </row>
        <row r="587">
          <cell r="C587">
            <v>3294.57</v>
          </cell>
          <cell r="D587">
            <v>2.6579999999999999</v>
          </cell>
          <cell r="G587">
            <v>5217.3739999999998</v>
          </cell>
          <cell r="H587">
            <v>-17.952999999999999</v>
          </cell>
        </row>
        <row r="588">
          <cell r="C588">
            <v>3297.8960000000002</v>
          </cell>
          <cell r="D588">
            <v>2.6989999999999998</v>
          </cell>
          <cell r="G588">
            <v>5223.0420000000004</v>
          </cell>
          <cell r="H588">
            <v>-17.667999999999999</v>
          </cell>
        </row>
        <row r="589">
          <cell r="C589">
            <v>3301.4540000000002</v>
          </cell>
          <cell r="D589">
            <v>2.7080000000000002</v>
          </cell>
          <cell r="G589">
            <v>5226.29</v>
          </cell>
          <cell r="H589">
            <v>-17.643000000000001</v>
          </cell>
        </row>
        <row r="590">
          <cell r="C590">
            <v>3305.1570000000002</v>
          </cell>
          <cell r="D590">
            <v>2.7229999999999999</v>
          </cell>
          <cell r="G590">
            <v>5229.4639999999999</v>
          </cell>
          <cell r="H590">
            <v>-17.411000000000001</v>
          </cell>
        </row>
        <row r="591">
          <cell r="C591">
            <v>3309.2130000000002</v>
          </cell>
          <cell r="D591">
            <v>2.6909999999999998</v>
          </cell>
          <cell r="G591">
            <v>5232.915</v>
          </cell>
          <cell r="H591">
            <v>-17.167999999999999</v>
          </cell>
        </row>
        <row r="592">
          <cell r="C592">
            <v>3313.0219999999999</v>
          </cell>
          <cell r="D592">
            <v>2.6920000000000002</v>
          </cell>
          <cell r="G592">
            <v>5238.1679999999997</v>
          </cell>
          <cell r="H592">
            <v>-16.693999999999999</v>
          </cell>
        </row>
        <row r="593">
          <cell r="C593">
            <v>3317.4319999999998</v>
          </cell>
          <cell r="D593">
            <v>2.6589999999999998</v>
          </cell>
          <cell r="G593">
            <v>5242.5690000000004</v>
          </cell>
          <cell r="H593">
            <v>-16.283999999999999</v>
          </cell>
        </row>
        <row r="594">
          <cell r="C594">
            <v>3322.4430000000002</v>
          </cell>
          <cell r="D594">
            <v>2.6240000000000001</v>
          </cell>
          <cell r="G594">
            <v>5246.7790000000005</v>
          </cell>
          <cell r="H594">
            <v>-15.930999999999999</v>
          </cell>
        </row>
        <row r="595">
          <cell r="C595">
            <v>3326.3150000000001</v>
          </cell>
          <cell r="D595">
            <v>2.698</v>
          </cell>
          <cell r="G595">
            <v>5249.8980000000001</v>
          </cell>
          <cell r="H595">
            <v>-15.532999999999999</v>
          </cell>
        </row>
        <row r="596">
          <cell r="C596">
            <v>3332.7109999999998</v>
          </cell>
          <cell r="D596">
            <v>2.6859999999999999</v>
          </cell>
          <cell r="G596">
            <v>5255.53</v>
          </cell>
          <cell r="H596">
            <v>-14.813000000000001</v>
          </cell>
        </row>
        <row r="597">
          <cell r="C597">
            <v>3336.864</v>
          </cell>
          <cell r="D597">
            <v>2.6869999999999998</v>
          </cell>
          <cell r="G597">
            <v>5258.5829999999996</v>
          </cell>
          <cell r="H597">
            <v>-14.484999999999999</v>
          </cell>
        </row>
        <row r="598">
          <cell r="C598">
            <v>3342.4029999999998</v>
          </cell>
          <cell r="D598">
            <v>2.7450000000000001</v>
          </cell>
          <cell r="G598">
            <v>5261.7879999999996</v>
          </cell>
          <cell r="H598">
            <v>-13.978</v>
          </cell>
        </row>
        <row r="599">
          <cell r="C599">
            <v>3347.5590000000002</v>
          </cell>
          <cell r="D599">
            <v>2.7869999999999999</v>
          </cell>
          <cell r="G599">
            <v>5264.5039999999999</v>
          </cell>
          <cell r="H599">
            <v>-13.472</v>
          </cell>
        </row>
        <row r="600">
          <cell r="C600">
            <v>3351.596</v>
          </cell>
          <cell r="D600">
            <v>2.8039999999999998</v>
          </cell>
          <cell r="G600">
            <v>5268.2529999999997</v>
          </cell>
          <cell r="H600">
            <v>-12.907999999999999</v>
          </cell>
        </row>
        <row r="601">
          <cell r="C601">
            <v>3358.7350000000001</v>
          </cell>
          <cell r="D601">
            <v>2.85</v>
          </cell>
          <cell r="G601">
            <v>5271.0550000000003</v>
          </cell>
          <cell r="H601">
            <v>-12.393000000000001</v>
          </cell>
        </row>
        <row r="602">
          <cell r="C602">
            <v>3370.078</v>
          </cell>
          <cell r="D602">
            <v>2.8359999999999999</v>
          </cell>
          <cell r="G602">
            <v>5273.0020000000004</v>
          </cell>
          <cell r="H602">
            <v>-12.085000000000001</v>
          </cell>
        </row>
        <row r="603">
          <cell r="C603">
            <v>3379.5569999999998</v>
          </cell>
          <cell r="D603">
            <v>2.8039999999999998</v>
          </cell>
          <cell r="G603">
            <v>5283.7939999999999</v>
          </cell>
          <cell r="H603">
            <v>-10.34</v>
          </cell>
        </row>
        <row r="604">
          <cell r="C604">
            <v>3388.538</v>
          </cell>
          <cell r="D604">
            <v>2.9089999999999998</v>
          </cell>
          <cell r="G604">
            <v>5299.0420000000004</v>
          </cell>
          <cell r="H604">
            <v>-8.1859999999999999</v>
          </cell>
        </row>
        <row r="605">
          <cell r="C605">
            <v>3399.027</v>
          </cell>
          <cell r="D605">
            <v>2.863</v>
          </cell>
          <cell r="G605">
            <v>5309.9610000000002</v>
          </cell>
          <cell r="H605">
            <v>-7.0439999999999996</v>
          </cell>
        </row>
        <row r="606">
          <cell r="C606">
            <v>3402.2020000000002</v>
          </cell>
          <cell r="D606">
            <v>2.887</v>
          </cell>
          <cell r="G606">
            <v>5313.0619999999999</v>
          </cell>
          <cell r="H606">
            <v>-6.7</v>
          </cell>
        </row>
        <row r="607">
          <cell r="C607">
            <v>3406.6</v>
          </cell>
          <cell r="D607">
            <v>2.9220000000000002</v>
          </cell>
          <cell r="G607">
            <v>5318.0129999999999</v>
          </cell>
          <cell r="H607">
            <v>-6.2850000000000001</v>
          </cell>
        </row>
        <row r="608">
          <cell r="C608">
            <v>3409.4450000000002</v>
          </cell>
          <cell r="D608">
            <v>2.976</v>
          </cell>
          <cell r="G608">
            <v>5322.0320000000002</v>
          </cell>
          <cell r="H608">
            <v>-5.9729999999999999</v>
          </cell>
        </row>
        <row r="609">
          <cell r="C609">
            <v>3418.08</v>
          </cell>
          <cell r="D609">
            <v>2.9620000000000002</v>
          </cell>
          <cell r="G609">
            <v>5327.7610000000004</v>
          </cell>
          <cell r="H609">
            <v>-5.7220000000000004</v>
          </cell>
        </row>
        <row r="610">
          <cell r="C610">
            <v>3424.3470000000002</v>
          </cell>
          <cell r="D610">
            <v>3.09</v>
          </cell>
          <cell r="G610">
            <v>5335.2309999999998</v>
          </cell>
          <cell r="H610">
            <v>-5.67</v>
          </cell>
        </row>
        <row r="611">
          <cell r="C611">
            <v>3433.9270000000001</v>
          </cell>
          <cell r="D611">
            <v>3.0569999999999999</v>
          </cell>
          <cell r="G611">
            <v>5339.88</v>
          </cell>
          <cell r="H611">
            <v>-6.0039999999999996</v>
          </cell>
        </row>
        <row r="612">
          <cell r="C612">
            <v>3444.44</v>
          </cell>
          <cell r="D612">
            <v>3.1779999999999999</v>
          </cell>
          <cell r="G612">
            <v>5345.1450000000004</v>
          </cell>
          <cell r="H612">
            <v>-6.5750000000000002</v>
          </cell>
        </row>
        <row r="613">
          <cell r="C613">
            <v>3458.98</v>
          </cell>
          <cell r="D613">
            <v>3.22</v>
          </cell>
          <cell r="G613">
            <v>5347.835</v>
          </cell>
          <cell r="H613">
            <v>-7.008</v>
          </cell>
        </row>
        <row r="614">
          <cell r="C614">
            <v>3474.1509999999998</v>
          </cell>
          <cell r="D614">
            <v>3.2519999999999998</v>
          </cell>
          <cell r="G614">
            <v>5353.4759999999997</v>
          </cell>
          <cell r="H614">
            <v>-8.0310000000000006</v>
          </cell>
        </row>
        <row r="615">
          <cell r="C615">
            <v>3489.3679999999999</v>
          </cell>
          <cell r="D615">
            <v>3.2919999999999998</v>
          </cell>
          <cell r="G615">
            <v>5356.8549999999996</v>
          </cell>
          <cell r="H615">
            <v>-8.6850000000000005</v>
          </cell>
        </row>
        <row r="616">
          <cell r="C616">
            <v>3502.4540000000002</v>
          </cell>
          <cell r="D616">
            <v>3.37</v>
          </cell>
          <cell r="G616">
            <v>5362.6390000000001</v>
          </cell>
          <cell r="H616">
            <v>-9.9109999999999996</v>
          </cell>
        </row>
        <row r="617">
          <cell r="C617">
            <v>3514.46</v>
          </cell>
          <cell r="D617">
            <v>3.343</v>
          </cell>
          <cell r="G617">
            <v>5366.0889999999999</v>
          </cell>
          <cell r="H617">
            <v>-10.768000000000001</v>
          </cell>
        </row>
        <row r="618">
          <cell r="C618">
            <v>3526.4409999999998</v>
          </cell>
          <cell r="D618">
            <v>3.415</v>
          </cell>
          <cell r="G618">
            <v>5371.9390000000003</v>
          </cell>
          <cell r="H618">
            <v>-12.204000000000001</v>
          </cell>
        </row>
        <row r="619">
          <cell r="C619">
            <v>3536.6210000000001</v>
          </cell>
          <cell r="D619">
            <v>3.395</v>
          </cell>
          <cell r="G619">
            <v>5393.1289999999999</v>
          </cell>
          <cell r="H619">
            <v>-15.907</v>
          </cell>
        </row>
        <row r="620">
          <cell r="C620">
            <v>3547.7220000000002</v>
          </cell>
          <cell r="D620">
            <v>3.524</v>
          </cell>
          <cell r="G620">
            <v>5413.7439999999997</v>
          </cell>
          <cell r="H620">
            <v>-17.338000000000001</v>
          </cell>
        </row>
        <row r="621">
          <cell r="C621">
            <v>3559.65</v>
          </cell>
          <cell r="D621">
            <v>3.5019999999999998</v>
          </cell>
          <cell r="G621">
            <v>5429.6319999999996</v>
          </cell>
          <cell r="H621">
            <v>-17.352</v>
          </cell>
        </row>
        <row r="622">
          <cell r="C622">
            <v>3569.9189999999999</v>
          </cell>
          <cell r="D622">
            <v>3.4369999999999998</v>
          </cell>
          <cell r="G622">
            <v>5441.643</v>
          </cell>
          <cell r="H622">
            <v>-16.358000000000001</v>
          </cell>
        </row>
        <row r="623">
          <cell r="C623">
            <v>3590.1660000000002</v>
          </cell>
          <cell r="D623">
            <v>2.4620000000000002</v>
          </cell>
          <cell r="G623">
            <v>5451.3</v>
          </cell>
          <cell r="H623">
            <v>-15.157</v>
          </cell>
        </row>
        <row r="624">
          <cell r="C624">
            <v>3599.7930000000001</v>
          </cell>
          <cell r="D624">
            <v>2.1019999999999999</v>
          </cell>
          <cell r="G624">
            <v>5461.808</v>
          </cell>
          <cell r="H624">
            <v>-13.858000000000001</v>
          </cell>
        </row>
        <row r="625">
          <cell r="C625">
            <v>3603.68</v>
          </cell>
          <cell r="D625">
            <v>1.9059999999999999</v>
          </cell>
          <cell r="G625">
            <v>5466.9639999999999</v>
          </cell>
          <cell r="H625">
            <v>-13.21</v>
          </cell>
        </row>
        <row r="626">
          <cell r="C626">
            <v>3607.355</v>
          </cell>
          <cell r="D626">
            <v>1.9790000000000001</v>
          </cell>
          <cell r="G626">
            <v>5472.7290000000003</v>
          </cell>
          <cell r="H626">
            <v>-12.536</v>
          </cell>
        </row>
        <row r="627">
          <cell r="C627">
            <v>3613.9070000000002</v>
          </cell>
          <cell r="D627">
            <v>2.1269999999999998</v>
          </cell>
          <cell r="G627">
            <v>5478.7950000000001</v>
          </cell>
          <cell r="H627">
            <v>-11.743</v>
          </cell>
        </row>
        <row r="628">
          <cell r="C628">
            <v>3618.1019999999999</v>
          </cell>
          <cell r="D628">
            <v>2.177</v>
          </cell>
          <cell r="G628">
            <v>5482.6639999999998</v>
          </cell>
          <cell r="H628">
            <v>-11.307</v>
          </cell>
        </row>
        <row r="629">
          <cell r="C629">
            <v>3620.7449999999999</v>
          </cell>
          <cell r="D629">
            <v>2.3839999999999999</v>
          </cell>
          <cell r="G629">
            <v>5492.4610000000002</v>
          </cell>
          <cell r="H629">
            <v>-10.188000000000001</v>
          </cell>
        </row>
        <row r="630">
          <cell r="C630">
            <v>3626.0839999999998</v>
          </cell>
          <cell r="D630">
            <v>2.5209999999999999</v>
          </cell>
          <cell r="G630">
            <v>5497.8360000000002</v>
          </cell>
          <cell r="H630">
            <v>-9.5449999999999999</v>
          </cell>
        </row>
        <row r="631">
          <cell r="C631">
            <v>3633.636</v>
          </cell>
          <cell r="D631">
            <v>2.7450000000000001</v>
          </cell>
          <cell r="G631">
            <v>5502.2749999999996</v>
          </cell>
          <cell r="H631">
            <v>-9.1010000000000009</v>
          </cell>
        </row>
        <row r="632">
          <cell r="C632">
            <v>3637.788</v>
          </cell>
          <cell r="D632">
            <v>2.7170000000000001</v>
          </cell>
          <cell r="G632">
            <v>5506.82</v>
          </cell>
          <cell r="H632">
            <v>-8.6370000000000005</v>
          </cell>
        </row>
        <row r="633">
          <cell r="C633">
            <v>3644.364</v>
          </cell>
          <cell r="D633">
            <v>3.0609999999999999</v>
          </cell>
          <cell r="G633">
            <v>5511.5479999999998</v>
          </cell>
          <cell r="H633">
            <v>-8.1549999999999994</v>
          </cell>
        </row>
        <row r="634">
          <cell r="C634">
            <v>3653.99</v>
          </cell>
          <cell r="D634">
            <v>3.17</v>
          </cell>
          <cell r="G634">
            <v>5516.87</v>
          </cell>
          <cell r="H634">
            <v>-7.69</v>
          </cell>
        </row>
        <row r="635">
          <cell r="C635">
            <v>3659.3809999999999</v>
          </cell>
          <cell r="D635">
            <v>3.1619999999999999</v>
          </cell>
          <cell r="G635">
            <v>5522.2160000000003</v>
          </cell>
          <cell r="H635">
            <v>-7.3140000000000001</v>
          </cell>
        </row>
        <row r="636">
          <cell r="C636">
            <v>3666.5340000000001</v>
          </cell>
          <cell r="D636">
            <v>3.1110000000000002</v>
          </cell>
          <cell r="G636">
            <v>5525.6120000000001</v>
          </cell>
          <cell r="H636">
            <v>-7.1070000000000002</v>
          </cell>
        </row>
        <row r="637">
          <cell r="C637">
            <v>3675.2440000000001</v>
          </cell>
          <cell r="D637">
            <v>3.1629999999999998</v>
          </cell>
          <cell r="G637">
            <v>5527.7610000000004</v>
          </cell>
          <cell r="H637">
            <v>-7.0549999999999997</v>
          </cell>
        </row>
        <row r="638">
          <cell r="C638">
            <v>3685.076</v>
          </cell>
          <cell r="D638">
            <v>3.266</v>
          </cell>
          <cell r="G638">
            <v>5531.3990000000003</v>
          </cell>
          <cell r="H638">
            <v>-6.827</v>
          </cell>
        </row>
        <row r="639">
          <cell r="C639">
            <v>3702.8850000000002</v>
          </cell>
          <cell r="D639">
            <v>3.2869999999999999</v>
          </cell>
          <cell r="G639">
            <v>5536.8310000000001</v>
          </cell>
          <cell r="H639">
            <v>-6.7229999999999999</v>
          </cell>
        </row>
        <row r="640">
          <cell r="C640">
            <v>3719.0590000000002</v>
          </cell>
          <cell r="D640">
            <v>3.419</v>
          </cell>
          <cell r="G640">
            <v>5540.9470000000001</v>
          </cell>
          <cell r="H640">
            <v>-6.58</v>
          </cell>
        </row>
        <row r="641">
          <cell r="C641">
            <v>3747.2809999999999</v>
          </cell>
          <cell r="D641">
            <v>3.702</v>
          </cell>
          <cell r="G641">
            <v>5548.44</v>
          </cell>
          <cell r="H641">
            <v>-6.0490000000000004</v>
          </cell>
        </row>
        <row r="642">
          <cell r="C642">
            <v>3751.596</v>
          </cell>
          <cell r="D642">
            <v>3.7320000000000002</v>
          </cell>
          <cell r="G642">
            <v>5557.1019999999999</v>
          </cell>
          <cell r="H642">
            <v>-5.5549999999999997</v>
          </cell>
        </row>
        <row r="643">
          <cell r="C643">
            <v>3756.5390000000002</v>
          </cell>
          <cell r="D643">
            <v>3.71</v>
          </cell>
          <cell r="G643">
            <v>5561.866</v>
          </cell>
          <cell r="H643">
            <v>-5.282</v>
          </cell>
        </row>
        <row r="644">
          <cell r="C644">
            <v>3763.1930000000002</v>
          </cell>
          <cell r="D644">
            <v>3.851</v>
          </cell>
          <cell r="G644">
            <v>5566.2380000000003</v>
          </cell>
          <cell r="H644">
            <v>-5.1609999999999996</v>
          </cell>
        </row>
        <row r="645">
          <cell r="C645">
            <v>3769.1570000000002</v>
          </cell>
          <cell r="D645">
            <v>3.706</v>
          </cell>
          <cell r="G645">
            <v>5569.3549999999996</v>
          </cell>
          <cell r="H645">
            <v>-5.1029999999999998</v>
          </cell>
        </row>
        <row r="646">
          <cell r="C646">
            <v>3773.9789999999998</v>
          </cell>
          <cell r="D646">
            <v>3.6720000000000002</v>
          </cell>
          <cell r="G646">
            <v>5573.48</v>
          </cell>
          <cell r="H646">
            <v>-5.1879999999999997</v>
          </cell>
        </row>
        <row r="647">
          <cell r="C647">
            <v>3779.8069999999998</v>
          </cell>
          <cell r="D647">
            <v>3.8639999999999999</v>
          </cell>
          <cell r="G647">
            <v>5576.902</v>
          </cell>
          <cell r="H647">
            <v>-5.4820000000000002</v>
          </cell>
        </row>
        <row r="648">
          <cell r="C648">
            <v>3786.2669999999998</v>
          </cell>
          <cell r="D648">
            <v>3.7810000000000001</v>
          </cell>
          <cell r="G648">
            <v>5594.2179999999998</v>
          </cell>
          <cell r="H648">
            <v>-5.8570000000000002</v>
          </cell>
        </row>
        <row r="649">
          <cell r="C649">
            <v>3790.4690000000001</v>
          </cell>
          <cell r="D649">
            <v>3.7679999999999998</v>
          </cell>
          <cell r="G649">
            <v>5611.3590000000004</v>
          </cell>
          <cell r="H649">
            <v>-5.9210000000000003</v>
          </cell>
        </row>
        <row r="650">
          <cell r="C650">
            <v>3794.9630000000002</v>
          </cell>
          <cell r="D650">
            <v>3.722</v>
          </cell>
          <cell r="G650">
            <v>5626.8940000000002</v>
          </cell>
          <cell r="H650">
            <v>-5.8959999999999999</v>
          </cell>
        </row>
        <row r="651">
          <cell r="C651">
            <v>3800.56</v>
          </cell>
          <cell r="D651">
            <v>3.6880000000000002</v>
          </cell>
          <cell r="G651">
            <v>5641.8639999999996</v>
          </cell>
          <cell r="H651">
            <v>-5.8920000000000003</v>
          </cell>
        </row>
        <row r="652">
          <cell r="C652">
            <v>3807.183</v>
          </cell>
          <cell r="D652">
            <v>3.5489999999999999</v>
          </cell>
          <cell r="G652">
            <v>5654.5460000000003</v>
          </cell>
          <cell r="H652">
            <v>-6.0010000000000003</v>
          </cell>
        </row>
        <row r="653">
          <cell r="C653">
            <v>3811.0839999999998</v>
          </cell>
          <cell r="D653">
            <v>3.5710000000000002</v>
          </cell>
          <cell r="G653">
            <v>5669.9409999999998</v>
          </cell>
          <cell r="H653">
            <v>-5.8470000000000004</v>
          </cell>
        </row>
        <row r="654">
          <cell r="C654">
            <v>3816.3220000000001</v>
          </cell>
          <cell r="D654">
            <v>3.6749999999999998</v>
          </cell>
          <cell r="G654">
            <v>5689.3739999999998</v>
          </cell>
          <cell r="H654">
            <v>-5.9059999999999997</v>
          </cell>
        </row>
        <row r="655">
          <cell r="C655">
            <v>3822.5569999999998</v>
          </cell>
          <cell r="D655">
            <v>3.6829999999999998</v>
          </cell>
          <cell r="G655">
            <v>5701.8729999999996</v>
          </cell>
          <cell r="H655">
            <v>-5.9470000000000001</v>
          </cell>
        </row>
        <row r="656">
          <cell r="C656">
            <v>3826.0970000000002</v>
          </cell>
          <cell r="D656">
            <v>3.742</v>
          </cell>
          <cell r="G656">
            <v>5715.1750000000002</v>
          </cell>
          <cell r="H656">
            <v>-5.8540000000000001</v>
          </cell>
        </row>
        <row r="657">
          <cell r="C657">
            <v>3832.6190000000001</v>
          </cell>
          <cell r="D657">
            <v>3.669</v>
          </cell>
          <cell r="G657">
            <v>5727.4589999999998</v>
          </cell>
          <cell r="H657">
            <v>-5.7329999999999997</v>
          </cell>
        </row>
        <row r="658">
          <cell r="C658">
            <v>3837.1129999999998</v>
          </cell>
          <cell r="D658">
            <v>3.6219999999999999</v>
          </cell>
          <cell r="G658">
            <v>5745.84</v>
          </cell>
          <cell r="H658">
            <v>-5.8639999999999999</v>
          </cell>
        </row>
        <row r="659">
          <cell r="C659">
            <v>3841.4670000000001</v>
          </cell>
          <cell r="D659">
            <v>3.5819999999999999</v>
          </cell>
          <cell r="G659">
            <v>5765.6350000000002</v>
          </cell>
          <cell r="H659">
            <v>-6.1710000000000003</v>
          </cell>
        </row>
        <row r="660">
          <cell r="C660">
            <v>3845.5610000000001</v>
          </cell>
          <cell r="D660">
            <v>3.7120000000000002</v>
          </cell>
          <cell r="G660">
            <v>5786.1869999999999</v>
          </cell>
          <cell r="H660">
            <v>-6.07</v>
          </cell>
        </row>
        <row r="661">
          <cell r="C661">
            <v>3849.1129999999998</v>
          </cell>
          <cell r="D661">
            <v>3.637</v>
          </cell>
          <cell r="G661">
            <v>5801.7939999999999</v>
          </cell>
          <cell r="H661">
            <v>-6.0380000000000003</v>
          </cell>
        </row>
        <row r="662">
          <cell r="C662">
            <v>3854.3130000000001</v>
          </cell>
          <cell r="D662">
            <v>3.6030000000000002</v>
          </cell>
          <cell r="G662">
            <v>5819.223</v>
          </cell>
          <cell r="H662">
            <v>-6.0679999999999996</v>
          </cell>
        </row>
        <row r="663">
          <cell r="C663">
            <v>3857.4630000000002</v>
          </cell>
          <cell r="D663">
            <v>3.51</v>
          </cell>
          <cell r="G663">
            <v>5834.9009999999998</v>
          </cell>
          <cell r="H663">
            <v>-6.0490000000000004</v>
          </cell>
        </row>
        <row r="664">
          <cell r="C664">
            <v>3862.54</v>
          </cell>
          <cell r="D664">
            <v>2.9550000000000001</v>
          </cell>
          <cell r="G664">
            <v>5854.94</v>
          </cell>
          <cell r="H664">
            <v>-5.9749999999999996</v>
          </cell>
        </row>
        <row r="665">
          <cell r="C665">
            <v>3869.1590000000001</v>
          </cell>
          <cell r="D665">
            <v>2.7160000000000002</v>
          </cell>
          <cell r="G665">
            <v>5875.9480000000003</v>
          </cell>
          <cell r="H665">
            <v>-5.7069999999999999</v>
          </cell>
        </row>
        <row r="666">
          <cell r="C666">
            <v>3875.585</v>
          </cell>
          <cell r="D666">
            <v>2.5409999999999999</v>
          </cell>
          <cell r="G666">
            <v>5902.1620000000003</v>
          </cell>
          <cell r="H666">
            <v>-5.5510000000000002</v>
          </cell>
        </row>
        <row r="667">
          <cell r="C667">
            <v>3884.5990000000002</v>
          </cell>
          <cell r="D667">
            <v>2.7109999999999999</v>
          </cell>
          <cell r="G667">
            <v>5913.1</v>
          </cell>
          <cell r="H667">
            <v>-5.5049999999999999</v>
          </cell>
        </row>
        <row r="668">
          <cell r="C668">
            <v>3891.9670000000001</v>
          </cell>
          <cell r="D668">
            <v>2.891</v>
          </cell>
          <cell r="G668">
            <v>5943.9160000000002</v>
          </cell>
          <cell r="H668">
            <v>-6.2350000000000003</v>
          </cell>
        </row>
        <row r="669">
          <cell r="C669">
            <v>3900.386</v>
          </cell>
          <cell r="D669">
            <v>2.9340000000000002</v>
          </cell>
          <cell r="G669">
            <v>5956.1610000000001</v>
          </cell>
          <cell r="H669">
            <v>-6.3120000000000003</v>
          </cell>
        </row>
        <row r="670">
          <cell r="C670">
            <v>3905.8910000000001</v>
          </cell>
          <cell r="D670">
            <v>3.0680000000000001</v>
          </cell>
          <cell r="G670">
            <v>5963.951</v>
          </cell>
          <cell r="H670">
            <v>-6.415</v>
          </cell>
        </row>
        <row r="671">
          <cell r="C671">
            <v>3912.1819999999998</v>
          </cell>
          <cell r="D671">
            <v>3.0070000000000001</v>
          </cell>
          <cell r="G671">
            <v>5973.6570000000002</v>
          </cell>
          <cell r="H671">
            <v>-6.4530000000000003</v>
          </cell>
        </row>
        <row r="672">
          <cell r="C672">
            <v>3918.3139999999999</v>
          </cell>
          <cell r="D672">
            <v>2.915</v>
          </cell>
          <cell r="G672">
            <v>5982.9229999999998</v>
          </cell>
          <cell r="H672">
            <v>-6.484</v>
          </cell>
        </row>
        <row r="673">
          <cell r="C673">
            <v>3921.4110000000001</v>
          </cell>
          <cell r="D673">
            <v>2.9540000000000002</v>
          </cell>
          <cell r="G673">
            <v>5989.5029999999997</v>
          </cell>
          <cell r="H673">
            <v>-6.6029999999999998</v>
          </cell>
        </row>
        <row r="674">
          <cell r="C674">
            <v>3927.194</v>
          </cell>
          <cell r="D674">
            <v>2.782</v>
          </cell>
          <cell r="G674">
            <v>5996.3130000000001</v>
          </cell>
          <cell r="H674">
            <v>-6.5620000000000003</v>
          </cell>
        </row>
        <row r="675">
          <cell r="C675">
            <v>3933.63</v>
          </cell>
          <cell r="D675">
            <v>2.552</v>
          </cell>
          <cell r="G675">
            <v>6000.9840000000004</v>
          </cell>
          <cell r="H675">
            <v>-6.4820000000000002</v>
          </cell>
        </row>
        <row r="676">
          <cell r="C676">
            <v>3939.3429999999998</v>
          </cell>
          <cell r="D676">
            <v>2.2610000000000001</v>
          </cell>
          <cell r="G676">
            <v>6023.0860000000002</v>
          </cell>
          <cell r="H676">
            <v>-7.0819999999999999</v>
          </cell>
        </row>
        <row r="677">
          <cell r="C677">
            <v>3945.694</v>
          </cell>
          <cell r="D677">
            <v>2.101</v>
          </cell>
          <cell r="G677">
            <v>6036.6019999999999</v>
          </cell>
          <cell r="H677">
            <v>-7.3150000000000004</v>
          </cell>
        </row>
        <row r="678">
          <cell r="C678">
            <v>3951.7489999999998</v>
          </cell>
          <cell r="D678">
            <v>2.2149999999999999</v>
          </cell>
          <cell r="G678">
            <v>6057.1009999999997</v>
          </cell>
          <cell r="H678">
            <v>-7.8650000000000002</v>
          </cell>
        </row>
        <row r="679">
          <cell r="C679">
            <v>3959.1410000000001</v>
          </cell>
          <cell r="D679">
            <v>2.2909999999999999</v>
          </cell>
          <cell r="G679">
            <v>6076.89</v>
          </cell>
          <cell r="H679">
            <v>-8.5839999999999996</v>
          </cell>
        </row>
        <row r="680">
          <cell r="C680">
            <v>3969.0590000000002</v>
          </cell>
          <cell r="D680">
            <v>2.4500000000000002</v>
          </cell>
          <cell r="G680">
            <v>6095.0060000000003</v>
          </cell>
          <cell r="H680">
            <v>-9.0109999999999992</v>
          </cell>
        </row>
        <row r="681">
          <cell r="C681">
            <v>3985.8679999999999</v>
          </cell>
          <cell r="D681">
            <v>2.431</v>
          </cell>
          <cell r="G681">
            <v>6117.3940000000002</v>
          </cell>
          <cell r="H681">
            <v>-9.64</v>
          </cell>
        </row>
        <row r="682">
          <cell r="C682">
            <v>4003.68</v>
          </cell>
          <cell r="D682">
            <v>2.4129999999999998</v>
          </cell>
          <cell r="G682">
            <v>6138.348</v>
          </cell>
          <cell r="H682">
            <v>-10.417999999999999</v>
          </cell>
        </row>
        <row r="683">
          <cell r="C683">
            <v>4018.1869999999999</v>
          </cell>
          <cell r="D683">
            <v>2.3660000000000001</v>
          </cell>
          <cell r="G683">
            <v>6159.48</v>
          </cell>
          <cell r="H683">
            <v>-11.164</v>
          </cell>
        </row>
        <row r="684">
          <cell r="C684">
            <v>4032.0410000000002</v>
          </cell>
          <cell r="D684">
            <v>2.4239999999999999</v>
          </cell>
          <cell r="G684">
            <v>6167.3459999999995</v>
          </cell>
          <cell r="H684">
            <v>-11.39</v>
          </cell>
        </row>
        <row r="685">
          <cell r="C685">
            <v>4037.8380000000002</v>
          </cell>
          <cell r="D685">
            <v>2.4660000000000002</v>
          </cell>
          <cell r="G685">
            <v>6173.7359999999999</v>
          </cell>
          <cell r="H685">
            <v>-11.551</v>
          </cell>
        </row>
        <row r="686">
          <cell r="C686">
            <v>4044.627</v>
          </cell>
          <cell r="D686">
            <v>2.464</v>
          </cell>
          <cell r="G686">
            <v>6177.8190000000004</v>
          </cell>
          <cell r="H686">
            <v>-11.504</v>
          </cell>
        </row>
        <row r="687">
          <cell r="C687">
            <v>4055.4690000000001</v>
          </cell>
          <cell r="D687">
            <v>2.7</v>
          </cell>
          <cell r="G687">
            <v>6184.27</v>
          </cell>
          <cell r="H687">
            <v>-11.417999999999999</v>
          </cell>
        </row>
        <row r="688">
          <cell r="C688">
            <v>4065.8679999999999</v>
          </cell>
          <cell r="D688">
            <v>2.5750000000000002</v>
          </cell>
          <cell r="G688">
            <v>6189.2719999999999</v>
          </cell>
          <cell r="H688">
            <v>-11.151999999999999</v>
          </cell>
        </row>
        <row r="689">
          <cell r="C689">
            <v>4078.183</v>
          </cell>
          <cell r="D689">
            <v>2.4649999999999999</v>
          </cell>
          <cell r="G689">
            <v>6195.0569999999998</v>
          </cell>
          <cell r="H689">
            <v>-10.885999999999999</v>
          </cell>
        </row>
        <row r="690">
          <cell r="C690">
            <v>4084.3130000000001</v>
          </cell>
          <cell r="D690">
            <v>2.4020000000000001</v>
          </cell>
          <cell r="G690">
            <v>6202.1629999999996</v>
          </cell>
          <cell r="H690">
            <v>-10.507999999999999</v>
          </cell>
        </row>
        <row r="691">
          <cell r="C691">
            <v>4097.7510000000002</v>
          </cell>
          <cell r="D691">
            <v>2.2029999999999998</v>
          </cell>
          <cell r="G691">
            <v>6207.576</v>
          </cell>
          <cell r="H691">
            <v>-10.208</v>
          </cell>
        </row>
        <row r="692">
          <cell r="C692">
            <v>4111.8320000000003</v>
          </cell>
          <cell r="D692">
            <v>2.5369999999999999</v>
          </cell>
          <cell r="G692">
            <v>6212.8810000000003</v>
          </cell>
          <cell r="H692">
            <v>-9.9659999999999993</v>
          </cell>
        </row>
        <row r="693">
          <cell r="C693">
            <v>4122.6629999999996</v>
          </cell>
          <cell r="D693">
            <v>2.5510000000000002</v>
          </cell>
          <cell r="G693">
            <v>6218.6469999999999</v>
          </cell>
          <cell r="H693">
            <v>-9.6199999999999992</v>
          </cell>
        </row>
        <row r="694">
          <cell r="C694">
            <v>4135.9480000000003</v>
          </cell>
          <cell r="D694">
            <v>2.7309999999999999</v>
          </cell>
          <cell r="G694">
            <v>6223.9949999999999</v>
          </cell>
          <cell r="H694">
            <v>-8.9329999999999998</v>
          </cell>
        </row>
        <row r="695">
          <cell r="C695">
            <v>4148.7839999999997</v>
          </cell>
          <cell r="D695">
            <v>2.657</v>
          </cell>
          <cell r="G695">
            <v>6228.6909999999998</v>
          </cell>
          <cell r="H695">
            <v>-8.4890000000000008</v>
          </cell>
        </row>
        <row r="696">
          <cell r="C696">
            <v>4150.942</v>
          </cell>
          <cell r="D696">
            <v>2.6560000000000001</v>
          </cell>
          <cell r="G696">
            <v>6235.8450000000003</v>
          </cell>
          <cell r="H696">
            <v>-8.125</v>
          </cell>
        </row>
        <row r="697">
          <cell r="C697">
            <v>4154.2030000000004</v>
          </cell>
          <cell r="D697">
            <v>2.5510000000000002</v>
          </cell>
          <cell r="G697">
            <v>6240.6329999999998</v>
          </cell>
          <cell r="H697">
            <v>-7.8470000000000004</v>
          </cell>
        </row>
        <row r="698">
          <cell r="C698">
            <v>4157.6670000000004</v>
          </cell>
          <cell r="D698">
            <v>2.5539999999999998</v>
          </cell>
          <cell r="G698">
            <v>6244.6030000000001</v>
          </cell>
          <cell r="H698">
            <v>-7.6630000000000003</v>
          </cell>
        </row>
        <row r="699">
          <cell r="C699">
            <v>4161.567</v>
          </cell>
          <cell r="D699">
            <v>2.5739999999999998</v>
          </cell>
          <cell r="G699">
            <v>6249.67</v>
          </cell>
          <cell r="H699">
            <v>-7.2880000000000003</v>
          </cell>
        </row>
        <row r="700">
          <cell r="C700">
            <v>4163.4359999999997</v>
          </cell>
          <cell r="D700">
            <v>2.6240000000000001</v>
          </cell>
          <cell r="G700">
            <v>6254.5029999999997</v>
          </cell>
          <cell r="H700">
            <v>-7.2089999999999996</v>
          </cell>
        </row>
        <row r="701">
          <cell r="C701">
            <v>4167.451</v>
          </cell>
          <cell r="D701">
            <v>2.706</v>
          </cell>
          <cell r="G701">
            <v>6258.5259999999998</v>
          </cell>
          <cell r="H701">
            <v>-7.0590000000000002</v>
          </cell>
        </row>
        <row r="702">
          <cell r="C702">
            <v>4173.634</v>
          </cell>
          <cell r="D702">
            <v>2.617</v>
          </cell>
          <cell r="G702">
            <v>6261.585</v>
          </cell>
          <cell r="H702">
            <v>-6.899</v>
          </cell>
        </row>
        <row r="703">
          <cell r="C703">
            <v>4178.3069999999998</v>
          </cell>
          <cell r="D703">
            <v>2.613</v>
          </cell>
          <cell r="G703">
            <v>6271.3530000000001</v>
          </cell>
          <cell r="H703">
            <v>-6.9260000000000002</v>
          </cell>
        </row>
        <row r="704">
          <cell r="C704">
            <v>4182.0649999999996</v>
          </cell>
          <cell r="D704">
            <v>2.7</v>
          </cell>
          <cell r="G704">
            <v>6278.18</v>
          </cell>
          <cell r="H704">
            <v>-7.024</v>
          </cell>
        </row>
        <row r="705">
          <cell r="C705">
            <v>4186.79</v>
          </cell>
          <cell r="D705">
            <v>2.7</v>
          </cell>
          <cell r="G705">
            <v>6285.4210000000003</v>
          </cell>
          <cell r="H705">
            <v>-7.016</v>
          </cell>
        </row>
        <row r="706">
          <cell r="C706">
            <v>4189.4859999999999</v>
          </cell>
          <cell r="D706">
            <v>2.6640000000000001</v>
          </cell>
          <cell r="G706">
            <v>6301.33</v>
          </cell>
          <cell r="H706">
            <v>-7.1760000000000002</v>
          </cell>
        </row>
        <row r="707">
          <cell r="C707">
            <v>4192.3959999999997</v>
          </cell>
          <cell r="D707">
            <v>2.5409999999999999</v>
          </cell>
          <cell r="G707">
            <v>6308.7479999999996</v>
          </cell>
          <cell r="H707">
            <v>-7.359</v>
          </cell>
        </row>
        <row r="708">
          <cell r="C708">
            <v>4195.9120000000003</v>
          </cell>
          <cell r="D708">
            <v>2.5449999999999999</v>
          </cell>
          <cell r="G708">
            <v>6318.9009999999998</v>
          </cell>
          <cell r="H708">
            <v>-7.3079999999999998</v>
          </cell>
        </row>
        <row r="709">
          <cell r="C709">
            <v>4201.5709999999999</v>
          </cell>
          <cell r="D709">
            <v>2.6579999999999999</v>
          </cell>
          <cell r="G709">
            <v>6329.2280000000001</v>
          </cell>
          <cell r="H709">
            <v>-7.4329999999999998</v>
          </cell>
        </row>
        <row r="710">
          <cell r="C710">
            <v>4209.6409999999996</v>
          </cell>
          <cell r="D710">
            <v>2.67</v>
          </cell>
          <cell r="G710">
            <v>6333.799</v>
          </cell>
          <cell r="H710">
            <v>-7.2140000000000004</v>
          </cell>
        </row>
        <row r="711">
          <cell r="C711">
            <v>4212.0770000000002</v>
          </cell>
          <cell r="D711">
            <v>2.66</v>
          </cell>
          <cell r="G711">
            <v>6338.9</v>
          </cell>
          <cell r="H711">
            <v>-7.0579999999999998</v>
          </cell>
        </row>
        <row r="712">
          <cell r="C712">
            <v>4216.951</v>
          </cell>
          <cell r="D712">
            <v>2.62</v>
          </cell>
          <cell r="G712">
            <v>6341.73</v>
          </cell>
          <cell r="H712">
            <v>-6.8760000000000003</v>
          </cell>
        </row>
        <row r="713">
          <cell r="C713">
            <v>4219.0780000000004</v>
          </cell>
          <cell r="D713">
            <v>2.6</v>
          </cell>
          <cell r="G713">
            <v>6344.6769999999997</v>
          </cell>
          <cell r="H713">
            <v>-6.5460000000000003</v>
          </cell>
        </row>
        <row r="714">
          <cell r="C714">
            <v>4223.8549999999996</v>
          </cell>
          <cell r="D714">
            <v>2.6139999999999999</v>
          </cell>
          <cell r="G714">
            <v>6349.4589999999998</v>
          </cell>
          <cell r="H714">
            <v>-6.37</v>
          </cell>
        </row>
        <row r="715">
          <cell r="C715">
            <v>4228.0429999999997</v>
          </cell>
          <cell r="D715">
            <v>2.629</v>
          </cell>
          <cell r="G715">
            <v>6353.4880000000003</v>
          </cell>
          <cell r="H715">
            <v>-6.1779999999999999</v>
          </cell>
        </row>
        <row r="716">
          <cell r="C716">
            <v>4232.3909999999996</v>
          </cell>
          <cell r="D716">
            <v>2.6619999999999999</v>
          </cell>
          <cell r="G716">
            <v>6357.0450000000001</v>
          </cell>
          <cell r="H716">
            <v>-5.931</v>
          </cell>
        </row>
        <row r="717">
          <cell r="C717">
            <v>4238.1289999999999</v>
          </cell>
          <cell r="D717">
            <v>2.7290000000000001</v>
          </cell>
          <cell r="G717">
            <v>6362.2330000000002</v>
          </cell>
          <cell r="H717">
            <v>-5.8730000000000002</v>
          </cell>
        </row>
        <row r="718">
          <cell r="C718">
            <v>4242.8389999999999</v>
          </cell>
          <cell r="D718">
            <v>2.7330000000000001</v>
          </cell>
          <cell r="G718">
            <v>6368.0839999999998</v>
          </cell>
          <cell r="H718">
            <v>-5.7140000000000004</v>
          </cell>
        </row>
        <row r="719">
          <cell r="C719">
            <v>4249.3130000000001</v>
          </cell>
          <cell r="D719">
            <v>2.7890000000000001</v>
          </cell>
          <cell r="G719">
            <v>6370.6559999999999</v>
          </cell>
          <cell r="H719">
            <v>-5.54</v>
          </cell>
        </row>
        <row r="720">
          <cell r="C720">
            <v>4256.0479999999998</v>
          </cell>
          <cell r="D720">
            <v>2.8780000000000001</v>
          </cell>
          <cell r="G720">
            <v>6376.9459999999999</v>
          </cell>
          <cell r="H720">
            <v>-5.577</v>
          </cell>
        </row>
        <row r="721">
          <cell r="C721">
            <v>4261.3230000000003</v>
          </cell>
          <cell r="D721">
            <v>2.8610000000000002</v>
          </cell>
          <cell r="G721">
            <v>6382.8819999999996</v>
          </cell>
          <cell r="H721">
            <v>-5.609</v>
          </cell>
        </row>
        <row r="722">
          <cell r="C722">
            <v>4271.5200000000004</v>
          </cell>
          <cell r="D722">
            <v>2.7290000000000001</v>
          </cell>
          <cell r="G722">
            <v>6386.951</v>
          </cell>
          <cell r="H722">
            <v>-5.5289999999999999</v>
          </cell>
        </row>
        <row r="723">
          <cell r="C723">
            <v>4287.7700000000004</v>
          </cell>
          <cell r="D723">
            <v>2.6640000000000001</v>
          </cell>
          <cell r="G723">
            <v>6391.9530000000004</v>
          </cell>
          <cell r="H723">
            <v>-5.4390000000000001</v>
          </cell>
        </row>
        <row r="724">
          <cell r="C724">
            <v>4301.2560000000003</v>
          </cell>
          <cell r="D724">
            <v>2.7250000000000001</v>
          </cell>
          <cell r="G724">
            <v>6395.6319999999996</v>
          </cell>
          <cell r="H724">
            <v>-5.5410000000000004</v>
          </cell>
        </row>
        <row r="725">
          <cell r="C725">
            <v>4315.2619999999997</v>
          </cell>
          <cell r="D725">
            <v>2.7519999999999998</v>
          </cell>
          <cell r="G725">
            <v>6398.42</v>
          </cell>
          <cell r="H725">
            <v>-5.5430000000000001</v>
          </cell>
        </row>
        <row r="726">
          <cell r="C726">
            <v>4333.2870000000003</v>
          </cell>
          <cell r="D726">
            <v>2.8530000000000002</v>
          </cell>
          <cell r="G726">
            <v>6401.9669999999996</v>
          </cell>
          <cell r="H726">
            <v>-5.56</v>
          </cell>
        </row>
        <row r="727">
          <cell r="C727">
            <v>4352.0789999999997</v>
          </cell>
          <cell r="D727">
            <v>2.923</v>
          </cell>
          <cell r="G727">
            <v>6406.7889999999998</v>
          </cell>
          <cell r="H727">
            <v>-5.6130000000000004</v>
          </cell>
        </row>
        <row r="728">
          <cell r="C728">
            <v>4368.5280000000002</v>
          </cell>
          <cell r="D728">
            <v>2.867</v>
          </cell>
          <cell r="G728">
            <v>6411.8469999999998</v>
          </cell>
          <cell r="H728">
            <v>-5.7140000000000004</v>
          </cell>
        </row>
        <row r="729">
          <cell r="C729">
            <v>4385.2839999999997</v>
          </cell>
          <cell r="D729">
            <v>3.0009999999999999</v>
          </cell>
          <cell r="G729">
            <v>6417.5860000000002</v>
          </cell>
          <cell r="H729">
            <v>-5.8140000000000001</v>
          </cell>
        </row>
        <row r="730">
          <cell r="C730">
            <v>4404.7740000000003</v>
          </cell>
          <cell r="D730">
            <v>3.044</v>
          </cell>
          <cell r="G730">
            <v>6422.5159999999996</v>
          </cell>
          <cell r="H730">
            <v>-5.92</v>
          </cell>
        </row>
        <row r="731">
          <cell r="C731">
            <v>4418.9790000000003</v>
          </cell>
          <cell r="D731">
            <v>3.1520000000000001</v>
          </cell>
          <cell r="G731">
            <v>6427.8950000000004</v>
          </cell>
          <cell r="H731">
            <v>-6.0750000000000002</v>
          </cell>
        </row>
        <row r="732">
          <cell r="C732">
            <v>4437.1549999999997</v>
          </cell>
          <cell r="D732">
            <v>3.1280000000000001</v>
          </cell>
          <cell r="G732">
            <v>6432.0370000000003</v>
          </cell>
          <cell r="H732">
            <v>-6.125</v>
          </cell>
        </row>
        <row r="733">
          <cell r="C733">
            <v>4455.9369999999999</v>
          </cell>
          <cell r="D733">
            <v>3.0219999999999998</v>
          </cell>
          <cell r="G733">
            <v>6436.2439999999997</v>
          </cell>
          <cell r="H733">
            <v>-6.3959999999999999</v>
          </cell>
        </row>
        <row r="734">
          <cell r="C734">
            <v>4472.1610000000001</v>
          </cell>
          <cell r="D734">
            <v>2.1669999999999998</v>
          </cell>
          <cell r="G734">
            <v>6440.4549999999999</v>
          </cell>
          <cell r="H734">
            <v>-6.5709999999999997</v>
          </cell>
        </row>
        <row r="735">
          <cell r="C735">
            <v>4478.4459999999999</v>
          </cell>
          <cell r="D735">
            <v>1.552</v>
          </cell>
          <cell r="G735">
            <v>6444.1270000000004</v>
          </cell>
          <cell r="H735">
            <v>-6.7149999999999999</v>
          </cell>
        </row>
        <row r="736">
          <cell r="C736">
            <v>4482.9139999999998</v>
          </cell>
          <cell r="D736">
            <v>1.0629999999999999</v>
          </cell>
          <cell r="G736">
            <v>6447.7250000000004</v>
          </cell>
          <cell r="H736">
            <v>-7.0149999999999997</v>
          </cell>
        </row>
        <row r="737">
          <cell r="C737">
            <v>4486.9309999999996</v>
          </cell>
          <cell r="D737">
            <v>0.55900000000000005</v>
          </cell>
          <cell r="G737">
            <v>6454.0550000000003</v>
          </cell>
          <cell r="H737">
            <v>-7.3689999999999998</v>
          </cell>
        </row>
        <row r="738">
          <cell r="C738">
            <v>4491.9380000000001</v>
          </cell>
          <cell r="D738">
            <v>-0.26800000000000002</v>
          </cell>
          <cell r="G738">
            <v>6460.1639999999998</v>
          </cell>
          <cell r="H738">
            <v>-7.5990000000000002</v>
          </cell>
        </row>
        <row r="739">
          <cell r="C739">
            <v>4495.067</v>
          </cell>
          <cell r="D739">
            <v>-0.81399999999999995</v>
          </cell>
          <cell r="G739">
            <v>6467.6779999999999</v>
          </cell>
          <cell r="H739">
            <v>-7.6369999999999996</v>
          </cell>
        </row>
        <row r="740">
          <cell r="C740">
            <v>4499.4759999999997</v>
          </cell>
          <cell r="D740">
            <v>-1.335</v>
          </cell>
          <cell r="G740">
            <v>6486.3509999999997</v>
          </cell>
          <cell r="H740">
            <v>-7.3079999999999998</v>
          </cell>
        </row>
        <row r="741">
          <cell r="C741">
            <v>4505.4970000000003</v>
          </cell>
          <cell r="D741">
            <v>-2.0819999999999999</v>
          </cell>
          <cell r="G741">
            <v>6501.8680000000004</v>
          </cell>
          <cell r="H741">
            <v>-6.8140000000000001</v>
          </cell>
        </row>
        <row r="742">
          <cell r="C742">
            <v>4508.1220000000003</v>
          </cell>
          <cell r="D742">
            <v>-2.4529999999999998</v>
          </cell>
          <cell r="G742">
            <v>6519.5519999999997</v>
          </cell>
          <cell r="H742">
            <v>-6.46</v>
          </cell>
        </row>
        <row r="743">
          <cell r="C743">
            <v>4511.5839999999998</v>
          </cell>
          <cell r="D743">
            <v>-2.823</v>
          </cell>
          <cell r="G743">
            <v>6530.2889999999998</v>
          </cell>
          <cell r="H743">
            <v>-6.0270000000000001</v>
          </cell>
        </row>
        <row r="744">
          <cell r="C744">
            <v>4515.6369999999997</v>
          </cell>
          <cell r="D744">
            <v>-3.206</v>
          </cell>
          <cell r="G744">
            <v>6539.2089999999998</v>
          </cell>
          <cell r="H744">
            <v>-5.8019999999999996</v>
          </cell>
        </row>
        <row r="745">
          <cell r="C745">
            <v>4520.0810000000001</v>
          </cell>
          <cell r="D745">
            <v>-3.4550000000000001</v>
          </cell>
          <cell r="G745">
            <v>6553.9279999999999</v>
          </cell>
          <cell r="H745">
            <v>-5.41</v>
          </cell>
        </row>
        <row r="746">
          <cell r="C746">
            <v>4523.9669999999996</v>
          </cell>
          <cell r="D746">
            <v>-3.6619999999999999</v>
          </cell>
          <cell r="G746">
            <v>6566.5789999999997</v>
          </cell>
          <cell r="H746">
            <v>-5.117</v>
          </cell>
        </row>
        <row r="747">
          <cell r="C747">
            <v>4527.6589999999997</v>
          </cell>
          <cell r="D747">
            <v>-3.9249999999999998</v>
          </cell>
          <cell r="G747">
            <v>6584.0259999999998</v>
          </cell>
          <cell r="H747">
            <v>-4.7089999999999996</v>
          </cell>
        </row>
        <row r="748">
          <cell r="C748">
            <v>4531.7889999999998</v>
          </cell>
          <cell r="D748">
            <v>-4.1470000000000002</v>
          </cell>
          <cell r="G748">
            <v>6593.8320000000003</v>
          </cell>
          <cell r="H748">
            <v>-4.3120000000000003</v>
          </cell>
        </row>
        <row r="749">
          <cell r="C749">
            <v>4536.9070000000002</v>
          </cell>
          <cell r="D749">
            <v>-4.093</v>
          </cell>
          <cell r="G749">
            <v>6611.9049999999997</v>
          </cell>
          <cell r="H749">
            <v>-3.7080000000000002</v>
          </cell>
        </row>
        <row r="750">
          <cell r="C750">
            <v>4541.4459999999999</v>
          </cell>
          <cell r="D750">
            <v>-4.13</v>
          </cell>
          <cell r="G750">
            <v>6630.8239999999996</v>
          </cell>
          <cell r="H750">
            <v>-3.5379999999999998</v>
          </cell>
        </row>
        <row r="751">
          <cell r="C751">
            <v>4544.1189999999997</v>
          </cell>
          <cell r="D751">
            <v>-4.117</v>
          </cell>
          <cell r="G751">
            <v>6647.0349999999999</v>
          </cell>
          <cell r="H751">
            <v>-3.177</v>
          </cell>
        </row>
        <row r="752">
          <cell r="C752">
            <v>4547.8869999999997</v>
          </cell>
          <cell r="D752">
            <v>-4.0599999999999996</v>
          </cell>
          <cell r="G752">
            <v>6664.942</v>
          </cell>
          <cell r="H752">
            <v>-3.2160000000000002</v>
          </cell>
        </row>
        <row r="753">
          <cell r="C753">
            <v>4551.259</v>
          </cell>
          <cell r="D753">
            <v>-4.0030000000000001</v>
          </cell>
          <cell r="G753">
            <v>6676.6379999999999</v>
          </cell>
          <cell r="H753">
            <v>-3.5019999999999998</v>
          </cell>
        </row>
        <row r="754">
          <cell r="C754">
            <v>4554.5810000000001</v>
          </cell>
          <cell r="D754">
            <v>-3.7869999999999999</v>
          </cell>
          <cell r="G754">
            <v>6690.8770000000004</v>
          </cell>
          <cell r="H754">
            <v>-3.532</v>
          </cell>
        </row>
        <row r="755">
          <cell r="C755">
            <v>4557.335</v>
          </cell>
          <cell r="D755">
            <v>-3.7029999999999998</v>
          </cell>
          <cell r="G755">
            <v>6734.12</v>
          </cell>
          <cell r="H755">
            <v>-3.87</v>
          </cell>
        </row>
        <row r="756">
          <cell r="C756">
            <v>4566.4690000000001</v>
          </cell>
          <cell r="D756">
            <v>-3.4329999999999998</v>
          </cell>
          <cell r="G756">
            <v>6761.0169999999998</v>
          </cell>
          <cell r="H756">
            <v>-3.4809999999999999</v>
          </cell>
        </row>
        <row r="757">
          <cell r="C757">
            <v>4568.2749999999996</v>
          </cell>
          <cell r="D757">
            <v>-3.298</v>
          </cell>
          <cell r="G757">
            <v>6777.0169999999998</v>
          </cell>
          <cell r="H757">
            <v>-3.71</v>
          </cell>
        </row>
        <row r="758">
          <cell r="C758">
            <v>4570.643</v>
          </cell>
          <cell r="D758">
            <v>-3.1509999999999998</v>
          </cell>
          <cell r="G758">
            <v>6791.7849999999999</v>
          </cell>
          <cell r="H758">
            <v>-3.9039999999999999</v>
          </cell>
        </row>
        <row r="759">
          <cell r="C759">
            <v>4573.2259999999997</v>
          </cell>
          <cell r="D759">
            <v>-2.8149999999999999</v>
          </cell>
          <cell r="G759">
            <v>6804.3119999999999</v>
          </cell>
          <cell r="H759">
            <v>-4.0419999999999998</v>
          </cell>
        </row>
        <row r="760">
          <cell r="C760">
            <v>4575.6220000000003</v>
          </cell>
          <cell r="D760">
            <v>-2.577</v>
          </cell>
          <cell r="G760">
            <v>6820.165</v>
          </cell>
          <cell r="H760">
            <v>-4.3079999999999998</v>
          </cell>
        </row>
        <row r="761">
          <cell r="C761">
            <v>4578.8649999999998</v>
          </cell>
          <cell r="D761">
            <v>-2.23</v>
          </cell>
          <cell r="G761">
            <v>6838.8029999999999</v>
          </cell>
          <cell r="H761">
            <v>-4.6790000000000003</v>
          </cell>
        </row>
        <row r="762">
          <cell r="C762">
            <v>4581.2849999999999</v>
          </cell>
          <cell r="D762">
            <v>-1.748</v>
          </cell>
          <cell r="G762">
            <v>6858.3119999999999</v>
          </cell>
          <cell r="H762">
            <v>-5.0579999999999998</v>
          </cell>
        </row>
        <row r="763">
          <cell r="C763">
            <v>4587.0910000000003</v>
          </cell>
          <cell r="D763">
            <v>-0.48599999999999999</v>
          </cell>
          <cell r="G763">
            <v>6880.45</v>
          </cell>
          <cell r="H763">
            <v>-5.42</v>
          </cell>
        </row>
        <row r="764">
          <cell r="C764">
            <v>4591.0590000000002</v>
          </cell>
          <cell r="D764">
            <v>0.115</v>
          </cell>
          <cell r="G764">
            <v>6898.52</v>
          </cell>
          <cell r="H764">
            <v>-5.6520000000000001</v>
          </cell>
        </row>
        <row r="765">
          <cell r="C765">
            <v>4598.68</v>
          </cell>
          <cell r="D765">
            <v>1.2829999999999999</v>
          </cell>
          <cell r="G765">
            <v>6916.7939999999999</v>
          </cell>
          <cell r="H765">
            <v>-5.65</v>
          </cell>
        </row>
        <row r="766">
          <cell r="C766">
            <v>4614.8509999999997</v>
          </cell>
          <cell r="D766">
            <v>2.6840000000000002</v>
          </cell>
          <cell r="G766">
            <v>6934.7669999999998</v>
          </cell>
          <cell r="H766">
            <v>-5.5449999999999999</v>
          </cell>
        </row>
        <row r="767">
          <cell r="C767">
            <v>4628.55</v>
          </cell>
          <cell r="D767">
            <v>3.0489999999999999</v>
          </cell>
          <cell r="G767">
            <v>6954.098</v>
          </cell>
          <cell r="H767">
            <v>-5.5750000000000002</v>
          </cell>
        </row>
        <row r="768">
          <cell r="C768">
            <v>4643.152</v>
          </cell>
          <cell r="D768">
            <v>3.1989999999999998</v>
          </cell>
          <cell r="G768">
            <v>6973.1959999999999</v>
          </cell>
          <cell r="H768">
            <v>-5.5190000000000001</v>
          </cell>
        </row>
        <row r="769">
          <cell r="C769">
            <v>4663.018</v>
          </cell>
          <cell r="D769">
            <v>3.1819999999999999</v>
          </cell>
          <cell r="G769">
            <v>6990.7539999999999</v>
          </cell>
          <cell r="H769">
            <v>-5.556</v>
          </cell>
        </row>
        <row r="770">
          <cell r="C770">
            <v>4674.0550000000003</v>
          </cell>
          <cell r="D770">
            <v>3.077</v>
          </cell>
          <cell r="G770">
            <v>7006.7529999999997</v>
          </cell>
          <cell r="H770">
            <v>-5.8049999999999997</v>
          </cell>
        </row>
        <row r="771">
          <cell r="C771">
            <v>4683.402</v>
          </cell>
          <cell r="D771">
            <v>3.1960000000000002</v>
          </cell>
          <cell r="G771">
            <v>7020.2650000000003</v>
          </cell>
          <cell r="H771">
            <v>-5.78</v>
          </cell>
        </row>
        <row r="772">
          <cell r="C772">
            <v>4686.0810000000001</v>
          </cell>
          <cell r="D772">
            <v>3.1440000000000001</v>
          </cell>
          <cell r="G772">
            <v>7038.08</v>
          </cell>
          <cell r="H772">
            <v>-5.7839999999999998</v>
          </cell>
        </row>
        <row r="773">
          <cell r="C773">
            <v>4698.6809999999996</v>
          </cell>
          <cell r="D773">
            <v>3.1880000000000002</v>
          </cell>
          <cell r="G773">
            <v>7050.29</v>
          </cell>
          <cell r="H773">
            <v>-5.6909999999999998</v>
          </cell>
        </row>
        <row r="774">
          <cell r="C774">
            <v>4710.2809999999999</v>
          </cell>
          <cell r="D774">
            <v>3.4620000000000002</v>
          </cell>
          <cell r="G774">
            <v>7069.116</v>
          </cell>
          <cell r="H774">
            <v>-5.843</v>
          </cell>
        </row>
        <row r="775">
          <cell r="C775">
            <v>4719.1450000000004</v>
          </cell>
          <cell r="D775">
            <v>3.7029999999999998</v>
          </cell>
          <cell r="G775">
            <v>7081.5550000000003</v>
          </cell>
          <cell r="H775">
            <v>-5.7629999999999999</v>
          </cell>
        </row>
        <row r="776">
          <cell r="C776">
            <v>4722.4870000000001</v>
          </cell>
          <cell r="D776">
            <v>3.6659999999999999</v>
          </cell>
          <cell r="G776">
            <v>7098.3630000000003</v>
          </cell>
          <cell r="H776">
            <v>-5.7140000000000004</v>
          </cell>
        </row>
        <row r="777">
          <cell r="C777">
            <v>4726.4549999999999</v>
          </cell>
          <cell r="D777">
            <v>3.5739999999999998</v>
          </cell>
          <cell r="G777">
            <v>7105.0889999999999</v>
          </cell>
          <cell r="H777">
            <v>-5.6360000000000001</v>
          </cell>
        </row>
        <row r="778">
          <cell r="C778">
            <v>4731.6639999999998</v>
          </cell>
          <cell r="D778">
            <v>3.5219999999999998</v>
          </cell>
          <cell r="G778">
            <v>7109.1859999999997</v>
          </cell>
          <cell r="H778">
            <v>-5.68</v>
          </cell>
        </row>
        <row r="779">
          <cell r="C779">
            <v>4733.7510000000002</v>
          </cell>
          <cell r="D779">
            <v>3.5529999999999999</v>
          </cell>
          <cell r="G779">
            <v>7114.8059999999996</v>
          </cell>
          <cell r="H779">
            <v>-5.6580000000000004</v>
          </cell>
        </row>
        <row r="780">
          <cell r="C780">
            <v>4736.4009999999998</v>
          </cell>
          <cell r="D780">
            <v>3.5190000000000001</v>
          </cell>
          <cell r="G780">
            <v>7118.6139999999996</v>
          </cell>
          <cell r="H780">
            <v>-5.6340000000000003</v>
          </cell>
        </row>
        <row r="781">
          <cell r="C781">
            <v>4740.732</v>
          </cell>
          <cell r="D781">
            <v>3.4220000000000002</v>
          </cell>
          <cell r="G781">
            <v>7123.3590000000004</v>
          </cell>
          <cell r="H781">
            <v>-5.5640000000000001</v>
          </cell>
        </row>
        <row r="782">
          <cell r="C782">
            <v>4742.8680000000004</v>
          </cell>
          <cell r="D782">
            <v>3.472</v>
          </cell>
          <cell r="G782">
            <v>7129.424</v>
          </cell>
          <cell r="H782">
            <v>-5.4379999999999997</v>
          </cell>
        </row>
        <row r="783">
          <cell r="C783">
            <v>4746.6509999999998</v>
          </cell>
          <cell r="D783">
            <v>3.49</v>
          </cell>
          <cell r="G783">
            <v>7136.13</v>
          </cell>
          <cell r="H783">
            <v>-5.2720000000000002</v>
          </cell>
        </row>
        <row r="784">
          <cell r="C784">
            <v>4749.4740000000002</v>
          </cell>
          <cell r="D784">
            <v>3.29</v>
          </cell>
          <cell r="G784">
            <v>7144.4359999999997</v>
          </cell>
          <cell r="H784">
            <v>-5.0739999999999998</v>
          </cell>
        </row>
        <row r="785">
          <cell r="C785">
            <v>4753.7169999999996</v>
          </cell>
          <cell r="D785">
            <v>3.3889999999999998</v>
          </cell>
          <cell r="G785">
            <v>7150.4489999999996</v>
          </cell>
          <cell r="H785">
            <v>-5.0640000000000001</v>
          </cell>
        </row>
        <row r="786">
          <cell r="C786">
            <v>4756.4870000000001</v>
          </cell>
          <cell r="D786">
            <v>3.4470000000000001</v>
          </cell>
          <cell r="G786">
            <v>7153.3239999999996</v>
          </cell>
          <cell r="H786">
            <v>-5.1719999999999997</v>
          </cell>
        </row>
        <row r="787">
          <cell r="C787">
            <v>4758.6850000000004</v>
          </cell>
          <cell r="D787">
            <v>3.3620000000000001</v>
          </cell>
          <cell r="G787">
            <v>7156.48</v>
          </cell>
          <cell r="H787">
            <v>-5.1319999999999997</v>
          </cell>
        </row>
        <row r="788">
          <cell r="C788">
            <v>4763.2110000000002</v>
          </cell>
          <cell r="D788">
            <v>3.218</v>
          </cell>
          <cell r="G788">
            <v>7160.357</v>
          </cell>
          <cell r="H788">
            <v>-4.9560000000000004</v>
          </cell>
        </row>
        <row r="789">
          <cell r="C789">
            <v>4765.4979999999996</v>
          </cell>
          <cell r="D789">
            <v>3.2410000000000001</v>
          </cell>
          <cell r="G789">
            <v>7164.6170000000002</v>
          </cell>
          <cell r="H789">
            <v>-4.9400000000000004</v>
          </cell>
        </row>
        <row r="790">
          <cell r="C790">
            <v>4767.817</v>
          </cell>
          <cell r="D790">
            <v>3.2480000000000002</v>
          </cell>
          <cell r="G790">
            <v>7169.4440000000004</v>
          </cell>
          <cell r="H790">
            <v>-4.8410000000000002</v>
          </cell>
        </row>
        <row r="791">
          <cell r="C791">
            <v>4771.4740000000002</v>
          </cell>
          <cell r="D791">
            <v>3.23</v>
          </cell>
          <cell r="G791">
            <v>7177.5720000000001</v>
          </cell>
          <cell r="H791">
            <v>-5.1970000000000001</v>
          </cell>
        </row>
        <row r="792">
          <cell r="C792">
            <v>4772.9359999999997</v>
          </cell>
          <cell r="D792">
            <v>3.2130000000000001</v>
          </cell>
          <cell r="G792">
            <v>7182.76</v>
          </cell>
          <cell r="H792">
            <v>-5.1660000000000004</v>
          </cell>
        </row>
        <row r="793">
          <cell r="C793">
            <v>4775.8069999999998</v>
          </cell>
          <cell r="D793">
            <v>3.149</v>
          </cell>
          <cell r="G793">
            <v>7188.1350000000002</v>
          </cell>
          <cell r="H793">
            <v>-5.4370000000000003</v>
          </cell>
        </row>
        <row r="794">
          <cell r="C794">
            <v>4778.6909999999998</v>
          </cell>
          <cell r="D794">
            <v>3.0979999999999999</v>
          </cell>
          <cell r="G794">
            <v>7192.0450000000001</v>
          </cell>
          <cell r="H794">
            <v>-5.6539999999999999</v>
          </cell>
        </row>
        <row r="795">
          <cell r="C795">
            <v>4781.6940000000004</v>
          </cell>
          <cell r="D795">
            <v>3.1269999999999998</v>
          </cell>
          <cell r="G795">
            <v>7196.9719999999998</v>
          </cell>
          <cell r="H795">
            <v>-6.0540000000000003</v>
          </cell>
        </row>
        <row r="796">
          <cell r="C796">
            <v>4785.0290000000005</v>
          </cell>
          <cell r="D796">
            <v>3.226</v>
          </cell>
          <cell r="G796">
            <v>7203.6540000000005</v>
          </cell>
          <cell r="H796">
            <v>-6.4589999999999996</v>
          </cell>
        </row>
        <row r="797">
          <cell r="C797">
            <v>4789.598</v>
          </cell>
          <cell r="D797">
            <v>3.1190000000000002</v>
          </cell>
          <cell r="G797">
            <v>7208.8869999999997</v>
          </cell>
          <cell r="H797">
            <v>-6.7430000000000003</v>
          </cell>
        </row>
        <row r="798">
          <cell r="C798">
            <v>4793.741</v>
          </cell>
          <cell r="D798">
            <v>3.121</v>
          </cell>
          <cell r="G798">
            <v>7214.9040000000005</v>
          </cell>
          <cell r="H798">
            <v>-7.0359999999999996</v>
          </cell>
        </row>
        <row r="799">
          <cell r="C799">
            <v>4798.4470000000001</v>
          </cell>
          <cell r="D799">
            <v>3.0979999999999999</v>
          </cell>
          <cell r="G799">
            <v>7218.9790000000003</v>
          </cell>
          <cell r="H799">
            <v>-7.0759999999999996</v>
          </cell>
        </row>
        <row r="800">
          <cell r="C800">
            <v>4801.0240000000003</v>
          </cell>
          <cell r="D800">
            <v>3.18</v>
          </cell>
          <cell r="G800">
            <v>7223.2809999999999</v>
          </cell>
          <cell r="H800">
            <v>-7.1180000000000003</v>
          </cell>
        </row>
        <row r="801">
          <cell r="C801">
            <v>4804.1729999999998</v>
          </cell>
          <cell r="D801">
            <v>3.3069999999999999</v>
          </cell>
          <cell r="G801">
            <v>7227.933</v>
          </cell>
          <cell r="H801">
            <v>-7.2469999999999999</v>
          </cell>
        </row>
        <row r="802">
          <cell r="C802">
            <v>4807.9769999999999</v>
          </cell>
          <cell r="D802">
            <v>3.1360000000000001</v>
          </cell>
          <cell r="G802">
            <v>7232.9840000000004</v>
          </cell>
          <cell r="H802">
            <v>-7.2690000000000001</v>
          </cell>
        </row>
        <row r="803">
          <cell r="C803">
            <v>4813.5550000000003</v>
          </cell>
          <cell r="D803">
            <v>3.1059999999999999</v>
          </cell>
          <cell r="G803">
            <v>7240.1189999999997</v>
          </cell>
          <cell r="H803">
            <v>-7.2779999999999996</v>
          </cell>
        </row>
        <row r="804">
          <cell r="C804">
            <v>4816.835</v>
          </cell>
          <cell r="D804">
            <v>3.165</v>
          </cell>
          <cell r="G804">
            <v>7246.5630000000001</v>
          </cell>
          <cell r="H804">
            <v>-7.05</v>
          </cell>
        </row>
        <row r="805">
          <cell r="C805">
            <v>4819.6260000000002</v>
          </cell>
          <cell r="D805">
            <v>3.133</v>
          </cell>
          <cell r="G805">
            <v>7252.8959999999997</v>
          </cell>
          <cell r="H805">
            <v>-6.8</v>
          </cell>
        </row>
        <row r="806">
          <cell r="C806">
            <v>4823.0829999999996</v>
          </cell>
          <cell r="D806">
            <v>3.1909999999999998</v>
          </cell>
          <cell r="G806">
            <v>7272.3389999999999</v>
          </cell>
          <cell r="H806">
            <v>-5.61</v>
          </cell>
        </row>
        <row r="807">
          <cell r="C807">
            <v>4828.3090000000002</v>
          </cell>
          <cell r="D807">
            <v>3.1080000000000001</v>
          </cell>
          <cell r="G807">
            <v>7287.1379999999999</v>
          </cell>
          <cell r="H807">
            <v>-4.8230000000000004</v>
          </cell>
        </row>
        <row r="808">
          <cell r="C808">
            <v>4830.902</v>
          </cell>
          <cell r="D808">
            <v>3.2229999999999999</v>
          </cell>
          <cell r="G808">
            <v>7313.36</v>
          </cell>
          <cell r="H808">
            <v>-3.4289999999999998</v>
          </cell>
        </row>
        <row r="809">
          <cell r="C809">
            <v>4834.7539999999999</v>
          </cell>
          <cell r="D809">
            <v>3.0920000000000001</v>
          </cell>
          <cell r="G809">
            <v>7327.7420000000002</v>
          </cell>
          <cell r="H809">
            <v>-2.246</v>
          </cell>
        </row>
        <row r="810">
          <cell r="C810">
            <v>4838.8059999999996</v>
          </cell>
          <cell r="D810">
            <v>3.0419999999999998</v>
          </cell>
          <cell r="G810">
            <v>7350.5420000000004</v>
          </cell>
          <cell r="H810">
            <v>-0.85199999999999998</v>
          </cell>
        </row>
        <row r="811">
          <cell r="C811">
            <v>4842.9070000000002</v>
          </cell>
          <cell r="D811">
            <v>2.907</v>
          </cell>
          <cell r="G811">
            <v>7358.8389999999999</v>
          </cell>
          <cell r="H811">
            <v>-0.28299999999999997</v>
          </cell>
        </row>
        <row r="812">
          <cell r="C812">
            <v>4846.6319999999996</v>
          </cell>
          <cell r="D812">
            <v>2.774</v>
          </cell>
          <cell r="G812">
            <v>7369.5360000000001</v>
          </cell>
          <cell r="H812">
            <v>0.62</v>
          </cell>
        </row>
        <row r="813">
          <cell r="C813">
            <v>4852.8069999999998</v>
          </cell>
          <cell r="D813">
            <v>2.9830000000000001</v>
          </cell>
          <cell r="G813">
            <v>7379.7259999999997</v>
          </cell>
          <cell r="H813">
            <v>1.1879999999999999</v>
          </cell>
        </row>
        <row r="814">
          <cell r="C814">
            <v>4857.2250000000004</v>
          </cell>
          <cell r="D814">
            <v>3.2170000000000001</v>
          </cell>
          <cell r="G814">
            <v>7385.7619999999997</v>
          </cell>
          <cell r="H814">
            <v>1.522</v>
          </cell>
        </row>
        <row r="815">
          <cell r="C815">
            <v>4860.7060000000001</v>
          </cell>
          <cell r="D815">
            <v>3.4060000000000001</v>
          </cell>
          <cell r="G815">
            <v>7392.5630000000001</v>
          </cell>
          <cell r="H815">
            <v>1.867</v>
          </cell>
        </row>
        <row r="816">
          <cell r="C816">
            <v>4863.4440000000004</v>
          </cell>
          <cell r="D816">
            <v>3.56</v>
          </cell>
          <cell r="G816">
            <v>7398.9380000000001</v>
          </cell>
          <cell r="H816">
            <v>1.9450000000000001</v>
          </cell>
        </row>
        <row r="817">
          <cell r="C817">
            <v>4866.4110000000001</v>
          </cell>
          <cell r="D817">
            <v>3.657</v>
          </cell>
          <cell r="G817">
            <v>7405.2240000000002</v>
          </cell>
          <cell r="H817">
            <v>1.94</v>
          </cell>
        </row>
        <row r="818">
          <cell r="C818">
            <v>4869.3990000000003</v>
          </cell>
          <cell r="D818">
            <v>3.6549999999999998</v>
          </cell>
          <cell r="G818">
            <v>7411.3819999999996</v>
          </cell>
          <cell r="H818">
            <v>2.0110000000000001</v>
          </cell>
        </row>
        <row r="819">
          <cell r="C819">
            <v>4872.0590000000002</v>
          </cell>
          <cell r="D819">
            <v>3.4689999999999999</v>
          </cell>
          <cell r="G819">
            <v>7415.63</v>
          </cell>
          <cell r="H819">
            <v>1.9239999999999999</v>
          </cell>
        </row>
        <row r="820">
          <cell r="C820">
            <v>4875.9769999999999</v>
          </cell>
          <cell r="D820">
            <v>3.4870000000000001</v>
          </cell>
          <cell r="G820">
            <v>7435.1139999999996</v>
          </cell>
          <cell r="H820">
            <v>1.179</v>
          </cell>
        </row>
        <row r="821">
          <cell r="C821">
            <v>4881.99</v>
          </cell>
          <cell r="D821">
            <v>3.1469999999999998</v>
          </cell>
          <cell r="G821">
            <v>7449.9620000000004</v>
          </cell>
          <cell r="H821">
            <v>8.6999999999999994E-2</v>
          </cell>
        </row>
        <row r="822">
          <cell r="C822">
            <v>4890.1329999999998</v>
          </cell>
          <cell r="D822">
            <v>3.1949999999999998</v>
          </cell>
          <cell r="G822">
            <v>7456.1689999999999</v>
          </cell>
          <cell r="H822">
            <v>-0.47899999999999998</v>
          </cell>
        </row>
        <row r="823">
          <cell r="C823">
            <v>4893.7790000000005</v>
          </cell>
          <cell r="D823">
            <v>3.2269999999999999</v>
          </cell>
          <cell r="G823">
            <v>7467.1180000000004</v>
          </cell>
          <cell r="H823">
            <v>-1.7050000000000001</v>
          </cell>
        </row>
        <row r="824">
          <cell r="C824">
            <v>4898.0460000000003</v>
          </cell>
          <cell r="D824">
            <v>3.1669999999999998</v>
          </cell>
          <cell r="G824">
            <v>7472.32</v>
          </cell>
          <cell r="H824">
            <v>-2.173</v>
          </cell>
        </row>
        <row r="825">
          <cell r="C825">
            <v>4902.433</v>
          </cell>
          <cell r="D825">
            <v>3.0750000000000002</v>
          </cell>
          <cell r="G825">
            <v>7476.299</v>
          </cell>
          <cell r="H825">
            <v>-2.61</v>
          </cell>
        </row>
        <row r="826">
          <cell r="C826">
            <v>4910.7330000000002</v>
          </cell>
          <cell r="D826">
            <v>3.1659999999999999</v>
          </cell>
          <cell r="G826">
            <v>7478.7659999999996</v>
          </cell>
          <cell r="H826">
            <v>-2.9740000000000002</v>
          </cell>
        </row>
        <row r="827">
          <cell r="C827">
            <v>4913.0339999999997</v>
          </cell>
          <cell r="D827">
            <v>3.2210000000000001</v>
          </cell>
          <cell r="G827">
            <v>7483.9840000000004</v>
          </cell>
          <cell r="H827">
            <v>-3.5110000000000001</v>
          </cell>
        </row>
        <row r="828">
          <cell r="C828">
            <v>4916.75</v>
          </cell>
          <cell r="D828">
            <v>3.206</v>
          </cell>
          <cell r="G828">
            <v>7487.924</v>
          </cell>
          <cell r="H828">
            <v>-3.903</v>
          </cell>
        </row>
        <row r="829">
          <cell r="C829">
            <v>4921.8559999999998</v>
          </cell>
          <cell r="D829">
            <v>3.2730000000000001</v>
          </cell>
          <cell r="G829">
            <v>7492.5619999999999</v>
          </cell>
          <cell r="H829">
            <v>-4.45</v>
          </cell>
        </row>
        <row r="830">
          <cell r="C830">
            <v>4928.0469999999996</v>
          </cell>
          <cell r="D830">
            <v>3.26</v>
          </cell>
          <cell r="G830">
            <v>7496.982</v>
          </cell>
          <cell r="H830">
            <v>-4.9320000000000004</v>
          </cell>
        </row>
        <row r="831">
          <cell r="C831">
            <v>4932.4549999999999</v>
          </cell>
          <cell r="D831">
            <v>3.2320000000000002</v>
          </cell>
          <cell r="G831">
            <v>7502.2139999999999</v>
          </cell>
          <cell r="H831">
            <v>-5.5460000000000003</v>
          </cell>
        </row>
        <row r="832">
          <cell r="C832">
            <v>4937.0690000000004</v>
          </cell>
          <cell r="D832">
            <v>2.78</v>
          </cell>
          <cell r="G832">
            <v>7506.9080000000004</v>
          </cell>
          <cell r="H832">
            <v>-6.2039999999999997</v>
          </cell>
        </row>
        <row r="833">
          <cell r="C833">
            <v>4941.0230000000001</v>
          </cell>
          <cell r="D833">
            <v>1.786</v>
          </cell>
          <cell r="G833">
            <v>7515.7489999999998</v>
          </cell>
          <cell r="H833">
            <v>-7.1280000000000001</v>
          </cell>
        </row>
        <row r="834">
          <cell r="C834">
            <v>4950.2179999999998</v>
          </cell>
          <cell r="D834">
            <v>0.59899999999999998</v>
          </cell>
          <cell r="G834">
            <v>7521.5249999999996</v>
          </cell>
          <cell r="H834">
            <v>-7.6479999999999997</v>
          </cell>
        </row>
        <row r="835">
          <cell r="C835">
            <v>4961.0590000000002</v>
          </cell>
          <cell r="D835">
            <v>-0.20399999999999999</v>
          </cell>
          <cell r="G835">
            <v>7526.3</v>
          </cell>
          <cell r="H835">
            <v>-7.9279999999999999</v>
          </cell>
        </row>
        <row r="836">
          <cell r="C836">
            <v>4971.9260000000004</v>
          </cell>
          <cell r="D836">
            <v>-0.86899999999999999</v>
          </cell>
          <cell r="G836">
            <v>7531.9440000000004</v>
          </cell>
          <cell r="H836">
            <v>-8.3249999999999993</v>
          </cell>
        </row>
        <row r="837">
          <cell r="C837">
            <v>4993.3739999999998</v>
          </cell>
          <cell r="D837">
            <v>-1.038</v>
          </cell>
          <cell r="G837">
            <v>7536.2309999999998</v>
          </cell>
          <cell r="H837">
            <v>-8.609</v>
          </cell>
        </row>
        <row r="838">
          <cell r="C838">
            <v>5013.55</v>
          </cell>
          <cell r="D838">
            <v>-0.434</v>
          </cell>
          <cell r="G838">
            <v>7547.54</v>
          </cell>
          <cell r="H838">
            <v>-8.9480000000000004</v>
          </cell>
        </row>
        <row r="839">
          <cell r="C839">
            <v>5034.5839999999998</v>
          </cell>
          <cell r="D839">
            <v>0.63100000000000001</v>
          </cell>
          <cell r="G839">
            <v>7558.768</v>
          </cell>
          <cell r="H839">
            <v>-9.0869999999999997</v>
          </cell>
        </row>
        <row r="840">
          <cell r="C840">
            <v>5057.3940000000002</v>
          </cell>
          <cell r="D840">
            <v>1.5740000000000001</v>
          </cell>
          <cell r="G840">
            <v>7568.3459999999995</v>
          </cell>
          <cell r="H840">
            <v>-8.9870000000000001</v>
          </cell>
        </row>
        <row r="841">
          <cell r="C841">
            <v>5077.027</v>
          </cell>
          <cell r="D841">
            <v>1.6659999999999999</v>
          </cell>
          <cell r="G841">
            <v>7578.9269999999997</v>
          </cell>
          <cell r="H841">
            <v>-8.5850000000000009</v>
          </cell>
        </row>
        <row r="842">
          <cell r="C842">
            <v>5096.4210000000003</v>
          </cell>
          <cell r="D842">
            <v>1.2450000000000001</v>
          </cell>
          <cell r="G842">
            <v>7588.02</v>
          </cell>
          <cell r="H842">
            <v>-7.9619999999999997</v>
          </cell>
        </row>
        <row r="843">
          <cell r="C843">
            <v>5113.2250000000004</v>
          </cell>
          <cell r="D843">
            <v>0.128</v>
          </cell>
          <cell r="G843">
            <v>7595.625</v>
          </cell>
          <cell r="H843">
            <v>-7.2990000000000004</v>
          </cell>
        </row>
        <row r="844">
          <cell r="C844">
            <v>5133.7299999999996</v>
          </cell>
          <cell r="D844">
            <v>-2.9079999999999999</v>
          </cell>
          <cell r="G844">
            <v>7601.2759999999998</v>
          </cell>
          <cell r="H844">
            <v>-6.8529999999999998</v>
          </cell>
        </row>
        <row r="845">
          <cell r="C845">
            <v>5136.25</v>
          </cell>
          <cell r="D845">
            <v>-3.3839999999999999</v>
          </cell>
          <cell r="G845">
            <v>7605.0240000000003</v>
          </cell>
          <cell r="H845">
            <v>-6.5579999999999998</v>
          </cell>
        </row>
        <row r="846">
          <cell r="C846">
            <v>5140.9219999999996</v>
          </cell>
          <cell r="D846">
            <v>-4.3179999999999996</v>
          </cell>
          <cell r="G846">
            <v>7609.1779999999999</v>
          </cell>
          <cell r="H846">
            <v>-6.3010000000000002</v>
          </cell>
        </row>
        <row r="847">
          <cell r="C847">
            <v>5146.1620000000003</v>
          </cell>
          <cell r="D847">
            <v>-5.3620000000000001</v>
          </cell>
          <cell r="G847">
            <v>7614.1610000000001</v>
          </cell>
          <cell r="H847">
            <v>-5.9480000000000004</v>
          </cell>
        </row>
        <row r="848">
          <cell r="C848">
            <v>5148.5209999999997</v>
          </cell>
          <cell r="D848">
            <v>-5.8150000000000004</v>
          </cell>
          <cell r="G848">
            <v>7618.0249999999996</v>
          </cell>
          <cell r="H848">
            <v>-5.6980000000000004</v>
          </cell>
        </row>
        <row r="849">
          <cell r="C849">
            <v>5153.3450000000003</v>
          </cell>
          <cell r="D849">
            <v>-6.6159999999999997</v>
          </cell>
          <cell r="G849">
            <v>7626.6390000000001</v>
          </cell>
          <cell r="H849">
            <v>-4.9800000000000004</v>
          </cell>
        </row>
        <row r="850">
          <cell r="C850">
            <v>5156.7359999999999</v>
          </cell>
          <cell r="D850">
            <v>-7.11</v>
          </cell>
          <cell r="G850">
            <v>7630.9849999999997</v>
          </cell>
          <cell r="H850">
            <v>-4.7220000000000004</v>
          </cell>
        </row>
        <row r="851">
          <cell r="C851">
            <v>5161.7950000000001</v>
          </cell>
          <cell r="D851">
            <v>-7.8490000000000002</v>
          </cell>
          <cell r="G851">
            <v>7634.107</v>
          </cell>
          <cell r="H851">
            <v>-4.6159999999999997</v>
          </cell>
        </row>
        <row r="852">
          <cell r="C852">
            <v>5165.2079999999996</v>
          </cell>
          <cell r="D852">
            <v>-8.3059999999999992</v>
          </cell>
          <cell r="G852">
            <v>7637.9520000000002</v>
          </cell>
          <cell r="H852">
            <v>-4.3630000000000004</v>
          </cell>
        </row>
        <row r="853">
          <cell r="C853">
            <v>5170.1210000000001</v>
          </cell>
          <cell r="D853">
            <v>-8.7219999999999995</v>
          </cell>
          <cell r="G853">
            <v>7642.7870000000003</v>
          </cell>
          <cell r="H853">
            <v>-4.0949999999999998</v>
          </cell>
        </row>
        <row r="854">
          <cell r="C854">
            <v>5175.3019999999997</v>
          </cell>
          <cell r="D854">
            <v>-9.0649999999999995</v>
          </cell>
          <cell r="G854">
            <v>7647.95</v>
          </cell>
          <cell r="H854">
            <v>-3.927</v>
          </cell>
        </row>
        <row r="855">
          <cell r="C855">
            <v>5180.0889999999999</v>
          </cell>
          <cell r="D855">
            <v>-9.4459999999999997</v>
          </cell>
          <cell r="G855">
            <v>7654.5309999999999</v>
          </cell>
          <cell r="H855">
            <v>-3.7469999999999999</v>
          </cell>
        </row>
        <row r="856">
          <cell r="C856">
            <v>5183.7610000000004</v>
          </cell>
          <cell r="D856">
            <v>-9.7070000000000007</v>
          </cell>
          <cell r="G856">
            <v>7661.3310000000001</v>
          </cell>
          <cell r="H856">
            <v>-3.3479999999999999</v>
          </cell>
        </row>
        <row r="857">
          <cell r="C857">
            <v>5187.576</v>
          </cell>
          <cell r="D857">
            <v>-9.7210000000000001</v>
          </cell>
          <cell r="G857">
            <v>7665.5450000000001</v>
          </cell>
          <cell r="H857">
            <v>-3.0880000000000001</v>
          </cell>
        </row>
        <row r="858">
          <cell r="C858">
            <v>5192.2879999999996</v>
          </cell>
          <cell r="D858">
            <v>-9.8360000000000003</v>
          </cell>
          <cell r="G858">
            <v>7668.9639999999999</v>
          </cell>
          <cell r="H858">
            <v>-2.8919999999999999</v>
          </cell>
        </row>
        <row r="859">
          <cell r="C859">
            <v>5196.3530000000001</v>
          </cell>
          <cell r="D859">
            <v>-9.9659999999999993</v>
          </cell>
          <cell r="G859">
            <v>7674.0510000000004</v>
          </cell>
          <cell r="H859">
            <v>-2.7389999999999999</v>
          </cell>
        </row>
        <row r="860">
          <cell r="C860">
            <v>5201.8879999999999</v>
          </cell>
          <cell r="D860">
            <v>-10.191000000000001</v>
          </cell>
          <cell r="G860">
            <v>7678.7539999999999</v>
          </cell>
          <cell r="H860">
            <v>-2.5979999999999999</v>
          </cell>
        </row>
        <row r="861">
          <cell r="C861">
            <v>5206.384</v>
          </cell>
          <cell r="D861">
            <v>-10.249000000000001</v>
          </cell>
          <cell r="G861">
            <v>7687.1909999999998</v>
          </cell>
          <cell r="H861">
            <v>-2.484</v>
          </cell>
        </row>
        <row r="862">
          <cell r="C862">
            <v>5211.1310000000003</v>
          </cell>
          <cell r="D862">
            <v>-10.211</v>
          </cell>
          <cell r="G862">
            <v>7694.3130000000001</v>
          </cell>
          <cell r="H862">
            <v>-2.3839999999999999</v>
          </cell>
        </row>
        <row r="863">
          <cell r="C863">
            <v>5215.348</v>
          </cell>
          <cell r="D863">
            <v>-10.125999999999999</v>
          </cell>
          <cell r="G863">
            <v>7700.3710000000001</v>
          </cell>
          <cell r="H863">
            <v>-2.3639999999999999</v>
          </cell>
        </row>
        <row r="864">
          <cell r="C864">
            <v>5220.46</v>
          </cell>
          <cell r="D864">
            <v>-10.005000000000001</v>
          </cell>
          <cell r="G864">
            <v>7708.5950000000003</v>
          </cell>
          <cell r="H864">
            <v>-2.2629999999999999</v>
          </cell>
        </row>
        <row r="865">
          <cell r="C865">
            <v>5222.991</v>
          </cell>
          <cell r="D865">
            <v>-9.8279999999999994</v>
          </cell>
          <cell r="G865">
            <v>7712.3249999999998</v>
          </cell>
          <cell r="H865">
            <v>-2.1240000000000001</v>
          </cell>
        </row>
        <row r="866">
          <cell r="C866">
            <v>5225.7809999999999</v>
          </cell>
          <cell r="D866">
            <v>-9.625</v>
          </cell>
          <cell r="G866">
            <v>7715.3890000000001</v>
          </cell>
          <cell r="H866">
            <v>-2.1280000000000001</v>
          </cell>
        </row>
        <row r="867">
          <cell r="C867">
            <v>5233.4089999999997</v>
          </cell>
          <cell r="D867">
            <v>-9.2319999999999993</v>
          </cell>
          <cell r="G867">
            <v>7728.143</v>
          </cell>
          <cell r="H867">
            <v>-2.11</v>
          </cell>
        </row>
        <row r="868">
          <cell r="C868">
            <v>5241.1750000000002</v>
          </cell>
          <cell r="D868">
            <v>-8.6229999999999993</v>
          </cell>
          <cell r="G868">
            <v>7731.6570000000002</v>
          </cell>
          <cell r="H868">
            <v>-2.5720000000000001</v>
          </cell>
        </row>
        <row r="869">
          <cell r="C869">
            <v>5243.4089999999997</v>
          </cell>
          <cell r="D869">
            <v>-8.4879999999999995</v>
          </cell>
          <cell r="G869">
            <v>7736.0709999999999</v>
          </cell>
          <cell r="H869">
            <v>-2.7669999999999999</v>
          </cell>
        </row>
        <row r="870">
          <cell r="C870">
            <v>5247.8689999999997</v>
          </cell>
          <cell r="D870">
            <v>-8.0030000000000001</v>
          </cell>
          <cell r="G870">
            <v>7740.7290000000003</v>
          </cell>
          <cell r="H870">
            <v>-2.9590000000000001</v>
          </cell>
        </row>
        <row r="871">
          <cell r="C871">
            <v>5251.9219999999996</v>
          </cell>
          <cell r="D871">
            <v>-7.5389999999999997</v>
          </cell>
          <cell r="G871">
            <v>7746.34</v>
          </cell>
          <cell r="H871">
            <v>-3.0880000000000001</v>
          </cell>
        </row>
        <row r="872">
          <cell r="C872">
            <v>5257.4480000000003</v>
          </cell>
          <cell r="D872">
            <v>-6.7450000000000001</v>
          </cell>
          <cell r="G872">
            <v>7759.2020000000002</v>
          </cell>
          <cell r="H872">
            <v>-3.3919999999999999</v>
          </cell>
        </row>
        <row r="873">
          <cell r="C873">
            <v>5260.4570000000003</v>
          </cell>
          <cell r="D873">
            <v>-6.3630000000000004</v>
          </cell>
          <cell r="G873">
            <v>7770.866</v>
          </cell>
          <cell r="H873">
            <v>-3.4550000000000001</v>
          </cell>
        </row>
        <row r="874">
          <cell r="C874">
            <v>5265.357</v>
          </cell>
          <cell r="D874">
            <v>-5.5949999999999998</v>
          </cell>
          <cell r="G874">
            <v>7780.991</v>
          </cell>
          <cell r="H874">
            <v>-3.7829999999999999</v>
          </cell>
        </row>
        <row r="875">
          <cell r="C875">
            <v>5269.7219999999998</v>
          </cell>
          <cell r="D875">
            <v>-4.9029999999999996</v>
          </cell>
          <cell r="G875">
            <v>7791.1149999999998</v>
          </cell>
          <cell r="H875">
            <v>-3.839</v>
          </cell>
        </row>
        <row r="876">
          <cell r="C876">
            <v>5278.93</v>
          </cell>
          <cell r="D876">
            <v>-3.141</v>
          </cell>
          <cell r="G876">
            <v>7795.8130000000001</v>
          </cell>
          <cell r="H876">
            <v>-3.76</v>
          </cell>
        </row>
        <row r="877">
          <cell r="C877">
            <v>5285.7420000000002</v>
          </cell>
          <cell r="D877">
            <v>-1.919</v>
          </cell>
          <cell r="G877">
            <v>7803.7349999999997</v>
          </cell>
          <cell r="H877">
            <v>-3.6120000000000001</v>
          </cell>
        </row>
        <row r="878">
          <cell r="C878">
            <v>5291.5659999999998</v>
          </cell>
          <cell r="D878">
            <v>-1.0509999999999999</v>
          </cell>
          <cell r="G878">
            <v>7816.9970000000003</v>
          </cell>
          <cell r="H878">
            <v>-3.8919999999999999</v>
          </cell>
        </row>
        <row r="879">
          <cell r="C879">
            <v>5301.5550000000003</v>
          </cell>
          <cell r="D879">
            <v>0.214</v>
          </cell>
          <cell r="G879">
            <v>7828.9070000000002</v>
          </cell>
          <cell r="H879">
            <v>-3.8490000000000002</v>
          </cell>
        </row>
        <row r="880">
          <cell r="C880">
            <v>5316.4</v>
          </cell>
          <cell r="D880">
            <v>1.774</v>
          </cell>
          <cell r="G880">
            <v>7844.2809999999999</v>
          </cell>
          <cell r="H880">
            <v>-3.8940000000000001</v>
          </cell>
        </row>
        <row r="881">
          <cell r="C881">
            <v>5323.1</v>
          </cell>
          <cell r="D881">
            <v>2.2400000000000002</v>
          </cell>
          <cell r="G881">
            <v>7862.152</v>
          </cell>
          <cell r="H881">
            <v>-3.8580000000000001</v>
          </cell>
        </row>
        <row r="882">
          <cell r="C882">
            <v>5328.4350000000004</v>
          </cell>
          <cell r="D882">
            <v>2.4849999999999999</v>
          </cell>
          <cell r="G882">
            <v>7873.59</v>
          </cell>
          <cell r="H882">
            <v>-3.7210000000000001</v>
          </cell>
        </row>
        <row r="883">
          <cell r="C883">
            <v>5330.3639999999996</v>
          </cell>
          <cell r="D883">
            <v>2.6150000000000002</v>
          </cell>
          <cell r="G883">
            <v>7887.7259999999997</v>
          </cell>
          <cell r="H883">
            <v>-3.633</v>
          </cell>
        </row>
        <row r="884">
          <cell r="C884">
            <v>5333.4390000000003</v>
          </cell>
          <cell r="D884">
            <v>2.5590000000000002</v>
          </cell>
          <cell r="G884">
            <v>7902.66</v>
          </cell>
          <cell r="H884">
            <v>-3.6480000000000001</v>
          </cell>
        </row>
        <row r="885">
          <cell r="C885">
            <v>5337.8370000000004</v>
          </cell>
          <cell r="D885">
            <v>2.4990000000000001</v>
          </cell>
          <cell r="G885">
            <v>7908.1970000000001</v>
          </cell>
          <cell r="H885">
            <v>-3.7360000000000002</v>
          </cell>
        </row>
        <row r="886">
          <cell r="C886">
            <v>5341.5879999999997</v>
          </cell>
          <cell r="D886">
            <v>2.0569999999999999</v>
          </cell>
          <cell r="G886">
            <v>7915.5129999999999</v>
          </cell>
          <cell r="H886">
            <v>-3.593</v>
          </cell>
        </row>
        <row r="887">
          <cell r="C887">
            <v>5344.585</v>
          </cell>
          <cell r="D887">
            <v>1.7689999999999999</v>
          </cell>
          <cell r="G887">
            <v>7919.87</v>
          </cell>
          <cell r="H887">
            <v>-3.75</v>
          </cell>
        </row>
        <row r="888">
          <cell r="C888">
            <v>5348.0339999999997</v>
          </cell>
          <cell r="D888">
            <v>1.292</v>
          </cell>
          <cell r="G888">
            <v>7924.3909999999996</v>
          </cell>
          <cell r="H888">
            <v>-3.6920000000000002</v>
          </cell>
        </row>
        <row r="889">
          <cell r="C889">
            <v>5353.0230000000001</v>
          </cell>
          <cell r="D889">
            <v>0.45900000000000002</v>
          </cell>
          <cell r="G889">
            <v>7929.1869999999999</v>
          </cell>
          <cell r="H889">
            <v>-3.613</v>
          </cell>
        </row>
        <row r="890">
          <cell r="C890">
            <v>5358.9340000000002</v>
          </cell>
          <cell r="D890">
            <v>-0.73899999999999999</v>
          </cell>
          <cell r="G890">
            <v>7932.2470000000003</v>
          </cell>
          <cell r="H890">
            <v>-3.4750000000000001</v>
          </cell>
        </row>
        <row r="891">
          <cell r="C891">
            <v>5362.9110000000001</v>
          </cell>
          <cell r="D891">
            <v>-1.456</v>
          </cell>
          <cell r="G891">
            <v>7937.5559999999996</v>
          </cell>
          <cell r="H891">
            <v>-3.4249999999999998</v>
          </cell>
        </row>
        <row r="892">
          <cell r="C892">
            <v>5366.5309999999999</v>
          </cell>
          <cell r="D892">
            <v>-2.395</v>
          </cell>
          <cell r="G892">
            <v>7942.6869999999999</v>
          </cell>
          <cell r="H892">
            <v>-3.5070000000000001</v>
          </cell>
        </row>
        <row r="893">
          <cell r="C893">
            <v>5371.6360000000004</v>
          </cell>
          <cell r="D893">
            <v>-3.6619999999999999</v>
          </cell>
          <cell r="G893">
            <v>7947.134</v>
          </cell>
          <cell r="H893">
            <v>-3.48</v>
          </cell>
        </row>
        <row r="894">
          <cell r="C894">
            <v>5376.8220000000001</v>
          </cell>
          <cell r="D894">
            <v>-4.9409999999999998</v>
          </cell>
          <cell r="G894">
            <v>7951.1239999999998</v>
          </cell>
          <cell r="H894">
            <v>-3.468</v>
          </cell>
        </row>
        <row r="895">
          <cell r="C895">
            <v>5385.018</v>
          </cell>
          <cell r="D895">
            <v>-6.3490000000000002</v>
          </cell>
          <cell r="G895">
            <v>7953.009</v>
          </cell>
          <cell r="H895">
            <v>-3.4769999999999999</v>
          </cell>
        </row>
        <row r="896">
          <cell r="C896">
            <v>5392.4960000000001</v>
          </cell>
          <cell r="D896">
            <v>-7.6139999999999999</v>
          </cell>
          <cell r="G896">
            <v>7957.8869999999997</v>
          </cell>
          <cell r="H896">
            <v>-3.4969999999999999</v>
          </cell>
        </row>
        <row r="897">
          <cell r="C897">
            <v>5397.4380000000001</v>
          </cell>
          <cell r="D897">
            <v>-8.0790000000000006</v>
          </cell>
          <cell r="G897">
            <v>7960.9930000000004</v>
          </cell>
          <cell r="H897">
            <v>-3.577</v>
          </cell>
        </row>
        <row r="898">
          <cell r="C898">
            <v>5412.7039999999997</v>
          </cell>
          <cell r="D898">
            <v>-9.2289999999999992</v>
          </cell>
          <cell r="G898">
            <v>7964.5039999999999</v>
          </cell>
          <cell r="H898">
            <v>-3.5569999999999999</v>
          </cell>
        </row>
        <row r="899">
          <cell r="C899">
            <v>5430.6679999999997</v>
          </cell>
          <cell r="D899">
            <v>-9.1590000000000007</v>
          </cell>
          <cell r="G899">
            <v>7966.1139999999996</v>
          </cell>
          <cell r="H899">
            <v>-3.597</v>
          </cell>
        </row>
        <row r="900">
          <cell r="C900">
            <v>5450.0820000000003</v>
          </cell>
          <cell r="D900">
            <v>-7.3529999999999998</v>
          </cell>
          <cell r="G900">
            <v>7968.1360000000004</v>
          </cell>
          <cell r="H900">
            <v>-3.5640000000000001</v>
          </cell>
        </row>
        <row r="901">
          <cell r="C901">
            <v>5453.9960000000001</v>
          </cell>
          <cell r="D901">
            <v>-6.7919999999999998</v>
          </cell>
          <cell r="G901">
            <v>7971.0219999999999</v>
          </cell>
          <cell r="H901">
            <v>-3.52</v>
          </cell>
        </row>
        <row r="902">
          <cell r="C902">
            <v>5459.3289999999997</v>
          </cell>
          <cell r="D902">
            <v>-6.02</v>
          </cell>
          <cell r="G902">
            <v>7974.6080000000002</v>
          </cell>
          <cell r="H902">
            <v>-3.3849999999999998</v>
          </cell>
        </row>
        <row r="903">
          <cell r="C903">
            <v>5464.31</v>
          </cell>
          <cell r="D903">
            <v>-5.3380000000000001</v>
          </cell>
          <cell r="G903">
            <v>7982.3239999999996</v>
          </cell>
          <cell r="H903">
            <v>-3.42</v>
          </cell>
        </row>
        <row r="904">
          <cell r="C904">
            <v>5469.1660000000002</v>
          </cell>
          <cell r="D904">
            <v>-4.6280000000000001</v>
          </cell>
          <cell r="G904">
            <v>7985.201</v>
          </cell>
          <cell r="H904">
            <v>-3.4319999999999999</v>
          </cell>
        </row>
        <row r="905">
          <cell r="C905">
            <v>5473.5330000000004</v>
          </cell>
          <cell r="D905">
            <v>-4.1130000000000004</v>
          </cell>
          <cell r="G905">
            <v>7992.3819999999996</v>
          </cell>
          <cell r="H905">
            <v>-3.4449999999999998</v>
          </cell>
        </row>
        <row r="906">
          <cell r="C906">
            <v>5480.1090000000004</v>
          </cell>
          <cell r="D906">
            <v>-3.2709999999999999</v>
          </cell>
          <cell r="G906">
            <v>8001.3540000000003</v>
          </cell>
          <cell r="H906">
            <v>-3.5950000000000002</v>
          </cell>
        </row>
        <row r="907">
          <cell r="C907">
            <v>5483.6260000000002</v>
          </cell>
          <cell r="D907">
            <v>-2.8439999999999999</v>
          </cell>
          <cell r="G907">
            <v>8008.8829999999998</v>
          </cell>
          <cell r="H907">
            <v>-3.7450000000000001</v>
          </cell>
        </row>
        <row r="908">
          <cell r="C908">
            <v>5488.6930000000002</v>
          </cell>
          <cell r="D908">
            <v>-2.3250000000000002</v>
          </cell>
          <cell r="G908">
            <v>8017.2039999999997</v>
          </cell>
          <cell r="H908">
            <v>-3.786</v>
          </cell>
        </row>
        <row r="909">
          <cell r="C909">
            <v>5492.8149999999996</v>
          </cell>
          <cell r="D909">
            <v>-1.9179999999999999</v>
          </cell>
          <cell r="G909">
            <v>8021.6629999999996</v>
          </cell>
          <cell r="H909">
            <v>-4.0979999999999999</v>
          </cell>
        </row>
        <row r="910">
          <cell r="C910">
            <v>5496.4290000000001</v>
          </cell>
          <cell r="D910">
            <v>-1.42</v>
          </cell>
          <cell r="G910">
            <v>8026.9989999999998</v>
          </cell>
          <cell r="H910">
            <v>-4.5090000000000003</v>
          </cell>
        </row>
        <row r="911">
          <cell r="C911">
            <v>5500.1049999999996</v>
          </cell>
          <cell r="D911">
            <v>-0.995</v>
          </cell>
          <cell r="G911">
            <v>8032.3909999999996</v>
          </cell>
          <cell r="H911">
            <v>-4.9880000000000004</v>
          </cell>
        </row>
        <row r="912">
          <cell r="C912">
            <v>5503.1840000000002</v>
          </cell>
          <cell r="D912">
            <v>-0.73099999999999998</v>
          </cell>
          <cell r="G912">
            <v>8035.76</v>
          </cell>
          <cell r="H912">
            <v>-5.3579999999999997</v>
          </cell>
        </row>
        <row r="913">
          <cell r="C913">
            <v>5506.5690000000004</v>
          </cell>
          <cell r="D913">
            <v>-0.47599999999999998</v>
          </cell>
          <cell r="G913">
            <v>8038.3230000000003</v>
          </cell>
          <cell r="H913">
            <v>-5.63</v>
          </cell>
        </row>
        <row r="914">
          <cell r="C914">
            <v>5510.91</v>
          </cell>
          <cell r="D914">
            <v>-2.8000000000000001E-2</v>
          </cell>
          <cell r="G914">
            <v>8041.6369999999997</v>
          </cell>
          <cell r="H914">
            <v>-5.9630000000000001</v>
          </cell>
        </row>
        <row r="915">
          <cell r="C915">
            <v>5516.2979999999998</v>
          </cell>
          <cell r="D915">
            <v>0.46200000000000002</v>
          </cell>
          <cell r="G915">
            <v>8045.6</v>
          </cell>
          <cell r="H915">
            <v>-6.2</v>
          </cell>
        </row>
        <row r="916">
          <cell r="C916">
            <v>5521.1869999999999</v>
          </cell>
          <cell r="D916">
            <v>0.92600000000000005</v>
          </cell>
          <cell r="G916">
            <v>8047.3670000000002</v>
          </cell>
          <cell r="H916">
            <v>-6.2389999999999999</v>
          </cell>
        </row>
        <row r="917">
          <cell r="C917">
            <v>5523.8029999999999</v>
          </cell>
          <cell r="D917">
            <v>1.0660000000000001</v>
          </cell>
          <cell r="G917">
            <v>8051.34</v>
          </cell>
          <cell r="H917">
            <v>-6.2960000000000003</v>
          </cell>
        </row>
        <row r="918">
          <cell r="C918">
            <v>5527.5249999999996</v>
          </cell>
          <cell r="D918">
            <v>1.3759999999999999</v>
          </cell>
          <cell r="G918">
            <v>8055.5839999999998</v>
          </cell>
          <cell r="H918">
            <v>-6.266</v>
          </cell>
        </row>
        <row r="919">
          <cell r="C919">
            <v>5532.7269999999999</v>
          </cell>
          <cell r="D919">
            <v>1.7789999999999999</v>
          </cell>
          <cell r="G919">
            <v>8059.0349999999999</v>
          </cell>
          <cell r="H919">
            <v>-6.2220000000000004</v>
          </cell>
        </row>
        <row r="920">
          <cell r="C920">
            <v>5539.55</v>
          </cell>
          <cell r="D920">
            <v>2.2349999999999999</v>
          </cell>
          <cell r="G920">
            <v>8061.3680000000004</v>
          </cell>
          <cell r="H920">
            <v>-6.2789999999999999</v>
          </cell>
        </row>
        <row r="921">
          <cell r="C921">
            <v>5542.8549999999996</v>
          </cell>
          <cell r="D921">
            <v>2.4950000000000001</v>
          </cell>
          <cell r="G921">
            <v>8064.11</v>
          </cell>
          <cell r="H921">
            <v>-6.27</v>
          </cell>
        </row>
        <row r="922">
          <cell r="C922">
            <v>5547.049</v>
          </cell>
          <cell r="D922">
            <v>2.7069999999999999</v>
          </cell>
          <cell r="G922">
            <v>8066.3329999999996</v>
          </cell>
          <cell r="H922">
            <v>-6.1970000000000001</v>
          </cell>
        </row>
        <row r="923">
          <cell r="C923">
            <v>5552.7860000000001</v>
          </cell>
          <cell r="D923">
            <v>3.0190000000000001</v>
          </cell>
          <cell r="G923">
            <v>8068.8770000000004</v>
          </cell>
          <cell r="H923">
            <v>-5.93</v>
          </cell>
        </row>
        <row r="924">
          <cell r="C924">
            <v>5556.6440000000002</v>
          </cell>
          <cell r="D924">
            <v>3.1120000000000001</v>
          </cell>
          <cell r="G924">
            <v>8071.8689999999997</v>
          </cell>
          <cell r="H924">
            <v>-5.6070000000000002</v>
          </cell>
        </row>
        <row r="925">
          <cell r="C925">
            <v>5560.7060000000001</v>
          </cell>
          <cell r="D925">
            <v>3.198</v>
          </cell>
          <cell r="G925">
            <v>8073.85</v>
          </cell>
          <cell r="H925">
            <v>-5.3730000000000002</v>
          </cell>
        </row>
        <row r="926">
          <cell r="C926">
            <v>5565.4549999999999</v>
          </cell>
          <cell r="D926">
            <v>3.4260000000000002</v>
          </cell>
          <cell r="G926">
            <v>8076.8620000000001</v>
          </cell>
          <cell r="H926">
            <v>-5</v>
          </cell>
        </row>
        <row r="927">
          <cell r="C927">
            <v>5570.0590000000002</v>
          </cell>
          <cell r="D927">
            <v>3.4569999999999999</v>
          </cell>
          <cell r="G927">
            <v>8079.4279999999999</v>
          </cell>
          <cell r="H927">
            <v>-4.6689999999999996</v>
          </cell>
        </row>
        <row r="928">
          <cell r="C928">
            <v>5574.6409999999996</v>
          </cell>
          <cell r="D928">
            <v>3.4220000000000002</v>
          </cell>
          <cell r="G928">
            <v>8082.8329999999996</v>
          </cell>
          <cell r="H928">
            <v>-4.2619999999999996</v>
          </cell>
        </row>
        <row r="929">
          <cell r="C929">
            <v>5579.5929999999998</v>
          </cell>
          <cell r="D929">
            <v>3.367</v>
          </cell>
          <cell r="G929">
            <v>8090.6270000000004</v>
          </cell>
          <cell r="H929">
            <v>-3.1549999999999998</v>
          </cell>
        </row>
        <row r="930">
          <cell r="C930">
            <v>5592.5590000000002</v>
          </cell>
          <cell r="D930">
            <v>3.24</v>
          </cell>
          <cell r="G930">
            <v>8095.9930000000004</v>
          </cell>
          <cell r="H930">
            <v>-2.5990000000000002</v>
          </cell>
        </row>
        <row r="931">
          <cell r="C931">
            <v>5601.951</v>
          </cell>
          <cell r="D931">
            <v>3.17</v>
          </cell>
          <cell r="G931">
            <v>8102.0619999999999</v>
          </cell>
          <cell r="H931">
            <v>-2.1760000000000002</v>
          </cell>
        </row>
        <row r="932">
          <cell r="C932">
            <v>5610.7579999999998</v>
          </cell>
          <cell r="D932">
            <v>3.0310000000000001</v>
          </cell>
          <cell r="G932">
            <v>8111.55</v>
          </cell>
          <cell r="H932">
            <v>-1.948</v>
          </cell>
        </row>
        <row r="933">
          <cell r="C933">
            <v>5625.9279999999999</v>
          </cell>
          <cell r="D933">
            <v>3.06</v>
          </cell>
          <cell r="G933">
            <v>8115.9170000000004</v>
          </cell>
          <cell r="H933">
            <v>-1.966</v>
          </cell>
        </row>
        <row r="934">
          <cell r="C934">
            <v>5638.1040000000003</v>
          </cell>
          <cell r="D934">
            <v>2.9449999999999998</v>
          </cell>
          <cell r="G934">
            <v>8119.9859999999999</v>
          </cell>
          <cell r="H934">
            <v>-2.0990000000000002</v>
          </cell>
        </row>
        <row r="935">
          <cell r="C935">
            <v>5656.0590000000002</v>
          </cell>
          <cell r="D935">
            <v>2.9129999999999998</v>
          </cell>
          <cell r="G935">
            <v>8123.5020000000004</v>
          </cell>
          <cell r="H935">
            <v>-2.302</v>
          </cell>
        </row>
        <row r="936">
          <cell r="C936">
            <v>5680.4930000000004</v>
          </cell>
          <cell r="D936">
            <v>2.7210000000000001</v>
          </cell>
          <cell r="G936">
            <v>8127.9769999999999</v>
          </cell>
          <cell r="H936">
            <v>-2.476</v>
          </cell>
        </row>
        <row r="937">
          <cell r="C937">
            <v>5705.2349999999997</v>
          </cell>
          <cell r="D937">
            <v>2.6</v>
          </cell>
          <cell r="G937">
            <v>8131.1139999999996</v>
          </cell>
          <cell r="H937">
            <v>-2.6360000000000001</v>
          </cell>
        </row>
        <row r="938">
          <cell r="C938">
            <v>5730.1360000000004</v>
          </cell>
          <cell r="D938">
            <v>2.8090000000000002</v>
          </cell>
          <cell r="G938">
            <v>8134.7849999999999</v>
          </cell>
          <cell r="H938">
            <v>-2.633</v>
          </cell>
        </row>
        <row r="939">
          <cell r="C939">
            <v>5747.35</v>
          </cell>
          <cell r="D939">
            <v>2.1779999999999999</v>
          </cell>
          <cell r="G939">
            <v>8139.067</v>
          </cell>
          <cell r="H939">
            <v>-2.8460000000000001</v>
          </cell>
        </row>
        <row r="940">
          <cell r="C940">
            <v>5769.2830000000004</v>
          </cell>
          <cell r="D940">
            <v>1.7609999999999999</v>
          </cell>
          <cell r="G940">
            <v>8142.3549999999996</v>
          </cell>
          <cell r="H940">
            <v>-2.9910000000000001</v>
          </cell>
        </row>
        <row r="941">
          <cell r="C941">
            <v>5786.72</v>
          </cell>
          <cell r="D941">
            <v>1.544</v>
          </cell>
          <cell r="G941">
            <v>8143.7820000000002</v>
          </cell>
          <cell r="H941">
            <v>-3.0920000000000001</v>
          </cell>
        </row>
        <row r="942">
          <cell r="C942">
            <v>5807.3950000000004</v>
          </cell>
          <cell r="D942">
            <v>1.585</v>
          </cell>
          <cell r="G942">
            <v>8147.8069999999998</v>
          </cell>
          <cell r="H942">
            <v>-3.3090000000000002</v>
          </cell>
        </row>
        <row r="943">
          <cell r="C943">
            <v>5829.7929999999997</v>
          </cell>
          <cell r="D943">
            <v>1.6539999999999999</v>
          </cell>
          <cell r="G943">
            <v>8150.5169999999998</v>
          </cell>
          <cell r="H943">
            <v>-3.5670000000000002</v>
          </cell>
        </row>
        <row r="944">
          <cell r="C944">
            <v>5854.875</v>
          </cell>
          <cell r="D944">
            <v>1.621</v>
          </cell>
          <cell r="G944">
            <v>8152.9740000000002</v>
          </cell>
          <cell r="H944">
            <v>-3.7429999999999999</v>
          </cell>
        </row>
        <row r="945">
          <cell r="C945">
            <v>5874.1379999999999</v>
          </cell>
          <cell r="D945">
            <v>1.581</v>
          </cell>
          <cell r="G945">
            <v>8158.3649999999998</v>
          </cell>
          <cell r="H945">
            <v>-4.0199999999999996</v>
          </cell>
        </row>
        <row r="946">
          <cell r="C946">
            <v>5895.37</v>
          </cell>
          <cell r="D946">
            <v>1.774</v>
          </cell>
          <cell r="G946">
            <v>8162.6750000000002</v>
          </cell>
          <cell r="H946">
            <v>-4.1689999999999996</v>
          </cell>
        </row>
        <row r="947">
          <cell r="C947">
            <v>5929.9279999999999</v>
          </cell>
          <cell r="D947">
            <v>1.929</v>
          </cell>
          <cell r="G947">
            <v>8172.8339999999998</v>
          </cell>
          <cell r="H947">
            <v>-4.33</v>
          </cell>
        </row>
        <row r="948">
          <cell r="C948">
            <v>5949.8850000000002</v>
          </cell>
          <cell r="D948">
            <v>1.8180000000000001</v>
          </cell>
          <cell r="G948">
            <v>8185.1360000000004</v>
          </cell>
          <cell r="H948">
            <v>-4.4909999999999997</v>
          </cell>
        </row>
        <row r="949">
          <cell r="C949">
            <v>5956.8109999999997</v>
          </cell>
          <cell r="D949">
            <v>1.671</v>
          </cell>
          <cell r="G949">
            <v>8192.5830000000005</v>
          </cell>
          <cell r="H949">
            <v>-4.5620000000000003</v>
          </cell>
        </row>
        <row r="950">
          <cell r="C950">
            <v>5961.4539999999997</v>
          </cell>
          <cell r="D950">
            <v>1.59</v>
          </cell>
          <cell r="G950">
            <v>8203.6759999999995</v>
          </cell>
          <cell r="H950">
            <v>-4.5439999999999996</v>
          </cell>
        </row>
        <row r="951">
          <cell r="C951">
            <v>5968.6779999999999</v>
          </cell>
          <cell r="D951">
            <v>1.552</v>
          </cell>
          <cell r="G951">
            <v>8211.3819999999996</v>
          </cell>
          <cell r="H951">
            <v>-4.4720000000000004</v>
          </cell>
        </row>
        <row r="952">
          <cell r="C952">
            <v>5972.32</v>
          </cell>
          <cell r="D952">
            <v>1.5129999999999999</v>
          </cell>
          <cell r="G952">
            <v>8224.2999999999993</v>
          </cell>
          <cell r="H952">
            <v>-4.3120000000000003</v>
          </cell>
        </row>
        <row r="953">
          <cell r="C953">
            <v>5977.683</v>
          </cell>
          <cell r="D953">
            <v>1.548</v>
          </cell>
          <cell r="G953">
            <v>8241.9840000000004</v>
          </cell>
          <cell r="H953">
            <v>-4.4790000000000001</v>
          </cell>
        </row>
        <row r="954">
          <cell r="C954">
            <v>5984.8850000000002</v>
          </cell>
          <cell r="D954">
            <v>1.52</v>
          </cell>
          <cell r="G954">
            <v>8258.1589999999997</v>
          </cell>
          <cell r="H954">
            <v>-4.3550000000000004</v>
          </cell>
        </row>
        <row r="955">
          <cell r="C955">
            <v>5995.5709999999999</v>
          </cell>
          <cell r="D955">
            <v>1.3460000000000001</v>
          </cell>
          <cell r="G955">
            <v>8261.7309999999998</v>
          </cell>
          <cell r="H955">
            <v>-4.2030000000000003</v>
          </cell>
        </row>
        <row r="956">
          <cell r="C956">
            <v>6002.0709999999999</v>
          </cell>
          <cell r="D956">
            <v>1.2350000000000001</v>
          </cell>
          <cell r="G956">
            <v>8274.2510000000002</v>
          </cell>
          <cell r="H956">
            <v>-4.2990000000000004</v>
          </cell>
        </row>
        <row r="957">
          <cell r="C957">
            <v>6015.0559999999996</v>
          </cell>
          <cell r="D957">
            <v>1.1120000000000001</v>
          </cell>
          <cell r="G957">
            <v>8285.6560000000009</v>
          </cell>
          <cell r="H957">
            <v>-4.2350000000000003</v>
          </cell>
        </row>
        <row r="958">
          <cell r="C958">
            <v>6022.55</v>
          </cell>
          <cell r="D958">
            <v>1.1659999999999999</v>
          </cell>
          <cell r="G958">
            <v>8297.7139999999999</v>
          </cell>
          <cell r="H958">
            <v>-4.2300000000000004</v>
          </cell>
        </row>
        <row r="959">
          <cell r="C959">
            <v>6033.9260000000004</v>
          </cell>
          <cell r="D959">
            <v>1.212</v>
          </cell>
          <cell r="G959">
            <v>8310.268</v>
          </cell>
          <cell r="H959">
            <v>-4.1870000000000003</v>
          </cell>
        </row>
        <row r="960">
          <cell r="C960">
            <v>6044.7960000000003</v>
          </cell>
          <cell r="D960">
            <v>1.18</v>
          </cell>
          <cell r="G960">
            <v>8324.1679999999997</v>
          </cell>
          <cell r="H960">
            <v>-4.1310000000000002</v>
          </cell>
        </row>
        <row r="961">
          <cell r="C961">
            <v>6064.5860000000002</v>
          </cell>
          <cell r="D961">
            <v>0.61</v>
          </cell>
          <cell r="G961">
            <v>8336.8829999999998</v>
          </cell>
          <cell r="H961">
            <v>-4.2309999999999999</v>
          </cell>
        </row>
        <row r="962">
          <cell r="C962">
            <v>6082.3440000000001</v>
          </cell>
          <cell r="D962">
            <v>0.115</v>
          </cell>
          <cell r="G962">
            <v>8347.5990000000002</v>
          </cell>
          <cell r="H962">
            <v>-4.3259999999999996</v>
          </cell>
        </row>
        <row r="963">
          <cell r="C963">
            <v>6101.6509999999998</v>
          </cell>
          <cell r="D963">
            <v>-0.442</v>
          </cell>
          <cell r="G963">
            <v>8359.7109999999993</v>
          </cell>
          <cell r="H963">
            <v>-4.234</v>
          </cell>
        </row>
        <row r="964">
          <cell r="C964">
            <v>6115.6589999999997</v>
          </cell>
          <cell r="D964">
            <v>-0.79400000000000004</v>
          </cell>
          <cell r="G964">
            <v>8367.7189999999991</v>
          </cell>
          <cell r="H964">
            <v>-4.2830000000000004</v>
          </cell>
        </row>
        <row r="965">
          <cell r="C965">
            <v>6133.1130000000003</v>
          </cell>
          <cell r="D965">
            <v>-1.3360000000000001</v>
          </cell>
          <cell r="G965">
            <v>8373.3070000000007</v>
          </cell>
          <cell r="H965">
            <v>-4.2050000000000001</v>
          </cell>
        </row>
        <row r="966">
          <cell r="C966">
            <v>6147.3119999999999</v>
          </cell>
          <cell r="D966">
            <v>-2.0299999999999998</v>
          </cell>
          <cell r="G966">
            <v>8376.6859999999997</v>
          </cell>
          <cell r="H966">
            <v>-4.2270000000000003</v>
          </cell>
        </row>
        <row r="967">
          <cell r="C967">
            <v>6167.491</v>
          </cell>
          <cell r="D967">
            <v>-2.61</v>
          </cell>
          <cell r="G967">
            <v>8379.0740000000005</v>
          </cell>
          <cell r="H967">
            <v>-4.1929999999999996</v>
          </cell>
        </row>
        <row r="968">
          <cell r="C968">
            <v>6181.8890000000001</v>
          </cell>
          <cell r="D968">
            <v>-2.6320000000000001</v>
          </cell>
          <cell r="G968">
            <v>8379.8009999999995</v>
          </cell>
          <cell r="H968">
            <v>-4.1849999999999996</v>
          </cell>
        </row>
        <row r="969">
          <cell r="C969">
            <v>6186.09</v>
          </cell>
          <cell r="D969">
            <v>-2.403</v>
          </cell>
          <cell r="G969">
            <v>8387.9920000000002</v>
          </cell>
          <cell r="H969">
            <v>-4.1710000000000003</v>
          </cell>
        </row>
        <row r="970">
          <cell r="C970">
            <v>6192.9340000000002</v>
          </cell>
          <cell r="D970">
            <v>-2.2400000000000002</v>
          </cell>
          <cell r="G970">
            <v>8394.643</v>
          </cell>
          <cell r="H970">
            <v>-4.1280000000000001</v>
          </cell>
        </row>
        <row r="971">
          <cell r="C971">
            <v>6200.2190000000001</v>
          </cell>
          <cell r="D971">
            <v>-1.7649999999999999</v>
          </cell>
          <cell r="G971">
            <v>8399.3539999999994</v>
          </cell>
          <cell r="H971">
            <v>-4.1420000000000003</v>
          </cell>
        </row>
        <row r="972">
          <cell r="C972">
            <v>6204.7610000000004</v>
          </cell>
          <cell r="D972">
            <v>-1.5309999999999999</v>
          </cell>
          <cell r="G972">
            <v>8406.9470000000001</v>
          </cell>
          <cell r="H972">
            <v>-4.2039999999999997</v>
          </cell>
        </row>
        <row r="973">
          <cell r="C973">
            <v>6210.8379999999997</v>
          </cell>
          <cell r="D973">
            <v>-1.2190000000000001</v>
          </cell>
          <cell r="G973">
            <v>8410.2960000000003</v>
          </cell>
          <cell r="H973">
            <v>-4.1609999999999996</v>
          </cell>
        </row>
        <row r="974">
          <cell r="C974">
            <v>6214.7690000000002</v>
          </cell>
          <cell r="D974">
            <v>-1.069</v>
          </cell>
          <cell r="G974">
            <v>8422</v>
          </cell>
          <cell r="H974">
            <v>-4.0430000000000001</v>
          </cell>
        </row>
        <row r="975">
          <cell r="C975">
            <v>6219.7860000000001</v>
          </cell>
          <cell r="D975">
            <v>-0.69599999999999995</v>
          </cell>
          <cell r="G975">
            <v>8444.3060000000005</v>
          </cell>
          <cell r="H975">
            <v>-3.9590000000000001</v>
          </cell>
        </row>
        <row r="976">
          <cell r="C976">
            <v>6227.6040000000003</v>
          </cell>
          <cell r="D976">
            <v>-0.35</v>
          </cell>
          <cell r="G976">
            <v>8463.7839999999997</v>
          </cell>
          <cell r="H976">
            <v>-3.9460000000000002</v>
          </cell>
        </row>
        <row r="977">
          <cell r="C977">
            <v>6231.0389999999998</v>
          </cell>
          <cell r="D977">
            <v>-0.27300000000000002</v>
          </cell>
          <cell r="G977">
            <v>8483.9120000000003</v>
          </cell>
          <cell r="H977">
            <v>-3.85</v>
          </cell>
        </row>
        <row r="978">
          <cell r="C978">
            <v>6236.6819999999998</v>
          </cell>
          <cell r="D978">
            <v>9.1999999999999998E-2</v>
          </cell>
          <cell r="G978">
            <v>8499.8369999999995</v>
          </cell>
          <cell r="H978">
            <v>-3.8650000000000002</v>
          </cell>
        </row>
        <row r="979">
          <cell r="C979">
            <v>6243.6059999999998</v>
          </cell>
          <cell r="D979">
            <v>0.34599999999999997</v>
          </cell>
          <cell r="G979">
            <v>8520.9840000000004</v>
          </cell>
          <cell r="H979">
            <v>-3.7629999999999999</v>
          </cell>
        </row>
        <row r="980">
          <cell r="C980">
            <v>6246.107</v>
          </cell>
          <cell r="D980">
            <v>0.34899999999999998</v>
          </cell>
          <cell r="G980">
            <v>8532.1020000000008</v>
          </cell>
          <cell r="H980">
            <v>-3.7930000000000001</v>
          </cell>
        </row>
        <row r="981">
          <cell r="C981">
            <v>6251.9610000000002</v>
          </cell>
          <cell r="D981">
            <v>0.65400000000000003</v>
          </cell>
          <cell r="G981">
            <v>8538.8019999999997</v>
          </cell>
          <cell r="H981">
            <v>-3.7410000000000001</v>
          </cell>
        </row>
        <row r="982">
          <cell r="C982">
            <v>6258.1629999999996</v>
          </cell>
          <cell r="D982">
            <v>0.89</v>
          </cell>
          <cell r="G982">
            <v>8544.3580000000002</v>
          </cell>
          <cell r="H982">
            <v>-3.6320000000000001</v>
          </cell>
        </row>
        <row r="983">
          <cell r="C983">
            <v>6262.3580000000002</v>
          </cell>
          <cell r="D983">
            <v>0.91100000000000003</v>
          </cell>
          <cell r="G983">
            <v>8548.5519999999997</v>
          </cell>
          <cell r="H983">
            <v>-3.681</v>
          </cell>
        </row>
        <row r="984">
          <cell r="C984">
            <v>6267.9369999999999</v>
          </cell>
          <cell r="D984">
            <v>1.2130000000000001</v>
          </cell>
          <cell r="G984">
            <v>8553.0869999999995</v>
          </cell>
          <cell r="H984">
            <v>-3.5219999999999998</v>
          </cell>
        </row>
        <row r="985">
          <cell r="C985">
            <v>6272.826</v>
          </cell>
          <cell r="D985">
            <v>1.4570000000000001</v>
          </cell>
          <cell r="G985">
            <v>8556.2450000000008</v>
          </cell>
          <cell r="H985">
            <v>-3.56</v>
          </cell>
        </row>
        <row r="986">
          <cell r="C986">
            <v>6276.5889999999999</v>
          </cell>
          <cell r="D986">
            <v>1.627</v>
          </cell>
          <cell r="G986">
            <v>8560.9709999999995</v>
          </cell>
          <cell r="H986">
            <v>-3.6520000000000001</v>
          </cell>
        </row>
        <row r="987">
          <cell r="C987">
            <v>6281.3829999999998</v>
          </cell>
          <cell r="D987">
            <v>1.7889999999999999</v>
          </cell>
          <cell r="G987">
            <v>8565.9609999999993</v>
          </cell>
          <cell r="H987">
            <v>-3.79</v>
          </cell>
        </row>
        <row r="988">
          <cell r="C988">
            <v>6287.2120000000004</v>
          </cell>
          <cell r="D988">
            <v>1.784</v>
          </cell>
          <cell r="G988">
            <v>8569.8369999999995</v>
          </cell>
          <cell r="H988">
            <v>-3.8679999999999999</v>
          </cell>
        </row>
        <row r="989">
          <cell r="C989">
            <v>6297.0029999999997</v>
          </cell>
          <cell r="D989">
            <v>1.6879999999999999</v>
          </cell>
          <cell r="G989">
            <v>8574.393</v>
          </cell>
          <cell r="H989">
            <v>-3.9750000000000001</v>
          </cell>
        </row>
        <row r="990">
          <cell r="C990">
            <v>6303.8580000000002</v>
          </cell>
          <cell r="D990">
            <v>1.6479999999999999</v>
          </cell>
          <cell r="G990">
            <v>8579.5859999999993</v>
          </cell>
          <cell r="H990">
            <v>-4.0330000000000004</v>
          </cell>
        </row>
        <row r="991">
          <cell r="C991">
            <v>6309.95</v>
          </cell>
          <cell r="D991">
            <v>1.498</v>
          </cell>
          <cell r="G991">
            <v>8583.3490000000002</v>
          </cell>
          <cell r="H991">
            <v>-4.0990000000000002</v>
          </cell>
        </row>
        <row r="992">
          <cell r="C992">
            <v>6321.4750000000004</v>
          </cell>
          <cell r="D992">
            <v>1.45</v>
          </cell>
          <cell r="G992">
            <v>8585.2990000000009</v>
          </cell>
          <cell r="H992">
            <v>-4.1520000000000001</v>
          </cell>
        </row>
        <row r="993">
          <cell r="C993">
            <v>6330.8969999999999</v>
          </cell>
          <cell r="D993">
            <v>1.696</v>
          </cell>
          <cell r="G993">
            <v>8588.1409999999996</v>
          </cell>
          <cell r="H993">
            <v>-4.1289999999999996</v>
          </cell>
        </row>
        <row r="994">
          <cell r="C994">
            <v>6337.3180000000002</v>
          </cell>
          <cell r="D994">
            <v>1.855</v>
          </cell>
          <cell r="G994">
            <v>8595.5349999999999</v>
          </cell>
          <cell r="H994">
            <v>-3.9430000000000001</v>
          </cell>
        </row>
        <row r="995">
          <cell r="C995">
            <v>6342.308</v>
          </cell>
          <cell r="D995">
            <v>2.1240000000000001</v>
          </cell>
          <cell r="G995">
            <v>8604.4330000000009</v>
          </cell>
          <cell r="H995">
            <v>-3.923</v>
          </cell>
        </row>
        <row r="996">
          <cell r="C996">
            <v>6348.6210000000001</v>
          </cell>
          <cell r="D996">
            <v>2.4169999999999998</v>
          </cell>
          <cell r="G996">
            <v>8606.7720000000008</v>
          </cell>
          <cell r="H996">
            <v>-3.9870000000000001</v>
          </cell>
        </row>
        <row r="997">
          <cell r="C997">
            <v>6353.366</v>
          </cell>
          <cell r="D997">
            <v>2.6269999999999998</v>
          </cell>
          <cell r="G997">
            <v>8610.8150000000005</v>
          </cell>
          <cell r="H997">
            <v>-4.0629999999999997</v>
          </cell>
        </row>
        <row r="998">
          <cell r="C998">
            <v>6359.1480000000001</v>
          </cell>
          <cell r="D998">
            <v>2.7530000000000001</v>
          </cell>
          <cell r="G998">
            <v>8621.0609999999997</v>
          </cell>
          <cell r="H998">
            <v>-3.59</v>
          </cell>
        </row>
        <row r="999">
          <cell r="C999">
            <v>6364.7380000000003</v>
          </cell>
          <cell r="D999">
            <v>2.9990000000000001</v>
          </cell>
          <cell r="G999">
            <v>8635.9410000000007</v>
          </cell>
          <cell r="H999">
            <v>-3.6309999999999998</v>
          </cell>
        </row>
        <row r="1000">
          <cell r="C1000">
            <v>6369.71</v>
          </cell>
          <cell r="D1000">
            <v>3.1240000000000001</v>
          </cell>
          <cell r="G1000">
            <v>8651.1769999999997</v>
          </cell>
          <cell r="H1000">
            <v>-3.5009999999999999</v>
          </cell>
        </row>
        <row r="1001">
          <cell r="C1001">
            <v>6375.433</v>
          </cell>
          <cell r="D1001">
            <v>3.1909999999999998</v>
          </cell>
          <cell r="G1001">
            <v>8666.3240000000005</v>
          </cell>
          <cell r="H1001">
            <v>-3.47</v>
          </cell>
        </row>
        <row r="1002">
          <cell r="C1002">
            <v>6382.0720000000001</v>
          </cell>
          <cell r="D1002">
            <v>3.3050000000000002</v>
          </cell>
          <cell r="G1002">
            <v>8682.2819999999992</v>
          </cell>
          <cell r="H1002">
            <v>-3.4169999999999998</v>
          </cell>
        </row>
        <row r="1003">
          <cell r="C1003">
            <v>6389.0240000000003</v>
          </cell>
          <cell r="D1003">
            <v>3.363</v>
          </cell>
          <cell r="G1003">
            <v>8691.7360000000008</v>
          </cell>
          <cell r="H1003">
            <v>-3.387</v>
          </cell>
        </row>
        <row r="1004">
          <cell r="C1004">
            <v>6395.1819999999998</v>
          </cell>
          <cell r="D1004">
            <v>3.3180000000000001</v>
          </cell>
          <cell r="G1004">
            <v>8697.8119999999999</v>
          </cell>
          <cell r="H1004">
            <v>-3.298</v>
          </cell>
        </row>
        <row r="1005">
          <cell r="C1005">
            <v>6403.4089999999997</v>
          </cell>
          <cell r="D1005">
            <v>3.27</v>
          </cell>
          <cell r="G1005">
            <v>8702.2420000000002</v>
          </cell>
          <cell r="H1005">
            <v>-3.2069999999999999</v>
          </cell>
        </row>
        <row r="1006">
          <cell r="C1006">
            <v>6407.951</v>
          </cell>
          <cell r="D1006">
            <v>3.1230000000000002</v>
          </cell>
          <cell r="G1006">
            <v>8705.2420000000002</v>
          </cell>
          <cell r="H1006">
            <v>-3.14</v>
          </cell>
        </row>
        <row r="1007">
          <cell r="C1007">
            <v>6414.7839999999997</v>
          </cell>
          <cell r="D1007">
            <v>3.2530000000000001</v>
          </cell>
          <cell r="G1007">
            <v>8710.2479999999996</v>
          </cell>
          <cell r="H1007">
            <v>-3.1309999999999998</v>
          </cell>
        </row>
        <row r="1008">
          <cell r="C1008">
            <v>6419.9579999999996</v>
          </cell>
          <cell r="D1008">
            <v>3.03</v>
          </cell>
          <cell r="G1008">
            <v>8711.9959999999992</v>
          </cell>
          <cell r="H1008">
            <v>-3.1589999999999998</v>
          </cell>
        </row>
        <row r="1009">
          <cell r="C1009">
            <v>6424.8280000000004</v>
          </cell>
          <cell r="D1009">
            <v>2.8220000000000001</v>
          </cell>
          <cell r="G1009">
            <v>8713.6839999999993</v>
          </cell>
          <cell r="H1009">
            <v>-3.1619999999999999</v>
          </cell>
        </row>
        <row r="1010">
          <cell r="C1010">
            <v>6429.357</v>
          </cell>
          <cell r="D1010">
            <v>2.6469999999999998</v>
          </cell>
          <cell r="G1010">
            <v>8718.0210000000006</v>
          </cell>
          <cell r="H1010">
            <v>-3.1629999999999998</v>
          </cell>
        </row>
        <row r="1011">
          <cell r="C1011">
            <v>6433.87</v>
          </cell>
          <cell r="D1011">
            <v>2.4079999999999999</v>
          </cell>
          <cell r="G1011">
            <v>8721.9950000000008</v>
          </cell>
          <cell r="H1011">
            <v>-3.0350000000000001</v>
          </cell>
        </row>
        <row r="1012">
          <cell r="C1012">
            <v>6438.75</v>
          </cell>
          <cell r="D1012">
            <v>2.2469999999999999</v>
          </cell>
          <cell r="G1012">
            <v>8724.4159999999993</v>
          </cell>
          <cell r="H1012">
            <v>-3.0529999999999999</v>
          </cell>
        </row>
        <row r="1013">
          <cell r="C1013">
            <v>6442.9589999999998</v>
          </cell>
          <cell r="D1013">
            <v>1.8859999999999999</v>
          </cell>
          <cell r="G1013">
            <v>8728.2569999999996</v>
          </cell>
          <cell r="H1013">
            <v>-2.9489999999999998</v>
          </cell>
        </row>
        <row r="1014">
          <cell r="C1014">
            <v>6447.8559999999998</v>
          </cell>
          <cell r="D1014">
            <v>1.522</v>
          </cell>
          <cell r="G1014">
            <v>8729.8780000000006</v>
          </cell>
          <cell r="H1014">
            <v>-3.0409999999999999</v>
          </cell>
        </row>
        <row r="1015">
          <cell r="C1015">
            <v>6454.8959999999997</v>
          </cell>
          <cell r="D1015">
            <v>1.0960000000000001</v>
          </cell>
          <cell r="G1015">
            <v>8734.2389999999996</v>
          </cell>
          <cell r="H1015">
            <v>-3.0419999999999998</v>
          </cell>
        </row>
        <row r="1016">
          <cell r="C1016">
            <v>6457.4679999999998</v>
          </cell>
          <cell r="D1016">
            <v>0.77200000000000002</v>
          </cell>
          <cell r="G1016">
            <v>8737.4240000000009</v>
          </cell>
          <cell r="H1016">
            <v>-2.992</v>
          </cell>
        </row>
        <row r="1017">
          <cell r="C1017">
            <v>6469.8869999999997</v>
          </cell>
          <cell r="D1017">
            <v>0.83299999999999996</v>
          </cell>
          <cell r="G1017">
            <v>8742.1209999999992</v>
          </cell>
          <cell r="H1017">
            <v>-3.1890000000000001</v>
          </cell>
        </row>
        <row r="1018">
          <cell r="C1018">
            <v>6474.8280000000004</v>
          </cell>
          <cell r="D1018">
            <v>0.81599999999999995</v>
          </cell>
          <cell r="G1018">
            <v>8744.3619999999992</v>
          </cell>
          <cell r="H1018">
            <v>-3.302</v>
          </cell>
        </row>
        <row r="1019">
          <cell r="C1019">
            <v>6483.451</v>
          </cell>
          <cell r="D1019">
            <v>0.755</v>
          </cell>
          <cell r="G1019">
            <v>8747.6919999999991</v>
          </cell>
          <cell r="H1019">
            <v>-3.4870000000000001</v>
          </cell>
        </row>
        <row r="1020">
          <cell r="C1020">
            <v>6493.2</v>
          </cell>
          <cell r="D1020">
            <v>1.127</v>
          </cell>
          <cell r="G1020">
            <v>8751.5429999999997</v>
          </cell>
          <cell r="H1020">
            <v>-3.5950000000000002</v>
          </cell>
        </row>
        <row r="1021">
          <cell r="C1021">
            <v>6502.8270000000002</v>
          </cell>
          <cell r="D1021">
            <v>1.417</v>
          </cell>
          <cell r="G1021">
            <v>8756.0669999999991</v>
          </cell>
          <cell r="H1021">
            <v>-3.6930000000000001</v>
          </cell>
        </row>
        <row r="1022">
          <cell r="C1022">
            <v>6523.9250000000002</v>
          </cell>
          <cell r="D1022">
            <v>1.7509999999999999</v>
          </cell>
          <cell r="G1022">
            <v>8758.9490000000005</v>
          </cell>
          <cell r="H1022">
            <v>-3.8610000000000002</v>
          </cell>
        </row>
        <row r="1023">
          <cell r="C1023">
            <v>6532.5749999999998</v>
          </cell>
          <cell r="D1023">
            <v>2.0070000000000001</v>
          </cell>
          <cell r="G1023">
            <v>8763.7849999999999</v>
          </cell>
          <cell r="H1023">
            <v>-4.09</v>
          </cell>
        </row>
        <row r="1024">
          <cell r="C1024">
            <v>6549.558</v>
          </cell>
          <cell r="D1024">
            <v>2.5630000000000002</v>
          </cell>
          <cell r="G1024">
            <v>8767.0049999999992</v>
          </cell>
          <cell r="H1024">
            <v>-4.1029999999999998</v>
          </cell>
        </row>
        <row r="1025">
          <cell r="C1025">
            <v>6570.0010000000002</v>
          </cell>
          <cell r="D1025">
            <v>2.996</v>
          </cell>
          <cell r="G1025">
            <v>8772.1689999999999</v>
          </cell>
          <cell r="H1025">
            <v>-4.2130000000000001</v>
          </cell>
        </row>
        <row r="1026">
          <cell r="C1026">
            <v>6582.3289999999997</v>
          </cell>
          <cell r="D1026">
            <v>3.3039999999999998</v>
          </cell>
          <cell r="G1026">
            <v>8776.9089999999997</v>
          </cell>
          <cell r="H1026">
            <v>-4.5720000000000001</v>
          </cell>
        </row>
        <row r="1027">
          <cell r="C1027">
            <v>6592.402</v>
          </cell>
          <cell r="D1027">
            <v>3.5590000000000002</v>
          </cell>
          <cell r="G1027">
            <v>8779.7870000000003</v>
          </cell>
          <cell r="H1027">
            <v>-4.569</v>
          </cell>
        </row>
        <row r="1028">
          <cell r="C1028">
            <v>6615.5420000000004</v>
          </cell>
          <cell r="D1028">
            <v>3.883</v>
          </cell>
          <cell r="G1028">
            <v>8784.18</v>
          </cell>
          <cell r="H1028">
            <v>-4.6820000000000004</v>
          </cell>
        </row>
        <row r="1029">
          <cell r="C1029">
            <v>6630.9639999999999</v>
          </cell>
          <cell r="D1029">
            <v>4.0629999999999997</v>
          </cell>
          <cell r="G1029">
            <v>8789.4660000000003</v>
          </cell>
          <cell r="H1029">
            <v>-4.766</v>
          </cell>
        </row>
        <row r="1030">
          <cell r="C1030">
            <v>6645.6350000000002</v>
          </cell>
          <cell r="D1030">
            <v>4.4950000000000001</v>
          </cell>
          <cell r="G1030">
            <v>8792.7659999999996</v>
          </cell>
          <cell r="H1030">
            <v>-4.8490000000000002</v>
          </cell>
        </row>
        <row r="1031">
          <cell r="C1031">
            <v>6690.7250000000004</v>
          </cell>
          <cell r="D1031">
            <v>4.1849999999999996</v>
          </cell>
          <cell r="G1031">
            <v>8799.9040000000005</v>
          </cell>
          <cell r="H1031">
            <v>-4.9320000000000004</v>
          </cell>
        </row>
        <row r="1032">
          <cell r="C1032">
            <v>6733.9970000000003</v>
          </cell>
          <cell r="D1032">
            <v>3.69</v>
          </cell>
          <cell r="G1032">
            <v>8807.8580000000002</v>
          </cell>
          <cell r="H1032">
            <v>-4.8879999999999999</v>
          </cell>
        </row>
        <row r="1033">
          <cell r="C1033">
            <v>6742.2420000000002</v>
          </cell>
          <cell r="D1033">
            <v>3.802</v>
          </cell>
          <cell r="G1033">
            <v>8817.0619999999999</v>
          </cell>
          <cell r="H1033">
            <v>-4.9550000000000001</v>
          </cell>
        </row>
        <row r="1034">
          <cell r="C1034">
            <v>6753.8270000000002</v>
          </cell>
          <cell r="D1034">
            <v>3.6459999999999999</v>
          </cell>
          <cell r="G1034">
            <v>8829.0570000000007</v>
          </cell>
          <cell r="H1034">
            <v>-4.8490000000000002</v>
          </cell>
        </row>
        <row r="1035">
          <cell r="C1035">
            <v>6770.7269999999999</v>
          </cell>
          <cell r="D1035">
            <v>3.9870000000000001</v>
          </cell>
          <cell r="G1035">
            <v>8841.2489999999998</v>
          </cell>
          <cell r="H1035">
            <v>-4.718</v>
          </cell>
        </row>
        <row r="1036">
          <cell r="C1036">
            <v>6788.3530000000001</v>
          </cell>
          <cell r="D1036">
            <v>3.6819999999999999</v>
          </cell>
          <cell r="G1036">
            <v>8855.4220000000005</v>
          </cell>
          <cell r="H1036">
            <v>-4.7640000000000002</v>
          </cell>
        </row>
        <row r="1037">
          <cell r="C1037">
            <v>6805.3850000000002</v>
          </cell>
          <cell r="D1037">
            <v>3.3570000000000002</v>
          </cell>
          <cell r="G1037">
            <v>8871.2459999999992</v>
          </cell>
          <cell r="H1037">
            <v>-4.8019999999999996</v>
          </cell>
        </row>
        <row r="1038">
          <cell r="C1038">
            <v>6818.8890000000001</v>
          </cell>
          <cell r="D1038">
            <v>3.4260000000000002</v>
          </cell>
          <cell r="G1038">
            <v>8884.4110000000001</v>
          </cell>
          <cell r="H1038">
            <v>-4.8920000000000003</v>
          </cell>
        </row>
        <row r="1039">
          <cell r="C1039">
            <v>6833.6260000000002</v>
          </cell>
          <cell r="D1039">
            <v>2.7610000000000001</v>
          </cell>
          <cell r="G1039">
            <v>8897.0190000000002</v>
          </cell>
          <cell r="H1039">
            <v>-4.8719999999999999</v>
          </cell>
        </row>
        <row r="1040">
          <cell r="C1040">
            <v>6846.8450000000003</v>
          </cell>
          <cell r="D1040">
            <v>2.5510000000000002</v>
          </cell>
          <cell r="G1040">
            <v>8912.81</v>
          </cell>
          <cell r="H1040">
            <v>-4.9329999999999998</v>
          </cell>
        </row>
        <row r="1041">
          <cell r="C1041">
            <v>6860.2349999999997</v>
          </cell>
          <cell r="D1041">
            <v>2.2559999999999998</v>
          </cell>
          <cell r="G1041">
            <v>8937.0589999999993</v>
          </cell>
          <cell r="H1041">
            <v>-5.1050000000000004</v>
          </cell>
        </row>
        <row r="1042">
          <cell r="C1042">
            <v>6873.73</v>
          </cell>
          <cell r="D1042">
            <v>1.99</v>
          </cell>
          <cell r="G1042">
            <v>8946.6650000000009</v>
          </cell>
          <cell r="H1042">
            <v>-5.1289999999999996</v>
          </cell>
        </row>
        <row r="1043">
          <cell r="C1043">
            <v>6884.9970000000003</v>
          </cell>
          <cell r="D1043">
            <v>1.786</v>
          </cell>
          <cell r="G1043">
            <v>8953.2090000000007</v>
          </cell>
          <cell r="H1043">
            <v>-5.1079999999999997</v>
          </cell>
        </row>
        <row r="1044">
          <cell r="C1044">
            <v>6897.07</v>
          </cell>
          <cell r="D1044">
            <v>1.7949999999999999</v>
          </cell>
          <cell r="G1044">
            <v>8960.3809999999994</v>
          </cell>
          <cell r="H1044">
            <v>-5.1260000000000003</v>
          </cell>
        </row>
        <row r="1045">
          <cell r="C1045">
            <v>6911.3630000000003</v>
          </cell>
          <cell r="D1045">
            <v>1.853</v>
          </cell>
          <cell r="G1045">
            <v>8972.6530000000002</v>
          </cell>
          <cell r="H1045">
            <v>-5.1360000000000001</v>
          </cell>
        </row>
        <row r="1046">
          <cell r="C1046">
            <v>6923.4650000000001</v>
          </cell>
          <cell r="D1046">
            <v>1.776</v>
          </cell>
          <cell r="G1046">
            <v>8980.9500000000007</v>
          </cell>
          <cell r="H1046">
            <v>-5.1189999999999998</v>
          </cell>
        </row>
        <row r="1047">
          <cell r="C1047">
            <v>6931.3429999999998</v>
          </cell>
          <cell r="D1047">
            <v>1.7749999999999999</v>
          </cell>
          <cell r="G1047">
            <v>9000.5380000000005</v>
          </cell>
          <cell r="H1047">
            <v>-5.1669999999999998</v>
          </cell>
        </row>
        <row r="1048">
          <cell r="C1048">
            <v>6944.6819999999998</v>
          </cell>
          <cell r="D1048">
            <v>1.5640000000000001</v>
          </cell>
          <cell r="G1048">
            <v>9008.8880000000008</v>
          </cell>
          <cell r="H1048">
            <v>-5.1740000000000004</v>
          </cell>
        </row>
        <row r="1049">
          <cell r="C1049">
            <v>6957.6980000000003</v>
          </cell>
          <cell r="D1049">
            <v>1.351</v>
          </cell>
          <cell r="G1049">
            <v>9020.0669999999991</v>
          </cell>
          <cell r="H1049">
            <v>-5.2729999999999997</v>
          </cell>
        </row>
        <row r="1050">
          <cell r="C1050">
            <v>6970.8429999999998</v>
          </cell>
          <cell r="D1050">
            <v>1.399</v>
          </cell>
          <cell r="G1050">
            <v>9036.0020000000004</v>
          </cell>
          <cell r="H1050">
            <v>-5.9640000000000004</v>
          </cell>
        </row>
        <row r="1051">
          <cell r="C1051">
            <v>6983.4380000000001</v>
          </cell>
          <cell r="D1051">
            <v>1.504</v>
          </cell>
          <cell r="G1051">
            <v>9044.643</v>
          </cell>
          <cell r="H1051">
            <v>-6.8860000000000001</v>
          </cell>
        </row>
        <row r="1052">
          <cell r="C1052">
            <v>6996.7089999999998</v>
          </cell>
          <cell r="D1052">
            <v>1.3049999999999999</v>
          </cell>
          <cell r="G1052">
            <v>9049.3289999999997</v>
          </cell>
          <cell r="H1052">
            <v>-7.6189999999999998</v>
          </cell>
        </row>
        <row r="1053">
          <cell r="C1053">
            <v>7011.7950000000001</v>
          </cell>
          <cell r="D1053">
            <v>1.4850000000000001</v>
          </cell>
          <cell r="G1053">
            <v>9053.3880000000008</v>
          </cell>
          <cell r="H1053">
            <v>-8.4130000000000003</v>
          </cell>
        </row>
        <row r="1054">
          <cell r="C1054">
            <v>7022.0460000000003</v>
          </cell>
          <cell r="D1054">
            <v>1.522</v>
          </cell>
          <cell r="G1054">
            <v>9057.0049999999992</v>
          </cell>
          <cell r="H1054">
            <v>-9.16</v>
          </cell>
        </row>
        <row r="1055">
          <cell r="C1055">
            <v>7033.3270000000002</v>
          </cell>
          <cell r="D1055">
            <v>1.431</v>
          </cell>
          <cell r="G1055">
            <v>9061.5280000000002</v>
          </cell>
          <cell r="H1055">
            <v>-10.051</v>
          </cell>
        </row>
        <row r="1056">
          <cell r="C1056">
            <v>7049.77</v>
          </cell>
          <cell r="D1056">
            <v>1.3859999999999999</v>
          </cell>
          <cell r="G1056">
            <v>9064.5120000000006</v>
          </cell>
          <cell r="H1056">
            <v>-10.583</v>
          </cell>
        </row>
        <row r="1057">
          <cell r="C1057">
            <v>7065.9440000000004</v>
          </cell>
          <cell r="D1057">
            <v>1.4650000000000001</v>
          </cell>
          <cell r="G1057">
            <v>9067.6890000000003</v>
          </cell>
          <cell r="H1057">
            <v>-11.224</v>
          </cell>
        </row>
        <row r="1058">
          <cell r="C1058">
            <v>7082.7240000000002</v>
          </cell>
          <cell r="D1058">
            <v>1.4650000000000001</v>
          </cell>
          <cell r="G1058">
            <v>9070.393</v>
          </cell>
          <cell r="H1058">
            <v>-11.647</v>
          </cell>
        </row>
        <row r="1059">
          <cell r="C1059">
            <v>7100.5709999999999</v>
          </cell>
          <cell r="D1059">
            <v>1.655</v>
          </cell>
          <cell r="G1059">
            <v>9072.7649999999994</v>
          </cell>
          <cell r="H1059">
            <v>-12.028</v>
          </cell>
        </row>
        <row r="1060">
          <cell r="C1060">
            <v>7116.3360000000002</v>
          </cell>
          <cell r="D1060">
            <v>1.6579999999999999</v>
          </cell>
          <cell r="G1060">
            <v>9078.1460000000006</v>
          </cell>
          <cell r="H1060">
            <v>-13.121</v>
          </cell>
        </row>
        <row r="1061">
          <cell r="C1061">
            <v>7125.683</v>
          </cell>
          <cell r="D1061">
            <v>1.68</v>
          </cell>
          <cell r="G1061">
            <v>9081.61</v>
          </cell>
          <cell r="H1061">
            <v>-13.696999999999999</v>
          </cell>
        </row>
        <row r="1062">
          <cell r="C1062">
            <v>7129.7929999999997</v>
          </cell>
          <cell r="D1062">
            <v>1.8160000000000001</v>
          </cell>
          <cell r="G1062">
            <v>9084.0509999999995</v>
          </cell>
          <cell r="H1062">
            <v>-14.172000000000001</v>
          </cell>
        </row>
        <row r="1063">
          <cell r="C1063">
            <v>7134.201</v>
          </cell>
          <cell r="D1063">
            <v>1.978</v>
          </cell>
          <cell r="G1063">
            <v>9085.6749999999993</v>
          </cell>
          <cell r="H1063">
            <v>-14.331</v>
          </cell>
        </row>
        <row r="1064">
          <cell r="C1064">
            <v>7137.7839999999997</v>
          </cell>
          <cell r="D1064">
            <v>2.0049999999999999</v>
          </cell>
          <cell r="G1064">
            <v>9087.7360000000008</v>
          </cell>
          <cell r="H1064">
            <v>-14.632</v>
          </cell>
        </row>
        <row r="1065">
          <cell r="C1065">
            <v>7143.7089999999998</v>
          </cell>
          <cell r="D1065">
            <v>2.081</v>
          </cell>
          <cell r="G1065">
            <v>9091.018</v>
          </cell>
          <cell r="H1065">
            <v>-15.151999999999999</v>
          </cell>
        </row>
        <row r="1066">
          <cell r="C1066">
            <v>7151.2910000000002</v>
          </cell>
          <cell r="D1066">
            <v>2.3460000000000001</v>
          </cell>
          <cell r="G1066">
            <v>9095.1679999999997</v>
          </cell>
          <cell r="H1066">
            <v>-15.669</v>
          </cell>
        </row>
        <row r="1067">
          <cell r="C1067">
            <v>7161.92</v>
          </cell>
          <cell r="D1067">
            <v>2.2000000000000002</v>
          </cell>
          <cell r="G1067">
            <v>9098.11</v>
          </cell>
          <cell r="H1067">
            <v>-16.026</v>
          </cell>
        </row>
        <row r="1068">
          <cell r="C1068">
            <v>7174.0320000000002</v>
          </cell>
          <cell r="D1068">
            <v>1.925</v>
          </cell>
          <cell r="G1068">
            <v>9099.9519999999993</v>
          </cell>
          <cell r="H1068">
            <v>-16.280999999999999</v>
          </cell>
        </row>
        <row r="1069">
          <cell r="C1069">
            <v>7177.1019999999999</v>
          </cell>
          <cell r="D1069">
            <v>1.7609999999999999</v>
          </cell>
          <cell r="G1069">
            <v>9103.4330000000009</v>
          </cell>
          <cell r="H1069">
            <v>-16.699000000000002</v>
          </cell>
        </row>
        <row r="1070">
          <cell r="C1070">
            <v>7180.2879999999996</v>
          </cell>
          <cell r="D1070">
            <v>1.819</v>
          </cell>
          <cell r="G1070">
            <v>9106.884</v>
          </cell>
          <cell r="H1070">
            <v>-17.108000000000001</v>
          </cell>
        </row>
        <row r="1071">
          <cell r="C1071">
            <v>7184.7539999999999</v>
          </cell>
          <cell r="D1071">
            <v>1.524</v>
          </cell>
          <cell r="G1071">
            <v>9109.0589999999993</v>
          </cell>
          <cell r="H1071">
            <v>-17.276</v>
          </cell>
        </row>
        <row r="1072">
          <cell r="C1072">
            <v>7190.9030000000002</v>
          </cell>
          <cell r="D1072">
            <v>1.3839999999999999</v>
          </cell>
          <cell r="G1072">
            <v>9113.3629999999994</v>
          </cell>
          <cell r="H1072">
            <v>-17.739999999999998</v>
          </cell>
        </row>
        <row r="1073">
          <cell r="C1073">
            <v>7197.1469999999999</v>
          </cell>
          <cell r="D1073">
            <v>0.86399999999999999</v>
          </cell>
          <cell r="G1073">
            <v>9116.3019999999997</v>
          </cell>
          <cell r="H1073">
            <v>-18.082999999999998</v>
          </cell>
        </row>
        <row r="1074">
          <cell r="C1074">
            <v>7200.59</v>
          </cell>
          <cell r="D1074">
            <v>0.85099999999999998</v>
          </cell>
          <cell r="G1074">
            <v>9118.402</v>
          </cell>
          <cell r="H1074">
            <v>-18.321000000000002</v>
          </cell>
        </row>
        <row r="1075">
          <cell r="C1075">
            <v>7205.8729999999996</v>
          </cell>
          <cell r="D1075">
            <v>0.624</v>
          </cell>
          <cell r="G1075">
            <v>9121.2929999999997</v>
          </cell>
          <cell r="H1075">
            <v>-18.524999999999999</v>
          </cell>
        </row>
        <row r="1076">
          <cell r="C1076">
            <v>7210.9889999999996</v>
          </cell>
          <cell r="D1076">
            <v>0.46899999999999997</v>
          </cell>
          <cell r="G1076">
            <v>9124</v>
          </cell>
          <cell r="H1076">
            <v>-18.7</v>
          </cell>
        </row>
        <row r="1077">
          <cell r="C1077">
            <v>7216.1329999999998</v>
          </cell>
          <cell r="D1077">
            <v>0.34799999999999998</v>
          </cell>
          <cell r="G1077">
            <v>9126.2450000000008</v>
          </cell>
          <cell r="H1077">
            <v>-18.945</v>
          </cell>
        </row>
        <row r="1078">
          <cell r="C1078">
            <v>7223.6379999999999</v>
          </cell>
          <cell r="D1078">
            <v>-3.5999999999999997E-2</v>
          </cell>
          <cell r="G1078">
            <v>9128.5669999999991</v>
          </cell>
          <cell r="H1078">
            <v>-19.109000000000002</v>
          </cell>
        </row>
        <row r="1079">
          <cell r="C1079">
            <v>7232.4740000000002</v>
          </cell>
          <cell r="D1079">
            <v>-0.127</v>
          </cell>
          <cell r="G1079">
            <v>9130.7350000000006</v>
          </cell>
          <cell r="H1079">
            <v>-19.106999999999999</v>
          </cell>
        </row>
        <row r="1080">
          <cell r="C1080">
            <v>7240.491</v>
          </cell>
          <cell r="D1080">
            <v>4.3999999999999997E-2</v>
          </cell>
          <cell r="G1080">
            <v>9134.4069999999992</v>
          </cell>
          <cell r="H1080">
            <v>-19.196000000000002</v>
          </cell>
        </row>
        <row r="1081">
          <cell r="C1081">
            <v>7253.71</v>
          </cell>
          <cell r="D1081">
            <v>0.435</v>
          </cell>
          <cell r="G1081">
            <v>9137.6970000000001</v>
          </cell>
          <cell r="H1081">
            <v>-19.097999999999999</v>
          </cell>
        </row>
        <row r="1082">
          <cell r="C1082">
            <v>7268.634</v>
          </cell>
          <cell r="D1082">
            <v>1.3540000000000001</v>
          </cell>
          <cell r="G1082">
            <v>9139.94</v>
          </cell>
          <cell r="H1082">
            <v>-18.972000000000001</v>
          </cell>
        </row>
        <row r="1083">
          <cell r="C1083">
            <v>7282.4070000000002</v>
          </cell>
          <cell r="D1083">
            <v>2.1389999999999998</v>
          </cell>
          <cell r="G1083">
            <v>9144.6959999999999</v>
          </cell>
          <cell r="H1083">
            <v>-18.606999999999999</v>
          </cell>
        </row>
        <row r="1084">
          <cell r="C1084">
            <v>7297.652</v>
          </cell>
          <cell r="D1084">
            <v>3.0870000000000002</v>
          </cell>
          <cell r="G1084">
            <v>9148.6360000000004</v>
          </cell>
          <cell r="H1084">
            <v>-18.283999999999999</v>
          </cell>
        </row>
        <row r="1085">
          <cell r="C1085">
            <v>7308.9219999999996</v>
          </cell>
          <cell r="D1085">
            <v>3.7320000000000002</v>
          </cell>
          <cell r="G1085">
            <v>9151.4989999999998</v>
          </cell>
          <cell r="H1085">
            <v>-17.832000000000001</v>
          </cell>
        </row>
        <row r="1086">
          <cell r="C1086">
            <v>7321.0140000000001</v>
          </cell>
          <cell r="D1086">
            <v>4.4969999999999999</v>
          </cell>
          <cell r="G1086">
            <v>9155.6290000000008</v>
          </cell>
          <cell r="H1086">
            <v>-17.196000000000002</v>
          </cell>
        </row>
        <row r="1087">
          <cell r="C1087">
            <v>7334.817</v>
          </cell>
          <cell r="D1087">
            <v>5.3</v>
          </cell>
          <cell r="G1087">
            <v>9160.7360000000008</v>
          </cell>
          <cell r="H1087">
            <v>-16.414000000000001</v>
          </cell>
        </row>
        <row r="1088">
          <cell r="C1088">
            <v>7348.598</v>
          </cell>
          <cell r="D1088">
            <v>6.3579999999999997</v>
          </cell>
          <cell r="G1088">
            <v>9164.366</v>
          </cell>
          <cell r="H1088">
            <v>-15.569000000000001</v>
          </cell>
        </row>
        <row r="1089">
          <cell r="C1089">
            <v>7362.0690000000004</v>
          </cell>
          <cell r="D1089">
            <v>7.0529999999999999</v>
          </cell>
          <cell r="G1089">
            <v>9169.7690000000002</v>
          </cell>
          <cell r="H1089">
            <v>-14.22</v>
          </cell>
        </row>
        <row r="1090">
          <cell r="C1090">
            <v>7372.6030000000001</v>
          </cell>
          <cell r="D1090">
            <v>7.883</v>
          </cell>
          <cell r="G1090">
            <v>9173.5509999999995</v>
          </cell>
          <cell r="H1090">
            <v>-13.147</v>
          </cell>
        </row>
        <row r="1091">
          <cell r="C1091">
            <v>7380.768</v>
          </cell>
          <cell r="D1091">
            <v>8.4499999999999993</v>
          </cell>
          <cell r="G1091">
            <v>9177.2890000000007</v>
          </cell>
          <cell r="H1091">
            <v>-11.933999999999999</v>
          </cell>
        </row>
        <row r="1092">
          <cell r="C1092">
            <v>7390.9719999999998</v>
          </cell>
          <cell r="D1092">
            <v>8.9860000000000007</v>
          </cell>
          <cell r="G1092">
            <v>9188.732</v>
          </cell>
          <cell r="H1092">
            <v>-7.9630000000000001</v>
          </cell>
        </row>
        <row r="1093">
          <cell r="C1093">
            <v>7395.4089999999997</v>
          </cell>
          <cell r="D1093">
            <v>9.1639999999999997</v>
          </cell>
          <cell r="G1093">
            <v>9201.2340000000004</v>
          </cell>
          <cell r="H1093">
            <v>-3.1459999999999999</v>
          </cell>
        </row>
        <row r="1094">
          <cell r="C1094">
            <v>7400.1409999999996</v>
          </cell>
          <cell r="D1094">
            <v>9.0670000000000002</v>
          </cell>
          <cell r="G1094">
            <v>9208.3709999999992</v>
          </cell>
          <cell r="H1094">
            <v>0.22800000000000001</v>
          </cell>
        </row>
        <row r="1095">
          <cell r="C1095">
            <v>7412.0079999999998</v>
          </cell>
          <cell r="D1095">
            <v>9.1319999999999997</v>
          </cell>
          <cell r="G1095">
            <v>9213.9459999999999</v>
          </cell>
          <cell r="H1095">
            <v>3.1539999999999999</v>
          </cell>
        </row>
        <row r="1096">
          <cell r="C1096">
            <v>7423.527</v>
          </cell>
          <cell r="D1096">
            <v>8.9250000000000007</v>
          </cell>
          <cell r="G1096">
            <v>9217.7720000000008</v>
          </cell>
          <cell r="H1096">
            <v>5.3230000000000004</v>
          </cell>
        </row>
        <row r="1097">
          <cell r="C1097">
            <v>7428.0810000000001</v>
          </cell>
          <cell r="D1097">
            <v>8.8510000000000009</v>
          </cell>
          <cell r="G1097">
            <v>9220.2849999999999</v>
          </cell>
          <cell r="H1097">
            <v>6.7869999999999999</v>
          </cell>
        </row>
        <row r="1098">
          <cell r="C1098">
            <v>7432.7340000000004</v>
          </cell>
          <cell r="D1098">
            <v>8.6660000000000004</v>
          </cell>
          <cell r="G1098">
            <v>9223.134</v>
          </cell>
          <cell r="H1098">
            <v>8.4499999999999993</v>
          </cell>
        </row>
        <row r="1099">
          <cell r="C1099">
            <v>7436.4160000000002</v>
          </cell>
          <cell r="D1099">
            <v>8.44</v>
          </cell>
          <cell r="G1099">
            <v>9224.6880000000001</v>
          </cell>
          <cell r="H1099">
            <v>9.3699999999999992</v>
          </cell>
        </row>
        <row r="1100">
          <cell r="C1100">
            <v>7441.1840000000002</v>
          </cell>
          <cell r="D1100">
            <v>8.2050000000000001</v>
          </cell>
          <cell r="G1100">
            <v>9226.85</v>
          </cell>
          <cell r="H1100">
            <v>10.898999999999999</v>
          </cell>
        </row>
        <row r="1101">
          <cell r="C1101">
            <v>7446.0929999999998</v>
          </cell>
          <cell r="D1101">
            <v>7.806</v>
          </cell>
          <cell r="G1101">
            <v>9229.3529999999992</v>
          </cell>
          <cell r="H1101">
            <v>12.35</v>
          </cell>
        </row>
        <row r="1102">
          <cell r="C1102">
            <v>7450.3630000000003</v>
          </cell>
          <cell r="D1102">
            <v>7.4139999999999997</v>
          </cell>
          <cell r="G1102">
            <v>9231.6710000000003</v>
          </cell>
          <cell r="H1102">
            <v>13.6</v>
          </cell>
        </row>
        <row r="1103">
          <cell r="C1103">
            <v>7456.7860000000001</v>
          </cell>
          <cell r="D1103">
            <v>6.6020000000000003</v>
          </cell>
          <cell r="G1103">
            <v>9232.7479999999996</v>
          </cell>
          <cell r="H1103">
            <v>14.17</v>
          </cell>
        </row>
        <row r="1104">
          <cell r="C1104">
            <v>7466.1390000000001</v>
          </cell>
          <cell r="D1104">
            <v>5.8010000000000002</v>
          </cell>
          <cell r="G1104">
            <v>9235.5470000000005</v>
          </cell>
          <cell r="H1104">
            <v>15.56</v>
          </cell>
        </row>
        <row r="1105">
          <cell r="C1105">
            <v>7473.0519999999997</v>
          </cell>
          <cell r="D1105">
            <v>5.008</v>
          </cell>
          <cell r="G1105">
            <v>9239.2119999999995</v>
          </cell>
          <cell r="H1105">
            <v>17.209</v>
          </cell>
        </row>
        <row r="1106">
          <cell r="C1106">
            <v>7479.2749999999996</v>
          </cell>
          <cell r="D1106">
            <v>4.3099999999999996</v>
          </cell>
          <cell r="G1106">
            <v>9241.6589999999997</v>
          </cell>
          <cell r="H1106">
            <v>18.146999999999998</v>
          </cell>
        </row>
        <row r="1107">
          <cell r="C1107">
            <v>7483.7889999999998</v>
          </cell>
          <cell r="D1107">
            <v>3.8119999999999998</v>
          </cell>
          <cell r="G1107">
            <v>9242.9079999999994</v>
          </cell>
          <cell r="H1107">
            <v>18.635000000000002</v>
          </cell>
        </row>
        <row r="1108">
          <cell r="C1108">
            <v>7488.5309999999999</v>
          </cell>
          <cell r="D1108">
            <v>3.27</v>
          </cell>
          <cell r="G1108">
            <v>9245.4310000000005</v>
          </cell>
          <cell r="H1108">
            <v>19.411999999999999</v>
          </cell>
        </row>
        <row r="1109">
          <cell r="C1109">
            <v>7499.0640000000003</v>
          </cell>
          <cell r="D1109">
            <v>2.161</v>
          </cell>
          <cell r="G1109">
            <v>9248.8130000000001</v>
          </cell>
          <cell r="H1109">
            <v>20.116</v>
          </cell>
        </row>
        <row r="1110">
          <cell r="C1110">
            <v>7502.5929999999998</v>
          </cell>
          <cell r="D1110">
            <v>1.907</v>
          </cell>
          <cell r="G1110">
            <v>9250.9830000000002</v>
          </cell>
          <cell r="H1110">
            <v>20.573</v>
          </cell>
        </row>
        <row r="1111">
          <cell r="C1111">
            <v>7506.3180000000002</v>
          </cell>
          <cell r="D1111">
            <v>1.4950000000000001</v>
          </cell>
          <cell r="G1111">
            <v>9254.6579999999994</v>
          </cell>
          <cell r="H1111">
            <v>21.34</v>
          </cell>
        </row>
        <row r="1112">
          <cell r="C1112">
            <v>7510.4070000000002</v>
          </cell>
          <cell r="D1112">
            <v>1.056</v>
          </cell>
          <cell r="G1112">
            <v>9256.7900000000009</v>
          </cell>
          <cell r="H1112">
            <v>21.696999999999999</v>
          </cell>
        </row>
        <row r="1113">
          <cell r="C1113">
            <v>7522.5219999999999</v>
          </cell>
          <cell r="D1113">
            <v>-0.36899999999999999</v>
          </cell>
          <cell r="G1113">
            <v>9258.14</v>
          </cell>
          <cell r="H1113">
            <v>21.795999999999999</v>
          </cell>
        </row>
        <row r="1114">
          <cell r="C1114">
            <v>7539.4080000000004</v>
          </cell>
          <cell r="D1114">
            <v>-1.575</v>
          </cell>
          <cell r="G1114">
            <v>9261.0300000000007</v>
          </cell>
          <cell r="H1114">
            <v>22.035</v>
          </cell>
        </row>
        <row r="1115">
          <cell r="C1115">
            <v>7546.3519999999999</v>
          </cell>
          <cell r="D1115">
            <v>-1.8169999999999999</v>
          </cell>
          <cell r="G1115">
            <v>9263.6299999999992</v>
          </cell>
          <cell r="H1115">
            <v>22.007999999999999</v>
          </cell>
        </row>
        <row r="1116">
          <cell r="C1116">
            <v>7553.68</v>
          </cell>
          <cell r="D1116">
            <v>-1.9590000000000001</v>
          </cell>
          <cell r="G1116">
            <v>9265.57</v>
          </cell>
          <cell r="H1116">
            <v>21.957000000000001</v>
          </cell>
        </row>
        <row r="1117">
          <cell r="C1117">
            <v>7561.5420000000004</v>
          </cell>
          <cell r="D1117">
            <v>-1.9350000000000001</v>
          </cell>
          <cell r="G1117">
            <v>9269.0810000000001</v>
          </cell>
          <cell r="H1117">
            <v>21.783999999999999</v>
          </cell>
        </row>
        <row r="1118">
          <cell r="C1118">
            <v>7567.723</v>
          </cell>
          <cell r="D1118">
            <v>-1.8520000000000001</v>
          </cell>
          <cell r="G1118">
            <v>9271.1219999999994</v>
          </cell>
          <cell r="H1118">
            <v>21.646000000000001</v>
          </cell>
        </row>
        <row r="1119">
          <cell r="C1119">
            <v>7572.9679999999998</v>
          </cell>
          <cell r="D1119">
            <v>-1.704</v>
          </cell>
          <cell r="G1119">
            <v>9274.2729999999992</v>
          </cell>
          <cell r="H1119">
            <v>21.413</v>
          </cell>
        </row>
        <row r="1120">
          <cell r="C1120">
            <v>7577.66</v>
          </cell>
          <cell r="D1120">
            <v>-1.454</v>
          </cell>
          <cell r="G1120">
            <v>9275.8250000000007</v>
          </cell>
          <cell r="H1120">
            <v>21.141999999999999</v>
          </cell>
        </row>
        <row r="1121">
          <cell r="C1121">
            <v>7581.5370000000003</v>
          </cell>
          <cell r="D1121">
            <v>-1.3069999999999999</v>
          </cell>
          <cell r="G1121">
            <v>9279.1460000000006</v>
          </cell>
          <cell r="H1121">
            <v>20.558</v>
          </cell>
        </row>
        <row r="1122">
          <cell r="C1122">
            <v>7585.2110000000002</v>
          </cell>
          <cell r="D1122">
            <v>-1.105</v>
          </cell>
          <cell r="G1122">
            <v>9281.8590000000004</v>
          </cell>
          <cell r="H1122">
            <v>19.876000000000001</v>
          </cell>
        </row>
        <row r="1123">
          <cell r="C1123">
            <v>7592.2110000000002</v>
          </cell>
          <cell r="D1123">
            <v>-0.66300000000000003</v>
          </cell>
          <cell r="G1123">
            <v>9285.4060000000009</v>
          </cell>
          <cell r="H1123">
            <v>18.931000000000001</v>
          </cell>
        </row>
        <row r="1124">
          <cell r="C1124">
            <v>7595.8</v>
          </cell>
          <cell r="D1124">
            <v>-0.27200000000000002</v>
          </cell>
          <cell r="G1124">
            <v>9287.8670000000002</v>
          </cell>
          <cell r="H1124">
            <v>18.193999999999999</v>
          </cell>
        </row>
        <row r="1125">
          <cell r="C1125">
            <v>7608.1890000000003</v>
          </cell>
          <cell r="D1125">
            <v>0.77800000000000002</v>
          </cell>
          <cell r="G1125">
            <v>9289.2639999999992</v>
          </cell>
          <cell r="H1125">
            <v>17.734999999999999</v>
          </cell>
        </row>
        <row r="1126">
          <cell r="C1126">
            <v>7611.3329999999996</v>
          </cell>
          <cell r="D1126">
            <v>1.089</v>
          </cell>
          <cell r="G1126">
            <v>9291.8909999999996</v>
          </cell>
          <cell r="H1126">
            <v>16.710999999999999</v>
          </cell>
        </row>
        <row r="1127">
          <cell r="C1127">
            <v>7614.5439999999999</v>
          </cell>
          <cell r="D1127">
            <v>1.407</v>
          </cell>
          <cell r="G1127">
            <v>9294.8169999999991</v>
          </cell>
          <cell r="H1127">
            <v>15.379</v>
          </cell>
        </row>
        <row r="1128">
          <cell r="C1128">
            <v>7619.7830000000004</v>
          </cell>
          <cell r="D1128">
            <v>1.732</v>
          </cell>
          <cell r="G1128">
            <v>9296.9189999999999</v>
          </cell>
          <cell r="H1128">
            <v>14.356999999999999</v>
          </cell>
        </row>
        <row r="1129">
          <cell r="C1129">
            <v>7626.2830000000004</v>
          </cell>
          <cell r="D1129">
            <v>2.0779999999999998</v>
          </cell>
          <cell r="G1129">
            <v>9297.7909999999993</v>
          </cell>
          <cell r="H1129">
            <v>13.893000000000001</v>
          </cell>
        </row>
        <row r="1130">
          <cell r="C1130">
            <v>7634.3050000000003</v>
          </cell>
          <cell r="D1130">
            <v>2.3140000000000001</v>
          </cell>
          <cell r="G1130">
            <v>9309.009</v>
          </cell>
          <cell r="H1130">
            <v>7.7720000000000002</v>
          </cell>
        </row>
        <row r="1131">
          <cell r="C1131">
            <v>7640.3450000000003</v>
          </cell>
          <cell r="D1131">
            <v>2.677</v>
          </cell>
          <cell r="G1131">
            <v>9320.0990000000002</v>
          </cell>
          <cell r="H1131">
            <v>3.0720000000000001</v>
          </cell>
        </row>
        <row r="1132">
          <cell r="C1132">
            <v>7647.4260000000004</v>
          </cell>
          <cell r="D1132">
            <v>3.1389999999999998</v>
          </cell>
          <cell r="G1132">
            <v>9333.92</v>
          </cell>
          <cell r="H1132">
            <v>-0.78</v>
          </cell>
        </row>
        <row r="1133">
          <cell r="C1133">
            <v>7651.3590000000004</v>
          </cell>
          <cell r="D1133">
            <v>3.2770000000000001</v>
          </cell>
          <cell r="G1133">
            <v>9345.0630000000001</v>
          </cell>
          <cell r="H1133">
            <v>-2.6970000000000001</v>
          </cell>
        </row>
        <row r="1134">
          <cell r="C1134">
            <v>7657.6840000000002</v>
          </cell>
          <cell r="D1134">
            <v>3.66</v>
          </cell>
          <cell r="G1134">
            <v>9363.4660000000003</v>
          </cell>
          <cell r="H1134">
            <v>-3.738</v>
          </cell>
        </row>
        <row r="1135">
          <cell r="C1135">
            <v>7661.77</v>
          </cell>
          <cell r="D1135">
            <v>3.8450000000000002</v>
          </cell>
          <cell r="G1135">
            <v>9374.6550000000007</v>
          </cell>
          <cell r="H1135">
            <v>-3.1619999999999999</v>
          </cell>
        </row>
        <row r="1136">
          <cell r="C1136">
            <v>7666.3310000000001</v>
          </cell>
          <cell r="D1136">
            <v>4.0590000000000002</v>
          </cell>
          <cell r="G1136">
            <v>9384.3060000000005</v>
          </cell>
          <cell r="H1136">
            <v>-1.9039999999999999</v>
          </cell>
        </row>
        <row r="1137">
          <cell r="C1137">
            <v>7669.9840000000004</v>
          </cell>
          <cell r="D1137">
            <v>4.2539999999999996</v>
          </cell>
          <cell r="G1137">
            <v>9396.616</v>
          </cell>
          <cell r="H1137">
            <v>-2.1999999999999999E-2</v>
          </cell>
        </row>
        <row r="1138">
          <cell r="C1138">
            <v>7675.5619999999999</v>
          </cell>
          <cell r="D1138">
            <v>4.3959999999999999</v>
          </cell>
          <cell r="G1138">
            <v>9410.2520000000004</v>
          </cell>
          <cell r="H1138">
            <v>2.4830000000000001</v>
          </cell>
        </row>
        <row r="1139">
          <cell r="C1139">
            <v>7682.9989999999998</v>
          </cell>
          <cell r="D1139">
            <v>4.7480000000000002</v>
          </cell>
          <cell r="G1139">
            <v>9429.8080000000009</v>
          </cell>
          <cell r="H1139">
            <v>5.8209999999999997</v>
          </cell>
        </row>
        <row r="1140">
          <cell r="C1140">
            <v>7688.3980000000001</v>
          </cell>
          <cell r="D1140">
            <v>4.806</v>
          </cell>
          <cell r="G1140">
            <v>9443.973</v>
          </cell>
          <cell r="H1140">
            <v>7.3380000000000001</v>
          </cell>
        </row>
        <row r="1141">
          <cell r="C1141">
            <v>7693.4459999999999</v>
          </cell>
          <cell r="D1141">
            <v>4.7610000000000001</v>
          </cell>
          <cell r="G1141">
            <v>9458.98</v>
          </cell>
          <cell r="H1141">
            <v>7.8570000000000002</v>
          </cell>
        </row>
        <row r="1142">
          <cell r="C1142">
            <v>7701.5</v>
          </cell>
          <cell r="D1142">
            <v>4.9050000000000002</v>
          </cell>
          <cell r="G1142">
            <v>9468.0220000000008</v>
          </cell>
          <cell r="H1142">
            <v>7.3659999999999997</v>
          </cell>
        </row>
        <row r="1143">
          <cell r="C1143">
            <v>7704.442</v>
          </cell>
          <cell r="D1143">
            <v>4.8730000000000002</v>
          </cell>
          <cell r="G1143">
            <v>9472.4680000000008</v>
          </cell>
          <cell r="H1143">
            <v>6.91</v>
          </cell>
        </row>
        <row r="1144">
          <cell r="C1144">
            <v>7708.643</v>
          </cell>
          <cell r="D1144">
            <v>4.9450000000000003</v>
          </cell>
          <cell r="G1144">
            <v>9476.2039999999997</v>
          </cell>
          <cell r="H1144">
            <v>6.56</v>
          </cell>
        </row>
        <row r="1145">
          <cell r="C1145">
            <v>7713.1710000000003</v>
          </cell>
          <cell r="D1145">
            <v>4.7750000000000004</v>
          </cell>
          <cell r="G1145">
            <v>9486.6470000000008</v>
          </cell>
          <cell r="H1145">
            <v>5.226</v>
          </cell>
        </row>
        <row r="1146">
          <cell r="C1146">
            <v>7716.402</v>
          </cell>
          <cell r="D1146">
            <v>4.7789999999999999</v>
          </cell>
          <cell r="G1146">
            <v>9489.9259999999995</v>
          </cell>
          <cell r="H1146">
            <v>4.6500000000000004</v>
          </cell>
        </row>
        <row r="1147">
          <cell r="C1147">
            <v>7721.04</v>
          </cell>
          <cell r="D1147">
            <v>4.7309999999999999</v>
          </cell>
          <cell r="G1147">
            <v>9494.2049999999999</v>
          </cell>
          <cell r="H1147">
            <v>3.9950000000000001</v>
          </cell>
        </row>
        <row r="1148">
          <cell r="C1148">
            <v>7723.8059999999996</v>
          </cell>
          <cell r="D1148">
            <v>4.7290000000000001</v>
          </cell>
          <cell r="G1148">
            <v>9497.8989999999994</v>
          </cell>
          <cell r="H1148">
            <v>3.423</v>
          </cell>
        </row>
        <row r="1149">
          <cell r="C1149">
            <v>7728.2110000000002</v>
          </cell>
          <cell r="D1149">
            <v>4.7560000000000002</v>
          </cell>
          <cell r="G1149">
            <v>9501.74</v>
          </cell>
          <cell r="H1149">
            <v>2.9350000000000001</v>
          </cell>
        </row>
        <row r="1150">
          <cell r="C1150">
            <v>7731.8140000000003</v>
          </cell>
          <cell r="D1150">
            <v>4.5730000000000004</v>
          </cell>
          <cell r="G1150">
            <v>9509.8970000000008</v>
          </cell>
          <cell r="H1150">
            <v>1.5860000000000001</v>
          </cell>
        </row>
        <row r="1151">
          <cell r="C1151">
            <v>7735.0919999999996</v>
          </cell>
          <cell r="D1151">
            <v>4.4160000000000004</v>
          </cell>
          <cell r="G1151">
            <v>9515.2049999999999</v>
          </cell>
          <cell r="H1151">
            <v>0.27300000000000002</v>
          </cell>
        </row>
        <row r="1152">
          <cell r="C1152">
            <v>7740.9840000000004</v>
          </cell>
          <cell r="D1152">
            <v>4.2539999999999996</v>
          </cell>
          <cell r="G1152">
            <v>9518.098</v>
          </cell>
          <cell r="H1152">
            <v>-0.223</v>
          </cell>
        </row>
        <row r="1153">
          <cell r="C1153">
            <v>7756.7160000000003</v>
          </cell>
          <cell r="D1153">
            <v>3.72</v>
          </cell>
          <cell r="G1153">
            <v>9522.9349999999995</v>
          </cell>
          <cell r="H1153">
            <v>-1.1499999999999999</v>
          </cell>
        </row>
        <row r="1154">
          <cell r="C1154">
            <v>7762.9560000000001</v>
          </cell>
          <cell r="D1154">
            <v>3.645</v>
          </cell>
          <cell r="G1154">
            <v>9526.0859999999993</v>
          </cell>
          <cell r="H1154">
            <v>-1.72</v>
          </cell>
        </row>
        <row r="1155">
          <cell r="C1155">
            <v>7778.4089999999997</v>
          </cell>
          <cell r="D1155">
            <v>3.6</v>
          </cell>
          <cell r="G1155">
            <v>9527.6720000000005</v>
          </cell>
          <cell r="H1155">
            <v>-1.944</v>
          </cell>
        </row>
        <row r="1156">
          <cell r="C1156">
            <v>7791.2809999999999</v>
          </cell>
          <cell r="D1156">
            <v>3.5289999999999999</v>
          </cell>
          <cell r="G1156">
            <v>9530.0079999999998</v>
          </cell>
          <cell r="H1156">
            <v>-2.2189999999999999</v>
          </cell>
        </row>
        <row r="1157">
          <cell r="C1157">
            <v>7797.7110000000002</v>
          </cell>
          <cell r="D1157">
            <v>3.5059999999999998</v>
          </cell>
          <cell r="G1157">
            <v>9533.8590000000004</v>
          </cell>
          <cell r="H1157">
            <v>-2.6669999999999998</v>
          </cell>
        </row>
        <row r="1158">
          <cell r="C1158">
            <v>7803.8490000000002</v>
          </cell>
          <cell r="D1158">
            <v>3.5449999999999999</v>
          </cell>
          <cell r="G1158">
            <v>9536.5650000000005</v>
          </cell>
          <cell r="H1158">
            <v>-3.048</v>
          </cell>
        </row>
        <row r="1159">
          <cell r="C1159">
            <v>7813.0959999999995</v>
          </cell>
          <cell r="D1159">
            <v>3.4540000000000002</v>
          </cell>
          <cell r="G1159">
            <v>9539.4419999999991</v>
          </cell>
          <cell r="H1159">
            <v>-3.448</v>
          </cell>
        </row>
        <row r="1160">
          <cell r="C1160">
            <v>7827.3829999999998</v>
          </cell>
          <cell r="D1160">
            <v>3.4540000000000002</v>
          </cell>
          <cell r="G1160">
            <v>9543.9459999999999</v>
          </cell>
          <cell r="H1160">
            <v>-3.9950000000000001</v>
          </cell>
        </row>
        <row r="1161">
          <cell r="C1161">
            <v>7842.5140000000001</v>
          </cell>
          <cell r="D1161">
            <v>3.42</v>
          </cell>
          <cell r="G1161">
            <v>9546.8089999999993</v>
          </cell>
          <cell r="H1161">
            <v>-4.2990000000000004</v>
          </cell>
        </row>
        <row r="1162">
          <cell r="C1162">
            <v>7857.65</v>
          </cell>
          <cell r="D1162">
            <v>3.5169999999999999</v>
          </cell>
          <cell r="G1162">
            <v>9551.3989999999994</v>
          </cell>
          <cell r="H1162">
            <v>-4.5910000000000002</v>
          </cell>
        </row>
        <row r="1163">
          <cell r="C1163">
            <v>7874.15</v>
          </cell>
          <cell r="D1163">
            <v>3.5910000000000002</v>
          </cell>
          <cell r="G1163">
            <v>9555.0319999999992</v>
          </cell>
          <cell r="H1163">
            <v>-4.8079999999999998</v>
          </cell>
        </row>
        <row r="1164">
          <cell r="C1164">
            <v>7887.8890000000001</v>
          </cell>
          <cell r="D1164">
            <v>3.621</v>
          </cell>
          <cell r="G1164">
            <v>9565.5</v>
          </cell>
          <cell r="H1164">
            <v>-5.1079999999999997</v>
          </cell>
        </row>
        <row r="1165">
          <cell r="C1165">
            <v>7907.7790000000005</v>
          </cell>
          <cell r="D1165">
            <v>3.4870000000000001</v>
          </cell>
          <cell r="G1165">
            <v>9574.5519999999997</v>
          </cell>
          <cell r="H1165">
            <v>-5.4219999999999997</v>
          </cell>
        </row>
        <row r="1166">
          <cell r="C1166">
            <v>7914.6819999999998</v>
          </cell>
          <cell r="D1166">
            <v>3.5089999999999999</v>
          </cell>
          <cell r="G1166">
            <v>9586.3420000000006</v>
          </cell>
          <cell r="H1166">
            <v>-5.4340000000000002</v>
          </cell>
        </row>
        <row r="1167">
          <cell r="C1167">
            <v>7920.73</v>
          </cell>
          <cell r="D1167">
            <v>3.5529999999999999</v>
          </cell>
          <cell r="G1167">
            <v>9591.1959999999999</v>
          </cell>
          <cell r="H1167">
            <v>-5.5490000000000004</v>
          </cell>
        </row>
        <row r="1168">
          <cell r="C1168">
            <v>7923.4269999999997</v>
          </cell>
          <cell r="D1168">
            <v>3.5419999999999998</v>
          </cell>
          <cell r="G1168">
            <v>9597.7790000000005</v>
          </cell>
          <cell r="H1168">
            <v>-5.5140000000000002</v>
          </cell>
        </row>
        <row r="1169">
          <cell r="C1169">
            <v>7928.9620000000004</v>
          </cell>
          <cell r="D1169">
            <v>3.5190000000000001</v>
          </cell>
          <cell r="G1169">
            <v>9608.0360000000001</v>
          </cell>
          <cell r="H1169">
            <v>-5.569</v>
          </cell>
        </row>
        <row r="1170">
          <cell r="C1170">
            <v>7933.0110000000004</v>
          </cell>
          <cell r="D1170">
            <v>3.5960000000000001</v>
          </cell>
          <cell r="G1170">
            <v>9619.3590000000004</v>
          </cell>
          <cell r="H1170">
            <v>-5.4969999999999999</v>
          </cell>
        </row>
        <row r="1171">
          <cell r="C1171">
            <v>7937.08</v>
          </cell>
          <cell r="D1171">
            <v>3.5859999999999999</v>
          </cell>
          <cell r="G1171">
            <v>9628.6839999999993</v>
          </cell>
          <cell r="H1171">
            <v>-5.444</v>
          </cell>
        </row>
        <row r="1172">
          <cell r="C1172">
            <v>7941.6540000000005</v>
          </cell>
          <cell r="D1172">
            <v>3.74</v>
          </cell>
          <cell r="G1172">
            <v>9642.7330000000002</v>
          </cell>
          <cell r="H1172">
            <v>-5.3979999999999997</v>
          </cell>
        </row>
        <row r="1173">
          <cell r="C1173">
            <v>7947.1139999999996</v>
          </cell>
          <cell r="D1173">
            <v>3.5910000000000002</v>
          </cell>
          <cell r="G1173">
            <v>9650.009</v>
          </cell>
          <cell r="H1173">
            <v>-5.7309999999999999</v>
          </cell>
        </row>
        <row r="1174">
          <cell r="C1174">
            <v>7949.8879999999999</v>
          </cell>
          <cell r="D1174">
            <v>3.6030000000000002</v>
          </cell>
          <cell r="G1174">
            <v>9659.6710000000003</v>
          </cell>
          <cell r="H1174">
            <v>-6.0049999999999999</v>
          </cell>
        </row>
        <row r="1175">
          <cell r="C1175">
            <v>7953.9170000000004</v>
          </cell>
          <cell r="D1175">
            <v>3.718</v>
          </cell>
          <cell r="G1175">
            <v>9662.8410000000003</v>
          </cell>
          <cell r="H1175">
            <v>-6.1680000000000001</v>
          </cell>
        </row>
        <row r="1176">
          <cell r="C1176">
            <v>7959.799</v>
          </cell>
          <cell r="D1176">
            <v>3.6160000000000001</v>
          </cell>
          <cell r="G1176">
            <v>9672.2530000000006</v>
          </cell>
          <cell r="H1176">
            <v>-6.9039999999999999</v>
          </cell>
        </row>
        <row r="1177">
          <cell r="C1177">
            <v>7966.2719999999999</v>
          </cell>
          <cell r="D1177">
            <v>3.6819999999999999</v>
          </cell>
          <cell r="G1177">
            <v>9675.7119999999995</v>
          </cell>
          <cell r="H1177">
            <v>-7.4930000000000003</v>
          </cell>
        </row>
        <row r="1178">
          <cell r="C1178">
            <v>7973.2879999999996</v>
          </cell>
          <cell r="D1178">
            <v>3.7639999999999998</v>
          </cell>
          <cell r="G1178">
            <v>9684.5990000000002</v>
          </cell>
          <cell r="H1178">
            <v>-8.4760000000000009</v>
          </cell>
        </row>
        <row r="1179">
          <cell r="C1179">
            <v>7980.37</v>
          </cell>
          <cell r="D1179">
            <v>3.6389999999999998</v>
          </cell>
          <cell r="G1179">
            <v>9687.9519999999993</v>
          </cell>
          <cell r="H1179">
            <v>-8.7490000000000006</v>
          </cell>
        </row>
        <row r="1180">
          <cell r="C1180">
            <v>7985.8419999999996</v>
          </cell>
          <cell r="D1180">
            <v>3.5979999999999999</v>
          </cell>
          <cell r="G1180">
            <v>9689.89</v>
          </cell>
          <cell r="H1180">
            <v>-8.9039999999999999</v>
          </cell>
        </row>
        <row r="1181">
          <cell r="C1181">
            <v>7989.19</v>
          </cell>
          <cell r="D1181">
            <v>3.6160000000000001</v>
          </cell>
          <cell r="G1181">
            <v>9694.6779999999999</v>
          </cell>
          <cell r="H1181">
            <v>-9.35</v>
          </cell>
        </row>
        <row r="1182">
          <cell r="C1182">
            <v>7995.2160000000003</v>
          </cell>
          <cell r="D1182">
            <v>3.5720000000000001</v>
          </cell>
          <cell r="G1182">
            <v>9699.0360000000001</v>
          </cell>
          <cell r="H1182">
            <v>-9.5530000000000008</v>
          </cell>
        </row>
        <row r="1183">
          <cell r="C1183">
            <v>8002.7020000000002</v>
          </cell>
          <cell r="D1183">
            <v>3.3660000000000001</v>
          </cell>
          <cell r="G1183">
            <v>9702.6929999999993</v>
          </cell>
          <cell r="H1183">
            <v>-9.5990000000000002</v>
          </cell>
        </row>
        <row r="1184">
          <cell r="C1184">
            <v>8015.1379999999999</v>
          </cell>
          <cell r="D1184">
            <v>3.206</v>
          </cell>
          <cell r="G1184">
            <v>9706.5869999999995</v>
          </cell>
          <cell r="H1184">
            <v>-9.4819999999999993</v>
          </cell>
        </row>
        <row r="1185">
          <cell r="C1185">
            <v>8026.5209999999997</v>
          </cell>
          <cell r="D1185">
            <v>2.512</v>
          </cell>
          <cell r="G1185">
            <v>9712.9889999999996</v>
          </cell>
          <cell r="H1185">
            <v>-9.4770000000000003</v>
          </cell>
        </row>
        <row r="1186">
          <cell r="C1186">
            <v>8035.8280000000004</v>
          </cell>
          <cell r="D1186">
            <v>1.6040000000000001</v>
          </cell>
          <cell r="G1186">
            <v>9717.9449999999997</v>
          </cell>
          <cell r="H1186">
            <v>-9.4269999999999996</v>
          </cell>
        </row>
        <row r="1187">
          <cell r="C1187">
            <v>8040.549</v>
          </cell>
          <cell r="D1187">
            <v>1.2150000000000001</v>
          </cell>
          <cell r="G1187">
            <v>9724.6810000000005</v>
          </cell>
          <cell r="H1187">
            <v>-9.0299999999999994</v>
          </cell>
        </row>
        <row r="1188">
          <cell r="C1188">
            <v>8044.2879999999996</v>
          </cell>
          <cell r="D1188">
            <v>0.98599999999999999</v>
          </cell>
          <cell r="G1188">
            <v>9728.6669999999995</v>
          </cell>
          <cell r="H1188">
            <v>-8.8659999999999997</v>
          </cell>
        </row>
        <row r="1189">
          <cell r="C1189">
            <v>8047.35</v>
          </cell>
          <cell r="D1189">
            <v>0.89600000000000002</v>
          </cell>
          <cell r="G1189">
            <v>9731.7579999999998</v>
          </cell>
          <cell r="H1189">
            <v>-8.8640000000000008</v>
          </cell>
        </row>
        <row r="1190">
          <cell r="C1190">
            <v>8056.9369999999999</v>
          </cell>
          <cell r="D1190">
            <v>1.0409999999999999</v>
          </cell>
          <cell r="G1190">
            <v>9734.5329999999994</v>
          </cell>
          <cell r="H1190">
            <v>-8.6709999999999994</v>
          </cell>
        </row>
        <row r="1191">
          <cell r="C1191">
            <v>8061.3729999999996</v>
          </cell>
          <cell r="D1191">
            <v>1.123</v>
          </cell>
          <cell r="G1191">
            <v>9738.4490000000005</v>
          </cell>
          <cell r="H1191">
            <v>-8.4269999999999996</v>
          </cell>
        </row>
        <row r="1192">
          <cell r="C1192">
            <v>8065.7420000000002</v>
          </cell>
          <cell r="D1192">
            <v>1.22</v>
          </cell>
          <cell r="G1192">
            <v>9741.0460000000003</v>
          </cell>
          <cell r="H1192">
            <v>-8.2789999999999999</v>
          </cell>
        </row>
        <row r="1193">
          <cell r="C1193">
            <v>8069.8950000000004</v>
          </cell>
          <cell r="D1193">
            <v>1.5049999999999999</v>
          </cell>
          <cell r="G1193">
            <v>9743.4490000000005</v>
          </cell>
          <cell r="H1193">
            <v>-8.1679999999999993</v>
          </cell>
        </row>
        <row r="1194">
          <cell r="C1194">
            <v>8073.9250000000002</v>
          </cell>
          <cell r="D1194">
            <v>1.9359999999999999</v>
          </cell>
          <cell r="G1194">
            <v>9745.0889999999999</v>
          </cell>
          <cell r="H1194">
            <v>-8.1219999999999999</v>
          </cell>
        </row>
        <row r="1195">
          <cell r="C1195">
            <v>8079.4719999999998</v>
          </cell>
          <cell r="D1195">
            <v>2.48</v>
          </cell>
          <cell r="G1195">
            <v>9746.4809999999998</v>
          </cell>
          <cell r="H1195">
            <v>-7.9480000000000004</v>
          </cell>
        </row>
        <row r="1196">
          <cell r="C1196">
            <v>8084.683</v>
          </cell>
          <cell r="D1196">
            <v>3.0880000000000001</v>
          </cell>
          <cell r="G1196">
            <v>9749.0669999999991</v>
          </cell>
          <cell r="H1196">
            <v>-7.5670000000000002</v>
          </cell>
        </row>
        <row r="1197">
          <cell r="C1197">
            <v>8088.277</v>
          </cell>
          <cell r="D1197">
            <v>3.5779999999999998</v>
          </cell>
          <cell r="G1197">
            <v>9750.2219999999998</v>
          </cell>
          <cell r="H1197">
            <v>-7.4020000000000001</v>
          </cell>
        </row>
        <row r="1198">
          <cell r="C1198">
            <v>8094.45</v>
          </cell>
          <cell r="D1198">
            <v>4.274</v>
          </cell>
          <cell r="G1198">
            <v>9752.75</v>
          </cell>
          <cell r="H1198">
            <v>-7.149</v>
          </cell>
        </row>
        <row r="1199">
          <cell r="C1199">
            <v>8108.2110000000002</v>
          </cell>
          <cell r="D1199">
            <v>5.1029999999999998</v>
          </cell>
          <cell r="G1199">
            <v>9755.1980000000003</v>
          </cell>
          <cell r="H1199">
            <v>-6.9290000000000003</v>
          </cell>
        </row>
        <row r="1200">
          <cell r="C1200">
            <v>8113.0709999999999</v>
          </cell>
          <cell r="D1200">
            <v>5.1520000000000001</v>
          </cell>
          <cell r="G1200">
            <v>9757.8979999999992</v>
          </cell>
          <cell r="H1200">
            <v>-6.62</v>
          </cell>
        </row>
        <row r="1201">
          <cell r="C1201">
            <v>8117.5259999999998</v>
          </cell>
          <cell r="D1201">
            <v>4.952</v>
          </cell>
          <cell r="G1201">
            <v>9759.8739999999998</v>
          </cell>
          <cell r="H1201">
            <v>-6.4080000000000004</v>
          </cell>
        </row>
        <row r="1202">
          <cell r="C1202">
            <v>8121.893</v>
          </cell>
          <cell r="D1202">
            <v>4.8280000000000003</v>
          </cell>
          <cell r="G1202">
            <v>9763.3760000000002</v>
          </cell>
          <cell r="H1202">
            <v>-6.2110000000000003</v>
          </cell>
        </row>
        <row r="1203">
          <cell r="C1203">
            <v>8126.3819999999996</v>
          </cell>
          <cell r="D1203">
            <v>4.673</v>
          </cell>
          <cell r="G1203">
            <v>9767.2189999999991</v>
          </cell>
          <cell r="H1203">
            <v>-6.117</v>
          </cell>
        </row>
        <row r="1204">
          <cell r="C1204">
            <v>8130.8819999999996</v>
          </cell>
          <cell r="D1204">
            <v>4.5279999999999996</v>
          </cell>
          <cell r="G1204">
            <v>9776.9259999999995</v>
          </cell>
          <cell r="H1204">
            <v>-5.7670000000000003</v>
          </cell>
        </row>
        <row r="1205">
          <cell r="C1205">
            <v>8136.3429999999998</v>
          </cell>
          <cell r="D1205">
            <v>4.2919999999999998</v>
          </cell>
          <cell r="G1205">
            <v>9799.8510000000006</v>
          </cell>
          <cell r="H1205">
            <v>-5.4329999999999998</v>
          </cell>
        </row>
        <row r="1206">
          <cell r="C1206">
            <v>8142.8770000000004</v>
          </cell>
          <cell r="D1206">
            <v>4.0140000000000002</v>
          </cell>
          <cell r="G1206">
            <v>9824.5120000000006</v>
          </cell>
          <cell r="H1206">
            <v>-5.6379999999999999</v>
          </cell>
        </row>
        <row r="1207">
          <cell r="C1207">
            <v>8147.8379999999997</v>
          </cell>
          <cell r="D1207">
            <v>3.6509999999999998</v>
          </cell>
          <cell r="G1207">
            <v>9850.1880000000001</v>
          </cell>
          <cell r="H1207">
            <v>-5.6269999999999998</v>
          </cell>
        </row>
        <row r="1208">
          <cell r="C1208">
            <v>8151.2460000000001</v>
          </cell>
          <cell r="D1208">
            <v>3.4409999999999998</v>
          </cell>
          <cell r="G1208">
            <v>9872.3220000000001</v>
          </cell>
          <cell r="H1208">
            <v>-5.8819999999999997</v>
          </cell>
        </row>
        <row r="1209">
          <cell r="C1209">
            <v>8155.1869999999999</v>
          </cell>
          <cell r="D1209">
            <v>3.2839999999999998</v>
          </cell>
          <cell r="G1209">
            <v>9881.3179999999993</v>
          </cell>
          <cell r="H1209">
            <v>-6.117</v>
          </cell>
        </row>
        <row r="1210">
          <cell r="C1210">
            <v>8160.201</v>
          </cell>
          <cell r="D1210">
            <v>3.07</v>
          </cell>
          <cell r="G1210">
            <v>9899.8389999999999</v>
          </cell>
          <cell r="H1210">
            <v>-6.0709999999999997</v>
          </cell>
        </row>
        <row r="1211">
          <cell r="C1211">
            <v>8167.1450000000004</v>
          </cell>
          <cell r="D1211">
            <v>2.97</v>
          </cell>
          <cell r="G1211">
            <v>9937.7860000000001</v>
          </cell>
          <cell r="H1211">
            <v>-6.1760000000000002</v>
          </cell>
        </row>
        <row r="1212">
          <cell r="C1212">
            <v>8179.9589999999998</v>
          </cell>
          <cell r="D1212">
            <v>2.972</v>
          </cell>
          <cell r="G1212">
            <v>10003.23</v>
          </cell>
          <cell r="H1212">
            <v>-6.0709999999999997</v>
          </cell>
        </row>
        <row r="1213">
          <cell r="C1213">
            <v>8194.3369999999995</v>
          </cell>
          <cell r="D1213">
            <v>2.6869999999999998</v>
          </cell>
          <cell r="G1213">
            <v>10030.02</v>
          </cell>
          <cell r="H1213">
            <v>-3.6629999999999998</v>
          </cell>
        </row>
        <row r="1214">
          <cell r="C1214">
            <v>8211.9060000000009</v>
          </cell>
          <cell r="D1214">
            <v>2.6659999999999999</v>
          </cell>
          <cell r="G1214">
            <v>10048.453</v>
          </cell>
          <cell r="H1214">
            <v>0.35799999999999998</v>
          </cell>
        </row>
        <row r="1215">
          <cell r="C1215">
            <v>8225.0460000000003</v>
          </cell>
          <cell r="D1215">
            <v>2.8719999999999999</v>
          </cell>
          <cell r="G1215">
            <v>10059.120999999999</v>
          </cell>
          <cell r="H1215">
            <v>4.0839999999999996</v>
          </cell>
        </row>
        <row r="1216">
          <cell r="C1216">
            <v>8228.9619999999995</v>
          </cell>
          <cell r="D1216">
            <v>2.827</v>
          </cell>
          <cell r="G1216">
            <v>10064.406999999999</v>
          </cell>
          <cell r="H1216">
            <v>6.22</v>
          </cell>
        </row>
        <row r="1217">
          <cell r="C1217">
            <v>8234.6650000000009</v>
          </cell>
          <cell r="D1217">
            <v>2.722</v>
          </cell>
          <cell r="G1217">
            <v>10069.879999999999</v>
          </cell>
          <cell r="H1217">
            <v>8.4410000000000007</v>
          </cell>
        </row>
        <row r="1218">
          <cell r="C1218">
            <v>8241.384</v>
          </cell>
          <cell r="D1218">
            <v>2.7519999999999998</v>
          </cell>
          <cell r="G1218">
            <v>10073.906999999999</v>
          </cell>
          <cell r="H1218">
            <v>10.179</v>
          </cell>
        </row>
        <row r="1219">
          <cell r="C1219">
            <v>8242.09</v>
          </cell>
          <cell r="D1219">
            <v>2.8290000000000002</v>
          </cell>
          <cell r="G1219">
            <v>10077.936</v>
          </cell>
          <cell r="H1219">
            <v>11.787000000000001</v>
          </cell>
        </row>
        <row r="1220">
          <cell r="C1220">
            <v>8256.9130000000005</v>
          </cell>
          <cell r="D1220">
            <v>3.032</v>
          </cell>
          <cell r="G1220">
            <v>10082.162</v>
          </cell>
          <cell r="H1220">
            <v>13.045999999999999</v>
          </cell>
        </row>
        <row r="1221">
          <cell r="C1221">
            <v>8284.4470000000001</v>
          </cell>
          <cell r="D1221">
            <v>2.9420000000000002</v>
          </cell>
          <cell r="G1221">
            <v>10084.593000000001</v>
          </cell>
          <cell r="H1221">
            <v>13.592000000000001</v>
          </cell>
        </row>
        <row r="1222">
          <cell r="C1222">
            <v>8299.0959999999995</v>
          </cell>
          <cell r="D1222">
            <v>3.0169999999999999</v>
          </cell>
          <cell r="G1222">
            <v>10087.656000000001</v>
          </cell>
          <cell r="H1222">
            <v>14.284000000000001</v>
          </cell>
        </row>
        <row r="1223">
          <cell r="C1223">
            <v>8313.3449999999993</v>
          </cell>
          <cell r="D1223">
            <v>3.02</v>
          </cell>
          <cell r="G1223">
            <v>10089.929</v>
          </cell>
          <cell r="H1223">
            <v>14.763999999999999</v>
          </cell>
        </row>
        <row r="1224">
          <cell r="C1224">
            <v>8326.4150000000009</v>
          </cell>
          <cell r="D1224">
            <v>3.1989999999999998</v>
          </cell>
          <cell r="G1224">
            <v>10092.657999999999</v>
          </cell>
          <cell r="H1224">
            <v>15.202</v>
          </cell>
        </row>
        <row r="1225">
          <cell r="C1225">
            <v>8356.9590000000007</v>
          </cell>
          <cell r="D1225">
            <v>3.2919999999999998</v>
          </cell>
          <cell r="G1225">
            <v>10096.499</v>
          </cell>
          <cell r="H1225">
            <v>15.647</v>
          </cell>
        </row>
        <row r="1226">
          <cell r="C1226">
            <v>8376.5779999999995</v>
          </cell>
          <cell r="D1226">
            <v>3.6709999999999998</v>
          </cell>
          <cell r="G1226">
            <v>10099.922</v>
          </cell>
          <cell r="H1226">
            <v>15.962999999999999</v>
          </cell>
        </row>
        <row r="1227">
          <cell r="C1227">
            <v>8379.75</v>
          </cell>
          <cell r="D1227">
            <v>3.7509999999999999</v>
          </cell>
          <cell r="G1227">
            <v>10103.088</v>
          </cell>
          <cell r="H1227">
            <v>16.123999999999999</v>
          </cell>
        </row>
        <row r="1228">
          <cell r="C1228">
            <v>8381.8369999999995</v>
          </cell>
          <cell r="D1228">
            <v>3.67</v>
          </cell>
          <cell r="G1228">
            <v>10105.86</v>
          </cell>
          <cell r="H1228">
            <v>16.244</v>
          </cell>
        </row>
        <row r="1229">
          <cell r="C1229">
            <v>8382.7610000000004</v>
          </cell>
          <cell r="D1229">
            <v>3.7010000000000001</v>
          </cell>
          <cell r="G1229">
            <v>10108.045</v>
          </cell>
          <cell r="H1229">
            <v>16.148</v>
          </cell>
        </row>
        <row r="1230">
          <cell r="C1230">
            <v>8385.2759999999998</v>
          </cell>
          <cell r="D1230">
            <v>3.5859999999999999</v>
          </cell>
          <cell r="G1230">
            <v>10110.411</v>
          </cell>
          <cell r="H1230">
            <v>16.026</v>
          </cell>
        </row>
        <row r="1231">
          <cell r="C1231">
            <v>8389.6710000000003</v>
          </cell>
          <cell r="D1231">
            <v>3.3570000000000002</v>
          </cell>
          <cell r="G1231">
            <v>10114.6</v>
          </cell>
          <cell r="H1231">
            <v>15.667</v>
          </cell>
        </row>
        <row r="1232">
          <cell r="C1232">
            <v>8398.2819999999992</v>
          </cell>
          <cell r="D1232">
            <v>3.0369999999999999</v>
          </cell>
          <cell r="G1232">
            <v>10118.023999999999</v>
          </cell>
          <cell r="H1232">
            <v>15.198</v>
          </cell>
        </row>
        <row r="1233">
          <cell r="C1233">
            <v>8400.7710000000006</v>
          </cell>
          <cell r="D1233">
            <v>3.044</v>
          </cell>
          <cell r="G1233">
            <v>10120.473</v>
          </cell>
          <cell r="H1233">
            <v>14.776999999999999</v>
          </cell>
        </row>
        <row r="1234">
          <cell r="C1234">
            <v>8403.8960000000006</v>
          </cell>
          <cell r="D1234">
            <v>3.1070000000000002</v>
          </cell>
          <cell r="G1234">
            <v>10124.323</v>
          </cell>
          <cell r="H1234">
            <v>14.032</v>
          </cell>
        </row>
        <row r="1235">
          <cell r="C1235">
            <v>8410.1039999999994</v>
          </cell>
          <cell r="D1235">
            <v>3.3109999999999999</v>
          </cell>
          <cell r="G1235">
            <v>10128.207</v>
          </cell>
          <cell r="H1235">
            <v>13.273999999999999</v>
          </cell>
        </row>
        <row r="1236">
          <cell r="C1236">
            <v>8416.7620000000006</v>
          </cell>
          <cell r="D1236">
            <v>3.4409999999999998</v>
          </cell>
          <cell r="G1236">
            <v>10132.254000000001</v>
          </cell>
          <cell r="H1236">
            <v>12.465</v>
          </cell>
        </row>
        <row r="1237">
          <cell r="C1237">
            <v>8432.0139999999992</v>
          </cell>
          <cell r="D1237">
            <v>3.8969999999999998</v>
          </cell>
          <cell r="G1237">
            <v>10137.252</v>
          </cell>
          <cell r="H1237">
            <v>11.553000000000001</v>
          </cell>
        </row>
        <row r="1238">
          <cell r="C1238">
            <v>8437.9259999999995</v>
          </cell>
          <cell r="D1238">
            <v>3.9580000000000002</v>
          </cell>
          <cell r="G1238">
            <v>10146.153</v>
          </cell>
          <cell r="H1238">
            <v>10.489000000000001</v>
          </cell>
        </row>
        <row r="1239">
          <cell r="C1239">
            <v>8445.5769999999993</v>
          </cell>
          <cell r="D1239">
            <v>3.7330000000000001</v>
          </cell>
          <cell r="G1239">
            <v>10152.662</v>
          </cell>
          <cell r="H1239">
            <v>9.9380000000000006</v>
          </cell>
        </row>
        <row r="1240">
          <cell r="C1240">
            <v>8456.2880000000005</v>
          </cell>
          <cell r="D1240">
            <v>3.62</v>
          </cell>
          <cell r="G1240">
            <v>10155.713</v>
          </cell>
          <cell r="H1240">
            <v>9.6590000000000007</v>
          </cell>
        </row>
        <row r="1241">
          <cell r="C1241">
            <v>8470.2939999999999</v>
          </cell>
          <cell r="D1241">
            <v>3.754</v>
          </cell>
          <cell r="G1241">
            <v>10158.41</v>
          </cell>
          <cell r="H1241">
            <v>9.4369999999999994</v>
          </cell>
        </row>
        <row r="1242">
          <cell r="C1242">
            <v>8484.741</v>
          </cell>
          <cell r="D1242">
            <v>3.548</v>
          </cell>
          <cell r="G1242">
            <v>10161.259</v>
          </cell>
          <cell r="H1242">
            <v>9.0609999999999999</v>
          </cell>
        </row>
        <row r="1243">
          <cell r="C1243">
            <v>8495.6689999999999</v>
          </cell>
          <cell r="D1243">
            <v>3.1339999999999999</v>
          </cell>
          <cell r="G1243">
            <v>10164.912</v>
          </cell>
          <cell r="H1243">
            <v>8.6270000000000007</v>
          </cell>
        </row>
        <row r="1244">
          <cell r="C1244">
            <v>8508.1810000000005</v>
          </cell>
          <cell r="D1244">
            <v>3.1059999999999999</v>
          </cell>
          <cell r="G1244">
            <v>10167.343999999999</v>
          </cell>
          <cell r="H1244">
            <v>8.327</v>
          </cell>
        </row>
        <row r="1245">
          <cell r="C1245">
            <v>8520.6569999999992</v>
          </cell>
          <cell r="D1245">
            <v>3.2080000000000002</v>
          </cell>
          <cell r="G1245">
            <v>10169.437</v>
          </cell>
          <cell r="H1245">
            <v>7.9720000000000004</v>
          </cell>
        </row>
        <row r="1246">
          <cell r="C1246">
            <v>8531.0380000000005</v>
          </cell>
          <cell r="D1246">
            <v>3.34</v>
          </cell>
          <cell r="G1246">
            <v>10172.375</v>
          </cell>
          <cell r="H1246">
            <v>7.4829999999999997</v>
          </cell>
        </row>
        <row r="1247">
          <cell r="C1247">
            <v>8542.2389999999996</v>
          </cell>
          <cell r="D1247">
            <v>3.3180000000000001</v>
          </cell>
          <cell r="G1247">
            <v>10175.519</v>
          </cell>
          <cell r="H1247">
            <v>6.9640000000000004</v>
          </cell>
        </row>
        <row r="1248">
          <cell r="C1248">
            <v>8554.6029999999992</v>
          </cell>
          <cell r="D1248">
            <v>3.8109999999999999</v>
          </cell>
          <cell r="G1248">
            <v>10178.101000000001</v>
          </cell>
          <cell r="H1248">
            <v>6.4909999999999997</v>
          </cell>
        </row>
        <row r="1249">
          <cell r="C1249">
            <v>8559.06</v>
          </cell>
          <cell r="D1249">
            <v>3.6389999999999998</v>
          </cell>
          <cell r="G1249">
            <v>10182.641</v>
          </cell>
          <cell r="H1249">
            <v>5.6189999999999998</v>
          </cell>
        </row>
        <row r="1250">
          <cell r="C1250">
            <v>8568.2530000000006</v>
          </cell>
          <cell r="D1250">
            <v>3.4020000000000001</v>
          </cell>
          <cell r="G1250">
            <v>10186.752</v>
          </cell>
          <cell r="H1250">
            <v>4.7619999999999996</v>
          </cell>
        </row>
        <row r="1251">
          <cell r="C1251">
            <v>8571.3919999999998</v>
          </cell>
          <cell r="D1251">
            <v>3.28</v>
          </cell>
          <cell r="G1251">
            <v>10190.444</v>
          </cell>
          <cell r="H1251">
            <v>3.8849999999999998</v>
          </cell>
        </row>
        <row r="1252">
          <cell r="C1252">
            <v>8574.7219999999998</v>
          </cell>
          <cell r="D1252">
            <v>3.3460000000000001</v>
          </cell>
          <cell r="G1252">
            <v>10194.647999999999</v>
          </cell>
          <cell r="H1252">
            <v>2.87</v>
          </cell>
        </row>
        <row r="1253">
          <cell r="C1253">
            <v>8580.77</v>
          </cell>
          <cell r="D1253">
            <v>3.0659999999999998</v>
          </cell>
          <cell r="G1253">
            <v>10198.878000000001</v>
          </cell>
          <cell r="H1253">
            <v>1.7709999999999999</v>
          </cell>
        </row>
        <row r="1254">
          <cell r="C1254">
            <v>8582.4570000000003</v>
          </cell>
          <cell r="D1254">
            <v>3.0230000000000001</v>
          </cell>
          <cell r="G1254">
            <v>10204.392</v>
          </cell>
          <cell r="H1254">
            <v>0.35699999999999998</v>
          </cell>
        </row>
        <row r="1255">
          <cell r="C1255">
            <v>8585.0049999999992</v>
          </cell>
          <cell r="D1255">
            <v>3.0489999999999999</v>
          </cell>
          <cell r="G1255">
            <v>10214.715</v>
          </cell>
          <cell r="H1255">
            <v>-2.1960000000000002</v>
          </cell>
        </row>
        <row r="1256">
          <cell r="C1256">
            <v>8588.5110000000004</v>
          </cell>
          <cell r="D1256">
            <v>3.06</v>
          </cell>
          <cell r="G1256">
            <v>10229.053</v>
          </cell>
          <cell r="H1256">
            <v>-4.4089999999999998</v>
          </cell>
        </row>
        <row r="1257">
          <cell r="C1257">
            <v>8591.0619999999999</v>
          </cell>
          <cell r="D1257">
            <v>2.9889999999999999</v>
          </cell>
          <cell r="G1257">
            <v>10229.61</v>
          </cell>
          <cell r="H1257">
            <v>-4.0060000000000002</v>
          </cell>
        </row>
        <row r="1258">
          <cell r="C1258">
            <v>8594.7900000000009</v>
          </cell>
          <cell r="D1258">
            <v>3.0259999999999998</v>
          </cell>
          <cell r="G1258">
            <v>10253.231</v>
          </cell>
          <cell r="H1258">
            <v>-5.3380000000000001</v>
          </cell>
        </row>
        <row r="1259">
          <cell r="C1259">
            <v>8599.7880000000005</v>
          </cell>
          <cell r="D1259">
            <v>3.0640000000000001</v>
          </cell>
          <cell r="G1259">
            <v>10269.273999999999</v>
          </cell>
          <cell r="H1259">
            <v>-5.4119999999999999</v>
          </cell>
        </row>
        <row r="1260">
          <cell r="C1260">
            <v>8601.7279999999992</v>
          </cell>
          <cell r="D1260">
            <v>2.996</v>
          </cell>
          <cell r="G1260">
            <v>10287.182000000001</v>
          </cell>
          <cell r="H1260">
            <v>-5.5339999999999998</v>
          </cell>
        </row>
        <row r="1261">
          <cell r="C1261">
            <v>8604.3259999999991</v>
          </cell>
          <cell r="D1261">
            <v>3.089</v>
          </cell>
          <cell r="G1261">
            <v>10301.236999999999</v>
          </cell>
          <cell r="H1261">
            <v>-5.431</v>
          </cell>
        </row>
        <row r="1262">
          <cell r="C1262">
            <v>8609.1759999999995</v>
          </cell>
          <cell r="D1262">
            <v>3.3210000000000002</v>
          </cell>
          <cell r="G1262">
            <v>10310.772999999999</v>
          </cell>
          <cell r="H1262">
            <v>-5.3109999999999999</v>
          </cell>
        </row>
        <row r="1263">
          <cell r="C1263">
            <v>8621.1880000000001</v>
          </cell>
          <cell r="D1263">
            <v>3.2890000000000001</v>
          </cell>
          <cell r="G1263">
            <v>10312.168</v>
          </cell>
          <cell r="H1263">
            <v>-5.64</v>
          </cell>
        </row>
        <row r="1264">
          <cell r="C1264">
            <v>8633.5519999999997</v>
          </cell>
          <cell r="D1264">
            <v>3.27</v>
          </cell>
          <cell r="G1264">
            <v>10313.468000000001</v>
          </cell>
          <cell r="H1264">
            <v>-6.0010000000000003</v>
          </cell>
        </row>
        <row r="1265">
          <cell r="C1265">
            <v>8644.7669999999998</v>
          </cell>
          <cell r="D1265">
            <v>3.3530000000000002</v>
          </cell>
          <cell r="G1265">
            <v>10315.474</v>
          </cell>
          <cell r="H1265">
            <v>-6.2149999999999999</v>
          </cell>
        </row>
        <row r="1266">
          <cell r="C1266">
            <v>8648.9860000000008</v>
          </cell>
          <cell r="D1266">
            <v>3.3879999999999999</v>
          </cell>
          <cell r="G1266">
            <v>10318.925999999999</v>
          </cell>
          <cell r="H1266">
            <v>-6.4160000000000004</v>
          </cell>
        </row>
        <row r="1267">
          <cell r="C1267">
            <v>8651.6290000000008</v>
          </cell>
          <cell r="D1267">
            <v>3.355</v>
          </cell>
          <cell r="G1267">
            <v>10328.064</v>
          </cell>
          <cell r="H1267">
            <v>-6.7549999999999999</v>
          </cell>
        </row>
        <row r="1268">
          <cell r="C1268">
            <v>8654.4560000000001</v>
          </cell>
          <cell r="D1268">
            <v>3.2570000000000001</v>
          </cell>
          <cell r="G1268">
            <v>10346.249</v>
          </cell>
          <cell r="H1268">
            <v>-6.69</v>
          </cell>
        </row>
        <row r="1269">
          <cell r="C1269">
            <v>8664.518</v>
          </cell>
          <cell r="D1269">
            <v>3.4780000000000002</v>
          </cell>
          <cell r="G1269">
            <v>10393.877</v>
          </cell>
          <cell r="H1269">
            <v>-6.8010000000000002</v>
          </cell>
        </row>
        <row r="1270">
          <cell r="C1270">
            <v>8672.768</v>
          </cell>
          <cell r="D1270">
            <v>3.464</v>
          </cell>
          <cell r="G1270">
            <v>10422.105</v>
          </cell>
          <cell r="H1270">
            <v>-6.899</v>
          </cell>
        </row>
        <row r="1271">
          <cell r="C1271">
            <v>8681.2340000000004</v>
          </cell>
          <cell r="D1271">
            <v>3.5249999999999999</v>
          </cell>
          <cell r="G1271">
            <v>10436.151</v>
          </cell>
          <cell r="H1271">
            <v>-6.8090000000000002</v>
          </cell>
        </row>
        <row r="1272">
          <cell r="C1272">
            <v>8688.8909999999996</v>
          </cell>
          <cell r="D1272">
            <v>3.556</v>
          </cell>
          <cell r="G1272">
            <v>10439.111000000001</v>
          </cell>
          <cell r="H1272">
            <v>-6.33</v>
          </cell>
        </row>
        <row r="1273">
          <cell r="C1273">
            <v>8697.8649999999998</v>
          </cell>
          <cell r="D1273">
            <v>3.7210000000000001</v>
          </cell>
          <cell r="G1273">
            <v>10442.314</v>
          </cell>
          <cell r="H1273">
            <v>-5.8650000000000002</v>
          </cell>
        </row>
        <row r="1274">
          <cell r="C1274">
            <v>8705.4120000000003</v>
          </cell>
          <cell r="D1274">
            <v>4.0110000000000001</v>
          </cell>
          <cell r="G1274">
            <v>10446.474</v>
          </cell>
          <cell r="H1274">
            <v>-5.4489999999999998</v>
          </cell>
        </row>
        <row r="1275">
          <cell r="C1275">
            <v>8708.08</v>
          </cell>
          <cell r="D1275">
            <v>4.12</v>
          </cell>
          <cell r="G1275">
            <v>10469.14</v>
          </cell>
          <cell r="H1275">
            <v>-5.4320000000000004</v>
          </cell>
        </row>
        <row r="1276">
          <cell r="C1276">
            <v>8709.8330000000005</v>
          </cell>
          <cell r="D1276">
            <v>4.1360000000000001</v>
          </cell>
          <cell r="G1276">
            <v>10492.734</v>
          </cell>
          <cell r="H1276">
            <v>-5.5110000000000001</v>
          </cell>
        </row>
        <row r="1277">
          <cell r="C1277">
            <v>8713.06</v>
          </cell>
          <cell r="D1277">
            <v>4.1820000000000004</v>
          </cell>
          <cell r="G1277">
            <v>10521.245000000001</v>
          </cell>
          <cell r="H1277">
            <v>-6.4850000000000003</v>
          </cell>
        </row>
        <row r="1278">
          <cell r="C1278">
            <v>8715.4449999999997</v>
          </cell>
          <cell r="D1278">
            <v>4.1529999999999996</v>
          </cell>
          <cell r="G1278">
            <v>10525.635</v>
          </cell>
          <cell r="H1278">
            <v>-6.9569999999999999</v>
          </cell>
        </row>
        <row r="1279">
          <cell r="C1279">
            <v>8723.8439999999991</v>
          </cell>
          <cell r="D1279">
            <v>4.2830000000000004</v>
          </cell>
          <cell r="G1279">
            <v>10529.232</v>
          </cell>
          <cell r="H1279">
            <v>-7.4219999999999997</v>
          </cell>
        </row>
        <row r="1280">
          <cell r="C1280">
            <v>8725.4339999999993</v>
          </cell>
          <cell r="D1280">
            <v>4.3310000000000004</v>
          </cell>
          <cell r="G1280">
            <v>10531.791999999999</v>
          </cell>
          <cell r="H1280">
            <v>-7.694</v>
          </cell>
        </row>
        <row r="1281">
          <cell r="C1281">
            <v>8727.2970000000005</v>
          </cell>
          <cell r="D1281">
            <v>4.3600000000000003</v>
          </cell>
          <cell r="G1281">
            <v>10534.763000000001</v>
          </cell>
          <cell r="H1281">
            <v>-7.9550000000000001</v>
          </cell>
        </row>
        <row r="1282">
          <cell r="C1282">
            <v>8729.0329999999994</v>
          </cell>
          <cell r="D1282">
            <v>4.2619999999999996</v>
          </cell>
          <cell r="G1282">
            <v>10538.227999999999</v>
          </cell>
          <cell r="H1282">
            <v>-8.1839999999999993</v>
          </cell>
        </row>
        <row r="1283">
          <cell r="C1283">
            <v>8732.5789999999997</v>
          </cell>
          <cell r="D1283">
            <v>4.1479999999999997</v>
          </cell>
          <cell r="G1283">
            <v>10541.734</v>
          </cell>
          <cell r="H1283">
            <v>-8.3919999999999995</v>
          </cell>
        </row>
        <row r="1284">
          <cell r="C1284">
            <v>8735.9950000000008</v>
          </cell>
          <cell r="D1284">
            <v>4.125</v>
          </cell>
          <cell r="G1284">
            <v>10545.02</v>
          </cell>
          <cell r="H1284">
            <v>-8.5470000000000006</v>
          </cell>
        </row>
        <row r="1285">
          <cell r="C1285">
            <v>8739.3970000000008</v>
          </cell>
          <cell r="D1285">
            <v>4.1139999999999999</v>
          </cell>
          <cell r="G1285">
            <v>10548.23</v>
          </cell>
          <cell r="H1285">
            <v>-8.593</v>
          </cell>
        </row>
        <row r="1286">
          <cell r="C1286">
            <v>8745.7759999999998</v>
          </cell>
          <cell r="D1286">
            <v>4.4109999999999996</v>
          </cell>
          <cell r="G1286">
            <v>10551.999</v>
          </cell>
          <cell r="H1286">
            <v>-8.5310000000000006</v>
          </cell>
        </row>
        <row r="1287">
          <cell r="C1287">
            <v>8751.268</v>
          </cell>
          <cell r="D1287">
            <v>4.718</v>
          </cell>
          <cell r="G1287">
            <v>10554.696</v>
          </cell>
          <cell r="H1287">
            <v>-8.4540000000000006</v>
          </cell>
        </row>
        <row r="1288">
          <cell r="C1288">
            <v>8753.0439999999999</v>
          </cell>
          <cell r="D1288">
            <v>4.7050000000000001</v>
          </cell>
          <cell r="G1288">
            <v>10557.444</v>
          </cell>
          <cell r="H1288">
            <v>-8.2959999999999994</v>
          </cell>
        </row>
        <row r="1289">
          <cell r="C1289">
            <v>8755.7250000000004</v>
          </cell>
          <cell r="D1289">
            <v>4.569</v>
          </cell>
          <cell r="G1289">
            <v>10560.107</v>
          </cell>
          <cell r="H1289">
            <v>-8.1300000000000008</v>
          </cell>
        </row>
        <row r="1290">
          <cell r="C1290">
            <v>8758.6610000000001</v>
          </cell>
          <cell r="D1290">
            <v>4.3929999999999998</v>
          </cell>
          <cell r="G1290">
            <v>10563.089</v>
          </cell>
          <cell r="H1290">
            <v>-7.9139999999999997</v>
          </cell>
        </row>
        <row r="1291">
          <cell r="C1291">
            <v>8762.5889999999999</v>
          </cell>
          <cell r="D1291">
            <v>4.1440000000000001</v>
          </cell>
          <cell r="G1291">
            <v>10567.022999999999</v>
          </cell>
          <cell r="H1291">
            <v>-7.4619999999999997</v>
          </cell>
        </row>
        <row r="1292">
          <cell r="C1292">
            <v>8764.9330000000009</v>
          </cell>
          <cell r="D1292">
            <v>3.8140000000000001</v>
          </cell>
          <cell r="G1292">
            <v>10569.092000000001</v>
          </cell>
          <cell r="H1292">
            <v>-7.1669999999999998</v>
          </cell>
        </row>
        <row r="1293">
          <cell r="C1293">
            <v>8769.3819999999996</v>
          </cell>
          <cell r="D1293">
            <v>3.4660000000000002</v>
          </cell>
          <cell r="G1293">
            <v>10572.706</v>
          </cell>
          <cell r="H1293">
            <v>-6.6980000000000004</v>
          </cell>
        </row>
        <row r="1294">
          <cell r="C1294">
            <v>8772.89</v>
          </cell>
          <cell r="D1294">
            <v>3.339</v>
          </cell>
          <cell r="G1294">
            <v>10580.411</v>
          </cell>
          <cell r="H1294">
            <v>-5.6509999999999998</v>
          </cell>
        </row>
        <row r="1295">
          <cell r="C1295">
            <v>8777.1450000000004</v>
          </cell>
          <cell r="D1295">
            <v>3.16</v>
          </cell>
          <cell r="G1295">
            <v>10593.82</v>
          </cell>
          <cell r="H1295">
            <v>-4.3710000000000004</v>
          </cell>
        </row>
        <row r="1296">
          <cell r="C1296">
            <v>8782.0630000000001</v>
          </cell>
          <cell r="D1296">
            <v>3.1419999999999999</v>
          </cell>
          <cell r="G1296">
            <v>10622.494000000001</v>
          </cell>
          <cell r="H1296">
            <v>-2.3679999999999999</v>
          </cell>
        </row>
        <row r="1297">
          <cell r="C1297">
            <v>8785.2070000000003</v>
          </cell>
          <cell r="D1297">
            <v>3.016</v>
          </cell>
          <cell r="G1297">
            <v>10651.102000000001</v>
          </cell>
          <cell r="H1297">
            <v>-0.56299999999999994</v>
          </cell>
        </row>
        <row r="1298">
          <cell r="C1298">
            <v>8790.768</v>
          </cell>
          <cell r="D1298">
            <v>2.7650000000000001</v>
          </cell>
          <cell r="G1298">
            <v>10655.938</v>
          </cell>
          <cell r="H1298">
            <v>-0.34599999999999997</v>
          </cell>
        </row>
        <row r="1299">
          <cell r="C1299">
            <v>8794.4789999999994</v>
          </cell>
          <cell r="D1299">
            <v>2.694</v>
          </cell>
          <cell r="G1299">
            <v>10664.468000000001</v>
          </cell>
          <cell r="H1299">
            <v>-0.245</v>
          </cell>
        </row>
        <row r="1300">
          <cell r="C1300">
            <v>8800.4840000000004</v>
          </cell>
          <cell r="D1300">
            <v>2.5779999999999998</v>
          </cell>
          <cell r="G1300">
            <v>10672.523999999999</v>
          </cell>
          <cell r="H1300">
            <v>-0.16900000000000001</v>
          </cell>
        </row>
        <row r="1301">
          <cell r="C1301">
            <v>8805.6919999999991</v>
          </cell>
          <cell r="D1301">
            <v>2.37</v>
          </cell>
          <cell r="G1301">
            <v>10680.003000000001</v>
          </cell>
          <cell r="H1301">
            <v>-0.14499999999999999</v>
          </cell>
        </row>
        <row r="1302">
          <cell r="C1302">
            <v>8808.8230000000003</v>
          </cell>
          <cell r="D1302">
            <v>2.137</v>
          </cell>
          <cell r="G1302">
            <v>10683.058999999999</v>
          </cell>
          <cell r="H1302">
            <v>-0.185</v>
          </cell>
        </row>
        <row r="1303">
          <cell r="C1303">
            <v>8812.9599999999991</v>
          </cell>
          <cell r="D1303">
            <v>1.9019999999999999</v>
          </cell>
          <cell r="G1303">
            <v>10686.144</v>
          </cell>
          <cell r="H1303">
            <v>-0.27100000000000002</v>
          </cell>
        </row>
        <row r="1304">
          <cell r="C1304">
            <v>8819.1229999999996</v>
          </cell>
          <cell r="D1304">
            <v>1.85</v>
          </cell>
          <cell r="G1304">
            <v>10689.210999999999</v>
          </cell>
          <cell r="H1304">
            <v>-0.47099999999999997</v>
          </cell>
        </row>
        <row r="1305">
          <cell r="C1305">
            <v>8828.6990000000005</v>
          </cell>
          <cell r="D1305">
            <v>1.988</v>
          </cell>
          <cell r="G1305">
            <v>10692.548000000001</v>
          </cell>
          <cell r="H1305">
            <v>-0.67400000000000004</v>
          </cell>
        </row>
        <row r="1306">
          <cell r="C1306">
            <v>8834.1280000000006</v>
          </cell>
          <cell r="D1306">
            <v>2.077</v>
          </cell>
          <cell r="G1306">
            <v>10695.541999999999</v>
          </cell>
          <cell r="H1306">
            <v>-0.95099999999999996</v>
          </cell>
        </row>
        <row r="1307">
          <cell r="C1307">
            <v>8841.6329999999998</v>
          </cell>
          <cell r="D1307">
            <v>2.0019999999999998</v>
          </cell>
          <cell r="G1307">
            <v>10699.284</v>
          </cell>
          <cell r="H1307">
            <v>-1.345</v>
          </cell>
        </row>
        <row r="1308">
          <cell r="C1308">
            <v>8854.4920000000002</v>
          </cell>
          <cell r="D1308">
            <v>2.1080000000000001</v>
          </cell>
          <cell r="G1308">
            <v>10704.457</v>
          </cell>
          <cell r="H1308">
            <v>-2.028</v>
          </cell>
        </row>
        <row r="1309">
          <cell r="C1309">
            <v>8858.7189999999991</v>
          </cell>
          <cell r="D1309">
            <v>1.9119999999999999</v>
          </cell>
          <cell r="G1309">
            <v>10725.611000000001</v>
          </cell>
          <cell r="H1309">
            <v>-5.4279999999999999</v>
          </cell>
        </row>
        <row r="1310">
          <cell r="C1310">
            <v>8862.5499999999993</v>
          </cell>
          <cell r="D1310">
            <v>1.857</v>
          </cell>
          <cell r="G1310">
            <v>10737.697</v>
          </cell>
          <cell r="H1310">
            <v>-7.8019999999999996</v>
          </cell>
        </row>
        <row r="1311">
          <cell r="C1311">
            <v>8868.02</v>
          </cell>
          <cell r="D1311">
            <v>1.677</v>
          </cell>
          <cell r="G1311">
            <v>10744.277</v>
          </cell>
          <cell r="H1311">
            <v>-9.48</v>
          </cell>
        </row>
        <row r="1312">
          <cell r="C1312">
            <v>8878.4940000000006</v>
          </cell>
          <cell r="D1312">
            <v>1.5960000000000001</v>
          </cell>
          <cell r="G1312">
            <v>10750.66</v>
          </cell>
          <cell r="H1312">
            <v>-11.226000000000001</v>
          </cell>
        </row>
        <row r="1313">
          <cell r="C1313">
            <v>8894.3649999999998</v>
          </cell>
          <cell r="D1313">
            <v>1.524</v>
          </cell>
          <cell r="G1313">
            <v>10754.557000000001</v>
          </cell>
          <cell r="H1313">
            <v>-12.319000000000001</v>
          </cell>
        </row>
        <row r="1314">
          <cell r="C1314">
            <v>8907.6</v>
          </cell>
          <cell r="D1314">
            <v>1.5660000000000001</v>
          </cell>
          <cell r="G1314">
            <v>10757.629000000001</v>
          </cell>
          <cell r="H1314">
            <v>-13.093</v>
          </cell>
        </row>
        <row r="1315">
          <cell r="C1315">
            <v>8918.9959999999992</v>
          </cell>
          <cell r="D1315">
            <v>1.5629999999999999</v>
          </cell>
          <cell r="G1315">
            <v>10760.749</v>
          </cell>
          <cell r="H1315">
            <v>-13.787000000000001</v>
          </cell>
        </row>
        <row r="1316">
          <cell r="C1316">
            <v>8925.9380000000001</v>
          </cell>
          <cell r="D1316">
            <v>1.5129999999999999</v>
          </cell>
          <cell r="G1316">
            <v>10764.626</v>
          </cell>
          <cell r="H1316">
            <v>-14.507999999999999</v>
          </cell>
        </row>
        <row r="1317">
          <cell r="C1317">
            <v>8933.7659999999996</v>
          </cell>
          <cell r="D1317">
            <v>1.42</v>
          </cell>
          <cell r="G1317">
            <v>10768.434999999999</v>
          </cell>
          <cell r="H1317">
            <v>-15.156000000000001</v>
          </cell>
        </row>
        <row r="1318">
          <cell r="C1318">
            <v>8946.7099999999991</v>
          </cell>
          <cell r="D1318">
            <v>1.4690000000000001</v>
          </cell>
          <cell r="G1318">
            <v>10773.003000000001</v>
          </cell>
          <cell r="H1318">
            <v>-15.955</v>
          </cell>
        </row>
        <row r="1319">
          <cell r="C1319">
            <v>8960.3719999999994</v>
          </cell>
          <cell r="D1319">
            <v>1.518</v>
          </cell>
          <cell r="G1319">
            <v>10782.575999999999</v>
          </cell>
          <cell r="H1319">
            <v>-16.856999999999999</v>
          </cell>
        </row>
        <row r="1320">
          <cell r="C1320">
            <v>8974.8140000000003</v>
          </cell>
          <cell r="D1320">
            <v>1.427</v>
          </cell>
          <cell r="G1320">
            <v>10788.832</v>
          </cell>
          <cell r="H1320">
            <v>-17.395</v>
          </cell>
        </row>
        <row r="1321">
          <cell r="C1321">
            <v>8983.8220000000001</v>
          </cell>
          <cell r="D1321">
            <v>1.403</v>
          </cell>
          <cell r="G1321">
            <v>10793.333000000001</v>
          </cell>
          <cell r="H1321">
            <v>-17.486000000000001</v>
          </cell>
        </row>
        <row r="1322">
          <cell r="C1322">
            <v>8995.2649999999994</v>
          </cell>
          <cell r="D1322">
            <v>1.4610000000000001</v>
          </cell>
          <cell r="G1322">
            <v>10797.691999999999</v>
          </cell>
          <cell r="H1322">
            <v>-17.388000000000002</v>
          </cell>
        </row>
        <row r="1323">
          <cell r="C1323">
            <v>9006.6990000000005</v>
          </cell>
          <cell r="D1323">
            <v>1.339</v>
          </cell>
          <cell r="G1323">
            <v>10799.45</v>
          </cell>
          <cell r="H1323">
            <v>-17.190000000000001</v>
          </cell>
        </row>
        <row r="1324">
          <cell r="C1324">
            <v>9018.6219999999994</v>
          </cell>
          <cell r="D1324">
            <v>1.298</v>
          </cell>
          <cell r="G1324">
            <v>10805.197</v>
          </cell>
          <cell r="H1324">
            <v>-16.518000000000001</v>
          </cell>
        </row>
        <row r="1325">
          <cell r="C1325">
            <v>9030.8130000000001</v>
          </cell>
          <cell r="D1325">
            <v>1.022</v>
          </cell>
          <cell r="G1325">
            <v>10808.798000000001</v>
          </cell>
          <cell r="H1325">
            <v>-16.111999999999998</v>
          </cell>
        </row>
        <row r="1326">
          <cell r="C1326">
            <v>9039.3700000000008</v>
          </cell>
          <cell r="D1326">
            <v>0.44</v>
          </cell>
          <cell r="G1326">
            <v>10814.01</v>
          </cell>
          <cell r="H1326">
            <v>-14.986000000000001</v>
          </cell>
        </row>
        <row r="1327">
          <cell r="C1327">
            <v>9046.3289999999997</v>
          </cell>
          <cell r="D1327">
            <v>-0.312</v>
          </cell>
          <cell r="G1327">
            <v>10820.273999999999</v>
          </cell>
          <cell r="H1327">
            <v>-13.584</v>
          </cell>
        </row>
        <row r="1328">
          <cell r="C1328">
            <v>9050.14</v>
          </cell>
          <cell r="D1328">
            <v>-0.78700000000000003</v>
          </cell>
          <cell r="G1328">
            <v>10831.664000000001</v>
          </cell>
          <cell r="H1328">
            <v>-11.492000000000001</v>
          </cell>
        </row>
        <row r="1329">
          <cell r="C1329">
            <v>9058.7620000000006</v>
          </cell>
          <cell r="D1329">
            <v>-2.0350000000000001</v>
          </cell>
          <cell r="G1329">
            <v>10846.831</v>
          </cell>
          <cell r="H1329">
            <v>-9.2260000000000009</v>
          </cell>
        </row>
        <row r="1330">
          <cell r="C1330">
            <v>9063.8220000000001</v>
          </cell>
          <cell r="D1330">
            <v>-2.9710000000000001</v>
          </cell>
          <cell r="G1330">
            <v>10861.33</v>
          </cell>
          <cell r="H1330">
            <v>-7.1639999999999997</v>
          </cell>
        </row>
        <row r="1331">
          <cell r="C1331">
            <v>9067.9470000000001</v>
          </cell>
          <cell r="D1331">
            <v>-3.7639999999999998</v>
          </cell>
          <cell r="G1331">
            <v>10889.526</v>
          </cell>
          <cell r="H1331">
            <v>-2.9409999999999998</v>
          </cell>
        </row>
        <row r="1332">
          <cell r="C1332">
            <v>9071.0580000000009</v>
          </cell>
          <cell r="D1332">
            <v>-4.4139999999999997</v>
          </cell>
          <cell r="G1332">
            <v>10898.362999999999</v>
          </cell>
          <cell r="H1332">
            <v>-0.97699999999999998</v>
          </cell>
        </row>
        <row r="1333">
          <cell r="C1333">
            <v>9073.4290000000001</v>
          </cell>
          <cell r="D1333">
            <v>-4.8620000000000001</v>
          </cell>
          <cell r="G1333">
            <v>10906.156999999999</v>
          </cell>
          <cell r="H1333">
            <v>1.343</v>
          </cell>
        </row>
        <row r="1334">
          <cell r="C1334">
            <v>9076.3989999999994</v>
          </cell>
          <cell r="D1334">
            <v>-5.4809999999999999</v>
          </cell>
          <cell r="G1334">
            <v>10915.726000000001</v>
          </cell>
          <cell r="H1334">
            <v>5.44</v>
          </cell>
        </row>
        <row r="1335">
          <cell r="C1335">
            <v>9079.4830000000002</v>
          </cell>
          <cell r="D1335">
            <v>-6.056</v>
          </cell>
          <cell r="G1335">
            <v>10919.475</v>
          </cell>
          <cell r="H1335">
            <v>7.3760000000000003</v>
          </cell>
        </row>
        <row r="1336">
          <cell r="C1336">
            <v>9083.5640000000003</v>
          </cell>
          <cell r="D1336">
            <v>-6.7290000000000001</v>
          </cell>
          <cell r="G1336">
            <v>10922.255999999999</v>
          </cell>
          <cell r="H1336">
            <v>8.7910000000000004</v>
          </cell>
        </row>
        <row r="1337">
          <cell r="C1337">
            <v>9087.7559999999994</v>
          </cell>
          <cell r="D1337">
            <v>-7.4269999999999996</v>
          </cell>
          <cell r="G1337">
            <v>10925.384</v>
          </cell>
          <cell r="H1337">
            <v>10.477</v>
          </cell>
        </row>
        <row r="1338">
          <cell r="C1338">
            <v>9091.1620000000003</v>
          </cell>
          <cell r="D1338">
            <v>-7.9</v>
          </cell>
          <cell r="G1338">
            <v>10929.5</v>
          </cell>
          <cell r="H1338">
            <v>12.622</v>
          </cell>
        </row>
        <row r="1339">
          <cell r="C1339">
            <v>9094.2180000000008</v>
          </cell>
          <cell r="D1339">
            <v>-8.4440000000000008</v>
          </cell>
          <cell r="G1339">
            <v>10933.275</v>
          </cell>
          <cell r="H1339">
            <v>14.396000000000001</v>
          </cell>
        </row>
        <row r="1340">
          <cell r="C1340">
            <v>9097.5910000000003</v>
          </cell>
          <cell r="D1340">
            <v>-8.8439999999999994</v>
          </cell>
          <cell r="G1340">
            <v>10937.572</v>
          </cell>
          <cell r="H1340">
            <v>16.402000000000001</v>
          </cell>
        </row>
        <row r="1341">
          <cell r="C1341">
            <v>9102.3320000000003</v>
          </cell>
          <cell r="D1341">
            <v>-9.4920000000000009</v>
          </cell>
          <cell r="G1341">
            <v>10941.712</v>
          </cell>
          <cell r="H1341">
            <v>18.263999999999999</v>
          </cell>
        </row>
        <row r="1342">
          <cell r="C1342">
            <v>9104.36</v>
          </cell>
          <cell r="D1342">
            <v>-9.7149999999999999</v>
          </cell>
          <cell r="G1342">
            <v>10945.902</v>
          </cell>
          <cell r="H1342">
            <v>19.722000000000001</v>
          </cell>
        </row>
        <row r="1343">
          <cell r="C1343">
            <v>9107.348</v>
          </cell>
          <cell r="D1343">
            <v>-9.9870000000000001</v>
          </cell>
          <cell r="G1343">
            <v>10952.388000000001</v>
          </cell>
          <cell r="H1343">
            <v>22.302</v>
          </cell>
        </row>
        <row r="1344">
          <cell r="C1344">
            <v>9109.991</v>
          </cell>
          <cell r="D1344">
            <v>-10.314</v>
          </cell>
          <cell r="G1344">
            <v>10956.119000000001</v>
          </cell>
          <cell r="H1344">
            <v>23.349</v>
          </cell>
        </row>
        <row r="1345">
          <cell r="C1345">
            <v>9112.64</v>
          </cell>
          <cell r="D1345">
            <v>-10.54</v>
          </cell>
          <cell r="G1345">
            <v>10961.209000000001</v>
          </cell>
          <cell r="H1345">
            <v>24.193999999999999</v>
          </cell>
        </row>
        <row r="1346">
          <cell r="C1346">
            <v>9117.3169999999991</v>
          </cell>
          <cell r="D1346">
            <v>-11.000999999999999</v>
          </cell>
          <cell r="G1346">
            <v>10965.474</v>
          </cell>
          <cell r="H1346">
            <v>24.547999999999998</v>
          </cell>
        </row>
        <row r="1347">
          <cell r="C1347">
            <v>9120.5310000000009</v>
          </cell>
          <cell r="D1347">
            <v>-11.279</v>
          </cell>
          <cell r="G1347">
            <v>10969.296</v>
          </cell>
          <cell r="H1347">
            <v>24.542999999999999</v>
          </cell>
        </row>
        <row r="1348">
          <cell r="C1348">
            <v>9122.7939999999999</v>
          </cell>
          <cell r="D1348">
            <v>-11.29</v>
          </cell>
          <cell r="G1348">
            <v>10973.75</v>
          </cell>
          <cell r="H1348">
            <v>24.524999999999999</v>
          </cell>
        </row>
        <row r="1349">
          <cell r="C1349">
            <v>9123.8250000000007</v>
          </cell>
          <cell r="D1349">
            <v>-11.292</v>
          </cell>
          <cell r="G1349">
            <v>10978.032999999999</v>
          </cell>
          <cell r="H1349">
            <v>24.349</v>
          </cell>
        </row>
        <row r="1350">
          <cell r="C1350">
            <v>9130.6409999999996</v>
          </cell>
          <cell r="D1350">
            <v>-11.273</v>
          </cell>
          <cell r="G1350">
            <v>10982.305</v>
          </cell>
          <cell r="H1350">
            <v>23.806999999999999</v>
          </cell>
        </row>
        <row r="1351">
          <cell r="C1351">
            <v>9135.8559999999998</v>
          </cell>
          <cell r="D1351">
            <v>-11.843999999999999</v>
          </cell>
          <cell r="G1351">
            <v>10986.871999999999</v>
          </cell>
          <cell r="H1351">
            <v>22.841000000000001</v>
          </cell>
        </row>
        <row r="1352">
          <cell r="C1352">
            <v>9139.7150000000001</v>
          </cell>
          <cell r="D1352">
            <v>-11.741</v>
          </cell>
          <cell r="G1352">
            <v>10990.651</v>
          </cell>
          <cell r="H1352">
            <v>21.867999999999999</v>
          </cell>
        </row>
        <row r="1353">
          <cell r="C1353">
            <v>9144.7710000000006</v>
          </cell>
          <cell r="D1353">
            <v>-11.423999999999999</v>
          </cell>
          <cell r="G1353">
            <v>10995.114</v>
          </cell>
          <cell r="H1353">
            <v>20.388999999999999</v>
          </cell>
        </row>
        <row r="1354">
          <cell r="C1354">
            <v>9152.5329999999994</v>
          </cell>
          <cell r="D1354">
            <v>-10.539</v>
          </cell>
          <cell r="G1354">
            <v>10998.601000000001</v>
          </cell>
          <cell r="H1354">
            <v>19.013999999999999</v>
          </cell>
        </row>
        <row r="1355">
          <cell r="C1355">
            <v>9154.0750000000007</v>
          </cell>
          <cell r="D1355">
            <v>-10.281000000000001</v>
          </cell>
          <cell r="G1355">
            <v>11001.957</v>
          </cell>
          <cell r="H1355">
            <v>17.530999999999999</v>
          </cell>
        </row>
        <row r="1356">
          <cell r="C1356">
            <v>9156.5619999999999</v>
          </cell>
          <cell r="D1356">
            <v>-9.8170000000000002</v>
          </cell>
          <cell r="G1356">
            <v>11004.585999999999</v>
          </cell>
          <cell r="H1356">
            <v>16.305</v>
          </cell>
        </row>
        <row r="1357">
          <cell r="C1357">
            <v>9160.09</v>
          </cell>
          <cell r="D1357">
            <v>-9.1669999999999998</v>
          </cell>
          <cell r="G1357">
            <v>11007.181</v>
          </cell>
          <cell r="H1357">
            <v>15.016999999999999</v>
          </cell>
        </row>
        <row r="1358">
          <cell r="C1358">
            <v>9164.5589999999993</v>
          </cell>
          <cell r="D1358">
            <v>-8.1690000000000005</v>
          </cell>
          <cell r="G1358">
            <v>11010.081</v>
          </cell>
          <cell r="H1358">
            <v>13.436999999999999</v>
          </cell>
        </row>
        <row r="1359">
          <cell r="C1359">
            <v>9169.4</v>
          </cell>
          <cell r="D1359">
            <v>-6.9619999999999997</v>
          </cell>
          <cell r="G1359">
            <v>11013.838</v>
          </cell>
          <cell r="H1359">
            <v>11.478</v>
          </cell>
        </row>
        <row r="1360">
          <cell r="C1360">
            <v>9179.0429999999997</v>
          </cell>
          <cell r="D1360">
            <v>-3.7989999999999999</v>
          </cell>
          <cell r="G1360">
            <v>11017.977999999999</v>
          </cell>
          <cell r="H1360">
            <v>9.3849999999999998</v>
          </cell>
        </row>
        <row r="1361">
          <cell r="C1361">
            <v>9186.4989999999998</v>
          </cell>
          <cell r="D1361">
            <v>-1.224</v>
          </cell>
          <cell r="G1361">
            <v>11025.248</v>
          </cell>
          <cell r="H1361">
            <v>6.4859999999999998</v>
          </cell>
        </row>
        <row r="1362">
          <cell r="C1362">
            <v>9194.3040000000001</v>
          </cell>
          <cell r="D1362">
            <v>1.8460000000000001</v>
          </cell>
          <cell r="G1362">
            <v>11031.486000000001</v>
          </cell>
          <cell r="H1362">
            <v>4.492</v>
          </cell>
        </row>
        <row r="1363">
          <cell r="C1363">
            <v>9202.2710000000006</v>
          </cell>
          <cell r="D1363">
            <v>5.4359999999999999</v>
          </cell>
          <cell r="G1363">
            <v>11039.718000000001</v>
          </cell>
          <cell r="H1363">
            <v>2.5099999999999998</v>
          </cell>
        </row>
        <row r="1364">
          <cell r="C1364">
            <v>9208.8160000000007</v>
          </cell>
          <cell r="D1364">
            <v>8.6370000000000005</v>
          </cell>
          <cell r="G1364">
            <v>11054.09</v>
          </cell>
          <cell r="H1364">
            <v>4.4999999999999998E-2</v>
          </cell>
        </row>
        <row r="1365">
          <cell r="C1365">
            <v>9215.56</v>
          </cell>
          <cell r="D1365">
            <v>12.429</v>
          </cell>
          <cell r="G1365">
            <v>11060.12</v>
          </cell>
          <cell r="H1365">
            <v>-0.61299999999999999</v>
          </cell>
        </row>
        <row r="1366">
          <cell r="C1366">
            <v>9219.8410000000003</v>
          </cell>
          <cell r="D1366">
            <v>15.117000000000001</v>
          </cell>
          <cell r="G1366">
            <v>11079.195</v>
          </cell>
          <cell r="H1366">
            <v>-2.4239999999999999</v>
          </cell>
        </row>
        <row r="1367">
          <cell r="C1367">
            <v>9222.2139999999999</v>
          </cell>
          <cell r="D1367">
            <v>16.57</v>
          </cell>
          <cell r="G1367">
            <v>11085.33</v>
          </cell>
          <cell r="H1367">
            <v>-3.286</v>
          </cell>
        </row>
        <row r="1368">
          <cell r="C1368">
            <v>9223.3330000000005</v>
          </cell>
          <cell r="D1368">
            <v>17.367999999999999</v>
          </cell>
          <cell r="G1368">
            <v>11098</v>
          </cell>
          <cell r="H1368">
            <v>-5.6479999999999997</v>
          </cell>
        </row>
        <row r="1369">
          <cell r="C1369">
            <v>9224.59</v>
          </cell>
          <cell r="D1369">
            <v>18.210999999999999</v>
          </cell>
          <cell r="G1369">
            <v>11103.65</v>
          </cell>
          <cell r="H1369">
            <v>-6.8159999999999998</v>
          </cell>
        </row>
        <row r="1370">
          <cell r="C1370">
            <v>9226.2469999999994</v>
          </cell>
          <cell r="D1370">
            <v>19.291</v>
          </cell>
          <cell r="G1370">
            <v>11107.534</v>
          </cell>
          <cell r="H1370">
            <v>-7.5380000000000003</v>
          </cell>
        </row>
        <row r="1371">
          <cell r="C1371">
            <v>9227.3870000000006</v>
          </cell>
          <cell r="D1371">
            <v>19.940999999999999</v>
          </cell>
          <cell r="G1371">
            <v>11112.071</v>
          </cell>
          <cell r="H1371">
            <v>-8.2240000000000002</v>
          </cell>
        </row>
        <row r="1372">
          <cell r="C1372">
            <v>9229.0490000000009</v>
          </cell>
          <cell r="D1372">
            <v>20.814</v>
          </cell>
          <cell r="G1372">
            <v>11116.09</v>
          </cell>
          <cell r="H1372">
            <v>-8.84</v>
          </cell>
        </row>
        <row r="1373">
          <cell r="C1373">
            <v>9230.0310000000009</v>
          </cell>
          <cell r="D1373">
            <v>21.347999999999999</v>
          </cell>
          <cell r="G1373">
            <v>11120.227000000001</v>
          </cell>
          <cell r="H1373">
            <v>-9.4510000000000005</v>
          </cell>
        </row>
        <row r="1374">
          <cell r="C1374">
            <v>9231.9040000000005</v>
          </cell>
          <cell r="D1374">
            <v>22.283000000000001</v>
          </cell>
          <cell r="G1374">
            <v>11124.476000000001</v>
          </cell>
          <cell r="H1374">
            <v>-9.9930000000000003</v>
          </cell>
        </row>
        <row r="1375">
          <cell r="C1375">
            <v>9234.2980000000007</v>
          </cell>
          <cell r="D1375">
            <v>23.332999999999998</v>
          </cell>
          <cell r="G1375">
            <v>11127.091</v>
          </cell>
          <cell r="H1375">
            <v>-10.416</v>
          </cell>
        </row>
        <row r="1376">
          <cell r="C1376">
            <v>9236.2780000000002</v>
          </cell>
          <cell r="D1376">
            <v>24.190999999999999</v>
          </cell>
          <cell r="G1376">
            <v>11130.165000000001</v>
          </cell>
          <cell r="H1376">
            <v>-10.727</v>
          </cell>
        </row>
        <row r="1377">
          <cell r="C1377">
            <v>9237.3539999999994</v>
          </cell>
          <cell r="D1377">
            <v>24.654</v>
          </cell>
          <cell r="G1377">
            <v>11140.26</v>
          </cell>
          <cell r="H1377">
            <v>-10.943</v>
          </cell>
        </row>
        <row r="1378">
          <cell r="C1378">
            <v>9239.4580000000005</v>
          </cell>
          <cell r="D1378">
            <v>25.507999999999999</v>
          </cell>
          <cell r="G1378">
            <v>11145.066000000001</v>
          </cell>
          <cell r="H1378">
            <v>-10.964</v>
          </cell>
        </row>
        <row r="1379">
          <cell r="C1379">
            <v>9240.5660000000007</v>
          </cell>
          <cell r="D1379">
            <v>25.835999999999999</v>
          </cell>
          <cell r="G1379">
            <v>11148.446</v>
          </cell>
          <cell r="H1379">
            <v>-10.836</v>
          </cell>
        </row>
        <row r="1380">
          <cell r="C1380">
            <v>9243.3050000000003</v>
          </cell>
          <cell r="D1380">
            <v>26.664000000000001</v>
          </cell>
          <cell r="G1380">
            <v>11151.218000000001</v>
          </cell>
          <cell r="H1380">
            <v>-10.715999999999999</v>
          </cell>
        </row>
        <row r="1381">
          <cell r="C1381">
            <v>9244.7170000000006</v>
          </cell>
          <cell r="D1381">
            <v>27.018999999999998</v>
          </cell>
          <cell r="G1381">
            <v>11154.001</v>
          </cell>
          <cell r="H1381">
            <v>-10.548999999999999</v>
          </cell>
        </row>
        <row r="1382">
          <cell r="C1382">
            <v>9245.8580000000002</v>
          </cell>
          <cell r="D1382">
            <v>27.356999999999999</v>
          </cell>
          <cell r="G1382">
            <v>11157.867</v>
          </cell>
          <cell r="H1382">
            <v>-10.317</v>
          </cell>
        </row>
        <row r="1383">
          <cell r="C1383">
            <v>9247.41</v>
          </cell>
          <cell r="D1383">
            <v>27.646999999999998</v>
          </cell>
          <cell r="G1383">
            <v>11161.333000000001</v>
          </cell>
          <cell r="H1383">
            <v>-9.9130000000000003</v>
          </cell>
        </row>
        <row r="1384">
          <cell r="C1384">
            <v>9249.1209999999992</v>
          </cell>
          <cell r="D1384">
            <v>27.943999999999999</v>
          </cell>
          <cell r="G1384">
            <v>11164.764999999999</v>
          </cell>
          <cell r="H1384">
            <v>-9.5589999999999993</v>
          </cell>
        </row>
        <row r="1385">
          <cell r="C1385">
            <v>9251.2819999999992</v>
          </cell>
          <cell r="D1385">
            <v>28.268999999999998</v>
          </cell>
          <cell r="G1385">
            <v>11168.232</v>
          </cell>
          <cell r="H1385">
            <v>-9.0779999999999994</v>
          </cell>
        </row>
        <row r="1386">
          <cell r="C1386">
            <v>9253.3469999999998</v>
          </cell>
          <cell r="D1386">
            <v>28.594999999999999</v>
          </cell>
          <cell r="G1386">
            <v>11172.105</v>
          </cell>
          <cell r="H1386">
            <v>-8.32</v>
          </cell>
        </row>
        <row r="1387">
          <cell r="C1387">
            <v>9255.8410000000003</v>
          </cell>
          <cell r="D1387">
            <v>28.91</v>
          </cell>
          <cell r="G1387">
            <v>11177.450999999999</v>
          </cell>
          <cell r="H1387">
            <v>-6.9870000000000001</v>
          </cell>
        </row>
        <row r="1388">
          <cell r="C1388">
            <v>9257.4130000000005</v>
          </cell>
          <cell r="D1388">
            <v>29.091999999999999</v>
          </cell>
          <cell r="G1388">
            <v>11181.624</v>
          </cell>
          <cell r="H1388">
            <v>-6.1269999999999998</v>
          </cell>
        </row>
        <row r="1389">
          <cell r="C1389">
            <v>9259.2109999999993</v>
          </cell>
          <cell r="D1389">
            <v>29.27</v>
          </cell>
          <cell r="G1389">
            <v>11184.64</v>
          </cell>
          <cell r="H1389">
            <v>-5.6769999999999996</v>
          </cell>
        </row>
        <row r="1390">
          <cell r="C1390">
            <v>9260.6810000000005</v>
          </cell>
          <cell r="D1390">
            <v>29.356999999999999</v>
          </cell>
          <cell r="G1390">
            <v>11191.391</v>
          </cell>
          <cell r="H1390">
            <v>-4.8140000000000001</v>
          </cell>
        </row>
        <row r="1391">
          <cell r="C1391">
            <v>9261.8289999999997</v>
          </cell>
          <cell r="D1391">
            <v>29.393000000000001</v>
          </cell>
          <cell r="G1391">
            <v>11207.093999999999</v>
          </cell>
          <cell r="H1391">
            <v>-4.7510000000000003</v>
          </cell>
        </row>
        <row r="1392">
          <cell r="C1392">
            <v>9262.8150000000005</v>
          </cell>
          <cell r="D1392">
            <v>29.4</v>
          </cell>
          <cell r="G1392">
            <v>11207.093999999999</v>
          </cell>
          <cell r="H1392">
            <v>-4.7510000000000003</v>
          </cell>
        </row>
        <row r="1393">
          <cell r="C1393">
            <v>9264.3510000000006</v>
          </cell>
          <cell r="D1393">
            <v>29.42</v>
          </cell>
          <cell r="G1393">
            <v>11210.388000000001</v>
          </cell>
          <cell r="H1393">
            <v>-5.024</v>
          </cell>
        </row>
        <row r="1394">
          <cell r="C1394">
            <v>9265.6419999999998</v>
          </cell>
          <cell r="D1394">
            <v>29.390999999999998</v>
          </cell>
          <cell r="G1394">
            <v>11213.692999999999</v>
          </cell>
          <cell r="H1394">
            <v>-5.6139999999999999</v>
          </cell>
        </row>
        <row r="1395">
          <cell r="C1395">
            <v>9267.1049999999996</v>
          </cell>
          <cell r="D1395">
            <v>29.364999999999998</v>
          </cell>
          <cell r="G1395">
            <v>11217.002</v>
          </cell>
          <cell r="H1395">
            <v>-6.2009999999999996</v>
          </cell>
        </row>
        <row r="1396">
          <cell r="C1396">
            <v>9268.4159999999993</v>
          </cell>
          <cell r="D1396">
            <v>29.324000000000002</v>
          </cell>
          <cell r="G1396">
            <v>11219.657999999999</v>
          </cell>
          <cell r="H1396">
            <v>-6.5730000000000004</v>
          </cell>
        </row>
        <row r="1397">
          <cell r="C1397">
            <v>9269.7009999999991</v>
          </cell>
          <cell r="D1397">
            <v>29.233000000000001</v>
          </cell>
          <cell r="G1397">
            <v>11222.757</v>
          </cell>
          <cell r="H1397">
            <v>-6.8140000000000001</v>
          </cell>
        </row>
        <row r="1398">
          <cell r="C1398">
            <v>9270.5840000000007</v>
          </cell>
          <cell r="D1398">
            <v>29.119</v>
          </cell>
          <cell r="G1398">
            <v>11225.361999999999</v>
          </cell>
          <cell r="H1398">
            <v>-7.1790000000000003</v>
          </cell>
        </row>
        <row r="1399">
          <cell r="C1399">
            <v>9273.3719999999994</v>
          </cell>
          <cell r="D1399">
            <v>28.826000000000001</v>
          </cell>
          <cell r="G1399">
            <v>11227.656999999999</v>
          </cell>
          <cell r="H1399">
            <v>-7.2389999999999999</v>
          </cell>
        </row>
        <row r="1400">
          <cell r="C1400">
            <v>9275.2309999999998</v>
          </cell>
          <cell r="D1400">
            <v>28.533000000000001</v>
          </cell>
          <cell r="G1400">
            <v>11231.269</v>
          </cell>
          <cell r="H1400">
            <v>-7.3659999999999997</v>
          </cell>
        </row>
        <row r="1401">
          <cell r="C1401">
            <v>9276.7289999999994</v>
          </cell>
          <cell r="D1401">
            <v>28.251000000000001</v>
          </cell>
          <cell r="G1401">
            <v>11234.236999999999</v>
          </cell>
          <cell r="H1401">
            <v>-7.6420000000000003</v>
          </cell>
        </row>
        <row r="1402">
          <cell r="C1402">
            <v>9279.0040000000008</v>
          </cell>
          <cell r="D1402">
            <v>27.870999999999999</v>
          </cell>
          <cell r="G1402">
            <v>11237.82</v>
          </cell>
          <cell r="H1402">
            <v>-7.7619999999999996</v>
          </cell>
        </row>
        <row r="1403">
          <cell r="C1403">
            <v>9281.9230000000007</v>
          </cell>
          <cell r="D1403">
            <v>27.27</v>
          </cell>
          <cell r="G1403">
            <v>11243.844999999999</v>
          </cell>
          <cell r="H1403">
            <v>-8.0890000000000004</v>
          </cell>
        </row>
        <row r="1404">
          <cell r="C1404">
            <v>9284.6229999999996</v>
          </cell>
          <cell r="D1404">
            <v>26.545999999999999</v>
          </cell>
          <cell r="G1404">
            <v>11248.335999999999</v>
          </cell>
          <cell r="H1404">
            <v>-8.5229999999999997</v>
          </cell>
        </row>
        <row r="1405">
          <cell r="C1405">
            <v>9286.7070000000003</v>
          </cell>
          <cell r="D1405">
            <v>25.937999999999999</v>
          </cell>
          <cell r="G1405">
            <v>11252.214</v>
          </cell>
          <cell r="H1405">
            <v>-8.6069999999999993</v>
          </cell>
        </row>
        <row r="1406">
          <cell r="C1406">
            <v>9287.6820000000007</v>
          </cell>
          <cell r="D1406">
            <v>25.641999999999999</v>
          </cell>
          <cell r="G1406">
            <v>11256.361000000001</v>
          </cell>
          <cell r="H1406">
            <v>-8.6479999999999997</v>
          </cell>
        </row>
        <row r="1407">
          <cell r="C1407">
            <v>9289.1880000000001</v>
          </cell>
          <cell r="D1407">
            <v>25.119</v>
          </cell>
          <cell r="G1407">
            <v>11261.459000000001</v>
          </cell>
          <cell r="H1407">
            <v>-8.6859999999999999</v>
          </cell>
        </row>
        <row r="1408">
          <cell r="C1408">
            <v>9290.8829999999998</v>
          </cell>
          <cell r="D1408">
            <v>24.536000000000001</v>
          </cell>
          <cell r="G1408">
            <v>11264.998</v>
          </cell>
          <cell r="H1408">
            <v>-8.6910000000000007</v>
          </cell>
        </row>
        <row r="1409">
          <cell r="C1409">
            <v>9293.0840000000007</v>
          </cell>
          <cell r="D1409">
            <v>23.745000000000001</v>
          </cell>
          <cell r="G1409">
            <v>11268.075000000001</v>
          </cell>
          <cell r="H1409">
            <v>-8.5380000000000003</v>
          </cell>
        </row>
        <row r="1410">
          <cell r="C1410">
            <v>9295.7780000000002</v>
          </cell>
          <cell r="D1410">
            <v>22.632000000000001</v>
          </cell>
          <cell r="G1410">
            <v>11271.406999999999</v>
          </cell>
          <cell r="H1410">
            <v>-8.4390000000000001</v>
          </cell>
        </row>
        <row r="1411">
          <cell r="C1411">
            <v>9296.8289999999997</v>
          </cell>
          <cell r="D1411">
            <v>22.193999999999999</v>
          </cell>
          <cell r="G1411">
            <v>11274.376</v>
          </cell>
          <cell r="H1411">
            <v>-8.1240000000000006</v>
          </cell>
        </row>
        <row r="1412">
          <cell r="C1412">
            <v>9298.4770000000008</v>
          </cell>
          <cell r="D1412">
            <v>21.352</v>
          </cell>
          <cell r="G1412">
            <v>11277.352000000001</v>
          </cell>
          <cell r="H1412">
            <v>-7.6779999999999999</v>
          </cell>
        </row>
        <row r="1413">
          <cell r="C1413">
            <v>9300.5630000000001</v>
          </cell>
          <cell r="D1413">
            <v>20.341999999999999</v>
          </cell>
          <cell r="G1413">
            <v>11281.998</v>
          </cell>
          <cell r="H1413">
            <v>-7.08</v>
          </cell>
        </row>
        <row r="1414">
          <cell r="C1414">
            <v>9302.991</v>
          </cell>
          <cell r="D1414">
            <v>19.03</v>
          </cell>
          <cell r="G1414">
            <v>11288.862999999999</v>
          </cell>
          <cell r="H1414">
            <v>-6.2279999999999998</v>
          </cell>
        </row>
        <row r="1415">
          <cell r="C1415">
            <v>9305.8940000000002</v>
          </cell>
          <cell r="D1415">
            <v>17.498999999999999</v>
          </cell>
          <cell r="G1415">
            <v>11304.22</v>
          </cell>
          <cell r="H1415">
            <v>-4.9400000000000004</v>
          </cell>
        </row>
        <row r="1416">
          <cell r="C1416">
            <v>9307.5930000000008</v>
          </cell>
          <cell r="D1416">
            <v>16.567</v>
          </cell>
          <cell r="G1416">
            <v>11316.145</v>
          </cell>
          <cell r="H1416">
            <v>-4.2779999999999996</v>
          </cell>
        </row>
        <row r="1417">
          <cell r="C1417">
            <v>9311.3259999999991</v>
          </cell>
          <cell r="D1417">
            <v>14.627000000000001</v>
          </cell>
          <cell r="G1417">
            <v>11318.822</v>
          </cell>
          <cell r="H1417">
            <v>-4.3529999999999998</v>
          </cell>
        </row>
        <row r="1418">
          <cell r="C1418">
            <v>9314.8799999999992</v>
          </cell>
          <cell r="D1418">
            <v>12.837999999999999</v>
          </cell>
          <cell r="G1418">
            <v>11321.15</v>
          </cell>
          <cell r="H1418">
            <v>-4.407</v>
          </cell>
        </row>
        <row r="1419">
          <cell r="C1419">
            <v>9322.0149999999994</v>
          </cell>
          <cell r="D1419">
            <v>9.7390000000000008</v>
          </cell>
          <cell r="G1419">
            <v>11326.062</v>
          </cell>
          <cell r="H1419">
            <v>-4.6130000000000004</v>
          </cell>
        </row>
        <row r="1420">
          <cell r="C1420">
            <v>9328.3119999999999</v>
          </cell>
          <cell r="D1420">
            <v>7.641</v>
          </cell>
          <cell r="G1420">
            <v>11326.062</v>
          </cell>
          <cell r="H1420">
            <v>-4.6130000000000004</v>
          </cell>
        </row>
        <row r="1421">
          <cell r="C1421">
            <v>9331.3950000000004</v>
          </cell>
          <cell r="D1421">
            <v>6.7220000000000004</v>
          </cell>
          <cell r="G1421">
            <v>11336.539000000001</v>
          </cell>
          <cell r="H1421">
            <v>-4.907</v>
          </cell>
        </row>
        <row r="1422">
          <cell r="C1422">
            <v>9336.7250000000004</v>
          </cell>
          <cell r="D1422">
            <v>5.4740000000000002</v>
          </cell>
          <cell r="G1422">
            <v>11339.888999999999</v>
          </cell>
          <cell r="H1422">
            <v>-5.0529999999999999</v>
          </cell>
        </row>
        <row r="1423">
          <cell r="C1423">
            <v>9340.241</v>
          </cell>
          <cell r="D1423">
            <v>4.7670000000000003</v>
          </cell>
          <cell r="G1423">
            <v>11342.576999999999</v>
          </cell>
          <cell r="H1423">
            <v>-5.3849999999999998</v>
          </cell>
        </row>
        <row r="1424">
          <cell r="C1424">
            <v>9348.2630000000008</v>
          </cell>
          <cell r="D1424">
            <v>3.5249999999999999</v>
          </cell>
          <cell r="G1424">
            <v>11345.237999999999</v>
          </cell>
          <cell r="H1424">
            <v>-5.4189999999999996</v>
          </cell>
        </row>
        <row r="1425">
          <cell r="C1425">
            <v>9350.4189999999999</v>
          </cell>
          <cell r="D1425">
            <v>3.3330000000000002</v>
          </cell>
          <cell r="G1425">
            <v>11345.262000000001</v>
          </cell>
          <cell r="H1425">
            <v>-5.4390000000000001</v>
          </cell>
        </row>
        <row r="1426">
          <cell r="C1426">
            <v>9356.5589999999993</v>
          </cell>
          <cell r="D1426">
            <v>2.9860000000000002</v>
          </cell>
          <cell r="G1426">
            <v>11353.984</v>
          </cell>
          <cell r="H1426">
            <v>-5.032</v>
          </cell>
        </row>
        <row r="1427">
          <cell r="C1427">
            <v>9362.4689999999991</v>
          </cell>
          <cell r="D1427">
            <v>2.919</v>
          </cell>
          <cell r="G1427">
            <v>11362.706</v>
          </cell>
          <cell r="H1427">
            <v>-4.5599999999999996</v>
          </cell>
        </row>
        <row r="1428">
          <cell r="C1428">
            <v>9369.7450000000008</v>
          </cell>
          <cell r="D1428">
            <v>3.1669999999999998</v>
          </cell>
          <cell r="G1428">
            <v>11366.173000000001</v>
          </cell>
          <cell r="H1428">
            <v>-4.5129999999999999</v>
          </cell>
        </row>
        <row r="1429">
          <cell r="C1429">
            <v>9375.4320000000007</v>
          </cell>
          <cell r="D1429">
            <v>3.6360000000000001</v>
          </cell>
          <cell r="G1429">
            <v>11366.737999999999</v>
          </cell>
          <cell r="H1429">
            <v>-3.8780000000000001</v>
          </cell>
        </row>
        <row r="1430">
          <cell r="C1430">
            <v>9386.8880000000008</v>
          </cell>
          <cell r="D1430">
            <v>5.0469999999999997</v>
          </cell>
          <cell r="G1430">
            <v>11371.879000000001</v>
          </cell>
          <cell r="H1430">
            <v>-3.6920000000000002</v>
          </cell>
        </row>
        <row r="1431">
          <cell r="C1431">
            <v>9400.0429999999997</v>
          </cell>
          <cell r="D1431">
            <v>7.2359999999999998</v>
          </cell>
          <cell r="G1431">
            <v>11387.441999999999</v>
          </cell>
          <cell r="H1431">
            <v>-3.27</v>
          </cell>
        </row>
        <row r="1432">
          <cell r="C1432">
            <v>9410.3279999999995</v>
          </cell>
          <cell r="D1432">
            <v>9.1069999999999993</v>
          </cell>
          <cell r="G1432">
            <v>11391.703</v>
          </cell>
          <cell r="H1432">
            <v>-3.0539999999999998</v>
          </cell>
        </row>
        <row r="1433">
          <cell r="C1433">
            <v>9414.0229999999992</v>
          </cell>
          <cell r="D1433">
            <v>9.7919999999999998</v>
          </cell>
          <cell r="G1433">
            <v>11397.635</v>
          </cell>
          <cell r="H1433">
            <v>-2.8130000000000002</v>
          </cell>
        </row>
        <row r="1434">
          <cell r="C1434">
            <v>9420.49</v>
          </cell>
          <cell r="D1434">
            <v>10.911</v>
          </cell>
          <cell r="G1434">
            <v>11403.79</v>
          </cell>
          <cell r="H1434">
            <v>-2.6560000000000001</v>
          </cell>
        </row>
        <row r="1435">
          <cell r="C1435">
            <v>9428.5609999999997</v>
          </cell>
          <cell r="D1435">
            <v>12.163</v>
          </cell>
          <cell r="G1435">
            <v>11407.763000000001</v>
          </cell>
          <cell r="H1435">
            <v>-2.528</v>
          </cell>
        </row>
        <row r="1436">
          <cell r="C1436">
            <v>9434.9320000000007</v>
          </cell>
          <cell r="D1436">
            <v>13.016</v>
          </cell>
          <cell r="G1436">
            <v>11411.316000000001</v>
          </cell>
          <cell r="H1436">
            <v>-2.35</v>
          </cell>
        </row>
        <row r="1437">
          <cell r="C1437">
            <v>9441.1759999999995</v>
          </cell>
          <cell r="D1437">
            <v>13.664</v>
          </cell>
          <cell r="G1437">
            <v>11414.450999999999</v>
          </cell>
          <cell r="H1437">
            <v>-2.2530000000000001</v>
          </cell>
        </row>
        <row r="1438">
          <cell r="C1438">
            <v>9445.6450000000004</v>
          </cell>
          <cell r="D1438">
            <v>14.028</v>
          </cell>
          <cell r="G1438">
            <v>11417.476000000001</v>
          </cell>
          <cell r="H1438">
            <v>-2.222</v>
          </cell>
        </row>
        <row r="1439">
          <cell r="C1439">
            <v>9446.7620000000006</v>
          </cell>
          <cell r="D1439">
            <v>14.156000000000001</v>
          </cell>
          <cell r="G1439">
            <v>11420.779</v>
          </cell>
          <cell r="H1439">
            <v>-2.11</v>
          </cell>
        </row>
        <row r="1440">
          <cell r="C1440">
            <v>9449.6029999999992</v>
          </cell>
          <cell r="D1440">
            <v>14.259</v>
          </cell>
          <cell r="G1440">
            <v>11423.589</v>
          </cell>
          <cell r="H1440">
            <v>-2.0649999999999999</v>
          </cell>
        </row>
        <row r="1441">
          <cell r="C1441">
            <v>9453.0280000000002</v>
          </cell>
          <cell r="D1441">
            <v>14.369</v>
          </cell>
          <cell r="G1441">
            <v>11428.344999999999</v>
          </cell>
          <cell r="H1441">
            <v>-1.9550000000000001</v>
          </cell>
        </row>
        <row r="1442">
          <cell r="C1442">
            <v>9455.509</v>
          </cell>
          <cell r="D1442">
            <v>14.47</v>
          </cell>
          <cell r="G1442">
            <v>11430.795</v>
          </cell>
          <cell r="H1442">
            <v>-1.911</v>
          </cell>
        </row>
        <row r="1443">
          <cell r="C1443">
            <v>9457.9490000000005</v>
          </cell>
          <cell r="D1443">
            <v>14.577999999999999</v>
          </cell>
          <cell r="G1443">
            <v>11432.759</v>
          </cell>
          <cell r="H1443">
            <v>-1.9430000000000001</v>
          </cell>
        </row>
        <row r="1444">
          <cell r="C1444">
            <v>9462.9459999999999</v>
          </cell>
          <cell r="D1444">
            <v>14.545</v>
          </cell>
          <cell r="G1444">
            <v>11435.638999999999</v>
          </cell>
          <cell r="H1444">
            <v>-1.9410000000000001</v>
          </cell>
        </row>
        <row r="1445">
          <cell r="C1445">
            <v>9465.3109999999997</v>
          </cell>
          <cell r="D1445">
            <v>14.545999999999999</v>
          </cell>
          <cell r="G1445">
            <v>11438.58</v>
          </cell>
          <cell r="H1445">
            <v>-1.976</v>
          </cell>
        </row>
        <row r="1446">
          <cell r="C1446">
            <v>9470.6890000000003</v>
          </cell>
          <cell r="D1446">
            <v>14.314</v>
          </cell>
          <cell r="G1446">
            <v>11441.261</v>
          </cell>
          <cell r="H1446">
            <v>-2.1070000000000002</v>
          </cell>
        </row>
        <row r="1447">
          <cell r="C1447">
            <v>9477.1919999999991</v>
          </cell>
          <cell r="D1447">
            <v>13.788</v>
          </cell>
          <cell r="G1447">
            <v>11454.906999999999</v>
          </cell>
          <cell r="H1447">
            <v>-1.9730000000000001</v>
          </cell>
        </row>
        <row r="1448">
          <cell r="C1448">
            <v>9480.5529999999999</v>
          </cell>
          <cell r="D1448">
            <v>13.484999999999999</v>
          </cell>
          <cell r="G1448">
            <v>11460.826999999999</v>
          </cell>
          <cell r="H1448">
            <v>-1.7569999999999999</v>
          </cell>
        </row>
        <row r="1449">
          <cell r="C1449">
            <v>9483.09</v>
          </cell>
          <cell r="D1449">
            <v>13.238</v>
          </cell>
          <cell r="G1449">
            <v>11469.406000000001</v>
          </cell>
          <cell r="H1449">
            <v>-1.83</v>
          </cell>
        </row>
        <row r="1450">
          <cell r="C1450">
            <v>9484.5669999999991</v>
          </cell>
          <cell r="D1450">
            <v>13.058</v>
          </cell>
          <cell r="G1450">
            <v>11477.258</v>
          </cell>
          <cell r="H1450">
            <v>-1.9370000000000001</v>
          </cell>
        </row>
        <row r="1451">
          <cell r="C1451">
            <v>9485.8529999999992</v>
          </cell>
          <cell r="D1451">
            <v>12.904999999999999</v>
          </cell>
          <cell r="G1451">
            <v>11491.947</v>
          </cell>
          <cell r="H1451">
            <v>-2.0539999999999998</v>
          </cell>
        </row>
        <row r="1452">
          <cell r="C1452">
            <v>9487.2340000000004</v>
          </cell>
          <cell r="D1452">
            <v>12.752000000000001</v>
          </cell>
          <cell r="G1452">
            <v>11502.25</v>
          </cell>
          <cell r="H1452">
            <v>-1.9910000000000001</v>
          </cell>
        </row>
        <row r="1453">
          <cell r="C1453">
            <v>9489.3469999999998</v>
          </cell>
          <cell r="D1453">
            <v>12.526</v>
          </cell>
          <cell r="G1453">
            <v>11515.679</v>
          </cell>
          <cell r="H1453">
            <v>-2.2909999999999999</v>
          </cell>
        </row>
        <row r="1454">
          <cell r="C1454">
            <v>9490.5820000000003</v>
          </cell>
          <cell r="D1454">
            <v>12.414999999999999</v>
          </cell>
          <cell r="G1454">
            <v>11532.23</v>
          </cell>
          <cell r="H1454">
            <v>-2.5059999999999998</v>
          </cell>
        </row>
        <row r="1455">
          <cell r="C1455">
            <v>9492.5130000000008</v>
          </cell>
          <cell r="D1455">
            <v>12.138999999999999</v>
          </cell>
          <cell r="G1455">
            <v>11567.508</v>
          </cell>
          <cell r="H1455">
            <v>-5.008</v>
          </cell>
        </row>
        <row r="1456">
          <cell r="C1456">
            <v>9494.76</v>
          </cell>
          <cell r="D1456">
            <v>11.834</v>
          </cell>
          <cell r="G1456">
            <v>11595.225</v>
          </cell>
          <cell r="H1456">
            <v>-18.285</v>
          </cell>
        </row>
        <row r="1457">
          <cell r="C1457">
            <v>9496.9060000000009</v>
          </cell>
          <cell r="D1457">
            <v>11.531000000000001</v>
          </cell>
          <cell r="G1457">
            <v>11599.679</v>
          </cell>
          <cell r="H1457">
            <v>-21.542000000000002</v>
          </cell>
        </row>
        <row r="1458">
          <cell r="C1458">
            <v>9498.1450000000004</v>
          </cell>
          <cell r="D1458">
            <v>11.346</v>
          </cell>
          <cell r="G1458">
            <v>11604.236999999999</v>
          </cell>
          <cell r="H1458">
            <v>-24.756</v>
          </cell>
        </row>
        <row r="1459">
          <cell r="C1459">
            <v>9499.3050000000003</v>
          </cell>
          <cell r="D1459">
            <v>11.170999999999999</v>
          </cell>
          <cell r="G1459">
            <v>11607.307000000001</v>
          </cell>
          <cell r="H1459">
            <v>-26.693999999999999</v>
          </cell>
        </row>
        <row r="1460">
          <cell r="C1460">
            <v>9502.5540000000001</v>
          </cell>
          <cell r="D1460">
            <v>10.683999999999999</v>
          </cell>
          <cell r="G1460">
            <v>11609.614</v>
          </cell>
          <cell r="H1460">
            <v>-28.021999999999998</v>
          </cell>
        </row>
        <row r="1461">
          <cell r="C1461">
            <v>9506.6849999999995</v>
          </cell>
          <cell r="D1461">
            <v>10.029</v>
          </cell>
          <cell r="G1461">
            <v>11611.576999999999</v>
          </cell>
          <cell r="H1461">
            <v>-29.003</v>
          </cell>
        </row>
        <row r="1462">
          <cell r="C1462">
            <v>9511.64</v>
          </cell>
          <cell r="D1462">
            <v>9.173</v>
          </cell>
          <cell r="G1462">
            <v>11613.641</v>
          </cell>
          <cell r="H1462">
            <v>-29.891999999999999</v>
          </cell>
        </row>
        <row r="1463">
          <cell r="C1463">
            <v>9517.3870000000006</v>
          </cell>
          <cell r="D1463">
            <v>8.0549999999999997</v>
          </cell>
          <cell r="G1463">
            <v>11615.904</v>
          </cell>
          <cell r="H1463">
            <v>-30.710999999999999</v>
          </cell>
        </row>
        <row r="1464">
          <cell r="C1464">
            <v>9520.6010000000006</v>
          </cell>
          <cell r="D1464">
            <v>7.4909999999999997</v>
          </cell>
          <cell r="G1464">
            <v>11617.732</v>
          </cell>
          <cell r="H1464">
            <v>-31.274000000000001</v>
          </cell>
        </row>
        <row r="1465">
          <cell r="C1465">
            <v>9524.4509999999991</v>
          </cell>
          <cell r="D1465">
            <v>6.6719999999999997</v>
          </cell>
          <cell r="G1465">
            <v>11619.689</v>
          </cell>
          <cell r="H1465">
            <v>-31.736000000000001</v>
          </cell>
        </row>
        <row r="1466">
          <cell r="C1466">
            <v>9527.51</v>
          </cell>
          <cell r="D1466">
            <v>6.1050000000000004</v>
          </cell>
          <cell r="G1466">
            <v>11622.204</v>
          </cell>
          <cell r="H1466">
            <v>-32.28</v>
          </cell>
        </row>
        <row r="1467">
          <cell r="C1467">
            <v>9530.1919999999991</v>
          </cell>
          <cell r="D1467">
            <v>5.5629999999999997</v>
          </cell>
          <cell r="G1467">
            <v>11623.956</v>
          </cell>
          <cell r="H1467">
            <v>-32.634</v>
          </cell>
        </row>
        <row r="1468">
          <cell r="C1468">
            <v>9533.9500000000007</v>
          </cell>
          <cell r="D1468">
            <v>4.8550000000000004</v>
          </cell>
          <cell r="G1468">
            <v>11626.012000000001</v>
          </cell>
          <cell r="H1468">
            <v>-32.896999999999998</v>
          </cell>
        </row>
        <row r="1469">
          <cell r="C1469">
            <v>9535.4339999999993</v>
          </cell>
          <cell r="D1469">
            <v>4.5890000000000004</v>
          </cell>
          <cell r="G1469">
            <v>11628.494000000001</v>
          </cell>
          <cell r="H1469">
            <v>-32.887999999999998</v>
          </cell>
        </row>
        <row r="1470">
          <cell r="C1470">
            <v>9539.2749999999996</v>
          </cell>
          <cell r="D1470">
            <v>3.9849999999999999</v>
          </cell>
          <cell r="G1470">
            <v>11630.907999999999</v>
          </cell>
          <cell r="H1470">
            <v>-32.941000000000003</v>
          </cell>
        </row>
        <row r="1471">
          <cell r="C1471">
            <v>9541.0149999999994</v>
          </cell>
          <cell r="D1471">
            <v>3.7440000000000002</v>
          </cell>
          <cell r="G1471">
            <v>11633.263999999999</v>
          </cell>
          <cell r="H1471">
            <v>-32.761000000000003</v>
          </cell>
        </row>
        <row r="1472">
          <cell r="C1472">
            <v>9542.3439999999991</v>
          </cell>
          <cell r="D1472">
            <v>3.589</v>
          </cell>
          <cell r="G1472">
            <v>11635.019</v>
          </cell>
          <cell r="H1472">
            <v>-32.534999999999997</v>
          </cell>
        </row>
        <row r="1473">
          <cell r="C1473">
            <v>9543.8790000000008</v>
          </cell>
          <cell r="D1473">
            <v>3.448</v>
          </cell>
          <cell r="G1473">
            <v>11637.245999999999</v>
          </cell>
          <cell r="H1473">
            <v>-32.093000000000004</v>
          </cell>
        </row>
        <row r="1474">
          <cell r="C1474">
            <v>9547.5400000000009</v>
          </cell>
          <cell r="D1474">
            <v>3.0569999999999999</v>
          </cell>
          <cell r="G1474">
            <v>11639.526</v>
          </cell>
          <cell r="H1474">
            <v>-31.638999999999999</v>
          </cell>
        </row>
        <row r="1475">
          <cell r="C1475">
            <v>9550.3269999999993</v>
          </cell>
          <cell r="D1475">
            <v>2.786</v>
          </cell>
          <cell r="G1475">
            <v>11642.066000000001</v>
          </cell>
          <cell r="H1475">
            <v>-30.780999999999999</v>
          </cell>
        </row>
        <row r="1476">
          <cell r="C1476">
            <v>9553.5810000000001</v>
          </cell>
          <cell r="D1476">
            <v>2.5379999999999998</v>
          </cell>
          <cell r="G1476">
            <v>11644.641</v>
          </cell>
          <cell r="H1476">
            <v>-29.847999999999999</v>
          </cell>
        </row>
        <row r="1477">
          <cell r="C1477">
            <v>9556.4719999999998</v>
          </cell>
          <cell r="D1477">
            <v>2.387</v>
          </cell>
          <cell r="G1477">
            <v>11647.157999999999</v>
          </cell>
          <cell r="H1477">
            <v>-28.832000000000001</v>
          </cell>
        </row>
        <row r="1478">
          <cell r="C1478">
            <v>9562.5339999999997</v>
          </cell>
          <cell r="D1478">
            <v>1.996</v>
          </cell>
          <cell r="G1478">
            <v>11648.522000000001</v>
          </cell>
          <cell r="H1478">
            <v>-28.173999999999999</v>
          </cell>
        </row>
        <row r="1479">
          <cell r="C1479">
            <v>9568.3690000000006</v>
          </cell>
          <cell r="D1479">
            <v>1.67</v>
          </cell>
          <cell r="G1479">
            <v>11651.599</v>
          </cell>
          <cell r="H1479">
            <v>-26.451000000000001</v>
          </cell>
        </row>
        <row r="1480">
          <cell r="C1480">
            <v>9574.9089999999997</v>
          </cell>
          <cell r="D1480">
            <v>1.3540000000000001</v>
          </cell>
          <cell r="G1480">
            <v>11654.663</v>
          </cell>
          <cell r="H1480">
            <v>-24.652000000000001</v>
          </cell>
        </row>
        <row r="1481">
          <cell r="C1481">
            <v>9580.5280000000002</v>
          </cell>
          <cell r="D1481">
            <v>1.2629999999999999</v>
          </cell>
          <cell r="G1481">
            <v>11664.63</v>
          </cell>
          <cell r="H1481">
            <v>-19.010999999999999</v>
          </cell>
        </row>
        <row r="1482">
          <cell r="C1482">
            <v>9584.5220000000008</v>
          </cell>
          <cell r="D1482">
            <v>1.234</v>
          </cell>
          <cell r="G1482">
            <v>11701.795</v>
          </cell>
          <cell r="H1482">
            <v>-14.602</v>
          </cell>
        </row>
        <row r="1483">
          <cell r="C1483">
            <v>9587.6180000000004</v>
          </cell>
          <cell r="D1483">
            <v>1.264</v>
          </cell>
          <cell r="G1483">
            <v>11761.831</v>
          </cell>
          <cell r="H1483">
            <v>-31.087</v>
          </cell>
        </row>
        <row r="1484">
          <cell r="C1484">
            <v>9600.4110000000001</v>
          </cell>
          <cell r="D1484">
            <v>1.0920000000000001</v>
          </cell>
          <cell r="G1484">
            <v>11787.531999999999</v>
          </cell>
          <cell r="H1484">
            <v>-32.832000000000001</v>
          </cell>
        </row>
        <row r="1485">
          <cell r="C1485">
            <v>9612.8670000000002</v>
          </cell>
          <cell r="D1485">
            <v>1.1950000000000001</v>
          </cell>
          <cell r="G1485">
            <v>11794.333000000001</v>
          </cell>
          <cell r="H1485">
            <v>-32.567999999999998</v>
          </cell>
        </row>
        <row r="1486">
          <cell r="C1486">
            <v>9625.1620000000003</v>
          </cell>
          <cell r="D1486">
            <v>1.0649999999999999</v>
          </cell>
          <cell r="G1486">
            <v>11801.849</v>
          </cell>
          <cell r="H1486">
            <v>-31.917999999999999</v>
          </cell>
        </row>
        <row r="1487">
          <cell r="C1487">
            <v>9638.6319999999996</v>
          </cell>
          <cell r="D1487">
            <v>1.119</v>
          </cell>
          <cell r="G1487">
            <v>11807.529</v>
          </cell>
          <cell r="H1487">
            <v>-31.382999999999999</v>
          </cell>
        </row>
        <row r="1488">
          <cell r="C1488">
            <v>9648.8960000000006</v>
          </cell>
          <cell r="D1488">
            <v>1.026</v>
          </cell>
          <cell r="G1488">
            <v>11812.553</v>
          </cell>
          <cell r="H1488">
            <v>-30.783999999999999</v>
          </cell>
        </row>
        <row r="1489">
          <cell r="C1489">
            <v>9659.8140000000003</v>
          </cell>
          <cell r="D1489">
            <v>0.65600000000000003</v>
          </cell>
          <cell r="G1489">
            <v>11816.298000000001</v>
          </cell>
          <cell r="H1489">
            <v>-30.350999999999999</v>
          </cell>
        </row>
        <row r="1490">
          <cell r="C1490">
            <v>9667.6830000000009</v>
          </cell>
          <cell r="D1490">
            <v>0.40600000000000003</v>
          </cell>
          <cell r="G1490">
            <v>11821.468000000001</v>
          </cell>
          <cell r="H1490">
            <v>-29.651</v>
          </cell>
        </row>
        <row r="1491">
          <cell r="C1491">
            <v>9676.6620000000003</v>
          </cell>
          <cell r="D1491">
            <v>-0.123</v>
          </cell>
          <cell r="G1491">
            <v>11826.12</v>
          </cell>
          <cell r="H1491">
            <v>-28.963000000000001</v>
          </cell>
        </row>
        <row r="1492">
          <cell r="C1492">
            <v>9685.2739999999994</v>
          </cell>
          <cell r="D1492">
            <v>-1.0309999999999999</v>
          </cell>
          <cell r="G1492">
            <v>11832.308000000001</v>
          </cell>
          <cell r="H1492">
            <v>-27.863</v>
          </cell>
        </row>
        <row r="1493">
          <cell r="C1493">
            <v>9687.1710000000003</v>
          </cell>
          <cell r="D1493">
            <v>-1.2390000000000001</v>
          </cell>
          <cell r="G1493">
            <v>11837.804</v>
          </cell>
          <cell r="H1493">
            <v>-26.777000000000001</v>
          </cell>
        </row>
        <row r="1494">
          <cell r="C1494">
            <v>9689.5609999999997</v>
          </cell>
          <cell r="D1494">
            <v>-1.4139999999999999</v>
          </cell>
          <cell r="G1494">
            <v>11844.201999999999</v>
          </cell>
          <cell r="H1494">
            <v>-25.382000000000001</v>
          </cell>
        </row>
        <row r="1495">
          <cell r="C1495">
            <v>9690.9959999999992</v>
          </cell>
          <cell r="D1495">
            <v>-1.506</v>
          </cell>
          <cell r="G1495">
            <v>11849.28</v>
          </cell>
          <cell r="H1495">
            <v>-24.085000000000001</v>
          </cell>
        </row>
        <row r="1496">
          <cell r="C1496">
            <v>9692.8970000000008</v>
          </cell>
          <cell r="D1496">
            <v>-1.478</v>
          </cell>
          <cell r="G1496">
            <v>11853.338</v>
          </cell>
          <cell r="H1496">
            <v>-22.998000000000001</v>
          </cell>
        </row>
        <row r="1497">
          <cell r="C1497">
            <v>9696.81</v>
          </cell>
          <cell r="D1497">
            <v>-1.415</v>
          </cell>
          <cell r="G1497">
            <v>11858.215</v>
          </cell>
          <cell r="H1497">
            <v>-21.696000000000002</v>
          </cell>
        </row>
        <row r="1498">
          <cell r="C1498">
            <v>9700.9709999999995</v>
          </cell>
          <cell r="D1498">
            <v>-1.403</v>
          </cell>
          <cell r="G1498">
            <v>11862.521000000001</v>
          </cell>
          <cell r="H1498">
            <v>-20.454000000000001</v>
          </cell>
        </row>
        <row r="1499">
          <cell r="C1499">
            <v>9705.8449999999993</v>
          </cell>
          <cell r="D1499">
            <v>-1.282</v>
          </cell>
          <cell r="G1499">
            <v>11866.097</v>
          </cell>
          <cell r="H1499">
            <v>-19.494</v>
          </cell>
        </row>
        <row r="1500">
          <cell r="C1500">
            <v>9709.5570000000007</v>
          </cell>
          <cell r="D1500">
            <v>-1.514</v>
          </cell>
          <cell r="G1500">
            <v>11869.209000000001</v>
          </cell>
          <cell r="H1500">
            <v>-18.683</v>
          </cell>
        </row>
        <row r="1501">
          <cell r="C1501">
            <v>9712.5550000000003</v>
          </cell>
          <cell r="D1501">
            <v>-1.6080000000000001</v>
          </cell>
          <cell r="G1501">
            <v>11871.93</v>
          </cell>
          <cell r="H1501">
            <v>-17.959</v>
          </cell>
        </row>
        <row r="1502">
          <cell r="C1502">
            <v>9716.3050000000003</v>
          </cell>
          <cell r="D1502">
            <v>-1.958</v>
          </cell>
          <cell r="G1502">
            <v>11875.996999999999</v>
          </cell>
          <cell r="H1502">
            <v>-16.872</v>
          </cell>
        </row>
        <row r="1503">
          <cell r="C1503">
            <v>9717.9069999999992</v>
          </cell>
          <cell r="D1503">
            <v>-2.113</v>
          </cell>
          <cell r="G1503">
            <v>11879.025</v>
          </cell>
          <cell r="H1503">
            <v>-16.062999999999999</v>
          </cell>
        </row>
        <row r="1504">
          <cell r="C1504">
            <v>9718.9920000000002</v>
          </cell>
          <cell r="D1504">
            <v>-2.0190000000000001</v>
          </cell>
          <cell r="G1504">
            <v>11883.027</v>
          </cell>
          <cell r="H1504">
            <v>-15.004</v>
          </cell>
        </row>
        <row r="1505">
          <cell r="C1505">
            <v>9722.3220000000001</v>
          </cell>
          <cell r="D1505">
            <v>-1.9970000000000001</v>
          </cell>
          <cell r="G1505">
            <v>11887.365</v>
          </cell>
          <cell r="H1505">
            <v>-13.877000000000001</v>
          </cell>
        </row>
        <row r="1506">
          <cell r="C1506">
            <v>9724.7510000000002</v>
          </cell>
          <cell r="D1506">
            <v>-2.0430000000000001</v>
          </cell>
          <cell r="G1506">
            <v>11892.294</v>
          </cell>
          <cell r="H1506">
            <v>-12.622999999999999</v>
          </cell>
        </row>
        <row r="1507">
          <cell r="C1507">
            <v>9727.5349999999999</v>
          </cell>
          <cell r="D1507">
            <v>-1.9950000000000001</v>
          </cell>
          <cell r="G1507">
            <v>11898.12</v>
          </cell>
          <cell r="H1507">
            <v>-11.173999999999999</v>
          </cell>
        </row>
        <row r="1508">
          <cell r="C1508">
            <v>9730.2870000000003</v>
          </cell>
          <cell r="D1508">
            <v>-1.726</v>
          </cell>
          <cell r="G1508">
            <v>11901.859</v>
          </cell>
          <cell r="H1508">
            <v>-10.255000000000001</v>
          </cell>
        </row>
        <row r="1509">
          <cell r="C1509">
            <v>9732.7039999999997</v>
          </cell>
          <cell r="D1509">
            <v>-1.498</v>
          </cell>
          <cell r="G1509">
            <v>11905.017</v>
          </cell>
          <cell r="H1509">
            <v>-9.452</v>
          </cell>
        </row>
        <row r="1510">
          <cell r="C1510">
            <v>9735.5339999999997</v>
          </cell>
          <cell r="D1510">
            <v>-1.3180000000000001</v>
          </cell>
          <cell r="G1510">
            <v>11909.125</v>
          </cell>
          <cell r="H1510">
            <v>-8.484</v>
          </cell>
        </row>
        <row r="1511">
          <cell r="C1511">
            <v>9738.107</v>
          </cell>
          <cell r="D1511">
            <v>-1.17</v>
          </cell>
          <cell r="G1511">
            <v>11911.362999999999</v>
          </cell>
          <cell r="H1511">
            <v>-7.94</v>
          </cell>
        </row>
        <row r="1512">
          <cell r="C1512">
            <v>9742.4060000000009</v>
          </cell>
          <cell r="D1512">
            <v>-0.92900000000000005</v>
          </cell>
          <cell r="G1512">
            <v>11913.224</v>
          </cell>
          <cell r="H1512">
            <v>-7.5410000000000004</v>
          </cell>
        </row>
        <row r="1513">
          <cell r="C1513">
            <v>9745.4390000000003</v>
          </cell>
          <cell r="D1513">
            <v>-0.76900000000000002</v>
          </cell>
          <cell r="G1513">
            <v>11915.963</v>
          </cell>
          <cell r="H1513">
            <v>-6.9050000000000002</v>
          </cell>
        </row>
        <row r="1514">
          <cell r="C1514">
            <v>9748.9089999999997</v>
          </cell>
          <cell r="D1514">
            <v>-0.42499999999999999</v>
          </cell>
          <cell r="G1514">
            <v>11918.236000000001</v>
          </cell>
          <cell r="H1514">
            <v>-6.3579999999999997</v>
          </cell>
        </row>
        <row r="1515">
          <cell r="C1515">
            <v>9753.8259999999991</v>
          </cell>
          <cell r="D1515">
            <v>-1.2E-2</v>
          </cell>
          <cell r="G1515">
            <v>11921.612999999999</v>
          </cell>
          <cell r="H1515">
            <v>-5.5940000000000003</v>
          </cell>
        </row>
        <row r="1516">
          <cell r="C1516">
            <v>9755.5470000000005</v>
          </cell>
          <cell r="D1516">
            <v>0.20699999999999999</v>
          </cell>
          <cell r="G1516">
            <v>11924.947</v>
          </cell>
          <cell r="H1516">
            <v>-4.875</v>
          </cell>
        </row>
        <row r="1517">
          <cell r="C1517">
            <v>9759.9750000000004</v>
          </cell>
          <cell r="D1517">
            <v>0.45800000000000002</v>
          </cell>
          <cell r="G1517">
            <v>11928.075999999999</v>
          </cell>
          <cell r="H1517">
            <v>-4.2439999999999998</v>
          </cell>
        </row>
        <row r="1518">
          <cell r="C1518">
            <v>9765.3469999999998</v>
          </cell>
          <cell r="D1518">
            <v>0.68200000000000005</v>
          </cell>
          <cell r="G1518">
            <v>11932.968000000001</v>
          </cell>
          <cell r="H1518">
            <v>-3.3420000000000001</v>
          </cell>
        </row>
        <row r="1519">
          <cell r="C1519">
            <v>9773.7270000000008</v>
          </cell>
          <cell r="D1519">
            <v>1.157</v>
          </cell>
          <cell r="G1519">
            <v>11936.125</v>
          </cell>
          <cell r="H1519">
            <v>-2.8170000000000002</v>
          </cell>
        </row>
        <row r="1520">
          <cell r="C1520">
            <v>9782.4969999999994</v>
          </cell>
          <cell r="D1520">
            <v>1.2070000000000001</v>
          </cell>
          <cell r="G1520">
            <v>11939.341</v>
          </cell>
          <cell r="H1520">
            <v>-2.278</v>
          </cell>
        </row>
        <row r="1521">
          <cell r="C1521">
            <v>9789.3559999999998</v>
          </cell>
          <cell r="D1521">
            <v>1.1160000000000001</v>
          </cell>
          <cell r="G1521">
            <v>11942.703</v>
          </cell>
          <cell r="H1521">
            <v>-1.7070000000000001</v>
          </cell>
        </row>
        <row r="1522">
          <cell r="C1522">
            <v>9798.3420000000006</v>
          </cell>
          <cell r="D1522">
            <v>1.119</v>
          </cell>
          <cell r="G1522">
            <v>11945.814</v>
          </cell>
          <cell r="H1522">
            <v>-1.2070000000000001</v>
          </cell>
        </row>
        <row r="1523">
          <cell r="C1523">
            <v>9807.1360000000004</v>
          </cell>
          <cell r="D1523">
            <v>1.0369999999999999</v>
          </cell>
          <cell r="G1523">
            <v>11949.994000000001</v>
          </cell>
          <cell r="H1523">
            <v>-0.72799999999999998</v>
          </cell>
        </row>
        <row r="1524">
          <cell r="C1524">
            <v>9817.5630000000001</v>
          </cell>
          <cell r="D1524">
            <v>1.04</v>
          </cell>
          <cell r="G1524">
            <v>11953.012000000001</v>
          </cell>
          <cell r="H1524">
            <v>-0.39100000000000001</v>
          </cell>
        </row>
        <row r="1525">
          <cell r="C1525">
            <v>9825.1849999999995</v>
          </cell>
          <cell r="D1525">
            <v>1</v>
          </cell>
          <cell r="G1525">
            <v>11955.684999999999</v>
          </cell>
          <cell r="H1525">
            <v>-0.108</v>
          </cell>
        </row>
        <row r="1526">
          <cell r="C1526">
            <v>9840.69</v>
          </cell>
          <cell r="D1526">
            <v>0.92400000000000004</v>
          </cell>
          <cell r="G1526">
            <v>11959.003000000001</v>
          </cell>
          <cell r="H1526">
            <v>0.224</v>
          </cell>
        </row>
        <row r="1527">
          <cell r="C1527">
            <v>9853.9750000000004</v>
          </cell>
          <cell r="D1527">
            <v>1.0269999999999999</v>
          </cell>
          <cell r="G1527">
            <v>11961.593999999999</v>
          </cell>
          <cell r="H1527">
            <v>0.433</v>
          </cell>
        </row>
        <row r="1528">
          <cell r="C1528">
            <v>9866.0650000000005</v>
          </cell>
          <cell r="D1528">
            <v>1.012</v>
          </cell>
          <cell r="G1528">
            <v>11964.527</v>
          </cell>
          <cell r="H1528">
            <v>0.59499999999999997</v>
          </cell>
        </row>
        <row r="1529">
          <cell r="C1529">
            <v>9880.6650000000009</v>
          </cell>
          <cell r="D1529">
            <v>1.0209999999999999</v>
          </cell>
          <cell r="G1529">
            <v>11966.771000000001</v>
          </cell>
          <cell r="H1529">
            <v>0.73399999999999999</v>
          </cell>
        </row>
        <row r="1530">
          <cell r="C1530">
            <v>9902.0439999999999</v>
          </cell>
          <cell r="D1530">
            <v>0.877</v>
          </cell>
          <cell r="G1530">
            <v>11969.5</v>
          </cell>
          <cell r="H1530">
            <v>0.85099999999999998</v>
          </cell>
        </row>
        <row r="1531">
          <cell r="C1531">
            <v>9937.0769999999993</v>
          </cell>
          <cell r="D1531">
            <v>0.86</v>
          </cell>
          <cell r="G1531">
            <v>11972.993</v>
          </cell>
          <cell r="H1531">
            <v>1.0189999999999999</v>
          </cell>
        </row>
        <row r="1532">
          <cell r="C1532">
            <v>9971.7860000000001</v>
          </cell>
          <cell r="D1532">
            <v>0.88</v>
          </cell>
          <cell r="G1532">
            <v>11976.69</v>
          </cell>
          <cell r="H1532">
            <v>1.1379999999999999</v>
          </cell>
        </row>
        <row r="1533">
          <cell r="C1533">
            <v>9987.9349999999995</v>
          </cell>
          <cell r="D1533">
            <v>1.0980000000000001</v>
          </cell>
          <cell r="G1533">
            <v>11981.236000000001</v>
          </cell>
          <cell r="H1533">
            <v>1.2190000000000001</v>
          </cell>
        </row>
        <row r="1534">
          <cell r="C1534">
            <v>10000.870999999999</v>
          </cell>
          <cell r="D1534">
            <v>1.2090000000000001</v>
          </cell>
          <cell r="G1534">
            <v>11986.46</v>
          </cell>
          <cell r="H1534">
            <v>1.026</v>
          </cell>
        </row>
        <row r="1535">
          <cell r="C1535">
            <v>10024.846</v>
          </cell>
          <cell r="D1535">
            <v>2.528</v>
          </cell>
          <cell r="G1535">
            <v>11990.906000000001</v>
          </cell>
          <cell r="H1535">
            <v>0.871</v>
          </cell>
        </row>
        <row r="1536">
          <cell r="C1536">
            <v>10051.147000000001</v>
          </cell>
          <cell r="D1536">
            <v>8.4</v>
          </cell>
          <cell r="G1536">
            <v>11994.995999999999</v>
          </cell>
          <cell r="H1536">
            <v>0.624</v>
          </cell>
        </row>
        <row r="1537">
          <cell r="C1537">
            <v>10058.120000000001</v>
          </cell>
          <cell r="D1537">
            <v>11.084</v>
          </cell>
          <cell r="G1537">
            <v>11999.31</v>
          </cell>
          <cell r="H1537">
            <v>0.432</v>
          </cell>
        </row>
        <row r="1538">
          <cell r="C1538">
            <v>10061.504999999999</v>
          </cell>
          <cell r="D1538">
            <v>12.574999999999999</v>
          </cell>
          <cell r="G1538">
            <v>12002.1</v>
          </cell>
          <cell r="H1538">
            <v>7.9000000000000001E-2</v>
          </cell>
        </row>
        <row r="1539">
          <cell r="C1539">
            <v>10064.816000000001</v>
          </cell>
          <cell r="D1539">
            <v>14.007</v>
          </cell>
          <cell r="G1539">
            <v>12005.464</v>
          </cell>
          <cell r="H1539">
            <v>-0.311</v>
          </cell>
        </row>
        <row r="1540">
          <cell r="C1540">
            <v>10067.056</v>
          </cell>
          <cell r="D1540">
            <v>15.032</v>
          </cell>
          <cell r="G1540">
            <v>12008.95</v>
          </cell>
          <cell r="H1540">
            <v>-0.65</v>
          </cell>
        </row>
        <row r="1541">
          <cell r="C1541">
            <v>10070.950999999999</v>
          </cell>
          <cell r="D1541">
            <v>16.689</v>
          </cell>
          <cell r="G1541">
            <v>12012.008</v>
          </cell>
          <cell r="H1541">
            <v>-1.121</v>
          </cell>
        </row>
        <row r="1542">
          <cell r="C1542">
            <v>10073.675999999999</v>
          </cell>
          <cell r="D1542">
            <v>17.672000000000001</v>
          </cell>
          <cell r="G1542">
            <v>12015.328</v>
          </cell>
          <cell r="H1542">
            <v>-1.454</v>
          </cell>
        </row>
        <row r="1543">
          <cell r="C1543">
            <v>10076.804</v>
          </cell>
          <cell r="D1543">
            <v>18.692</v>
          </cell>
          <cell r="G1543">
            <v>12021.644</v>
          </cell>
          <cell r="H1543">
            <v>-1.8460000000000001</v>
          </cell>
        </row>
        <row r="1544">
          <cell r="C1544">
            <v>10079.588</v>
          </cell>
          <cell r="D1544">
            <v>19.600000000000001</v>
          </cell>
          <cell r="G1544">
            <v>12030.306</v>
          </cell>
          <cell r="H1544">
            <v>-1.9039999999999999</v>
          </cell>
        </row>
        <row r="1545">
          <cell r="C1545">
            <v>10081.609</v>
          </cell>
          <cell r="D1545">
            <v>20.234999999999999</v>
          </cell>
          <cell r="G1545">
            <v>12037.634</v>
          </cell>
          <cell r="H1545">
            <v>-1.984</v>
          </cell>
        </row>
        <row r="1546">
          <cell r="C1546">
            <v>10084.442999999999</v>
          </cell>
          <cell r="D1546">
            <v>20.975000000000001</v>
          </cell>
          <cell r="G1546">
            <v>12066.665000000001</v>
          </cell>
          <cell r="H1546">
            <v>-1.63</v>
          </cell>
        </row>
        <row r="1547">
          <cell r="C1547">
            <v>10086.555</v>
          </cell>
          <cell r="D1547">
            <v>21.398</v>
          </cell>
          <cell r="G1547">
            <v>12097.540999999999</v>
          </cell>
          <cell r="H1547">
            <v>-2.698</v>
          </cell>
        </row>
        <row r="1548">
          <cell r="C1548">
            <v>10089.254000000001</v>
          </cell>
          <cell r="D1548">
            <v>21.899000000000001</v>
          </cell>
          <cell r="G1548">
            <v>12109.98</v>
          </cell>
          <cell r="H1548">
            <v>-5.39</v>
          </cell>
        </row>
        <row r="1549">
          <cell r="C1549">
            <v>10091.725</v>
          </cell>
          <cell r="D1549">
            <v>22.309000000000001</v>
          </cell>
          <cell r="G1549">
            <v>12115.073</v>
          </cell>
          <cell r="H1549">
            <v>-6.8019999999999996</v>
          </cell>
        </row>
        <row r="1550">
          <cell r="C1550">
            <v>10093.825999999999</v>
          </cell>
          <cell r="D1550">
            <v>22.556000000000001</v>
          </cell>
          <cell r="G1550">
            <v>12119.64</v>
          </cell>
          <cell r="H1550">
            <v>-8.234</v>
          </cell>
        </row>
        <row r="1551">
          <cell r="C1551">
            <v>10096.388000000001</v>
          </cell>
          <cell r="D1551">
            <v>22.888000000000002</v>
          </cell>
          <cell r="G1551">
            <v>12125.601000000001</v>
          </cell>
          <cell r="H1551">
            <v>-9.593</v>
          </cell>
        </row>
        <row r="1552">
          <cell r="C1552">
            <v>10098.706</v>
          </cell>
          <cell r="D1552">
            <v>23.125</v>
          </cell>
          <cell r="G1552">
            <v>12130.316000000001</v>
          </cell>
          <cell r="H1552">
            <v>-10.66</v>
          </cell>
        </row>
        <row r="1553">
          <cell r="C1553">
            <v>10101.218999999999</v>
          </cell>
          <cell r="D1553">
            <v>23.314</v>
          </cell>
          <cell r="G1553">
            <v>12134.022999999999</v>
          </cell>
          <cell r="H1553">
            <v>-11.351000000000001</v>
          </cell>
        </row>
        <row r="1554">
          <cell r="C1554">
            <v>10103.806</v>
          </cell>
          <cell r="D1554">
            <v>23.452000000000002</v>
          </cell>
          <cell r="G1554">
            <v>12138.911</v>
          </cell>
          <cell r="H1554">
            <v>-11.957000000000001</v>
          </cell>
        </row>
        <row r="1555">
          <cell r="C1555">
            <v>10106.224</v>
          </cell>
          <cell r="D1555">
            <v>23.449000000000002</v>
          </cell>
          <cell r="G1555">
            <v>12143.675999999999</v>
          </cell>
          <cell r="H1555">
            <v>-12.35</v>
          </cell>
        </row>
        <row r="1556">
          <cell r="C1556">
            <v>10108.789000000001</v>
          </cell>
          <cell r="D1556">
            <v>23.367000000000001</v>
          </cell>
          <cell r="G1556">
            <v>12147.592000000001</v>
          </cell>
          <cell r="H1556">
            <v>-12.587</v>
          </cell>
        </row>
        <row r="1557">
          <cell r="C1557">
            <v>10110.916999999999</v>
          </cell>
          <cell r="D1557">
            <v>23.352</v>
          </cell>
          <cell r="G1557">
            <v>12150.594999999999</v>
          </cell>
          <cell r="H1557">
            <v>-12.571</v>
          </cell>
        </row>
        <row r="1558">
          <cell r="C1558">
            <v>10113.09</v>
          </cell>
          <cell r="D1558">
            <v>23.145</v>
          </cell>
          <cell r="G1558">
            <v>12154.423000000001</v>
          </cell>
          <cell r="H1558">
            <v>-12.397</v>
          </cell>
        </row>
        <row r="1559">
          <cell r="C1559">
            <v>10115.971</v>
          </cell>
          <cell r="D1559">
            <v>22.805</v>
          </cell>
          <cell r="G1559">
            <v>12158.228999999999</v>
          </cell>
          <cell r="H1559">
            <v>-11.958</v>
          </cell>
        </row>
        <row r="1560">
          <cell r="C1560">
            <v>10117.681</v>
          </cell>
          <cell r="D1560">
            <v>22.507999999999999</v>
          </cell>
          <cell r="G1560">
            <v>12162.733</v>
          </cell>
          <cell r="H1560">
            <v>-11.275</v>
          </cell>
        </row>
        <row r="1561">
          <cell r="C1561">
            <v>10120.411</v>
          </cell>
          <cell r="D1561">
            <v>22.094000000000001</v>
          </cell>
          <cell r="G1561">
            <v>12166.380999999999</v>
          </cell>
          <cell r="H1561">
            <v>-10.500999999999999</v>
          </cell>
        </row>
        <row r="1562">
          <cell r="C1562">
            <v>10123.691000000001</v>
          </cell>
          <cell r="D1562">
            <v>21.556999999999999</v>
          </cell>
          <cell r="G1562">
            <v>12169.019</v>
          </cell>
          <cell r="H1562">
            <v>-9.8330000000000002</v>
          </cell>
        </row>
        <row r="1563">
          <cell r="C1563">
            <v>10125.402</v>
          </cell>
          <cell r="D1563">
            <v>21.212</v>
          </cell>
          <cell r="G1563">
            <v>12170.755999999999</v>
          </cell>
          <cell r="H1563">
            <v>-9.2530000000000001</v>
          </cell>
        </row>
        <row r="1564">
          <cell r="C1564">
            <v>10127.24</v>
          </cell>
          <cell r="D1564">
            <v>20.776</v>
          </cell>
          <cell r="G1564">
            <v>12174.222</v>
          </cell>
          <cell r="H1564">
            <v>-7.92</v>
          </cell>
        </row>
        <row r="1565">
          <cell r="C1565">
            <v>10136.209000000001</v>
          </cell>
          <cell r="D1565">
            <v>18.969000000000001</v>
          </cell>
          <cell r="G1565">
            <v>12178.829</v>
          </cell>
          <cell r="H1565">
            <v>-5.9779999999999998</v>
          </cell>
        </row>
        <row r="1566">
          <cell r="C1566">
            <v>10143.823</v>
          </cell>
          <cell r="D1566">
            <v>18.024000000000001</v>
          </cell>
          <cell r="G1566">
            <v>12185.162</v>
          </cell>
          <cell r="H1566">
            <v>-2.9870000000000001</v>
          </cell>
        </row>
        <row r="1567">
          <cell r="C1567">
            <v>10149.08</v>
          </cell>
          <cell r="D1567">
            <v>17.596</v>
          </cell>
          <cell r="G1567">
            <v>12190.24</v>
          </cell>
          <cell r="H1567">
            <v>-0.52700000000000002</v>
          </cell>
        </row>
        <row r="1568">
          <cell r="C1568">
            <v>10150.849</v>
          </cell>
          <cell r="D1568">
            <v>17.402999999999999</v>
          </cell>
          <cell r="G1568">
            <v>12198.816999999999</v>
          </cell>
          <cell r="H1568">
            <v>3.6040000000000001</v>
          </cell>
        </row>
        <row r="1569">
          <cell r="C1569">
            <v>10153.471</v>
          </cell>
          <cell r="D1569">
            <v>17.158000000000001</v>
          </cell>
          <cell r="G1569">
            <v>12203.864</v>
          </cell>
          <cell r="H1569">
            <v>5.9560000000000004</v>
          </cell>
        </row>
        <row r="1570">
          <cell r="C1570">
            <v>10155.777</v>
          </cell>
          <cell r="D1570">
            <v>16.962</v>
          </cell>
          <cell r="G1570">
            <v>12209.611999999999</v>
          </cell>
          <cell r="H1570">
            <v>8.5760000000000005</v>
          </cell>
        </row>
        <row r="1571">
          <cell r="C1571">
            <v>10158.156999999999</v>
          </cell>
          <cell r="D1571">
            <v>16.719000000000001</v>
          </cell>
          <cell r="G1571">
            <v>12215.056</v>
          </cell>
          <cell r="H1571">
            <v>11.176</v>
          </cell>
        </row>
        <row r="1572">
          <cell r="C1572">
            <v>10160.745999999999</v>
          </cell>
          <cell r="D1572">
            <v>16.404</v>
          </cell>
          <cell r="G1572">
            <v>12217.132</v>
          </cell>
          <cell r="H1572">
            <v>12.297000000000001</v>
          </cell>
        </row>
        <row r="1573">
          <cell r="C1573">
            <v>10162.958000000001</v>
          </cell>
          <cell r="D1573">
            <v>16.157</v>
          </cell>
          <cell r="G1573">
            <v>12219.474</v>
          </cell>
          <cell r="H1573">
            <v>13.414</v>
          </cell>
        </row>
        <row r="1574">
          <cell r="C1574">
            <v>10165.316999999999</v>
          </cell>
          <cell r="D1574">
            <v>15.829000000000001</v>
          </cell>
          <cell r="G1574">
            <v>12222.148999999999</v>
          </cell>
          <cell r="H1574">
            <v>14.558999999999999</v>
          </cell>
        </row>
        <row r="1575">
          <cell r="C1575">
            <v>10168.941000000001</v>
          </cell>
          <cell r="D1575">
            <v>15.35</v>
          </cell>
          <cell r="G1575">
            <v>12224.671</v>
          </cell>
          <cell r="H1575">
            <v>15.547000000000001</v>
          </cell>
        </row>
        <row r="1576">
          <cell r="C1576">
            <v>10172.313</v>
          </cell>
          <cell r="D1576">
            <v>14.848000000000001</v>
          </cell>
          <cell r="G1576">
            <v>12226.953</v>
          </cell>
          <cell r="H1576">
            <v>16.367000000000001</v>
          </cell>
        </row>
        <row r="1577">
          <cell r="C1577">
            <v>10177.51</v>
          </cell>
          <cell r="D1577">
            <v>14.058</v>
          </cell>
          <cell r="G1577">
            <v>12229.052</v>
          </cell>
          <cell r="H1577">
            <v>17.055</v>
          </cell>
        </row>
        <row r="1578">
          <cell r="C1578">
            <v>10179.278</v>
          </cell>
          <cell r="D1578">
            <v>13.721</v>
          </cell>
          <cell r="G1578">
            <v>12231.78</v>
          </cell>
          <cell r="H1578">
            <v>17.811</v>
          </cell>
        </row>
        <row r="1579">
          <cell r="C1579">
            <v>10182.705</v>
          </cell>
          <cell r="D1579">
            <v>13.02</v>
          </cell>
          <cell r="G1579">
            <v>12234.058000000001</v>
          </cell>
          <cell r="H1579">
            <v>18.238</v>
          </cell>
        </row>
        <row r="1580">
          <cell r="C1580">
            <v>10185.42</v>
          </cell>
          <cell r="D1580">
            <v>12.462</v>
          </cell>
          <cell r="G1580">
            <v>12236.021000000001</v>
          </cell>
          <cell r="H1580">
            <v>18.608000000000001</v>
          </cell>
        </row>
        <row r="1581">
          <cell r="C1581">
            <v>10187.799999999999</v>
          </cell>
          <cell r="D1581">
            <v>11.955</v>
          </cell>
          <cell r="G1581">
            <v>12239.111999999999</v>
          </cell>
          <cell r="H1581">
            <v>19.079000000000001</v>
          </cell>
        </row>
        <row r="1582">
          <cell r="C1582">
            <v>10190.299999999999</v>
          </cell>
          <cell r="D1582">
            <v>11.423999999999999</v>
          </cell>
          <cell r="G1582">
            <v>12241.843000000001</v>
          </cell>
          <cell r="H1582">
            <v>19.312999999999999</v>
          </cell>
        </row>
        <row r="1583">
          <cell r="C1583">
            <v>10193.155000000001</v>
          </cell>
          <cell r="D1583">
            <v>10.771000000000001</v>
          </cell>
          <cell r="G1583">
            <v>12245.285</v>
          </cell>
          <cell r="H1583">
            <v>19.440000000000001</v>
          </cell>
        </row>
        <row r="1584">
          <cell r="C1584">
            <v>10196.159</v>
          </cell>
          <cell r="D1584">
            <v>10.029999999999999</v>
          </cell>
          <cell r="G1584">
            <v>12247.49</v>
          </cell>
          <cell r="H1584">
            <v>19.401</v>
          </cell>
        </row>
        <row r="1585">
          <cell r="C1585">
            <v>10198.231</v>
          </cell>
          <cell r="D1585">
            <v>9.484</v>
          </cell>
          <cell r="G1585">
            <v>12250.035</v>
          </cell>
          <cell r="H1585">
            <v>19.263000000000002</v>
          </cell>
        </row>
        <row r="1586">
          <cell r="C1586">
            <v>10200.763000000001</v>
          </cell>
          <cell r="D1586">
            <v>8.8979999999999997</v>
          </cell>
          <cell r="G1586">
            <v>12252.406999999999</v>
          </cell>
          <cell r="H1586">
            <v>19.073</v>
          </cell>
        </row>
        <row r="1587">
          <cell r="C1587">
            <v>10202.722</v>
          </cell>
          <cell r="D1587">
            <v>8.3949999999999996</v>
          </cell>
          <cell r="G1587">
            <v>12254.161</v>
          </cell>
          <cell r="H1587">
            <v>18.821000000000002</v>
          </cell>
        </row>
        <row r="1588">
          <cell r="C1588">
            <v>10204.226000000001</v>
          </cell>
          <cell r="D1588">
            <v>7.9880000000000004</v>
          </cell>
          <cell r="G1588">
            <v>12256.153</v>
          </cell>
          <cell r="H1588">
            <v>18.518000000000001</v>
          </cell>
        </row>
        <row r="1589">
          <cell r="C1589">
            <v>10205.885</v>
          </cell>
          <cell r="D1589">
            <v>7.5060000000000002</v>
          </cell>
          <cell r="G1589">
            <v>12257.754999999999</v>
          </cell>
          <cell r="H1589">
            <v>18.187999999999999</v>
          </cell>
        </row>
        <row r="1590">
          <cell r="C1590">
            <v>10212.772000000001</v>
          </cell>
          <cell r="D1590">
            <v>5.5590000000000002</v>
          </cell>
          <cell r="G1590">
            <v>12261.387000000001</v>
          </cell>
          <cell r="H1590">
            <v>17.396999999999998</v>
          </cell>
        </row>
        <row r="1591">
          <cell r="C1591">
            <v>10227.467000000001</v>
          </cell>
          <cell r="D1591">
            <v>2.7149999999999999</v>
          </cell>
          <cell r="G1591">
            <v>12263.906999999999</v>
          </cell>
          <cell r="H1591">
            <v>16.666</v>
          </cell>
        </row>
        <row r="1592">
          <cell r="C1592">
            <v>10229.382</v>
          </cell>
          <cell r="D1592">
            <v>2.4359999999999999</v>
          </cell>
          <cell r="G1592">
            <v>12265.898999999999</v>
          </cell>
          <cell r="H1592">
            <v>15.987</v>
          </cell>
        </row>
        <row r="1593">
          <cell r="C1593">
            <v>10229.865</v>
          </cell>
          <cell r="D1593">
            <v>2.2810000000000001</v>
          </cell>
          <cell r="G1593">
            <v>12267.904</v>
          </cell>
          <cell r="H1593">
            <v>15.279</v>
          </cell>
        </row>
        <row r="1594">
          <cell r="C1594">
            <v>10230.436</v>
          </cell>
          <cell r="D1594">
            <v>2.1920000000000002</v>
          </cell>
          <cell r="G1594">
            <v>12272.171</v>
          </cell>
          <cell r="H1594">
            <v>13.398</v>
          </cell>
        </row>
        <row r="1595">
          <cell r="C1595">
            <v>10233.941999999999</v>
          </cell>
          <cell r="D1595">
            <v>1.7969999999999999</v>
          </cell>
          <cell r="G1595">
            <v>12284.545</v>
          </cell>
          <cell r="H1595">
            <v>7.7380000000000004</v>
          </cell>
        </row>
        <row r="1596">
          <cell r="C1596">
            <v>10241.715</v>
          </cell>
          <cell r="D1596">
            <v>1.2989999999999999</v>
          </cell>
          <cell r="G1596">
            <v>12294.911</v>
          </cell>
          <cell r="H1596">
            <v>2.6389999999999998</v>
          </cell>
        </row>
        <row r="1597">
          <cell r="C1597">
            <v>10248.513999999999</v>
          </cell>
          <cell r="D1597">
            <v>0.98099999999999998</v>
          </cell>
          <cell r="G1597">
            <v>12304.742</v>
          </cell>
          <cell r="H1597">
            <v>-2.694</v>
          </cell>
        </row>
        <row r="1598">
          <cell r="C1598">
            <v>10260.412</v>
          </cell>
          <cell r="D1598">
            <v>0.82299999999999995</v>
          </cell>
          <cell r="G1598">
            <v>12310.843999999999</v>
          </cell>
          <cell r="H1598">
            <v>-6.298</v>
          </cell>
        </row>
        <row r="1599">
          <cell r="C1599">
            <v>10277.539000000001</v>
          </cell>
          <cell r="D1599">
            <v>0.80100000000000005</v>
          </cell>
          <cell r="G1599">
            <v>12313.307000000001</v>
          </cell>
          <cell r="H1599">
            <v>-7.7320000000000002</v>
          </cell>
        </row>
        <row r="1600">
          <cell r="C1600">
            <v>10284.165999999999</v>
          </cell>
          <cell r="D1600">
            <v>0.80900000000000005</v>
          </cell>
          <cell r="G1600">
            <v>12315.689</v>
          </cell>
          <cell r="H1600">
            <v>-9.1029999999999998</v>
          </cell>
        </row>
        <row r="1601">
          <cell r="C1601">
            <v>10293.233</v>
          </cell>
          <cell r="D1601">
            <v>0.84499999999999997</v>
          </cell>
          <cell r="G1601">
            <v>12317.778</v>
          </cell>
          <cell r="H1601">
            <v>-10.286</v>
          </cell>
        </row>
        <row r="1602">
          <cell r="C1602">
            <v>10307.103999999999</v>
          </cell>
          <cell r="D1602">
            <v>0.78300000000000003</v>
          </cell>
          <cell r="G1602">
            <v>12319.398999999999</v>
          </cell>
          <cell r="H1602">
            <v>-11.11</v>
          </cell>
        </row>
        <row r="1603">
          <cell r="C1603">
            <v>10317.308999999999</v>
          </cell>
          <cell r="D1603">
            <v>0.80700000000000005</v>
          </cell>
          <cell r="G1603">
            <v>12320.763999999999</v>
          </cell>
          <cell r="H1603">
            <v>-11.766</v>
          </cell>
        </row>
        <row r="1604">
          <cell r="C1604">
            <v>10323.848</v>
          </cell>
          <cell r="D1604">
            <v>0.84</v>
          </cell>
          <cell r="G1604">
            <v>12322.843000000001</v>
          </cell>
          <cell r="H1604">
            <v>-12.776999999999999</v>
          </cell>
        </row>
        <row r="1605">
          <cell r="C1605">
            <v>10335.441000000001</v>
          </cell>
          <cell r="D1605">
            <v>0.75800000000000001</v>
          </cell>
          <cell r="G1605">
            <v>12324.555</v>
          </cell>
          <cell r="H1605">
            <v>-13.544</v>
          </cell>
        </row>
        <row r="1606">
          <cell r="C1606">
            <v>10349.142</v>
          </cell>
          <cell r="D1606">
            <v>0.73199999999999998</v>
          </cell>
          <cell r="G1606">
            <v>12325.907999999999</v>
          </cell>
          <cell r="H1606">
            <v>-14.135999999999999</v>
          </cell>
        </row>
        <row r="1607">
          <cell r="C1607">
            <v>10356.946</v>
          </cell>
          <cell r="D1607">
            <v>0.73099999999999998</v>
          </cell>
          <cell r="G1607">
            <v>12327.489</v>
          </cell>
          <cell r="H1607">
            <v>-14.744999999999999</v>
          </cell>
        </row>
        <row r="1608">
          <cell r="C1608">
            <v>10362.983</v>
          </cell>
          <cell r="D1608">
            <v>0.93100000000000005</v>
          </cell>
          <cell r="G1608">
            <v>12329.119000000001</v>
          </cell>
          <cell r="H1608">
            <v>-15.378</v>
          </cell>
        </row>
        <row r="1609">
          <cell r="C1609">
            <v>10365.343999999999</v>
          </cell>
          <cell r="D1609">
            <v>0.96</v>
          </cell>
          <cell r="G1609">
            <v>12331.826999999999</v>
          </cell>
          <cell r="H1609">
            <v>-16.347999999999999</v>
          </cell>
        </row>
        <row r="1610">
          <cell r="C1610">
            <v>10367.18</v>
          </cell>
          <cell r="D1610">
            <v>1.0229999999999999</v>
          </cell>
          <cell r="G1610">
            <v>12334.028</v>
          </cell>
          <cell r="H1610">
            <v>-17.117999999999999</v>
          </cell>
        </row>
        <row r="1611">
          <cell r="C1611">
            <v>10371.39</v>
          </cell>
          <cell r="D1611">
            <v>1.02</v>
          </cell>
          <cell r="G1611">
            <v>12335.592000000001</v>
          </cell>
          <cell r="H1611">
            <v>-17.602</v>
          </cell>
        </row>
        <row r="1612">
          <cell r="C1612">
            <v>10373.578</v>
          </cell>
          <cell r="D1612">
            <v>0.89700000000000002</v>
          </cell>
          <cell r="G1612">
            <v>12337.367</v>
          </cell>
          <cell r="H1612">
            <v>-18.059000000000001</v>
          </cell>
        </row>
        <row r="1613">
          <cell r="C1613">
            <v>10375.808000000001</v>
          </cell>
          <cell r="D1613">
            <v>0.74099999999999999</v>
          </cell>
          <cell r="G1613">
            <v>12338.665999999999</v>
          </cell>
          <cell r="H1613">
            <v>-18.373999999999999</v>
          </cell>
        </row>
        <row r="1614">
          <cell r="C1614">
            <v>10380.362999999999</v>
          </cell>
          <cell r="D1614">
            <v>0.65200000000000002</v>
          </cell>
          <cell r="G1614">
            <v>12340.816000000001</v>
          </cell>
          <cell r="H1614">
            <v>-18.908000000000001</v>
          </cell>
        </row>
        <row r="1615">
          <cell r="C1615">
            <v>10386.243</v>
          </cell>
          <cell r="D1615">
            <v>0.64100000000000001</v>
          </cell>
          <cell r="G1615">
            <v>12342.873</v>
          </cell>
          <cell r="H1615">
            <v>-19.350999999999999</v>
          </cell>
        </row>
        <row r="1616">
          <cell r="C1616">
            <v>10388.91</v>
          </cell>
          <cell r="D1616">
            <v>0.57099999999999995</v>
          </cell>
          <cell r="G1616">
            <v>12344.868</v>
          </cell>
          <cell r="H1616">
            <v>-19.763000000000002</v>
          </cell>
        </row>
        <row r="1617">
          <cell r="C1617">
            <v>10393.128000000001</v>
          </cell>
          <cell r="D1617">
            <v>0.78300000000000003</v>
          </cell>
          <cell r="G1617">
            <v>12346.45</v>
          </cell>
          <cell r="H1617">
            <v>-20</v>
          </cell>
        </row>
        <row r="1618">
          <cell r="C1618">
            <v>10399.467000000001</v>
          </cell>
          <cell r="D1618">
            <v>0.622</v>
          </cell>
          <cell r="G1618">
            <v>12348.646000000001</v>
          </cell>
          <cell r="H1618">
            <v>-20.283000000000001</v>
          </cell>
        </row>
        <row r="1619">
          <cell r="C1619">
            <v>10409.370999999999</v>
          </cell>
          <cell r="D1619">
            <v>0.871</v>
          </cell>
          <cell r="G1619">
            <v>12351.368</v>
          </cell>
          <cell r="H1619">
            <v>-20.591000000000001</v>
          </cell>
        </row>
        <row r="1620">
          <cell r="C1620">
            <v>10420.275</v>
          </cell>
          <cell r="D1620">
            <v>0.73</v>
          </cell>
          <cell r="G1620">
            <v>12353.915999999999</v>
          </cell>
          <cell r="H1620">
            <v>-20.815000000000001</v>
          </cell>
        </row>
        <row r="1621">
          <cell r="C1621">
            <v>10438.796</v>
          </cell>
          <cell r="D1621">
            <v>0.88200000000000001</v>
          </cell>
          <cell r="G1621">
            <v>12356.005999999999</v>
          </cell>
          <cell r="H1621">
            <v>-20.896000000000001</v>
          </cell>
        </row>
        <row r="1622">
          <cell r="C1622">
            <v>10451.808999999999</v>
          </cell>
          <cell r="D1622">
            <v>0.93899999999999995</v>
          </cell>
          <cell r="G1622">
            <v>12357.848</v>
          </cell>
          <cell r="H1622">
            <v>-20.875</v>
          </cell>
        </row>
        <row r="1623">
          <cell r="C1623">
            <v>10461.218000000001</v>
          </cell>
          <cell r="D1623">
            <v>0.76600000000000001</v>
          </cell>
          <cell r="G1623">
            <v>12360.279</v>
          </cell>
          <cell r="H1623">
            <v>-20.876999999999999</v>
          </cell>
        </row>
        <row r="1624">
          <cell r="C1624">
            <v>10467.446</v>
          </cell>
          <cell r="D1624">
            <v>0.81899999999999995</v>
          </cell>
          <cell r="G1624">
            <v>12362.166999999999</v>
          </cell>
          <cell r="H1624">
            <v>-20.856999999999999</v>
          </cell>
        </row>
        <row r="1625">
          <cell r="C1625">
            <v>10475.853999999999</v>
          </cell>
          <cell r="D1625">
            <v>0.67200000000000004</v>
          </cell>
          <cell r="G1625">
            <v>12364.143</v>
          </cell>
          <cell r="H1625">
            <v>-20.664000000000001</v>
          </cell>
        </row>
        <row r="1626">
          <cell r="C1626">
            <v>10498.806</v>
          </cell>
          <cell r="D1626">
            <v>0.60499999999999998</v>
          </cell>
          <cell r="G1626">
            <v>12366.018</v>
          </cell>
          <cell r="H1626">
            <v>-20.481999999999999</v>
          </cell>
        </row>
        <row r="1627">
          <cell r="C1627">
            <v>10516.418</v>
          </cell>
          <cell r="D1627">
            <v>0.215</v>
          </cell>
          <cell r="G1627">
            <v>12368.459000000001</v>
          </cell>
          <cell r="H1627">
            <v>-20.187999999999999</v>
          </cell>
        </row>
        <row r="1628">
          <cell r="C1628">
            <v>10528.825999999999</v>
          </cell>
          <cell r="D1628">
            <v>-0.32900000000000001</v>
          </cell>
          <cell r="G1628">
            <v>12370.549000000001</v>
          </cell>
          <cell r="H1628">
            <v>-19.882999999999999</v>
          </cell>
        </row>
        <row r="1629">
          <cell r="C1629">
            <v>10532.484</v>
          </cell>
          <cell r="D1629">
            <v>-0.68400000000000005</v>
          </cell>
          <cell r="G1629">
            <v>12372.941000000001</v>
          </cell>
          <cell r="H1629">
            <v>-19.457000000000001</v>
          </cell>
        </row>
        <row r="1630">
          <cell r="C1630">
            <v>10536.911</v>
          </cell>
          <cell r="D1630">
            <v>-0.98699999999999999</v>
          </cell>
          <cell r="G1630">
            <v>12375.342000000001</v>
          </cell>
          <cell r="H1630">
            <v>-18.937999999999999</v>
          </cell>
        </row>
        <row r="1631">
          <cell r="C1631">
            <v>10541.571</v>
          </cell>
          <cell r="D1631">
            <v>-1.1779999999999999</v>
          </cell>
          <cell r="G1631">
            <v>12377.485000000001</v>
          </cell>
          <cell r="H1631">
            <v>-18.408999999999999</v>
          </cell>
        </row>
        <row r="1632">
          <cell r="C1632">
            <v>10544.879000000001</v>
          </cell>
          <cell r="D1632">
            <v>-1.2230000000000001</v>
          </cell>
          <cell r="G1632">
            <v>12379.273999999999</v>
          </cell>
          <cell r="H1632">
            <v>-17.966999999999999</v>
          </cell>
        </row>
        <row r="1633">
          <cell r="C1633">
            <v>10548.072</v>
          </cell>
          <cell r="D1633">
            <v>-1.3069999999999999</v>
          </cell>
          <cell r="G1633">
            <v>12381.084999999999</v>
          </cell>
          <cell r="H1633">
            <v>-17.382000000000001</v>
          </cell>
        </row>
        <row r="1634">
          <cell r="C1634">
            <v>10550.766</v>
          </cell>
          <cell r="D1634">
            <v>-1.381</v>
          </cell>
          <cell r="G1634">
            <v>12383.105</v>
          </cell>
          <cell r="H1634">
            <v>-16.71</v>
          </cell>
        </row>
        <row r="1635">
          <cell r="C1635">
            <v>10552.697</v>
          </cell>
          <cell r="D1635">
            <v>-1.3859999999999999</v>
          </cell>
          <cell r="G1635">
            <v>12384.63</v>
          </cell>
          <cell r="H1635">
            <v>-16.126999999999999</v>
          </cell>
        </row>
        <row r="1636">
          <cell r="C1636">
            <v>10555.849</v>
          </cell>
          <cell r="D1636">
            <v>-1.3280000000000001</v>
          </cell>
          <cell r="G1636">
            <v>12387.998</v>
          </cell>
          <cell r="H1636">
            <v>-14.801</v>
          </cell>
        </row>
        <row r="1637">
          <cell r="C1637">
            <v>10560.072</v>
          </cell>
          <cell r="D1637">
            <v>-1.0249999999999999</v>
          </cell>
          <cell r="G1637">
            <v>12390.841</v>
          </cell>
          <cell r="H1637">
            <v>-13.583</v>
          </cell>
        </row>
        <row r="1638">
          <cell r="C1638">
            <v>10563.183000000001</v>
          </cell>
          <cell r="D1638">
            <v>-0.754</v>
          </cell>
          <cell r="G1638">
            <v>12393.072</v>
          </cell>
          <cell r="H1638">
            <v>-12.568</v>
          </cell>
        </row>
        <row r="1639">
          <cell r="C1639">
            <v>10565.945</v>
          </cell>
          <cell r="D1639">
            <v>-0.44600000000000001</v>
          </cell>
          <cell r="G1639">
            <v>12397.689</v>
          </cell>
          <cell r="H1639">
            <v>-10.507999999999999</v>
          </cell>
        </row>
        <row r="1640">
          <cell r="C1640">
            <v>10577.107</v>
          </cell>
          <cell r="D1640">
            <v>0.64600000000000002</v>
          </cell>
          <cell r="G1640">
            <v>12406.392</v>
          </cell>
          <cell r="H1640">
            <v>-7.0979999999999999</v>
          </cell>
        </row>
        <row r="1641">
          <cell r="C1641">
            <v>10588.790999999999</v>
          </cell>
          <cell r="D1641">
            <v>1.4370000000000001</v>
          </cell>
          <cell r="G1641">
            <v>12418.379000000001</v>
          </cell>
          <cell r="H1641">
            <v>-3.895</v>
          </cell>
        </row>
        <row r="1642">
          <cell r="C1642">
            <v>10596.812</v>
          </cell>
          <cell r="D1642">
            <v>2.028</v>
          </cell>
          <cell r="G1642">
            <v>12429.522999999999</v>
          </cell>
          <cell r="H1642">
            <v>-2.1280000000000001</v>
          </cell>
        </row>
        <row r="1643">
          <cell r="C1643">
            <v>10609.621999999999</v>
          </cell>
          <cell r="D1643">
            <v>2.8580000000000001</v>
          </cell>
          <cell r="G1643">
            <v>12445.206</v>
          </cell>
          <cell r="H1643">
            <v>-1.012</v>
          </cell>
        </row>
        <row r="1644">
          <cell r="C1644">
            <v>10646.19</v>
          </cell>
          <cell r="D1644">
            <v>5.3280000000000003</v>
          </cell>
          <cell r="G1644">
            <v>12460.716</v>
          </cell>
          <cell r="H1644">
            <v>-0.81</v>
          </cell>
        </row>
        <row r="1645">
          <cell r="C1645">
            <v>10663.044</v>
          </cell>
          <cell r="D1645">
            <v>6.5030000000000001</v>
          </cell>
          <cell r="G1645">
            <v>12559.257</v>
          </cell>
          <cell r="H1645">
            <v>-0.85699999999999998</v>
          </cell>
        </row>
        <row r="1646">
          <cell r="C1646">
            <v>10667.705</v>
          </cell>
          <cell r="D1646">
            <v>6.8220000000000001</v>
          </cell>
          <cell r="G1646">
            <v>12628.291999999999</v>
          </cell>
          <cell r="H1646">
            <v>-0.80100000000000005</v>
          </cell>
        </row>
        <row r="1647">
          <cell r="C1647">
            <v>10671.199000000001</v>
          </cell>
          <cell r="D1647">
            <v>6.9729999999999999</v>
          </cell>
          <cell r="G1647">
            <v>12674.262000000001</v>
          </cell>
          <cell r="H1647">
            <v>-0.35799999999999998</v>
          </cell>
        </row>
        <row r="1648">
          <cell r="C1648">
            <v>10673.962</v>
          </cell>
          <cell r="D1648">
            <v>7.0220000000000002</v>
          </cell>
          <cell r="G1648">
            <v>12680.589</v>
          </cell>
          <cell r="H1648">
            <v>-0.17199999999999999</v>
          </cell>
        </row>
        <row r="1649">
          <cell r="C1649">
            <v>10678.286</v>
          </cell>
          <cell r="D1649">
            <v>7.0140000000000002</v>
          </cell>
          <cell r="G1649">
            <v>12684.918</v>
          </cell>
          <cell r="H1649">
            <v>-8.4000000000000005E-2</v>
          </cell>
        </row>
        <row r="1650">
          <cell r="C1650">
            <v>10682.621999999999</v>
          </cell>
          <cell r="D1650">
            <v>6.9409999999999998</v>
          </cell>
          <cell r="G1650">
            <v>12690.099</v>
          </cell>
          <cell r="H1650">
            <v>-0.16600000000000001</v>
          </cell>
        </row>
        <row r="1651">
          <cell r="C1651">
            <v>10685.098</v>
          </cell>
          <cell r="D1651">
            <v>6.8819999999999997</v>
          </cell>
          <cell r="G1651">
            <v>12697.102000000001</v>
          </cell>
          <cell r="H1651">
            <v>-0.51</v>
          </cell>
        </row>
        <row r="1652">
          <cell r="C1652">
            <v>10687.77</v>
          </cell>
          <cell r="D1652">
            <v>6.76</v>
          </cell>
          <cell r="G1652">
            <v>12706.777</v>
          </cell>
          <cell r="H1652">
            <v>-0.96499999999999997</v>
          </cell>
        </row>
        <row r="1653">
          <cell r="C1653">
            <v>10690.272999999999</v>
          </cell>
          <cell r="D1653">
            <v>6.6580000000000004</v>
          </cell>
          <cell r="G1653">
            <v>12720.159</v>
          </cell>
          <cell r="H1653">
            <v>-1.42</v>
          </cell>
        </row>
        <row r="1654">
          <cell r="C1654">
            <v>10693.111999999999</v>
          </cell>
          <cell r="D1654">
            <v>6.45</v>
          </cell>
          <cell r="G1654">
            <v>12732.764999999999</v>
          </cell>
          <cell r="H1654">
            <v>-1.8919999999999999</v>
          </cell>
        </row>
        <row r="1655">
          <cell r="C1655">
            <v>10696.656999999999</v>
          </cell>
          <cell r="D1655">
            <v>6.141</v>
          </cell>
          <cell r="G1655">
            <v>12746.545</v>
          </cell>
          <cell r="H1655">
            <v>-2.4620000000000002</v>
          </cell>
        </row>
        <row r="1656">
          <cell r="C1656">
            <v>10701.208000000001</v>
          </cell>
          <cell r="D1656">
            <v>5.5890000000000004</v>
          </cell>
          <cell r="G1656">
            <v>12760.662</v>
          </cell>
          <cell r="H1656">
            <v>-2.9630000000000001</v>
          </cell>
        </row>
        <row r="1657">
          <cell r="C1657">
            <v>10707.119000000001</v>
          </cell>
          <cell r="D1657">
            <v>4.7590000000000003</v>
          </cell>
          <cell r="G1657">
            <v>12794.493</v>
          </cell>
          <cell r="H1657">
            <v>-4.0999999999999996</v>
          </cell>
        </row>
        <row r="1658">
          <cell r="C1658">
            <v>10711.826999999999</v>
          </cell>
          <cell r="D1658">
            <v>3.976</v>
          </cell>
          <cell r="G1658">
            <v>12801.103999999999</v>
          </cell>
          <cell r="H1658">
            <v>-4.2770000000000001</v>
          </cell>
        </row>
        <row r="1659">
          <cell r="C1659">
            <v>10717.942999999999</v>
          </cell>
          <cell r="D1659">
            <v>2.802</v>
          </cell>
          <cell r="G1659">
            <v>12807.814</v>
          </cell>
          <cell r="H1659">
            <v>-4.4829999999999997</v>
          </cell>
        </row>
        <row r="1660">
          <cell r="C1660">
            <v>10728.134</v>
          </cell>
          <cell r="D1660">
            <v>0.78200000000000003</v>
          </cell>
          <cell r="G1660">
            <v>12812.045</v>
          </cell>
          <cell r="H1660">
            <v>-4.5220000000000002</v>
          </cell>
        </row>
        <row r="1661">
          <cell r="C1661">
            <v>10728.85</v>
          </cell>
          <cell r="D1661">
            <v>0.79500000000000004</v>
          </cell>
          <cell r="G1661">
            <v>12815.614</v>
          </cell>
          <cell r="H1661">
            <v>-4.5209999999999999</v>
          </cell>
        </row>
        <row r="1662">
          <cell r="C1662">
            <v>10729.861000000001</v>
          </cell>
          <cell r="D1662">
            <v>0.70899999999999996</v>
          </cell>
          <cell r="G1662">
            <v>12818.994000000001</v>
          </cell>
          <cell r="H1662">
            <v>-4.4729999999999999</v>
          </cell>
        </row>
        <row r="1663">
          <cell r="C1663">
            <v>10731.589</v>
          </cell>
          <cell r="D1663">
            <v>0.41499999999999998</v>
          </cell>
          <cell r="G1663">
            <v>12822.262000000001</v>
          </cell>
          <cell r="H1663">
            <v>-4.3620000000000001</v>
          </cell>
        </row>
        <row r="1664">
          <cell r="C1664">
            <v>10738.701999999999</v>
          </cell>
          <cell r="D1664">
            <v>-0.879</v>
          </cell>
          <cell r="G1664">
            <v>12831.956</v>
          </cell>
          <cell r="H1664">
            <v>-3.48</v>
          </cell>
        </row>
        <row r="1665">
          <cell r="C1665">
            <v>10745.098</v>
          </cell>
          <cell r="D1665">
            <v>-2.2959999999999998</v>
          </cell>
          <cell r="G1665">
            <v>12837.779</v>
          </cell>
          <cell r="H1665">
            <v>-2.7810000000000001</v>
          </cell>
        </row>
        <row r="1666">
          <cell r="C1666">
            <v>10750.134</v>
          </cell>
          <cell r="D1666">
            <v>-3.2519999999999998</v>
          </cell>
          <cell r="G1666">
            <v>12845.816000000001</v>
          </cell>
          <cell r="H1666">
            <v>-1.8759999999999999</v>
          </cell>
        </row>
        <row r="1667">
          <cell r="C1667">
            <v>10758.799000000001</v>
          </cell>
          <cell r="D1667">
            <v>-4.9859999999999998</v>
          </cell>
          <cell r="G1667">
            <v>12850.847</v>
          </cell>
          <cell r="H1667">
            <v>-1.337</v>
          </cell>
        </row>
        <row r="1668">
          <cell r="C1668">
            <v>10762.248</v>
          </cell>
          <cell r="D1668">
            <v>-5.1970000000000001</v>
          </cell>
          <cell r="G1668">
            <v>12854.232</v>
          </cell>
          <cell r="H1668">
            <v>-0.93</v>
          </cell>
        </row>
        <row r="1669">
          <cell r="C1669">
            <v>10763.207</v>
          </cell>
          <cell r="D1669">
            <v>-5.0780000000000003</v>
          </cell>
          <cell r="G1669">
            <v>12865.361999999999</v>
          </cell>
          <cell r="H1669">
            <v>0.14799999999999999</v>
          </cell>
        </row>
        <row r="1670">
          <cell r="C1670">
            <v>10772.602000000001</v>
          </cell>
          <cell r="D1670">
            <v>-6.44</v>
          </cell>
          <cell r="G1670">
            <v>12876.049000000001</v>
          </cell>
          <cell r="H1670">
            <v>0.77900000000000003</v>
          </cell>
        </row>
        <row r="1671">
          <cell r="C1671">
            <v>10775.147999999999</v>
          </cell>
          <cell r="D1671">
            <v>-6.9779999999999998</v>
          </cell>
          <cell r="G1671">
            <v>12890.86</v>
          </cell>
          <cell r="H1671">
            <v>0.40100000000000002</v>
          </cell>
        </row>
        <row r="1672">
          <cell r="C1672">
            <v>10777.6</v>
          </cell>
          <cell r="D1672">
            <v>-7.3890000000000002</v>
          </cell>
          <cell r="G1672">
            <v>12907.486000000001</v>
          </cell>
          <cell r="H1672">
            <v>-2.2730000000000001</v>
          </cell>
        </row>
        <row r="1673">
          <cell r="C1673">
            <v>10779.949000000001</v>
          </cell>
          <cell r="D1673">
            <v>-7.6079999999999997</v>
          </cell>
          <cell r="G1673">
            <v>12917.539000000001</v>
          </cell>
          <cell r="H1673">
            <v>-5.2119999999999997</v>
          </cell>
        </row>
        <row r="1674">
          <cell r="C1674">
            <v>10782.459000000001</v>
          </cell>
          <cell r="D1674">
            <v>-7.8570000000000002</v>
          </cell>
          <cell r="G1674">
            <v>12922.12</v>
          </cell>
          <cell r="H1674">
            <v>-6.7750000000000004</v>
          </cell>
        </row>
        <row r="1675">
          <cell r="C1675">
            <v>10790.909</v>
          </cell>
          <cell r="D1675">
            <v>-8.4039999999999999</v>
          </cell>
          <cell r="G1675">
            <v>12925.173000000001</v>
          </cell>
          <cell r="H1675">
            <v>-7.8470000000000004</v>
          </cell>
        </row>
        <row r="1676">
          <cell r="C1676">
            <v>10795.569</v>
          </cell>
          <cell r="D1676">
            <v>-8.5749999999999993</v>
          </cell>
          <cell r="G1676">
            <v>12928.025</v>
          </cell>
          <cell r="H1676">
            <v>-8.6880000000000006</v>
          </cell>
        </row>
        <row r="1677">
          <cell r="C1677">
            <v>10799.938</v>
          </cell>
          <cell r="D1677">
            <v>-8.3610000000000007</v>
          </cell>
          <cell r="G1677">
            <v>12931.825000000001</v>
          </cell>
          <cell r="H1677">
            <v>-9.7469999999999999</v>
          </cell>
        </row>
        <row r="1678">
          <cell r="C1678">
            <v>10803.592000000001</v>
          </cell>
          <cell r="D1678">
            <v>-8.3109999999999999</v>
          </cell>
          <cell r="G1678">
            <v>12935.165000000001</v>
          </cell>
          <cell r="H1678">
            <v>-10.515000000000001</v>
          </cell>
        </row>
        <row r="1679">
          <cell r="C1679">
            <v>10806.224</v>
          </cell>
          <cell r="D1679">
            <v>-8.3740000000000006</v>
          </cell>
          <cell r="G1679">
            <v>12937.437</v>
          </cell>
          <cell r="H1679">
            <v>-10.933</v>
          </cell>
        </row>
        <row r="1680">
          <cell r="C1680">
            <v>10808.035</v>
          </cell>
          <cell r="D1680">
            <v>-8.2230000000000008</v>
          </cell>
          <cell r="G1680">
            <v>12940.248</v>
          </cell>
          <cell r="H1680">
            <v>-11.327</v>
          </cell>
        </row>
        <row r="1681">
          <cell r="C1681">
            <v>10812.004000000001</v>
          </cell>
          <cell r="D1681">
            <v>-7.6029999999999998</v>
          </cell>
          <cell r="G1681">
            <v>12943.179</v>
          </cell>
          <cell r="H1681">
            <v>-11.598000000000001</v>
          </cell>
        </row>
        <row r="1682">
          <cell r="C1682">
            <v>10816.103999999999</v>
          </cell>
          <cell r="D1682">
            <v>-6.9710000000000001</v>
          </cell>
          <cell r="G1682">
            <v>12946.397000000001</v>
          </cell>
          <cell r="H1682">
            <v>-11.709</v>
          </cell>
        </row>
        <row r="1683">
          <cell r="C1683">
            <v>10827.771000000001</v>
          </cell>
          <cell r="D1683">
            <v>-5.5839999999999996</v>
          </cell>
          <cell r="G1683">
            <v>12950.074000000001</v>
          </cell>
          <cell r="H1683">
            <v>-11.853</v>
          </cell>
        </row>
        <row r="1684">
          <cell r="C1684">
            <v>10837.054</v>
          </cell>
          <cell r="D1684">
            <v>-4.5119999999999996</v>
          </cell>
          <cell r="G1684">
            <v>12953.402</v>
          </cell>
          <cell r="H1684">
            <v>-11.77</v>
          </cell>
        </row>
        <row r="1685">
          <cell r="C1685">
            <v>10845.773999999999</v>
          </cell>
          <cell r="D1685">
            <v>-3.198</v>
          </cell>
          <cell r="G1685">
            <v>12956.465</v>
          </cell>
          <cell r="H1685">
            <v>-11.504</v>
          </cell>
        </row>
        <row r="1686">
          <cell r="C1686">
            <v>10856.976000000001</v>
          </cell>
          <cell r="D1686">
            <v>-1.59</v>
          </cell>
          <cell r="G1686">
            <v>12960.644</v>
          </cell>
          <cell r="H1686">
            <v>-10.999000000000001</v>
          </cell>
        </row>
        <row r="1687">
          <cell r="C1687">
            <v>10870.754999999999</v>
          </cell>
          <cell r="D1687">
            <v>0.25</v>
          </cell>
          <cell r="G1687">
            <v>12962.531999999999</v>
          </cell>
          <cell r="H1687">
            <v>-10.772</v>
          </cell>
        </row>
        <row r="1688">
          <cell r="C1688">
            <v>10886.326999999999</v>
          </cell>
          <cell r="D1688">
            <v>2.609</v>
          </cell>
          <cell r="G1688">
            <v>12965.717000000001</v>
          </cell>
          <cell r="H1688">
            <v>-10.097</v>
          </cell>
        </row>
        <row r="1689">
          <cell r="C1689">
            <v>10910.107</v>
          </cell>
          <cell r="D1689">
            <v>10.287000000000001</v>
          </cell>
          <cell r="G1689">
            <v>12968.504999999999</v>
          </cell>
          <cell r="H1689">
            <v>-9.43</v>
          </cell>
        </row>
        <row r="1690">
          <cell r="C1690">
            <v>10913.982</v>
          </cell>
          <cell r="D1690">
            <v>12.292</v>
          </cell>
          <cell r="G1690">
            <v>12971.227999999999</v>
          </cell>
          <cell r="H1690">
            <v>-8.5749999999999993</v>
          </cell>
        </row>
        <row r="1691">
          <cell r="C1691">
            <v>10915.858</v>
          </cell>
          <cell r="D1691">
            <v>13.262</v>
          </cell>
          <cell r="G1691">
            <v>12973.94</v>
          </cell>
          <cell r="H1691">
            <v>-7.6130000000000004</v>
          </cell>
        </row>
        <row r="1692">
          <cell r="C1692">
            <v>10917.741</v>
          </cell>
          <cell r="D1692">
            <v>14.218</v>
          </cell>
          <cell r="G1692">
            <v>12976.847</v>
          </cell>
          <cell r="H1692">
            <v>-6.5739999999999998</v>
          </cell>
        </row>
        <row r="1693">
          <cell r="C1693">
            <v>10919.34</v>
          </cell>
          <cell r="D1693">
            <v>15.06</v>
          </cell>
          <cell r="G1693">
            <v>12979.689</v>
          </cell>
          <cell r="H1693">
            <v>-5.3460000000000001</v>
          </cell>
        </row>
        <row r="1694">
          <cell r="C1694">
            <v>10920.619000000001</v>
          </cell>
          <cell r="D1694">
            <v>15.760999999999999</v>
          </cell>
          <cell r="G1694">
            <v>12991.263999999999</v>
          </cell>
          <cell r="H1694">
            <v>-1.101</v>
          </cell>
        </row>
        <row r="1695">
          <cell r="C1695">
            <v>10922.129000000001</v>
          </cell>
          <cell r="D1695">
            <v>16.535</v>
          </cell>
          <cell r="G1695">
            <v>13045.502</v>
          </cell>
          <cell r="H1695">
            <v>18.513999999999999</v>
          </cell>
        </row>
        <row r="1696">
          <cell r="C1696">
            <v>10923.696</v>
          </cell>
          <cell r="D1696">
            <v>17.286000000000001</v>
          </cell>
          <cell r="G1696">
            <v>13051.359</v>
          </cell>
          <cell r="H1696">
            <v>20.6</v>
          </cell>
        </row>
        <row r="1697">
          <cell r="C1697">
            <v>10926.221</v>
          </cell>
          <cell r="D1697">
            <v>18.617000000000001</v>
          </cell>
          <cell r="G1697">
            <v>13057.293</v>
          </cell>
          <cell r="H1697">
            <v>22.376999999999999</v>
          </cell>
        </row>
        <row r="1698">
          <cell r="C1698">
            <v>10927.946</v>
          </cell>
          <cell r="D1698">
            <v>19.596</v>
          </cell>
          <cell r="G1698">
            <v>13062.566000000001</v>
          </cell>
          <cell r="H1698">
            <v>23.966999999999999</v>
          </cell>
        </row>
        <row r="1699">
          <cell r="C1699">
            <v>10929.575000000001</v>
          </cell>
          <cell r="D1699">
            <v>20.459</v>
          </cell>
          <cell r="G1699">
            <v>13068.324000000001</v>
          </cell>
          <cell r="H1699">
            <v>25.571999999999999</v>
          </cell>
        </row>
        <row r="1700">
          <cell r="C1700">
            <v>10931.183000000001</v>
          </cell>
          <cell r="D1700">
            <v>21.265000000000001</v>
          </cell>
          <cell r="G1700">
            <v>13074.205</v>
          </cell>
          <cell r="H1700">
            <v>27.094000000000001</v>
          </cell>
        </row>
        <row r="1701">
          <cell r="C1701">
            <v>10933.178</v>
          </cell>
          <cell r="D1701">
            <v>22.234000000000002</v>
          </cell>
          <cell r="G1701">
            <v>13079.01</v>
          </cell>
          <cell r="H1701">
            <v>27.971</v>
          </cell>
        </row>
        <row r="1702">
          <cell r="C1702">
            <v>10934.959000000001</v>
          </cell>
          <cell r="D1702">
            <v>23.152999999999999</v>
          </cell>
          <cell r="G1702">
            <v>13084.806</v>
          </cell>
          <cell r="H1702">
            <v>28.369</v>
          </cell>
        </row>
        <row r="1703">
          <cell r="C1703">
            <v>10937.316999999999</v>
          </cell>
          <cell r="D1703">
            <v>24.108000000000001</v>
          </cell>
          <cell r="G1703">
            <v>13090.699000000001</v>
          </cell>
          <cell r="H1703">
            <v>28.407</v>
          </cell>
        </row>
        <row r="1704">
          <cell r="C1704">
            <v>10940.115</v>
          </cell>
          <cell r="D1704">
            <v>25.189</v>
          </cell>
          <cell r="G1704">
            <v>13096.334999999999</v>
          </cell>
          <cell r="H1704">
            <v>27.911000000000001</v>
          </cell>
        </row>
        <row r="1705">
          <cell r="C1705">
            <v>10943.395</v>
          </cell>
          <cell r="D1705">
            <v>26.503</v>
          </cell>
          <cell r="G1705">
            <v>13101.460999999999</v>
          </cell>
          <cell r="H1705">
            <v>26.936</v>
          </cell>
        </row>
        <row r="1706">
          <cell r="C1706">
            <v>10944.664000000001</v>
          </cell>
          <cell r="D1706">
            <v>26.989000000000001</v>
          </cell>
          <cell r="G1706">
            <v>13104.996999999999</v>
          </cell>
          <cell r="H1706">
            <v>26.149000000000001</v>
          </cell>
        </row>
        <row r="1707">
          <cell r="C1707">
            <v>10946.007</v>
          </cell>
          <cell r="D1707">
            <v>27.509</v>
          </cell>
          <cell r="G1707">
            <v>13113.6</v>
          </cell>
          <cell r="H1707">
            <v>23.402000000000001</v>
          </cell>
        </row>
        <row r="1708">
          <cell r="C1708">
            <v>10947.431</v>
          </cell>
          <cell r="D1708">
            <v>27.945</v>
          </cell>
          <cell r="G1708">
            <v>13124.788</v>
          </cell>
          <cell r="H1708">
            <v>19.827000000000002</v>
          </cell>
        </row>
        <row r="1709">
          <cell r="C1709">
            <v>10949.232</v>
          </cell>
          <cell r="D1709">
            <v>28.603999999999999</v>
          </cell>
          <cell r="G1709">
            <v>13145.348</v>
          </cell>
          <cell r="H1709">
            <v>11.901</v>
          </cell>
        </row>
        <row r="1710">
          <cell r="C1710">
            <v>10951.066999999999</v>
          </cell>
          <cell r="D1710">
            <v>29.286999999999999</v>
          </cell>
          <cell r="G1710">
            <v>13168.016</v>
          </cell>
          <cell r="H1710">
            <v>4.8499999999999996</v>
          </cell>
        </row>
        <row r="1711">
          <cell r="C1711">
            <v>10953.401</v>
          </cell>
          <cell r="D1711">
            <v>30.164999999999999</v>
          </cell>
          <cell r="G1711">
            <v>13191.334000000001</v>
          </cell>
          <cell r="H1711">
            <v>1.224</v>
          </cell>
        </row>
        <row r="1712">
          <cell r="C1712">
            <v>10955.592000000001</v>
          </cell>
          <cell r="D1712">
            <v>30.960999999999999</v>
          </cell>
          <cell r="G1712">
            <v>13218.249</v>
          </cell>
          <cell r="H1712">
            <v>3.2559999999999998</v>
          </cell>
        </row>
        <row r="1713">
          <cell r="C1713">
            <v>10956.721</v>
          </cell>
          <cell r="D1713">
            <v>31.234999999999999</v>
          </cell>
          <cell r="G1713">
            <v>13243.154</v>
          </cell>
          <cell r="H1713">
            <v>11.010999999999999</v>
          </cell>
        </row>
        <row r="1714">
          <cell r="C1714">
            <v>10958.087</v>
          </cell>
          <cell r="D1714">
            <v>31.576000000000001</v>
          </cell>
          <cell r="G1714">
            <v>13247.779</v>
          </cell>
          <cell r="H1714">
            <v>12.855</v>
          </cell>
        </row>
        <row r="1715">
          <cell r="C1715">
            <v>10959.272000000001</v>
          </cell>
          <cell r="D1715">
            <v>31.709</v>
          </cell>
          <cell r="G1715">
            <v>13253.638000000001</v>
          </cell>
          <cell r="H1715">
            <v>15.859</v>
          </cell>
        </row>
        <row r="1716">
          <cell r="C1716">
            <v>10960.609</v>
          </cell>
          <cell r="D1716">
            <v>31.687000000000001</v>
          </cell>
          <cell r="G1716">
            <v>13257.521000000001</v>
          </cell>
          <cell r="H1716">
            <v>17.629000000000001</v>
          </cell>
        </row>
        <row r="1717">
          <cell r="C1717">
            <v>10962.105</v>
          </cell>
          <cell r="D1717">
            <v>31.576000000000001</v>
          </cell>
          <cell r="G1717">
            <v>13260.299000000001</v>
          </cell>
          <cell r="H1717">
            <v>18.818999999999999</v>
          </cell>
        </row>
        <row r="1718">
          <cell r="C1718">
            <v>10965.424999999999</v>
          </cell>
          <cell r="D1718">
            <v>31.745999999999999</v>
          </cell>
          <cell r="G1718">
            <v>13264.706</v>
          </cell>
          <cell r="H1718">
            <v>20.45</v>
          </cell>
        </row>
        <row r="1719">
          <cell r="C1719">
            <v>10966.715</v>
          </cell>
          <cell r="D1719">
            <v>31.759</v>
          </cell>
          <cell r="G1719">
            <v>13268.558000000001</v>
          </cell>
          <cell r="H1719">
            <v>21.602</v>
          </cell>
        </row>
        <row r="1720">
          <cell r="C1720">
            <v>10969.474</v>
          </cell>
          <cell r="D1720">
            <v>31.765000000000001</v>
          </cell>
          <cell r="G1720">
            <v>13272.834000000001</v>
          </cell>
          <cell r="H1720">
            <v>22.613</v>
          </cell>
        </row>
        <row r="1721">
          <cell r="C1721">
            <v>10971.956</v>
          </cell>
          <cell r="D1721">
            <v>31.800999999999998</v>
          </cell>
          <cell r="G1721">
            <v>13277.307000000001</v>
          </cell>
          <cell r="H1721">
            <v>23.434000000000001</v>
          </cell>
        </row>
        <row r="1722">
          <cell r="C1722">
            <v>10973.645</v>
          </cell>
          <cell r="D1722">
            <v>31.773</v>
          </cell>
          <cell r="G1722">
            <v>13282.855</v>
          </cell>
          <cell r="H1722">
            <v>23.928999999999998</v>
          </cell>
        </row>
        <row r="1723">
          <cell r="C1723">
            <v>10975.973</v>
          </cell>
          <cell r="D1723">
            <v>31.73</v>
          </cell>
          <cell r="G1723">
            <v>13287.844999999999</v>
          </cell>
          <cell r="H1723">
            <v>24.05</v>
          </cell>
        </row>
        <row r="1724">
          <cell r="C1724">
            <v>10977.638000000001</v>
          </cell>
          <cell r="D1724">
            <v>31.605</v>
          </cell>
          <cell r="G1724">
            <v>13293.81</v>
          </cell>
          <cell r="H1724">
            <v>23.687999999999999</v>
          </cell>
        </row>
        <row r="1725">
          <cell r="C1725">
            <v>10979.619000000001</v>
          </cell>
          <cell r="D1725">
            <v>31.477</v>
          </cell>
          <cell r="G1725">
            <v>13300.07</v>
          </cell>
          <cell r="H1725">
            <v>22.27</v>
          </cell>
        </row>
        <row r="1726">
          <cell r="C1726">
            <v>10981.493</v>
          </cell>
          <cell r="D1726">
            <v>31.196000000000002</v>
          </cell>
          <cell r="G1726">
            <v>13310.637000000001</v>
          </cell>
          <cell r="H1726">
            <v>19.658000000000001</v>
          </cell>
        </row>
        <row r="1727">
          <cell r="C1727">
            <v>10983.224</v>
          </cell>
          <cell r="D1727">
            <v>30.937999999999999</v>
          </cell>
          <cell r="G1727">
            <v>13327.858</v>
          </cell>
          <cell r="H1727">
            <v>16.46</v>
          </cell>
        </row>
        <row r="1728">
          <cell r="C1728">
            <v>10985.245000000001</v>
          </cell>
          <cell r="D1728">
            <v>30.561</v>
          </cell>
          <cell r="G1728">
            <v>13350.159</v>
          </cell>
          <cell r="H1728">
            <v>12.717000000000001</v>
          </cell>
        </row>
        <row r="1729">
          <cell r="C1729">
            <v>10987.132</v>
          </cell>
          <cell r="D1729">
            <v>30.184000000000001</v>
          </cell>
          <cell r="G1729">
            <v>13374.314</v>
          </cell>
          <cell r="H1729">
            <v>8.4529999999999994</v>
          </cell>
        </row>
        <row r="1730">
          <cell r="C1730">
            <v>10989.248</v>
          </cell>
          <cell r="D1730">
            <v>29.538</v>
          </cell>
          <cell r="G1730">
            <v>13396.377</v>
          </cell>
          <cell r="H1730">
            <v>4.0060000000000002</v>
          </cell>
        </row>
        <row r="1731">
          <cell r="C1731">
            <v>10992.518</v>
          </cell>
          <cell r="D1731">
            <v>28.61</v>
          </cell>
          <cell r="G1731">
            <v>13402.44</v>
          </cell>
          <cell r="H1731">
            <v>2.597</v>
          </cell>
        </row>
        <row r="1732">
          <cell r="C1732">
            <v>10994.683000000001</v>
          </cell>
          <cell r="D1732">
            <v>27.920999999999999</v>
          </cell>
          <cell r="G1732">
            <v>13406.89</v>
          </cell>
          <cell r="H1732">
            <v>1.5649999999999999</v>
          </cell>
        </row>
        <row r="1733">
          <cell r="C1733">
            <v>10997.519</v>
          </cell>
          <cell r="D1733">
            <v>26.945</v>
          </cell>
          <cell r="G1733">
            <v>13411.156000000001</v>
          </cell>
          <cell r="H1733">
            <v>0.78100000000000003</v>
          </cell>
        </row>
        <row r="1734">
          <cell r="C1734">
            <v>10999.615</v>
          </cell>
          <cell r="D1734">
            <v>26.195</v>
          </cell>
          <cell r="G1734">
            <v>13415.689</v>
          </cell>
          <cell r="H1734">
            <v>0.22600000000000001</v>
          </cell>
        </row>
        <row r="1735">
          <cell r="C1735">
            <v>11001.298000000001</v>
          </cell>
          <cell r="D1735">
            <v>25.468</v>
          </cell>
          <cell r="G1735">
            <v>13420.046</v>
          </cell>
          <cell r="H1735">
            <v>-1.4E-2</v>
          </cell>
        </row>
        <row r="1736">
          <cell r="C1736">
            <v>11003.526</v>
          </cell>
          <cell r="D1736">
            <v>24.405000000000001</v>
          </cell>
          <cell r="G1736">
            <v>13425.183999999999</v>
          </cell>
          <cell r="H1736">
            <v>-0.214</v>
          </cell>
        </row>
        <row r="1737">
          <cell r="C1737">
            <v>11005.342000000001</v>
          </cell>
          <cell r="D1737">
            <v>23.568000000000001</v>
          </cell>
          <cell r="G1737">
            <v>13430.186</v>
          </cell>
          <cell r="H1737">
            <v>-0.23100000000000001</v>
          </cell>
        </row>
        <row r="1738">
          <cell r="C1738">
            <v>11007.447</v>
          </cell>
          <cell r="D1738">
            <v>22.527000000000001</v>
          </cell>
          <cell r="G1738">
            <v>13435.067999999999</v>
          </cell>
          <cell r="H1738">
            <v>8.6999999999999994E-2</v>
          </cell>
        </row>
        <row r="1739">
          <cell r="C1739">
            <v>11009.698</v>
          </cell>
          <cell r="D1739">
            <v>21.423999999999999</v>
          </cell>
          <cell r="G1739">
            <v>13440.636</v>
          </cell>
          <cell r="H1739">
            <v>0.79500000000000004</v>
          </cell>
        </row>
        <row r="1740">
          <cell r="C1740">
            <v>11011.112999999999</v>
          </cell>
          <cell r="D1740">
            <v>20.699000000000002</v>
          </cell>
          <cell r="G1740">
            <v>13447.016</v>
          </cell>
          <cell r="H1740">
            <v>1.857</v>
          </cell>
        </row>
        <row r="1741">
          <cell r="C1741">
            <v>11012.261</v>
          </cell>
          <cell r="D1741">
            <v>20.061</v>
          </cell>
          <cell r="G1741">
            <v>13451.950999999999</v>
          </cell>
          <cell r="H1741">
            <v>2.9470000000000001</v>
          </cell>
        </row>
        <row r="1742">
          <cell r="C1742">
            <v>11014.477999999999</v>
          </cell>
          <cell r="D1742">
            <v>18.867999999999999</v>
          </cell>
          <cell r="G1742">
            <v>13456.825999999999</v>
          </cell>
          <cell r="H1742">
            <v>4.1849999999999996</v>
          </cell>
        </row>
        <row r="1743">
          <cell r="C1743">
            <v>11016.151</v>
          </cell>
          <cell r="D1743">
            <v>17.934000000000001</v>
          </cell>
          <cell r="G1743">
            <v>13478.472</v>
          </cell>
          <cell r="H1743">
            <v>8.6790000000000003</v>
          </cell>
        </row>
        <row r="1744">
          <cell r="C1744">
            <v>11018.444</v>
          </cell>
          <cell r="D1744">
            <v>16.622</v>
          </cell>
          <cell r="G1744">
            <v>13498.540999999999</v>
          </cell>
          <cell r="H1744">
            <v>12.657999999999999</v>
          </cell>
        </row>
        <row r="1745">
          <cell r="C1745">
            <v>11027.191999999999</v>
          </cell>
          <cell r="D1745">
            <v>12.335000000000001</v>
          </cell>
          <cell r="G1745">
            <v>13507.349</v>
          </cell>
          <cell r="H1745">
            <v>14.111000000000001</v>
          </cell>
        </row>
        <row r="1746">
          <cell r="C1746">
            <v>11040.86</v>
          </cell>
          <cell r="D1746">
            <v>8.5050000000000008</v>
          </cell>
          <cell r="G1746">
            <v>13513.936</v>
          </cell>
          <cell r="H1746">
            <v>15.098000000000001</v>
          </cell>
        </row>
        <row r="1747">
          <cell r="C1747">
            <v>11058.119000000001</v>
          </cell>
          <cell r="D1747">
            <v>6.2809999999999997</v>
          </cell>
          <cell r="G1747">
            <v>13519.745999999999</v>
          </cell>
          <cell r="H1747">
            <v>15.932</v>
          </cell>
        </row>
        <row r="1748">
          <cell r="C1748">
            <v>11080.039000000001</v>
          </cell>
          <cell r="D1748">
            <v>4.7030000000000003</v>
          </cell>
          <cell r="G1748">
            <v>13525.267</v>
          </cell>
          <cell r="H1748">
            <v>16.478999999999999</v>
          </cell>
        </row>
        <row r="1749">
          <cell r="C1749">
            <v>11082.326999999999</v>
          </cell>
          <cell r="D1749">
            <v>4.6269999999999998</v>
          </cell>
          <cell r="G1749">
            <v>13530.722</v>
          </cell>
          <cell r="H1749">
            <v>16.59</v>
          </cell>
        </row>
        <row r="1750">
          <cell r="C1750">
            <v>11084.759</v>
          </cell>
          <cell r="D1750">
            <v>4.4050000000000002</v>
          </cell>
          <cell r="G1750">
            <v>13535.85</v>
          </cell>
          <cell r="H1750">
            <v>16.503</v>
          </cell>
        </row>
        <row r="1751">
          <cell r="C1751">
            <v>11092.521000000001</v>
          </cell>
          <cell r="D1751">
            <v>3.4809999999999999</v>
          </cell>
          <cell r="G1751">
            <v>13542.275</v>
          </cell>
          <cell r="H1751">
            <v>16.015000000000001</v>
          </cell>
        </row>
        <row r="1752">
          <cell r="C1752">
            <v>11097.351000000001</v>
          </cell>
          <cell r="D1752">
            <v>2.7240000000000002</v>
          </cell>
          <cell r="G1752">
            <v>13549.739</v>
          </cell>
          <cell r="H1752">
            <v>15.07</v>
          </cell>
        </row>
        <row r="1753">
          <cell r="C1753">
            <v>11100.913</v>
          </cell>
          <cell r="D1753">
            <v>2.2490000000000001</v>
          </cell>
          <cell r="G1753">
            <v>13565.807000000001</v>
          </cell>
          <cell r="H1753">
            <v>12.978</v>
          </cell>
        </row>
        <row r="1754">
          <cell r="C1754">
            <v>11105.009</v>
          </cell>
          <cell r="D1754">
            <v>1.5780000000000001</v>
          </cell>
          <cell r="G1754">
            <v>13589.999</v>
          </cell>
          <cell r="H1754">
            <v>8.7319999999999993</v>
          </cell>
        </row>
        <row r="1755">
          <cell r="C1755">
            <v>11111.031000000001</v>
          </cell>
          <cell r="D1755">
            <v>0.52300000000000002</v>
          </cell>
          <cell r="G1755">
            <v>13611.785</v>
          </cell>
          <cell r="H1755">
            <v>5.1440000000000001</v>
          </cell>
        </row>
        <row r="1756">
          <cell r="C1756">
            <v>11116.191999999999</v>
          </cell>
          <cell r="D1756">
            <v>-0.52600000000000002</v>
          </cell>
          <cell r="G1756">
            <v>13622.602999999999</v>
          </cell>
          <cell r="H1756">
            <v>3.359</v>
          </cell>
        </row>
        <row r="1757">
          <cell r="C1757">
            <v>11119.395</v>
          </cell>
          <cell r="D1757">
            <v>-0.89800000000000002</v>
          </cell>
          <cell r="G1757">
            <v>13629.368</v>
          </cell>
          <cell r="H1757">
            <v>2.1019999999999999</v>
          </cell>
        </row>
        <row r="1758">
          <cell r="C1758">
            <v>11123.383</v>
          </cell>
          <cell r="D1758">
            <v>-1.4670000000000001</v>
          </cell>
          <cell r="G1758">
            <v>13634.971</v>
          </cell>
          <cell r="H1758">
            <v>1.105</v>
          </cell>
        </row>
        <row r="1759">
          <cell r="C1759">
            <v>11125.978999999999</v>
          </cell>
          <cell r="D1759">
            <v>-1.8720000000000001</v>
          </cell>
          <cell r="G1759">
            <v>13641.353999999999</v>
          </cell>
          <cell r="H1759">
            <v>0.214</v>
          </cell>
        </row>
        <row r="1760">
          <cell r="C1760">
            <v>11128.097</v>
          </cell>
          <cell r="D1760">
            <v>-2.048</v>
          </cell>
          <cell r="G1760">
            <v>13647.691999999999</v>
          </cell>
          <cell r="H1760">
            <v>-0.442</v>
          </cell>
        </row>
        <row r="1761">
          <cell r="C1761">
            <v>11131.023999999999</v>
          </cell>
          <cell r="D1761">
            <v>-2.1179999999999999</v>
          </cell>
          <cell r="G1761">
            <v>13654.599</v>
          </cell>
          <cell r="H1761">
            <v>-0.91500000000000004</v>
          </cell>
        </row>
        <row r="1762">
          <cell r="C1762">
            <v>11133.288</v>
          </cell>
          <cell r="D1762">
            <v>-2.109</v>
          </cell>
          <cell r="G1762">
            <v>13659.852999999999</v>
          </cell>
          <cell r="H1762">
            <v>-1.0900000000000001</v>
          </cell>
        </row>
        <row r="1763">
          <cell r="C1763">
            <v>11136.941000000001</v>
          </cell>
          <cell r="D1763">
            <v>-2.359</v>
          </cell>
          <cell r="G1763">
            <v>13667.489</v>
          </cell>
          <cell r="H1763">
            <v>-1.544</v>
          </cell>
        </row>
        <row r="1764">
          <cell r="C1764">
            <v>11139.913</v>
          </cell>
          <cell r="D1764">
            <v>-2.5640000000000001</v>
          </cell>
          <cell r="G1764">
            <v>13674.313</v>
          </cell>
          <cell r="H1764">
            <v>-1.6120000000000001</v>
          </cell>
        </row>
        <row r="1765">
          <cell r="C1765">
            <v>11142.540999999999</v>
          </cell>
          <cell r="D1765">
            <v>-2.6829999999999998</v>
          </cell>
          <cell r="G1765">
            <v>13679.880999999999</v>
          </cell>
          <cell r="H1765">
            <v>-1.2070000000000001</v>
          </cell>
        </row>
        <row r="1766">
          <cell r="C1766">
            <v>11144.57</v>
          </cell>
          <cell r="D1766">
            <v>-2.5299999999999998</v>
          </cell>
          <cell r="G1766">
            <v>13687.982</v>
          </cell>
          <cell r="H1766">
            <v>-0.747</v>
          </cell>
        </row>
        <row r="1767">
          <cell r="C1767">
            <v>11148.433999999999</v>
          </cell>
          <cell r="D1767">
            <v>-2.3290000000000002</v>
          </cell>
          <cell r="G1767">
            <v>13695.955</v>
          </cell>
          <cell r="H1767">
            <v>-0.38100000000000001</v>
          </cell>
        </row>
        <row r="1768">
          <cell r="C1768">
            <v>11153.95</v>
          </cell>
          <cell r="D1768">
            <v>-1.915</v>
          </cell>
          <cell r="G1768">
            <v>13703.97</v>
          </cell>
          <cell r="H1768">
            <v>0.28599999999999998</v>
          </cell>
        </row>
        <row r="1769">
          <cell r="C1769">
            <v>11155.589</v>
          </cell>
          <cell r="D1769">
            <v>-1.8220000000000001</v>
          </cell>
          <cell r="G1769">
            <v>13711.326999999999</v>
          </cell>
          <cell r="H1769">
            <v>1.165</v>
          </cell>
        </row>
        <row r="1770">
          <cell r="C1770">
            <v>11157.192999999999</v>
          </cell>
          <cell r="D1770">
            <v>-1.6830000000000001</v>
          </cell>
          <cell r="G1770">
            <v>13720.83</v>
          </cell>
          <cell r="H1770">
            <v>2.3940000000000001</v>
          </cell>
        </row>
        <row r="1771">
          <cell r="C1771">
            <v>11159.698</v>
          </cell>
          <cell r="D1771">
            <v>-1.444</v>
          </cell>
          <cell r="G1771">
            <v>13731.4</v>
          </cell>
          <cell r="H1771">
            <v>3.2959999999999998</v>
          </cell>
        </row>
        <row r="1772">
          <cell r="C1772">
            <v>11161.944</v>
          </cell>
          <cell r="D1772">
            <v>-1.141</v>
          </cell>
          <cell r="G1772">
            <v>13759.942999999999</v>
          </cell>
          <cell r="H1772">
            <v>4.2469999999999999</v>
          </cell>
        </row>
        <row r="1773">
          <cell r="C1773">
            <v>11164.686</v>
          </cell>
          <cell r="D1773">
            <v>-0.78200000000000003</v>
          </cell>
          <cell r="G1773">
            <v>13773.291999999999</v>
          </cell>
          <cell r="H1773">
            <v>3.9140000000000001</v>
          </cell>
        </row>
        <row r="1774">
          <cell r="C1774">
            <v>11167.43</v>
          </cell>
          <cell r="D1774">
            <v>-0.33300000000000002</v>
          </cell>
          <cell r="G1774">
            <v>13780.652</v>
          </cell>
          <cell r="H1774">
            <v>3.456</v>
          </cell>
        </row>
        <row r="1775">
          <cell r="C1775">
            <v>11169.567999999999</v>
          </cell>
          <cell r="D1775">
            <v>-0.114</v>
          </cell>
          <cell r="G1775">
            <v>13788.195</v>
          </cell>
          <cell r="H1775">
            <v>3.395</v>
          </cell>
        </row>
        <row r="1776">
          <cell r="C1776">
            <v>11171.558999999999</v>
          </cell>
          <cell r="D1776">
            <v>0.20100000000000001</v>
          </cell>
          <cell r="G1776">
            <v>13794.620999999999</v>
          </cell>
          <cell r="H1776">
            <v>2.819</v>
          </cell>
        </row>
        <row r="1777">
          <cell r="C1777">
            <v>11173.423000000001</v>
          </cell>
          <cell r="D1777">
            <v>0.52300000000000002</v>
          </cell>
          <cell r="G1777">
            <v>13799.867</v>
          </cell>
          <cell r="H1777">
            <v>2.194</v>
          </cell>
        </row>
        <row r="1778">
          <cell r="C1778">
            <v>11175.316999999999</v>
          </cell>
          <cell r="D1778">
            <v>0.93700000000000006</v>
          </cell>
          <cell r="G1778">
            <v>13807.21</v>
          </cell>
          <cell r="H1778">
            <v>1.3779999999999999</v>
          </cell>
        </row>
        <row r="1779">
          <cell r="C1779">
            <v>11181.584000000001</v>
          </cell>
          <cell r="D1779">
            <v>2.1030000000000002</v>
          </cell>
          <cell r="G1779">
            <v>13813.790999999999</v>
          </cell>
          <cell r="H1779">
            <v>0.86699999999999999</v>
          </cell>
        </row>
        <row r="1780">
          <cell r="C1780">
            <v>11187.806</v>
          </cell>
          <cell r="D1780">
            <v>3.1160000000000001</v>
          </cell>
          <cell r="G1780">
            <v>13818.663</v>
          </cell>
          <cell r="H1780">
            <v>0.56999999999999995</v>
          </cell>
        </row>
        <row r="1781">
          <cell r="C1781">
            <v>11192.159</v>
          </cell>
          <cell r="D1781">
            <v>3.6150000000000002</v>
          </cell>
          <cell r="G1781">
            <v>13824.411</v>
          </cell>
          <cell r="H1781">
            <v>0.30599999999999999</v>
          </cell>
        </row>
        <row r="1782">
          <cell r="C1782">
            <v>11196.248</v>
          </cell>
          <cell r="D1782">
            <v>3.8580000000000001</v>
          </cell>
          <cell r="G1782">
            <v>13829.415999999999</v>
          </cell>
          <cell r="H1782">
            <v>-0.105</v>
          </cell>
        </row>
        <row r="1783">
          <cell r="C1783">
            <v>11203.975</v>
          </cell>
          <cell r="D1783">
            <v>3.7749999999999999</v>
          </cell>
          <cell r="G1783">
            <v>13836.574000000001</v>
          </cell>
          <cell r="H1783">
            <v>-0.45700000000000002</v>
          </cell>
        </row>
        <row r="1784">
          <cell r="C1784">
            <v>11212.771000000001</v>
          </cell>
          <cell r="D1784">
            <v>2.984</v>
          </cell>
          <cell r="G1784">
            <v>13842.11</v>
          </cell>
          <cell r="H1784">
            <v>-0.65400000000000003</v>
          </cell>
        </row>
        <row r="1785">
          <cell r="C1785">
            <v>11215.191999999999</v>
          </cell>
          <cell r="D1785">
            <v>2.6440000000000001</v>
          </cell>
          <cell r="G1785">
            <v>13846.888000000001</v>
          </cell>
          <cell r="H1785">
            <v>-0.76200000000000001</v>
          </cell>
        </row>
        <row r="1786">
          <cell r="C1786">
            <v>11217.679</v>
          </cell>
          <cell r="D1786">
            <v>2.194</v>
          </cell>
          <cell r="G1786">
            <v>13851.448</v>
          </cell>
          <cell r="H1786">
            <v>-0.95399999999999996</v>
          </cell>
        </row>
        <row r="1787">
          <cell r="C1787">
            <v>11219.351000000001</v>
          </cell>
          <cell r="D1787">
            <v>1.998</v>
          </cell>
          <cell r="G1787">
            <v>13857.503000000001</v>
          </cell>
          <cell r="H1787">
            <v>-1.419</v>
          </cell>
        </row>
        <row r="1788">
          <cell r="C1788">
            <v>11221.907999999999</v>
          </cell>
          <cell r="D1788">
            <v>1.6020000000000001</v>
          </cell>
          <cell r="G1788">
            <v>13863.209000000001</v>
          </cell>
          <cell r="H1788">
            <v>-1.8440000000000001</v>
          </cell>
        </row>
        <row r="1789">
          <cell r="C1789">
            <v>11223.948</v>
          </cell>
          <cell r="D1789">
            <v>1.347</v>
          </cell>
          <cell r="G1789">
            <v>13870.415000000001</v>
          </cell>
          <cell r="H1789">
            <v>-2.0840000000000001</v>
          </cell>
        </row>
        <row r="1790">
          <cell r="C1790">
            <v>11226.322</v>
          </cell>
          <cell r="D1790">
            <v>1.073</v>
          </cell>
          <cell r="G1790">
            <v>13875.915000000001</v>
          </cell>
          <cell r="H1790">
            <v>-2.3740000000000001</v>
          </cell>
        </row>
        <row r="1791">
          <cell r="C1791">
            <v>11228.291999999999</v>
          </cell>
          <cell r="D1791">
            <v>0.90300000000000002</v>
          </cell>
          <cell r="G1791">
            <v>13882.396000000001</v>
          </cell>
          <cell r="H1791">
            <v>-2.484</v>
          </cell>
        </row>
        <row r="1792">
          <cell r="C1792">
            <v>11230.142</v>
          </cell>
          <cell r="D1792">
            <v>0.72</v>
          </cell>
          <cell r="G1792">
            <v>13892.197</v>
          </cell>
          <cell r="H1792">
            <v>-2.9620000000000002</v>
          </cell>
        </row>
        <row r="1793">
          <cell r="C1793">
            <v>11232.134</v>
          </cell>
          <cell r="D1793">
            <v>0.624</v>
          </cell>
          <cell r="G1793">
            <v>13903.594999999999</v>
          </cell>
          <cell r="H1793">
            <v>-3.012</v>
          </cell>
        </row>
        <row r="1794">
          <cell r="C1794">
            <v>11234.7</v>
          </cell>
          <cell r="D1794">
            <v>0.53500000000000003</v>
          </cell>
          <cell r="G1794">
            <v>13920.78</v>
          </cell>
          <cell r="H1794">
            <v>-2.89</v>
          </cell>
        </row>
        <row r="1795">
          <cell r="C1795">
            <v>11238.716</v>
          </cell>
          <cell r="D1795">
            <v>0.55600000000000005</v>
          </cell>
          <cell r="G1795">
            <v>13928.304</v>
          </cell>
          <cell r="H1795">
            <v>-2.665</v>
          </cell>
        </row>
        <row r="1796">
          <cell r="C1796">
            <v>11242.485000000001</v>
          </cell>
          <cell r="D1796">
            <v>0.49399999999999999</v>
          </cell>
          <cell r="G1796">
            <v>13940.682000000001</v>
          </cell>
          <cell r="H1796">
            <v>-3.4390000000000001</v>
          </cell>
        </row>
        <row r="1797">
          <cell r="C1797">
            <v>11248.589</v>
          </cell>
          <cell r="D1797">
            <v>0.49199999999999999</v>
          </cell>
          <cell r="G1797">
            <v>13975.674999999999</v>
          </cell>
          <cell r="H1797">
            <v>-3.8479999999999999</v>
          </cell>
        </row>
        <row r="1798">
          <cell r="C1798">
            <v>11252.976000000001</v>
          </cell>
          <cell r="D1798">
            <v>0.34100000000000003</v>
          </cell>
          <cell r="G1798">
            <v>14015.993</v>
          </cell>
          <cell r="H1798">
            <v>-3.9649999999999999</v>
          </cell>
        </row>
        <row r="1799">
          <cell r="C1799">
            <v>11254.795</v>
          </cell>
          <cell r="D1799">
            <v>0.34200000000000003</v>
          </cell>
          <cell r="G1799">
            <v>14052.593000000001</v>
          </cell>
          <cell r="H1799">
            <v>-4.3120000000000003</v>
          </cell>
        </row>
        <row r="1800">
          <cell r="C1800">
            <v>11256.832</v>
          </cell>
          <cell r="D1800">
            <v>0.44</v>
          </cell>
          <cell r="G1800">
            <v>14082.423000000001</v>
          </cell>
          <cell r="H1800">
            <v>-4.0869999999999997</v>
          </cell>
        </row>
        <row r="1801">
          <cell r="C1801">
            <v>11259.191999999999</v>
          </cell>
          <cell r="D1801">
            <v>0.59299999999999997</v>
          </cell>
          <cell r="G1801">
            <v>14101.166999999999</v>
          </cell>
          <cell r="H1801">
            <v>-3.5960000000000001</v>
          </cell>
        </row>
        <row r="1802">
          <cell r="C1802">
            <v>11262.144</v>
          </cell>
          <cell r="D1802">
            <v>0.752</v>
          </cell>
          <cell r="G1802">
            <v>14106.602999999999</v>
          </cell>
          <cell r="H1802">
            <v>-3.552</v>
          </cell>
        </row>
        <row r="1803">
          <cell r="C1803">
            <v>11263.513000000001</v>
          </cell>
          <cell r="D1803">
            <v>0.76500000000000001</v>
          </cell>
          <cell r="G1803">
            <v>14111.896000000001</v>
          </cell>
          <cell r="H1803">
            <v>-3.68</v>
          </cell>
        </row>
        <row r="1804">
          <cell r="C1804">
            <v>11266.776</v>
          </cell>
          <cell r="D1804">
            <v>0.99099999999999999</v>
          </cell>
          <cell r="G1804">
            <v>14117.933000000001</v>
          </cell>
          <cell r="H1804">
            <v>-3.7269999999999999</v>
          </cell>
        </row>
        <row r="1805">
          <cell r="C1805">
            <v>11269.464</v>
          </cell>
          <cell r="D1805">
            <v>1.1539999999999999</v>
          </cell>
          <cell r="G1805">
            <v>14124.103999999999</v>
          </cell>
          <cell r="H1805">
            <v>-3.95</v>
          </cell>
        </row>
        <row r="1806">
          <cell r="C1806">
            <v>11272.41</v>
          </cell>
          <cell r="D1806">
            <v>1.304</v>
          </cell>
          <cell r="G1806">
            <v>14130.123</v>
          </cell>
          <cell r="H1806">
            <v>-3.9849999999999999</v>
          </cell>
        </row>
        <row r="1807">
          <cell r="C1807">
            <v>11275.61</v>
          </cell>
          <cell r="D1807">
            <v>1.446</v>
          </cell>
          <cell r="G1807">
            <v>14135.284</v>
          </cell>
          <cell r="H1807">
            <v>-3.9470000000000001</v>
          </cell>
        </row>
        <row r="1808">
          <cell r="C1808">
            <v>11278.057000000001</v>
          </cell>
          <cell r="D1808">
            <v>1.56</v>
          </cell>
          <cell r="G1808">
            <v>14142.003000000001</v>
          </cell>
          <cell r="H1808">
            <v>-3.907</v>
          </cell>
        </row>
        <row r="1809">
          <cell r="C1809">
            <v>11280.616</v>
          </cell>
          <cell r="D1809">
            <v>1.915</v>
          </cell>
          <cell r="G1809">
            <v>14146.554</v>
          </cell>
          <cell r="H1809">
            <v>-3.7770000000000001</v>
          </cell>
        </row>
        <row r="1810">
          <cell r="C1810">
            <v>11284.52</v>
          </cell>
          <cell r="D1810">
            <v>2.4060000000000001</v>
          </cell>
          <cell r="G1810">
            <v>14151.23</v>
          </cell>
          <cell r="H1810">
            <v>-3.5619999999999998</v>
          </cell>
        </row>
        <row r="1811">
          <cell r="C1811">
            <v>11288.509</v>
          </cell>
          <cell r="D1811">
            <v>2.8690000000000002</v>
          </cell>
          <cell r="G1811">
            <v>14154.183000000001</v>
          </cell>
          <cell r="H1811">
            <v>-3.403</v>
          </cell>
        </row>
        <row r="1812">
          <cell r="C1812">
            <v>11296.517</v>
          </cell>
          <cell r="D1812">
            <v>3.448</v>
          </cell>
          <cell r="G1812">
            <v>14154.195</v>
          </cell>
          <cell r="H1812">
            <v>-3.9540000000000002</v>
          </cell>
        </row>
        <row r="1813">
          <cell r="C1813">
            <v>11307.712</v>
          </cell>
          <cell r="D1813">
            <v>3.3780000000000001</v>
          </cell>
          <cell r="G1813">
            <v>14165.058999999999</v>
          </cell>
          <cell r="H1813">
            <v>-3.5880000000000001</v>
          </cell>
        </row>
        <row r="1814">
          <cell r="C1814">
            <v>11312.498</v>
          </cell>
          <cell r="D1814">
            <v>3.4220000000000002</v>
          </cell>
          <cell r="G1814">
            <v>14173.927</v>
          </cell>
          <cell r="H1814">
            <v>-2.8010000000000002</v>
          </cell>
        </row>
        <row r="1815">
          <cell r="C1815">
            <v>11315.433999999999</v>
          </cell>
          <cell r="D1815">
            <v>3.5019999999999998</v>
          </cell>
          <cell r="G1815">
            <v>14183.852999999999</v>
          </cell>
          <cell r="H1815">
            <v>-2.1349999999999998</v>
          </cell>
        </row>
        <row r="1816">
          <cell r="C1816">
            <v>11318.31</v>
          </cell>
          <cell r="D1816">
            <v>3.57</v>
          </cell>
          <cell r="G1816">
            <v>14192.076999999999</v>
          </cell>
          <cell r="H1816">
            <v>-1.655</v>
          </cell>
        </row>
        <row r="1817">
          <cell r="C1817">
            <v>11320.414000000001</v>
          </cell>
          <cell r="D1817">
            <v>3.5779999999999998</v>
          </cell>
          <cell r="G1817">
            <v>14208.323</v>
          </cell>
          <cell r="H1817">
            <v>-0.24099999999999999</v>
          </cell>
        </row>
        <row r="1818">
          <cell r="C1818">
            <v>11322.924000000001</v>
          </cell>
          <cell r="D1818">
            <v>3.4729999999999999</v>
          </cell>
          <cell r="G1818">
            <v>14226.902</v>
          </cell>
          <cell r="H1818">
            <v>1.373</v>
          </cell>
        </row>
        <row r="1819">
          <cell r="C1819">
            <v>11325.960999999999</v>
          </cell>
          <cell r="D1819">
            <v>3.4060000000000001</v>
          </cell>
          <cell r="G1819">
            <v>14241.486000000001</v>
          </cell>
          <cell r="H1819">
            <v>1.948</v>
          </cell>
        </row>
        <row r="1820">
          <cell r="C1820">
            <v>11337.493</v>
          </cell>
          <cell r="D1820">
            <v>2.895</v>
          </cell>
          <cell r="G1820">
            <v>14247.753000000001</v>
          </cell>
          <cell r="H1820">
            <v>2.125</v>
          </cell>
        </row>
        <row r="1821">
          <cell r="C1821">
            <v>11352.413</v>
          </cell>
          <cell r="D1821">
            <v>2.4609999999999999</v>
          </cell>
          <cell r="G1821">
            <v>14253.584999999999</v>
          </cell>
          <cell r="H1821">
            <v>2.3220000000000001</v>
          </cell>
        </row>
        <row r="1822">
          <cell r="C1822">
            <v>11354.303</v>
          </cell>
          <cell r="D1822">
            <v>2.2909999999999999</v>
          </cell>
          <cell r="G1822">
            <v>14258.282999999999</v>
          </cell>
          <cell r="H1822">
            <v>2.2170000000000001</v>
          </cell>
        </row>
        <row r="1823">
          <cell r="C1823">
            <v>11355.512000000001</v>
          </cell>
          <cell r="D1823">
            <v>2.4889999999999999</v>
          </cell>
          <cell r="G1823">
            <v>14267.112999999999</v>
          </cell>
          <cell r="H1823">
            <v>2.0110000000000001</v>
          </cell>
        </row>
        <row r="1824">
          <cell r="C1824">
            <v>11356.004000000001</v>
          </cell>
          <cell r="D1824">
            <v>2.5259999999999998</v>
          </cell>
          <cell r="G1824">
            <v>14273.589</v>
          </cell>
          <cell r="H1824">
            <v>1.8620000000000001</v>
          </cell>
        </row>
        <row r="1825">
          <cell r="C1825">
            <v>11369.182000000001</v>
          </cell>
          <cell r="D1825">
            <v>2.6850000000000001</v>
          </cell>
          <cell r="G1825">
            <v>14306.064</v>
          </cell>
          <cell r="H1825">
            <v>0.67400000000000004</v>
          </cell>
        </row>
        <row r="1826">
          <cell r="C1826">
            <v>11383.554</v>
          </cell>
          <cell r="D1826">
            <v>3.5</v>
          </cell>
          <cell r="G1826">
            <v>14343.297</v>
          </cell>
          <cell r="H1826">
            <v>-0.34399999999999997</v>
          </cell>
        </row>
        <row r="1827">
          <cell r="C1827">
            <v>11385.645</v>
          </cell>
          <cell r="D1827">
            <v>3.7010000000000001</v>
          </cell>
          <cell r="G1827">
            <v>14364.257</v>
          </cell>
          <cell r="H1827">
            <v>-0.88300000000000001</v>
          </cell>
        </row>
        <row r="1828">
          <cell r="C1828">
            <v>11388</v>
          </cell>
          <cell r="D1828">
            <v>3.8719999999999999</v>
          </cell>
          <cell r="G1828">
            <v>14370.303</v>
          </cell>
          <cell r="H1828">
            <v>-0.88600000000000001</v>
          </cell>
        </row>
        <row r="1829">
          <cell r="C1829">
            <v>11390.718000000001</v>
          </cell>
          <cell r="D1829">
            <v>4.016</v>
          </cell>
          <cell r="G1829">
            <v>14377.145</v>
          </cell>
          <cell r="H1829">
            <v>-0.79600000000000004</v>
          </cell>
        </row>
        <row r="1830">
          <cell r="C1830">
            <v>11393.083000000001</v>
          </cell>
          <cell r="D1830">
            <v>4.2169999999999996</v>
          </cell>
          <cell r="G1830">
            <v>14384.076999999999</v>
          </cell>
          <cell r="H1830">
            <v>-0.78200000000000003</v>
          </cell>
        </row>
        <row r="1831">
          <cell r="C1831">
            <v>11395.093000000001</v>
          </cell>
          <cell r="D1831">
            <v>4.2649999999999997</v>
          </cell>
          <cell r="G1831">
            <v>14404.643</v>
          </cell>
          <cell r="H1831">
            <v>-0.83</v>
          </cell>
        </row>
        <row r="1832">
          <cell r="C1832">
            <v>11399.084000000001</v>
          </cell>
          <cell r="D1832">
            <v>4.38</v>
          </cell>
          <cell r="G1832">
            <v>14425.235000000001</v>
          </cell>
          <cell r="H1832">
            <v>-1.2569999999999999</v>
          </cell>
        </row>
        <row r="1833">
          <cell r="C1833">
            <v>11402.418</v>
          </cell>
          <cell r="D1833">
            <v>4.5190000000000001</v>
          </cell>
          <cell r="G1833">
            <v>14445.69</v>
          </cell>
          <cell r="H1833">
            <v>-1.6279999999999999</v>
          </cell>
        </row>
        <row r="1834">
          <cell r="C1834">
            <v>11404.521000000001</v>
          </cell>
          <cell r="D1834">
            <v>4.6040000000000001</v>
          </cell>
          <cell r="G1834">
            <v>14470.438</v>
          </cell>
          <cell r="H1834">
            <v>-1.8340000000000001</v>
          </cell>
        </row>
        <row r="1835">
          <cell r="C1835">
            <v>11406.891</v>
          </cell>
          <cell r="D1835">
            <v>4.6769999999999996</v>
          </cell>
          <cell r="G1835">
            <v>14496.184999999999</v>
          </cell>
          <cell r="H1835">
            <v>-2.9409999999999998</v>
          </cell>
        </row>
        <row r="1836">
          <cell r="C1836">
            <v>11409.564</v>
          </cell>
          <cell r="D1836">
            <v>4.7670000000000003</v>
          </cell>
          <cell r="G1836">
            <v>14523.572</v>
          </cell>
          <cell r="H1836">
            <v>-4.2729999999999997</v>
          </cell>
        </row>
        <row r="1837">
          <cell r="C1837">
            <v>11411.757</v>
          </cell>
          <cell r="D1837">
            <v>4.8319999999999999</v>
          </cell>
          <cell r="G1837">
            <v>14539.893</v>
          </cell>
          <cell r="H1837">
            <v>-5.3540000000000001</v>
          </cell>
        </row>
        <row r="1838">
          <cell r="C1838">
            <v>11414.027</v>
          </cell>
          <cell r="D1838">
            <v>4.9180000000000001</v>
          </cell>
          <cell r="G1838">
            <v>14546.790999999999</v>
          </cell>
          <cell r="H1838">
            <v>-5.6260000000000003</v>
          </cell>
        </row>
        <row r="1839">
          <cell r="C1839">
            <v>11417.575000000001</v>
          </cell>
          <cell r="D1839">
            <v>5.03</v>
          </cell>
          <cell r="G1839">
            <v>14555.11</v>
          </cell>
          <cell r="H1839">
            <v>-6.1210000000000004</v>
          </cell>
        </row>
        <row r="1840">
          <cell r="C1840">
            <v>11421.936</v>
          </cell>
          <cell r="D1840">
            <v>5.1630000000000003</v>
          </cell>
          <cell r="G1840">
            <v>14563.483</v>
          </cell>
          <cell r="H1840">
            <v>-6.4619999999999997</v>
          </cell>
        </row>
        <row r="1841">
          <cell r="C1841">
            <v>11425.95</v>
          </cell>
          <cell r="D1841">
            <v>5.2249999999999996</v>
          </cell>
          <cell r="G1841">
            <v>14568.716</v>
          </cell>
          <cell r="H1841">
            <v>-6.66</v>
          </cell>
        </row>
        <row r="1842">
          <cell r="C1842">
            <v>11429.540999999999</v>
          </cell>
          <cell r="D1842">
            <v>5.28</v>
          </cell>
          <cell r="G1842">
            <v>14577.187</v>
          </cell>
          <cell r="H1842">
            <v>-6.9139999999999997</v>
          </cell>
        </row>
        <row r="1843">
          <cell r="C1843">
            <v>11432.843999999999</v>
          </cell>
          <cell r="D1843">
            <v>5.3010000000000002</v>
          </cell>
          <cell r="G1843">
            <v>14586.834999999999</v>
          </cell>
          <cell r="H1843">
            <v>-7.18</v>
          </cell>
        </row>
        <row r="1844">
          <cell r="C1844">
            <v>11436.494000000001</v>
          </cell>
          <cell r="D1844">
            <v>5.25</v>
          </cell>
          <cell r="G1844">
            <v>14596.495999999999</v>
          </cell>
          <cell r="H1844">
            <v>-7.2080000000000002</v>
          </cell>
        </row>
        <row r="1845">
          <cell r="C1845">
            <v>11442.428</v>
          </cell>
          <cell r="D1845">
            <v>5.0609999999999999</v>
          </cell>
          <cell r="G1845">
            <v>14603.708000000001</v>
          </cell>
          <cell r="H1845">
            <v>-7.16</v>
          </cell>
        </row>
        <row r="1846">
          <cell r="C1846">
            <v>11455.65</v>
          </cell>
          <cell r="D1846">
            <v>4.5590000000000002</v>
          </cell>
          <cell r="G1846">
            <v>14610.901</v>
          </cell>
          <cell r="H1846">
            <v>-7.0250000000000004</v>
          </cell>
        </row>
        <row r="1847">
          <cell r="C1847">
            <v>11468.431</v>
          </cell>
          <cell r="D1847">
            <v>4.3220000000000001</v>
          </cell>
          <cell r="G1847">
            <v>14617.56</v>
          </cell>
          <cell r="H1847">
            <v>-6.7220000000000004</v>
          </cell>
        </row>
        <row r="1848">
          <cell r="C1848">
            <v>11516.433999999999</v>
          </cell>
          <cell r="D1848">
            <v>4.0439999999999996</v>
          </cell>
          <cell r="G1848">
            <v>14626.116</v>
          </cell>
          <cell r="H1848">
            <v>-6.391</v>
          </cell>
        </row>
        <row r="1849">
          <cell r="C1849">
            <v>11543.777</v>
          </cell>
          <cell r="D1849">
            <v>3.7069999999999999</v>
          </cell>
          <cell r="G1849">
            <v>14634.737999999999</v>
          </cell>
          <cell r="H1849">
            <v>-5.7750000000000004</v>
          </cell>
        </row>
        <row r="1850">
          <cell r="C1850">
            <v>11568.794</v>
          </cell>
          <cell r="D1850">
            <v>0.94899999999999995</v>
          </cell>
          <cell r="G1850">
            <v>14645.455</v>
          </cell>
          <cell r="H1850">
            <v>-4.8840000000000003</v>
          </cell>
        </row>
        <row r="1851">
          <cell r="C1851">
            <v>11585.566999999999</v>
          </cell>
          <cell r="D1851">
            <v>-5.0019999999999998</v>
          </cell>
          <cell r="G1851">
            <v>14654.07</v>
          </cell>
          <cell r="H1851">
            <v>-4.4720000000000004</v>
          </cell>
        </row>
        <row r="1852">
          <cell r="C1852">
            <v>11591.754999999999</v>
          </cell>
          <cell r="D1852">
            <v>-8.3219999999999992</v>
          </cell>
          <cell r="G1852">
            <v>14668.672</v>
          </cell>
          <cell r="H1852">
            <v>-3.488</v>
          </cell>
        </row>
        <row r="1853">
          <cell r="C1853">
            <v>11600.819</v>
          </cell>
          <cell r="D1853">
            <v>-14.253</v>
          </cell>
          <cell r="G1853">
            <v>14681.869000000001</v>
          </cell>
          <cell r="H1853">
            <v>-2.6819999999999999</v>
          </cell>
        </row>
        <row r="1854">
          <cell r="C1854">
            <v>11602.978999999999</v>
          </cell>
          <cell r="D1854">
            <v>-15.884</v>
          </cell>
          <cell r="G1854">
            <v>14687.322</v>
          </cell>
          <cell r="H1854">
            <v>-2.5539999999999998</v>
          </cell>
        </row>
        <row r="1855">
          <cell r="C1855">
            <v>11604.445</v>
          </cell>
          <cell r="D1855">
            <v>-16.974</v>
          </cell>
          <cell r="G1855">
            <v>14692.531999999999</v>
          </cell>
          <cell r="H1855">
            <v>-2.5009999999999999</v>
          </cell>
        </row>
        <row r="1856">
          <cell r="C1856">
            <v>11605.873</v>
          </cell>
          <cell r="D1856">
            <v>-17.952999999999999</v>
          </cell>
          <cell r="G1856">
            <v>14699.189</v>
          </cell>
          <cell r="H1856">
            <v>-2.4329999999999998</v>
          </cell>
        </row>
        <row r="1857">
          <cell r="C1857">
            <v>11607.402</v>
          </cell>
          <cell r="D1857">
            <v>-18.989000000000001</v>
          </cell>
          <cell r="G1857">
            <v>14704.849</v>
          </cell>
          <cell r="H1857">
            <v>-2.448</v>
          </cell>
        </row>
        <row r="1858">
          <cell r="C1858">
            <v>11609.164000000001</v>
          </cell>
          <cell r="D1858">
            <v>-20.006</v>
          </cell>
          <cell r="G1858">
            <v>14729.358</v>
          </cell>
          <cell r="H1858">
            <v>-2.169</v>
          </cell>
        </row>
        <row r="1859">
          <cell r="C1859">
            <v>11610.966</v>
          </cell>
          <cell r="D1859">
            <v>-21.041</v>
          </cell>
          <cell r="G1859">
            <v>14746.174000000001</v>
          </cell>
          <cell r="H1859">
            <v>-2.0539999999999998</v>
          </cell>
        </row>
        <row r="1860">
          <cell r="C1860">
            <v>11612.805</v>
          </cell>
          <cell r="D1860">
            <v>-22.132000000000001</v>
          </cell>
          <cell r="G1860">
            <v>14775.166999999999</v>
          </cell>
          <cell r="H1860">
            <v>-2.3039999999999998</v>
          </cell>
        </row>
        <row r="1861">
          <cell r="C1861">
            <v>11615.262000000001</v>
          </cell>
          <cell r="D1861">
            <v>-23.212</v>
          </cell>
          <cell r="G1861">
            <v>14782.35</v>
          </cell>
          <cell r="H1861">
            <v>-2.9180000000000001</v>
          </cell>
        </row>
        <row r="1862">
          <cell r="C1862">
            <v>11617.501</v>
          </cell>
          <cell r="D1862">
            <v>-24.074999999999999</v>
          </cell>
          <cell r="G1862">
            <v>14786.553</v>
          </cell>
          <cell r="H1862">
            <v>-3.1219999999999999</v>
          </cell>
        </row>
        <row r="1863">
          <cell r="C1863">
            <v>11619.419</v>
          </cell>
          <cell r="D1863">
            <v>-24.587</v>
          </cell>
          <cell r="G1863">
            <v>14791.624</v>
          </cell>
          <cell r="H1863">
            <v>-3.3109999999999999</v>
          </cell>
        </row>
        <row r="1864">
          <cell r="C1864">
            <v>11622.151</v>
          </cell>
          <cell r="D1864">
            <v>-25.312000000000001</v>
          </cell>
          <cell r="G1864">
            <v>14798.412</v>
          </cell>
          <cell r="H1864">
            <v>-3.7450000000000001</v>
          </cell>
        </row>
        <row r="1865">
          <cell r="C1865">
            <v>11625.111999999999</v>
          </cell>
          <cell r="D1865">
            <v>-25.719000000000001</v>
          </cell>
          <cell r="G1865">
            <v>14804.797</v>
          </cell>
          <cell r="H1865">
            <v>-4.2729999999999997</v>
          </cell>
        </row>
        <row r="1866">
          <cell r="C1866">
            <v>11627.870999999999</v>
          </cell>
          <cell r="D1866">
            <v>-26.041</v>
          </cell>
          <cell r="G1866">
            <v>14808.331</v>
          </cell>
          <cell r="H1866">
            <v>-4.5380000000000003</v>
          </cell>
        </row>
        <row r="1867">
          <cell r="C1867">
            <v>11630.315000000001</v>
          </cell>
          <cell r="D1867">
            <v>-25.937000000000001</v>
          </cell>
          <cell r="G1867">
            <v>14811.787</v>
          </cell>
          <cell r="H1867">
            <v>-4.694</v>
          </cell>
        </row>
        <row r="1868">
          <cell r="C1868">
            <v>11632.214</v>
          </cell>
          <cell r="D1868">
            <v>-25.789000000000001</v>
          </cell>
          <cell r="G1868">
            <v>14814.91</v>
          </cell>
          <cell r="H1868">
            <v>-4.8479999999999999</v>
          </cell>
        </row>
        <row r="1869">
          <cell r="C1869">
            <v>11633.986999999999</v>
          </cell>
          <cell r="D1869">
            <v>-25.599</v>
          </cell>
          <cell r="G1869">
            <v>14822.028</v>
          </cell>
          <cell r="H1869">
            <v>-5.157</v>
          </cell>
        </row>
        <row r="1870">
          <cell r="C1870">
            <v>11636.482</v>
          </cell>
          <cell r="D1870">
            <v>-25.123999999999999</v>
          </cell>
          <cell r="G1870">
            <v>14831.557000000001</v>
          </cell>
          <cell r="H1870">
            <v>-5.5540000000000003</v>
          </cell>
        </row>
        <row r="1871">
          <cell r="C1871">
            <v>11640.133</v>
          </cell>
          <cell r="D1871">
            <v>-24.218</v>
          </cell>
          <cell r="G1871">
            <v>14837.942999999999</v>
          </cell>
          <cell r="H1871">
            <v>-5.7889999999999997</v>
          </cell>
        </row>
        <row r="1872">
          <cell r="C1872">
            <v>11643.290999999999</v>
          </cell>
          <cell r="D1872">
            <v>-23.067</v>
          </cell>
          <cell r="G1872">
            <v>14841.916999999999</v>
          </cell>
          <cell r="H1872">
            <v>-5.8540000000000001</v>
          </cell>
        </row>
        <row r="1873">
          <cell r="C1873">
            <v>11645.825999999999</v>
          </cell>
          <cell r="D1873">
            <v>-21.998000000000001</v>
          </cell>
          <cell r="G1873">
            <v>14846.136</v>
          </cell>
          <cell r="H1873">
            <v>-5.9</v>
          </cell>
        </row>
        <row r="1874">
          <cell r="C1874">
            <v>11648.047</v>
          </cell>
          <cell r="D1874">
            <v>-20.715</v>
          </cell>
          <cell r="G1874">
            <v>14852.96</v>
          </cell>
          <cell r="H1874">
            <v>-6.0780000000000003</v>
          </cell>
        </row>
        <row r="1875">
          <cell r="C1875">
            <v>11650.868</v>
          </cell>
          <cell r="D1875">
            <v>-19.071999999999999</v>
          </cell>
          <cell r="G1875">
            <v>14862.594999999999</v>
          </cell>
          <cell r="H1875">
            <v>-6.2750000000000004</v>
          </cell>
        </row>
        <row r="1876">
          <cell r="C1876">
            <v>11657.48</v>
          </cell>
          <cell r="D1876">
            <v>-15.489000000000001</v>
          </cell>
          <cell r="G1876">
            <v>14869.429</v>
          </cell>
          <cell r="H1876">
            <v>-6.3710000000000004</v>
          </cell>
        </row>
        <row r="1877">
          <cell r="C1877">
            <v>11664.279</v>
          </cell>
          <cell r="D1877">
            <v>-12.635</v>
          </cell>
          <cell r="G1877">
            <v>14876.128000000001</v>
          </cell>
          <cell r="H1877">
            <v>-6.4459999999999997</v>
          </cell>
        </row>
        <row r="1878">
          <cell r="C1878">
            <v>11672.128000000001</v>
          </cell>
          <cell r="D1878">
            <v>-9.8729999999999993</v>
          </cell>
          <cell r="G1878">
            <v>14882.062</v>
          </cell>
          <cell r="H1878">
            <v>-6.51</v>
          </cell>
        </row>
        <row r="1879">
          <cell r="C1879">
            <v>11680.441999999999</v>
          </cell>
          <cell r="D1879">
            <v>-8.1050000000000004</v>
          </cell>
          <cell r="G1879">
            <v>14886.852000000001</v>
          </cell>
          <cell r="H1879">
            <v>-6.5330000000000004</v>
          </cell>
        </row>
        <row r="1880">
          <cell r="C1880">
            <v>11691.4</v>
          </cell>
          <cell r="D1880">
            <v>-7.4109999999999996</v>
          </cell>
          <cell r="G1880">
            <v>14891.929</v>
          </cell>
          <cell r="H1880">
            <v>-6.46</v>
          </cell>
        </row>
        <row r="1881">
          <cell r="C1881">
            <v>11699.6</v>
          </cell>
          <cell r="D1881">
            <v>-8.0779999999999994</v>
          </cell>
          <cell r="G1881">
            <v>14895.598</v>
          </cell>
          <cell r="H1881">
            <v>-6.46</v>
          </cell>
        </row>
        <row r="1882">
          <cell r="C1882">
            <v>11711.007</v>
          </cell>
          <cell r="D1882">
            <v>-10.333</v>
          </cell>
          <cell r="G1882">
            <v>14901.016</v>
          </cell>
          <cell r="H1882">
            <v>-6.3490000000000002</v>
          </cell>
        </row>
        <row r="1883">
          <cell r="C1883">
            <v>11723.742</v>
          </cell>
          <cell r="D1883">
            <v>-14.02</v>
          </cell>
          <cell r="G1883">
            <v>14906.263000000001</v>
          </cell>
          <cell r="H1883">
            <v>-6.3019999999999996</v>
          </cell>
        </row>
        <row r="1884">
          <cell r="C1884">
            <v>11739.447</v>
          </cell>
          <cell r="D1884">
            <v>-19.09</v>
          </cell>
          <cell r="G1884">
            <v>14913.512000000001</v>
          </cell>
          <cell r="H1884">
            <v>-6.0229999999999997</v>
          </cell>
        </row>
        <row r="1885">
          <cell r="C1885">
            <v>11758.602999999999</v>
          </cell>
          <cell r="D1885">
            <v>-24.187000000000001</v>
          </cell>
          <cell r="G1885">
            <v>14915.775</v>
          </cell>
          <cell r="H1885">
            <v>-5.9939999999999998</v>
          </cell>
        </row>
        <row r="1886">
          <cell r="C1886">
            <v>11780.223</v>
          </cell>
          <cell r="D1886">
            <v>-26.251000000000001</v>
          </cell>
          <cell r="G1886">
            <v>14936.646000000001</v>
          </cell>
          <cell r="H1886">
            <v>-5.524</v>
          </cell>
        </row>
        <row r="1887">
          <cell r="C1887">
            <v>11786.325999999999</v>
          </cell>
          <cell r="D1887">
            <v>-26.013000000000002</v>
          </cell>
          <cell r="G1887">
            <v>14948.21</v>
          </cell>
          <cell r="H1887">
            <v>-5.5449999999999999</v>
          </cell>
        </row>
        <row r="1888">
          <cell r="C1888">
            <v>11789.103999999999</v>
          </cell>
          <cell r="D1888">
            <v>-25.826000000000001</v>
          </cell>
          <cell r="G1888">
            <v>14966.379000000001</v>
          </cell>
          <cell r="H1888">
            <v>-5.4560000000000004</v>
          </cell>
        </row>
        <row r="1889">
          <cell r="C1889">
            <v>11791.652</v>
          </cell>
          <cell r="D1889">
            <v>-25.66</v>
          </cell>
          <cell r="G1889">
            <v>15003.565000000001</v>
          </cell>
          <cell r="H1889">
            <v>-5.4409999999999998</v>
          </cell>
        </row>
        <row r="1890">
          <cell r="C1890">
            <v>11793.914000000001</v>
          </cell>
          <cell r="D1890">
            <v>-25.471</v>
          </cell>
          <cell r="G1890">
            <v>15063.615</v>
          </cell>
          <cell r="H1890">
            <v>-4.8630000000000004</v>
          </cell>
        </row>
        <row r="1891">
          <cell r="C1891">
            <v>11797.282999999999</v>
          </cell>
          <cell r="D1891">
            <v>-25.199000000000002</v>
          </cell>
          <cell r="G1891">
            <v>15077.130999999999</v>
          </cell>
          <cell r="H1891">
            <v>-3.9830000000000001</v>
          </cell>
        </row>
        <row r="1892">
          <cell r="C1892">
            <v>11800.574000000001</v>
          </cell>
          <cell r="D1892">
            <v>-24.916</v>
          </cell>
          <cell r="G1892">
            <v>15090.841</v>
          </cell>
          <cell r="H1892">
            <v>-2.448</v>
          </cell>
        </row>
        <row r="1893">
          <cell r="C1893">
            <v>11803.6</v>
          </cell>
          <cell r="D1893">
            <v>-24.582000000000001</v>
          </cell>
          <cell r="G1893">
            <v>15097.718999999999</v>
          </cell>
          <cell r="H1893">
            <v>-1.5920000000000001</v>
          </cell>
        </row>
        <row r="1894">
          <cell r="C1894">
            <v>11807.816999999999</v>
          </cell>
          <cell r="D1894">
            <v>-24.114000000000001</v>
          </cell>
          <cell r="G1894">
            <v>15103.853999999999</v>
          </cell>
          <cell r="H1894">
            <v>-0.72199999999999998</v>
          </cell>
        </row>
        <row r="1895">
          <cell r="C1895">
            <v>11810.841</v>
          </cell>
          <cell r="D1895">
            <v>-23.776</v>
          </cell>
          <cell r="G1895">
            <v>15110.616</v>
          </cell>
          <cell r="H1895">
            <v>0.35</v>
          </cell>
        </row>
        <row r="1896">
          <cell r="C1896">
            <v>11814.388000000001</v>
          </cell>
          <cell r="D1896">
            <v>-23.369</v>
          </cell>
          <cell r="G1896">
            <v>15116.557000000001</v>
          </cell>
          <cell r="H1896">
            <v>1.248</v>
          </cell>
        </row>
        <row r="1897">
          <cell r="C1897">
            <v>11820.98</v>
          </cell>
          <cell r="D1897">
            <v>-22.507999999999999</v>
          </cell>
          <cell r="G1897">
            <v>15121.438</v>
          </cell>
          <cell r="H1897">
            <v>1.907</v>
          </cell>
        </row>
        <row r="1898">
          <cell r="C1898">
            <v>11823.98</v>
          </cell>
          <cell r="D1898">
            <v>-21.972999999999999</v>
          </cell>
          <cell r="G1898">
            <v>15126.498</v>
          </cell>
          <cell r="H1898">
            <v>2.4009999999999998</v>
          </cell>
        </row>
        <row r="1899">
          <cell r="C1899">
            <v>11830.128000000001</v>
          </cell>
          <cell r="D1899">
            <v>-20.853999999999999</v>
          </cell>
          <cell r="G1899">
            <v>15131.584000000001</v>
          </cell>
          <cell r="H1899">
            <v>2.6680000000000001</v>
          </cell>
        </row>
        <row r="1900">
          <cell r="C1900">
            <v>11834.040999999999</v>
          </cell>
          <cell r="D1900">
            <v>-20.074000000000002</v>
          </cell>
          <cell r="G1900">
            <v>15137.036</v>
          </cell>
          <cell r="H1900">
            <v>2.85</v>
          </cell>
        </row>
        <row r="1901">
          <cell r="C1901">
            <v>11836.232</v>
          </cell>
          <cell r="D1901">
            <v>-19.63</v>
          </cell>
          <cell r="G1901">
            <v>15142.540999999999</v>
          </cell>
          <cell r="H1901">
            <v>2.9089999999999998</v>
          </cell>
        </row>
        <row r="1902">
          <cell r="C1902">
            <v>11839.146000000001</v>
          </cell>
          <cell r="D1902">
            <v>-18.981000000000002</v>
          </cell>
          <cell r="G1902">
            <v>15147.785</v>
          </cell>
          <cell r="H1902">
            <v>2.8180000000000001</v>
          </cell>
        </row>
        <row r="1903">
          <cell r="C1903">
            <v>11841.537</v>
          </cell>
          <cell r="D1903">
            <v>-18.433</v>
          </cell>
          <cell r="G1903">
            <v>15152.824000000001</v>
          </cell>
          <cell r="H1903">
            <v>2.6269999999999998</v>
          </cell>
        </row>
        <row r="1904">
          <cell r="C1904">
            <v>11844.06</v>
          </cell>
          <cell r="D1904">
            <v>-17.800999999999998</v>
          </cell>
          <cell r="G1904">
            <v>15156.965</v>
          </cell>
          <cell r="H1904">
            <v>2.2999999999999998</v>
          </cell>
        </row>
        <row r="1905">
          <cell r="C1905">
            <v>11847.539000000001</v>
          </cell>
          <cell r="D1905">
            <v>-16.922000000000001</v>
          </cell>
          <cell r="G1905">
            <v>15167.127</v>
          </cell>
          <cell r="H1905">
            <v>1.1859999999999999</v>
          </cell>
        </row>
        <row r="1906">
          <cell r="C1906">
            <v>11850.221</v>
          </cell>
          <cell r="D1906">
            <v>-16.224</v>
          </cell>
          <cell r="G1906">
            <v>15180.65</v>
          </cell>
          <cell r="H1906">
            <v>-1.1879999999999999</v>
          </cell>
        </row>
        <row r="1907">
          <cell r="C1907">
            <v>11853.195</v>
          </cell>
          <cell r="D1907">
            <v>-15.331</v>
          </cell>
          <cell r="G1907">
            <v>15187.761</v>
          </cell>
          <cell r="H1907">
            <v>-3.016</v>
          </cell>
        </row>
        <row r="1908">
          <cell r="C1908">
            <v>11855.657999999999</v>
          </cell>
          <cell r="D1908">
            <v>-14.677</v>
          </cell>
          <cell r="G1908">
            <v>15192.458000000001</v>
          </cell>
          <cell r="H1908">
            <v>-4.0430000000000001</v>
          </cell>
        </row>
        <row r="1909">
          <cell r="C1909">
            <v>11858.880999999999</v>
          </cell>
          <cell r="D1909">
            <v>-13.789</v>
          </cell>
          <cell r="G1909">
            <v>15195.79</v>
          </cell>
          <cell r="H1909">
            <v>-4.782</v>
          </cell>
        </row>
        <row r="1910">
          <cell r="C1910">
            <v>11865.788</v>
          </cell>
          <cell r="D1910">
            <v>-11.962999999999999</v>
          </cell>
          <cell r="G1910">
            <v>15199.618</v>
          </cell>
          <cell r="H1910">
            <v>-5.5449999999999999</v>
          </cell>
        </row>
        <row r="1911">
          <cell r="C1911">
            <v>11867.995999999999</v>
          </cell>
          <cell r="D1911">
            <v>-11.41</v>
          </cell>
          <cell r="G1911">
            <v>15203.171</v>
          </cell>
          <cell r="H1911">
            <v>-6.01</v>
          </cell>
        </row>
        <row r="1912">
          <cell r="C1912">
            <v>11870.254000000001</v>
          </cell>
          <cell r="D1912">
            <v>-10.877000000000001</v>
          </cell>
          <cell r="G1912">
            <v>15207.474</v>
          </cell>
          <cell r="H1912">
            <v>-6.3179999999999996</v>
          </cell>
        </row>
        <row r="1913">
          <cell r="C1913">
            <v>11872.602000000001</v>
          </cell>
          <cell r="D1913">
            <v>-10.282</v>
          </cell>
          <cell r="G1913">
            <v>15211.857</v>
          </cell>
          <cell r="H1913">
            <v>-6.5119999999999996</v>
          </cell>
        </row>
        <row r="1914">
          <cell r="C1914">
            <v>11874.841</v>
          </cell>
          <cell r="D1914">
            <v>-9.7149999999999999</v>
          </cell>
          <cell r="G1914">
            <v>15217.192999999999</v>
          </cell>
          <cell r="H1914">
            <v>-6.7290000000000001</v>
          </cell>
        </row>
        <row r="1915">
          <cell r="C1915">
            <v>11876.462</v>
          </cell>
          <cell r="D1915">
            <v>-9.2859999999999996</v>
          </cell>
          <cell r="G1915">
            <v>15222.654</v>
          </cell>
          <cell r="H1915">
            <v>-6.6849999999999996</v>
          </cell>
        </row>
        <row r="1916">
          <cell r="C1916">
            <v>11878.929</v>
          </cell>
          <cell r="D1916">
            <v>-8.6630000000000003</v>
          </cell>
          <cell r="G1916">
            <v>15228.737999999999</v>
          </cell>
          <cell r="H1916">
            <v>-6.0129999999999999</v>
          </cell>
        </row>
        <row r="1917">
          <cell r="C1917">
            <v>11881.467000000001</v>
          </cell>
          <cell r="D1917">
            <v>-8.0030000000000001</v>
          </cell>
          <cell r="G1917">
            <v>15234.171</v>
          </cell>
          <cell r="H1917">
            <v>-5.2560000000000002</v>
          </cell>
        </row>
        <row r="1918">
          <cell r="C1918">
            <v>11883.856</v>
          </cell>
          <cell r="D1918">
            <v>-7.3890000000000002</v>
          </cell>
          <cell r="G1918">
            <v>15238.776</v>
          </cell>
          <cell r="H1918">
            <v>-4.4089999999999998</v>
          </cell>
        </row>
        <row r="1919">
          <cell r="C1919">
            <v>11886.532999999999</v>
          </cell>
          <cell r="D1919">
            <v>-6.7279999999999998</v>
          </cell>
          <cell r="G1919">
            <v>15243.11</v>
          </cell>
          <cell r="H1919">
            <v>-3.4649999999999999</v>
          </cell>
        </row>
        <row r="1920">
          <cell r="C1920">
            <v>11888.825999999999</v>
          </cell>
          <cell r="D1920">
            <v>-6.1609999999999996</v>
          </cell>
          <cell r="G1920">
            <v>15248.798000000001</v>
          </cell>
          <cell r="H1920">
            <v>-2.4329999999999998</v>
          </cell>
        </row>
        <row r="1921">
          <cell r="C1921">
            <v>11892.12</v>
          </cell>
          <cell r="D1921">
            <v>-5.3109999999999999</v>
          </cell>
          <cell r="G1921">
            <v>15254.971</v>
          </cell>
          <cell r="H1921">
            <v>-1.47</v>
          </cell>
        </row>
        <row r="1922">
          <cell r="C1922">
            <v>11894.98</v>
          </cell>
          <cell r="D1922">
            <v>-4.5789999999999997</v>
          </cell>
          <cell r="G1922">
            <v>15262.6</v>
          </cell>
          <cell r="H1922">
            <v>-0.72899999999999998</v>
          </cell>
        </row>
        <row r="1923">
          <cell r="C1923">
            <v>11898.545</v>
          </cell>
          <cell r="D1923">
            <v>-3.7440000000000002</v>
          </cell>
          <cell r="G1923">
            <v>15279.357</v>
          </cell>
          <cell r="H1923">
            <v>-0.51900000000000002</v>
          </cell>
        </row>
        <row r="1924">
          <cell r="C1924">
            <v>11902.424999999999</v>
          </cell>
          <cell r="D1924">
            <v>-2.766</v>
          </cell>
          <cell r="G1924">
            <v>15296.471</v>
          </cell>
          <cell r="H1924">
            <v>-2.468</v>
          </cell>
        </row>
        <row r="1925">
          <cell r="C1925">
            <v>11904.911</v>
          </cell>
          <cell r="D1925">
            <v>-2.1379999999999999</v>
          </cell>
          <cell r="G1925">
            <v>15301.308999999999</v>
          </cell>
          <cell r="H1925">
            <v>-3.2909999999999999</v>
          </cell>
        </row>
        <row r="1926">
          <cell r="C1926">
            <v>11906.798000000001</v>
          </cell>
          <cell r="D1926">
            <v>-1.6990000000000001</v>
          </cell>
          <cell r="G1926">
            <v>15305.143</v>
          </cell>
          <cell r="H1926">
            <v>-3.8090000000000002</v>
          </cell>
        </row>
        <row r="1927">
          <cell r="C1927">
            <v>11909.526</v>
          </cell>
          <cell r="D1927">
            <v>-1.0940000000000001</v>
          </cell>
          <cell r="G1927">
            <v>15307.995000000001</v>
          </cell>
          <cell r="H1927">
            <v>-4.2770000000000001</v>
          </cell>
        </row>
        <row r="1928">
          <cell r="C1928">
            <v>11912.278</v>
          </cell>
          <cell r="D1928">
            <v>-0.44400000000000001</v>
          </cell>
          <cell r="G1928">
            <v>15311.252</v>
          </cell>
          <cell r="H1928">
            <v>-4.4729999999999999</v>
          </cell>
        </row>
        <row r="1929">
          <cell r="C1929">
            <v>11915.349</v>
          </cell>
          <cell r="D1929">
            <v>0.255</v>
          </cell>
          <cell r="G1929">
            <v>15314.634</v>
          </cell>
          <cell r="H1929">
            <v>-4.7229999999999999</v>
          </cell>
        </row>
        <row r="1930">
          <cell r="C1930">
            <v>11919.4</v>
          </cell>
          <cell r="D1930">
            <v>1.1160000000000001</v>
          </cell>
          <cell r="G1930">
            <v>15319.315000000001</v>
          </cell>
          <cell r="H1930">
            <v>-5.0179999999999998</v>
          </cell>
        </row>
        <row r="1931">
          <cell r="C1931">
            <v>11922.041999999999</v>
          </cell>
          <cell r="D1931">
            <v>1.649</v>
          </cell>
          <cell r="G1931">
            <v>15323.177</v>
          </cell>
          <cell r="H1931">
            <v>-4.8360000000000003</v>
          </cell>
        </row>
        <row r="1932">
          <cell r="C1932">
            <v>11925.236999999999</v>
          </cell>
          <cell r="D1932">
            <v>2.3170000000000002</v>
          </cell>
          <cell r="G1932">
            <v>15327.191999999999</v>
          </cell>
          <cell r="H1932">
            <v>-4.5960000000000001</v>
          </cell>
        </row>
        <row r="1933">
          <cell r="C1933">
            <v>11927.57</v>
          </cell>
          <cell r="D1933">
            <v>2.7370000000000001</v>
          </cell>
          <cell r="G1933">
            <v>15330.35</v>
          </cell>
          <cell r="H1933">
            <v>-4.3600000000000003</v>
          </cell>
        </row>
        <row r="1934">
          <cell r="C1934">
            <v>11931.316000000001</v>
          </cell>
          <cell r="D1934">
            <v>3.4729999999999999</v>
          </cell>
          <cell r="G1934">
            <v>15333.486999999999</v>
          </cell>
          <cell r="H1934">
            <v>-4.1680000000000001</v>
          </cell>
        </row>
        <row r="1935">
          <cell r="C1935">
            <v>11934.429</v>
          </cell>
          <cell r="D1935">
            <v>4.0679999999999996</v>
          </cell>
          <cell r="G1935">
            <v>15338.481</v>
          </cell>
          <cell r="H1935">
            <v>-3.698</v>
          </cell>
        </row>
        <row r="1936">
          <cell r="C1936">
            <v>11938.142</v>
          </cell>
          <cell r="D1936">
            <v>4.72</v>
          </cell>
          <cell r="G1936">
            <v>15343.18</v>
          </cell>
          <cell r="H1936">
            <v>-3.4009999999999998</v>
          </cell>
        </row>
        <row r="1937">
          <cell r="C1937">
            <v>11941.602000000001</v>
          </cell>
          <cell r="D1937">
            <v>5.2060000000000004</v>
          </cell>
          <cell r="G1937">
            <v>15358.607</v>
          </cell>
          <cell r="H1937">
            <v>-2.782</v>
          </cell>
        </row>
        <row r="1938">
          <cell r="C1938">
            <v>11944.674999999999</v>
          </cell>
          <cell r="D1938">
            <v>5.66</v>
          </cell>
          <cell r="G1938">
            <v>15382.776</v>
          </cell>
          <cell r="H1938">
            <v>-2.3519999999999999</v>
          </cell>
        </row>
        <row r="1939">
          <cell r="C1939">
            <v>11948.334000000001</v>
          </cell>
          <cell r="D1939">
            <v>6.1369999999999996</v>
          </cell>
          <cell r="G1939">
            <v>15402.634</v>
          </cell>
          <cell r="H1939">
            <v>-2.5619999999999998</v>
          </cell>
        </row>
        <row r="1940">
          <cell r="C1940">
            <v>11952.444</v>
          </cell>
          <cell r="D1940">
            <v>6.5890000000000004</v>
          </cell>
          <cell r="G1940">
            <v>15423.894</v>
          </cell>
          <cell r="H1940">
            <v>-1.786</v>
          </cell>
        </row>
        <row r="1941">
          <cell r="C1941">
            <v>11955.937</v>
          </cell>
          <cell r="D1941">
            <v>6.9880000000000004</v>
          </cell>
          <cell r="G1941">
            <v>15450.44</v>
          </cell>
          <cell r="H1941">
            <v>2.798</v>
          </cell>
        </row>
        <row r="1942">
          <cell r="C1942">
            <v>11959.893</v>
          </cell>
          <cell r="D1942">
            <v>7.383</v>
          </cell>
          <cell r="G1942">
            <v>15455.599</v>
          </cell>
          <cell r="H1942">
            <v>4.2069999999999999</v>
          </cell>
        </row>
        <row r="1943">
          <cell r="C1943">
            <v>11962.932000000001</v>
          </cell>
          <cell r="D1943">
            <v>7.58</v>
          </cell>
          <cell r="G1943">
            <v>15460.462</v>
          </cell>
          <cell r="H1943">
            <v>5.8410000000000002</v>
          </cell>
        </row>
        <row r="1944">
          <cell r="C1944">
            <v>11965.278</v>
          </cell>
          <cell r="D1944">
            <v>7.7290000000000001</v>
          </cell>
          <cell r="G1944">
            <v>15464.334000000001</v>
          </cell>
          <cell r="H1944">
            <v>6.9409999999999998</v>
          </cell>
        </row>
        <row r="1945">
          <cell r="C1945">
            <v>11967.174999999999</v>
          </cell>
          <cell r="D1945">
            <v>7.85</v>
          </cell>
          <cell r="G1945">
            <v>15468.385</v>
          </cell>
          <cell r="H1945">
            <v>8.1159999999999997</v>
          </cell>
        </row>
        <row r="1946">
          <cell r="C1946">
            <v>11969.17</v>
          </cell>
          <cell r="D1946">
            <v>7.9290000000000003</v>
          </cell>
          <cell r="G1946">
            <v>15472.767</v>
          </cell>
          <cell r="H1946">
            <v>9.0519999999999996</v>
          </cell>
        </row>
        <row r="1947">
          <cell r="C1947">
            <v>11974.251</v>
          </cell>
          <cell r="D1947">
            <v>8.1609999999999996</v>
          </cell>
          <cell r="G1947">
            <v>15475.911</v>
          </cell>
          <cell r="H1947">
            <v>9.7650000000000006</v>
          </cell>
        </row>
        <row r="1948">
          <cell r="C1948">
            <v>11976.449000000001</v>
          </cell>
          <cell r="D1948">
            <v>8.1259999999999994</v>
          </cell>
          <cell r="G1948">
            <v>15478.946</v>
          </cell>
          <cell r="H1948">
            <v>10.388999999999999</v>
          </cell>
        </row>
        <row r="1949">
          <cell r="C1949">
            <v>11979.242</v>
          </cell>
          <cell r="D1949">
            <v>8.1489999999999991</v>
          </cell>
          <cell r="G1949">
            <v>15482.714</v>
          </cell>
          <cell r="H1949">
            <v>10.747</v>
          </cell>
        </row>
        <row r="1950">
          <cell r="C1950">
            <v>11982.581</v>
          </cell>
          <cell r="D1950">
            <v>8.1509999999999998</v>
          </cell>
          <cell r="G1950">
            <v>15486.78</v>
          </cell>
          <cell r="H1950">
            <v>11.151999999999999</v>
          </cell>
        </row>
        <row r="1951">
          <cell r="C1951">
            <v>11986.165000000001</v>
          </cell>
          <cell r="D1951">
            <v>8.0719999999999992</v>
          </cell>
          <cell r="G1951">
            <v>15493.424000000001</v>
          </cell>
          <cell r="H1951">
            <v>11.292</v>
          </cell>
        </row>
        <row r="1952">
          <cell r="C1952">
            <v>11988.592000000001</v>
          </cell>
          <cell r="D1952">
            <v>7.9889999999999999</v>
          </cell>
          <cell r="G1952">
            <v>15499.482</v>
          </cell>
          <cell r="H1952">
            <v>11.054</v>
          </cell>
        </row>
        <row r="1953">
          <cell r="C1953">
            <v>11993.129000000001</v>
          </cell>
          <cell r="D1953">
            <v>7.798</v>
          </cell>
          <cell r="G1953">
            <v>15503.644</v>
          </cell>
          <cell r="H1953">
            <v>10.763</v>
          </cell>
        </row>
        <row r="1954">
          <cell r="C1954">
            <v>11996.305</v>
          </cell>
          <cell r="D1954">
            <v>7.59</v>
          </cell>
          <cell r="G1954">
            <v>15506.531999999999</v>
          </cell>
          <cell r="H1954">
            <v>10.430999999999999</v>
          </cell>
        </row>
        <row r="1955">
          <cell r="C1955">
            <v>11999.576999999999</v>
          </cell>
          <cell r="D1955">
            <v>7.3010000000000002</v>
          </cell>
          <cell r="G1955">
            <v>15510.013999999999</v>
          </cell>
          <cell r="H1955">
            <v>9.9320000000000004</v>
          </cell>
        </row>
        <row r="1956">
          <cell r="C1956">
            <v>12002.431</v>
          </cell>
          <cell r="D1956">
            <v>7.0469999999999997</v>
          </cell>
          <cell r="G1956">
            <v>15515.735000000001</v>
          </cell>
          <cell r="H1956">
            <v>8.8320000000000007</v>
          </cell>
        </row>
        <row r="1957">
          <cell r="C1957">
            <v>12006.108</v>
          </cell>
          <cell r="D1957">
            <v>6.6269999999999998</v>
          </cell>
          <cell r="G1957">
            <v>15519.673000000001</v>
          </cell>
          <cell r="H1957">
            <v>8.0020000000000007</v>
          </cell>
        </row>
        <row r="1958">
          <cell r="C1958">
            <v>12008.912</v>
          </cell>
          <cell r="D1958">
            <v>6.327</v>
          </cell>
          <cell r="G1958">
            <v>15523.727999999999</v>
          </cell>
          <cell r="H1958">
            <v>6.96</v>
          </cell>
        </row>
        <row r="1959">
          <cell r="C1959">
            <v>12011.657999999999</v>
          </cell>
          <cell r="D1959">
            <v>5.99</v>
          </cell>
          <cell r="G1959">
            <v>15528.263999999999</v>
          </cell>
          <cell r="H1959">
            <v>5.7610000000000001</v>
          </cell>
        </row>
        <row r="1960">
          <cell r="C1960">
            <v>12015.174000000001</v>
          </cell>
          <cell r="D1960">
            <v>5.4539999999999997</v>
          </cell>
          <cell r="G1960">
            <v>15532.162</v>
          </cell>
          <cell r="H1960">
            <v>4.5720000000000001</v>
          </cell>
        </row>
        <row r="1961">
          <cell r="C1961">
            <v>12024.39</v>
          </cell>
          <cell r="D1961">
            <v>4.4359999999999999</v>
          </cell>
          <cell r="G1961">
            <v>15537.709000000001</v>
          </cell>
          <cell r="H1961">
            <v>2.97</v>
          </cell>
        </row>
        <row r="1962">
          <cell r="C1962">
            <v>12031.929</v>
          </cell>
          <cell r="D1962">
            <v>4.1029999999999998</v>
          </cell>
          <cell r="G1962">
            <v>15543.995999999999</v>
          </cell>
          <cell r="H1962">
            <v>1.3819999999999999</v>
          </cell>
        </row>
        <row r="1963">
          <cell r="C1963">
            <v>12076.261</v>
          </cell>
          <cell r="D1963">
            <v>4.6390000000000002</v>
          </cell>
          <cell r="G1963">
            <v>15554.296</v>
          </cell>
          <cell r="H1963">
            <v>-0.73</v>
          </cell>
        </row>
        <row r="1964">
          <cell r="C1964">
            <v>12087.489</v>
          </cell>
          <cell r="D1964">
            <v>4.3490000000000002</v>
          </cell>
          <cell r="G1964">
            <v>15569.903</v>
          </cell>
          <cell r="H1964">
            <v>-2.1909999999999998</v>
          </cell>
        </row>
        <row r="1965">
          <cell r="C1965">
            <v>12095.828</v>
          </cell>
          <cell r="D1965">
            <v>3.742</v>
          </cell>
          <cell r="G1965">
            <v>15589.718999999999</v>
          </cell>
          <cell r="H1965">
            <v>-2.6389999999999998</v>
          </cell>
        </row>
        <row r="1966">
          <cell r="C1966">
            <v>12100.924999999999</v>
          </cell>
          <cell r="D1966">
            <v>3.238</v>
          </cell>
          <cell r="G1966">
            <v>15609.657999999999</v>
          </cell>
          <cell r="H1966">
            <v>-2.669</v>
          </cell>
        </row>
        <row r="1967">
          <cell r="C1967">
            <v>12109.768</v>
          </cell>
          <cell r="D1967">
            <v>1.8939999999999999</v>
          </cell>
          <cell r="G1967">
            <v>15629.044</v>
          </cell>
          <cell r="H1967">
            <v>-3.7120000000000002</v>
          </cell>
        </row>
        <row r="1968">
          <cell r="C1968">
            <v>12116.235000000001</v>
          </cell>
          <cell r="D1968">
            <v>0.253</v>
          </cell>
          <cell r="G1968">
            <v>15644.251</v>
          </cell>
          <cell r="H1968">
            <v>-5.742</v>
          </cell>
        </row>
        <row r="1969">
          <cell r="C1969">
            <v>12120.668</v>
          </cell>
          <cell r="D1969">
            <v>-1.1200000000000001</v>
          </cell>
          <cell r="G1969">
            <v>15651.125</v>
          </cell>
          <cell r="H1969">
            <v>-7.3659999999999997</v>
          </cell>
        </row>
        <row r="1970">
          <cell r="C1970">
            <v>12122.669</v>
          </cell>
          <cell r="D1970">
            <v>-1.6559999999999999</v>
          </cell>
          <cell r="G1970">
            <v>15654.788</v>
          </cell>
          <cell r="H1970">
            <v>-8.3859999999999992</v>
          </cell>
        </row>
        <row r="1971">
          <cell r="C1971">
            <v>12124.624</v>
          </cell>
          <cell r="D1971">
            <v>-2.125</v>
          </cell>
          <cell r="G1971">
            <v>15658.434999999999</v>
          </cell>
          <cell r="H1971">
            <v>-9.4920000000000009</v>
          </cell>
        </row>
        <row r="1972">
          <cell r="C1972">
            <v>12125.894</v>
          </cell>
          <cell r="D1972">
            <v>-2.4169999999999998</v>
          </cell>
          <cell r="G1972">
            <v>15663.56</v>
          </cell>
          <cell r="H1972">
            <v>-11.29</v>
          </cell>
        </row>
        <row r="1973">
          <cell r="C1973">
            <v>12128.323</v>
          </cell>
          <cell r="D1973">
            <v>-2.9780000000000002</v>
          </cell>
          <cell r="G1973">
            <v>15667.861999999999</v>
          </cell>
          <cell r="H1973">
            <v>-12.622</v>
          </cell>
        </row>
        <row r="1974">
          <cell r="C1974">
            <v>12130.302</v>
          </cell>
          <cell r="D1974">
            <v>-3.4390000000000001</v>
          </cell>
          <cell r="G1974">
            <v>15670.733</v>
          </cell>
          <cell r="H1974">
            <v>-13.718</v>
          </cell>
        </row>
        <row r="1975">
          <cell r="C1975">
            <v>12132.593999999999</v>
          </cell>
          <cell r="D1975">
            <v>-3.7949999999999999</v>
          </cell>
          <cell r="G1975">
            <v>15673.875</v>
          </cell>
          <cell r="H1975">
            <v>-14.845000000000001</v>
          </cell>
        </row>
        <row r="1976">
          <cell r="C1976">
            <v>12135.558000000001</v>
          </cell>
          <cell r="D1976">
            <v>-4.3609999999999998</v>
          </cell>
          <cell r="G1976">
            <v>15676.371999999999</v>
          </cell>
          <cell r="H1976">
            <v>-15.766</v>
          </cell>
        </row>
        <row r="1977">
          <cell r="C1977">
            <v>12138.346</v>
          </cell>
          <cell r="D1977">
            <v>-4.76</v>
          </cell>
          <cell r="G1977">
            <v>15679.199000000001</v>
          </cell>
          <cell r="H1977">
            <v>-16.577000000000002</v>
          </cell>
        </row>
        <row r="1978">
          <cell r="C1978">
            <v>12140.53</v>
          </cell>
          <cell r="D1978">
            <v>-5.032</v>
          </cell>
          <cell r="G1978">
            <v>15682.61</v>
          </cell>
          <cell r="H1978">
            <v>-17.638000000000002</v>
          </cell>
        </row>
        <row r="1979">
          <cell r="C1979">
            <v>12144.984</v>
          </cell>
          <cell r="D1979">
            <v>-5.35</v>
          </cell>
          <cell r="G1979">
            <v>15685.388999999999</v>
          </cell>
          <cell r="H1979">
            <v>-18.518000000000001</v>
          </cell>
        </row>
        <row r="1980">
          <cell r="C1980">
            <v>12148.89</v>
          </cell>
          <cell r="D1980">
            <v>-5.5419999999999998</v>
          </cell>
          <cell r="G1980">
            <v>15688.713</v>
          </cell>
          <cell r="H1980">
            <v>-19.54</v>
          </cell>
        </row>
        <row r="1981">
          <cell r="C1981">
            <v>12150.931</v>
          </cell>
          <cell r="D1981">
            <v>-5.4729999999999999</v>
          </cell>
          <cell r="G1981">
            <v>15691.052</v>
          </cell>
          <cell r="H1981">
            <v>-20.11</v>
          </cell>
        </row>
        <row r="1982">
          <cell r="C1982">
            <v>12152.914000000001</v>
          </cell>
          <cell r="D1982">
            <v>-5.3890000000000002</v>
          </cell>
          <cell r="G1982">
            <v>15695.5</v>
          </cell>
          <cell r="H1982">
            <v>-21.37</v>
          </cell>
        </row>
        <row r="1983">
          <cell r="C1983">
            <v>12155.102000000001</v>
          </cell>
          <cell r="D1983">
            <v>-5.2649999999999997</v>
          </cell>
          <cell r="G1983">
            <v>15697.950999999999</v>
          </cell>
          <cell r="H1983">
            <v>-21.899000000000001</v>
          </cell>
        </row>
        <row r="1984">
          <cell r="C1984">
            <v>12157.538</v>
          </cell>
          <cell r="D1984">
            <v>-5.024</v>
          </cell>
          <cell r="G1984">
            <v>15700.361000000001</v>
          </cell>
          <cell r="H1984">
            <v>-22.292000000000002</v>
          </cell>
        </row>
        <row r="1985">
          <cell r="C1985">
            <v>12159.585999999999</v>
          </cell>
          <cell r="D1985">
            <v>-4.6980000000000004</v>
          </cell>
          <cell r="G1985">
            <v>15703.627</v>
          </cell>
          <cell r="H1985">
            <v>-22.797999999999998</v>
          </cell>
        </row>
        <row r="1986">
          <cell r="C1986">
            <v>12162.063</v>
          </cell>
          <cell r="D1986">
            <v>-4.2450000000000001</v>
          </cell>
          <cell r="G1986">
            <v>15708.870999999999</v>
          </cell>
          <cell r="H1986">
            <v>-23.620999999999999</v>
          </cell>
        </row>
        <row r="1987">
          <cell r="C1987">
            <v>12164.246999999999</v>
          </cell>
          <cell r="D1987">
            <v>-3.7149999999999999</v>
          </cell>
          <cell r="G1987">
            <v>15713.922</v>
          </cell>
          <cell r="H1987">
            <v>-24.151</v>
          </cell>
        </row>
        <row r="1988">
          <cell r="C1988">
            <v>12168.557000000001</v>
          </cell>
          <cell r="D1988">
            <v>-2.4049999999999998</v>
          </cell>
          <cell r="G1988">
            <v>15717.148999999999</v>
          </cell>
          <cell r="H1988">
            <v>-24.405000000000001</v>
          </cell>
        </row>
        <row r="1989">
          <cell r="C1989">
            <v>12176.111000000001</v>
          </cell>
          <cell r="D1989">
            <v>0.40200000000000002</v>
          </cell>
          <cell r="G1989">
            <v>15720.216</v>
          </cell>
          <cell r="H1989">
            <v>-24.602</v>
          </cell>
        </row>
        <row r="1990">
          <cell r="C1990">
            <v>12185.859</v>
          </cell>
          <cell r="D1990">
            <v>4.4080000000000004</v>
          </cell>
          <cell r="G1990">
            <v>15723.73</v>
          </cell>
          <cell r="H1990">
            <v>-24.815999999999999</v>
          </cell>
        </row>
        <row r="1991">
          <cell r="C1991">
            <v>12193.675999999999</v>
          </cell>
          <cell r="D1991">
            <v>7.984</v>
          </cell>
          <cell r="G1991">
            <v>15727.377</v>
          </cell>
          <cell r="H1991">
            <v>-24.859000000000002</v>
          </cell>
        </row>
        <row r="1992">
          <cell r="C1992">
            <v>12201.977999999999</v>
          </cell>
          <cell r="D1992">
            <v>12.1</v>
          </cell>
          <cell r="G1992">
            <v>15731.633</v>
          </cell>
          <cell r="H1992">
            <v>-24.56</v>
          </cell>
        </row>
        <row r="1993">
          <cell r="C1993">
            <v>12208.412</v>
          </cell>
          <cell r="D1993">
            <v>15.491</v>
          </cell>
          <cell r="G1993">
            <v>15737.419</v>
          </cell>
          <cell r="H1993">
            <v>-23.878</v>
          </cell>
        </row>
        <row r="1994">
          <cell r="C1994">
            <v>12211.816999999999</v>
          </cell>
          <cell r="D1994">
            <v>17.404</v>
          </cell>
          <cell r="G1994">
            <v>15742.28</v>
          </cell>
          <cell r="H1994">
            <v>-23.015999999999998</v>
          </cell>
        </row>
        <row r="1995">
          <cell r="C1995">
            <v>12213.421</v>
          </cell>
          <cell r="D1995">
            <v>18.222000000000001</v>
          </cell>
          <cell r="G1995">
            <v>15745.993</v>
          </cell>
          <cell r="H1995">
            <v>-22.231999999999999</v>
          </cell>
        </row>
        <row r="1996">
          <cell r="C1996">
            <v>12215.154</v>
          </cell>
          <cell r="D1996">
            <v>19.097999999999999</v>
          </cell>
          <cell r="G1996">
            <v>15749.548000000001</v>
          </cell>
          <cell r="H1996">
            <v>-21.437000000000001</v>
          </cell>
        </row>
        <row r="1997">
          <cell r="C1997">
            <v>12216.981</v>
          </cell>
          <cell r="D1997">
            <v>19.992000000000001</v>
          </cell>
          <cell r="G1997">
            <v>15755.482</v>
          </cell>
          <cell r="H1997">
            <v>-19.818999999999999</v>
          </cell>
        </row>
        <row r="1998">
          <cell r="C1998">
            <v>12218.401</v>
          </cell>
          <cell r="D1998">
            <v>20.634</v>
          </cell>
          <cell r="G1998">
            <v>15763.534</v>
          </cell>
          <cell r="H1998">
            <v>-17.501999999999999</v>
          </cell>
        </row>
        <row r="1999">
          <cell r="C1999">
            <v>12219.777</v>
          </cell>
          <cell r="D1999">
            <v>21.178000000000001</v>
          </cell>
          <cell r="G1999">
            <v>15780.544</v>
          </cell>
          <cell r="H1999">
            <v>-12.545</v>
          </cell>
        </row>
        <row r="2000">
          <cell r="C2000">
            <v>12221.476000000001</v>
          </cell>
          <cell r="D2000">
            <v>21.838000000000001</v>
          </cell>
          <cell r="G2000">
            <v>15786.34</v>
          </cell>
          <cell r="H2000">
            <v>-11.2</v>
          </cell>
        </row>
        <row r="2001">
          <cell r="C2001">
            <v>12222.939</v>
          </cell>
          <cell r="D2001">
            <v>22.4</v>
          </cell>
          <cell r="G2001">
            <v>15791.422</v>
          </cell>
          <cell r="H2001">
            <v>-10.09</v>
          </cell>
        </row>
        <row r="2002">
          <cell r="C2002">
            <v>12225.402</v>
          </cell>
          <cell r="D2002">
            <v>23.259</v>
          </cell>
          <cell r="G2002">
            <v>15796.655000000001</v>
          </cell>
          <cell r="H2002">
            <v>-9.3109999999999999</v>
          </cell>
        </row>
        <row r="2003">
          <cell r="C2003">
            <v>12227.393</v>
          </cell>
          <cell r="D2003">
            <v>23.902999999999999</v>
          </cell>
          <cell r="G2003">
            <v>15800.245000000001</v>
          </cell>
          <cell r="H2003">
            <v>-8.7639999999999993</v>
          </cell>
        </row>
        <row r="2004">
          <cell r="C2004">
            <v>12228.941000000001</v>
          </cell>
          <cell r="D2004">
            <v>24.323</v>
          </cell>
          <cell r="G2004">
            <v>15802.683000000001</v>
          </cell>
          <cell r="H2004">
            <v>-8.3290000000000006</v>
          </cell>
        </row>
        <row r="2005">
          <cell r="C2005">
            <v>12230.314</v>
          </cell>
          <cell r="D2005">
            <v>24.645</v>
          </cell>
          <cell r="G2005">
            <v>15812.055</v>
          </cell>
          <cell r="H2005">
            <v>-7.06</v>
          </cell>
        </row>
        <row r="2006">
          <cell r="C2006">
            <v>12233.196</v>
          </cell>
          <cell r="D2006">
            <v>25.283000000000001</v>
          </cell>
          <cell r="G2006">
            <v>15815.333000000001</v>
          </cell>
          <cell r="H2006">
            <v>-6.6609999999999996</v>
          </cell>
        </row>
        <row r="2007">
          <cell r="C2007">
            <v>12235.735000000001</v>
          </cell>
          <cell r="D2007">
            <v>25.795000000000002</v>
          </cell>
          <cell r="G2007">
            <v>15819.357</v>
          </cell>
          <cell r="H2007">
            <v>-6.2229999999999999</v>
          </cell>
        </row>
        <row r="2008">
          <cell r="C2008">
            <v>12237.378000000001</v>
          </cell>
          <cell r="D2008">
            <v>26.047999999999998</v>
          </cell>
          <cell r="G2008">
            <v>15821.964</v>
          </cell>
          <cell r="H2008">
            <v>-6.0090000000000003</v>
          </cell>
        </row>
        <row r="2009">
          <cell r="C2009">
            <v>12239.514999999999</v>
          </cell>
          <cell r="D2009">
            <v>26.234000000000002</v>
          </cell>
          <cell r="G2009">
            <v>15826.966</v>
          </cell>
          <cell r="H2009">
            <v>-5.7569999999999997</v>
          </cell>
        </row>
        <row r="2010">
          <cell r="C2010">
            <v>12240.763000000001</v>
          </cell>
          <cell r="D2010">
            <v>26.355</v>
          </cell>
          <cell r="G2010">
            <v>15831.43</v>
          </cell>
          <cell r="H2010">
            <v>-5.6440000000000001</v>
          </cell>
        </row>
        <row r="2011">
          <cell r="C2011">
            <v>12242.817999999999</v>
          </cell>
          <cell r="D2011">
            <v>26.475000000000001</v>
          </cell>
          <cell r="G2011">
            <v>15835.878000000001</v>
          </cell>
          <cell r="H2011">
            <v>-5.6870000000000003</v>
          </cell>
        </row>
        <row r="2012">
          <cell r="C2012">
            <v>12244.787</v>
          </cell>
          <cell r="D2012">
            <v>26.532</v>
          </cell>
          <cell r="G2012">
            <v>15840.665000000001</v>
          </cell>
          <cell r="H2012">
            <v>-5.8049999999999997</v>
          </cell>
        </row>
        <row r="2013">
          <cell r="C2013">
            <v>12246.118</v>
          </cell>
          <cell r="D2013">
            <v>26.524999999999999</v>
          </cell>
          <cell r="G2013">
            <v>15845.016</v>
          </cell>
          <cell r="H2013">
            <v>-5.9370000000000003</v>
          </cell>
        </row>
        <row r="2014">
          <cell r="C2014">
            <v>12248.582</v>
          </cell>
          <cell r="D2014">
            <v>26.521999999999998</v>
          </cell>
          <cell r="G2014">
            <v>15849.694</v>
          </cell>
          <cell r="H2014">
            <v>-5.8890000000000002</v>
          </cell>
        </row>
        <row r="2015">
          <cell r="C2015">
            <v>12250.638000000001</v>
          </cell>
          <cell r="D2015">
            <v>26.373999999999999</v>
          </cell>
          <cell r="G2015">
            <v>15852.458000000001</v>
          </cell>
          <cell r="H2015">
            <v>-5.8849999999999998</v>
          </cell>
        </row>
        <row r="2016">
          <cell r="C2016">
            <v>12253.344999999999</v>
          </cell>
          <cell r="D2016">
            <v>26.120999999999999</v>
          </cell>
          <cell r="G2016">
            <v>15855.332</v>
          </cell>
          <cell r="H2016">
            <v>-5.9640000000000004</v>
          </cell>
        </row>
        <row r="2017">
          <cell r="C2017">
            <v>12255.811</v>
          </cell>
          <cell r="D2017">
            <v>25.806999999999999</v>
          </cell>
          <cell r="G2017">
            <v>15858.786</v>
          </cell>
          <cell r="H2017">
            <v>-6.1749999999999998</v>
          </cell>
        </row>
        <row r="2018">
          <cell r="C2018">
            <v>12258.477999999999</v>
          </cell>
          <cell r="D2018">
            <v>25.263999999999999</v>
          </cell>
          <cell r="G2018">
            <v>15862.671</v>
          </cell>
          <cell r="H2018">
            <v>-6.43</v>
          </cell>
        </row>
        <row r="2019">
          <cell r="C2019">
            <v>12262.071</v>
          </cell>
          <cell r="D2019">
            <v>24.49</v>
          </cell>
          <cell r="G2019">
            <v>15865.837</v>
          </cell>
          <cell r="H2019">
            <v>-6.5620000000000003</v>
          </cell>
        </row>
        <row r="2020">
          <cell r="C2020">
            <v>12265.759</v>
          </cell>
          <cell r="D2020">
            <v>23.506</v>
          </cell>
          <cell r="G2020">
            <v>15870.905000000001</v>
          </cell>
          <cell r="H2020">
            <v>-7.06</v>
          </cell>
        </row>
        <row r="2021">
          <cell r="C2021">
            <v>12269.11</v>
          </cell>
          <cell r="D2021">
            <v>22.312000000000001</v>
          </cell>
          <cell r="G2021">
            <v>15876.135</v>
          </cell>
          <cell r="H2021">
            <v>-7.6790000000000003</v>
          </cell>
        </row>
        <row r="2022">
          <cell r="C2022">
            <v>12274.147999999999</v>
          </cell>
          <cell r="D2022">
            <v>20.356999999999999</v>
          </cell>
          <cell r="G2022">
            <v>15879.955</v>
          </cell>
          <cell r="H2022">
            <v>-8.0259999999999998</v>
          </cell>
        </row>
        <row r="2023">
          <cell r="C2023">
            <v>12277.698</v>
          </cell>
          <cell r="D2023">
            <v>18.689</v>
          </cell>
          <cell r="G2023">
            <v>15885.581</v>
          </cell>
          <cell r="H2023">
            <v>-8.6959999999999997</v>
          </cell>
        </row>
        <row r="2024">
          <cell r="C2024">
            <v>12284.513000000001</v>
          </cell>
          <cell r="D2024">
            <v>15.21</v>
          </cell>
          <cell r="G2024">
            <v>15889.632</v>
          </cell>
          <cell r="H2024">
            <v>-9.25</v>
          </cell>
        </row>
        <row r="2025">
          <cell r="C2025">
            <v>12292.215</v>
          </cell>
          <cell r="D2025">
            <v>11.114000000000001</v>
          </cell>
          <cell r="G2025">
            <v>15893.281000000001</v>
          </cell>
          <cell r="H2025">
            <v>-10.032999999999999</v>
          </cell>
        </row>
        <row r="2026">
          <cell r="C2026">
            <v>12302.041999999999</v>
          </cell>
          <cell r="D2026">
            <v>5.8630000000000004</v>
          </cell>
          <cell r="G2026">
            <v>15898.937</v>
          </cell>
          <cell r="H2026">
            <v>-11.164999999999999</v>
          </cell>
        </row>
        <row r="2027">
          <cell r="C2027">
            <v>12307.951999999999</v>
          </cell>
          <cell r="D2027">
            <v>3.0219999999999998</v>
          </cell>
          <cell r="G2027">
            <v>15904.141</v>
          </cell>
          <cell r="H2027">
            <v>-12.042999999999999</v>
          </cell>
        </row>
        <row r="2028">
          <cell r="C2028">
            <v>12313.566000000001</v>
          </cell>
          <cell r="D2028">
            <v>0.13100000000000001</v>
          </cell>
          <cell r="G2028">
            <v>15909.67</v>
          </cell>
          <cell r="H2028">
            <v>-13.000999999999999</v>
          </cell>
        </row>
        <row r="2029">
          <cell r="C2029">
            <v>12317.428</v>
          </cell>
          <cell r="D2029">
            <v>-2.2549999999999999</v>
          </cell>
          <cell r="G2029">
            <v>15915.129000000001</v>
          </cell>
          <cell r="H2029">
            <v>-14.036</v>
          </cell>
        </row>
        <row r="2030">
          <cell r="C2030">
            <v>12322.463</v>
          </cell>
          <cell r="D2030">
            <v>-4.9180000000000001</v>
          </cell>
          <cell r="G2030">
            <v>15921.882</v>
          </cell>
          <cell r="H2030">
            <v>-14.916</v>
          </cell>
        </row>
        <row r="2031">
          <cell r="C2031">
            <v>12326.284</v>
          </cell>
          <cell r="D2031">
            <v>-6.6959999999999997</v>
          </cell>
          <cell r="G2031">
            <v>15928.817999999999</v>
          </cell>
          <cell r="H2031">
            <v>-15.602</v>
          </cell>
        </row>
        <row r="2032">
          <cell r="C2032">
            <v>12329.050999999999</v>
          </cell>
          <cell r="D2032">
            <v>-7.9009999999999998</v>
          </cell>
          <cell r="G2032">
            <v>15938.397999999999</v>
          </cell>
          <cell r="H2032">
            <v>-16.245999999999999</v>
          </cell>
        </row>
        <row r="2033">
          <cell r="C2033">
            <v>12331.761</v>
          </cell>
          <cell r="D2033">
            <v>-8.9009999999999998</v>
          </cell>
          <cell r="G2033">
            <v>15946.491</v>
          </cell>
          <cell r="H2033">
            <v>-16.289000000000001</v>
          </cell>
        </row>
        <row r="2034">
          <cell r="C2034">
            <v>12334.316999999999</v>
          </cell>
          <cell r="D2034">
            <v>-9.8290000000000006</v>
          </cell>
          <cell r="G2034">
            <v>15957.326999999999</v>
          </cell>
          <cell r="H2034">
            <v>-15.724</v>
          </cell>
        </row>
        <row r="2035">
          <cell r="C2035">
            <v>12337.687</v>
          </cell>
          <cell r="D2035">
            <v>-10.843</v>
          </cell>
          <cell r="G2035">
            <v>15973.888999999999</v>
          </cell>
          <cell r="H2035">
            <v>-13.079000000000001</v>
          </cell>
        </row>
        <row r="2036">
          <cell r="C2036">
            <v>12340.843999999999</v>
          </cell>
          <cell r="D2036">
            <v>-11.689</v>
          </cell>
          <cell r="G2036">
            <v>15981.271000000001</v>
          </cell>
          <cell r="H2036">
            <v>-11.356999999999999</v>
          </cell>
        </row>
        <row r="2037">
          <cell r="C2037">
            <v>12343.843000000001</v>
          </cell>
          <cell r="D2037">
            <v>-12.305999999999999</v>
          </cell>
          <cell r="G2037">
            <v>15986.991</v>
          </cell>
          <cell r="H2037">
            <v>-9.69</v>
          </cell>
        </row>
        <row r="2038">
          <cell r="C2038">
            <v>12347.075000000001</v>
          </cell>
          <cell r="D2038">
            <v>-12.875999999999999</v>
          </cell>
          <cell r="G2038">
            <v>15994.259</v>
          </cell>
          <cell r="H2038">
            <v>-7.5709999999999997</v>
          </cell>
        </row>
        <row r="2039">
          <cell r="C2039">
            <v>12350.576999999999</v>
          </cell>
          <cell r="D2039">
            <v>-13.250999999999999</v>
          </cell>
          <cell r="G2039">
            <v>15999.509</v>
          </cell>
          <cell r="H2039">
            <v>-6.2</v>
          </cell>
        </row>
        <row r="2040">
          <cell r="C2040">
            <v>12353.82</v>
          </cell>
          <cell r="D2040">
            <v>-13.506</v>
          </cell>
          <cell r="G2040">
            <v>16004.129000000001</v>
          </cell>
          <cell r="H2040">
            <v>-5.4640000000000004</v>
          </cell>
        </row>
        <row r="2041">
          <cell r="C2041">
            <v>12356.852999999999</v>
          </cell>
          <cell r="D2041">
            <v>-13.679</v>
          </cell>
          <cell r="G2041">
            <v>16008.584000000001</v>
          </cell>
          <cell r="H2041">
            <v>-4.8170000000000002</v>
          </cell>
        </row>
        <row r="2042">
          <cell r="C2042">
            <v>12360.022999999999</v>
          </cell>
          <cell r="D2042">
            <v>-13.641999999999999</v>
          </cell>
          <cell r="G2042">
            <v>16014.064</v>
          </cell>
          <cell r="H2042">
            <v>-4.1630000000000003</v>
          </cell>
        </row>
        <row r="2043">
          <cell r="C2043">
            <v>12363.370999999999</v>
          </cell>
          <cell r="D2043">
            <v>-13.542999999999999</v>
          </cell>
          <cell r="G2043">
            <v>16018.611000000001</v>
          </cell>
          <cell r="H2043">
            <v>-3.7610000000000001</v>
          </cell>
        </row>
        <row r="2044">
          <cell r="C2044">
            <v>12366.523999999999</v>
          </cell>
          <cell r="D2044">
            <v>-13.276999999999999</v>
          </cell>
          <cell r="G2044">
            <v>16022.921</v>
          </cell>
          <cell r="H2044">
            <v>-3.7149999999999999</v>
          </cell>
        </row>
        <row r="2045">
          <cell r="C2045">
            <v>12370.450999999999</v>
          </cell>
          <cell r="D2045">
            <v>-12.768000000000001</v>
          </cell>
          <cell r="G2045">
            <v>16028.512000000001</v>
          </cell>
          <cell r="H2045">
            <v>-4.0330000000000004</v>
          </cell>
        </row>
        <row r="2046">
          <cell r="C2046">
            <v>12373.974</v>
          </cell>
          <cell r="D2046">
            <v>-12.003</v>
          </cell>
          <cell r="G2046">
            <v>16034.848</v>
          </cell>
          <cell r="H2046">
            <v>-4.4820000000000002</v>
          </cell>
        </row>
        <row r="2047">
          <cell r="C2047">
            <v>12377.994000000001</v>
          </cell>
          <cell r="D2047">
            <v>-10.968</v>
          </cell>
          <cell r="G2047">
            <v>16050.86</v>
          </cell>
          <cell r="H2047">
            <v>-5.74</v>
          </cell>
        </row>
        <row r="2048">
          <cell r="C2048">
            <v>12382.344999999999</v>
          </cell>
          <cell r="D2048">
            <v>-9.52</v>
          </cell>
          <cell r="G2048">
            <v>16069.370999999999</v>
          </cell>
          <cell r="H2048">
            <v>-7.0369999999999999</v>
          </cell>
        </row>
        <row r="2049">
          <cell r="C2049">
            <v>12385.726000000001</v>
          </cell>
          <cell r="D2049">
            <v>-8.17</v>
          </cell>
          <cell r="G2049">
            <v>16087.664000000001</v>
          </cell>
          <cell r="H2049">
            <v>-8.5</v>
          </cell>
        </row>
        <row r="2050">
          <cell r="C2050">
            <v>12392.445</v>
          </cell>
          <cell r="D2050">
            <v>-5.3479999999999999</v>
          </cell>
          <cell r="G2050">
            <v>16095.341</v>
          </cell>
          <cell r="H2050">
            <v>-9.5169999999999995</v>
          </cell>
        </row>
        <row r="2051">
          <cell r="C2051">
            <v>12400.831</v>
          </cell>
          <cell r="D2051">
            <v>-2.3260000000000001</v>
          </cell>
          <cell r="G2051">
            <v>16098.558000000001</v>
          </cell>
          <cell r="H2051">
            <v>-9.94</v>
          </cell>
        </row>
        <row r="2052">
          <cell r="C2052">
            <v>12412.004000000001</v>
          </cell>
          <cell r="D2052">
            <v>0.90800000000000003</v>
          </cell>
          <cell r="G2052">
            <v>16101.550999999999</v>
          </cell>
          <cell r="H2052">
            <v>-10.526</v>
          </cell>
        </row>
        <row r="2053">
          <cell r="C2053">
            <v>12419.549000000001</v>
          </cell>
          <cell r="D2053">
            <v>2.581</v>
          </cell>
          <cell r="G2053">
            <v>16103.987999999999</v>
          </cell>
          <cell r="H2053">
            <v>-10.961</v>
          </cell>
        </row>
        <row r="2054">
          <cell r="C2054">
            <v>12443.57</v>
          </cell>
          <cell r="D2054">
            <v>5.218</v>
          </cell>
          <cell r="G2054">
            <v>16105.736000000001</v>
          </cell>
          <cell r="H2054">
            <v>-11.273999999999999</v>
          </cell>
        </row>
        <row r="2055">
          <cell r="C2055">
            <v>12471.659</v>
          </cell>
          <cell r="D2055">
            <v>5.46</v>
          </cell>
          <cell r="G2055">
            <v>16107.832</v>
          </cell>
          <cell r="H2055">
            <v>-11.644</v>
          </cell>
        </row>
        <row r="2056">
          <cell r="C2056">
            <v>12495.279</v>
          </cell>
          <cell r="D2056">
            <v>5.35</v>
          </cell>
          <cell r="G2056">
            <v>16112.078</v>
          </cell>
          <cell r="H2056">
            <v>-12.172000000000001</v>
          </cell>
        </row>
        <row r="2057">
          <cell r="C2057">
            <v>12514.874</v>
          </cell>
          <cell r="D2057">
            <v>5.3559999999999999</v>
          </cell>
          <cell r="G2057">
            <v>16114.569</v>
          </cell>
          <cell r="H2057">
            <v>-12.518000000000001</v>
          </cell>
        </row>
        <row r="2058">
          <cell r="C2058">
            <v>12531.882</v>
          </cell>
          <cell r="D2058">
            <v>5.3609999999999998</v>
          </cell>
          <cell r="G2058">
            <v>16116.377</v>
          </cell>
          <cell r="H2058">
            <v>-12.725</v>
          </cell>
        </row>
        <row r="2059">
          <cell r="C2059">
            <v>12550.373</v>
          </cell>
          <cell r="D2059">
            <v>5.3310000000000004</v>
          </cell>
          <cell r="G2059">
            <v>16118.339</v>
          </cell>
          <cell r="H2059">
            <v>-13.000999999999999</v>
          </cell>
        </row>
        <row r="2060">
          <cell r="C2060">
            <v>12570.476000000001</v>
          </cell>
          <cell r="D2060">
            <v>5.3049999999999997</v>
          </cell>
          <cell r="G2060">
            <v>16120.793</v>
          </cell>
          <cell r="H2060">
            <v>-13.302</v>
          </cell>
        </row>
        <row r="2061">
          <cell r="C2061">
            <v>12584.517</v>
          </cell>
          <cell r="D2061">
            <v>5.3150000000000004</v>
          </cell>
          <cell r="G2061">
            <v>16122.957</v>
          </cell>
          <cell r="H2061">
            <v>-13.509</v>
          </cell>
        </row>
        <row r="2062">
          <cell r="C2062">
            <v>12597.886</v>
          </cell>
          <cell r="D2062">
            <v>5.242</v>
          </cell>
          <cell r="G2062">
            <v>16125.377</v>
          </cell>
          <cell r="H2062">
            <v>-13.685</v>
          </cell>
        </row>
        <row r="2063">
          <cell r="C2063">
            <v>12608.669</v>
          </cell>
          <cell r="D2063">
            <v>5.2560000000000002</v>
          </cell>
          <cell r="G2063">
            <v>16128.005999999999</v>
          </cell>
          <cell r="H2063">
            <v>-13.831</v>
          </cell>
        </row>
        <row r="2064">
          <cell r="C2064">
            <v>12613.166999999999</v>
          </cell>
          <cell r="D2064">
            <v>5.266</v>
          </cell>
          <cell r="G2064">
            <v>16130.907999999999</v>
          </cell>
          <cell r="H2064">
            <v>-13.896000000000001</v>
          </cell>
        </row>
        <row r="2065">
          <cell r="C2065">
            <v>12663.026</v>
          </cell>
          <cell r="D2065">
            <v>5.6859999999999999</v>
          </cell>
          <cell r="G2065">
            <v>16133.116</v>
          </cell>
          <cell r="H2065">
            <v>-13.904</v>
          </cell>
        </row>
        <row r="2066">
          <cell r="C2066">
            <v>12674.29</v>
          </cell>
          <cell r="D2066">
            <v>5.899</v>
          </cell>
          <cell r="G2066">
            <v>16135.439</v>
          </cell>
          <cell r="H2066">
            <v>-13.848000000000001</v>
          </cell>
        </row>
        <row r="2067">
          <cell r="C2067">
            <v>12678.522000000001</v>
          </cell>
          <cell r="D2067">
            <v>5.9409999999999998</v>
          </cell>
          <cell r="G2067">
            <v>16138.285</v>
          </cell>
          <cell r="H2067">
            <v>-13.722</v>
          </cell>
        </row>
        <row r="2068">
          <cell r="C2068">
            <v>12684.437</v>
          </cell>
          <cell r="D2068">
            <v>6.0250000000000004</v>
          </cell>
          <cell r="G2068">
            <v>16141.656000000001</v>
          </cell>
          <cell r="H2068">
            <v>-13.414</v>
          </cell>
        </row>
        <row r="2069">
          <cell r="C2069">
            <v>12689.459000000001</v>
          </cell>
          <cell r="D2069">
            <v>5.8959999999999999</v>
          </cell>
          <cell r="G2069">
            <v>16145.268</v>
          </cell>
          <cell r="H2069">
            <v>-13.082000000000001</v>
          </cell>
        </row>
        <row r="2070">
          <cell r="C2070">
            <v>12701.065000000001</v>
          </cell>
          <cell r="D2070">
            <v>5.5140000000000002</v>
          </cell>
          <cell r="G2070">
            <v>16147.989</v>
          </cell>
          <cell r="H2070">
            <v>-12.759</v>
          </cell>
        </row>
        <row r="2071">
          <cell r="C2071">
            <v>12711.611000000001</v>
          </cell>
          <cell r="D2071">
            <v>5.0149999999999997</v>
          </cell>
          <cell r="G2071">
            <v>16150.258</v>
          </cell>
          <cell r="H2071">
            <v>-12.564</v>
          </cell>
        </row>
        <row r="2072">
          <cell r="C2072">
            <v>12737.298000000001</v>
          </cell>
          <cell r="D2072">
            <v>4.032</v>
          </cell>
          <cell r="G2072">
            <v>16152.281000000001</v>
          </cell>
          <cell r="H2072">
            <v>-12.212999999999999</v>
          </cell>
        </row>
        <row r="2073">
          <cell r="C2073">
            <v>12766.314</v>
          </cell>
          <cell r="D2073">
            <v>3.1629999999999998</v>
          </cell>
          <cell r="G2073">
            <v>16154.868</v>
          </cell>
          <cell r="H2073">
            <v>-11.808999999999999</v>
          </cell>
        </row>
        <row r="2074">
          <cell r="C2074">
            <v>12768.324000000001</v>
          </cell>
          <cell r="D2074">
            <v>3.242</v>
          </cell>
          <cell r="G2074">
            <v>16157.96</v>
          </cell>
          <cell r="H2074">
            <v>-11.269</v>
          </cell>
        </row>
        <row r="2075">
          <cell r="C2075">
            <v>12780.254999999999</v>
          </cell>
          <cell r="D2075">
            <v>2.5449999999999999</v>
          </cell>
          <cell r="G2075">
            <v>16160.195</v>
          </cell>
          <cell r="H2075">
            <v>-10.818</v>
          </cell>
        </row>
        <row r="2076">
          <cell r="C2076">
            <v>12790.945</v>
          </cell>
          <cell r="D2076">
            <v>2.4089999999999998</v>
          </cell>
          <cell r="G2076">
            <v>16162.423000000001</v>
          </cell>
          <cell r="H2076">
            <v>-10.321</v>
          </cell>
        </row>
        <row r="2077">
          <cell r="C2077">
            <v>12800.775</v>
          </cell>
          <cell r="D2077">
            <v>2.3479999999999999</v>
          </cell>
          <cell r="G2077">
            <v>16165.849</v>
          </cell>
          <cell r="H2077">
            <v>-9.6590000000000007</v>
          </cell>
        </row>
        <row r="2078">
          <cell r="C2078">
            <v>12804.404</v>
          </cell>
          <cell r="D2078">
            <v>2.5110000000000001</v>
          </cell>
          <cell r="G2078">
            <v>16170.079</v>
          </cell>
          <cell r="H2078">
            <v>-8.6340000000000003</v>
          </cell>
        </row>
        <row r="2079">
          <cell r="C2079">
            <v>12807.867</v>
          </cell>
          <cell r="D2079">
            <v>2.5350000000000001</v>
          </cell>
          <cell r="G2079">
            <v>16181.307000000001</v>
          </cell>
          <cell r="H2079">
            <v>-6.8769999999999998</v>
          </cell>
        </row>
        <row r="2080">
          <cell r="C2080">
            <v>12816.062</v>
          </cell>
          <cell r="D2080">
            <v>2.7909999999999999</v>
          </cell>
          <cell r="G2080">
            <v>16196.686</v>
          </cell>
          <cell r="H2080">
            <v>-5.6429999999999998</v>
          </cell>
        </row>
        <row r="2081">
          <cell r="C2081">
            <v>12819.615</v>
          </cell>
          <cell r="D2081">
            <v>2.8570000000000002</v>
          </cell>
          <cell r="G2081">
            <v>16208.325999999999</v>
          </cell>
          <cell r="H2081">
            <v>-5.3819999999999997</v>
          </cell>
        </row>
        <row r="2082">
          <cell r="C2082">
            <v>12826.308999999999</v>
          </cell>
          <cell r="D2082">
            <v>3.3519999999999999</v>
          </cell>
          <cell r="G2082">
            <v>16220.163</v>
          </cell>
          <cell r="H2082">
            <v>-5.3609999999999998</v>
          </cell>
        </row>
        <row r="2083">
          <cell r="C2083">
            <v>12837.557000000001</v>
          </cell>
          <cell r="D2083">
            <v>4.4119999999999999</v>
          </cell>
          <cell r="G2083">
            <v>16232.787</v>
          </cell>
          <cell r="H2083">
            <v>-5.3780000000000001</v>
          </cell>
        </row>
        <row r="2084">
          <cell r="C2084">
            <v>12844.174000000001</v>
          </cell>
          <cell r="D2084">
            <v>5.1260000000000003</v>
          </cell>
          <cell r="G2084">
            <v>16243.671</v>
          </cell>
          <cell r="H2084">
            <v>-5.3970000000000002</v>
          </cell>
        </row>
        <row r="2085">
          <cell r="C2085">
            <v>12851.450999999999</v>
          </cell>
          <cell r="D2085">
            <v>5.7460000000000004</v>
          </cell>
          <cell r="G2085">
            <v>16256.513999999999</v>
          </cell>
          <cell r="H2085">
            <v>-5.3620000000000001</v>
          </cell>
        </row>
        <row r="2086">
          <cell r="C2086">
            <v>12857.136</v>
          </cell>
          <cell r="D2086">
            <v>6.32</v>
          </cell>
          <cell r="G2086">
            <v>16277.409</v>
          </cell>
          <cell r="H2086">
            <v>-5.48</v>
          </cell>
        </row>
        <row r="2087">
          <cell r="C2087">
            <v>12865.201999999999</v>
          </cell>
          <cell r="D2087">
            <v>6.9950000000000001</v>
          </cell>
          <cell r="G2087">
            <v>16311.806</v>
          </cell>
          <cell r="H2087">
            <v>-5.4119999999999999</v>
          </cell>
        </row>
        <row r="2088">
          <cell r="C2088">
            <v>12875.442999999999</v>
          </cell>
          <cell r="D2088">
            <v>7.3170000000000002</v>
          </cell>
          <cell r="G2088">
            <v>16333.374</v>
          </cell>
          <cell r="H2088">
            <v>-5.4279999999999999</v>
          </cell>
        </row>
        <row r="2089">
          <cell r="C2089">
            <v>12885.996999999999</v>
          </cell>
          <cell r="D2089">
            <v>7.08</v>
          </cell>
          <cell r="G2089">
            <v>16351.248</v>
          </cell>
          <cell r="H2089">
            <v>-5.4029999999999996</v>
          </cell>
        </row>
        <row r="2090">
          <cell r="C2090">
            <v>12899.386</v>
          </cell>
          <cell r="D2090">
            <v>5.601</v>
          </cell>
          <cell r="G2090">
            <v>16372.237999999999</v>
          </cell>
          <cell r="H2090">
            <v>-5.524</v>
          </cell>
        </row>
        <row r="2091">
          <cell r="C2091">
            <v>12918.832</v>
          </cell>
          <cell r="D2091">
            <v>1.3140000000000001</v>
          </cell>
          <cell r="G2091">
            <v>16403.353999999999</v>
          </cell>
          <cell r="H2091">
            <v>-5.5860000000000003</v>
          </cell>
        </row>
        <row r="2092">
          <cell r="C2092">
            <v>12924.215</v>
          </cell>
          <cell r="D2092">
            <v>-0.27300000000000002</v>
          </cell>
          <cell r="G2092">
            <v>16456.649000000001</v>
          </cell>
          <cell r="H2092">
            <v>-5.5119999999999996</v>
          </cell>
        </row>
        <row r="2093">
          <cell r="C2093">
            <v>12928.793</v>
          </cell>
          <cell r="D2093">
            <v>-1.623</v>
          </cell>
          <cell r="G2093">
            <v>16477.612000000001</v>
          </cell>
          <cell r="H2093">
            <v>-5.9029999999999996</v>
          </cell>
        </row>
        <row r="2094">
          <cell r="C2094">
            <v>12931.94</v>
          </cell>
          <cell r="D2094">
            <v>-2.4129999999999998</v>
          </cell>
          <cell r="G2094">
            <v>16504.121999999999</v>
          </cell>
          <cell r="H2094">
            <v>-5.899</v>
          </cell>
        </row>
        <row r="2095">
          <cell r="C2095">
            <v>12935.766</v>
          </cell>
          <cell r="D2095">
            <v>-3.3220000000000001</v>
          </cell>
          <cell r="G2095">
            <v>16535.614000000001</v>
          </cell>
          <cell r="H2095">
            <v>-5.8440000000000003</v>
          </cell>
        </row>
        <row r="2096">
          <cell r="C2096">
            <v>12939.655000000001</v>
          </cell>
          <cell r="D2096">
            <v>-3.9969999999999999</v>
          </cell>
          <cell r="G2096">
            <v>16562.27</v>
          </cell>
          <cell r="H2096">
            <v>-5.798</v>
          </cell>
        </row>
        <row r="2097">
          <cell r="C2097">
            <v>12942.401</v>
          </cell>
          <cell r="D2097">
            <v>-4.3650000000000002</v>
          </cell>
          <cell r="G2097">
            <v>16581.807000000001</v>
          </cell>
          <cell r="H2097">
            <v>-5.54</v>
          </cell>
        </row>
        <row r="2098">
          <cell r="C2098">
            <v>12945.464</v>
          </cell>
          <cell r="D2098">
            <v>-4.5030000000000001</v>
          </cell>
          <cell r="G2098">
            <v>16600.526999999998</v>
          </cell>
          <cell r="H2098">
            <v>-5.5190000000000001</v>
          </cell>
        </row>
        <row r="2099">
          <cell r="C2099">
            <v>12948.842000000001</v>
          </cell>
          <cell r="D2099">
            <v>-4.5910000000000002</v>
          </cell>
          <cell r="G2099">
            <v>16633.887999999999</v>
          </cell>
          <cell r="H2099">
            <v>-5.5919999999999996</v>
          </cell>
        </row>
        <row r="2100">
          <cell r="C2100">
            <v>12952.035</v>
          </cell>
          <cell r="D2100">
            <v>-4.5640000000000001</v>
          </cell>
          <cell r="G2100">
            <v>16654.755000000001</v>
          </cell>
          <cell r="H2100">
            <v>-6.4939999999999998</v>
          </cell>
        </row>
        <row r="2101">
          <cell r="C2101">
            <v>12955.029</v>
          </cell>
          <cell r="D2101">
            <v>-4.444</v>
          </cell>
          <cell r="G2101">
            <v>16662.420999999998</v>
          </cell>
          <cell r="H2101">
            <v>-7.1369999999999996</v>
          </cell>
        </row>
        <row r="2102">
          <cell r="C2102">
            <v>12958.05</v>
          </cell>
          <cell r="D2102">
            <v>-4.1470000000000002</v>
          </cell>
          <cell r="G2102">
            <v>16667.625</v>
          </cell>
          <cell r="H2102">
            <v>-7.8680000000000003</v>
          </cell>
        </row>
        <row r="2103">
          <cell r="C2103">
            <v>12961.218999999999</v>
          </cell>
          <cell r="D2103">
            <v>-3.6349999999999998</v>
          </cell>
          <cell r="G2103">
            <v>16672.536</v>
          </cell>
          <cell r="H2103">
            <v>-8.6820000000000004</v>
          </cell>
        </row>
        <row r="2104">
          <cell r="C2104">
            <v>12964.498</v>
          </cell>
          <cell r="D2104">
            <v>-2.944</v>
          </cell>
          <cell r="G2104">
            <v>16677.518</v>
          </cell>
          <cell r="H2104">
            <v>-9.4410000000000007</v>
          </cell>
        </row>
        <row r="2105">
          <cell r="C2105">
            <v>12968.071</v>
          </cell>
          <cell r="D2105">
            <v>-2.0190000000000001</v>
          </cell>
          <cell r="G2105">
            <v>16682.325000000001</v>
          </cell>
          <cell r="H2105">
            <v>-10.054</v>
          </cell>
        </row>
        <row r="2106">
          <cell r="C2106">
            <v>12971.51</v>
          </cell>
          <cell r="D2106">
            <v>-1.0409999999999999</v>
          </cell>
          <cell r="G2106">
            <v>16687.672999999999</v>
          </cell>
          <cell r="H2106">
            <v>-10.798999999999999</v>
          </cell>
        </row>
        <row r="2107">
          <cell r="C2107">
            <v>12975.029</v>
          </cell>
          <cell r="D2107">
            <v>7.2999999999999995E-2</v>
          </cell>
          <cell r="G2107">
            <v>16692.777999999998</v>
          </cell>
          <cell r="H2107">
            <v>-11.406000000000001</v>
          </cell>
        </row>
        <row r="2108">
          <cell r="C2108">
            <v>12978.21</v>
          </cell>
          <cell r="D2108">
            <v>1.296</v>
          </cell>
          <cell r="G2108">
            <v>16697.240000000002</v>
          </cell>
          <cell r="H2108">
            <v>-11.688000000000001</v>
          </cell>
        </row>
        <row r="2109">
          <cell r="C2109">
            <v>12985.634</v>
          </cell>
          <cell r="D2109">
            <v>3.827</v>
          </cell>
          <cell r="G2109">
            <v>16702.131000000001</v>
          </cell>
          <cell r="H2109">
            <v>-11.912000000000001</v>
          </cell>
        </row>
        <row r="2110">
          <cell r="C2110">
            <v>12997.254999999999</v>
          </cell>
          <cell r="D2110">
            <v>7.82</v>
          </cell>
          <cell r="G2110">
            <v>16706.702000000001</v>
          </cell>
          <cell r="H2110">
            <v>-11.999000000000001</v>
          </cell>
        </row>
        <row r="2111">
          <cell r="C2111">
            <v>13010.156999999999</v>
          </cell>
          <cell r="D2111">
            <v>12.413</v>
          </cell>
          <cell r="G2111">
            <v>16710.774000000001</v>
          </cell>
          <cell r="H2111">
            <v>-12.103999999999999</v>
          </cell>
        </row>
        <row r="2112">
          <cell r="C2112">
            <v>13023.333000000001</v>
          </cell>
          <cell r="D2112">
            <v>17.117000000000001</v>
          </cell>
          <cell r="G2112">
            <v>16714.053</v>
          </cell>
          <cell r="H2112">
            <v>-12.112</v>
          </cell>
        </row>
        <row r="2113">
          <cell r="C2113">
            <v>13036.084000000001</v>
          </cell>
          <cell r="D2113">
            <v>21.643999999999998</v>
          </cell>
          <cell r="G2113">
            <v>16718.633000000002</v>
          </cell>
          <cell r="H2113">
            <v>-11.836</v>
          </cell>
        </row>
        <row r="2114">
          <cell r="C2114">
            <v>13043.937</v>
          </cell>
          <cell r="D2114">
            <v>24.507999999999999</v>
          </cell>
          <cell r="G2114">
            <v>16722.48</v>
          </cell>
          <cell r="H2114">
            <v>-11.518000000000001</v>
          </cell>
        </row>
        <row r="2115">
          <cell r="C2115">
            <v>13047.903</v>
          </cell>
          <cell r="D2115">
            <v>26.050999999999998</v>
          </cell>
          <cell r="G2115">
            <v>16729.239000000001</v>
          </cell>
          <cell r="H2115">
            <v>-10.587</v>
          </cell>
        </row>
        <row r="2116">
          <cell r="C2116">
            <v>13054.143</v>
          </cell>
          <cell r="D2116">
            <v>28.408000000000001</v>
          </cell>
          <cell r="G2116">
            <v>16737.223000000002</v>
          </cell>
          <cell r="H2116">
            <v>-9.5489999999999995</v>
          </cell>
        </row>
        <row r="2117">
          <cell r="C2117">
            <v>13059.224</v>
          </cell>
          <cell r="D2117">
            <v>30.134</v>
          </cell>
          <cell r="G2117">
            <v>16758.294000000002</v>
          </cell>
          <cell r="H2117">
            <v>-6.601</v>
          </cell>
        </row>
        <row r="2118">
          <cell r="C2118">
            <v>13064.941999999999</v>
          </cell>
          <cell r="D2118">
            <v>32.091999999999999</v>
          </cell>
          <cell r="G2118">
            <v>16784.671999999999</v>
          </cell>
          <cell r="H2118">
            <v>-2.4580000000000002</v>
          </cell>
        </row>
        <row r="2119">
          <cell r="C2119">
            <v>13068.71</v>
          </cell>
          <cell r="D2119">
            <v>33.289000000000001</v>
          </cell>
          <cell r="G2119">
            <v>16787.715</v>
          </cell>
          <cell r="H2119">
            <v>-1.7450000000000001</v>
          </cell>
        </row>
        <row r="2120">
          <cell r="C2120">
            <v>13072.009</v>
          </cell>
          <cell r="D2120">
            <v>34.110999999999997</v>
          </cell>
          <cell r="G2120">
            <v>16791.701000000001</v>
          </cell>
          <cell r="H2120">
            <v>-1.0369999999999999</v>
          </cell>
        </row>
        <row r="2121">
          <cell r="C2121">
            <v>13074.808000000001</v>
          </cell>
          <cell r="D2121">
            <v>34.764000000000003</v>
          </cell>
          <cell r="G2121">
            <v>16797.058000000001</v>
          </cell>
          <cell r="H2121">
            <v>-0.252</v>
          </cell>
        </row>
        <row r="2122">
          <cell r="C2122">
            <v>13077.023999999999</v>
          </cell>
          <cell r="D2122">
            <v>35.026000000000003</v>
          </cell>
          <cell r="G2122">
            <v>16799.93</v>
          </cell>
          <cell r="H2122">
            <v>0.14799999999999999</v>
          </cell>
        </row>
        <row r="2123">
          <cell r="C2123">
            <v>13079.866</v>
          </cell>
          <cell r="D2123">
            <v>35.326000000000001</v>
          </cell>
          <cell r="G2123">
            <v>16803.284</v>
          </cell>
          <cell r="H2123">
            <v>0.754</v>
          </cell>
        </row>
        <row r="2124">
          <cell r="C2124">
            <v>13083.001</v>
          </cell>
          <cell r="D2124">
            <v>35.49</v>
          </cell>
          <cell r="G2124">
            <v>16806.977999999999</v>
          </cell>
          <cell r="H2124">
            <v>1.181</v>
          </cell>
        </row>
        <row r="2125">
          <cell r="C2125">
            <v>13089.812</v>
          </cell>
          <cell r="D2125">
            <v>35.454000000000001</v>
          </cell>
          <cell r="G2125">
            <v>16812.185000000001</v>
          </cell>
          <cell r="H2125">
            <v>1.641</v>
          </cell>
        </row>
        <row r="2126">
          <cell r="C2126">
            <v>13094.136</v>
          </cell>
          <cell r="D2126">
            <v>35.220999999999997</v>
          </cell>
          <cell r="G2126">
            <v>16817.667000000001</v>
          </cell>
          <cell r="H2126">
            <v>2.0249999999999999</v>
          </cell>
        </row>
        <row r="2127">
          <cell r="C2127">
            <v>13096.504000000001</v>
          </cell>
          <cell r="D2127">
            <v>34.99</v>
          </cell>
          <cell r="G2127">
            <v>16824.277999999998</v>
          </cell>
          <cell r="H2127">
            <v>1.9910000000000001</v>
          </cell>
        </row>
        <row r="2128">
          <cell r="C2128">
            <v>13100.57</v>
          </cell>
          <cell r="D2128">
            <v>34.445999999999998</v>
          </cell>
          <cell r="G2128">
            <v>16829.644</v>
          </cell>
          <cell r="H2128">
            <v>1.865</v>
          </cell>
        </row>
        <row r="2129">
          <cell r="C2129">
            <v>13104.473</v>
          </cell>
          <cell r="D2129">
            <v>33.713000000000001</v>
          </cell>
          <cell r="G2129">
            <v>16835.172999999999</v>
          </cell>
          <cell r="H2129">
            <v>1.61</v>
          </cell>
        </row>
        <row r="2130">
          <cell r="C2130">
            <v>13107.163</v>
          </cell>
          <cell r="D2130">
            <v>32.832999999999998</v>
          </cell>
          <cell r="G2130">
            <v>16840.402999999998</v>
          </cell>
          <cell r="H2130">
            <v>1.139</v>
          </cell>
        </row>
        <row r="2131">
          <cell r="C2131">
            <v>13110.235000000001</v>
          </cell>
          <cell r="D2131">
            <v>31.795000000000002</v>
          </cell>
          <cell r="G2131">
            <v>16845.234</v>
          </cell>
          <cell r="H2131">
            <v>0.60399999999999998</v>
          </cell>
        </row>
        <row r="2132">
          <cell r="C2132">
            <v>13115.699000000001</v>
          </cell>
          <cell r="D2132">
            <v>29.706</v>
          </cell>
          <cell r="G2132">
            <v>16850.89</v>
          </cell>
          <cell r="H2132">
            <v>-0.254</v>
          </cell>
        </row>
        <row r="2133">
          <cell r="C2133">
            <v>13121.415000000001</v>
          </cell>
          <cell r="D2133">
            <v>27.616</v>
          </cell>
          <cell r="G2133">
            <v>16855.757000000001</v>
          </cell>
          <cell r="H2133">
            <v>-1.1279999999999999</v>
          </cell>
        </row>
        <row r="2134">
          <cell r="C2134">
            <v>13132.682000000001</v>
          </cell>
          <cell r="D2134">
            <v>23.431999999999999</v>
          </cell>
          <cell r="G2134">
            <v>16860.727999999999</v>
          </cell>
          <cell r="H2134">
            <v>-2.1419999999999999</v>
          </cell>
        </row>
        <row r="2135">
          <cell r="C2135">
            <v>13137.655000000001</v>
          </cell>
          <cell r="D2135">
            <v>21.472999999999999</v>
          </cell>
          <cell r="G2135">
            <v>16865.858</v>
          </cell>
          <cell r="H2135">
            <v>-3.121</v>
          </cell>
        </row>
        <row r="2136">
          <cell r="C2136">
            <v>13142.964</v>
          </cell>
          <cell r="D2136">
            <v>19.350000000000001</v>
          </cell>
          <cell r="G2136">
            <v>16872.469000000001</v>
          </cell>
          <cell r="H2136">
            <v>-4.0720000000000001</v>
          </cell>
        </row>
        <row r="2137">
          <cell r="C2137">
            <v>13154.757</v>
          </cell>
          <cell r="D2137">
            <v>15.105</v>
          </cell>
          <cell r="G2137">
            <v>16887.848000000002</v>
          </cell>
          <cell r="H2137">
            <v>-5.1870000000000003</v>
          </cell>
        </row>
        <row r="2138">
          <cell r="C2138">
            <v>13163.710999999999</v>
          </cell>
          <cell r="D2138">
            <v>12.430999999999999</v>
          </cell>
          <cell r="G2138">
            <v>16909.566999999999</v>
          </cell>
          <cell r="H2138">
            <v>-5.516</v>
          </cell>
        </row>
        <row r="2139">
          <cell r="C2139">
            <v>13170.364</v>
          </cell>
          <cell r="D2139">
            <v>10.523999999999999</v>
          </cell>
          <cell r="G2139">
            <v>16936.062999999998</v>
          </cell>
          <cell r="H2139">
            <v>-5.4080000000000004</v>
          </cell>
        </row>
        <row r="2140">
          <cell r="C2140">
            <v>13183.361999999999</v>
          </cell>
          <cell r="D2140">
            <v>8.1020000000000003</v>
          </cell>
          <cell r="G2140">
            <v>16952.134999999998</v>
          </cell>
          <cell r="H2140">
            <v>-5.3789999999999996</v>
          </cell>
        </row>
        <row r="2141">
          <cell r="C2141">
            <v>13198.335999999999</v>
          </cell>
          <cell r="D2141">
            <v>7.3150000000000004</v>
          </cell>
          <cell r="G2141">
            <v>16972.386999999999</v>
          </cell>
          <cell r="H2141">
            <v>-5.37</v>
          </cell>
        </row>
        <row r="2142">
          <cell r="C2142">
            <v>13205.217000000001</v>
          </cell>
          <cell r="D2142">
            <v>7.6210000000000004</v>
          </cell>
          <cell r="G2142">
            <v>16996.371999999999</v>
          </cell>
          <cell r="H2142">
            <v>-5.5359999999999996</v>
          </cell>
        </row>
        <row r="2143">
          <cell r="C2143">
            <v>13226.370999999999</v>
          </cell>
          <cell r="D2143">
            <v>11.676</v>
          </cell>
          <cell r="G2143">
            <v>17008.482</v>
          </cell>
          <cell r="H2143">
            <v>-5.7729999999999997</v>
          </cell>
        </row>
        <row r="2144">
          <cell r="C2144">
            <v>13235.698</v>
          </cell>
          <cell r="D2144">
            <v>14.83</v>
          </cell>
          <cell r="G2144">
            <v>17014.288</v>
          </cell>
          <cell r="H2144">
            <v>-6.0060000000000002</v>
          </cell>
        </row>
        <row r="2145">
          <cell r="C2145">
            <v>13242.396000000001</v>
          </cell>
          <cell r="D2145">
            <v>17.739999999999998</v>
          </cell>
          <cell r="G2145">
            <v>17019.850999999999</v>
          </cell>
          <cell r="H2145">
            <v>-6.4729999999999999</v>
          </cell>
        </row>
        <row r="2146">
          <cell r="C2146">
            <v>13250.355</v>
          </cell>
          <cell r="D2146">
            <v>21.963000000000001</v>
          </cell>
          <cell r="G2146">
            <v>17024.506000000001</v>
          </cell>
          <cell r="H2146">
            <v>-7.2</v>
          </cell>
        </row>
        <row r="2147">
          <cell r="C2147">
            <v>13252.683999999999</v>
          </cell>
          <cell r="D2147">
            <v>23.129000000000001</v>
          </cell>
          <cell r="G2147">
            <v>17029.032999999999</v>
          </cell>
          <cell r="H2147">
            <v>-7.9420000000000002</v>
          </cell>
        </row>
        <row r="2148">
          <cell r="C2148">
            <v>13254.665999999999</v>
          </cell>
          <cell r="D2148">
            <v>24.123999999999999</v>
          </cell>
          <cell r="G2148">
            <v>17032.905999999999</v>
          </cell>
          <cell r="H2148">
            <v>-8.6110000000000007</v>
          </cell>
        </row>
        <row r="2149">
          <cell r="C2149">
            <v>13257.282999999999</v>
          </cell>
          <cell r="D2149">
            <v>25.428999999999998</v>
          </cell>
          <cell r="G2149">
            <v>17037.190999999999</v>
          </cell>
          <cell r="H2149">
            <v>-9.4130000000000003</v>
          </cell>
        </row>
        <row r="2150">
          <cell r="C2150">
            <v>13259.349</v>
          </cell>
          <cell r="D2150">
            <v>26.379000000000001</v>
          </cell>
          <cell r="G2150">
            <v>17041.427</v>
          </cell>
          <cell r="H2150">
            <v>-10.236000000000001</v>
          </cell>
        </row>
        <row r="2151">
          <cell r="C2151">
            <v>13261.422</v>
          </cell>
          <cell r="D2151">
            <v>27.265000000000001</v>
          </cell>
          <cell r="G2151">
            <v>17045.603999999999</v>
          </cell>
          <cell r="H2151">
            <v>-11.215999999999999</v>
          </cell>
        </row>
        <row r="2152">
          <cell r="C2152">
            <v>13263.853999999999</v>
          </cell>
          <cell r="D2152">
            <v>28.173999999999999</v>
          </cell>
          <cell r="G2152">
            <v>17048.933000000001</v>
          </cell>
          <cell r="H2152">
            <v>-11.914999999999999</v>
          </cell>
        </row>
        <row r="2153">
          <cell r="C2153">
            <v>13265.924000000001</v>
          </cell>
          <cell r="D2153">
            <v>28.824000000000002</v>
          </cell>
          <cell r="G2153">
            <v>17052.513999999999</v>
          </cell>
          <cell r="H2153">
            <v>-12.766</v>
          </cell>
        </row>
        <row r="2154">
          <cell r="C2154">
            <v>13268.361999999999</v>
          </cell>
          <cell r="D2154">
            <v>29.623000000000001</v>
          </cell>
          <cell r="G2154">
            <v>17057.898000000001</v>
          </cell>
          <cell r="H2154">
            <v>-13.988</v>
          </cell>
        </row>
        <row r="2155">
          <cell r="C2155">
            <v>13269.896000000001</v>
          </cell>
          <cell r="D2155">
            <v>30.045000000000002</v>
          </cell>
          <cell r="G2155">
            <v>17062.519</v>
          </cell>
          <cell r="H2155">
            <v>-14.957000000000001</v>
          </cell>
        </row>
        <row r="2156">
          <cell r="C2156">
            <v>13271.543</v>
          </cell>
          <cell r="D2156">
            <v>30.512</v>
          </cell>
          <cell r="G2156">
            <v>17070.547999999999</v>
          </cell>
          <cell r="H2156">
            <v>-16.687999999999999</v>
          </cell>
        </row>
        <row r="2157">
          <cell r="C2157">
            <v>13274.12</v>
          </cell>
          <cell r="D2157">
            <v>30.850999999999999</v>
          </cell>
          <cell r="G2157">
            <v>17075.275000000001</v>
          </cell>
          <cell r="H2157">
            <v>-17.602</v>
          </cell>
        </row>
        <row r="2158">
          <cell r="C2158">
            <v>13275.982</v>
          </cell>
          <cell r="D2158">
            <v>30.992999999999999</v>
          </cell>
          <cell r="G2158">
            <v>17083.895</v>
          </cell>
          <cell r="H2158">
            <v>-18.995000000000001</v>
          </cell>
        </row>
        <row r="2159">
          <cell r="C2159">
            <v>13277.825000000001</v>
          </cell>
          <cell r="D2159">
            <v>31.167999999999999</v>
          </cell>
          <cell r="G2159">
            <v>17095.993999999999</v>
          </cell>
          <cell r="H2159">
            <v>-20.260999999999999</v>
          </cell>
        </row>
        <row r="2160">
          <cell r="C2160">
            <v>13279.682000000001</v>
          </cell>
          <cell r="D2160">
            <v>31.224</v>
          </cell>
          <cell r="G2160">
            <v>17111.958999999999</v>
          </cell>
          <cell r="H2160">
            <v>-20.742999999999999</v>
          </cell>
        </row>
        <row r="2161">
          <cell r="C2161">
            <v>13280.798000000001</v>
          </cell>
          <cell r="D2161">
            <v>31.27</v>
          </cell>
          <cell r="G2161">
            <v>17135.921999999999</v>
          </cell>
          <cell r="H2161">
            <v>94.896000000000001</v>
          </cell>
        </row>
        <row r="2162">
          <cell r="C2162">
            <v>13284.041999999999</v>
          </cell>
          <cell r="D2162">
            <v>31.309000000000001</v>
          </cell>
          <cell r="G2162">
            <v>17152.062000000002</v>
          </cell>
          <cell r="H2162">
            <v>-18.23</v>
          </cell>
        </row>
        <row r="2163">
          <cell r="C2163">
            <v>13286.79</v>
          </cell>
          <cell r="D2163">
            <v>31.355</v>
          </cell>
          <cell r="G2163">
            <v>17153.312999999998</v>
          </cell>
          <cell r="H2163">
            <v>97.319000000000003</v>
          </cell>
        </row>
        <row r="2164">
          <cell r="C2164">
            <v>13289.155000000001</v>
          </cell>
          <cell r="D2164">
            <v>31.356000000000002</v>
          </cell>
          <cell r="G2164">
            <v>17157.285</v>
          </cell>
          <cell r="H2164">
            <v>97.944999999999993</v>
          </cell>
        </row>
        <row r="2165">
          <cell r="C2165">
            <v>13291.178</v>
          </cell>
          <cell r="D2165">
            <v>31.126000000000001</v>
          </cell>
          <cell r="G2165">
            <v>17159.157999999999</v>
          </cell>
          <cell r="H2165">
            <v>-17.783999999999999</v>
          </cell>
        </row>
        <row r="2166">
          <cell r="C2166">
            <v>13293.494000000001</v>
          </cell>
          <cell r="D2166">
            <v>30.867000000000001</v>
          </cell>
          <cell r="G2166">
            <v>17160.478999999999</v>
          </cell>
          <cell r="H2166">
            <v>98.275999999999996</v>
          </cell>
        </row>
        <row r="2167">
          <cell r="C2167">
            <v>13295.691000000001</v>
          </cell>
          <cell r="D2167">
            <v>30.617999999999999</v>
          </cell>
          <cell r="G2167">
            <v>17164.455000000002</v>
          </cell>
          <cell r="H2167">
            <v>98.334000000000003</v>
          </cell>
        </row>
        <row r="2168">
          <cell r="C2168">
            <v>13297.921</v>
          </cell>
          <cell r="D2168">
            <v>30.181999999999999</v>
          </cell>
          <cell r="G2168">
            <v>17164.996999999999</v>
          </cell>
          <cell r="H2168">
            <v>-17.363</v>
          </cell>
        </row>
        <row r="2169">
          <cell r="C2169">
            <v>13299.888999999999</v>
          </cell>
          <cell r="D2169">
            <v>29.789000000000001</v>
          </cell>
          <cell r="G2169">
            <v>17168.232</v>
          </cell>
          <cell r="H2169">
            <v>98.296999999999997</v>
          </cell>
        </row>
        <row r="2170">
          <cell r="C2170">
            <v>13302.511</v>
          </cell>
          <cell r="D2170">
            <v>29.344000000000001</v>
          </cell>
          <cell r="G2170">
            <v>17169.708999999999</v>
          </cell>
          <cell r="H2170">
            <v>-16.896999999999998</v>
          </cell>
        </row>
        <row r="2171">
          <cell r="C2171">
            <v>13304.712</v>
          </cell>
          <cell r="D2171">
            <v>28.831</v>
          </cell>
          <cell r="G2171">
            <v>17172.667000000001</v>
          </cell>
          <cell r="H2171">
            <v>97.864999999999995</v>
          </cell>
        </row>
        <row r="2172">
          <cell r="C2172">
            <v>13308.034</v>
          </cell>
          <cell r="D2172">
            <v>27.898</v>
          </cell>
          <cell r="G2172">
            <v>17174.314999999999</v>
          </cell>
          <cell r="H2172">
            <v>-16.295999999999999</v>
          </cell>
        </row>
        <row r="2173">
          <cell r="C2173">
            <v>13311.076999999999</v>
          </cell>
          <cell r="D2173">
            <v>27.071999999999999</v>
          </cell>
          <cell r="G2173">
            <v>17178.198</v>
          </cell>
          <cell r="H2173">
            <v>97.26</v>
          </cell>
        </row>
        <row r="2174">
          <cell r="C2174">
            <v>13318.313</v>
          </cell>
          <cell r="D2174">
            <v>25.096</v>
          </cell>
          <cell r="G2174">
            <v>17178.599999999999</v>
          </cell>
          <cell r="H2174">
            <v>-15.273</v>
          </cell>
        </row>
        <row r="2175">
          <cell r="C2175">
            <v>13323.919</v>
          </cell>
          <cell r="D2175">
            <v>23.777000000000001</v>
          </cell>
          <cell r="G2175">
            <v>17182.462</v>
          </cell>
          <cell r="H2175">
            <v>-14.125</v>
          </cell>
        </row>
        <row r="2176">
          <cell r="C2176">
            <v>13331.02</v>
          </cell>
          <cell r="D2176">
            <v>22.411999999999999</v>
          </cell>
          <cell r="G2176">
            <v>17184.364000000001</v>
          </cell>
          <cell r="H2176">
            <v>96.433000000000007</v>
          </cell>
        </row>
        <row r="2177">
          <cell r="C2177">
            <v>13341.484</v>
          </cell>
          <cell r="D2177">
            <v>20.565000000000001</v>
          </cell>
          <cell r="G2177">
            <v>17185.748</v>
          </cell>
          <cell r="H2177">
            <v>-13.076000000000001</v>
          </cell>
        </row>
        <row r="2178">
          <cell r="C2178">
            <v>13361.736999999999</v>
          </cell>
          <cell r="D2178">
            <v>16.952000000000002</v>
          </cell>
          <cell r="G2178">
            <v>17188.941999999999</v>
          </cell>
          <cell r="H2178">
            <v>-11.836</v>
          </cell>
        </row>
        <row r="2179">
          <cell r="C2179">
            <v>13378.109</v>
          </cell>
          <cell r="D2179">
            <v>14.048</v>
          </cell>
          <cell r="G2179">
            <v>17191.293000000001</v>
          </cell>
          <cell r="H2179">
            <v>95.302000000000007</v>
          </cell>
        </row>
        <row r="2180">
          <cell r="C2180">
            <v>13385.71</v>
          </cell>
          <cell r="D2180">
            <v>12.706</v>
          </cell>
          <cell r="G2180">
            <v>17193.127</v>
          </cell>
          <cell r="H2180">
            <v>-10.055999999999999</v>
          </cell>
        </row>
        <row r="2181">
          <cell r="C2181">
            <v>13400.474</v>
          </cell>
          <cell r="D2181">
            <v>10.071</v>
          </cell>
          <cell r="G2181">
            <v>17195.792000000001</v>
          </cell>
          <cell r="H2181">
            <v>-8.7279999999999998</v>
          </cell>
        </row>
        <row r="2182">
          <cell r="C2182">
            <v>13410.27</v>
          </cell>
          <cell r="D2182">
            <v>8.2889999999999997</v>
          </cell>
          <cell r="G2182">
            <v>17198.251</v>
          </cell>
          <cell r="H2182">
            <v>-7.431</v>
          </cell>
        </row>
        <row r="2183">
          <cell r="C2183">
            <v>13416.458000000001</v>
          </cell>
          <cell r="D2183">
            <v>7.3959999999999999</v>
          </cell>
          <cell r="G2183">
            <v>17200.191999999999</v>
          </cell>
          <cell r="H2183">
            <v>94.021000000000001</v>
          </cell>
        </row>
        <row r="2184">
          <cell r="C2184">
            <v>13421.23</v>
          </cell>
          <cell r="D2184">
            <v>6.984</v>
          </cell>
          <cell r="G2184">
            <v>17201.221000000001</v>
          </cell>
          <cell r="H2184">
            <v>-5.83</v>
          </cell>
        </row>
        <row r="2185">
          <cell r="C2185">
            <v>13424.962</v>
          </cell>
          <cell r="D2185">
            <v>6.82</v>
          </cell>
          <cell r="G2185">
            <v>17203.599999999999</v>
          </cell>
          <cell r="H2185">
            <v>-4.484</v>
          </cell>
        </row>
        <row r="2186">
          <cell r="C2186">
            <v>13428.691000000001</v>
          </cell>
          <cell r="D2186">
            <v>6.859</v>
          </cell>
          <cell r="G2186">
            <v>17206.8</v>
          </cell>
          <cell r="H2186">
            <v>-2.5339999999999998</v>
          </cell>
        </row>
        <row r="2187">
          <cell r="C2187">
            <v>13433.037</v>
          </cell>
          <cell r="D2187">
            <v>7.0670000000000002</v>
          </cell>
          <cell r="G2187">
            <v>17210.302</v>
          </cell>
          <cell r="H2187">
            <v>-0.308</v>
          </cell>
        </row>
        <row r="2188">
          <cell r="C2188">
            <v>13437.141</v>
          </cell>
          <cell r="D2188">
            <v>7.4630000000000001</v>
          </cell>
          <cell r="G2188">
            <v>17213.666000000001</v>
          </cell>
          <cell r="H2188">
            <v>2.137</v>
          </cell>
        </row>
        <row r="2189">
          <cell r="C2189">
            <v>13442.08</v>
          </cell>
          <cell r="D2189">
            <v>8.1590000000000007</v>
          </cell>
          <cell r="G2189">
            <v>17215.888999999999</v>
          </cell>
          <cell r="H2189">
            <v>91.853999999999999</v>
          </cell>
        </row>
        <row r="2190">
          <cell r="C2190">
            <v>13447.496999999999</v>
          </cell>
          <cell r="D2190">
            <v>9.1720000000000006</v>
          </cell>
          <cell r="G2190">
            <v>17216.424999999999</v>
          </cell>
          <cell r="H2190">
            <v>4.4690000000000003</v>
          </cell>
        </row>
        <row r="2191">
          <cell r="C2191">
            <v>13454.892</v>
          </cell>
          <cell r="D2191">
            <v>10.643000000000001</v>
          </cell>
          <cell r="G2191">
            <v>17219.562999999998</v>
          </cell>
          <cell r="H2191">
            <v>7.407</v>
          </cell>
        </row>
        <row r="2192">
          <cell r="C2192">
            <v>13462.605</v>
          </cell>
          <cell r="D2192">
            <v>12.231999999999999</v>
          </cell>
          <cell r="G2192">
            <v>17222.157999999999</v>
          </cell>
          <cell r="H2192">
            <v>10.234</v>
          </cell>
        </row>
        <row r="2193">
          <cell r="C2193">
            <v>13471.514999999999</v>
          </cell>
          <cell r="D2193">
            <v>14.045999999999999</v>
          </cell>
          <cell r="G2193">
            <v>17225.397000000001</v>
          </cell>
          <cell r="H2193">
            <v>13.653</v>
          </cell>
        </row>
        <row r="2194">
          <cell r="C2194">
            <v>13479.263999999999</v>
          </cell>
          <cell r="D2194">
            <v>15.657</v>
          </cell>
          <cell r="G2194">
            <v>17226.079000000002</v>
          </cell>
          <cell r="H2194">
            <v>89.578000000000003</v>
          </cell>
        </row>
        <row r="2195">
          <cell r="C2195">
            <v>13485.806</v>
          </cell>
          <cell r="D2195">
            <v>16.858000000000001</v>
          </cell>
          <cell r="G2195">
            <v>17227.940999999999</v>
          </cell>
          <cell r="H2195">
            <v>16.367999999999999</v>
          </cell>
        </row>
        <row r="2196">
          <cell r="C2196">
            <v>13499.189</v>
          </cell>
          <cell r="D2196">
            <v>19.401</v>
          </cell>
          <cell r="G2196">
            <v>17229.838</v>
          </cell>
          <cell r="H2196">
            <v>18.533999999999999</v>
          </cell>
        </row>
        <row r="2197">
          <cell r="C2197">
            <v>13508.928</v>
          </cell>
          <cell r="D2197">
            <v>21.324999999999999</v>
          </cell>
          <cell r="G2197">
            <v>17231.808000000001</v>
          </cell>
          <cell r="H2197">
            <v>20.920999999999999</v>
          </cell>
        </row>
        <row r="2198">
          <cell r="C2198">
            <v>13513.825000000001</v>
          </cell>
          <cell r="D2198">
            <v>22.302</v>
          </cell>
          <cell r="G2198">
            <v>17233.467000000001</v>
          </cell>
          <cell r="H2198">
            <v>87.037999999999997</v>
          </cell>
        </row>
        <row r="2199">
          <cell r="C2199">
            <v>13518.790999999999</v>
          </cell>
          <cell r="D2199">
            <v>23.053000000000001</v>
          </cell>
          <cell r="G2199">
            <v>17233.900000000001</v>
          </cell>
          <cell r="H2199">
            <v>23.341000000000001</v>
          </cell>
        </row>
        <row r="2200">
          <cell r="C2200">
            <v>13523.823</v>
          </cell>
          <cell r="D2200">
            <v>23.555</v>
          </cell>
          <cell r="G2200">
            <v>17235.896000000001</v>
          </cell>
          <cell r="H2200">
            <v>25.498000000000001</v>
          </cell>
        </row>
        <row r="2201">
          <cell r="C2201">
            <v>13527.484</v>
          </cell>
          <cell r="D2201">
            <v>23.756</v>
          </cell>
          <cell r="G2201">
            <v>17237.944</v>
          </cell>
          <cell r="H2201">
            <v>28.33</v>
          </cell>
        </row>
        <row r="2202">
          <cell r="C2202">
            <v>13530.152</v>
          </cell>
          <cell r="D2202">
            <v>23.800999999999998</v>
          </cell>
          <cell r="G2202">
            <v>17238.677</v>
          </cell>
          <cell r="H2202">
            <v>84.704999999999998</v>
          </cell>
        </row>
        <row r="2203">
          <cell r="C2203">
            <v>13534.121999999999</v>
          </cell>
          <cell r="D2203">
            <v>23.754000000000001</v>
          </cell>
          <cell r="G2203">
            <v>17240.112000000001</v>
          </cell>
          <cell r="H2203">
            <v>31.071000000000002</v>
          </cell>
        </row>
        <row r="2204">
          <cell r="C2204">
            <v>13538.629000000001</v>
          </cell>
          <cell r="D2204">
            <v>23.565999999999999</v>
          </cell>
          <cell r="G2204">
            <v>17241.352999999999</v>
          </cell>
          <cell r="H2204">
            <v>32.725999999999999</v>
          </cell>
        </row>
        <row r="2205">
          <cell r="C2205">
            <v>13543.709000000001</v>
          </cell>
          <cell r="D2205">
            <v>23.097999999999999</v>
          </cell>
          <cell r="G2205">
            <v>17242.631000000001</v>
          </cell>
          <cell r="H2205">
            <v>82.340999999999994</v>
          </cell>
        </row>
        <row r="2206">
          <cell r="C2206">
            <v>13547.165000000001</v>
          </cell>
          <cell r="D2206">
            <v>22.629000000000001</v>
          </cell>
          <cell r="G2206">
            <v>17242.703000000001</v>
          </cell>
          <cell r="H2206">
            <v>34.795999999999999</v>
          </cell>
        </row>
        <row r="2207">
          <cell r="C2207">
            <v>13551.915000000001</v>
          </cell>
          <cell r="D2207">
            <v>21.908999999999999</v>
          </cell>
          <cell r="G2207">
            <v>17244.09</v>
          </cell>
          <cell r="H2207">
            <v>37.213999999999999</v>
          </cell>
        </row>
        <row r="2208">
          <cell r="C2208">
            <v>13560.707</v>
          </cell>
          <cell r="D2208">
            <v>20.422000000000001</v>
          </cell>
          <cell r="G2208">
            <v>17245.361000000001</v>
          </cell>
          <cell r="H2208">
            <v>39.503999999999998</v>
          </cell>
        </row>
        <row r="2209">
          <cell r="C2209">
            <v>13586.519</v>
          </cell>
          <cell r="D2209">
            <v>15.891</v>
          </cell>
          <cell r="G2209">
            <v>17245.808000000001</v>
          </cell>
          <cell r="H2209">
            <v>79.754000000000005</v>
          </cell>
        </row>
        <row r="2210">
          <cell r="C2210">
            <v>13593.691999999999</v>
          </cell>
          <cell r="D2210">
            <v>14.763999999999999</v>
          </cell>
          <cell r="G2210">
            <v>17246.985000000001</v>
          </cell>
          <cell r="H2210">
            <v>42.494</v>
          </cell>
        </row>
        <row r="2211">
          <cell r="C2211">
            <v>13604.377</v>
          </cell>
          <cell r="D2211">
            <v>13.339</v>
          </cell>
          <cell r="G2211">
            <v>17247.885999999999</v>
          </cell>
          <cell r="H2211">
            <v>44.408999999999999</v>
          </cell>
        </row>
        <row r="2212">
          <cell r="C2212">
            <v>13616.266</v>
          </cell>
          <cell r="D2212">
            <v>11.733000000000001</v>
          </cell>
          <cell r="G2212">
            <v>17248.058000000001</v>
          </cell>
          <cell r="H2212">
            <v>77.147000000000006</v>
          </cell>
        </row>
        <row r="2213">
          <cell r="C2213">
            <v>13628.056</v>
          </cell>
          <cell r="D2213">
            <v>9.6039999999999992</v>
          </cell>
          <cell r="G2213">
            <v>17249.348999999998</v>
          </cell>
          <cell r="H2213">
            <v>47.570999999999998</v>
          </cell>
        </row>
        <row r="2214">
          <cell r="C2214">
            <v>13632.088</v>
          </cell>
          <cell r="D2214">
            <v>8.82</v>
          </cell>
          <cell r="G2214">
            <v>17249.883000000002</v>
          </cell>
          <cell r="H2214">
            <v>74.73</v>
          </cell>
        </row>
        <row r="2215">
          <cell r="C2215">
            <v>13636.322</v>
          </cell>
          <cell r="D2215">
            <v>8.0660000000000007</v>
          </cell>
          <cell r="G2215">
            <v>17250.944</v>
          </cell>
          <cell r="H2215">
            <v>51.447000000000003</v>
          </cell>
        </row>
        <row r="2216">
          <cell r="C2216">
            <v>13639.698</v>
          </cell>
          <cell r="D2216">
            <v>7.577</v>
          </cell>
          <cell r="G2216">
            <v>17251.114000000001</v>
          </cell>
          <cell r="H2216">
            <v>72.44</v>
          </cell>
        </row>
        <row r="2217">
          <cell r="C2217">
            <v>13643.241</v>
          </cell>
          <cell r="D2217">
            <v>7.1790000000000003</v>
          </cell>
          <cell r="G2217">
            <v>17252.146000000001</v>
          </cell>
          <cell r="H2217">
            <v>54.985999999999997</v>
          </cell>
        </row>
        <row r="2218">
          <cell r="C2218">
            <v>13646.353999999999</v>
          </cell>
          <cell r="D2218">
            <v>6.931</v>
          </cell>
          <cell r="G2218">
            <v>17252.236000000001</v>
          </cell>
          <cell r="H2218">
            <v>69.495000000000005</v>
          </cell>
        </row>
        <row r="2219">
          <cell r="C2219">
            <v>13650.074000000001</v>
          </cell>
          <cell r="D2219">
            <v>6.7220000000000004</v>
          </cell>
          <cell r="G2219">
            <v>17252.775000000001</v>
          </cell>
          <cell r="H2219">
            <v>58.256999999999998</v>
          </cell>
        </row>
        <row r="2220">
          <cell r="C2220">
            <v>13653.313</v>
          </cell>
          <cell r="D2220">
            <v>6.4420000000000002</v>
          </cell>
          <cell r="G2220">
            <v>17252.863000000001</v>
          </cell>
          <cell r="H2220">
            <v>66.608000000000004</v>
          </cell>
        </row>
        <row r="2221">
          <cell r="C2221">
            <v>13658.641</v>
          </cell>
          <cell r="D2221">
            <v>6.3170000000000002</v>
          </cell>
          <cell r="G2221">
            <v>17253.169999999998</v>
          </cell>
          <cell r="H2221">
            <v>61.087000000000003</v>
          </cell>
        </row>
        <row r="2222">
          <cell r="C2222">
            <v>13666.873</v>
          </cell>
          <cell r="D2222">
            <v>5.9660000000000002</v>
          </cell>
          <cell r="G2222">
            <v>17253.333999999999</v>
          </cell>
          <cell r="H2222">
            <v>63.625</v>
          </cell>
        </row>
        <row r="2223">
          <cell r="C2223">
            <v>13671.11</v>
          </cell>
          <cell r="D2223">
            <v>5.6849999999999996</v>
          </cell>
          <cell r="G2223">
            <v>17692.346000000001</v>
          </cell>
          <cell r="H2223">
            <v>86.185000000000002</v>
          </cell>
        </row>
        <row r="2224">
          <cell r="C2224">
            <v>13674.289000000001</v>
          </cell>
          <cell r="D2224">
            <v>5.5289999999999999</v>
          </cell>
          <cell r="G2224">
            <v>17697.448</v>
          </cell>
          <cell r="H2224">
            <v>80.335999999999999</v>
          </cell>
        </row>
        <row r="2225">
          <cell r="C2225">
            <v>13678.058999999999</v>
          </cell>
          <cell r="D2225">
            <v>5.5460000000000003</v>
          </cell>
          <cell r="G2225">
            <v>17703.724999999999</v>
          </cell>
          <cell r="H2225">
            <v>73.221999999999994</v>
          </cell>
        </row>
        <row r="2226">
          <cell r="C2226">
            <v>13680.563</v>
          </cell>
          <cell r="D2226">
            <v>5.7190000000000003</v>
          </cell>
          <cell r="G2226">
            <v>17712.414000000001</v>
          </cell>
          <cell r="H2226">
            <v>64.040000000000006</v>
          </cell>
        </row>
        <row r="2227">
          <cell r="C2227">
            <v>13686.303</v>
          </cell>
          <cell r="D2227">
            <v>6.1740000000000004</v>
          </cell>
          <cell r="G2227">
            <v>17719.347000000002</v>
          </cell>
          <cell r="H2227">
            <v>57.411999999999999</v>
          </cell>
        </row>
        <row r="2228">
          <cell r="C2228">
            <v>13691.665999999999</v>
          </cell>
          <cell r="D2228">
            <v>6.3680000000000003</v>
          </cell>
          <cell r="G2228">
            <v>17730.935000000001</v>
          </cell>
          <cell r="H2228">
            <v>48.515999999999998</v>
          </cell>
        </row>
        <row r="2229">
          <cell r="C2229">
            <v>13696.093000000001</v>
          </cell>
          <cell r="D2229">
            <v>6.6310000000000002</v>
          </cell>
          <cell r="G2229">
            <v>17744.166000000001</v>
          </cell>
          <cell r="H2229">
            <v>41.087000000000003</v>
          </cell>
        </row>
        <row r="2230">
          <cell r="C2230">
            <v>13700.475</v>
          </cell>
          <cell r="D2230">
            <v>7.0720000000000001</v>
          </cell>
          <cell r="G2230">
            <v>17753.312999999998</v>
          </cell>
          <cell r="H2230">
            <v>37.274999999999999</v>
          </cell>
        </row>
        <row r="2231">
          <cell r="C2231">
            <v>13706.743</v>
          </cell>
          <cell r="D2231">
            <v>7.7060000000000004</v>
          </cell>
          <cell r="G2231">
            <v>17756.48</v>
          </cell>
          <cell r="H2231">
            <v>36.177</v>
          </cell>
        </row>
        <row r="2232">
          <cell r="C2232">
            <v>13714.968000000001</v>
          </cell>
          <cell r="D2232">
            <v>8.5419999999999998</v>
          </cell>
          <cell r="G2232">
            <v>17759.058000000001</v>
          </cell>
          <cell r="H2232">
            <v>35.249000000000002</v>
          </cell>
        </row>
        <row r="2233">
          <cell r="C2233">
            <v>13722.295</v>
          </cell>
          <cell r="D2233">
            <v>9.3879999999999999</v>
          </cell>
          <cell r="G2233">
            <v>17762.448</v>
          </cell>
          <cell r="H2233">
            <v>34.012999999999998</v>
          </cell>
        </row>
        <row r="2234">
          <cell r="C2234">
            <v>13728.287</v>
          </cell>
          <cell r="D2234">
            <v>10.007999999999999</v>
          </cell>
          <cell r="G2234">
            <v>17765.275000000001</v>
          </cell>
          <cell r="H2234">
            <v>33.107999999999997</v>
          </cell>
        </row>
        <row r="2235">
          <cell r="C2235">
            <v>13740.02</v>
          </cell>
          <cell r="D2235">
            <v>10.433999999999999</v>
          </cell>
          <cell r="G2235">
            <v>17768.466</v>
          </cell>
          <cell r="H2235">
            <v>32.012</v>
          </cell>
        </row>
        <row r="2236">
          <cell r="C2236">
            <v>13748.61</v>
          </cell>
          <cell r="D2236">
            <v>10.628</v>
          </cell>
          <cell r="G2236">
            <v>17771.332999999999</v>
          </cell>
          <cell r="H2236">
            <v>30.998000000000001</v>
          </cell>
        </row>
        <row r="2237">
          <cell r="C2237">
            <v>13753.821</v>
          </cell>
          <cell r="D2237">
            <v>10.827</v>
          </cell>
          <cell r="G2237">
            <v>17774.008999999998</v>
          </cell>
          <cell r="H2237">
            <v>30.013000000000002</v>
          </cell>
        </row>
        <row r="2238">
          <cell r="C2238">
            <v>13754.63</v>
          </cell>
          <cell r="D2238">
            <v>11.018000000000001</v>
          </cell>
          <cell r="G2238">
            <v>17777.010999999999</v>
          </cell>
          <cell r="H2238">
            <v>28.733000000000001</v>
          </cell>
        </row>
        <row r="2239">
          <cell r="C2239">
            <v>13760.51</v>
          </cell>
          <cell r="D2239">
            <v>11.263999999999999</v>
          </cell>
          <cell r="G2239">
            <v>17779.755000000001</v>
          </cell>
          <cell r="H2239">
            <v>27.669</v>
          </cell>
        </row>
        <row r="2240">
          <cell r="C2240">
            <v>13767.359</v>
          </cell>
          <cell r="D2240">
            <v>11.407</v>
          </cell>
          <cell r="G2240">
            <v>17782.376</v>
          </cell>
          <cell r="H2240">
            <v>26.686</v>
          </cell>
        </row>
        <row r="2241">
          <cell r="C2241">
            <v>13775.603999999999</v>
          </cell>
          <cell r="D2241">
            <v>11.186</v>
          </cell>
          <cell r="G2241">
            <v>17785.335999999999</v>
          </cell>
          <cell r="H2241">
            <v>25.443000000000001</v>
          </cell>
        </row>
        <row r="2242">
          <cell r="C2242">
            <v>13779.558999999999</v>
          </cell>
          <cell r="D2242">
            <v>10.981999999999999</v>
          </cell>
          <cell r="G2242">
            <v>17788.757000000001</v>
          </cell>
          <cell r="H2242">
            <v>23.931000000000001</v>
          </cell>
        </row>
        <row r="2243">
          <cell r="C2243">
            <v>13782.217000000001</v>
          </cell>
          <cell r="D2243">
            <v>10.858000000000001</v>
          </cell>
          <cell r="G2243">
            <v>17791.605</v>
          </cell>
          <cell r="H2243">
            <v>22.631</v>
          </cell>
        </row>
        <row r="2244">
          <cell r="C2244">
            <v>13785.742</v>
          </cell>
          <cell r="D2244">
            <v>10.635</v>
          </cell>
          <cell r="G2244">
            <v>17794.677</v>
          </cell>
          <cell r="H2244">
            <v>21.204999999999998</v>
          </cell>
        </row>
        <row r="2245">
          <cell r="C2245">
            <v>13789.04</v>
          </cell>
          <cell r="D2245">
            <v>10.395</v>
          </cell>
          <cell r="G2245">
            <v>17797.451000000001</v>
          </cell>
          <cell r="H2245">
            <v>19.754999999999999</v>
          </cell>
        </row>
        <row r="2246">
          <cell r="C2246">
            <v>13793.022999999999</v>
          </cell>
          <cell r="D2246">
            <v>10.053000000000001</v>
          </cell>
          <cell r="G2246">
            <v>17799.955999999998</v>
          </cell>
          <cell r="H2246">
            <v>18.416</v>
          </cell>
        </row>
        <row r="2247">
          <cell r="C2247">
            <v>13797.630999999999</v>
          </cell>
          <cell r="D2247">
            <v>9.8010000000000002</v>
          </cell>
          <cell r="G2247">
            <v>17802.510999999999</v>
          </cell>
          <cell r="H2247">
            <v>17.027000000000001</v>
          </cell>
        </row>
        <row r="2248">
          <cell r="C2248">
            <v>13804.117</v>
          </cell>
          <cell r="D2248">
            <v>9.2249999999999996</v>
          </cell>
          <cell r="G2248">
            <v>17806.29</v>
          </cell>
          <cell r="H2248">
            <v>15.119</v>
          </cell>
        </row>
        <row r="2249">
          <cell r="C2249">
            <v>13811.242</v>
          </cell>
          <cell r="D2249">
            <v>8.6620000000000008</v>
          </cell>
          <cell r="G2249">
            <v>17809.204000000002</v>
          </cell>
          <cell r="H2249">
            <v>13.58</v>
          </cell>
        </row>
        <row r="2250">
          <cell r="C2250">
            <v>13818.1</v>
          </cell>
          <cell r="D2250">
            <v>8.3780000000000001</v>
          </cell>
          <cell r="G2250">
            <v>17818.337</v>
          </cell>
          <cell r="H2250">
            <v>9.4710000000000001</v>
          </cell>
        </row>
        <row r="2251">
          <cell r="C2251">
            <v>13821.097</v>
          </cell>
          <cell r="D2251">
            <v>8.3469999999999995</v>
          </cell>
          <cell r="G2251">
            <v>17833.433000000001</v>
          </cell>
          <cell r="H2251">
            <v>3.96</v>
          </cell>
        </row>
        <row r="2252">
          <cell r="C2252">
            <v>13825.084999999999</v>
          </cell>
          <cell r="D2252">
            <v>7.9610000000000003</v>
          </cell>
          <cell r="G2252">
            <v>17846.313999999998</v>
          </cell>
          <cell r="H2252">
            <v>0.90900000000000003</v>
          </cell>
        </row>
        <row r="2253">
          <cell r="C2253">
            <v>13827.467000000001</v>
          </cell>
          <cell r="D2253">
            <v>7.5960000000000001</v>
          </cell>
          <cell r="G2253">
            <v>17874.314999999999</v>
          </cell>
          <cell r="H2253">
            <v>-1.5129999999999999</v>
          </cell>
        </row>
        <row r="2254">
          <cell r="C2254">
            <v>13828.572</v>
          </cell>
          <cell r="D2254">
            <v>7.2990000000000004</v>
          </cell>
          <cell r="G2254">
            <v>17917.623</v>
          </cell>
          <cell r="H2254">
            <v>-1.7549999999999999</v>
          </cell>
        </row>
        <row r="2255">
          <cell r="C2255">
            <v>13832.245000000001</v>
          </cell>
          <cell r="D2255">
            <v>7.0650000000000004</v>
          </cell>
          <cell r="G2255">
            <v>17943.129000000001</v>
          </cell>
          <cell r="H2255">
            <v>-1.877</v>
          </cell>
        </row>
        <row r="2256">
          <cell r="C2256">
            <v>13835.165000000001</v>
          </cell>
          <cell r="D2256">
            <v>6.9820000000000002</v>
          </cell>
          <cell r="G2256">
            <v>17980.746999999999</v>
          </cell>
          <cell r="H2256">
            <v>-2.9729999999999999</v>
          </cell>
        </row>
        <row r="2257">
          <cell r="C2257">
            <v>13837.698</v>
          </cell>
          <cell r="D2257">
            <v>6.9279999999999999</v>
          </cell>
          <cell r="G2257">
            <v>17986.52</v>
          </cell>
          <cell r="H2257">
            <v>-3.4790000000000001</v>
          </cell>
        </row>
        <row r="2258">
          <cell r="C2258">
            <v>13841.065000000001</v>
          </cell>
          <cell r="D2258">
            <v>6.8970000000000002</v>
          </cell>
          <cell r="G2258">
            <v>17991.55</v>
          </cell>
          <cell r="H2258">
            <v>-3.915</v>
          </cell>
        </row>
        <row r="2259">
          <cell r="C2259">
            <v>13845.647000000001</v>
          </cell>
          <cell r="D2259">
            <v>7.0549999999999997</v>
          </cell>
          <cell r="G2259">
            <v>17995.996999999999</v>
          </cell>
          <cell r="H2259">
            <v>-4.2380000000000004</v>
          </cell>
        </row>
        <row r="2260">
          <cell r="C2260">
            <v>13850.848</v>
          </cell>
          <cell r="D2260">
            <v>7.1289999999999996</v>
          </cell>
          <cell r="G2260">
            <v>18001.107</v>
          </cell>
          <cell r="H2260">
            <v>-4.569</v>
          </cell>
        </row>
        <row r="2261">
          <cell r="C2261">
            <v>13855.933000000001</v>
          </cell>
          <cell r="D2261">
            <v>6.8659999999999997</v>
          </cell>
          <cell r="G2261">
            <v>18006.824000000001</v>
          </cell>
          <cell r="H2261">
            <v>-4.9400000000000004</v>
          </cell>
        </row>
        <row r="2262">
          <cell r="C2262">
            <v>13861.674999999999</v>
          </cell>
          <cell r="D2262">
            <v>6.5709999999999997</v>
          </cell>
          <cell r="G2262">
            <v>18010.182000000001</v>
          </cell>
          <cell r="H2262">
            <v>-5.0419999999999998</v>
          </cell>
        </row>
        <row r="2263">
          <cell r="C2263">
            <v>13866.781999999999</v>
          </cell>
          <cell r="D2263">
            <v>6.3049999999999997</v>
          </cell>
          <cell r="G2263">
            <v>18013.569</v>
          </cell>
          <cell r="H2263">
            <v>-4.9800000000000004</v>
          </cell>
        </row>
        <row r="2264">
          <cell r="C2264">
            <v>13872.243</v>
          </cell>
          <cell r="D2264">
            <v>6.1280000000000001</v>
          </cell>
          <cell r="G2264">
            <v>18017.132000000001</v>
          </cell>
          <cell r="H2264">
            <v>-4.8120000000000003</v>
          </cell>
        </row>
        <row r="2265">
          <cell r="C2265">
            <v>13877.879000000001</v>
          </cell>
          <cell r="D2265">
            <v>6.0190000000000001</v>
          </cell>
          <cell r="G2265">
            <v>18021.045999999998</v>
          </cell>
          <cell r="H2265">
            <v>-4.5780000000000003</v>
          </cell>
        </row>
        <row r="2266">
          <cell r="C2266">
            <v>13883.757</v>
          </cell>
          <cell r="D2266">
            <v>6.0119999999999996</v>
          </cell>
          <cell r="G2266">
            <v>18025.954000000002</v>
          </cell>
          <cell r="H2266">
            <v>-4.1820000000000004</v>
          </cell>
        </row>
        <row r="2267">
          <cell r="C2267">
            <v>13890.2</v>
          </cell>
          <cell r="D2267">
            <v>5.7850000000000001</v>
          </cell>
          <cell r="G2267">
            <v>18029.698</v>
          </cell>
          <cell r="H2267">
            <v>-3.758</v>
          </cell>
        </row>
        <row r="2268">
          <cell r="C2268">
            <v>13897.473</v>
          </cell>
          <cell r="D2268">
            <v>5.5540000000000003</v>
          </cell>
          <cell r="G2268">
            <v>18034.691999999999</v>
          </cell>
          <cell r="H2268">
            <v>-3.3</v>
          </cell>
        </row>
        <row r="2269">
          <cell r="C2269">
            <v>13903.742</v>
          </cell>
          <cell r="D2269">
            <v>5.4370000000000003</v>
          </cell>
          <cell r="G2269">
            <v>18047.892</v>
          </cell>
          <cell r="H2269">
            <v>-2.5350000000000001</v>
          </cell>
        </row>
        <row r="2270">
          <cell r="C2270">
            <v>13910.41</v>
          </cell>
          <cell r="D2270">
            <v>5.5369999999999999</v>
          </cell>
          <cell r="G2270">
            <v>18065.564999999999</v>
          </cell>
          <cell r="H2270">
            <v>-1.9730000000000001</v>
          </cell>
        </row>
        <row r="2271">
          <cell r="C2271">
            <v>13914.623</v>
          </cell>
          <cell r="D2271">
            <v>5.4749999999999996</v>
          </cell>
          <cell r="G2271">
            <v>18082.138999999999</v>
          </cell>
          <cell r="H2271">
            <v>-1.974</v>
          </cell>
        </row>
        <row r="2272">
          <cell r="C2272">
            <v>13918.968000000001</v>
          </cell>
          <cell r="D2272">
            <v>5.74</v>
          </cell>
          <cell r="G2272">
            <v>18107.22</v>
          </cell>
          <cell r="H2272">
            <v>-1.93</v>
          </cell>
        </row>
        <row r="2273">
          <cell r="C2273">
            <v>13923.589</v>
          </cell>
          <cell r="D2273">
            <v>5.8869999999999996</v>
          </cell>
          <cell r="G2273">
            <v>18147.225999999999</v>
          </cell>
          <cell r="H2273">
            <v>-1.8939999999999999</v>
          </cell>
        </row>
        <row r="2274">
          <cell r="C2274">
            <v>13927.675999999999</v>
          </cell>
          <cell r="D2274">
            <v>5.78</v>
          </cell>
          <cell r="G2274">
            <v>18202.34</v>
          </cell>
          <cell r="H2274">
            <v>-2.0089999999999999</v>
          </cell>
        </row>
        <row r="2275">
          <cell r="C2275">
            <v>13935.066000000001</v>
          </cell>
          <cell r="D2275">
            <v>5.7229999999999999</v>
          </cell>
          <cell r="G2275">
            <v>18251.07</v>
          </cell>
          <cell r="H2275">
            <v>-2.0840000000000001</v>
          </cell>
        </row>
        <row r="2276">
          <cell r="C2276">
            <v>13944.072</v>
          </cell>
          <cell r="D2276">
            <v>5.69</v>
          </cell>
          <cell r="G2276">
            <v>18332.392</v>
          </cell>
          <cell r="H2276">
            <v>-2.202</v>
          </cell>
        </row>
        <row r="2277">
          <cell r="C2277">
            <v>13952.934999999999</v>
          </cell>
          <cell r="D2277">
            <v>5.165</v>
          </cell>
          <cell r="G2277">
            <v>18353.516</v>
          </cell>
          <cell r="H2277">
            <v>-2.1509999999999998</v>
          </cell>
        </row>
        <row r="2278">
          <cell r="C2278">
            <v>13960.348</v>
          </cell>
          <cell r="D2278">
            <v>5.024</v>
          </cell>
          <cell r="G2278">
            <v>18364.607</v>
          </cell>
          <cell r="H2278">
            <v>-2.21</v>
          </cell>
        </row>
        <row r="2279">
          <cell r="C2279">
            <v>13985.388999999999</v>
          </cell>
          <cell r="D2279">
            <v>5.2949999999999999</v>
          </cell>
          <cell r="G2279">
            <v>18376.239000000001</v>
          </cell>
          <cell r="H2279">
            <v>-2.177</v>
          </cell>
        </row>
        <row r="2280">
          <cell r="C2280">
            <v>13992.582</v>
          </cell>
          <cell r="D2280">
            <v>5.3620000000000001</v>
          </cell>
          <cell r="G2280">
            <v>18384.478999999999</v>
          </cell>
          <cell r="H2280">
            <v>-2.1269999999999998</v>
          </cell>
        </row>
        <row r="2281">
          <cell r="C2281">
            <v>13999.441000000001</v>
          </cell>
          <cell r="D2281">
            <v>5.1440000000000001</v>
          </cell>
          <cell r="G2281">
            <v>18391.653999999999</v>
          </cell>
          <cell r="H2281">
            <v>-2.1789999999999998</v>
          </cell>
        </row>
        <row r="2282">
          <cell r="C2282">
            <v>14029.263999999999</v>
          </cell>
          <cell r="D2282">
            <v>5.806</v>
          </cell>
          <cell r="G2282">
            <v>18397.990000000002</v>
          </cell>
          <cell r="H2282">
            <v>-2.2799999999999998</v>
          </cell>
        </row>
        <row r="2283">
          <cell r="C2283">
            <v>14036.145</v>
          </cell>
          <cell r="D2283">
            <v>5.8029999999999999</v>
          </cell>
          <cell r="G2283">
            <v>18403.591</v>
          </cell>
          <cell r="H2283">
            <v>-2.335</v>
          </cell>
        </row>
        <row r="2284">
          <cell r="C2284">
            <v>14040.058000000001</v>
          </cell>
          <cell r="D2284">
            <v>5.7089999999999996</v>
          </cell>
          <cell r="G2284">
            <v>18407.588</v>
          </cell>
          <cell r="H2284">
            <v>-2.5030000000000001</v>
          </cell>
        </row>
        <row r="2285">
          <cell r="C2285">
            <v>14047.281000000001</v>
          </cell>
          <cell r="D2285">
            <v>6.2460000000000004</v>
          </cell>
          <cell r="G2285">
            <v>18411.809000000001</v>
          </cell>
          <cell r="H2285">
            <v>-2.4020000000000001</v>
          </cell>
        </row>
        <row r="2286">
          <cell r="C2286">
            <v>14054.29</v>
          </cell>
          <cell r="D2286">
            <v>5.94</v>
          </cell>
          <cell r="G2286">
            <v>18416.84</v>
          </cell>
          <cell r="H2286">
            <v>-2.3370000000000002</v>
          </cell>
        </row>
        <row r="2287">
          <cell r="C2287">
            <v>14059.494000000001</v>
          </cell>
          <cell r="D2287">
            <v>5.9409999999999998</v>
          </cell>
          <cell r="G2287">
            <v>18421.837</v>
          </cell>
          <cell r="H2287">
            <v>-2.33</v>
          </cell>
        </row>
        <row r="2288">
          <cell r="C2288">
            <v>14069.311</v>
          </cell>
          <cell r="D2288">
            <v>5.9560000000000004</v>
          </cell>
          <cell r="G2288">
            <v>18426.374</v>
          </cell>
          <cell r="H2288">
            <v>-2.2709999999999999</v>
          </cell>
        </row>
        <row r="2289">
          <cell r="C2289">
            <v>14079.566999999999</v>
          </cell>
          <cell r="D2289">
            <v>5.665</v>
          </cell>
          <cell r="G2289">
            <v>18432.526999999998</v>
          </cell>
          <cell r="H2289">
            <v>-2.1339999999999999</v>
          </cell>
        </row>
        <row r="2290">
          <cell r="C2290">
            <v>14092.432000000001</v>
          </cell>
          <cell r="D2290">
            <v>5.468</v>
          </cell>
          <cell r="G2290">
            <v>18435.569</v>
          </cell>
          <cell r="H2290">
            <v>-2.1309999999999998</v>
          </cell>
        </row>
        <row r="2291">
          <cell r="C2291">
            <v>14102.361000000001</v>
          </cell>
          <cell r="D2291">
            <v>5.23</v>
          </cell>
          <cell r="G2291">
            <v>18438.617999999999</v>
          </cell>
          <cell r="H2291">
            <v>-2.0779999999999998</v>
          </cell>
        </row>
        <row r="2292">
          <cell r="C2292">
            <v>14106.344999999999</v>
          </cell>
          <cell r="D2292">
            <v>5.4420000000000002</v>
          </cell>
          <cell r="G2292">
            <v>18442.241000000002</v>
          </cell>
          <cell r="H2292">
            <v>-2.1</v>
          </cell>
        </row>
        <row r="2293">
          <cell r="C2293">
            <v>14110.54</v>
          </cell>
          <cell r="D2293">
            <v>5.9249999999999998</v>
          </cell>
          <cell r="G2293">
            <v>18445.021000000001</v>
          </cell>
          <cell r="H2293">
            <v>-2.0859999999999999</v>
          </cell>
        </row>
        <row r="2294">
          <cell r="C2294">
            <v>14119.957</v>
          </cell>
          <cell r="D2294">
            <v>5.7389999999999999</v>
          </cell>
          <cell r="G2294">
            <v>18447.749</v>
          </cell>
          <cell r="H2294">
            <v>-2.0950000000000002</v>
          </cell>
        </row>
        <row r="2295">
          <cell r="C2295">
            <v>14132.671</v>
          </cell>
          <cell r="D2295">
            <v>5.202</v>
          </cell>
          <cell r="G2295">
            <v>18451.169999999998</v>
          </cell>
          <cell r="H2295">
            <v>-2.1269999999999998</v>
          </cell>
        </row>
        <row r="2296">
          <cell r="C2296">
            <v>14140.376</v>
          </cell>
          <cell r="D2296">
            <v>5.3849999999999998</v>
          </cell>
          <cell r="G2296">
            <v>18454.925999999999</v>
          </cell>
          <cell r="H2296">
            <v>-2.19</v>
          </cell>
        </row>
        <row r="2297">
          <cell r="C2297">
            <v>14147.054</v>
          </cell>
          <cell r="D2297">
            <v>5.4160000000000004</v>
          </cell>
          <cell r="G2297">
            <v>18458.376</v>
          </cell>
          <cell r="H2297">
            <v>-2.1920000000000002</v>
          </cell>
        </row>
        <row r="2298">
          <cell r="C2298">
            <v>14153.621999999999</v>
          </cell>
          <cell r="D2298">
            <v>5.5069999999999997</v>
          </cell>
          <cell r="G2298">
            <v>18461.511999999999</v>
          </cell>
          <cell r="H2298">
            <v>-2.2160000000000002</v>
          </cell>
        </row>
        <row r="2299">
          <cell r="C2299">
            <v>14157.23</v>
          </cell>
          <cell r="D2299">
            <v>5.63</v>
          </cell>
          <cell r="G2299">
            <v>18464.993999999999</v>
          </cell>
          <cell r="H2299">
            <v>-2.23</v>
          </cell>
        </row>
        <row r="2300">
          <cell r="C2300">
            <v>14164.291999999999</v>
          </cell>
          <cell r="D2300">
            <v>5.5810000000000004</v>
          </cell>
          <cell r="G2300">
            <v>18469.031999999999</v>
          </cell>
          <cell r="H2300">
            <v>-2.2989999999999999</v>
          </cell>
        </row>
        <row r="2301">
          <cell r="C2301">
            <v>14172.004999999999</v>
          </cell>
          <cell r="D2301">
            <v>5.5049999999999999</v>
          </cell>
          <cell r="G2301">
            <v>18472.363000000001</v>
          </cell>
          <cell r="H2301">
            <v>-2.27</v>
          </cell>
        </row>
        <row r="2302">
          <cell r="C2302">
            <v>14181.191999999999</v>
          </cell>
          <cell r="D2302">
            <v>5.8959999999999999</v>
          </cell>
          <cell r="G2302">
            <v>18475.548999999999</v>
          </cell>
          <cell r="H2302">
            <v>-2.2919999999999998</v>
          </cell>
        </row>
        <row r="2303">
          <cell r="C2303">
            <v>14192.597</v>
          </cell>
          <cell r="D2303">
            <v>6.4980000000000002</v>
          </cell>
          <cell r="G2303">
            <v>18478.587</v>
          </cell>
          <cell r="H2303">
            <v>-2.2000000000000002</v>
          </cell>
        </row>
        <row r="2304">
          <cell r="C2304">
            <v>14207.117</v>
          </cell>
          <cell r="D2304">
            <v>7.3620000000000001</v>
          </cell>
          <cell r="G2304">
            <v>18482.187000000002</v>
          </cell>
          <cell r="H2304">
            <v>-2.17</v>
          </cell>
        </row>
        <row r="2305">
          <cell r="C2305">
            <v>14217.632</v>
          </cell>
          <cell r="D2305">
            <v>8.0210000000000008</v>
          </cell>
          <cell r="G2305">
            <v>18486.264999999999</v>
          </cell>
          <cell r="H2305">
            <v>-2.1509999999999998</v>
          </cell>
        </row>
        <row r="2306">
          <cell r="C2306">
            <v>14227.064</v>
          </cell>
          <cell r="D2306">
            <v>7.468</v>
          </cell>
          <cell r="G2306">
            <v>18490.342000000001</v>
          </cell>
          <cell r="H2306">
            <v>-2.1280000000000001</v>
          </cell>
        </row>
        <row r="2307">
          <cell r="C2307">
            <v>14242.589</v>
          </cell>
          <cell r="D2307">
            <v>8.1920000000000002</v>
          </cell>
          <cell r="G2307">
            <v>18494.739000000001</v>
          </cell>
          <cell r="H2307">
            <v>-2.0270000000000001</v>
          </cell>
        </row>
        <row r="2308">
          <cell r="C2308">
            <v>14255.017</v>
          </cell>
          <cell r="D2308">
            <v>8.4440000000000008</v>
          </cell>
          <cell r="G2308">
            <v>18499.651000000002</v>
          </cell>
          <cell r="H2308">
            <v>-1.9790000000000001</v>
          </cell>
        </row>
        <row r="2309">
          <cell r="C2309">
            <v>14267.172</v>
          </cell>
          <cell r="D2309">
            <v>8.1850000000000005</v>
          </cell>
          <cell r="G2309">
            <v>18512.848000000002</v>
          </cell>
          <cell r="H2309">
            <v>-1.93</v>
          </cell>
        </row>
        <row r="2310">
          <cell r="C2310">
            <v>14278.376</v>
          </cell>
          <cell r="D2310">
            <v>7.8120000000000003</v>
          </cell>
          <cell r="G2310">
            <v>18519.504000000001</v>
          </cell>
          <cell r="H2310">
            <v>-1.8260000000000001</v>
          </cell>
        </row>
        <row r="2311">
          <cell r="C2311">
            <v>14292.239</v>
          </cell>
          <cell r="D2311">
            <v>7.3529999999999998</v>
          </cell>
          <cell r="G2311">
            <v>18531.072</v>
          </cell>
          <cell r="H2311">
            <v>-1.788</v>
          </cell>
        </row>
        <row r="2312">
          <cell r="C2312">
            <v>14306.049000000001</v>
          </cell>
          <cell r="D2312">
            <v>6.7839999999999998</v>
          </cell>
          <cell r="G2312">
            <v>18545.593000000001</v>
          </cell>
          <cell r="H2312">
            <v>-1.7669999999999999</v>
          </cell>
        </row>
        <row r="2313">
          <cell r="C2313">
            <v>14324.834000000001</v>
          </cell>
          <cell r="D2313">
            <v>6.2290000000000001</v>
          </cell>
          <cell r="G2313">
            <v>18558.243999999999</v>
          </cell>
          <cell r="H2313">
            <v>-1.7629999999999999</v>
          </cell>
        </row>
        <row r="2314">
          <cell r="C2314">
            <v>14330.968000000001</v>
          </cell>
          <cell r="D2314">
            <v>6.0229999999999997</v>
          </cell>
          <cell r="G2314">
            <v>18575.455000000002</v>
          </cell>
          <cell r="H2314">
            <v>-1.7869999999999999</v>
          </cell>
        </row>
        <row r="2315">
          <cell r="C2315">
            <v>14343.484</v>
          </cell>
          <cell r="D2315">
            <v>5.6879999999999997</v>
          </cell>
          <cell r="G2315">
            <v>18602.516</v>
          </cell>
          <cell r="H2315">
            <v>-1.84</v>
          </cell>
        </row>
        <row r="2316">
          <cell r="C2316">
            <v>14357.099</v>
          </cell>
          <cell r="D2316">
            <v>5.3869999999999996</v>
          </cell>
          <cell r="G2316">
            <v>18643.114000000001</v>
          </cell>
          <cell r="H2316">
            <v>-1.8169999999999999</v>
          </cell>
        </row>
        <row r="2317">
          <cell r="C2317">
            <v>14363.88</v>
          </cell>
          <cell r="D2317">
            <v>5.3529999999999998</v>
          </cell>
          <cell r="G2317">
            <v>18703.722000000002</v>
          </cell>
          <cell r="H2317">
            <v>-1.835</v>
          </cell>
        </row>
        <row r="2318">
          <cell r="C2318">
            <v>14373.569</v>
          </cell>
          <cell r="D2318">
            <v>5.681</v>
          </cell>
          <cell r="G2318">
            <v>18746.031999999999</v>
          </cell>
          <cell r="H2318">
            <v>-1.792</v>
          </cell>
        </row>
        <row r="2319">
          <cell r="C2319">
            <v>14392.669</v>
          </cell>
          <cell r="D2319">
            <v>5.774</v>
          </cell>
          <cell r="G2319">
            <v>18784.150000000001</v>
          </cell>
          <cell r="H2319">
            <v>-1.762</v>
          </cell>
        </row>
        <row r="2320">
          <cell r="C2320">
            <v>14401.089</v>
          </cell>
          <cell r="D2320">
            <v>5.665</v>
          </cell>
          <cell r="G2320">
            <v>18793.235000000001</v>
          </cell>
          <cell r="H2320">
            <v>-1.8839999999999999</v>
          </cell>
        </row>
        <row r="2321">
          <cell r="C2321">
            <v>14409.525</v>
          </cell>
          <cell r="D2321">
            <v>5.64</v>
          </cell>
          <cell r="G2321">
            <v>18804.107</v>
          </cell>
          <cell r="H2321">
            <v>-2.073</v>
          </cell>
        </row>
        <row r="2322">
          <cell r="C2322">
            <v>14422.252</v>
          </cell>
          <cell r="D2322">
            <v>5.6580000000000004</v>
          </cell>
          <cell r="G2322">
            <v>18812.969000000001</v>
          </cell>
          <cell r="H2322">
            <v>-2.3090000000000002</v>
          </cell>
        </row>
        <row r="2323">
          <cell r="C2323">
            <v>14430.686</v>
          </cell>
          <cell r="D2323">
            <v>5.5750000000000002</v>
          </cell>
          <cell r="G2323">
            <v>18820.998</v>
          </cell>
          <cell r="H2323">
            <v>-2.605</v>
          </cell>
        </row>
        <row r="2324">
          <cell r="C2324">
            <v>14441.986000000001</v>
          </cell>
          <cell r="D2324">
            <v>5.2439999999999998</v>
          </cell>
          <cell r="G2324">
            <v>18830.002</v>
          </cell>
          <cell r="H2324">
            <v>-2.8540000000000001</v>
          </cell>
        </row>
        <row r="2325">
          <cell r="C2325">
            <v>14454.543</v>
          </cell>
          <cell r="D2325">
            <v>5.173</v>
          </cell>
          <cell r="G2325">
            <v>18841.29</v>
          </cell>
          <cell r="H2325">
            <v>-3.008</v>
          </cell>
        </row>
        <row r="2326">
          <cell r="C2326">
            <v>14466.332</v>
          </cell>
          <cell r="D2326">
            <v>5.032</v>
          </cell>
          <cell r="G2326">
            <v>18847.482</v>
          </cell>
          <cell r="H2326">
            <v>-3.0259999999999998</v>
          </cell>
        </row>
        <row r="2327">
          <cell r="C2327">
            <v>14478.944</v>
          </cell>
          <cell r="D2327">
            <v>4.9260000000000002</v>
          </cell>
          <cell r="G2327">
            <v>18852.144</v>
          </cell>
          <cell r="H2327">
            <v>-2.9740000000000002</v>
          </cell>
        </row>
        <row r="2328">
          <cell r="C2328">
            <v>14493.868</v>
          </cell>
          <cell r="D2328">
            <v>4.718</v>
          </cell>
          <cell r="G2328">
            <v>18856.546999999999</v>
          </cell>
          <cell r="H2328">
            <v>-2.988</v>
          </cell>
        </row>
        <row r="2329">
          <cell r="C2329">
            <v>14507.441999999999</v>
          </cell>
          <cell r="D2329">
            <v>4.1769999999999996</v>
          </cell>
          <cell r="G2329">
            <v>18861.911</v>
          </cell>
          <cell r="H2329">
            <v>-2.9369999999999998</v>
          </cell>
        </row>
        <row r="2330">
          <cell r="C2330">
            <v>14519.474</v>
          </cell>
          <cell r="D2330">
            <v>3.7170000000000001</v>
          </cell>
          <cell r="G2330">
            <v>18866.762999999999</v>
          </cell>
          <cell r="H2330">
            <v>-2.8660000000000001</v>
          </cell>
        </row>
        <row r="2331">
          <cell r="C2331">
            <v>14534.553</v>
          </cell>
          <cell r="D2331">
            <v>3.2080000000000002</v>
          </cell>
          <cell r="G2331">
            <v>18871.654999999999</v>
          </cell>
          <cell r="H2331">
            <v>-2.8740000000000001</v>
          </cell>
        </row>
        <row r="2332">
          <cell r="C2332">
            <v>14548.544</v>
          </cell>
          <cell r="D2332">
            <v>2.94</v>
          </cell>
          <cell r="G2332">
            <v>18876.53</v>
          </cell>
          <cell r="H2332">
            <v>-2.653</v>
          </cell>
        </row>
        <row r="2333">
          <cell r="C2333">
            <v>14553.665000000001</v>
          </cell>
          <cell r="D2333">
            <v>2.7370000000000001</v>
          </cell>
          <cell r="G2333">
            <v>18883.34</v>
          </cell>
          <cell r="H2333">
            <v>-2.2999999999999998</v>
          </cell>
        </row>
        <row r="2334">
          <cell r="C2334">
            <v>14557.925999999999</v>
          </cell>
          <cell r="D2334">
            <v>2.6469999999999998</v>
          </cell>
          <cell r="G2334">
            <v>18889.563999999998</v>
          </cell>
          <cell r="H2334">
            <v>-1.915</v>
          </cell>
        </row>
        <row r="2335">
          <cell r="C2335">
            <v>14561.856</v>
          </cell>
          <cell r="D2335">
            <v>2.613</v>
          </cell>
          <cell r="G2335">
            <v>18893.968000000001</v>
          </cell>
          <cell r="H2335">
            <v>-1.6519999999999999</v>
          </cell>
        </row>
        <row r="2336">
          <cell r="C2336">
            <v>14564.938</v>
          </cell>
          <cell r="D2336">
            <v>2.5670000000000002</v>
          </cell>
          <cell r="G2336">
            <v>18900.632000000001</v>
          </cell>
          <cell r="H2336">
            <v>-1.052</v>
          </cell>
        </row>
        <row r="2337">
          <cell r="C2337">
            <v>14568.879000000001</v>
          </cell>
          <cell r="D2337">
            <v>2.3690000000000002</v>
          </cell>
          <cell r="G2337">
            <v>18910.717000000001</v>
          </cell>
          <cell r="H2337">
            <v>0.14799999999999999</v>
          </cell>
        </row>
        <row r="2338">
          <cell r="C2338">
            <v>14576.8</v>
          </cell>
          <cell r="D2338">
            <v>1.97</v>
          </cell>
          <cell r="G2338">
            <v>18924.293000000001</v>
          </cell>
          <cell r="H2338">
            <v>2.38</v>
          </cell>
        </row>
        <row r="2339">
          <cell r="C2339">
            <v>14588.397999999999</v>
          </cell>
          <cell r="D2339">
            <v>1.839</v>
          </cell>
          <cell r="G2339">
            <v>18940.620999999999</v>
          </cell>
          <cell r="H2339">
            <v>6.1029999999999998</v>
          </cell>
        </row>
        <row r="2340">
          <cell r="C2340">
            <v>14600.814</v>
          </cell>
          <cell r="D2340">
            <v>1.976</v>
          </cell>
          <cell r="G2340">
            <v>18953.238000000001</v>
          </cell>
          <cell r="H2340">
            <v>9.8650000000000002</v>
          </cell>
        </row>
        <row r="2341">
          <cell r="C2341">
            <v>14613.909</v>
          </cell>
          <cell r="D2341">
            <v>2.6259999999999999</v>
          </cell>
          <cell r="G2341">
            <v>18965.995999999999</v>
          </cell>
          <cell r="H2341">
            <v>14.667</v>
          </cell>
        </row>
        <row r="2342">
          <cell r="C2342">
            <v>14618.870999999999</v>
          </cell>
          <cell r="D2342">
            <v>2.7669999999999999</v>
          </cell>
          <cell r="G2342">
            <v>18977.768</v>
          </cell>
          <cell r="H2342">
            <v>19.948</v>
          </cell>
        </row>
        <row r="2343">
          <cell r="C2343">
            <v>14624.5</v>
          </cell>
          <cell r="D2343">
            <v>2.8490000000000002</v>
          </cell>
          <cell r="G2343">
            <v>18983.777999999998</v>
          </cell>
          <cell r="H2343">
            <v>22.797999999999998</v>
          </cell>
        </row>
        <row r="2344">
          <cell r="C2344">
            <v>14633.843999999999</v>
          </cell>
          <cell r="D2344">
            <v>3.0329999999999999</v>
          </cell>
          <cell r="G2344">
            <v>18987.786</v>
          </cell>
          <cell r="H2344">
            <v>24.667999999999999</v>
          </cell>
        </row>
        <row r="2345">
          <cell r="C2345">
            <v>14650.686</v>
          </cell>
          <cell r="D2345">
            <v>4.3810000000000002</v>
          </cell>
          <cell r="G2345">
            <v>18992.901999999998</v>
          </cell>
          <cell r="H2345">
            <v>27.236999999999998</v>
          </cell>
        </row>
        <row r="2346">
          <cell r="C2346">
            <v>14657.516</v>
          </cell>
          <cell r="D2346">
            <v>4.548</v>
          </cell>
          <cell r="G2346">
            <v>18996.947</v>
          </cell>
          <cell r="H2346">
            <v>29.503</v>
          </cell>
        </row>
        <row r="2347">
          <cell r="C2347">
            <v>14666.159</v>
          </cell>
          <cell r="D2347">
            <v>5.0659999999999998</v>
          </cell>
          <cell r="G2347">
            <v>19001.366999999998</v>
          </cell>
          <cell r="H2347">
            <v>31.812999999999999</v>
          </cell>
        </row>
        <row r="2348">
          <cell r="C2348">
            <v>14682.246999999999</v>
          </cell>
          <cell r="D2348">
            <v>5.2679999999999998</v>
          </cell>
          <cell r="G2348">
            <v>19005.241000000002</v>
          </cell>
          <cell r="H2348">
            <v>33.646999999999998</v>
          </cell>
        </row>
        <row r="2349">
          <cell r="C2349">
            <v>14696.208000000001</v>
          </cell>
          <cell r="D2349">
            <v>5.5069999999999997</v>
          </cell>
          <cell r="G2349">
            <v>19008.562000000002</v>
          </cell>
          <cell r="H2349">
            <v>35.204999999999998</v>
          </cell>
        </row>
        <row r="2350">
          <cell r="C2350">
            <v>14713.938</v>
          </cell>
          <cell r="D2350">
            <v>5.6340000000000003</v>
          </cell>
          <cell r="G2350">
            <v>19011.490000000002</v>
          </cell>
          <cell r="H2350">
            <v>36.284999999999997</v>
          </cell>
        </row>
        <row r="2351">
          <cell r="C2351">
            <v>14739.138999999999</v>
          </cell>
          <cell r="D2351">
            <v>5.46</v>
          </cell>
          <cell r="G2351">
            <v>19013.815999999999</v>
          </cell>
          <cell r="H2351">
            <v>37.075000000000003</v>
          </cell>
        </row>
        <row r="2352">
          <cell r="C2352">
            <v>14764.15</v>
          </cell>
          <cell r="D2352">
            <v>5.7830000000000004</v>
          </cell>
          <cell r="G2352">
            <v>19016.058000000001</v>
          </cell>
          <cell r="H2352">
            <v>37.633000000000003</v>
          </cell>
        </row>
        <row r="2353">
          <cell r="C2353">
            <v>14785.053</v>
          </cell>
          <cell r="D2353">
            <v>5.4859999999999998</v>
          </cell>
          <cell r="G2353">
            <v>19018.701000000001</v>
          </cell>
          <cell r="H2353">
            <v>38.033000000000001</v>
          </cell>
        </row>
        <row r="2354">
          <cell r="C2354">
            <v>14792.751</v>
          </cell>
          <cell r="D2354">
            <v>5.1050000000000004</v>
          </cell>
          <cell r="G2354">
            <v>19021.041000000001</v>
          </cell>
          <cell r="H2354">
            <v>38.206000000000003</v>
          </cell>
        </row>
        <row r="2355">
          <cell r="C2355">
            <v>14800.127</v>
          </cell>
          <cell r="D2355">
            <v>4.7359999999999998</v>
          </cell>
          <cell r="G2355">
            <v>19023.256000000001</v>
          </cell>
          <cell r="H2355">
            <v>38.354999999999997</v>
          </cell>
        </row>
        <row r="2356">
          <cell r="C2356">
            <v>14805.415999999999</v>
          </cell>
          <cell r="D2356">
            <v>4.5389999999999997</v>
          </cell>
          <cell r="G2356">
            <v>19027.045999999998</v>
          </cell>
          <cell r="H2356">
            <v>38.435000000000002</v>
          </cell>
        </row>
        <row r="2357">
          <cell r="C2357">
            <v>14813.49</v>
          </cell>
          <cell r="D2357">
            <v>4.2370000000000001</v>
          </cell>
          <cell r="G2357">
            <v>19030.539000000001</v>
          </cell>
          <cell r="H2357">
            <v>38.417000000000002</v>
          </cell>
        </row>
        <row r="2358">
          <cell r="C2358">
            <v>14818.186</v>
          </cell>
          <cell r="D2358">
            <v>4.3250000000000002</v>
          </cell>
          <cell r="G2358">
            <v>19032.968000000001</v>
          </cell>
          <cell r="H2358">
            <v>38.158000000000001</v>
          </cell>
        </row>
        <row r="2359">
          <cell r="C2359">
            <v>14823.504000000001</v>
          </cell>
          <cell r="D2359">
            <v>4.3719999999999999</v>
          </cell>
          <cell r="G2359">
            <v>19035.673999999999</v>
          </cell>
          <cell r="H2359">
            <v>37.81</v>
          </cell>
        </row>
        <row r="2360">
          <cell r="C2360">
            <v>14830.571</v>
          </cell>
          <cell r="D2360">
            <v>4.4080000000000004</v>
          </cell>
          <cell r="G2360">
            <v>19038.187999999998</v>
          </cell>
          <cell r="H2360">
            <v>37.415999999999997</v>
          </cell>
        </row>
        <row r="2361">
          <cell r="C2361">
            <v>14840.065000000001</v>
          </cell>
          <cell r="D2361">
            <v>4.3559999999999999</v>
          </cell>
          <cell r="G2361">
            <v>19041.592000000001</v>
          </cell>
          <cell r="H2361">
            <v>36.716999999999999</v>
          </cell>
        </row>
        <row r="2362">
          <cell r="C2362">
            <v>14852.43</v>
          </cell>
          <cell r="D2362">
            <v>4.2560000000000002</v>
          </cell>
          <cell r="G2362">
            <v>19044.080999999998</v>
          </cell>
          <cell r="H2362">
            <v>35.956000000000003</v>
          </cell>
        </row>
        <row r="2363">
          <cell r="C2363">
            <v>14862.253000000001</v>
          </cell>
          <cell r="D2363">
            <v>3.9670000000000001</v>
          </cell>
          <cell r="G2363">
            <v>19046.404999999999</v>
          </cell>
          <cell r="H2363">
            <v>35.179000000000002</v>
          </cell>
        </row>
        <row r="2364">
          <cell r="C2364">
            <v>14870.999</v>
          </cell>
          <cell r="D2364">
            <v>3.6339999999999999</v>
          </cell>
          <cell r="G2364">
            <v>19048.5</v>
          </cell>
          <cell r="H2364">
            <v>34.29</v>
          </cell>
        </row>
        <row r="2365">
          <cell r="C2365">
            <v>14879.272999999999</v>
          </cell>
          <cell r="D2365">
            <v>3.347</v>
          </cell>
          <cell r="G2365">
            <v>19051.021000000001</v>
          </cell>
          <cell r="H2365">
            <v>33.218000000000004</v>
          </cell>
        </row>
        <row r="2366">
          <cell r="C2366">
            <v>14887.047</v>
          </cell>
          <cell r="D2366">
            <v>2.9950000000000001</v>
          </cell>
          <cell r="G2366">
            <v>19054.080999999998</v>
          </cell>
          <cell r="H2366">
            <v>31.783999999999999</v>
          </cell>
        </row>
        <row r="2367">
          <cell r="C2367">
            <v>14892.870999999999</v>
          </cell>
          <cell r="D2367">
            <v>2.722</v>
          </cell>
          <cell r="G2367">
            <v>19058.648000000001</v>
          </cell>
          <cell r="H2367">
            <v>29.164000000000001</v>
          </cell>
        </row>
        <row r="2368">
          <cell r="C2368">
            <v>14898.42</v>
          </cell>
          <cell r="D2368">
            <v>2.7919999999999998</v>
          </cell>
          <cell r="G2368">
            <v>19061.91</v>
          </cell>
          <cell r="H2368">
            <v>27.146999999999998</v>
          </cell>
        </row>
        <row r="2369">
          <cell r="C2369">
            <v>14904.034</v>
          </cell>
          <cell r="D2369">
            <v>2.73</v>
          </cell>
          <cell r="G2369">
            <v>19068.542000000001</v>
          </cell>
          <cell r="H2369">
            <v>23.114000000000001</v>
          </cell>
        </row>
        <row r="2370">
          <cell r="C2370">
            <v>14914.514999999999</v>
          </cell>
          <cell r="D2370">
            <v>2.5329999999999999</v>
          </cell>
          <cell r="G2370">
            <v>19075.483</v>
          </cell>
          <cell r="H2370">
            <v>19.123999999999999</v>
          </cell>
        </row>
        <row r="2371">
          <cell r="C2371">
            <v>14925.016</v>
          </cell>
          <cell r="D2371">
            <v>2.113</v>
          </cell>
          <cell r="G2371">
            <v>19084.213</v>
          </cell>
          <cell r="H2371">
            <v>14.569000000000001</v>
          </cell>
        </row>
        <row r="2372">
          <cell r="C2372">
            <v>14937.428</v>
          </cell>
          <cell r="D2372">
            <v>1.96</v>
          </cell>
          <cell r="G2372">
            <v>19107.026000000002</v>
          </cell>
          <cell r="H2372">
            <v>6.2859999999999996</v>
          </cell>
        </row>
        <row r="2373">
          <cell r="C2373">
            <v>14979.296</v>
          </cell>
          <cell r="D2373">
            <v>2.056</v>
          </cell>
          <cell r="G2373">
            <v>19119.606</v>
          </cell>
          <cell r="H2373">
            <v>3.11</v>
          </cell>
        </row>
        <row r="2374">
          <cell r="C2374">
            <v>14991.584999999999</v>
          </cell>
          <cell r="D2374">
            <v>2.0779999999999998</v>
          </cell>
          <cell r="G2374">
            <v>19126.204000000002</v>
          </cell>
          <cell r="H2374">
            <v>1.7529999999999999</v>
          </cell>
        </row>
        <row r="2375">
          <cell r="C2375">
            <v>15001.291999999999</v>
          </cell>
          <cell r="D2375">
            <v>2.1309999999999998</v>
          </cell>
          <cell r="G2375">
            <v>19131.192999999999</v>
          </cell>
          <cell r="H2375">
            <v>0.878</v>
          </cell>
        </row>
        <row r="2376">
          <cell r="C2376">
            <v>15011.441999999999</v>
          </cell>
          <cell r="D2376">
            <v>2.121</v>
          </cell>
          <cell r="G2376">
            <v>19137.955000000002</v>
          </cell>
          <cell r="H2376">
            <v>-0.11</v>
          </cell>
        </row>
        <row r="2377">
          <cell r="C2377">
            <v>15021.254999999999</v>
          </cell>
          <cell r="D2377">
            <v>2.0920000000000001</v>
          </cell>
          <cell r="G2377">
            <v>19145.471000000001</v>
          </cell>
          <cell r="H2377">
            <v>-0.97899999999999998</v>
          </cell>
        </row>
        <row r="2378">
          <cell r="C2378">
            <v>15030.762000000001</v>
          </cell>
          <cell r="D2378">
            <v>2.153</v>
          </cell>
          <cell r="G2378">
            <v>19155.305</v>
          </cell>
          <cell r="H2378">
            <v>-1.589</v>
          </cell>
        </row>
        <row r="2379">
          <cell r="C2379">
            <v>15063.999</v>
          </cell>
          <cell r="D2379">
            <v>2.72</v>
          </cell>
          <cell r="G2379">
            <v>19169.203000000001</v>
          </cell>
          <cell r="H2379">
            <v>-2.0249999999999999</v>
          </cell>
        </row>
        <row r="2380">
          <cell r="C2380">
            <v>15087.745000000001</v>
          </cell>
          <cell r="D2380">
            <v>4.7960000000000003</v>
          </cell>
          <cell r="G2380">
            <v>19175.453000000001</v>
          </cell>
          <cell r="H2380">
            <v>-2.0760000000000001</v>
          </cell>
        </row>
        <row r="2381">
          <cell r="C2381">
            <v>15105.666999999999</v>
          </cell>
          <cell r="D2381">
            <v>7.9459999999999997</v>
          </cell>
          <cell r="G2381">
            <v>19181.004000000001</v>
          </cell>
          <cell r="H2381">
            <v>-2.1669999999999998</v>
          </cell>
        </row>
        <row r="2382">
          <cell r="C2382">
            <v>15111.832</v>
          </cell>
          <cell r="D2382">
            <v>9.2080000000000002</v>
          </cell>
          <cell r="G2382">
            <v>19195.73</v>
          </cell>
          <cell r="H2382">
            <v>-1.8</v>
          </cell>
        </row>
        <row r="2383">
          <cell r="C2383">
            <v>15115.821</v>
          </cell>
          <cell r="D2383">
            <v>10.042</v>
          </cell>
          <cell r="G2383">
            <v>19198.960999999999</v>
          </cell>
          <cell r="H2383">
            <v>-1.742</v>
          </cell>
        </row>
        <row r="2384">
          <cell r="C2384">
            <v>15118.334999999999</v>
          </cell>
          <cell r="D2384">
            <v>10.506</v>
          </cell>
          <cell r="G2384">
            <v>19204.315999999999</v>
          </cell>
          <cell r="H2384">
            <v>-1.6619999999999999</v>
          </cell>
        </row>
        <row r="2385">
          <cell r="C2385">
            <v>15121.315000000001</v>
          </cell>
          <cell r="D2385">
            <v>10.938000000000001</v>
          </cell>
          <cell r="G2385">
            <v>19208.901000000002</v>
          </cell>
          <cell r="H2385">
            <v>-1.76</v>
          </cell>
        </row>
        <row r="2386">
          <cell r="C2386">
            <v>15124.598</v>
          </cell>
          <cell r="D2386">
            <v>11.445</v>
          </cell>
          <cell r="G2386">
            <v>19213.955999999998</v>
          </cell>
          <cell r="H2386">
            <v>-1.77</v>
          </cell>
        </row>
        <row r="2387">
          <cell r="C2387">
            <v>15127.297</v>
          </cell>
          <cell r="D2387">
            <v>11.727</v>
          </cell>
          <cell r="G2387">
            <v>19218.645</v>
          </cell>
          <cell r="H2387">
            <v>-1.7849999999999999</v>
          </cell>
        </row>
        <row r="2388">
          <cell r="C2388">
            <v>15131.934999999999</v>
          </cell>
          <cell r="D2388">
            <v>12.148999999999999</v>
          </cell>
          <cell r="G2388">
            <v>19222.938999999998</v>
          </cell>
          <cell r="H2388">
            <v>-1.8859999999999999</v>
          </cell>
        </row>
        <row r="2389">
          <cell r="C2389">
            <v>15138.267</v>
          </cell>
          <cell r="D2389">
            <v>12.542999999999999</v>
          </cell>
          <cell r="G2389">
            <v>19229.046999999999</v>
          </cell>
          <cell r="H2389">
            <v>-1.9630000000000001</v>
          </cell>
        </row>
        <row r="2390">
          <cell r="C2390">
            <v>15145.471</v>
          </cell>
          <cell r="D2390">
            <v>12.747999999999999</v>
          </cell>
          <cell r="G2390">
            <v>19233.746999999999</v>
          </cell>
          <cell r="H2390">
            <v>-1.9590000000000001</v>
          </cell>
        </row>
        <row r="2391">
          <cell r="C2391">
            <v>15152.152</v>
          </cell>
          <cell r="D2391">
            <v>12.331</v>
          </cell>
          <cell r="G2391">
            <v>19238.837</v>
          </cell>
          <cell r="H2391">
            <v>-2.125</v>
          </cell>
        </row>
        <row r="2392">
          <cell r="C2392">
            <v>15159.709000000001</v>
          </cell>
          <cell r="D2392">
            <v>11.587999999999999</v>
          </cell>
          <cell r="G2392">
            <v>19242.631000000001</v>
          </cell>
          <cell r="H2392">
            <v>-2.2570000000000001</v>
          </cell>
        </row>
        <row r="2393">
          <cell r="C2393">
            <v>15165.367</v>
          </cell>
          <cell r="D2393">
            <v>10.760999999999999</v>
          </cell>
          <cell r="G2393">
            <v>19246.543000000001</v>
          </cell>
          <cell r="H2393">
            <v>-2.2850000000000001</v>
          </cell>
        </row>
        <row r="2394">
          <cell r="C2394">
            <v>15172.516</v>
          </cell>
          <cell r="D2394">
            <v>9.4130000000000003</v>
          </cell>
          <cell r="G2394">
            <v>19250.153999999999</v>
          </cell>
          <cell r="H2394">
            <v>-2.3860000000000001</v>
          </cell>
        </row>
        <row r="2395">
          <cell r="C2395">
            <v>15177.429</v>
          </cell>
          <cell r="D2395">
            <v>8.4740000000000002</v>
          </cell>
          <cell r="G2395">
            <v>19254.901999999998</v>
          </cell>
          <cell r="H2395">
            <v>-2.3740000000000001</v>
          </cell>
        </row>
        <row r="2396">
          <cell r="C2396">
            <v>15183.795</v>
          </cell>
          <cell r="D2396">
            <v>7.343</v>
          </cell>
          <cell r="G2396">
            <v>19259.757000000001</v>
          </cell>
          <cell r="H2396">
            <v>-2.31</v>
          </cell>
        </row>
        <row r="2397">
          <cell r="C2397">
            <v>15191.187</v>
          </cell>
          <cell r="D2397">
            <v>5.7519999999999998</v>
          </cell>
          <cell r="G2397">
            <v>19286.156999999999</v>
          </cell>
          <cell r="H2397">
            <v>-2.274</v>
          </cell>
        </row>
        <row r="2398">
          <cell r="C2398">
            <v>15194.384</v>
          </cell>
          <cell r="D2398">
            <v>5.0750000000000002</v>
          </cell>
          <cell r="G2398">
            <v>19310.650000000001</v>
          </cell>
          <cell r="H2398">
            <v>-2.0539999999999998</v>
          </cell>
        </row>
        <row r="2399">
          <cell r="C2399">
            <v>15196.504000000001</v>
          </cell>
          <cell r="D2399">
            <v>4.6189999999999998</v>
          </cell>
          <cell r="G2399">
            <v>19331.052</v>
          </cell>
          <cell r="H2399">
            <v>-2.073</v>
          </cell>
        </row>
        <row r="2400">
          <cell r="C2400">
            <v>15200.557000000001</v>
          </cell>
          <cell r="D2400">
            <v>3.9630000000000001</v>
          </cell>
          <cell r="G2400">
            <v>19348.629000000001</v>
          </cell>
          <cell r="H2400">
            <v>-2.113</v>
          </cell>
        </row>
        <row r="2401">
          <cell r="C2401">
            <v>15204.763999999999</v>
          </cell>
          <cell r="D2401">
            <v>3.3290000000000002</v>
          </cell>
          <cell r="G2401">
            <v>19364.039000000001</v>
          </cell>
          <cell r="H2401">
            <v>-2.0350000000000001</v>
          </cell>
        </row>
        <row r="2402">
          <cell r="C2402">
            <v>15207.308999999999</v>
          </cell>
          <cell r="D2402">
            <v>3.02</v>
          </cell>
          <cell r="G2402">
            <v>19383.741000000002</v>
          </cell>
          <cell r="H2402">
            <v>-2.0699999999999998</v>
          </cell>
        </row>
        <row r="2403">
          <cell r="C2403">
            <v>15209.838</v>
          </cell>
          <cell r="D2403">
            <v>2.7530000000000001</v>
          </cell>
          <cell r="G2403">
            <v>19399.035</v>
          </cell>
          <cell r="H2403">
            <v>-2.024</v>
          </cell>
        </row>
        <row r="2404">
          <cell r="C2404">
            <v>15212.819</v>
          </cell>
          <cell r="D2404">
            <v>2.536</v>
          </cell>
          <cell r="G2404">
            <v>19403.988000000001</v>
          </cell>
          <cell r="H2404">
            <v>-2.1230000000000002</v>
          </cell>
        </row>
        <row r="2405">
          <cell r="C2405">
            <v>15215.304</v>
          </cell>
          <cell r="D2405">
            <v>2.444</v>
          </cell>
          <cell r="G2405">
            <v>19408.613000000001</v>
          </cell>
          <cell r="H2405">
            <v>-2.1509999999999998</v>
          </cell>
        </row>
        <row r="2406">
          <cell r="C2406">
            <v>15218.285</v>
          </cell>
          <cell r="D2406">
            <v>2.3889999999999998</v>
          </cell>
          <cell r="G2406">
            <v>19413.510999999999</v>
          </cell>
          <cell r="H2406">
            <v>-2.117</v>
          </cell>
        </row>
        <row r="2407">
          <cell r="C2407">
            <v>15220.718000000001</v>
          </cell>
          <cell r="D2407">
            <v>2.4780000000000002</v>
          </cell>
          <cell r="G2407">
            <v>19421.38</v>
          </cell>
          <cell r="H2407">
            <v>-2.117</v>
          </cell>
        </row>
        <row r="2408">
          <cell r="C2408">
            <v>15223.178</v>
          </cell>
          <cell r="D2408">
            <v>2.5840000000000001</v>
          </cell>
          <cell r="G2408">
            <v>19425.807000000001</v>
          </cell>
          <cell r="H2408">
            <v>-2.1339999999999999</v>
          </cell>
        </row>
        <row r="2409">
          <cell r="C2409">
            <v>15225.145</v>
          </cell>
          <cell r="D2409">
            <v>2.734</v>
          </cell>
          <cell r="G2409">
            <v>19438.759999999998</v>
          </cell>
          <cell r="H2409">
            <v>-2.0219999999999998</v>
          </cell>
        </row>
        <row r="2410">
          <cell r="C2410">
            <v>15229.703</v>
          </cell>
          <cell r="D2410">
            <v>3.0739999999999998</v>
          </cell>
          <cell r="G2410">
            <v>19455.492999999999</v>
          </cell>
          <cell r="H2410">
            <v>-2.0569999999999999</v>
          </cell>
        </row>
        <row r="2411">
          <cell r="C2411">
            <v>15234.777</v>
          </cell>
          <cell r="D2411">
            <v>3.7410000000000001</v>
          </cell>
          <cell r="G2411">
            <v>19478.983</v>
          </cell>
          <cell r="H2411">
            <v>-1.923</v>
          </cell>
        </row>
        <row r="2412">
          <cell r="C2412">
            <v>15240.146000000001</v>
          </cell>
          <cell r="D2412">
            <v>4.3129999999999997</v>
          </cell>
          <cell r="G2412">
            <v>19508.925999999999</v>
          </cell>
          <cell r="H2412">
            <v>-1.952</v>
          </cell>
        </row>
        <row r="2413">
          <cell r="C2413">
            <v>15246.982</v>
          </cell>
          <cell r="D2413">
            <v>5.3049999999999997</v>
          </cell>
          <cell r="G2413">
            <v>19535.249</v>
          </cell>
          <cell r="H2413">
            <v>-2.0539999999999998</v>
          </cell>
        </row>
        <row r="2414">
          <cell r="C2414">
            <v>15255.712</v>
          </cell>
          <cell r="D2414">
            <v>6.359</v>
          </cell>
        </row>
        <row r="2415">
          <cell r="C2415">
            <v>15264.004999999999</v>
          </cell>
          <cell r="D2415">
            <v>7.0960000000000001</v>
          </cell>
        </row>
        <row r="2416">
          <cell r="C2416">
            <v>15276.948</v>
          </cell>
          <cell r="D2416">
            <v>7.359</v>
          </cell>
        </row>
        <row r="2417">
          <cell r="C2417">
            <v>15288.822</v>
          </cell>
          <cell r="D2417">
            <v>6.6120000000000001</v>
          </cell>
        </row>
        <row r="2418">
          <cell r="C2418">
            <v>15296.793</v>
          </cell>
          <cell r="D2418">
            <v>5.6959999999999997</v>
          </cell>
        </row>
        <row r="2419">
          <cell r="C2419">
            <v>15301.064</v>
          </cell>
          <cell r="D2419">
            <v>5.2210000000000001</v>
          </cell>
        </row>
        <row r="2420">
          <cell r="C2420">
            <v>15304.944</v>
          </cell>
          <cell r="D2420">
            <v>4.7610000000000001</v>
          </cell>
        </row>
        <row r="2421">
          <cell r="C2421">
            <v>15306.45</v>
          </cell>
          <cell r="D2421">
            <v>4.617</v>
          </cell>
        </row>
        <row r="2422">
          <cell r="C2422">
            <v>15311.138999999999</v>
          </cell>
          <cell r="D2422">
            <v>4.2229999999999999</v>
          </cell>
        </row>
        <row r="2423">
          <cell r="C2423">
            <v>15314.864</v>
          </cell>
          <cell r="D2423">
            <v>3.927</v>
          </cell>
        </row>
        <row r="2424">
          <cell r="C2424">
            <v>15318.111000000001</v>
          </cell>
          <cell r="D2424">
            <v>3.7949999999999999</v>
          </cell>
        </row>
        <row r="2425">
          <cell r="C2425">
            <v>15322.539000000001</v>
          </cell>
          <cell r="D2425">
            <v>3.8580000000000001</v>
          </cell>
        </row>
        <row r="2426">
          <cell r="C2426">
            <v>15324.287</v>
          </cell>
          <cell r="D2426">
            <v>3.9510000000000001</v>
          </cell>
        </row>
        <row r="2427">
          <cell r="C2427">
            <v>15327.243</v>
          </cell>
          <cell r="D2427">
            <v>4.1550000000000002</v>
          </cell>
        </row>
        <row r="2428">
          <cell r="C2428">
            <v>15331.369000000001</v>
          </cell>
          <cell r="D2428">
            <v>4.4589999999999996</v>
          </cell>
        </row>
        <row r="2429">
          <cell r="C2429">
            <v>15334.746999999999</v>
          </cell>
          <cell r="D2429">
            <v>4.6340000000000003</v>
          </cell>
        </row>
        <row r="2430">
          <cell r="C2430">
            <v>15342.316999999999</v>
          </cell>
          <cell r="D2430">
            <v>4.87</v>
          </cell>
        </row>
        <row r="2431">
          <cell r="C2431">
            <v>15356.132</v>
          </cell>
          <cell r="D2431">
            <v>5.2480000000000002</v>
          </cell>
        </row>
        <row r="2432">
          <cell r="C2432">
            <v>15377.84</v>
          </cell>
          <cell r="D2432">
            <v>5.407</v>
          </cell>
        </row>
        <row r="2433">
          <cell r="C2433">
            <v>15393.957</v>
          </cell>
          <cell r="D2433">
            <v>5.3959999999999999</v>
          </cell>
        </row>
        <row r="2434">
          <cell r="C2434">
            <v>15406.844999999999</v>
          </cell>
          <cell r="D2434">
            <v>5.5149999999999997</v>
          </cell>
        </row>
        <row r="2435">
          <cell r="C2435">
            <v>15420.382</v>
          </cell>
          <cell r="D2435">
            <v>6.03</v>
          </cell>
        </row>
        <row r="2436">
          <cell r="C2436">
            <v>15437.526</v>
          </cell>
          <cell r="D2436">
            <v>8.08</v>
          </cell>
        </row>
        <row r="2437">
          <cell r="C2437">
            <v>15449.276</v>
          </cell>
          <cell r="D2437">
            <v>10.904</v>
          </cell>
        </row>
        <row r="2438">
          <cell r="C2438">
            <v>15455.608</v>
          </cell>
          <cell r="D2438">
            <v>13.054</v>
          </cell>
        </row>
        <row r="2439">
          <cell r="C2439">
            <v>15459.632</v>
          </cell>
          <cell r="D2439">
            <v>14.51</v>
          </cell>
        </row>
        <row r="2440">
          <cell r="C2440">
            <v>15463.418</v>
          </cell>
          <cell r="D2440">
            <v>16.065000000000001</v>
          </cell>
        </row>
        <row r="2441">
          <cell r="C2441">
            <v>15465.050999999999</v>
          </cell>
          <cell r="D2441">
            <v>16.683</v>
          </cell>
        </row>
        <row r="2442">
          <cell r="C2442">
            <v>15467.498</v>
          </cell>
          <cell r="D2442">
            <v>17.411000000000001</v>
          </cell>
        </row>
        <row r="2443">
          <cell r="C2443">
            <v>15469.751</v>
          </cell>
          <cell r="D2443">
            <v>17.901</v>
          </cell>
        </row>
        <row r="2444">
          <cell r="C2444">
            <v>15472.071</v>
          </cell>
          <cell r="D2444">
            <v>18.422000000000001</v>
          </cell>
        </row>
        <row r="2445">
          <cell r="C2445">
            <v>15474.805</v>
          </cell>
          <cell r="D2445">
            <v>18.943999999999999</v>
          </cell>
        </row>
        <row r="2446">
          <cell r="C2446">
            <v>15477.444</v>
          </cell>
          <cell r="D2446">
            <v>19.393000000000001</v>
          </cell>
        </row>
        <row r="2447">
          <cell r="C2447">
            <v>15479.288</v>
          </cell>
          <cell r="D2447">
            <v>19.696000000000002</v>
          </cell>
        </row>
        <row r="2448">
          <cell r="C2448">
            <v>15481.762000000001</v>
          </cell>
          <cell r="D2448">
            <v>20.010000000000002</v>
          </cell>
        </row>
        <row r="2449">
          <cell r="C2449">
            <v>15485.078</v>
          </cell>
          <cell r="D2449">
            <v>20.414999999999999</v>
          </cell>
        </row>
        <row r="2450">
          <cell r="C2450">
            <v>15487.647999999999</v>
          </cell>
          <cell r="D2450">
            <v>20.625</v>
          </cell>
        </row>
        <row r="2451">
          <cell r="C2451">
            <v>15489.962</v>
          </cell>
          <cell r="D2451">
            <v>20.626999999999999</v>
          </cell>
        </row>
        <row r="2452">
          <cell r="C2452">
            <v>15492.495999999999</v>
          </cell>
          <cell r="D2452">
            <v>20.634</v>
          </cell>
        </row>
        <row r="2453">
          <cell r="C2453">
            <v>15496.504999999999</v>
          </cell>
          <cell r="D2453">
            <v>20.562999999999999</v>
          </cell>
        </row>
        <row r="2454">
          <cell r="C2454">
            <v>15500.561</v>
          </cell>
          <cell r="D2454">
            <v>20.486000000000001</v>
          </cell>
        </row>
        <row r="2455">
          <cell r="C2455">
            <v>15504.368</v>
          </cell>
          <cell r="D2455">
            <v>20.114000000000001</v>
          </cell>
        </row>
        <row r="2456">
          <cell r="C2456">
            <v>15507.546</v>
          </cell>
          <cell r="D2456">
            <v>19.811</v>
          </cell>
        </row>
        <row r="2457">
          <cell r="C2457">
            <v>15512.049000000001</v>
          </cell>
          <cell r="D2457">
            <v>19.088000000000001</v>
          </cell>
        </row>
        <row r="2458">
          <cell r="C2458">
            <v>15514.807000000001</v>
          </cell>
          <cell r="D2458">
            <v>18.524999999999999</v>
          </cell>
        </row>
        <row r="2459">
          <cell r="C2459">
            <v>15518.273999999999</v>
          </cell>
          <cell r="D2459">
            <v>17.763000000000002</v>
          </cell>
        </row>
        <row r="2460">
          <cell r="C2460">
            <v>15520.784</v>
          </cell>
          <cell r="D2460">
            <v>17.097999999999999</v>
          </cell>
        </row>
        <row r="2461">
          <cell r="C2461">
            <v>15523.457</v>
          </cell>
          <cell r="D2461">
            <v>16.486999999999998</v>
          </cell>
        </row>
        <row r="2462">
          <cell r="C2462">
            <v>15527.159</v>
          </cell>
          <cell r="D2462">
            <v>15.208</v>
          </cell>
        </row>
        <row r="2463">
          <cell r="C2463">
            <v>15531.134</v>
          </cell>
          <cell r="D2463">
            <v>13.804</v>
          </cell>
        </row>
        <row r="2464">
          <cell r="C2464">
            <v>15536.236000000001</v>
          </cell>
          <cell r="D2464">
            <v>12.095000000000001</v>
          </cell>
        </row>
        <row r="2465">
          <cell r="C2465">
            <v>15547.53</v>
          </cell>
          <cell r="D2465">
            <v>8.98</v>
          </cell>
        </row>
        <row r="2466">
          <cell r="C2466">
            <v>15562.396000000001</v>
          </cell>
          <cell r="D2466">
            <v>6.47</v>
          </cell>
        </row>
        <row r="2467">
          <cell r="C2467">
            <v>15584.772000000001</v>
          </cell>
          <cell r="D2467">
            <v>5.2770000000000001</v>
          </cell>
        </row>
        <row r="2468">
          <cell r="C2468">
            <v>15592.828</v>
          </cell>
          <cell r="D2468">
            <v>5.2560000000000002</v>
          </cell>
        </row>
        <row r="2469">
          <cell r="C2469">
            <v>15611.195</v>
          </cell>
          <cell r="D2469">
            <v>5.2450000000000001</v>
          </cell>
        </row>
        <row r="2470">
          <cell r="C2470">
            <v>15632.227999999999</v>
          </cell>
          <cell r="D2470">
            <v>4.1349999999999998</v>
          </cell>
        </row>
        <row r="2471">
          <cell r="C2471">
            <v>15650.485000000001</v>
          </cell>
          <cell r="D2471">
            <v>1.0640000000000001</v>
          </cell>
        </row>
        <row r="2472">
          <cell r="C2472">
            <v>15668.266</v>
          </cell>
          <cell r="D2472">
            <v>-3.919</v>
          </cell>
        </row>
        <row r="2473">
          <cell r="C2473">
            <v>15673.242</v>
          </cell>
          <cell r="D2473">
            <v>-5.577</v>
          </cell>
        </row>
        <row r="2474">
          <cell r="C2474">
            <v>15676.857</v>
          </cell>
          <cell r="D2474">
            <v>-6.7279999999999998</v>
          </cell>
        </row>
        <row r="2475">
          <cell r="C2475">
            <v>15680.406000000001</v>
          </cell>
          <cell r="D2475">
            <v>-7.8259999999999996</v>
          </cell>
        </row>
        <row r="2476">
          <cell r="C2476">
            <v>15685.207</v>
          </cell>
          <cell r="D2476">
            <v>-9.3559999999999999</v>
          </cell>
        </row>
        <row r="2477">
          <cell r="C2477">
            <v>15689.507</v>
          </cell>
          <cell r="D2477">
            <v>-10.667</v>
          </cell>
        </row>
        <row r="2478">
          <cell r="C2478">
            <v>15696.545</v>
          </cell>
          <cell r="D2478">
            <v>-12.632</v>
          </cell>
        </row>
        <row r="2479">
          <cell r="C2479">
            <v>15700.643</v>
          </cell>
          <cell r="D2479">
            <v>-13.449</v>
          </cell>
        </row>
        <row r="2480">
          <cell r="C2480">
            <v>15704.784</v>
          </cell>
          <cell r="D2480">
            <v>-14.196999999999999</v>
          </cell>
        </row>
        <row r="2481">
          <cell r="C2481">
            <v>15711.308999999999</v>
          </cell>
          <cell r="D2481">
            <v>-14.872</v>
          </cell>
        </row>
        <row r="2482">
          <cell r="C2482">
            <v>15717.679</v>
          </cell>
          <cell r="D2482">
            <v>-15.379</v>
          </cell>
        </row>
        <row r="2483">
          <cell r="C2483">
            <v>15720.377</v>
          </cell>
          <cell r="D2483">
            <v>-15.534000000000001</v>
          </cell>
        </row>
        <row r="2484">
          <cell r="C2484">
            <v>15723.103999999999</v>
          </cell>
          <cell r="D2484">
            <v>-15.432</v>
          </cell>
        </row>
        <row r="2485">
          <cell r="C2485">
            <v>15725.751</v>
          </cell>
          <cell r="D2485">
            <v>-15.346</v>
          </cell>
        </row>
        <row r="2486">
          <cell r="C2486">
            <v>15728.762000000001</v>
          </cell>
          <cell r="D2486">
            <v>-15.358000000000001</v>
          </cell>
        </row>
        <row r="2487">
          <cell r="C2487">
            <v>15732.531999999999</v>
          </cell>
          <cell r="D2487">
            <v>-15.007999999999999</v>
          </cell>
        </row>
        <row r="2488">
          <cell r="C2488">
            <v>15738.543</v>
          </cell>
          <cell r="D2488">
            <v>-14.246</v>
          </cell>
        </row>
        <row r="2489">
          <cell r="C2489">
            <v>15745.053</v>
          </cell>
          <cell r="D2489">
            <v>-12.952</v>
          </cell>
        </row>
        <row r="2490">
          <cell r="C2490">
            <v>15759.347</v>
          </cell>
          <cell r="D2490">
            <v>-9.3149999999999995</v>
          </cell>
        </row>
        <row r="2491">
          <cell r="C2491">
            <v>15780.567999999999</v>
          </cell>
          <cell r="D2491">
            <v>-3.2410000000000001</v>
          </cell>
        </row>
        <row r="2492">
          <cell r="C2492">
            <v>15784.659</v>
          </cell>
          <cell r="D2492">
            <v>-2.0819999999999999</v>
          </cell>
        </row>
        <row r="2493">
          <cell r="C2493">
            <v>15787.797</v>
          </cell>
          <cell r="D2493">
            <v>-1.28</v>
          </cell>
        </row>
        <row r="2494">
          <cell r="C2494">
            <v>15791.731</v>
          </cell>
          <cell r="D2494">
            <v>-0.36099999999999999</v>
          </cell>
        </row>
        <row r="2495">
          <cell r="C2495">
            <v>15795.963</v>
          </cell>
          <cell r="D2495">
            <v>0.372</v>
          </cell>
        </row>
        <row r="2496">
          <cell r="C2496">
            <v>15799.903</v>
          </cell>
          <cell r="D2496">
            <v>1.0720000000000001</v>
          </cell>
        </row>
        <row r="2497">
          <cell r="C2497">
            <v>15803.134</v>
          </cell>
          <cell r="D2497">
            <v>1.4910000000000001</v>
          </cell>
        </row>
        <row r="2498">
          <cell r="C2498">
            <v>15806.295</v>
          </cell>
          <cell r="D2498">
            <v>1.8009999999999999</v>
          </cell>
        </row>
        <row r="2499">
          <cell r="C2499">
            <v>15811.835999999999</v>
          </cell>
          <cell r="D2499">
            <v>2.448</v>
          </cell>
        </row>
        <row r="2500">
          <cell r="C2500">
            <v>15815.040999999999</v>
          </cell>
          <cell r="D2500">
            <v>2.6819999999999999</v>
          </cell>
        </row>
        <row r="2501">
          <cell r="C2501">
            <v>15819.967000000001</v>
          </cell>
          <cell r="D2501">
            <v>3.1429999999999998</v>
          </cell>
        </row>
        <row r="2502">
          <cell r="C2502">
            <v>15822.921</v>
          </cell>
          <cell r="D2502">
            <v>3.32</v>
          </cell>
        </row>
        <row r="2503">
          <cell r="C2503">
            <v>15826.725</v>
          </cell>
          <cell r="D2503">
            <v>3.597</v>
          </cell>
        </row>
        <row r="2504">
          <cell r="C2504">
            <v>15830.796</v>
          </cell>
          <cell r="D2504">
            <v>3.6709999999999998</v>
          </cell>
        </row>
        <row r="2505">
          <cell r="C2505">
            <v>15836.883</v>
          </cell>
          <cell r="D2505">
            <v>3.819</v>
          </cell>
        </row>
        <row r="2506">
          <cell r="C2506">
            <v>15844.64</v>
          </cell>
          <cell r="D2506">
            <v>3.62</v>
          </cell>
        </row>
        <row r="2507">
          <cell r="C2507">
            <v>15851.346</v>
          </cell>
          <cell r="D2507">
            <v>3.5270000000000001</v>
          </cell>
        </row>
        <row r="2508">
          <cell r="C2508">
            <v>15855.597</v>
          </cell>
          <cell r="D2508">
            <v>3.2650000000000001</v>
          </cell>
        </row>
        <row r="2509">
          <cell r="C2509">
            <v>15860.82</v>
          </cell>
          <cell r="D2509">
            <v>2.738</v>
          </cell>
        </row>
        <row r="2510">
          <cell r="C2510">
            <v>15863.306</v>
          </cell>
          <cell r="D2510">
            <v>2.448</v>
          </cell>
        </row>
        <row r="2511">
          <cell r="C2511">
            <v>15867.200999999999</v>
          </cell>
          <cell r="D2511">
            <v>2.226</v>
          </cell>
        </row>
        <row r="2512">
          <cell r="C2512">
            <v>15870.004999999999</v>
          </cell>
          <cell r="D2512">
            <v>1.9450000000000001</v>
          </cell>
        </row>
        <row r="2513">
          <cell r="C2513">
            <v>15873.066000000001</v>
          </cell>
          <cell r="D2513">
            <v>1.5620000000000001</v>
          </cell>
        </row>
        <row r="2514">
          <cell r="C2514">
            <v>15875.808000000001</v>
          </cell>
          <cell r="D2514">
            <v>1.1220000000000001</v>
          </cell>
        </row>
        <row r="2515">
          <cell r="C2515">
            <v>15879.35</v>
          </cell>
          <cell r="D2515">
            <v>0.67300000000000004</v>
          </cell>
        </row>
        <row r="2516">
          <cell r="C2516">
            <v>15882.12</v>
          </cell>
          <cell r="D2516">
            <v>0.16300000000000001</v>
          </cell>
        </row>
        <row r="2517">
          <cell r="C2517">
            <v>15884.043</v>
          </cell>
          <cell r="D2517">
            <v>-9.8000000000000004E-2</v>
          </cell>
        </row>
        <row r="2518">
          <cell r="C2518">
            <v>15886.194</v>
          </cell>
          <cell r="D2518">
            <v>-0.53600000000000003</v>
          </cell>
        </row>
        <row r="2519">
          <cell r="C2519">
            <v>15889.031999999999</v>
          </cell>
          <cell r="D2519">
            <v>-1.0069999999999999</v>
          </cell>
        </row>
        <row r="2520">
          <cell r="C2520">
            <v>15891.558000000001</v>
          </cell>
          <cell r="D2520">
            <v>-1.3859999999999999</v>
          </cell>
        </row>
        <row r="2521">
          <cell r="C2521">
            <v>15893.941000000001</v>
          </cell>
          <cell r="D2521">
            <v>-1.9790000000000001</v>
          </cell>
        </row>
        <row r="2522">
          <cell r="C2522">
            <v>15897.395</v>
          </cell>
          <cell r="D2522">
            <v>-2.5270000000000001</v>
          </cell>
        </row>
        <row r="2523">
          <cell r="C2523">
            <v>15900.511</v>
          </cell>
          <cell r="D2523">
            <v>-3.0609999999999999</v>
          </cell>
        </row>
        <row r="2524">
          <cell r="C2524">
            <v>15902.537</v>
          </cell>
          <cell r="D2524">
            <v>-3.4239999999999999</v>
          </cell>
        </row>
        <row r="2525">
          <cell r="C2525">
            <v>15905.796</v>
          </cell>
          <cell r="D2525">
            <v>-4.1360000000000001</v>
          </cell>
        </row>
        <row r="2526">
          <cell r="C2526">
            <v>15908.55</v>
          </cell>
          <cell r="D2526">
            <v>-4.6970000000000001</v>
          </cell>
        </row>
        <row r="2527">
          <cell r="C2527">
            <v>15912.808000000001</v>
          </cell>
          <cell r="D2527">
            <v>-5.4649999999999999</v>
          </cell>
        </row>
        <row r="2528">
          <cell r="C2528">
            <v>15915.608</v>
          </cell>
          <cell r="D2528">
            <v>-5.9390000000000001</v>
          </cell>
        </row>
        <row r="2529">
          <cell r="C2529">
            <v>15917.630999999999</v>
          </cell>
          <cell r="D2529">
            <v>-6.3719999999999999</v>
          </cell>
        </row>
        <row r="2530">
          <cell r="C2530">
            <v>15925.71</v>
          </cell>
          <cell r="D2530">
            <v>-7.6779999999999999</v>
          </cell>
        </row>
        <row r="2531">
          <cell r="C2531">
            <v>15936.174999999999</v>
          </cell>
          <cell r="D2531">
            <v>-8.5749999999999993</v>
          </cell>
        </row>
        <row r="2532">
          <cell r="C2532">
            <v>15952.983</v>
          </cell>
          <cell r="D2532">
            <v>-8.2249999999999996</v>
          </cell>
        </row>
        <row r="2533">
          <cell r="C2533">
            <v>15960.304</v>
          </cell>
          <cell r="D2533">
            <v>-7.4240000000000004</v>
          </cell>
        </row>
        <row r="2534">
          <cell r="C2534">
            <v>15972.433000000001</v>
          </cell>
          <cell r="D2534">
            <v>-5.1440000000000001</v>
          </cell>
        </row>
        <row r="2535">
          <cell r="C2535">
            <v>15976.391</v>
          </cell>
          <cell r="D2535">
            <v>-4.0659999999999998</v>
          </cell>
        </row>
        <row r="2536">
          <cell r="C2536">
            <v>15980.766</v>
          </cell>
          <cell r="D2536">
            <v>-2.8090000000000002</v>
          </cell>
        </row>
        <row r="2537">
          <cell r="C2537">
            <v>15983.691000000001</v>
          </cell>
          <cell r="D2537">
            <v>-2.0049999999999999</v>
          </cell>
        </row>
        <row r="2538">
          <cell r="C2538">
            <v>15987.03</v>
          </cell>
          <cell r="D2538">
            <v>-1.0089999999999999</v>
          </cell>
        </row>
        <row r="2539">
          <cell r="C2539">
            <v>15991.356</v>
          </cell>
          <cell r="D2539">
            <v>0.17399999999999999</v>
          </cell>
        </row>
        <row r="2540">
          <cell r="C2540">
            <v>15995.566999999999</v>
          </cell>
          <cell r="D2540">
            <v>1.32</v>
          </cell>
        </row>
        <row r="2541">
          <cell r="C2541">
            <v>15999.421</v>
          </cell>
          <cell r="D2541">
            <v>2.2189999999999999</v>
          </cell>
        </row>
        <row r="2542">
          <cell r="C2542">
            <v>16002.143</v>
          </cell>
          <cell r="D2542">
            <v>2.851</v>
          </cell>
        </row>
        <row r="2543">
          <cell r="C2543">
            <v>16004.357</v>
          </cell>
          <cell r="D2543">
            <v>3.4</v>
          </cell>
        </row>
        <row r="2544">
          <cell r="C2544">
            <v>16006.51</v>
          </cell>
          <cell r="D2544">
            <v>3.7829999999999999</v>
          </cell>
        </row>
        <row r="2545">
          <cell r="C2545">
            <v>16009.504000000001</v>
          </cell>
          <cell r="D2545">
            <v>4.1669999999999998</v>
          </cell>
        </row>
        <row r="2546">
          <cell r="C2546">
            <v>16011.661</v>
          </cell>
          <cell r="D2546">
            <v>4.4169999999999998</v>
          </cell>
        </row>
        <row r="2547">
          <cell r="C2547">
            <v>16014.455</v>
          </cell>
          <cell r="D2547">
            <v>4.59</v>
          </cell>
        </row>
        <row r="2548">
          <cell r="C2548">
            <v>16017.508</v>
          </cell>
          <cell r="D2548">
            <v>4.7370000000000001</v>
          </cell>
        </row>
        <row r="2549">
          <cell r="C2549">
            <v>16020.656999999999</v>
          </cell>
          <cell r="D2549">
            <v>4.7919999999999998</v>
          </cell>
        </row>
        <row r="2550">
          <cell r="C2550">
            <v>16023.891</v>
          </cell>
          <cell r="D2550">
            <v>4.7409999999999997</v>
          </cell>
        </row>
        <row r="2551">
          <cell r="C2551">
            <v>16027.102000000001</v>
          </cell>
          <cell r="D2551">
            <v>4.6509999999999998</v>
          </cell>
        </row>
        <row r="2552">
          <cell r="C2552">
            <v>16030.989</v>
          </cell>
          <cell r="D2552">
            <v>4.4210000000000003</v>
          </cell>
        </row>
        <row r="2553">
          <cell r="C2553">
            <v>16034.883</v>
          </cell>
          <cell r="D2553">
            <v>4.1310000000000002</v>
          </cell>
        </row>
        <row r="2554">
          <cell r="C2554">
            <v>16039.174999999999</v>
          </cell>
          <cell r="D2554">
            <v>3.677</v>
          </cell>
        </row>
        <row r="2555">
          <cell r="C2555">
            <v>16042.637000000001</v>
          </cell>
          <cell r="D2555">
            <v>3.2730000000000001</v>
          </cell>
        </row>
        <row r="2556">
          <cell r="C2556">
            <v>16053.807000000001</v>
          </cell>
          <cell r="D2556">
            <v>2.2000000000000002</v>
          </cell>
        </row>
        <row r="2557">
          <cell r="C2557">
            <v>16094.223</v>
          </cell>
          <cell r="D2557">
            <v>-1.407</v>
          </cell>
        </row>
        <row r="2558">
          <cell r="C2558">
            <v>16099.088</v>
          </cell>
          <cell r="D2558">
            <v>-2.024</v>
          </cell>
        </row>
        <row r="2559">
          <cell r="C2559">
            <v>16103.773999999999</v>
          </cell>
          <cell r="D2559">
            <v>-2.665</v>
          </cell>
        </row>
        <row r="2560">
          <cell r="C2560">
            <v>16108.895</v>
          </cell>
          <cell r="D2560">
            <v>-3.371</v>
          </cell>
        </row>
        <row r="2561">
          <cell r="C2561">
            <v>16113.879000000001</v>
          </cell>
          <cell r="D2561">
            <v>-4.1109999999999998</v>
          </cell>
        </row>
        <row r="2562">
          <cell r="C2562">
            <v>16117.47</v>
          </cell>
          <cell r="D2562">
            <v>-4.6150000000000002</v>
          </cell>
        </row>
        <row r="2563">
          <cell r="C2563">
            <v>16121.286</v>
          </cell>
          <cell r="D2563">
            <v>-4.9290000000000003</v>
          </cell>
        </row>
        <row r="2564">
          <cell r="C2564">
            <v>16125.349</v>
          </cell>
          <cell r="D2564">
            <v>-5.1840000000000002</v>
          </cell>
        </row>
        <row r="2565">
          <cell r="C2565">
            <v>16128.932000000001</v>
          </cell>
          <cell r="D2565">
            <v>-5.2969999999999997</v>
          </cell>
        </row>
        <row r="2566">
          <cell r="C2566">
            <v>16131.971</v>
          </cell>
          <cell r="D2566">
            <v>-5.3120000000000003</v>
          </cell>
        </row>
        <row r="2567">
          <cell r="C2567">
            <v>16135.281999999999</v>
          </cell>
          <cell r="D2567">
            <v>-5.2430000000000003</v>
          </cell>
        </row>
        <row r="2568">
          <cell r="C2568">
            <v>16139.919</v>
          </cell>
          <cell r="D2568">
            <v>-4.9809999999999999</v>
          </cell>
        </row>
        <row r="2569">
          <cell r="C2569">
            <v>16142.716</v>
          </cell>
          <cell r="D2569">
            <v>-4.766</v>
          </cell>
        </row>
        <row r="2570">
          <cell r="C2570">
            <v>16146.362999999999</v>
          </cell>
          <cell r="D2570">
            <v>-4.3630000000000004</v>
          </cell>
        </row>
        <row r="2571">
          <cell r="C2571">
            <v>16150.027</v>
          </cell>
          <cell r="D2571">
            <v>-3.8540000000000001</v>
          </cell>
        </row>
        <row r="2572">
          <cell r="C2572">
            <v>16153.663</v>
          </cell>
          <cell r="D2572">
            <v>-3.23</v>
          </cell>
        </row>
        <row r="2573">
          <cell r="C2573">
            <v>16157.246999999999</v>
          </cell>
          <cell r="D2573">
            <v>-2.5649999999999999</v>
          </cell>
        </row>
        <row r="2574">
          <cell r="C2574">
            <v>16161.001</v>
          </cell>
          <cell r="D2574">
            <v>-1.93</v>
          </cell>
        </row>
        <row r="2575">
          <cell r="C2575">
            <v>16165.808000000001</v>
          </cell>
          <cell r="D2575">
            <v>-1.0860000000000001</v>
          </cell>
        </row>
        <row r="2576">
          <cell r="C2576">
            <v>16169.261</v>
          </cell>
          <cell r="D2576">
            <v>-0.57099999999999995</v>
          </cell>
        </row>
        <row r="2577">
          <cell r="C2577">
            <v>16174.839</v>
          </cell>
          <cell r="D2577">
            <v>0.28000000000000003</v>
          </cell>
        </row>
        <row r="2578">
          <cell r="C2578">
            <v>16179.887000000001</v>
          </cell>
          <cell r="D2578">
            <v>0.91400000000000003</v>
          </cell>
        </row>
        <row r="2579">
          <cell r="C2579">
            <v>16191.71</v>
          </cell>
          <cell r="D2579">
            <v>1.9910000000000001</v>
          </cell>
        </row>
        <row r="2580">
          <cell r="C2580">
            <v>16207.562</v>
          </cell>
          <cell r="D2580">
            <v>2.4849999999999999</v>
          </cell>
        </row>
        <row r="2581">
          <cell r="C2581">
            <v>16265.262000000001</v>
          </cell>
          <cell r="D2581">
            <v>2.38</v>
          </cell>
        </row>
        <row r="2582">
          <cell r="C2582">
            <v>16305.395</v>
          </cell>
          <cell r="D2582">
            <v>2.306</v>
          </cell>
        </row>
        <row r="2583">
          <cell r="C2583">
            <v>16355.527</v>
          </cell>
          <cell r="D2583">
            <v>2.1509999999999998</v>
          </cell>
        </row>
        <row r="2584">
          <cell r="C2584">
            <v>16387.599999999999</v>
          </cell>
          <cell r="D2584">
            <v>2.13</v>
          </cell>
        </row>
        <row r="2585">
          <cell r="C2585">
            <v>16421.617999999999</v>
          </cell>
          <cell r="D2585">
            <v>2.008</v>
          </cell>
        </row>
        <row r="2586">
          <cell r="C2586">
            <v>16484.669000000002</v>
          </cell>
          <cell r="D2586">
            <v>1.8180000000000001</v>
          </cell>
        </row>
        <row r="2587">
          <cell r="C2587">
            <v>16508.955000000002</v>
          </cell>
          <cell r="D2587">
            <v>1.95</v>
          </cell>
        </row>
        <row r="2588">
          <cell r="C2588">
            <v>16558.061000000002</v>
          </cell>
          <cell r="D2588">
            <v>2.0859999999999999</v>
          </cell>
        </row>
        <row r="2589">
          <cell r="C2589">
            <v>16631.341</v>
          </cell>
          <cell r="D2589">
            <v>1.94</v>
          </cell>
        </row>
        <row r="2590">
          <cell r="C2590">
            <v>16650.674999999999</v>
          </cell>
          <cell r="D2590">
            <v>1.163</v>
          </cell>
        </row>
        <row r="2591">
          <cell r="C2591">
            <v>16660.227999999999</v>
          </cell>
          <cell r="D2591">
            <v>0.442</v>
          </cell>
        </row>
        <row r="2592">
          <cell r="C2592">
            <v>16676.782999999999</v>
          </cell>
          <cell r="D2592">
            <v>-1.9359999999999999</v>
          </cell>
        </row>
        <row r="2593">
          <cell r="C2593">
            <v>16684.099999999999</v>
          </cell>
          <cell r="D2593">
            <v>-3.0430000000000001</v>
          </cell>
        </row>
        <row r="2594">
          <cell r="C2594">
            <v>16686.830000000002</v>
          </cell>
          <cell r="D2594">
            <v>-3.367</v>
          </cell>
        </row>
        <row r="2595">
          <cell r="C2595">
            <v>16690.444</v>
          </cell>
          <cell r="D2595">
            <v>-3.8029999999999999</v>
          </cell>
        </row>
        <row r="2596">
          <cell r="C2596">
            <v>16694.458999999999</v>
          </cell>
          <cell r="D2596">
            <v>-4.2380000000000004</v>
          </cell>
        </row>
        <row r="2597">
          <cell r="C2597">
            <v>16698.105</v>
          </cell>
          <cell r="D2597">
            <v>-4.5350000000000001</v>
          </cell>
        </row>
        <row r="2598">
          <cell r="C2598">
            <v>16701.682000000001</v>
          </cell>
          <cell r="D2598">
            <v>-4.7190000000000003</v>
          </cell>
        </row>
        <row r="2599">
          <cell r="C2599">
            <v>16706.396000000001</v>
          </cell>
          <cell r="D2599">
            <v>-4.7770000000000001</v>
          </cell>
        </row>
        <row r="2600">
          <cell r="C2600">
            <v>16711.377</v>
          </cell>
          <cell r="D2600">
            <v>-4.6890000000000001</v>
          </cell>
        </row>
        <row r="2601">
          <cell r="C2601">
            <v>16716.351999999999</v>
          </cell>
          <cell r="D2601">
            <v>-4.391</v>
          </cell>
        </row>
        <row r="2602">
          <cell r="C2602">
            <v>16719.616999999998</v>
          </cell>
          <cell r="D2602">
            <v>-4.2110000000000003</v>
          </cell>
        </row>
        <row r="2603">
          <cell r="C2603">
            <v>16721.532999999999</v>
          </cell>
          <cell r="D2603">
            <v>-4.0209999999999999</v>
          </cell>
        </row>
        <row r="2604">
          <cell r="C2604">
            <v>16725.019</v>
          </cell>
          <cell r="D2604">
            <v>-3.6680000000000001</v>
          </cell>
        </row>
        <row r="2605">
          <cell r="C2605">
            <v>16727.994999999999</v>
          </cell>
          <cell r="D2605">
            <v>-3.3010000000000002</v>
          </cell>
        </row>
        <row r="2606">
          <cell r="C2606">
            <v>16730.273000000001</v>
          </cell>
          <cell r="D2606">
            <v>-3.0289999999999999</v>
          </cell>
        </row>
        <row r="2607">
          <cell r="C2607">
            <v>16732.737000000001</v>
          </cell>
          <cell r="D2607">
            <v>-2.6680000000000001</v>
          </cell>
        </row>
        <row r="2608">
          <cell r="C2608">
            <v>16737.042000000001</v>
          </cell>
          <cell r="D2608">
            <v>-2.1120000000000001</v>
          </cell>
        </row>
        <row r="2609">
          <cell r="C2609">
            <v>16744.718000000001</v>
          </cell>
          <cell r="D2609">
            <v>-1.111</v>
          </cell>
        </row>
        <row r="2610">
          <cell r="C2610">
            <v>16756.156999999999</v>
          </cell>
          <cell r="D2610">
            <v>0.26</v>
          </cell>
        </row>
        <row r="2611">
          <cell r="C2611">
            <v>16765.316999999999</v>
          </cell>
          <cell r="D2611">
            <v>1.611</v>
          </cell>
        </row>
        <row r="2612">
          <cell r="C2612">
            <v>16775.975999999999</v>
          </cell>
          <cell r="D2612">
            <v>3.4929999999999999</v>
          </cell>
        </row>
        <row r="2613">
          <cell r="C2613">
            <v>16786.437000000002</v>
          </cell>
          <cell r="D2613">
            <v>5.9210000000000003</v>
          </cell>
        </row>
        <row r="2614">
          <cell r="C2614">
            <v>16791.776999999998</v>
          </cell>
          <cell r="D2614">
            <v>7.0869999999999997</v>
          </cell>
        </row>
        <row r="2615">
          <cell r="C2615">
            <v>16793.933000000001</v>
          </cell>
          <cell r="D2615">
            <v>7.4649999999999999</v>
          </cell>
        </row>
        <row r="2616">
          <cell r="C2616">
            <v>16797.512999999999</v>
          </cell>
          <cell r="D2616">
            <v>8.1359999999999992</v>
          </cell>
        </row>
        <row r="2617">
          <cell r="C2617">
            <v>16800.103999999999</v>
          </cell>
          <cell r="D2617">
            <v>8.5670000000000002</v>
          </cell>
        </row>
        <row r="2618">
          <cell r="C2618">
            <v>16804.142</v>
          </cell>
          <cell r="D2618">
            <v>9.0519999999999996</v>
          </cell>
        </row>
        <row r="2619">
          <cell r="C2619">
            <v>16807.289000000001</v>
          </cell>
          <cell r="D2619">
            <v>9.3339999999999996</v>
          </cell>
        </row>
        <row r="2620">
          <cell r="C2620">
            <v>16811.589</v>
          </cell>
          <cell r="D2620">
            <v>9.7319999999999993</v>
          </cell>
        </row>
        <row r="2621">
          <cell r="C2621">
            <v>16816.482</v>
          </cell>
          <cell r="D2621">
            <v>10.154999999999999</v>
          </cell>
        </row>
        <row r="2622">
          <cell r="C2622">
            <v>16818.632000000001</v>
          </cell>
          <cell r="D2622">
            <v>10.307</v>
          </cell>
        </row>
        <row r="2623">
          <cell r="C2623">
            <v>16821.203000000001</v>
          </cell>
          <cell r="D2623">
            <v>10.454000000000001</v>
          </cell>
        </row>
        <row r="2624">
          <cell r="C2624">
            <v>16823.634999999998</v>
          </cell>
          <cell r="D2624">
            <v>10.589</v>
          </cell>
        </row>
        <row r="2625">
          <cell r="C2625">
            <v>16826.226999999999</v>
          </cell>
          <cell r="D2625">
            <v>10.601000000000001</v>
          </cell>
        </row>
        <row r="2626">
          <cell r="C2626">
            <v>16828.451000000001</v>
          </cell>
          <cell r="D2626">
            <v>10.617000000000001</v>
          </cell>
        </row>
        <row r="2627">
          <cell r="C2627">
            <v>16830.851999999999</v>
          </cell>
          <cell r="D2627">
            <v>10.551</v>
          </cell>
        </row>
        <row r="2628">
          <cell r="C2628">
            <v>16833.425999999999</v>
          </cell>
          <cell r="D2628">
            <v>10.316000000000001</v>
          </cell>
        </row>
        <row r="2629">
          <cell r="C2629">
            <v>16835.778999999999</v>
          </cell>
          <cell r="D2629">
            <v>10.202</v>
          </cell>
        </row>
        <row r="2630">
          <cell r="C2630">
            <v>16838.921999999999</v>
          </cell>
          <cell r="D2630">
            <v>9.8780000000000001</v>
          </cell>
        </row>
        <row r="2631">
          <cell r="C2631">
            <v>16841.346000000001</v>
          </cell>
          <cell r="D2631">
            <v>9.5749999999999993</v>
          </cell>
        </row>
        <row r="2632">
          <cell r="C2632">
            <v>16844.478999999999</v>
          </cell>
          <cell r="D2632">
            <v>9.24</v>
          </cell>
        </row>
        <row r="2633">
          <cell r="C2633">
            <v>16847.11</v>
          </cell>
          <cell r="D2633">
            <v>8.9420000000000002</v>
          </cell>
        </row>
        <row r="2634">
          <cell r="C2634">
            <v>16849.638999999999</v>
          </cell>
          <cell r="D2634">
            <v>8.657</v>
          </cell>
        </row>
        <row r="2635">
          <cell r="C2635">
            <v>16851.855</v>
          </cell>
          <cell r="D2635">
            <v>8.2639999999999993</v>
          </cell>
        </row>
        <row r="2636">
          <cell r="C2636">
            <v>16853.603999999999</v>
          </cell>
          <cell r="D2636">
            <v>7.9690000000000003</v>
          </cell>
        </row>
        <row r="2637">
          <cell r="C2637">
            <v>16855.919000000002</v>
          </cell>
          <cell r="D2637">
            <v>7.5110000000000001</v>
          </cell>
        </row>
        <row r="2638">
          <cell r="C2638">
            <v>16858.161</v>
          </cell>
          <cell r="D2638">
            <v>7.0069999999999997</v>
          </cell>
        </row>
        <row r="2639">
          <cell r="C2639">
            <v>16861.474999999999</v>
          </cell>
          <cell r="D2639">
            <v>6.2519999999999998</v>
          </cell>
        </row>
        <row r="2640">
          <cell r="C2640">
            <v>16866.12</v>
          </cell>
          <cell r="D2640">
            <v>5.1779999999999999</v>
          </cell>
        </row>
        <row r="2641">
          <cell r="C2641">
            <v>16870.845000000001</v>
          </cell>
          <cell r="D2641">
            <v>4.25</v>
          </cell>
        </row>
        <row r="2642">
          <cell r="C2642">
            <v>16885.595000000001</v>
          </cell>
          <cell r="D2642">
            <v>2.5710000000000002</v>
          </cell>
        </row>
        <row r="2643">
          <cell r="C2643">
            <v>16944.834999999999</v>
          </cell>
          <cell r="D2643">
            <v>2.234</v>
          </cell>
        </row>
        <row r="2644">
          <cell r="C2644">
            <v>16983.723999999998</v>
          </cell>
          <cell r="D2644">
            <v>2.5779999999999998</v>
          </cell>
        </row>
        <row r="2645">
          <cell r="C2645">
            <v>16997.062999999998</v>
          </cell>
          <cell r="D2645">
            <v>2.6190000000000002</v>
          </cell>
        </row>
        <row r="2646">
          <cell r="C2646">
            <v>17000.955000000002</v>
          </cell>
          <cell r="D2646">
            <v>2.5609999999999999</v>
          </cell>
        </row>
        <row r="2647">
          <cell r="C2647">
            <v>17004.742999999999</v>
          </cell>
          <cell r="D2647">
            <v>2.488</v>
          </cell>
        </row>
        <row r="2648">
          <cell r="C2648">
            <v>17008.687000000002</v>
          </cell>
          <cell r="D2648">
            <v>2.379</v>
          </cell>
        </row>
        <row r="2649">
          <cell r="C2649">
            <v>17012.273000000001</v>
          </cell>
          <cell r="D2649">
            <v>2.238</v>
          </cell>
        </row>
        <row r="2650">
          <cell r="C2650">
            <v>17015.986000000001</v>
          </cell>
          <cell r="D2650">
            <v>2.1389999999999998</v>
          </cell>
        </row>
        <row r="2651">
          <cell r="C2651">
            <v>17018.924999999999</v>
          </cell>
          <cell r="D2651">
            <v>1.9710000000000001</v>
          </cell>
        </row>
        <row r="2652">
          <cell r="C2652">
            <v>17022.146000000001</v>
          </cell>
          <cell r="D2652">
            <v>1.6919999999999999</v>
          </cell>
        </row>
        <row r="2653">
          <cell r="C2653">
            <v>17025.099999999999</v>
          </cell>
          <cell r="D2653">
            <v>1.327</v>
          </cell>
        </row>
        <row r="2654">
          <cell r="C2654">
            <v>17031.330999999998</v>
          </cell>
          <cell r="D2654">
            <v>0.35199999999999998</v>
          </cell>
        </row>
        <row r="2655">
          <cell r="C2655">
            <v>17034.580000000002</v>
          </cell>
          <cell r="D2655">
            <v>-0.17899999999999999</v>
          </cell>
        </row>
        <row r="2656">
          <cell r="C2656">
            <v>17037.883000000002</v>
          </cell>
          <cell r="D2656">
            <v>-0.8</v>
          </cell>
        </row>
        <row r="2657">
          <cell r="C2657">
            <v>17041.075000000001</v>
          </cell>
          <cell r="D2657">
            <v>-1.4950000000000001</v>
          </cell>
        </row>
        <row r="2658">
          <cell r="C2658">
            <v>17045.713</v>
          </cell>
          <cell r="D2658">
            <v>-2.472</v>
          </cell>
        </row>
        <row r="2659">
          <cell r="C2659">
            <v>17049.132000000001</v>
          </cell>
          <cell r="D2659">
            <v>-3.2360000000000002</v>
          </cell>
        </row>
        <row r="2660">
          <cell r="C2660">
            <v>17052.416000000001</v>
          </cell>
          <cell r="D2660">
            <v>-3.984</v>
          </cell>
        </row>
        <row r="2661">
          <cell r="C2661">
            <v>17054.366999999998</v>
          </cell>
          <cell r="D2661">
            <v>-4.4690000000000003</v>
          </cell>
        </row>
        <row r="2662">
          <cell r="C2662">
            <v>17058.046999999999</v>
          </cell>
          <cell r="D2662">
            <v>-5.3780000000000001</v>
          </cell>
        </row>
        <row r="2663">
          <cell r="C2663">
            <v>17063.675999999999</v>
          </cell>
          <cell r="D2663">
            <v>-6.6689999999999996</v>
          </cell>
        </row>
        <row r="2664">
          <cell r="C2664">
            <v>17066.179</v>
          </cell>
          <cell r="D2664">
            <v>-7.1689999999999996</v>
          </cell>
        </row>
        <row r="2665">
          <cell r="C2665">
            <v>17068.341</v>
          </cell>
          <cell r="D2665">
            <v>-7.6139999999999999</v>
          </cell>
        </row>
        <row r="2666">
          <cell r="C2666">
            <v>17070.978999999999</v>
          </cell>
          <cell r="D2666">
            <v>-8.2260000000000009</v>
          </cell>
        </row>
        <row r="2667">
          <cell r="C2667">
            <v>17074.21</v>
          </cell>
          <cell r="D2667">
            <v>-8.9280000000000008</v>
          </cell>
        </row>
        <row r="2668">
          <cell r="C2668">
            <v>17077.150000000001</v>
          </cell>
          <cell r="D2668">
            <v>-9.51</v>
          </cell>
        </row>
        <row r="2669">
          <cell r="C2669">
            <v>17079.924999999999</v>
          </cell>
          <cell r="D2669">
            <v>-10.068</v>
          </cell>
        </row>
        <row r="2670">
          <cell r="C2670">
            <v>17082.437000000002</v>
          </cell>
          <cell r="D2670">
            <v>-10.603999999999999</v>
          </cell>
        </row>
        <row r="2671">
          <cell r="C2671">
            <v>17086.478999999999</v>
          </cell>
          <cell r="D2671">
            <v>-11.358000000000001</v>
          </cell>
        </row>
        <row r="2672">
          <cell r="C2672">
            <v>17101.746999999999</v>
          </cell>
          <cell r="D2672">
            <v>-12.849</v>
          </cell>
        </row>
        <row r="2673">
          <cell r="C2673">
            <v>17116.146000000001</v>
          </cell>
          <cell r="D2673">
            <v>-12.862</v>
          </cell>
        </row>
        <row r="2674">
          <cell r="C2674">
            <v>17121.955000000002</v>
          </cell>
          <cell r="D2674">
            <v>-12.582000000000001</v>
          </cell>
        </row>
        <row r="2675">
          <cell r="C2675">
            <v>17129.532999999999</v>
          </cell>
          <cell r="D2675">
            <v>87.021000000000001</v>
          </cell>
        </row>
        <row r="2676">
          <cell r="C2676">
            <v>17129.913</v>
          </cell>
          <cell r="D2676">
            <v>-12.04</v>
          </cell>
        </row>
        <row r="2677">
          <cell r="C2677">
            <v>17137.557000000001</v>
          </cell>
          <cell r="D2677">
            <v>-11.388999999999999</v>
          </cell>
        </row>
        <row r="2678">
          <cell r="C2678">
            <v>17140</v>
          </cell>
          <cell r="D2678">
            <v>88.399000000000001</v>
          </cell>
        </row>
        <row r="2679">
          <cell r="C2679">
            <v>17147.651000000002</v>
          </cell>
          <cell r="D2679">
            <v>89.028999999999996</v>
          </cell>
        </row>
        <row r="2680">
          <cell r="C2680">
            <v>17148.128000000001</v>
          </cell>
          <cell r="D2680">
            <v>-10.563000000000001</v>
          </cell>
        </row>
        <row r="2681">
          <cell r="C2681">
            <v>17156.402999999998</v>
          </cell>
          <cell r="D2681">
            <v>89.387</v>
          </cell>
        </row>
        <row r="2682">
          <cell r="C2682">
            <v>17156.5</v>
          </cell>
          <cell r="D2682">
            <v>-9.9220000000000006</v>
          </cell>
        </row>
        <row r="2683">
          <cell r="C2683">
            <v>17159.243999999999</v>
          </cell>
          <cell r="D2683">
            <v>89.453999999999994</v>
          </cell>
        </row>
        <row r="2684">
          <cell r="C2684">
            <v>17161.45</v>
          </cell>
          <cell r="D2684">
            <v>-9.4380000000000006</v>
          </cell>
        </row>
        <row r="2685">
          <cell r="C2685">
            <v>17162.382000000001</v>
          </cell>
          <cell r="D2685">
            <v>89.397999999999996</v>
          </cell>
        </row>
        <row r="2686">
          <cell r="C2686">
            <v>17165.173999999999</v>
          </cell>
          <cell r="D2686">
            <v>89.352000000000004</v>
          </cell>
        </row>
        <row r="2687">
          <cell r="C2687">
            <v>17165.304</v>
          </cell>
          <cell r="D2687">
            <v>-8.8989999999999991</v>
          </cell>
        </row>
        <row r="2688">
          <cell r="C2688">
            <v>17168.261999999999</v>
          </cell>
          <cell r="D2688">
            <v>89.034999999999997</v>
          </cell>
        </row>
        <row r="2689">
          <cell r="C2689">
            <v>17168.672999999999</v>
          </cell>
          <cell r="D2689">
            <v>-8.3719999999999999</v>
          </cell>
        </row>
        <row r="2690">
          <cell r="C2690">
            <v>17172.713</v>
          </cell>
          <cell r="D2690">
            <v>-7.6239999999999997</v>
          </cell>
        </row>
        <row r="2691">
          <cell r="C2691">
            <v>17173.924999999999</v>
          </cell>
          <cell r="D2691">
            <v>88.49</v>
          </cell>
        </row>
        <row r="2692">
          <cell r="C2692">
            <v>17174.558000000001</v>
          </cell>
          <cell r="D2692">
            <v>-7.1859999999999999</v>
          </cell>
        </row>
        <row r="2693">
          <cell r="C2693">
            <v>17178.596000000001</v>
          </cell>
          <cell r="D2693">
            <v>87.745000000000005</v>
          </cell>
        </row>
        <row r="2694">
          <cell r="C2694">
            <v>17178.821</v>
          </cell>
          <cell r="D2694">
            <v>-6.1959999999999997</v>
          </cell>
        </row>
        <row r="2695">
          <cell r="C2695">
            <v>17181.323</v>
          </cell>
          <cell r="D2695">
            <v>-5.3879999999999999</v>
          </cell>
        </row>
        <row r="2696">
          <cell r="C2696">
            <v>17181.766</v>
          </cell>
          <cell r="D2696">
            <v>87.262</v>
          </cell>
        </row>
        <row r="2697">
          <cell r="C2697">
            <v>17183.28</v>
          </cell>
          <cell r="D2697">
            <v>-4.7309999999999999</v>
          </cell>
        </row>
        <row r="2698">
          <cell r="C2698">
            <v>17184.446</v>
          </cell>
          <cell r="D2698">
            <v>86.66</v>
          </cell>
        </row>
        <row r="2699">
          <cell r="C2699">
            <v>17184.949000000001</v>
          </cell>
          <cell r="D2699">
            <v>-4.1210000000000004</v>
          </cell>
        </row>
        <row r="2700">
          <cell r="C2700">
            <v>17186.239000000001</v>
          </cell>
          <cell r="D2700">
            <v>-3.633</v>
          </cell>
        </row>
        <row r="2701">
          <cell r="C2701">
            <v>17187.404999999999</v>
          </cell>
          <cell r="D2701">
            <v>86.021000000000001</v>
          </cell>
        </row>
        <row r="2702">
          <cell r="C2702">
            <v>17188.231</v>
          </cell>
          <cell r="D2702">
            <v>-2.7690000000000001</v>
          </cell>
        </row>
        <row r="2703">
          <cell r="C2703">
            <v>17189.657999999999</v>
          </cell>
          <cell r="D2703">
            <v>-2.1440000000000001</v>
          </cell>
        </row>
        <row r="2704">
          <cell r="C2704">
            <v>17190.768</v>
          </cell>
          <cell r="D2704">
            <v>85.185000000000002</v>
          </cell>
        </row>
        <row r="2705">
          <cell r="C2705">
            <v>17191.294000000002</v>
          </cell>
          <cell r="D2705">
            <v>-1.3680000000000001</v>
          </cell>
        </row>
        <row r="2706">
          <cell r="C2706">
            <v>17193.652999999998</v>
          </cell>
          <cell r="D2706">
            <v>-0.11799999999999999</v>
          </cell>
        </row>
        <row r="2707">
          <cell r="C2707">
            <v>17196.334999999999</v>
          </cell>
          <cell r="D2707">
            <v>1.294</v>
          </cell>
        </row>
        <row r="2708">
          <cell r="C2708">
            <v>17197.672999999999</v>
          </cell>
          <cell r="D2708">
            <v>2.0910000000000002</v>
          </cell>
        </row>
        <row r="2709">
          <cell r="C2709">
            <v>17198.108</v>
          </cell>
          <cell r="D2709">
            <v>83.361999999999995</v>
          </cell>
        </row>
        <row r="2710">
          <cell r="C2710">
            <v>17199.508000000002</v>
          </cell>
          <cell r="D2710">
            <v>3.1680000000000001</v>
          </cell>
        </row>
        <row r="2711">
          <cell r="C2711">
            <v>17201.243999999999</v>
          </cell>
          <cell r="D2711">
            <v>4.2569999999999997</v>
          </cell>
        </row>
        <row r="2712">
          <cell r="C2712">
            <v>17202.702000000001</v>
          </cell>
          <cell r="D2712">
            <v>5.2910000000000004</v>
          </cell>
        </row>
        <row r="2713">
          <cell r="C2713">
            <v>17204.149000000001</v>
          </cell>
          <cell r="D2713">
            <v>6.3840000000000003</v>
          </cell>
        </row>
        <row r="2714">
          <cell r="C2714">
            <v>17205.901000000002</v>
          </cell>
          <cell r="D2714">
            <v>7.7640000000000002</v>
          </cell>
        </row>
        <row r="2715">
          <cell r="C2715">
            <v>17207.275000000001</v>
          </cell>
          <cell r="D2715">
            <v>81.021000000000001</v>
          </cell>
        </row>
        <row r="2716">
          <cell r="C2716">
            <v>17207.621999999999</v>
          </cell>
          <cell r="D2716">
            <v>9.3149999999999995</v>
          </cell>
        </row>
        <row r="2717">
          <cell r="C2717">
            <v>17209.850999999999</v>
          </cell>
          <cell r="D2717">
            <v>11.356</v>
          </cell>
        </row>
        <row r="2718">
          <cell r="C2718">
            <v>17211.366999999998</v>
          </cell>
          <cell r="D2718">
            <v>79.840999999999994</v>
          </cell>
        </row>
        <row r="2719">
          <cell r="C2719">
            <v>17211.375</v>
          </cell>
          <cell r="D2719">
            <v>12.851000000000001</v>
          </cell>
        </row>
        <row r="2720">
          <cell r="C2720">
            <v>17213.072</v>
          </cell>
          <cell r="D2720">
            <v>14.654999999999999</v>
          </cell>
        </row>
        <row r="2721">
          <cell r="C2721">
            <v>17214.239000000001</v>
          </cell>
          <cell r="D2721">
            <v>15.84</v>
          </cell>
        </row>
        <row r="2722">
          <cell r="C2722">
            <v>17214.768</v>
          </cell>
          <cell r="D2722">
            <v>78.727999999999994</v>
          </cell>
        </row>
        <row r="2723">
          <cell r="C2723">
            <v>17216.438999999998</v>
          </cell>
          <cell r="D2723">
            <v>18.262</v>
          </cell>
        </row>
        <row r="2724">
          <cell r="C2724">
            <v>17216.917000000001</v>
          </cell>
          <cell r="D2724">
            <v>77.843999999999994</v>
          </cell>
        </row>
        <row r="2725">
          <cell r="C2725">
            <v>17218.186000000002</v>
          </cell>
          <cell r="D2725">
            <v>20.254000000000001</v>
          </cell>
        </row>
        <row r="2726">
          <cell r="C2726">
            <v>17219.976999999999</v>
          </cell>
          <cell r="D2726">
            <v>76.275000000000006</v>
          </cell>
        </row>
        <row r="2727">
          <cell r="C2727">
            <v>17219.981</v>
          </cell>
          <cell r="D2727">
            <v>22.407</v>
          </cell>
        </row>
        <row r="2728">
          <cell r="C2728">
            <v>17221.344000000001</v>
          </cell>
          <cell r="D2728">
            <v>24.244</v>
          </cell>
        </row>
        <row r="2729">
          <cell r="C2729">
            <v>17223.23</v>
          </cell>
          <cell r="D2729">
            <v>74.131</v>
          </cell>
        </row>
        <row r="2730">
          <cell r="C2730">
            <v>17223.364000000001</v>
          </cell>
          <cell r="D2730">
            <v>27.006</v>
          </cell>
        </row>
        <row r="2731">
          <cell r="C2731">
            <v>17224.981</v>
          </cell>
          <cell r="D2731">
            <v>29.445</v>
          </cell>
        </row>
        <row r="2732">
          <cell r="C2732">
            <v>17225.356</v>
          </cell>
          <cell r="D2732">
            <v>72.372</v>
          </cell>
        </row>
        <row r="2733">
          <cell r="C2733">
            <v>17226.594000000001</v>
          </cell>
          <cell r="D2733">
            <v>32.173000000000002</v>
          </cell>
        </row>
        <row r="2734">
          <cell r="C2734">
            <v>17227.746999999999</v>
          </cell>
          <cell r="D2734">
            <v>69.989000000000004</v>
          </cell>
        </row>
        <row r="2735">
          <cell r="C2735">
            <v>17227.851999999999</v>
          </cell>
          <cell r="D2735">
            <v>34.433</v>
          </cell>
        </row>
        <row r="2736">
          <cell r="C2736">
            <v>17229.339</v>
          </cell>
          <cell r="D2736">
            <v>37.417999999999999</v>
          </cell>
        </row>
        <row r="2737">
          <cell r="C2737">
            <v>17230.357</v>
          </cell>
          <cell r="D2737">
            <v>39.729999999999997</v>
          </cell>
        </row>
        <row r="2738">
          <cell r="C2738">
            <v>17231.167000000001</v>
          </cell>
          <cell r="D2738">
            <v>66.218999999999994</v>
          </cell>
        </row>
        <row r="2739">
          <cell r="C2739">
            <v>17231.692999999999</v>
          </cell>
          <cell r="D2739">
            <v>43.075000000000003</v>
          </cell>
        </row>
        <row r="2740">
          <cell r="C2740">
            <v>17231.949000000001</v>
          </cell>
          <cell r="D2740">
            <v>64.91</v>
          </cell>
        </row>
        <row r="2741">
          <cell r="C2741">
            <v>17232.288</v>
          </cell>
          <cell r="D2741">
            <v>45.561999999999998</v>
          </cell>
        </row>
        <row r="2742">
          <cell r="C2742">
            <v>17232.601999999999</v>
          </cell>
          <cell r="D2742">
            <v>63.223999999999997</v>
          </cell>
        </row>
        <row r="2743">
          <cell r="C2743">
            <v>17233.800999999999</v>
          </cell>
          <cell r="D2743">
            <v>52.38</v>
          </cell>
        </row>
        <row r="2744">
          <cell r="C2744">
            <v>17233.967000000001</v>
          </cell>
          <cell r="D2744">
            <v>57.642000000000003</v>
          </cell>
        </row>
        <row r="2745">
          <cell r="C2745">
            <v>17234.050999999999</v>
          </cell>
          <cell r="D2745">
            <v>55.893000000000001</v>
          </cell>
        </row>
        <row r="2746">
          <cell r="C2746">
            <v>17711.748</v>
          </cell>
          <cell r="D2746">
            <v>72.975999999999999</v>
          </cell>
        </row>
        <row r="2747">
          <cell r="C2747">
            <v>17726.206999999999</v>
          </cell>
          <cell r="D2747">
            <v>59.564999999999998</v>
          </cell>
        </row>
        <row r="2748">
          <cell r="C2748">
            <v>17735.662</v>
          </cell>
          <cell r="D2748">
            <v>53.07</v>
          </cell>
        </row>
        <row r="2749">
          <cell r="C2749">
            <v>17755.415000000001</v>
          </cell>
          <cell r="D2749">
            <v>44.003999999999998</v>
          </cell>
        </row>
        <row r="2750">
          <cell r="C2750">
            <v>17758.303</v>
          </cell>
          <cell r="D2750">
            <v>43.12</v>
          </cell>
        </row>
        <row r="2751">
          <cell r="C2751">
            <v>17760.387999999999</v>
          </cell>
          <cell r="D2751">
            <v>42.482999999999997</v>
          </cell>
        </row>
        <row r="2752">
          <cell r="C2752">
            <v>17763.060000000001</v>
          </cell>
          <cell r="D2752">
            <v>41.671999999999997</v>
          </cell>
        </row>
        <row r="2753">
          <cell r="C2753">
            <v>17764.768</v>
          </cell>
          <cell r="D2753">
            <v>41.112000000000002</v>
          </cell>
        </row>
        <row r="2754">
          <cell r="C2754">
            <v>17767.837</v>
          </cell>
          <cell r="D2754">
            <v>40.194000000000003</v>
          </cell>
        </row>
        <row r="2755">
          <cell r="C2755">
            <v>17770.752</v>
          </cell>
          <cell r="D2755">
            <v>39.244999999999997</v>
          </cell>
        </row>
        <row r="2756">
          <cell r="C2756">
            <v>17773.187999999998</v>
          </cell>
          <cell r="D2756">
            <v>38.384999999999998</v>
          </cell>
        </row>
        <row r="2757">
          <cell r="C2757">
            <v>17775.278999999999</v>
          </cell>
          <cell r="D2757">
            <v>37.56</v>
          </cell>
        </row>
        <row r="2758">
          <cell r="C2758">
            <v>17777.031999999999</v>
          </cell>
          <cell r="D2758">
            <v>36.853000000000002</v>
          </cell>
        </row>
        <row r="2759">
          <cell r="C2759">
            <v>17779.674999999999</v>
          </cell>
          <cell r="D2759">
            <v>35.808</v>
          </cell>
        </row>
        <row r="2760">
          <cell r="C2760">
            <v>17782.819</v>
          </cell>
          <cell r="D2760">
            <v>34.652000000000001</v>
          </cell>
        </row>
        <row r="2761">
          <cell r="C2761">
            <v>17784.502</v>
          </cell>
          <cell r="D2761">
            <v>33.976999999999997</v>
          </cell>
        </row>
        <row r="2762">
          <cell r="C2762">
            <v>17787.546999999999</v>
          </cell>
          <cell r="D2762">
            <v>32.701999999999998</v>
          </cell>
        </row>
        <row r="2763">
          <cell r="C2763">
            <v>17789.891</v>
          </cell>
          <cell r="D2763">
            <v>31.696000000000002</v>
          </cell>
        </row>
        <row r="2764">
          <cell r="C2764">
            <v>17792.617999999999</v>
          </cell>
          <cell r="D2764">
            <v>30.53</v>
          </cell>
        </row>
        <row r="2765">
          <cell r="C2765">
            <v>17794.875</v>
          </cell>
          <cell r="D2765">
            <v>29.465</v>
          </cell>
        </row>
        <row r="2766">
          <cell r="C2766">
            <v>17797.453000000001</v>
          </cell>
          <cell r="D2766">
            <v>28.212</v>
          </cell>
        </row>
        <row r="2767">
          <cell r="C2767">
            <v>17799.45</v>
          </cell>
          <cell r="D2767">
            <v>27.26</v>
          </cell>
        </row>
        <row r="2768">
          <cell r="C2768">
            <v>17801.807000000001</v>
          </cell>
          <cell r="D2768">
            <v>26.036000000000001</v>
          </cell>
        </row>
        <row r="2769">
          <cell r="C2769">
            <v>17804.72</v>
          </cell>
          <cell r="D2769">
            <v>24.457999999999998</v>
          </cell>
        </row>
        <row r="2770">
          <cell r="C2770">
            <v>17810.651000000002</v>
          </cell>
          <cell r="D2770">
            <v>21.138000000000002</v>
          </cell>
        </row>
        <row r="2771">
          <cell r="C2771">
            <v>17814.322</v>
          </cell>
          <cell r="D2771">
            <v>19.158999999999999</v>
          </cell>
        </row>
        <row r="2772">
          <cell r="C2772">
            <v>17818.537</v>
          </cell>
          <cell r="D2772">
            <v>17.097000000000001</v>
          </cell>
        </row>
        <row r="2773">
          <cell r="C2773">
            <v>17824.006000000001</v>
          </cell>
          <cell r="D2773">
            <v>14.565</v>
          </cell>
        </row>
        <row r="2774">
          <cell r="C2774">
            <v>17832.242999999999</v>
          </cell>
          <cell r="D2774">
            <v>11.430999999999999</v>
          </cell>
        </row>
        <row r="2775">
          <cell r="C2775">
            <v>17840.578000000001</v>
          </cell>
          <cell r="D2775">
            <v>9.0709999999999997</v>
          </cell>
        </row>
        <row r="2776">
          <cell r="C2776">
            <v>17848.925999999999</v>
          </cell>
          <cell r="D2776">
            <v>7.4950000000000001</v>
          </cell>
        </row>
        <row r="2777">
          <cell r="C2777">
            <v>17855.782999999999</v>
          </cell>
          <cell r="D2777">
            <v>6.5730000000000004</v>
          </cell>
        </row>
        <row r="2778">
          <cell r="C2778">
            <v>17865.846000000001</v>
          </cell>
          <cell r="D2778">
            <v>5.8120000000000003</v>
          </cell>
        </row>
        <row r="2779">
          <cell r="C2779">
            <v>17874.047999999999</v>
          </cell>
          <cell r="D2779">
            <v>5.5309999999999997</v>
          </cell>
        </row>
        <row r="2780">
          <cell r="C2780">
            <v>17884.071</v>
          </cell>
          <cell r="D2780">
            <v>5.3639999999999999</v>
          </cell>
        </row>
        <row r="2781">
          <cell r="C2781">
            <v>17895.483</v>
          </cell>
          <cell r="D2781">
            <v>5.3810000000000002</v>
          </cell>
        </row>
        <row r="2782">
          <cell r="C2782">
            <v>17919.490000000002</v>
          </cell>
          <cell r="D2782">
            <v>5.4029999999999996</v>
          </cell>
        </row>
        <row r="2783">
          <cell r="C2783">
            <v>17929.638999999999</v>
          </cell>
          <cell r="D2783">
            <v>5.383</v>
          </cell>
        </row>
        <row r="2784">
          <cell r="C2784">
            <v>17953.417000000001</v>
          </cell>
          <cell r="D2784">
            <v>5.46</v>
          </cell>
        </row>
        <row r="2785">
          <cell r="C2785">
            <v>17969.28</v>
          </cell>
          <cell r="D2785">
            <v>5.2510000000000003</v>
          </cell>
        </row>
        <row r="2786">
          <cell r="C2786">
            <v>17985.509999999998</v>
          </cell>
          <cell r="D2786">
            <v>4.4480000000000004</v>
          </cell>
        </row>
        <row r="2787">
          <cell r="C2787">
            <v>17989.862000000001</v>
          </cell>
          <cell r="D2787">
            <v>4.2519999999999998</v>
          </cell>
        </row>
        <row r="2788">
          <cell r="C2788">
            <v>17994.188999999998</v>
          </cell>
          <cell r="D2788">
            <v>3.8860000000000001</v>
          </cell>
        </row>
        <row r="2789">
          <cell r="C2789">
            <v>17997.912</v>
          </cell>
          <cell r="D2789">
            <v>3.7149999999999999</v>
          </cell>
        </row>
        <row r="2790">
          <cell r="C2790">
            <v>18001.071</v>
          </cell>
          <cell r="D2790">
            <v>3.4769999999999999</v>
          </cell>
        </row>
        <row r="2791">
          <cell r="C2791">
            <v>18004.415000000001</v>
          </cell>
          <cell r="D2791">
            <v>3.359</v>
          </cell>
        </row>
        <row r="2792">
          <cell r="C2792">
            <v>18007.677</v>
          </cell>
          <cell r="D2792">
            <v>3.2160000000000002</v>
          </cell>
        </row>
        <row r="2793">
          <cell r="C2793">
            <v>18010.593000000001</v>
          </cell>
          <cell r="D2793">
            <v>3.2240000000000002</v>
          </cell>
        </row>
        <row r="2794">
          <cell r="C2794">
            <v>18013.009999999998</v>
          </cell>
          <cell r="D2794">
            <v>3.1960000000000002</v>
          </cell>
        </row>
        <row r="2795">
          <cell r="C2795">
            <v>18015.738000000001</v>
          </cell>
          <cell r="D2795">
            <v>3.2570000000000001</v>
          </cell>
        </row>
        <row r="2796">
          <cell r="C2796">
            <v>18018.398000000001</v>
          </cell>
          <cell r="D2796">
            <v>3.3919999999999999</v>
          </cell>
        </row>
        <row r="2797">
          <cell r="C2797">
            <v>18021.493999999999</v>
          </cell>
          <cell r="D2797">
            <v>3.5259999999999998</v>
          </cell>
        </row>
        <row r="2798">
          <cell r="C2798">
            <v>18023.416000000001</v>
          </cell>
          <cell r="D2798">
            <v>3.5819999999999999</v>
          </cell>
        </row>
        <row r="2799">
          <cell r="C2799">
            <v>18025.851999999999</v>
          </cell>
          <cell r="D2799">
            <v>3.7509999999999999</v>
          </cell>
        </row>
        <row r="2800">
          <cell r="C2800">
            <v>18029.881000000001</v>
          </cell>
          <cell r="D2800">
            <v>4.05</v>
          </cell>
        </row>
        <row r="2801">
          <cell r="C2801">
            <v>18033.287</v>
          </cell>
          <cell r="D2801">
            <v>4.3170000000000002</v>
          </cell>
        </row>
        <row r="2802">
          <cell r="C2802">
            <v>18044.308000000001</v>
          </cell>
          <cell r="D2802">
            <v>4.9640000000000004</v>
          </cell>
        </row>
        <row r="2803">
          <cell r="C2803">
            <v>18057.361000000001</v>
          </cell>
          <cell r="D2803">
            <v>5.4320000000000004</v>
          </cell>
        </row>
        <row r="2804">
          <cell r="C2804">
            <v>18084.530999999999</v>
          </cell>
          <cell r="D2804">
            <v>5.5</v>
          </cell>
        </row>
        <row r="2805">
          <cell r="C2805">
            <v>18098.917000000001</v>
          </cell>
          <cell r="D2805">
            <v>5.5220000000000002</v>
          </cell>
        </row>
        <row r="2806">
          <cell r="C2806">
            <v>18113.295999999998</v>
          </cell>
          <cell r="D2806">
            <v>5.508</v>
          </cell>
        </row>
        <row r="2807">
          <cell r="C2807">
            <v>18132.324000000001</v>
          </cell>
          <cell r="D2807">
            <v>5.5149999999999997</v>
          </cell>
        </row>
        <row r="2808">
          <cell r="C2808">
            <v>18151.607</v>
          </cell>
          <cell r="D2808">
            <v>5.5579999999999998</v>
          </cell>
        </row>
        <row r="2809">
          <cell r="C2809">
            <v>18167.363000000001</v>
          </cell>
          <cell r="D2809">
            <v>5.4930000000000003</v>
          </cell>
        </row>
        <row r="2810">
          <cell r="C2810">
            <v>18185.662</v>
          </cell>
          <cell r="D2810">
            <v>5.48</v>
          </cell>
        </row>
        <row r="2811">
          <cell r="C2811">
            <v>18209.710999999999</v>
          </cell>
          <cell r="D2811">
            <v>5.4829999999999997</v>
          </cell>
        </row>
        <row r="2812">
          <cell r="C2812">
            <v>18225.797999999999</v>
          </cell>
          <cell r="D2812">
            <v>5.4850000000000003</v>
          </cell>
        </row>
        <row r="2813">
          <cell r="C2813">
            <v>18240.887999999999</v>
          </cell>
          <cell r="D2813">
            <v>5.4210000000000003</v>
          </cell>
        </row>
        <row r="2814">
          <cell r="C2814">
            <v>18255.308000000001</v>
          </cell>
          <cell r="D2814">
            <v>5.4969999999999999</v>
          </cell>
        </row>
        <row r="2815">
          <cell r="C2815">
            <v>18290.784</v>
          </cell>
          <cell r="D2815">
            <v>5.5270000000000001</v>
          </cell>
        </row>
        <row r="2816">
          <cell r="C2816">
            <v>18328.008000000002</v>
          </cell>
          <cell r="D2816">
            <v>5.4880000000000004</v>
          </cell>
        </row>
        <row r="2817">
          <cell r="C2817">
            <v>18346.855</v>
          </cell>
          <cell r="D2817">
            <v>5.4630000000000001</v>
          </cell>
        </row>
        <row r="2818">
          <cell r="C2818">
            <v>18361.812000000002</v>
          </cell>
          <cell r="D2818">
            <v>5.452</v>
          </cell>
        </row>
        <row r="2819">
          <cell r="C2819">
            <v>18373.678</v>
          </cell>
          <cell r="D2819">
            <v>5.4610000000000003</v>
          </cell>
        </row>
        <row r="2820">
          <cell r="C2820">
            <v>18381.385999999999</v>
          </cell>
          <cell r="D2820">
            <v>5.492</v>
          </cell>
        </row>
        <row r="2821">
          <cell r="C2821">
            <v>18392.347000000002</v>
          </cell>
          <cell r="D2821">
            <v>5.6429999999999998</v>
          </cell>
        </row>
        <row r="2822">
          <cell r="C2822">
            <v>18397.489000000001</v>
          </cell>
          <cell r="D2822">
            <v>5.7450000000000001</v>
          </cell>
        </row>
        <row r="2823">
          <cell r="C2823">
            <v>18406.672999999999</v>
          </cell>
          <cell r="D2823">
            <v>5.774</v>
          </cell>
        </row>
        <row r="2824">
          <cell r="C2824">
            <v>18415.386999999999</v>
          </cell>
          <cell r="D2824">
            <v>5.8460000000000001</v>
          </cell>
        </row>
        <row r="2825">
          <cell r="C2825">
            <v>18422.537</v>
          </cell>
          <cell r="D2825">
            <v>5.9409999999999998</v>
          </cell>
        </row>
        <row r="2826">
          <cell r="C2826">
            <v>18430.879000000001</v>
          </cell>
          <cell r="D2826">
            <v>5.9130000000000003</v>
          </cell>
        </row>
        <row r="2827">
          <cell r="C2827">
            <v>18438.392</v>
          </cell>
          <cell r="D2827">
            <v>5.9669999999999996</v>
          </cell>
        </row>
        <row r="2828">
          <cell r="C2828">
            <v>18444.789000000001</v>
          </cell>
          <cell r="D2828">
            <v>5.9560000000000004</v>
          </cell>
        </row>
        <row r="2829">
          <cell r="C2829">
            <v>18448.677</v>
          </cell>
          <cell r="D2829">
            <v>5.976</v>
          </cell>
        </row>
        <row r="2830">
          <cell r="C2830">
            <v>18452.739000000001</v>
          </cell>
          <cell r="D2830">
            <v>5.9829999999999997</v>
          </cell>
        </row>
        <row r="2831">
          <cell r="C2831">
            <v>18455.573</v>
          </cell>
          <cell r="D2831">
            <v>6.0140000000000002</v>
          </cell>
        </row>
        <row r="2832">
          <cell r="C2832">
            <v>18458.79</v>
          </cell>
          <cell r="D2832">
            <v>6.0350000000000001</v>
          </cell>
        </row>
        <row r="2833">
          <cell r="C2833">
            <v>18462.32</v>
          </cell>
          <cell r="D2833">
            <v>5.9189999999999996</v>
          </cell>
        </row>
        <row r="2834">
          <cell r="C2834">
            <v>18465.887999999999</v>
          </cell>
          <cell r="D2834">
            <v>5.907</v>
          </cell>
        </row>
        <row r="2835">
          <cell r="C2835">
            <v>18468.86</v>
          </cell>
          <cell r="D2835">
            <v>5.9240000000000004</v>
          </cell>
        </row>
        <row r="2836">
          <cell r="C2836">
            <v>18471.485000000001</v>
          </cell>
          <cell r="D2836">
            <v>5.8780000000000001</v>
          </cell>
        </row>
        <row r="2837">
          <cell r="C2837">
            <v>18475.807000000001</v>
          </cell>
          <cell r="D2837">
            <v>5.8570000000000002</v>
          </cell>
        </row>
        <row r="2838">
          <cell r="C2838">
            <v>18481.491000000002</v>
          </cell>
          <cell r="D2838">
            <v>5.8289999999999997</v>
          </cell>
        </row>
        <row r="2839">
          <cell r="C2839">
            <v>18484.609</v>
          </cell>
          <cell r="D2839">
            <v>5.7969999999999997</v>
          </cell>
        </row>
        <row r="2840">
          <cell r="C2840">
            <v>18489.074000000001</v>
          </cell>
          <cell r="D2840">
            <v>5.76</v>
          </cell>
        </row>
        <row r="2841">
          <cell r="C2841">
            <v>18494.481</v>
          </cell>
          <cell r="D2841">
            <v>5.7279999999999998</v>
          </cell>
        </row>
        <row r="2842">
          <cell r="C2842">
            <v>18499.798999999999</v>
          </cell>
          <cell r="D2842">
            <v>5.6139999999999999</v>
          </cell>
        </row>
        <row r="2843">
          <cell r="C2843">
            <v>18505.059000000001</v>
          </cell>
          <cell r="D2843">
            <v>5.5430000000000001</v>
          </cell>
        </row>
        <row r="2844">
          <cell r="C2844">
            <v>18510.990000000002</v>
          </cell>
          <cell r="D2844">
            <v>5.4329999999999998</v>
          </cell>
        </row>
        <row r="2845">
          <cell r="C2845">
            <v>18518.582999999999</v>
          </cell>
          <cell r="D2845">
            <v>5.4059999999999997</v>
          </cell>
        </row>
        <row r="2846">
          <cell r="C2846">
            <v>18521.657999999999</v>
          </cell>
          <cell r="D2846">
            <v>5.4189999999999996</v>
          </cell>
        </row>
        <row r="2847">
          <cell r="C2847">
            <v>18526.151000000002</v>
          </cell>
          <cell r="D2847">
            <v>5.4640000000000004</v>
          </cell>
        </row>
        <row r="2848">
          <cell r="C2848">
            <v>18554.208999999999</v>
          </cell>
          <cell r="D2848">
            <v>5.4480000000000004</v>
          </cell>
        </row>
        <row r="2849">
          <cell r="C2849">
            <v>18572.025000000001</v>
          </cell>
          <cell r="D2849">
            <v>5.452</v>
          </cell>
        </row>
        <row r="2850">
          <cell r="C2850">
            <v>18591.409</v>
          </cell>
          <cell r="D2850">
            <v>5.6429999999999998</v>
          </cell>
        </row>
        <row r="2851">
          <cell r="C2851">
            <v>18600.507000000001</v>
          </cell>
          <cell r="D2851">
            <v>5.681</v>
          </cell>
        </row>
        <row r="2852">
          <cell r="C2852">
            <v>18607.417000000001</v>
          </cell>
          <cell r="D2852">
            <v>5.6890000000000001</v>
          </cell>
        </row>
        <row r="2853">
          <cell r="C2853">
            <v>18674.330000000002</v>
          </cell>
          <cell r="D2853">
            <v>5.76</v>
          </cell>
        </row>
        <row r="2854">
          <cell r="C2854">
            <v>18717.767</v>
          </cell>
          <cell r="D2854">
            <v>5.8250000000000002</v>
          </cell>
        </row>
        <row r="2855">
          <cell r="C2855">
            <v>18744.845000000001</v>
          </cell>
          <cell r="D2855">
            <v>5.7430000000000003</v>
          </cell>
        </row>
        <row r="2856">
          <cell r="C2856">
            <v>18768.679</v>
          </cell>
          <cell r="D2856">
            <v>5.7889999999999997</v>
          </cell>
        </row>
        <row r="2857">
          <cell r="C2857">
            <v>18786.098999999998</v>
          </cell>
          <cell r="D2857">
            <v>5.8319999999999999</v>
          </cell>
        </row>
        <row r="2858">
          <cell r="C2858">
            <v>18803.883000000002</v>
          </cell>
          <cell r="D2858">
            <v>5.7489999999999997</v>
          </cell>
        </row>
        <row r="2859">
          <cell r="C2859">
            <v>18812.223000000002</v>
          </cell>
          <cell r="D2859">
            <v>5.6520000000000001</v>
          </cell>
        </row>
        <row r="2860">
          <cell r="C2860">
            <v>18815.555</v>
          </cell>
          <cell r="D2860">
            <v>5.5339999999999998</v>
          </cell>
        </row>
        <row r="2861">
          <cell r="C2861">
            <v>18823.306</v>
          </cell>
          <cell r="D2861">
            <v>5.3339999999999996</v>
          </cell>
        </row>
        <row r="2862">
          <cell r="C2862">
            <v>18833.163</v>
          </cell>
          <cell r="D2862">
            <v>5.1849999999999996</v>
          </cell>
        </row>
        <row r="2863">
          <cell r="C2863">
            <v>18840.791000000001</v>
          </cell>
          <cell r="D2863">
            <v>5.2290000000000001</v>
          </cell>
        </row>
        <row r="2864">
          <cell r="C2864">
            <v>18845.811000000002</v>
          </cell>
          <cell r="D2864">
            <v>5.13</v>
          </cell>
        </row>
        <row r="2865">
          <cell r="C2865">
            <v>18851.874</v>
          </cell>
          <cell r="D2865">
            <v>5.0209999999999999</v>
          </cell>
        </row>
        <row r="2866">
          <cell r="C2866">
            <v>18856.536</v>
          </cell>
          <cell r="D2866">
            <v>5.0750000000000002</v>
          </cell>
        </row>
        <row r="2867">
          <cell r="C2867">
            <v>18861.767</v>
          </cell>
          <cell r="D2867">
            <v>5.1260000000000003</v>
          </cell>
        </row>
        <row r="2868">
          <cell r="C2868">
            <v>18865.371999999999</v>
          </cell>
          <cell r="D2868">
            <v>5.202</v>
          </cell>
        </row>
        <row r="2869">
          <cell r="C2869">
            <v>18870.255000000001</v>
          </cell>
          <cell r="D2869">
            <v>5.2830000000000004</v>
          </cell>
        </row>
        <row r="2870">
          <cell r="C2870">
            <v>18877.526999999998</v>
          </cell>
          <cell r="D2870">
            <v>5.4589999999999996</v>
          </cell>
        </row>
        <row r="2871">
          <cell r="C2871">
            <v>18884.763999999999</v>
          </cell>
          <cell r="D2871">
            <v>5.774</v>
          </cell>
        </row>
        <row r="2872">
          <cell r="C2872">
            <v>18898.815999999999</v>
          </cell>
          <cell r="D2872">
            <v>6.7389999999999999</v>
          </cell>
        </row>
        <row r="2873">
          <cell r="C2873">
            <v>18914.138999999999</v>
          </cell>
          <cell r="D2873">
            <v>8.3979999999999997</v>
          </cell>
        </row>
        <row r="2874">
          <cell r="C2874">
            <v>18939.37</v>
          </cell>
          <cell r="D2874">
            <v>13.476000000000001</v>
          </cell>
        </row>
        <row r="2875">
          <cell r="C2875">
            <v>18956.879000000001</v>
          </cell>
          <cell r="D2875">
            <v>19.122</v>
          </cell>
        </row>
        <row r="2876">
          <cell r="C2876">
            <v>18971.842000000001</v>
          </cell>
          <cell r="D2876">
            <v>25.151</v>
          </cell>
        </row>
        <row r="2877">
          <cell r="C2877">
            <v>18984.781999999999</v>
          </cell>
          <cell r="D2877">
            <v>31.335000000000001</v>
          </cell>
        </row>
        <row r="2878">
          <cell r="C2878">
            <v>18991.348000000002</v>
          </cell>
          <cell r="D2878">
            <v>34.991</v>
          </cell>
        </row>
        <row r="2879">
          <cell r="C2879">
            <v>18994.999</v>
          </cell>
          <cell r="D2879">
            <v>37.18</v>
          </cell>
        </row>
        <row r="2880">
          <cell r="C2880">
            <v>18999.984</v>
          </cell>
          <cell r="D2880">
            <v>40.241</v>
          </cell>
        </row>
        <row r="2881">
          <cell r="C2881">
            <v>19001.848000000002</v>
          </cell>
          <cell r="D2881">
            <v>41.383000000000003</v>
          </cell>
        </row>
        <row r="2882">
          <cell r="C2882">
            <v>19003.933000000001</v>
          </cell>
          <cell r="D2882">
            <v>42.426000000000002</v>
          </cell>
        </row>
        <row r="2883">
          <cell r="C2883">
            <v>19005.62</v>
          </cell>
          <cell r="D2883">
            <v>43.256</v>
          </cell>
        </row>
        <row r="2884">
          <cell r="C2884">
            <v>19007.117999999999</v>
          </cell>
          <cell r="D2884">
            <v>43.936999999999998</v>
          </cell>
        </row>
        <row r="2885">
          <cell r="C2885">
            <v>19008.987000000001</v>
          </cell>
          <cell r="D2885">
            <v>44.573</v>
          </cell>
        </row>
        <row r="2886">
          <cell r="C2886">
            <v>19010.685000000001</v>
          </cell>
          <cell r="D2886">
            <v>45.119</v>
          </cell>
        </row>
        <row r="2887">
          <cell r="C2887">
            <v>19012.822</v>
          </cell>
          <cell r="D2887">
            <v>45.784999999999997</v>
          </cell>
        </row>
        <row r="2888">
          <cell r="C2888">
            <v>19015.350999999999</v>
          </cell>
          <cell r="D2888">
            <v>46.405999999999999</v>
          </cell>
        </row>
        <row r="2889">
          <cell r="C2889">
            <v>19018.223999999998</v>
          </cell>
          <cell r="D2889">
            <v>47.106000000000002</v>
          </cell>
        </row>
        <row r="2890">
          <cell r="C2890">
            <v>19020.698</v>
          </cell>
          <cell r="D2890">
            <v>47.533999999999999</v>
          </cell>
        </row>
        <row r="2891">
          <cell r="C2891">
            <v>19023.678</v>
          </cell>
          <cell r="D2891">
            <v>47.84</v>
          </cell>
        </row>
        <row r="2892">
          <cell r="C2892">
            <v>19026.392</v>
          </cell>
          <cell r="D2892">
            <v>47.970999999999997</v>
          </cell>
        </row>
        <row r="2893">
          <cell r="C2893">
            <v>19029.577000000001</v>
          </cell>
          <cell r="D2893">
            <v>48.034999999999997</v>
          </cell>
        </row>
        <row r="2894">
          <cell r="C2894">
            <v>19031.925999999999</v>
          </cell>
          <cell r="D2894">
            <v>47.872999999999998</v>
          </cell>
        </row>
        <row r="2895">
          <cell r="C2895">
            <v>19034.054</v>
          </cell>
          <cell r="D2895">
            <v>47.628999999999998</v>
          </cell>
        </row>
        <row r="2896">
          <cell r="C2896">
            <v>19036.816999999999</v>
          </cell>
          <cell r="D2896">
            <v>47.216999999999999</v>
          </cell>
        </row>
        <row r="2897">
          <cell r="C2897">
            <v>19039.098000000002</v>
          </cell>
          <cell r="D2897">
            <v>46.715000000000003</v>
          </cell>
        </row>
        <row r="2898">
          <cell r="C2898">
            <v>19041.931</v>
          </cell>
          <cell r="D2898">
            <v>45.78</v>
          </cell>
        </row>
        <row r="2899">
          <cell r="C2899">
            <v>19046.125</v>
          </cell>
          <cell r="D2899">
            <v>44.344999999999999</v>
          </cell>
        </row>
        <row r="2900">
          <cell r="C2900">
            <v>19050.861000000001</v>
          </cell>
          <cell r="D2900">
            <v>42.427999999999997</v>
          </cell>
        </row>
        <row r="2901">
          <cell r="C2901">
            <v>19053.523000000001</v>
          </cell>
          <cell r="D2901">
            <v>41.122</v>
          </cell>
        </row>
        <row r="2902">
          <cell r="C2902">
            <v>19057.654999999999</v>
          </cell>
          <cell r="D2902">
            <v>38.707000000000001</v>
          </cell>
        </row>
        <row r="2903">
          <cell r="C2903">
            <v>19062.254000000001</v>
          </cell>
          <cell r="D2903">
            <v>35.871000000000002</v>
          </cell>
        </row>
        <row r="2904">
          <cell r="C2904">
            <v>19065.657999999999</v>
          </cell>
          <cell r="D2904">
            <v>33.582999999999998</v>
          </cell>
        </row>
        <row r="2905">
          <cell r="C2905">
            <v>19068.806</v>
          </cell>
          <cell r="D2905">
            <v>31.413</v>
          </cell>
        </row>
        <row r="2906">
          <cell r="C2906">
            <v>19078.556</v>
          </cell>
          <cell r="D2906">
            <v>25.402000000000001</v>
          </cell>
        </row>
        <row r="2907">
          <cell r="C2907">
            <v>19088.023000000001</v>
          </cell>
          <cell r="D2907">
            <v>20.899000000000001</v>
          </cell>
        </row>
        <row r="2908">
          <cell r="C2908">
            <v>19098.351999999999</v>
          </cell>
          <cell r="D2908">
            <v>17.033000000000001</v>
          </cell>
        </row>
        <row r="2909">
          <cell r="C2909">
            <v>19112.812000000002</v>
          </cell>
          <cell r="D2909">
            <v>12.701000000000001</v>
          </cell>
        </row>
        <row r="2910">
          <cell r="C2910">
            <v>19138.393</v>
          </cell>
          <cell r="D2910">
            <v>7.5330000000000004</v>
          </cell>
        </row>
        <row r="2911">
          <cell r="C2911">
            <v>19153.626</v>
          </cell>
          <cell r="D2911">
            <v>6.1130000000000004</v>
          </cell>
        </row>
        <row r="2912">
          <cell r="C2912">
            <v>19170.348999999998</v>
          </cell>
          <cell r="D2912">
            <v>5.6639999999999997</v>
          </cell>
        </row>
        <row r="2913">
          <cell r="C2913">
            <v>19181.598999999998</v>
          </cell>
          <cell r="D2913">
            <v>5.9870000000000001</v>
          </cell>
        </row>
        <row r="2914">
          <cell r="C2914">
            <v>19186.231</v>
          </cell>
          <cell r="D2914">
            <v>6.1829999999999998</v>
          </cell>
        </row>
        <row r="2915">
          <cell r="C2915">
            <v>19189.678</v>
          </cell>
          <cell r="D2915">
            <v>6.2430000000000003</v>
          </cell>
        </row>
        <row r="2916">
          <cell r="C2916">
            <v>19194.403999999999</v>
          </cell>
          <cell r="D2916">
            <v>6.2279999999999998</v>
          </cell>
        </row>
        <row r="2917">
          <cell r="C2917">
            <v>19201.985000000001</v>
          </cell>
          <cell r="D2917">
            <v>6.335</v>
          </cell>
        </row>
        <row r="2918">
          <cell r="C2918">
            <v>19206.183000000001</v>
          </cell>
          <cell r="D2918">
            <v>6.3659999999999997</v>
          </cell>
        </row>
        <row r="2919">
          <cell r="C2919">
            <v>19211.113000000001</v>
          </cell>
          <cell r="D2919">
            <v>6.3710000000000004</v>
          </cell>
        </row>
        <row r="2920">
          <cell r="C2920">
            <v>19214.46</v>
          </cell>
          <cell r="D2920">
            <v>6.35</v>
          </cell>
        </row>
        <row r="2921">
          <cell r="C2921">
            <v>19218.945</v>
          </cell>
          <cell r="D2921">
            <v>6.1879999999999997</v>
          </cell>
        </row>
        <row r="2922">
          <cell r="C2922">
            <v>19223.987000000001</v>
          </cell>
          <cell r="D2922">
            <v>6.11</v>
          </cell>
        </row>
        <row r="2923">
          <cell r="C2923">
            <v>19228.246999999999</v>
          </cell>
          <cell r="D2923">
            <v>6.01</v>
          </cell>
        </row>
        <row r="2924">
          <cell r="C2924">
            <v>19233.744999999999</v>
          </cell>
          <cell r="D2924">
            <v>5.7460000000000004</v>
          </cell>
        </row>
        <row r="2925">
          <cell r="C2925">
            <v>19245.417000000001</v>
          </cell>
          <cell r="D2925">
            <v>5.4359999999999999</v>
          </cell>
        </row>
        <row r="2926">
          <cell r="C2926">
            <v>19255.996999999999</v>
          </cell>
          <cell r="D2926">
            <v>5.2430000000000003</v>
          </cell>
        </row>
        <row r="2927">
          <cell r="C2927">
            <v>19261.245999999999</v>
          </cell>
          <cell r="D2927">
            <v>5.2560000000000002</v>
          </cell>
        </row>
        <row r="2928">
          <cell r="C2928">
            <v>19270.094000000001</v>
          </cell>
          <cell r="D2928">
            <v>5.3369999999999997</v>
          </cell>
        </row>
        <row r="2929">
          <cell r="C2929">
            <v>19281.951000000001</v>
          </cell>
          <cell r="D2929">
            <v>5.4379999999999997</v>
          </cell>
        </row>
        <row r="2930">
          <cell r="C2930">
            <v>19300.888999999999</v>
          </cell>
          <cell r="D2930">
            <v>5.3609999999999998</v>
          </cell>
        </row>
        <row r="2931">
          <cell r="C2931">
            <v>19319.796999999999</v>
          </cell>
          <cell r="D2931">
            <v>5.4109999999999996</v>
          </cell>
        </row>
        <row r="2932">
          <cell r="C2932">
            <v>19340.166000000001</v>
          </cell>
          <cell r="D2932">
            <v>5.4429999999999996</v>
          </cell>
        </row>
        <row r="2933">
          <cell r="C2933">
            <v>19367.942999999999</v>
          </cell>
          <cell r="D2933">
            <v>5.4210000000000003</v>
          </cell>
        </row>
        <row r="2934">
          <cell r="C2934">
            <v>19377.830999999998</v>
          </cell>
          <cell r="D2934">
            <v>5.4779999999999998</v>
          </cell>
        </row>
        <row r="2935">
          <cell r="C2935">
            <v>19396.723000000002</v>
          </cell>
          <cell r="D2935">
            <v>5.3979999999999997</v>
          </cell>
        </row>
        <row r="2936">
          <cell r="C2936">
            <v>19415.221000000001</v>
          </cell>
          <cell r="D2936">
            <v>5.3959999999999999</v>
          </cell>
        </row>
        <row r="2937">
          <cell r="C2937">
            <v>19435.422999999999</v>
          </cell>
          <cell r="D2937">
            <v>5.3869999999999996</v>
          </cell>
        </row>
        <row r="2938">
          <cell r="C2938">
            <v>19459.846000000001</v>
          </cell>
          <cell r="D2938">
            <v>5.3719999999999999</v>
          </cell>
        </row>
        <row r="2939">
          <cell r="C2939">
            <v>19477.767</v>
          </cell>
          <cell r="D2939">
            <v>5.399</v>
          </cell>
        </row>
        <row r="2940">
          <cell r="C2940">
            <v>19489.569</v>
          </cell>
          <cell r="D2940">
            <v>5.3970000000000002</v>
          </cell>
        </row>
        <row r="2941">
          <cell r="C2941">
            <v>19504.306</v>
          </cell>
          <cell r="D2941">
            <v>5.4420000000000002</v>
          </cell>
        </row>
        <row r="2942">
          <cell r="C2942">
            <v>19535</v>
          </cell>
          <cell r="D2942">
            <v>5.415</v>
          </cell>
        </row>
      </sheetData>
      <sheetData sheetId="1"/>
      <sheetData sheetId="2"/>
      <sheetData sheetId="3"/>
      <sheetData sheetId="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Design"/>
      <sheetName val="Design (3)"/>
      <sheetName val="Resumen"/>
      <sheetName val="AREAS"/>
      <sheetName val="AREAS (2)"/>
      <sheetName val="Base de Diseño"/>
      <sheetName val="Design_(3)"/>
      <sheetName val="AREAS_(2)"/>
      <sheetName val="Base_de_Diseño"/>
      <sheetName val="Design_(3)2"/>
      <sheetName val="AREAS_(2)2"/>
      <sheetName val="Base_de_Diseño2"/>
      <sheetName val="Design_(3)1"/>
      <sheetName val="AREAS_(2)1"/>
      <sheetName val="Base_de_Diseño1"/>
      <sheetName val="ENE"/>
      <sheetName val="FEB"/>
      <sheetName val="MAR"/>
    </sheetNames>
    <sheetDataSet>
      <sheetData sheetId="0" refreshError="1"/>
      <sheetData sheetId="1" refreshError="1"/>
      <sheetData sheetId="2" refreshError="1">
        <row r="24">
          <cell r="A24">
            <v>41</v>
          </cell>
          <cell r="B24" t="str">
            <v>C23</v>
          </cell>
          <cell r="C24" t="str">
            <v>C24</v>
          </cell>
          <cell r="G24" t="str">
            <v/>
          </cell>
          <cell r="J24" t="str">
            <v/>
          </cell>
          <cell r="K24" t="str">
            <v/>
          </cell>
          <cell r="L24" t="str">
            <v/>
          </cell>
          <cell r="M24" t="str">
            <v/>
          </cell>
          <cell r="N24" t="str">
            <v/>
          </cell>
          <cell r="O24" t="str">
            <v/>
          </cell>
          <cell r="P24" t="str">
            <v/>
          </cell>
          <cell r="Q24">
            <v>0.14000000000000001</v>
          </cell>
          <cell r="S24">
            <v>0.14000000000000001</v>
          </cell>
          <cell r="T24">
            <v>98</v>
          </cell>
          <cell r="U24">
            <v>55</v>
          </cell>
          <cell r="V24">
            <v>0.68799999999999994</v>
          </cell>
          <cell r="X24" t="str">
            <v/>
          </cell>
          <cell r="Y24" t="str">
            <v/>
          </cell>
          <cell r="AA24" t="str">
            <v/>
          </cell>
          <cell r="AB24" t="str">
            <v/>
          </cell>
          <cell r="AC24">
            <v>0.58479999999999999</v>
          </cell>
          <cell r="AD24">
            <v>8.1872E-2</v>
          </cell>
          <cell r="AE24">
            <v>0.36391863839017491</v>
          </cell>
          <cell r="AF24">
            <v>0.39191863839017493</v>
          </cell>
          <cell r="AG24">
            <v>0.40591863839017495</v>
          </cell>
          <cell r="AH24">
            <v>1.5</v>
          </cell>
          <cell r="AI24">
            <v>34.4</v>
          </cell>
          <cell r="AJ24">
            <v>2.73</v>
          </cell>
          <cell r="AK24">
            <v>8</v>
          </cell>
          <cell r="AL24">
            <v>0.2</v>
          </cell>
          <cell r="AM24">
            <v>1.4E-2</v>
          </cell>
          <cell r="AN24">
            <v>2.6416015625000004E-2</v>
          </cell>
          <cell r="AO24">
            <v>3.125E-2</v>
          </cell>
          <cell r="AP24">
            <v>0.132080078125</v>
          </cell>
          <cell r="AQ24">
            <v>0.61072897398997683</v>
          </cell>
          <cell r="AR24">
            <v>1.4466834904916968</v>
          </cell>
          <cell r="AS24">
            <v>0.28711075111550549</v>
          </cell>
          <cell r="AT24">
            <v>1.901069723093016E-2</v>
          </cell>
          <cell r="AU24">
            <v>4.5426712855930168E-2</v>
          </cell>
          <cell r="AV24">
            <v>1.6044969145610353</v>
          </cell>
          <cell r="AW24">
            <v>50.406757194924396</v>
          </cell>
          <cell r="AX24">
            <v>2.9757915078715665E-2</v>
          </cell>
          <cell r="AY24">
            <v>63.606269545937934</v>
          </cell>
          <cell r="AZ24" t="b">
            <v>0</v>
          </cell>
          <cell r="BA24" t="str">
            <v/>
          </cell>
          <cell r="BB24">
            <v>1E-3</v>
          </cell>
          <cell r="BC24">
            <v>0</v>
          </cell>
          <cell r="BD24">
            <v>0</v>
          </cell>
          <cell r="BE24">
            <v>1E-3</v>
          </cell>
          <cell r="BF24" t="str">
            <v/>
          </cell>
          <cell r="BG24">
            <v>2.6748963180841235E-2</v>
          </cell>
          <cell r="BH24">
            <v>5.9999999999999991</v>
          </cell>
          <cell r="BI24">
            <v>1.2</v>
          </cell>
          <cell r="BJ24">
            <v>2.3094556883468089E-2</v>
          </cell>
          <cell r="BK24">
            <v>5.4344556883468093E-2</v>
          </cell>
          <cell r="BL24">
            <v>7.4482604539801915E-6</v>
          </cell>
          <cell r="BM24">
            <v>6.5222406172706485E-2</v>
          </cell>
          <cell r="BN24">
            <v>0</v>
          </cell>
          <cell r="BO24">
            <v>701.46299999999997</v>
          </cell>
          <cell r="BP24">
            <v>700.52299999999991</v>
          </cell>
          <cell r="BQ24">
            <v>701.66300000000001</v>
          </cell>
          <cell r="BR24">
            <v>700.72299999999996</v>
          </cell>
          <cell r="BS24">
            <v>702.86300000000006</v>
          </cell>
          <cell r="BT24">
            <v>701.923</v>
          </cell>
          <cell r="BU24" t="b">
            <v>0</v>
          </cell>
          <cell r="BV24">
            <v>1.2000000000000455</v>
          </cell>
          <cell r="BW24">
            <v>1.2000000000000455</v>
          </cell>
          <cell r="BX24">
            <v>1.4000000000000454</v>
          </cell>
          <cell r="BY24">
            <v>200</v>
          </cell>
          <cell r="BZ24">
            <v>0.65</v>
          </cell>
          <cell r="CA24">
            <v>0.25</v>
          </cell>
          <cell r="CB24">
            <v>1.2000000000000455</v>
          </cell>
          <cell r="CC24">
            <v>1.517237881576035</v>
          </cell>
          <cell r="CD24">
            <v>1346.1693104283372</v>
          </cell>
          <cell r="CE24">
            <v>7.2123844739336085E-2</v>
          </cell>
          <cell r="CF24">
            <v>595.02171909952267</v>
          </cell>
          <cell r="CG24">
            <v>1941.1910295278599</v>
          </cell>
          <cell r="CH24">
            <v>1.5</v>
          </cell>
          <cell r="CI24">
            <v>2243</v>
          </cell>
          <cell r="CJ24">
            <v>1.2981660919713731</v>
          </cell>
          <cell r="CK24">
            <v>1.5</v>
          </cell>
          <cell r="CL24">
            <v>1</v>
          </cell>
          <cell r="CM24">
            <v>2</v>
          </cell>
        </row>
        <row r="25">
          <cell r="A25">
            <v>42</v>
          </cell>
          <cell r="B25" t="str">
            <v>C24</v>
          </cell>
          <cell r="C25" t="str">
            <v>C25</v>
          </cell>
          <cell r="F25">
            <v>0</v>
          </cell>
          <cell r="G25" t="str">
            <v/>
          </cell>
          <cell r="J25" t="str">
            <v/>
          </cell>
          <cell r="K25" t="str">
            <v/>
          </cell>
          <cell r="L25" t="str">
            <v/>
          </cell>
          <cell r="M25" t="str">
            <v/>
          </cell>
          <cell r="N25" t="str">
            <v/>
          </cell>
          <cell r="O25" t="str">
            <v/>
          </cell>
          <cell r="P25" t="str">
            <v/>
          </cell>
          <cell r="Q25">
            <v>0.06</v>
          </cell>
          <cell r="R25">
            <v>2.29</v>
          </cell>
          <cell r="S25">
            <v>2.4900000000000002</v>
          </cell>
          <cell r="T25">
            <v>98</v>
          </cell>
          <cell r="U25">
            <v>976</v>
          </cell>
          <cell r="V25">
            <v>0.68799999999999994</v>
          </cell>
          <cell r="X25">
            <v>0</v>
          </cell>
          <cell r="Y25" t="str">
            <v/>
          </cell>
          <cell r="AA25">
            <v>0</v>
          </cell>
          <cell r="AB25" t="str">
            <v/>
          </cell>
          <cell r="AC25">
            <v>0.58479999999999999</v>
          </cell>
          <cell r="AD25">
            <v>1.4561519999999999</v>
          </cell>
          <cell r="AE25">
            <v>5.2413768138950738</v>
          </cell>
          <cell r="AF25">
            <v>5.739376813895074</v>
          </cell>
          <cell r="AG25">
            <v>5.9883768138950737</v>
          </cell>
          <cell r="AH25">
            <v>5.9883768138950737</v>
          </cell>
          <cell r="AI25">
            <v>21.41</v>
          </cell>
          <cell r="AJ25">
            <v>12.42</v>
          </cell>
          <cell r="AK25">
            <v>8</v>
          </cell>
          <cell r="AL25">
            <v>0.2</v>
          </cell>
          <cell r="AM25">
            <v>1.4E-2</v>
          </cell>
          <cell r="AN25">
            <v>3.604583740234376E-2</v>
          </cell>
          <cell r="AO25">
            <v>6.5625000000000003E-2</v>
          </cell>
          <cell r="AP25">
            <v>0.18022918701171878</v>
          </cell>
          <cell r="AQ25">
            <v>1.5544337415645531</v>
          </cell>
          <cell r="AR25">
            <v>3.1326009684718326</v>
          </cell>
          <cell r="AS25">
            <v>1.6910176312454894</v>
          </cell>
          <cell r="AT25">
            <v>0.12315312216688967</v>
          </cell>
          <cell r="AU25">
            <v>0.15919895956923344</v>
          </cell>
          <cell r="AV25">
            <v>3.4223022332959703</v>
          </cell>
          <cell r="AW25">
            <v>107.51479554486565</v>
          </cell>
          <cell r="AX25">
            <v>5.569816492276302E-2</v>
          </cell>
          <cell r="AY25">
            <v>110.01375000885056</v>
          </cell>
          <cell r="AZ25" t="str">
            <v>46°24'27''</v>
          </cell>
          <cell r="BA25">
            <v>6.9982626934023706</v>
          </cell>
          <cell r="BB25">
            <v>0.114</v>
          </cell>
          <cell r="BC25">
            <v>0.01</v>
          </cell>
          <cell r="BD25">
            <v>2.4E-2</v>
          </cell>
          <cell r="BE25">
            <v>0.14799999999999999</v>
          </cell>
          <cell r="BF25">
            <v>0.14799999999999999</v>
          </cell>
          <cell r="BG25" t="str">
            <v/>
          </cell>
          <cell r="BH25" t="str">
            <v/>
          </cell>
          <cell r="BI25" t="str">
            <v/>
          </cell>
          <cell r="BJ25" t="str">
            <v/>
          </cell>
          <cell r="BK25" t="str">
            <v/>
          </cell>
          <cell r="BL25" t="str">
            <v/>
          </cell>
          <cell r="BM25" t="str">
            <v/>
          </cell>
          <cell r="BN25">
            <v>0.15</v>
          </cell>
          <cell r="BO25">
            <v>700.43299999999988</v>
          </cell>
          <cell r="BP25">
            <v>697.77299999999991</v>
          </cell>
          <cell r="BQ25">
            <v>700.63299999999992</v>
          </cell>
          <cell r="BR25">
            <v>697.97299999999996</v>
          </cell>
          <cell r="BS25">
            <v>701.923</v>
          </cell>
          <cell r="BT25">
            <v>699.173</v>
          </cell>
          <cell r="BU25" t="str">
            <v/>
          </cell>
          <cell r="BV25">
            <v>1.2900000000000773</v>
          </cell>
          <cell r="BW25">
            <v>1.2000000000000455</v>
          </cell>
          <cell r="BX25">
            <v>1.4900000000000773</v>
          </cell>
          <cell r="BY25">
            <v>200</v>
          </cell>
          <cell r="BZ25">
            <v>0.65</v>
          </cell>
          <cell r="CA25">
            <v>0.25</v>
          </cell>
          <cell r="CB25">
            <v>1.2450000000000614</v>
          </cell>
          <cell r="CC25">
            <v>1.5630104899036985</v>
          </cell>
          <cell r="CD25">
            <v>1386.7810571670566</v>
          </cell>
          <cell r="CE25">
            <v>6.7611691465736201E-2</v>
          </cell>
          <cell r="CF25">
            <v>557.7964545923237</v>
          </cell>
          <cell r="CG25">
            <v>1944.5775117593803</v>
          </cell>
          <cell r="CH25">
            <v>1.5</v>
          </cell>
          <cell r="CI25">
            <v>2243</v>
          </cell>
          <cell r="CJ25">
            <v>1.3004307925274501</v>
          </cell>
          <cell r="CK25">
            <v>1.5</v>
          </cell>
          <cell r="CL25">
            <v>1</v>
          </cell>
          <cell r="CM25">
            <v>2</v>
          </cell>
        </row>
        <row r="26">
          <cell r="A26">
            <v>43</v>
          </cell>
          <cell r="B26" t="str">
            <v>C25</v>
          </cell>
          <cell r="C26" t="str">
            <v>C26</v>
          </cell>
          <cell r="F26">
            <v>0</v>
          </cell>
          <cell r="G26" t="str">
            <v/>
          </cell>
          <cell r="J26" t="str">
            <v/>
          </cell>
          <cell r="K26" t="str">
            <v/>
          </cell>
          <cell r="L26" t="str">
            <v/>
          </cell>
          <cell r="M26" t="str">
            <v/>
          </cell>
          <cell r="N26" t="str">
            <v/>
          </cell>
          <cell r="O26" t="str">
            <v/>
          </cell>
          <cell r="P26" t="str">
            <v/>
          </cell>
          <cell r="S26">
            <v>2.4900000000000002</v>
          </cell>
          <cell r="T26">
            <v>98</v>
          </cell>
          <cell r="U26">
            <v>976</v>
          </cell>
          <cell r="V26">
            <v>0.68799999999999994</v>
          </cell>
          <cell r="X26">
            <v>0</v>
          </cell>
          <cell r="Y26" t="str">
            <v/>
          </cell>
          <cell r="AA26">
            <v>0</v>
          </cell>
          <cell r="AB26" t="str">
            <v/>
          </cell>
          <cell r="AC26">
            <v>0.58479999999999999</v>
          </cell>
          <cell r="AD26">
            <v>1.4561519999999999</v>
          </cell>
          <cell r="AE26">
            <v>5.2413768138950738</v>
          </cell>
          <cell r="AF26">
            <v>5.739376813895074</v>
          </cell>
          <cell r="AG26">
            <v>5.9883768138950737</v>
          </cell>
          <cell r="AH26">
            <v>5.9883768138950737</v>
          </cell>
          <cell r="AI26">
            <v>35.950000000000003</v>
          </cell>
          <cell r="AJ26">
            <v>15.24</v>
          </cell>
          <cell r="AK26">
            <v>8</v>
          </cell>
          <cell r="AL26">
            <v>0.2</v>
          </cell>
          <cell r="AM26">
            <v>1.4E-2</v>
          </cell>
          <cell r="AN26">
            <v>3.4239578247070315E-2</v>
          </cell>
          <cell r="AO26">
            <v>6.5625000000000003E-2</v>
          </cell>
          <cell r="AP26">
            <v>0.17119789123535156</v>
          </cell>
          <cell r="AQ26">
            <v>1.6739046051147981</v>
          </cell>
          <cell r="AR26">
            <v>3.465378469014496</v>
          </cell>
          <cell r="AS26">
            <v>1.9916482940709745</v>
          </cell>
          <cell r="AT26">
            <v>0.14281124500634698</v>
          </cell>
          <cell r="AU26">
            <v>0.17705082325341731</v>
          </cell>
          <cell r="AV26">
            <v>3.7909673693793788</v>
          </cell>
          <cell r="AW26">
            <v>119.09675237640882</v>
          </cell>
          <cell r="AX26">
            <v>5.0281613011315632E-2</v>
          </cell>
          <cell r="AY26">
            <v>124.83245362014297</v>
          </cell>
          <cell r="AZ26" t="str">
            <v>14°49'07''</v>
          </cell>
          <cell r="BA26">
            <v>23.069239201803441</v>
          </cell>
          <cell r="BB26">
            <v>1.7999999999999999E-2</v>
          </cell>
          <cell r="BC26">
            <v>2E-3</v>
          </cell>
          <cell r="BD26">
            <v>7.0000000000000001E-3</v>
          </cell>
          <cell r="BE26">
            <v>2.6999999999999996E-2</v>
          </cell>
          <cell r="BF26">
            <v>2.6999999999999996E-2</v>
          </cell>
          <cell r="BG26" t="str">
            <v/>
          </cell>
          <cell r="BH26" t="str">
            <v/>
          </cell>
          <cell r="BI26" t="str">
            <v/>
          </cell>
          <cell r="BJ26" t="str">
            <v/>
          </cell>
          <cell r="BK26" t="str">
            <v/>
          </cell>
          <cell r="BL26" t="str">
            <v/>
          </cell>
          <cell r="BM26" t="str">
            <v/>
          </cell>
          <cell r="BN26">
            <v>0.03</v>
          </cell>
          <cell r="BO26">
            <v>697.75299999999993</v>
          </cell>
          <cell r="BP26">
            <v>692.27299999999991</v>
          </cell>
          <cell r="BQ26">
            <v>697.95299999999997</v>
          </cell>
          <cell r="BR26">
            <v>692.47299999999996</v>
          </cell>
          <cell r="BS26">
            <v>699.173</v>
          </cell>
          <cell r="BT26">
            <v>693.673</v>
          </cell>
          <cell r="BU26" t="str">
            <v/>
          </cell>
          <cell r="BV26">
            <v>1.2200000000000273</v>
          </cell>
          <cell r="BW26">
            <v>1.2000000000000455</v>
          </cell>
          <cell r="BX26">
            <v>1.4200000000000272</v>
          </cell>
          <cell r="BY26">
            <v>200</v>
          </cell>
          <cell r="BZ26">
            <v>0.65</v>
          </cell>
          <cell r="CA26">
            <v>0.25</v>
          </cell>
          <cell r="CB26">
            <v>1.2100000000000364</v>
          </cell>
          <cell r="CC26">
            <v>1.5274699047851064</v>
          </cell>
          <cell r="CD26">
            <v>1355.2476730205858</v>
          </cell>
          <cell r="CE26">
            <v>7.1084511354439828E-2</v>
          </cell>
          <cell r="CF26">
            <v>586.44721867412864</v>
          </cell>
          <cell r="CG26">
            <v>1941.6948916947144</v>
          </cell>
          <cell r="CH26">
            <v>1.5</v>
          </cell>
          <cell r="CI26">
            <v>2243</v>
          </cell>
          <cell r="CJ26">
            <v>1.2985030483914719</v>
          </cell>
          <cell r="CK26">
            <v>1.5</v>
          </cell>
          <cell r="CL26">
            <v>1</v>
          </cell>
          <cell r="CM26">
            <v>2</v>
          </cell>
        </row>
        <row r="27">
          <cell r="A27">
            <v>44</v>
          </cell>
          <cell r="B27" t="str">
            <v>C26</v>
          </cell>
          <cell r="C27" t="str">
            <v>C27</v>
          </cell>
          <cell r="F27">
            <v>0</v>
          </cell>
          <cell r="G27" t="str">
            <v/>
          </cell>
          <cell r="J27" t="str">
            <v/>
          </cell>
          <cell r="K27" t="str">
            <v/>
          </cell>
          <cell r="L27" t="str">
            <v/>
          </cell>
          <cell r="M27" t="str">
            <v/>
          </cell>
          <cell r="N27" t="str">
            <v/>
          </cell>
          <cell r="O27" t="str">
            <v/>
          </cell>
          <cell r="P27" t="str">
            <v/>
          </cell>
          <cell r="R27">
            <v>1.82</v>
          </cell>
          <cell r="S27">
            <v>4.3100000000000005</v>
          </cell>
          <cell r="T27">
            <v>98</v>
          </cell>
          <cell r="U27">
            <v>1689</v>
          </cell>
          <cell r="V27">
            <v>0.68799999999999994</v>
          </cell>
          <cell r="X27">
            <v>0</v>
          </cell>
          <cell r="Y27" t="str">
            <v/>
          </cell>
          <cell r="AA27">
            <v>0</v>
          </cell>
          <cell r="AB27" t="str">
            <v/>
          </cell>
          <cell r="AC27">
            <v>0.58479999999999999</v>
          </cell>
          <cell r="AD27">
            <v>2.5204879999999998</v>
          </cell>
          <cell r="AE27">
            <v>8.7148022025667249</v>
          </cell>
          <cell r="AF27">
            <v>9.576802202566725</v>
          </cell>
          <cell r="AG27">
            <v>10.007802202566726</v>
          </cell>
          <cell r="AH27">
            <v>10.007802202566726</v>
          </cell>
          <cell r="AI27">
            <v>37.86</v>
          </cell>
          <cell r="AJ27">
            <v>2.37</v>
          </cell>
          <cell r="AK27">
            <v>8</v>
          </cell>
          <cell r="AL27">
            <v>0.2</v>
          </cell>
          <cell r="AM27">
            <v>1.4E-2</v>
          </cell>
          <cell r="AN27">
            <v>7.0972442626953139E-2</v>
          </cell>
          <cell r="AO27">
            <v>8.4375000000000006E-2</v>
          </cell>
          <cell r="AP27">
            <v>0.35486221313476568</v>
          </cell>
          <cell r="AQ27">
            <v>1.0022846586341174</v>
          </cell>
          <cell r="AR27">
            <v>1.3997963163271712</v>
          </cell>
          <cell r="AS27">
            <v>0.58002549139143122</v>
          </cell>
          <cell r="AT27">
            <v>5.1201556418619225E-2</v>
          </cell>
          <cell r="AU27">
            <v>0.12217399904557236</v>
          </cell>
          <cell r="AV27">
            <v>1.4949674462920284</v>
          </cell>
          <cell r="AW27">
            <v>46.965787466269312</v>
          </cell>
          <cell r="AX27">
            <v>0.21308707343093736</v>
          </cell>
          <cell r="AY27">
            <v>156.0577941306515</v>
          </cell>
          <cell r="AZ27" t="str">
            <v>31°13'31''</v>
          </cell>
          <cell r="BA27">
            <v>10.735626297086231</v>
          </cell>
          <cell r="BB27">
            <v>1E-3</v>
          </cell>
          <cell r="BC27">
            <v>1.7999999999999999E-2</v>
          </cell>
          <cell r="BD27">
            <v>5.0000000000000001E-3</v>
          </cell>
          <cell r="BE27">
            <v>2.4E-2</v>
          </cell>
          <cell r="BF27">
            <v>2.3E-2</v>
          </cell>
          <cell r="BG27" t="str">
            <v/>
          </cell>
          <cell r="BH27" t="str">
            <v/>
          </cell>
          <cell r="BI27" t="str">
            <v/>
          </cell>
          <cell r="BJ27" t="str">
            <v/>
          </cell>
          <cell r="BK27" t="str">
            <v/>
          </cell>
          <cell r="BL27" t="str">
            <v/>
          </cell>
          <cell r="BM27" t="str">
            <v/>
          </cell>
          <cell r="BN27">
            <v>0.02</v>
          </cell>
          <cell r="BO27">
            <v>692.25299999999993</v>
          </cell>
          <cell r="BP27">
            <v>691.35299999999995</v>
          </cell>
          <cell r="BQ27">
            <v>692.45299999999997</v>
          </cell>
          <cell r="BR27">
            <v>691.553</v>
          </cell>
          <cell r="BS27">
            <v>693.673</v>
          </cell>
          <cell r="BT27">
            <v>692.75300000000016</v>
          </cell>
          <cell r="BU27" t="str">
            <v/>
          </cell>
          <cell r="BV27">
            <v>1.2200000000000273</v>
          </cell>
          <cell r="BW27">
            <v>1.2000000000001592</v>
          </cell>
          <cell r="BX27">
            <v>1.4200000000000272</v>
          </cell>
          <cell r="BY27">
            <v>200</v>
          </cell>
          <cell r="BZ27">
            <v>0.65</v>
          </cell>
          <cell r="CA27">
            <v>0.25</v>
          </cell>
          <cell r="CB27">
            <v>1.2100000000000932</v>
          </cell>
          <cell r="CC27">
            <v>1.5274699047851645</v>
          </cell>
          <cell r="CD27">
            <v>1355.2476730206374</v>
          </cell>
          <cell r="CE27">
            <v>7.1084511354432722E-2</v>
          </cell>
          <cell r="CF27">
            <v>586.44721867406997</v>
          </cell>
          <cell r="CG27">
            <v>1941.6948916947074</v>
          </cell>
          <cell r="CH27">
            <v>1.5</v>
          </cell>
          <cell r="CI27">
            <v>2243</v>
          </cell>
          <cell r="CJ27">
            <v>1.2985030483914672</v>
          </cell>
          <cell r="CK27">
            <v>1.5</v>
          </cell>
          <cell r="CL27">
            <v>1</v>
          </cell>
          <cell r="CM27">
            <v>2</v>
          </cell>
        </row>
        <row r="28">
          <cell r="A28">
            <v>45</v>
          </cell>
          <cell r="B28" t="str">
            <v>C27</v>
          </cell>
          <cell r="C28" t="str">
            <v>C28</v>
          </cell>
          <cell r="F28">
            <v>0</v>
          </cell>
          <cell r="G28" t="str">
            <v/>
          </cell>
          <cell r="J28" t="str">
            <v/>
          </cell>
          <cell r="K28" t="str">
            <v/>
          </cell>
          <cell r="L28" t="str">
            <v/>
          </cell>
          <cell r="M28" t="str">
            <v/>
          </cell>
          <cell r="N28" t="str">
            <v/>
          </cell>
          <cell r="O28" t="str">
            <v/>
          </cell>
          <cell r="P28" t="str">
            <v/>
          </cell>
          <cell r="S28">
            <v>4.3100000000000005</v>
          </cell>
          <cell r="T28">
            <v>98</v>
          </cell>
          <cell r="U28">
            <v>1689</v>
          </cell>
          <cell r="V28">
            <v>0.68799999999999994</v>
          </cell>
          <cell r="X28">
            <v>0</v>
          </cell>
          <cell r="Y28" t="str">
            <v/>
          </cell>
          <cell r="AA28">
            <v>0</v>
          </cell>
          <cell r="AB28" t="str">
            <v/>
          </cell>
          <cell r="AC28">
            <v>0.58479999999999999</v>
          </cell>
          <cell r="AD28">
            <v>2.5204879999999998</v>
          </cell>
          <cell r="AE28">
            <v>8.7148022025667249</v>
          </cell>
          <cell r="AF28">
            <v>9.576802202566725</v>
          </cell>
          <cell r="AG28">
            <v>10.007802202566726</v>
          </cell>
          <cell r="AH28">
            <v>10.007802202566726</v>
          </cell>
          <cell r="AI28">
            <v>10.66</v>
          </cell>
          <cell r="AJ28">
            <v>28.34</v>
          </cell>
          <cell r="AK28">
            <v>8</v>
          </cell>
          <cell r="AL28">
            <v>0.2</v>
          </cell>
          <cell r="AM28">
            <v>1.4E-2</v>
          </cell>
          <cell r="AN28">
            <v>3.7921905517578125E-2</v>
          </cell>
          <cell r="AO28">
            <v>8.4375000000000006E-2</v>
          </cell>
          <cell r="AP28">
            <v>0.18960952758789063</v>
          </cell>
          <cell r="AQ28">
            <v>2.4151515023277716</v>
          </cell>
          <cell r="AR28">
            <v>4.739217407238173</v>
          </cell>
          <cell r="AS28">
            <v>4.0204471941531734</v>
          </cell>
          <cell r="AT28">
            <v>0.29729647192640635</v>
          </cell>
          <cell r="AU28">
            <v>0.33521837744398447</v>
          </cell>
          <cell r="AV28">
            <v>5.1696064879540211</v>
          </cell>
          <cell r="AW28">
            <v>162.40797764506488</v>
          </cell>
          <cell r="AX28">
            <v>6.1621370745951379E-2</v>
          </cell>
          <cell r="AY28">
            <v>209.63757846663421</v>
          </cell>
          <cell r="AZ28" t="str">
            <v>53°34'47''</v>
          </cell>
          <cell r="BA28">
            <v>5.9415948551823039</v>
          </cell>
          <cell r="BB28">
            <v>0.21299999999999999</v>
          </cell>
          <cell r="BC28">
            <v>2.5000000000000001E-2</v>
          </cell>
          <cell r="BD28">
            <v>0.06</v>
          </cell>
          <cell r="BE28">
            <v>0.29799999999999999</v>
          </cell>
          <cell r="BF28">
            <v>0.29799999999999999</v>
          </cell>
          <cell r="BG28">
            <v>0.17846555509173276</v>
          </cell>
          <cell r="BH28">
            <v>5.9999999999999991</v>
          </cell>
          <cell r="BI28">
            <v>1.2</v>
          </cell>
          <cell r="BJ28">
            <v>0.74048335383162911</v>
          </cell>
          <cell r="BK28">
            <v>0.82485835383162909</v>
          </cell>
          <cell r="BL28">
            <v>1.1824847743831498E-3</v>
          </cell>
          <cell r="BM28">
            <v>0.99124900632721458</v>
          </cell>
          <cell r="BN28">
            <v>0.92</v>
          </cell>
          <cell r="BO28">
            <v>690.84299999999996</v>
          </cell>
          <cell r="BP28">
            <v>687.82299999999998</v>
          </cell>
          <cell r="BQ28">
            <v>691.04300000000001</v>
          </cell>
          <cell r="BR28">
            <v>688.02300000000002</v>
          </cell>
          <cell r="BS28">
            <v>692.75300000000016</v>
          </cell>
          <cell r="BT28">
            <v>689.22299999999996</v>
          </cell>
          <cell r="BU28" t="str">
            <v/>
          </cell>
          <cell r="BV28">
            <v>1.7100000000001501</v>
          </cell>
          <cell r="BW28">
            <v>1.1999999999999318</v>
          </cell>
          <cell r="BX28">
            <v>1.91000000000015</v>
          </cell>
          <cell r="BY28">
            <v>200</v>
          </cell>
          <cell r="BZ28">
            <v>0.65</v>
          </cell>
          <cell r="CA28">
            <v>0.25</v>
          </cell>
          <cell r="CB28">
            <v>1.4550000000000409</v>
          </cell>
          <cell r="CC28">
            <v>1.7676352489324805</v>
          </cell>
          <cell r="CD28">
            <v>1568.3343746153434</v>
          </cell>
          <cell r="CE28">
            <v>5.1142665311504576E-2</v>
          </cell>
          <cell r="CF28">
            <v>421.92698881991276</v>
          </cell>
          <cell r="CG28">
            <v>1990.2613634352563</v>
          </cell>
          <cell r="CH28">
            <v>1.5</v>
          </cell>
          <cell r="CI28">
            <v>2243</v>
          </cell>
          <cell r="CJ28">
            <v>1.3309817410400733</v>
          </cell>
          <cell r="CK28">
            <v>1.5</v>
          </cell>
          <cell r="CL28">
            <v>1</v>
          </cell>
          <cell r="CM28">
            <v>2</v>
          </cell>
        </row>
        <row r="29">
          <cell r="A29">
            <v>46</v>
          </cell>
          <cell r="B29" t="str">
            <v>C28</v>
          </cell>
          <cell r="C29" t="str">
            <v>C13</v>
          </cell>
          <cell r="F29">
            <v>0</v>
          </cell>
          <cell r="G29" t="str">
            <v/>
          </cell>
          <cell r="J29" t="str">
            <v/>
          </cell>
          <cell r="K29" t="str">
            <v/>
          </cell>
          <cell r="L29" t="str">
            <v/>
          </cell>
          <cell r="M29" t="str">
            <v/>
          </cell>
          <cell r="N29" t="str">
            <v/>
          </cell>
          <cell r="O29" t="str">
            <v/>
          </cell>
          <cell r="P29" t="str">
            <v/>
          </cell>
          <cell r="S29">
            <v>4.3100000000000005</v>
          </cell>
          <cell r="T29">
            <v>98</v>
          </cell>
          <cell r="U29">
            <v>1689</v>
          </cell>
          <cell r="V29">
            <v>0.68799999999999994</v>
          </cell>
          <cell r="X29">
            <v>0</v>
          </cell>
          <cell r="Y29" t="str">
            <v/>
          </cell>
          <cell r="AA29">
            <v>0</v>
          </cell>
          <cell r="AB29" t="str">
            <v/>
          </cell>
          <cell r="AC29">
            <v>0.58479999999999999</v>
          </cell>
          <cell r="AD29">
            <v>2.5204879999999998</v>
          </cell>
          <cell r="AE29">
            <v>8.7148022025667249</v>
          </cell>
          <cell r="AF29">
            <v>9.576802202566725</v>
          </cell>
          <cell r="AG29">
            <v>10.007802202566726</v>
          </cell>
          <cell r="AH29">
            <v>10.007802202566726</v>
          </cell>
          <cell r="AI29">
            <v>23.71</v>
          </cell>
          <cell r="AJ29">
            <v>3.58</v>
          </cell>
          <cell r="AK29">
            <v>8</v>
          </cell>
          <cell r="AL29">
            <v>0.2</v>
          </cell>
          <cell r="AM29">
            <v>1.4E-2</v>
          </cell>
          <cell r="AN29">
            <v>6.3768768310546856E-2</v>
          </cell>
          <cell r="AO29">
            <v>8.4375000000000006E-2</v>
          </cell>
          <cell r="AP29">
            <v>0.31884384155273426</v>
          </cell>
          <cell r="AQ29">
            <v>1.1605158588573394</v>
          </cell>
          <cell r="AR29">
            <v>1.721215988286543</v>
          </cell>
          <cell r="AS29">
            <v>0.79996836719410802</v>
          </cell>
          <cell r="AT29">
            <v>6.8644090655422429E-2</v>
          </cell>
          <cell r="AU29">
            <v>0.13241285896596927</v>
          </cell>
          <cell r="AV29">
            <v>1.837380386461664</v>
          </cell>
          <cell r="AW29">
            <v>57.723007239579395</v>
          </cell>
          <cell r="AX29">
            <v>0.17337631355603725</v>
          </cell>
          <cell r="AY29">
            <v>166.92567948968951</v>
          </cell>
          <cell r="AZ29" t="str">
            <v>42°42'43''</v>
          </cell>
          <cell r="BA29">
            <v>7.6724561551686419</v>
          </cell>
          <cell r="BB29">
            <v>1E-3</v>
          </cell>
          <cell r="BC29">
            <v>4.5999999999999999E-2</v>
          </cell>
          <cell r="BD29">
            <v>6.5000000000000002E-2</v>
          </cell>
          <cell r="BE29">
            <v>0.112</v>
          </cell>
          <cell r="BF29">
            <v>0.111</v>
          </cell>
          <cell r="BG29" t="str">
            <v/>
          </cell>
          <cell r="BH29" t="str">
            <v/>
          </cell>
          <cell r="BI29" t="str">
            <v/>
          </cell>
          <cell r="BJ29" t="str">
            <v/>
          </cell>
          <cell r="BK29" t="str">
            <v/>
          </cell>
          <cell r="BL29" t="str">
            <v/>
          </cell>
          <cell r="BM29" t="str">
            <v/>
          </cell>
          <cell r="BN29">
            <v>0.11</v>
          </cell>
          <cell r="BO29">
            <v>687.76299999999992</v>
          </cell>
          <cell r="BP29">
            <v>686.9129999999999</v>
          </cell>
          <cell r="BQ29">
            <v>687.96299999999997</v>
          </cell>
          <cell r="BR29">
            <v>687.11299999999994</v>
          </cell>
          <cell r="BS29">
            <v>689.22299999999996</v>
          </cell>
          <cell r="BT29">
            <v>688.11300000000006</v>
          </cell>
          <cell r="BU29" t="str">
            <v/>
          </cell>
          <cell r="BV29">
            <v>1.2599999999999909</v>
          </cell>
          <cell r="BW29">
            <v>1.0000000000001137</v>
          </cell>
          <cell r="BX29">
            <v>1.4599999999999909</v>
          </cell>
          <cell r="BY29">
            <v>200</v>
          </cell>
          <cell r="BZ29">
            <v>0.65</v>
          </cell>
          <cell r="CA29">
            <v>0.25</v>
          </cell>
          <cell r="CB29">
            <v>1.1300000000000523</v>
          </cell>
          <cell r="CC29">
            <v>1.4446357810494874</v>
          </cell>
          <cell r="CD29">
            <v>1281.7530967361579</v>
          </cell>
          <cell r="CE29">
            <v>8.0049116323609004E-2</v>
          </cell>
          <cell r="CF29">
            <v>660.40520966977431</v>
          </cell>
          <cell r="CG29">
            <v>1942.1583064059323</v>
          </cell>
          <cell r="CH29">
            <v>1.5</v>
          </cell>
          <cell r="CI29">
            <v>2243</v>
          </cell>
          <cell r="CJ29">
            <v>1.2988129556883186</v>
          </cell>
          <cell r="CK29">
            <v>1.5</v>
          </cell>
          <cell r="CL29">
            <v>1</v>
          </cell>
          <cell r="CM29">
            <v>2</v>
          </cell>
        </row>
        <row r="30">
          <cell r="A30">
            <v>47</v>
          </cell>
          <cell r="B30" t="str">
            <v>C13</v>
          </cell>
          <cell r="C30" t="str">
            <v>C14</v>
          </cell>
          <cell r="D30">
            <v>0.3</v>
          </cell>
          <cell r="E30">
            <v>0.81999999999999962</v>
          </cell>
          <cell r="F30">
            <v>1.1199999999999997</v>
          </cell>
          <cell r="G30">
            <v>5</v>
          </cell>
          <cell r="J30" t="str">
            <v/>
          </cell>
          <cell r="K30">
            <v>1.0409620105724</v>
          </cell>
          <cell r="L30">
            <v>1.0409620105724</v>
          </cell>
          <cell r="M30">
            <v>3</v>
          </cell>
          <cell r="N30">
            <v>471.90281881227315</v>
          </cell>
          <cell r="O30">
            <v>0.62662245173484554</v>
          </cell>
          <cell r="P30">
            <v>331.18948946129882</v>
          </cell>
          <cell r="Q30">
            <v>0.3</v>
          </cell>
          <cell r="R30">
            <v>8.2100000000000009</v>
          </cell>
          <cell r="S30">
            <v>12.820000000000002</v>
          </cell>
          <cell r="T30">
            <v>98</v>
          </cell>
          <cell r="U30">
            <v>5025</v>
          </cell>
          <cell r="V30">
            <v>0.68799999999999994</v>
          </cell>
          <cell r="X30">
            <v>0</v>
          </cell>
          <cell r="Y30" t="str">
            <v/>
          </cell>
          <cell r="AA30">
            <v>0</v>
          </cell>
          <cell r="AB30" t="str">
            <v/>
          </cell>
          <cell r="AC30">
            <v>0.58479999999999999</v>
          </cell>
          <cell r="AD30">
            <v>7.4971360000000011</v>
          </cell>
          <cell r="AE30">
            <v>23.931354558715341</v>
          </cell>
          <cell r="AF30">
            <v>23.931354558715341</v>
          </cell>
          <cell r="AG30">
            <v>25.213354558715341</v>
          </cell>
          <cell r="AH30">
            <v>356.40284402001419</v>
          </cell>
          <cell r="AI30">
            <v>74.069999999999993</v>
          </cell>
          <cell r="AJ30">
            <v>0.49</v>
          </cell>
          <cell r="AK30">
            <v>18</v>
          </cell>
          <cell r="AL30">
            <v>0.45</v>
          </cell>
          <cell r="AM30">
            <v>1.4E-2</v>
          </cell>
          <cell r="AN30">
            <v>0</v>
          </cell>
          <cell r="AO30" t="str">
            <v/>
          </cell>
          <cell r="AP30" t="str">
            <v/>
          </cell>
          <cell r="AQ30" t="str">
            <v/>
          </cell>
          <cell r="AR30" t="str">
            <v/>
          </cell>
          <cell r="AS30" t="str">
            <v/>
          </cell>
          <cell r="AT30">
            <v>0</v>
          </cell>
          <cell r="AU30" t="str">
            <v/>
          </cell>
          <cell r="AV30">
            <v>1.1671964236528531</v>
          </cell>
          <cell r="AW30">
            <v>185.63457031085673</v>
          </cell>
          <cell r="AX30" t="str">
            <v/>
          </cell>
          <cell r="AY30">
            <v>120.48880343979978</v>
          </cell>
          <cell r="AZ30" t="str">
            <v>46°26'13''</v>
          </cell>
          <cell r="BA30">
            <v>3.1081370028379447</v>
          </cell>
          <cell r="BB30" t="str">
            <v/>
          </cell>
          <cell r="BC30" t="str">
            <v/>
          </cell>
          <cell r="BD30" t="str">
            <v/>
          </cell>
          <cell r="BE30" t="str">
            <v/>
          </cell>
          <cell r="BF30">
            <v>0</v>
          </cell>
          <cell r="BG30">
            <v>0.83695201556002952</v>
          </cell>
          <cell r="BH30">
            <v>2.6666666666666665</v>
          </cell>
          <cell r="BI30">
            <v>1.2</v>
          </cell>
          <cell r="BJ30" t="str">
            <v/>
          </cell>
          <cell r="BK30" t="str">
            <v/>
          </cell>
          <cell r="BL30" t="str">
            <v/>
          </cell>
          <cell r="BM30">
            <v>1.1004840207873858</v>
          </cell>
          <cell r="BN30" t="str">
            <v/>
          </cell>
          <cell r="BO30">
            <v>686.87299999999993</v>
          </cell>
          <cell r="BP30">
            <v>686.51299999999992</v>
          </cell>
          <cell r="BQ30">
            <v>687.32299999999998</v>
          </cell>
          <cell r="BR30">
            <v>686.96299999999997</v>
          </cell>
          <cell r="BS30">
            <v>688.11300000000006</v>
          </cell>
          <cell r="BT30">
            <v>689.41300000000001</v>
          </cell>
          <cell r="BU30" t="str">
            <v/>
          </cell>
          <cell r="BV30">
            <v>0.79000000000007731</v>
          </cell>
          <cell r="BW30">
            <v>2.4500000000000455</v>
          </cell>
          <cell r="BX30">
            <v>1.2400000000000773</v>
          </cell>
          <cell r="BY30">
            <v>450</v>
          </cell>
          <cell r="BZ30">
            <v>0.96250000000000002</v>
          </cell>
          <cell r="CA30">
            <v>0.5625</v>
          </cell>
          <cell r="CB30">
            <v>1.6200000000000614</v>
          </cell>
          <cell r="CC30">
            <v>1.4066499719909016</v>
          </cell>
          <cell r="CD30">
            <v>2736.571583790862</v>
          </cell>
          <cell r="CE30">
            <v>9.2702451954917886E-2</v>
          </cell>
          <cell r="CF30">
            <v>764.79522862807255</v>
          </cell>
          <cell r="CG30">
            <v>3501.3668124189344</v>
          </cell>
          <cell r="CH30">
            <v>1.5</v>
          </cell>
          <cell r="CI30">
            <v>4487</v>
          </cell>
          <cell r="CJ30">
            <v>1.1705037260147986</v>
          </cell>
          <cell r="CK30">
            <v>1.5</v>
          </cell>
          <cell r="CL30">
            <v>2</v>
          </cell>
          <cell r="CM30">
            <v>2</v>
          </cell>
        </row>
        <row r="31">
          <cell r="A31">
            <v>48</v>
          </cell>
          <cell r="B31" t="str">
            <v>C14</v>
          </cell>
          <cell r="C31" t="str">
            <v>C15</v>
          </cell>
          <cell r="F31">
            <v>1.1199999999999997</v>
          </cell>
          <cell r="G31">
            <v>5</v>
          </cell>
          <cell r="J31" t="str">
            <v/>
          </cell>
          <cell r="K31">
            <v>0.1114086862725861</v>
          </cell>
          <cell r="L31">
            <v>3.1114086862725863</v>
          </cell>
          <cell r="M31">
            <v>3.1114086862725863</v>
          </cell>
          <cell r="N31">
            <v>469.45924466702473</v>
          </cell>
          <cell r="O31">
            <v>0.62989898989898918</v>
          </cell>
          <cell r="P31">
            <v>331.19733249624136</v>
          </cell>
          <cell r="S31">
            <v>12.820000000000002</v>
          </cell>
          <cell r="T31">
            <v>98</v>
          </cell>
          <cell r="U31">
            <v>5025</v>
          </cell>
          <cell r="V31">
            <v>0.68799999999999994</v>
          </cell>
          <cell r="X31">
            <v>0</v>
          </cell>
          <cell r="Y31" t="str">
            <v/>
          </cell>
          <cell r="AA31">
            <v>0</v>
          </cell>
          <cell r="AB31" t="str">
            <v/>
          </cell>
          <cell r="AC31">
            <v>0.58479999999999999</v>
          </cell>
          <cell r="AD31">
            <v>7.4971360000000011</v>
          </cell>
          <cell r="AE31">
            <v>23.931354558715341</v>
          </cell>
          <cell r="AF31">
            <v>23.931354558715341</v>
          </cell>
          <cell r="AG31">
            <v>25.213354558715341</v>
          </cell>
          <cell r="AH31">
            <v>356.41068705495672</v>
          </cell>
          <cell r="AI31">
            <v>7.92</v>
          </cell>
          <cell r="AJ31">
            <v>0.49</v>
          </cell>
          <cell r="AK31">
            <v>18</v>
          </cell>
          <cell r="AL31">
            <v>0.45</v>
          </cell>
          <cell r="AM31">
            <v>1.4E-2</v>
          </cell>
          <cell r="AN31">
            <v>0</v>
          </cell>
          <cell r="AO31" t="str">
            <v/>
          </cell>
          <cell r="AP31" t="str">
            <v/>
          </cell>
          <cell r="AQ31" t="str">
            <v/>
          </cell>
          <cell r="AR31" t="str">
            <v/>
          </cell>
          <cell r="AS31" t="str">
            <v/>
          </cell>
          <cell r="AT31">
            <v>0</v>
          </cell>
          <cell r="AU31" t="str">
            <v/>
          </cell>
          <cell r="AV31">
            <v>1.1671964236528531</v>
          </cell>
          <cell r="AW31">
            <v>185.63457031085673</v>
          </cell>
          <cell r="AX31" t="str">
            <v/>
          </cell>
          <cell r="AY31">
            <v>171.69793098169856</v>
          </cell>
          <cell r="AZ31" t="str">
            <v>51°12'33''</v>
          </cell>
          <cell r="BA31">
            <v>2.7823125836732552</v>
          </cell>
          <cell r="BB31" t="str">
            <v/>
          </cell>
          <cell r="BC31" t="str">
            <v/>
          </cell>
          <cell r="BD31" t="str">
            <v/>
          </cell>
          <cell r="BE31" t="str">
            <v/>
          </cell>
          <cell r="BF31">
            <v>0</v>
          </cell>
          <cell r="BG31">
            <v>0.83697043360582635</v>
          </cell>
          <cell r="BH31">
            <v>2.6666666666666665</v>
          </cell>
          <cell r="BI31">
            <v>1.2</v>
          </cell>
          <cell r="BJ31" t="str">
            <v/>
          </cell>
          <cell r="BK31" t="str">
            <v/>
          </cell>
          <cell r="BL31" t="str">
            <v/>
          </cell>
          <cell r="BM31">
            <v>1.1005158192416571</v>
          </cell>
          <cell r="BN31" t="str">
            <v/>
          </cell>
          <cell r="BO31">
            <v>686.51299999999992</v>
          </cell>
          <cell r="BP31">
            <v>686.47299999999996</v>
          </cell>
          <cell r="BQ31">
            <v>686.96299999999997</v>
          </cell>
          <cell r="BR31">
            <v>686.923</v>
          </cell>
          <cell r="BS31">
            <v>689.41300000000001</v>
          </cell>
          <cell r="BT31">
            <v>689.03300000000013</v>
          </cell>
          <cell r="BU31" t="str">
            <v/>
          </cell>
          <cell r="BV31">
            <v>2.4500000000000455</v>
          </cell>
          <cell r="BW31">
            <v>2.1100000000001273</v>
          </cell>
          <cell r="BX31">
            <v>2.9000000000000457</v>
          </cell>
          <cell r="BY31">
            <v>450</v>
          </cell>
          <cell r="BZ31">
            <v>0.96250000000000002</v>
          </cell>
          <cell r="CA31">
            <v>0.5625</v>
          </cell>
          <cell r="CB31">
            <v>2.2800000000000864</v>
          </cell>
          <cell r="CC31">
            <v>1.8461750726099502</v>
          </cell>
          <cell r="CD31">
            <v>3591.6470643061298</v>
          </cell>
          <cell r="CE31">
            <v>4.9082623821784632E-2</v>
          </cell>
          <cell r="CF31">
            <v>404.9316465297232</v>
          </cell>
          <cell r="CG31">
            <v>3996.5787108358531</v>
          </cell>
          <cell r="CH31">
            <v>1.5</v>
          </cell>
          <cell r="CI31">
            <v>4487</v>
          </cell>
          <cell r="CJ31">
            <v>1.3360526111552886</v>
          </cell>
          <cell r="CK31">
            <v>1.5</v>
          </cell>
          <cell r="CL31">
            <v>2</v>
          </cell>
          <cell r="CM31">
            <v>2</v>
          </cell>
        </row>
        <row r="32">
          <cell r="A32">
            <v>49</v>
          </cell>
          <cell r="B32" t="str">
            <v>C15</v>
          </cell>
          <cell r="C32" t="str">
            <v>C16</v>
          </cell>
          <cell r="F32">
            <v>1.1199999999999997</v>
          </cell>
          <cell r="G32">
            <v>5</v>
          </cell>
          <cell r="J32" t="str">
            <v/>
          </cell>
          <cell r="K32">
            <v>3.8589780837585699E-2</v>
          </cell>
          <cell r="L32">
            <v>3.149998467110172</v>
          </cell>
          <cell r="M32">
            <v>3.149998467110172</v>
          </cell>
          <cell r="N32">
            <v>468.61830850381955</v>
          </cell>
          <cell r="O32">
            <v>0.66974137931034572</v>
          </cell>
          <cell r="P32">
            <v>351.51544098432061</v>
          </cell>
          <cell r="S32">
            <v>12.820000000000002</v>
          </cell>
          <cell r="T32">
            <v>98</v>
          </cell>
          <cell r="U32">
            <v>5025</v>
          </cell>
          <cell r="V32">
            <v>0.68799999999999994</v>
          </cell>
          <cell r="X32">
            <v>0</v>
          </cell>
          <cell r="Y32" t="str">
            <v/>
          </cell>
          <cell r="AA32">
            <v>0</v>
          </cell>
          <cell r="AB32" t="str">
            <v/>
          </cell>
          <cell r="AC32">
            <v>0.58479999999999999</v>
          </cell>
          <cell r="AD32">
            <v>7.4971360000000011</v>
          </cell>
          <cell r="AE32">
            <v>23.931354558715341</v>
          </cell>
          <cell r="AF32">
            <v>23.931354558715341</v>
          </cell>
          <cell r="AG32">
            <v>25.213354558715341</v>
          </cell>
          <cell r="AH32">
            <v>376.72879554303597</v>
          </cell>
          <cell r="AI32">
            <v>5.22</v>
          </cell>
          <cell r="AJ32">
            <v>40.07</v>
          </cell>
          <cell r="AK32">
            <v>18</v>
          </cell>
          <cell r="AL32">
            <v>0.45</v>
          </cell>
          <cell r="AM32">
            <v>1.4E-2</v>
          </cell>
          <cell r="AN32">
            <v>0</v>
          </cell>
          <cell r="AO32" t="str">
            <v/>
          </cell>
          <cell r="AP32" t="str">
            <v/>
          </cell>
          <cell r="AQ32" t="str">
            <v/>
          </cell>
          <cell r="AR32" t="str">
            <v/>
          </cell>
          <cell r="AS32" t="str">
            <v/>
          </cell>
          <cell r="AT32">
            <v>0</v>
          </cell>
          <cell r="AU32" t="str">
            <v/>
          </cell>
          <cell r="AV32">
            <v>10.554935394568046</v>
          </cell>
          <cell r="AW32">
            <v>1678.6899419186741</v>
          </cell>
          <cell r="AX32" t="str">
            <v/>
          </cell>
          <cell r="AY32">
            <v>150.5004077340291</v>
          </cell>
          <cell r="AZ32" t="str">
            <v>21°11'51''</v>
          </cell>
          <cell r="BA32">
            <v>7.1254554098055687</v>
          </cell>
          <cell r="BB32" t="str">
            <v/>
          </cell>
          <cell r="BC32" t="str">
            <v/>
          </cell>
          <cell r="BD32" t="str">
            <v/>
          </cell>
          <cell r="BE32" t="str">
            <v/>
          </cell>
          <cell r="BF32">
            <v>0</v>
          </cell>
          <cell r="BG32" t="str">
            <v/>
          </cell>
          <cell r="BH32" t="str">
            <v/>
          </cell>
          <cell r="BI32" t="str">
            <v/>
          </cell>
          <cell r="BJ32" t="str">
            <v/>
          </cell>
          <cell r="BK32" t="str">
            <v/>
          </cell>
          <cell r="BL32" t="str">
            <v/>
          </cell>
          <cell r="BM32" t="str">
            <v/>
          </cell>
          <cell r="BN32">
            <v>0.1</v>
          </cell>
          <cell r="BO32">
            <v>686.37299999999993</v>
          </cell>
          <cell r="BP32">
            <v>684.2829999999999</v>
          </cell>
          <cell r="BQ32">
            <v>686.82299999999998</v>
          </cell>
          <cell r="BR32">
            <v>684.73299999999995</v>
          </cell>
          <cell r="BS32">
            <v>689.03300000000013</v>
          </cell>
          <cell r="BT32">
            <v>684.62300000000005</v>
          </cell>
          <cell r="BU32" t="str">
            <v/>
          </cell>
          <cell r="BV32">
            <v>2.2100000000001501</v>
          </cell>
          <cell r="BW32">
            <v>-0.10999999999989996</v>
          </cell>
          <cell r="BX32">
            <v>2.6600000000001502</v>
          </cell>
          <cell r="BY32">
            <v>450</v>
          </cell>
          <cell r="BZ32">
            <v>0.96250000000000002</v>
          </cell>
          <cell r="CA32">
            <v>0.5625</v>
          </cell>
          <cell r="CB32">
            <v>1.0500000000001251</v>
          </cell>
          <cell r="CC32">
            <v>0.96987335878849579</v>
          </cell>
          <cell r="CD32">
            <v>1886.8431567093255</v>
          </cell>
          <cell r="CE32">
            <v>0.19554065331898984</v>
          </cell>
          <cell r="CF32">
            <v>1613.2103898816663</v>
          </cell>
          <cell r="CG32">
            <v>3500.0535465909916</v>
          </cell>
          <cell r="CH32">
            <v>1.5</v>
          </cell>
          <cell r="CI32">
            <v>4487</v>
          </cell>
          <cell r="CJ32">
            <v>1.1700647024485151</v>
          </cell>
          <cell r="CK32">
            <v>1.5</v>
          </cell>
          <cell r="CL32">
            <v>2</v>
          </cell>
          <cell r="CM32">
            <v>2</v>
          </cell>
        </row>
        <row r="33">
          <cell r="A33">
            <v>50</v>
          </cell>
          <cell r="B33" t="str">
            <v>C16</v>
          </cell>
          <cell r="C33" t="str">
            <v>C17</v>
          </cell>
          <cell r="F33">
            <v>1.1199999999999997</v>
          </cell>
          <cell r="G33">
            <v>5</v>
          </cell>
          <cell r="J33" t="str">
            <v/>
          </cell>
          <cell r="K33">
            <v>0.48517237035901284</v>
          </cell>
          <cell r="L33">
            <v>3.6351708374691847</v>
          </cell>
          <cell r="M33">
            <v>3.6351708374691847</v>
          </cell>
          <cell r="N33">
            <v>458.27944425352018</v>
          </cell>
          <cell r="O33">
            <v>0.64210396039604045</v>
          </cell>
          <cell r="P33">
            <v>329.57461165807547</v>
          </cell>
          <cell r="S33">
            <v>12.820000000000002</v>
          </cell>
          <cell r="T33">
            <v>98</v>
          </cell>
          <cell r="U33">
            <v>5025</v>
          </cell>
          <cell r="V33">
            <v>0.68799999999999994</v>
          </cell>
          <cell r="X33">
            <v>0</v>
          </cell>
          <cell r="Y33" t="str">
            <v/>
          </cell>
          <cell r="AA33">
            <v>0</v>
          </cell>
          <cell r="AB33" t="str">
            <v/>
          </cell>
          <cell r="AC33">
            <v>0.58479999999999999</v>
          </cell>
          <cell r="AD33">
            <v>7.4971360000000011</v>
          </cell>
          <cell r="AE33">
            <v>23.931354558715341</v>
          </cell>
          <cell r="AF33">
            <v>23.931354558715341</v>
          </cell>
          <cell r="AG33">
            <v>25.213354558715341</v>
          </cell>
          <cell r="AH33">
            <v>354.78796621679084</v>
          </cell>
          <cell r="AI33">
            <v>4.04</v>
          </cell>
          <cell r="AJ33">
            <v>26.1</v>
          </cell>
          <cell r="AK33">
            <v>18</v>
          </cell>
          <cell r="AL33">
            <v>0.45</v>
          </cell>
          <cell r="AM33">
            <v>1.4E-2</v>
          </cell>
          <cell r="AN33">
            <v>0</v>
          </cell>
          <cell r="AO33" t="str">
            <v/>
          </cell>
          <cell r="AP33" t="str">
            <v/>
          </cell>
          <cell r="AQ33" t="str">
            <v/>
          </cell>
          <cell r="AR33" t="str">
            <v/>
          </cell>
          <cell r="AS33" t="str">
            <v/>
          </cell>
          <cell r="AT33">
            <v>0</v>
          </cell>
          <cell r="AU33" t="str">
            <v/>
          </cell>
          <cell r="AV33">
            <v>8.5185595128479807</v>
          </cell>
          <cell r="AW33">
            <v>1354.8183517269902</v>
          </cell>
          <cell r="AX33" t="str">
            <v/>
          </cell>
          <cell r="AY33">
            <v>150.4994376613574</v>
          </cell>
          <cell r="AZ33" t="str">
            <v>00°00'00''</v>
          </cell>
          <cell r="BA33">
            <v>1000</v>
          </cell>
          <cell r="BB33" t="str">
            <v/>
          </cell>
          <cell r="BC33" t="str">
            <v/>
          </cell>
          <cell r="BD33" t="str">
            <v/>
          </cell>
          <cell r="BE33" t="str">
            <v/>
          </cell>
          <cell r="BF33">
            <v>0</v>
          </cell>
          <cell r="BG33" t="str">
            <v/>
          </cell>
          <cell r="BH33" t="str">
            <v/>
          </cell>
          <cell r="BI33" t="str">
            <v/>
          </cell>
          <cell r="BJ33" t="str">
            <v/>
          </cell>
          <cell r="BK33" t="str">
            <v/>
          </cell>
          <cell r="BL33" t="str">
            <v/>
          </cell>
          <cell r="BM33" t="str">
            <v/>
          </cell>
          <cell r="BN33" t="str">
            <v/>
          </cell>
          <cell r="BO33">
            <v>683.88299999999992</v>
          </cell>
          <cell r="BP33">
            <v>682.83299999999997</v>
          </cell>
          <cell r="BQ33">
            <v>684.33299999999997</v>
          </cell>
          <cell r="BR33">
            <v>683.28300000000002</v>
          </cell>
          <cell r="BS33">
            <v>684.62300000000005</v>
          </cell>
          <cell r="BT33">
            <v>683.44299999999998</v>
          </cell>
          <cell r="BU33" t="str">
            <v/>
          </cell>
          <cell r="BV33">
            <v>0.29000000000007731</v>
          </cell>
          <cell r="BW33">
            <v>0.15999999999996817</v>
          </cell>
          <cell r="BX33">
            <v>0.74000000000007726</v>
          </cell>
          <cell r="BY33">
            <v>450</v>
          </cell>
          <cell r="BZ33">
            <v>0.96250000000000002</v>
          </cell>
          <cell r="CA33">
            <v>0.5625</v>
          </cell>
          <cell r="CB33">
            <v>0.22500000000002274</v>
          </cell>
          <cell r="CC33">
            <v>0.22785683862238518</v>
          </cell>
          <cell r="CD33">
            <v>443.28479875054001</v>
          </cell>
          <cell r="CE33">
            <v>0.86521412866045633</v>
          </cell>
          <cell r="CF33">
            <v>9279.4215298833951</v>
          </cell>
          <cell r="CG33">
            <v>9722.7063286339344</v>
          </cell>
          <cell r="CH33">
            <v>1.5</v>
          </cell>
          <cell r="CI33">
            <v>4487</v>
          </cell>
          <cell r="CJ33">
            <v>3.2502918415312911</v>
          </cell>
          <cell r="CK33">
            <v>4</v>
          </cell>
          <cell r="CL33">
            <v>2</v>
          </cell>
          <cell r="CM33">
            <v>2</v>
          </cell>
        </row>
        <row r="34">
          <cell r="A34">
            <v>51</v>
          </cell>
          <cell r="B34" t="str">
            <v>C17</v>
          </cell>
          <cell r="C34" t="str">
            <v>C18</v>
          </cell>
          <cell r="D34">
            <v>0.09</v>
          </cell>
          <cell r="F34">
            <v>1.2099999999999997</v>
          </cell>
          <cell r="G34">
            <v>5</v>
          </cell>
          <cell r="J34" t="str">
            <v/>
          </cell>
          <cell r="K34">
            <v>7.674231238376758E-2</v>
          </cell>
          <cell r="L34">
            <v>3.7119131498529523</v>
          </cell>
          <cell r="M34">
            <v>3.7119131498529523</v>
          </cell>
          <cell r="N34">
            <v>456.68279766231387</v>
          </cell>
          <cell r="O34">
            <v>0.6266236233907243</v>
          </cell>
          <cell r="P34">
            <v>346.26355758776015</v>
          </cell>
          <cell r="Q34">
            <v>0.09</v>
          </cell>
          <cell r="S34">
            <v>12.910000000000002</v>
          </cell>
          <cell r="T34">
            <v>98</v>
          </cell>
          <cell r="U34">
            <v>5060</v>
          </cell>
          <cell r="V34">
            <v>0.68799999999999994</v>
          </cell>
          <cell r="X34">
            <v>0</v>
          </cell>
          <cell r="Y34" t="str">
            <v/>
          </cell>
          <cell r="AA34">
            <v>0</v>
          </cell>
          <cell r="AB34" t="str">
            <v/>
          </cell>
          <cell r="AC34">
            <v>0.58479999999999999</v>
          </cell>
          <cell r="AD34">
            <v>7.5497680000000011</v>
          </cell>
          <cell r="AE34">
            <v>24.087004676164803</v>
          </cell>
          <cell r="AF34">
            <v>24.087004676164803</v>
          </cell>
          <cell r="AG34">
            <v>25.378004676164803</v>
          </cell>
          <cell r="AH34">
            <v>371.64156226392492</v>
          </cell>
          <cell r="AI34">
            <v>64.47</v>
          </cell>
          <cell r="AJ34">
            <v>0.62</v>
          </cell>
          <cell r="AK34">
            <v>18</v>
          </cell>
          <cell r="AL34">
            <v>0.45</v>
          </cell>
          <cell r="AM34">
            <v>1.4E-2</v>
          </cell>
          <cell r="AN34">
            <v>0</v>
          </cell>
          <cell r="AO34" t="str">
            <v/>
          </cell>
          <cell r="AP34" t="str">
            <v/>
          </cell>
          <cell r="AQ34" t="str">
            <v/>
          </cell>
          <cell r="AR34" t="str">
            <v/>
          </cell>
          <cell r="AS34" t="str">
            <v/>
          </cell>
          <cell r="AT34">
            <v>0</v>
          </cell>
          <cell r="AU34" t="str">
            <v/>
          </cell>
          <cell r="AV34">
            <v>1.3129305471944275</v>
          </cell>
          <cell r="AW34">
            <v>208.81258118806932</v>
          </cell>
          <cell r="AX34" t="str">
            <v/>
          </cell>
          <cell r="AY34">
            <v>208.24170826422633</v>
          </cell>
          <cell r="AZ34" t="str">
            <v>57°44'32''</v>
          </cell>
          <cell r="BA34">
            <v>2.4182077430262381</v>
          </cell>
          <cell r="BB34" t="str">
            <v/>
          </cell>
          <cell r="BC34" t="str">
            <v/>
          </cell>
          <cell r="BD34" t="str">
            <v/>
          </cell>
          <cell r="BE34" t="str">
            <v/>
          </cell>
          <cell r="BF34">
            <v>0</v>
          </cell>
          <cell r="BG34">
            <v>0.87273757721530154</v>
          </cell>
          <cell r="BH34">
            <v>2.6666666666666665</v>
          </cell>
          <cell r="BI34">
            <v>1.2</v>
          </cell>
          <cell r="BJ34" t="str">
            <v/>
          </cell>
          <cell r="BK34" t="str">
            <v/>
          </cell>
          <cell r="BL34" t="str">
            <v/>
          </cell>
          <cell r="BM34">
            <v>1.1635873442743006</v>
          </cell>
          <cell r="BN34" t="str">
            <v/>
          </cell>
          <cell r="BO34">
            <v>683.00299999999993</v>
          </cell>
          <cell r="BP34">
            <v>682.60299999999995</v>
          </cell>
          <cell r="BQ34">
            <v>683.45299999999997</v>
          </cell>
          <cell r="BR34">
            <v>683.053</v>
          </cell>
          <cell r="BS34">
            <v>683.44299999999998</v>
          </cell>
          <cell r="BT34">
            <v>684.57300000000009</v>
          </cell>
          <cell r="BU34" t="str">
            <v/>
          </cell>
          <cell r="BV34">
            <v>-9.9999999999909051E-3</v>
          </cell>
          <cell r="BW34">
            <v>1.5200000000000955</v>
          </cell>
          <cell r="BX34">
            <v>0.44000000000000911</v>
          </cell>
          <cell r="BY34">
            <v>450</v>
          </cell>
          <cell r="BZ34">
            <v>0.96250000000000002</v>
          </cell>
          <cell r="CA34">
            <v>0.5625</v>
          </cell>
          <cell r="CB34">
            <v>0.7550000000000523</v>
          </cell>
          <cell r="CC34">
            <v>0.72046281976272386</v>
          </cell>
          <cell r="CD34">
            <v>1401.626644153703</v>
          </cell>
          <cell r="CE34">
            <v>0.32021685538789268</v>
          </cell>
          <cell r="CF34">
            <v>2905.9679626451261</v>
          </cell>
          <cell r="CG34">
            <v>4307.5946067988289</v>
          </cell>
          <cell r="CH34">
            <v>1.5</v>
          </cell>
          <cell r="CI34">
            <v>4487</v>
          </cell>
          <cell r="CJ34">
            <v>1.4400249409846764</v>
          </cell>
          <cell r="CK34">
            <v>1.5</v>
          </cell>
          <cell r="CL34">
            <v>2</v>
          </cell>
          <cell r="CM34">
            <v>2</v>
          </cell>
        </row>
        <row r="35">
          <cell r="A35">
            <v>52</v>
          </cell>
          <cell r="B35" t="str">
            <v>C18</v>
          </cell>
          <cell r="C35" t="str">
            <v>C19</v>
          </cell>
          <cell r="D35">
            <v>0.59</v>
          </cell>
          <cell r="E35">
            <v>2.21</v>
          </cell>
          <cell r="F35">
            <v>4.01</v>
          </cell>
          <cell r="G35">
            <v>5</v>
          </cell>
          <cell r="J35" t="str">
            <v/>
          </cell>
          <cell r="K35">
            <v>4.9682638660320799E-2</v>
          </cell>
          <cell r="L35">
            <v>3.7615957885132731</v>
          </cell>
          <cell r="M35">
            <v>3.7615957885132731</v>
          </cell>
          <cell r="N35">
            <v>455.65463229924131</v>
          </cell>
          <cell r="O35">
            <v>0.64050518134715029</v>
          </cell>
          <cell r="P35">
            <v>1170.3151030989034</v>
          </cell>
          <cell r="Q35">
            <v>0.59</v>
          </cell>
          <cell r="R35">
            <v>2.21</v>
          </cell>
          <cell r="S35">
            <v>15.71</v>
          </cell>
          <cell r="T35">
            <v>98</v>
          </cell>
          <cell r="U35">
            <v>6158</v>
          </cell>
          <cell r="V35">
            <v>0.68799999999999994</v>
          </cell>
          <cell r="X35">
            <v>0</v>
          </cell>
          <cell r="Y35" t="str">
            <v/>
          </cell>
          <cell r="AA35">
            <v>0</v>
          </cell>
          <cell r="AB35" t="str">
            <v/>
          </cell>
          <cell r="AC35">
            <v>0.58479999999999999</v>
          </cell>
          <cell r="AD35">
            <v>9.1872080000000018</v>
          </cell>
          <cell r="AE35">
            <v>28.892419965387656</v>
          </cell>
          <cell r="AF35">
            <v>28.892419965387656</v>
          </cell>
          <cell r="AG35">
            <v>30.463419965387658</v>
          </cell>
          <cell r="AH35">
            <v>1200.778523064291</v>
          </cell>
          <cell r="AI35">
            <v>19.3</v>
          </cell>
          <cell r="AJ35">
            <v>14.58</v>
          </cell>
          <cell r="AK35">
            <v>28</v>
          </cell>
          <cell r="AL35">
            <v>0.70000000000000007</v>
          </cell>
          <cell r="AM35">
            <v>1.2999999999999999E-2</v>
          </cell>
          <cell r="AN35">
            <v>0</v>
          </cell>
          <cell r="AO35" t="str">
            <v/>
          </cell>
          <cell r="AP35" t="str">
            <v/>
          </cell>
          <cell r="AQ35" t="str">
            <v/>
          </cell>
          <cell r="AR35" t="str">
            <v/>
          </cell>
          <cell r="AS35" t="str">
            <v/>
          </cell>
          <cell r="AT35">
            <v>0</v>
          </cell>
          <cell r="AU35" t="str">
            <v/>
          </cell>
          <cell r="AV35">
            <v>9.2051959495256561</v>
          </cell>
          <cell r="AW35">
            <v>3542.5745563108298</v>
          </cell>
          <cell r="AX35" t="str">
            <v/>
          </cell>
          <cell r="AY35">
            <v>114.73554446443033</v>
          </cell>
          <cell r="AZ35" t="str">
            <v>93°30'22''</v>
          </cell>
          <cell r="BA35">
            <v>1.0077907318737453</v>
          </cell>
          <cell r="BB35" t="str">
            <v/>
          </cell>
          <cell r="BC35" t="str">
            <v/>
          </cell>
          <cell r="BD35" t="str">
            <v/>
          </cell>
          <cell r="BE35" t="str">
            <v/>
          </cell>
          <cell r="BF35">
            <v>0</v>
          </cell>
          <cell r="BG35">
            <v>0.9343476434955017</v>
          </cell>
          <cell r="BH35">
            <v>2.1428571428571428</v>
          </cell>
          <cell r="BI35">
            <v>1.2</v>
          </cell>
          <cell r="BJ35" t="str">
            <v/>
          </cell>
          <cell r="BK35" t="str">
            <v/>
          </cell>
          <cell r="BL35" t="str">
            <v/>
          </cell>
          <cell r="BM35">
            <v>1.9886500545321404</v>
          </cell>
          <cell r="BN35" t="str">
            <v/>
          </cell>
          <cell r="BO35">
            <v>683.40299999999991</v>
          </cell>
          <cell r="BP35">
            <v>680.59299999999996</v>
          </cell>
          <cell r="BQ35">
            <v>684.10299999999995</v>
          </cell>
          <cell r="BR35">
            <v>681.29300000000001</v>
          </cell>
          <cell r="BS35">
            <v>684.57300000000009</v>
          </cell>
          <cell r="BT35">
            <v>679.55300000000011</v>
          </cell>
          <cell r="BU35" t="str">
            <v/>
          </cell>
          <cell r="BV35">
            <v>0.47000000000014097</v>
          </cell>
          <cell r="BW35">
            <v>-1.7399999999998954</v>
          </cell>
          <cell r="BX35">
            <v>1.1700000000001411</v>
          </cell>
          <cell r="BY35">
            <v>700</v>
          </cell>
          <cell r="BZ35">
            <v>1.2749999999999999</v>
          </cell>
          <cell r="CA35">
            <v>0.875</v>
          </cell>
          <cell r="CB35">
            <v>-0.63499999999987722</v>
          </cell>
          <cell r="CC35">
            <v>-0.52634837539558499</v>
          </cell>
          <cell r="CD35">
            <v>-1796.8546632801404</v>
          </cell>
          <cell r="CE35">
            <v>1.4625746628637755</v>
          </cell>
          <cell r="CF35">
            <v>15686.113259213991</v>
          </cell>
          <cell r="CG35">
            <v>13889.25859593385</v>
          </cell>
          <cell r="CH35">
            <v>1.25</v>
          </cell>
          <cell r="CI35">
            <v>4613</v>
          </cell>
          <cell r="CJ35">
            <v>3.763618739414115</v>
          </cell>
          <cell r="CK35">
            <v>4</v>
          </cell>
          <cell r="CL35">
            <v>3</v>
          </cell>
          <cell r="CM35">
            <v>3</v>
          </cell>
        </row>
        <row r="36">
          <cell r="A36">
            <v>53</v>
          </cell>
          <cell r="B36" t="str">
            <v>C19</v>
          </cell>
          <cell r="C36" t="str">
            <v>C20</v>
          </cell>
          <cell r="F36">
            <v>4.01</v>
          </cell>
          <cell r="G36">
            <v>5</v>
          </cell>
          <cell r="J36" t="str">
            <v/>
          </cell>
          <cell r="K36">
            <v>4.8647885230008001E-2</v>
          </cell>
          <cell r="L36">
            <v>3.810243673743281</v>
          </cell>
          <cell r="M36">
            <v>3.810243673743281</v>
          </cell>
          <cell r="N36">
            <v>454.65203698934312</v>
          </cell>
          <cell r="O36">
            <v>0.63959865053513276</v>
          </cell>
          <cell r="P36">
            <v>1166.0872655789467</v>
          </cell>
          <cell r="S36">
            <v>15.71</v>
          </cell>
          <cell r="T36">
            <v>98</v>
          </cell>
          <cell r="U36">
            <v>6158</v>
          </cell>
          <cell r="V36">
            <v>0.68799999999999994</v>
          </cell>
          <cell r="X36">
            <v>0</v>
          </cell>
          <cell r="Y36" t="str">
            <v/>
          </cell>
          <cell r="AA36">
            <v>0</v>
          </cell>
          <cell r="AB36" t="str">
            <v/>
          </cell>
          <cell r="AC36">
            <v>0.58479999999999999</v>
          </cell>
          <cell r="AD36">
            <v>9.1872080000000018</v>
          </cell>
          <cell r="AE36">
            <v>28.892419965387656</v>
          </cell>
          <cell r="AF36">
            <v>28.892419965387656</v>
          </cell>
          <cell r="AG36">
            <v>30.463419965387658</v>
          </cell>
          <cell r="AH36">
            <v>1196.5506855443343</v>
          </cell>
          <cell r="AI36">
            <v>21.49</v>
          </cell>
          <cell r="AJ36">
            <v>20.5</v>
          </cell>
          <cell r="AK36">
            <v>28</v>
          </cell>
          <cell r="AL36">
            <v>0.70000000000000007</v>
          </cell>
          <cell r="AM36">
            <v>1.2999999999999999E-2</v>
          </cell>
          <cell r="AN36">
            <v>0</v>
          </cell>
          <cell r="AO36" t="str">
            <v/>
          </cell>
          <cell r="AP36" t="str">
            <v/>
          </cell>
          <cell r="AQ36" t="str">
            <v/>
          </cell>
          <cell r="AR36" t="str">
            <v/>
          </cell>
          <cell r="AS36" t="str">
            <v/>
          </cell>
          <cell r="AT36">
            <v>0</v>
          </cell>
          <cell r="AU36" t="str">
            <v/>
          </cell>
          <cell r="AV36">
            <v>10.915187647171557</v>
          </cell>
          <cell r="AW36">
            <v>4200.6564823012577</v>
          </cell>
          <cell r="AX36" t="str">
            <v/>
          </cell>
          <cell r="AY36">
            <v>114.73715898942989</v>
          </cell>
          <cell r="AZ36" t="str">
            <v>00°00'00''</v>
          </cell>
          <cell r="BA36">
            <v>1000</v>
          </cell>
          <cell r="BB36" t="str">
            <v/>
          </cell>
          <cell r="BC36" t="str">
            <v/>
          </cell>
          <cell r="BD36" t="str">
            <v/>
          </cell>
          <cell r="BE36" t="str">
            <v/>
          </cell>
          <cell r="BF36">
            <v>0</v>
          </cell>
          <cell r="BG36" t="str">
            <v/>
          </cell>
          <cell r="BH36" t="str">
            <v/>
          </cell>
          <cell r="BI36" t="str">
            <v/>
          </cell>
          <cell r="BJ36" t="str">
            <v/>
          </cell>
          <cell r="BK36" t="str">
            <v/>
          </cell>
          <cell r="BL36" t="str">
            <v/>
          </cell>
          <cell r="BM36" t="str">
            <v/>
          </cell>
          <cell r="BN36" t="str">
            <v/>
          </cell>
          <cell r="BO36">
            <v>680.59299999999996</v>
          </cell>
          <cell r="BP36">
            <v>676.18299999999999</v>
          </cell>
          <cell r="BQ36">
            <v>681.29300000000001</v>
          </cell>
          <cell r="BR36">
            <v>676.88300000000004</v>
          </cell>
          <cell r="BS36">
            <v>679.55300000000011</v>
          </cell>
          <cell r="BT36">
            <v>674.35300000000007</v>
          </cell>
          <cell r="BU36" t="str">
            <v/>
          </cell>
          <cell r="BV36">
            <v>-1.7399999999998954</v>
          </cell>
          <cell r="BW36">
            <v>-2.5299999999999727</v>
          </cell>
          <cell r="BX36">
            <v>-1.0399999999998952</v>
          </cell>
          <cell r="BY36">
            <v>700</v>
          </cell>
          <cell r="BZ36">
            <v>1.2749999999999999</v>
          </cell>
          <cell r="CA36">
            <v>0.875</v>
          </cell>
          <cell r="CB36">
            <v>-2.1349999999999341</v>
          </cell>
          <cell r="CC36">
            <v>-2.0245852491296268</v>
          </cell>
          <cell r="CD36">
            <v>-6911.5544307943328</v>
          </cell>
          <cell r="CE36">
            <v>1.9151977298689804</v>
          </cell>
          <cell r="CF36">
            <v>20540.495652844817</v>
          </cell>
          <cell r="CG36">
            <v>13628.941222050484</v>
          </cell>
          <cell r="CH36">
            <v>1.25</v>
          </cell>
          <cell r="CI36">
            <v>4613</v>
          </cell>
          <cell r="CJ36">
            <v>3.6930796721359429</v>
          </cell>
          <cell r="CK36">
            <v>4</v>
          </cell>
          <cell r="CL36">
            <v>3</v>
          </cell>
          <cell r="CM36">
            <v>3</v>
          </cell>
        </row>
        <row r="37">
          <cell r="A37">
            <v>54</v>
          </cell>
          <cell r="B37" t="str">
            <v>C20</v>
          </cell>
          <cell r="C37" t="str">
            <v>A21</v>
          </cell>
          <cell r="F37">
            <v>4.01</v>
          </cell>
          <cell r="G37">
            <v>5</v>
          </cell>
          <cell r="J37" t="str">
            <v/>
          </cell>
          <cell r="K37">
            <v>0.1971435875675345</v>
          </cell>
          <cell r="L37">
            <v>4.0073872613108152</v>
          </cell>
          <cell r="M37">
            <v>4.0073872613108152</v>
          </cell>
          <cell r="N37">
            <v>450.63065613657886</v>
          </cell>
          <cell r="O37">
            <v>0.63457776427703505</v>
          </cell>
          <cell r="P37">
            <v>1146.7003790862327</v>
          </cell>
          <cell r="S37">
            <v>15.71</v>
          </cell>
          <cell r="T37">
            <v>98</v>
          </cell>
          <cell r="U37">
            <v>6158</v>
          </cell>
          <cell r="V37">
            <v>0.68799999999999994</v>
          </cell>
          <cell r="X37">
            <v>0</v>
          </cell>
          <cell r="Y37" t="str">
            <v/>
          </cell>
          <cell r="AA37">
            <v>0</v>
          </cell>
          <cell r="AB37" t="str">
            <v/>
          </cell>
          <cell r="AC37">
            <v>0.58479999999999999</v>
          </cell>
          <cell r="AD37">
            <v>9.1872080000000018</v>
          </cell>
          <cell r="AE37">
            <v>28.892419965387656</v>
          </cell>
          <cell r="AF37">
            <v>28.892419965387656</v>
          </cell>
          <cell r="AG37">
            <v>30.463419965387658</v>
          </cell>
          <cell r="AH37">
            <v>1177.1637990516203</v>
          </cell>
          <cell r="AI37">
            <v>16.46</v>
          </cell>
          <cell r="AJ37">
            <v>9.2899999999999991</v>
          </cell>
          <cell r="AK37">
            <v>24</v>
          </cell>
          <cell r="AL37">
            <v>0.60000000000000009</v>
          </cell>
          <cell r="AM37">
            <v>1.2999999999999999E-2</v>
          </cell>
          <cell r="AN37">
            <v>0</v>
          </cell>
          <cell r="AO37" t="str">
            <v/>
          </cell>
          <cell r="AP37" t="str">
            <v/>
          </cell>
          <cell r="AQ37" t="str">
            <v/>
          </cell>
          <cell r="AR37" t="str">
            <v/>
          </cell>
          <cell r="AS37" t="str">
            <v/>
          </cell>
          <cell r="AT37">
            <v>0</v>
          </cell>
          <cell r="AU37" t="str">
            <v/>
          </cell>
          <cell r="AV37">
            <v>6.630265807271055</v>
          </cell>
          <cell r="AW37">
            <v>1874.6634916323314</v>
          </cell>
          <cell r="AX37" t="str">
            <v/>
          </cell>
          <cell r="AY37">
            <v>99.698075365859424</v>
          </cell>
          <cell r="AZ37" t="str">
            <v>15°02'21''</v>
          </cell>
          <cell r="BA37">
            <v>9.4697332935740395</v>
          </cell>
          <cell r="BB37" t="str">
            <v/>
          </cell>
          <cell r="BC37" t="str">
            <v/>
          </cell>
          <cell r="BD37" t="str">
            <v/>
          </cell>
          <cell r="BE37" t="str">
            <v/>
          </cell>
          <cell r="BF37">
            <v>0</v>
          </cell>
          <cell r="BG37" t="str">
            <v/>
          </cell>
          <cell r="BH37" t="str">
            <v/>
          </cell>
          <cell r="BI37" t="str">
            <v/>
          </cell>
          <cell r="BJ37" t="str">
            <v/>
          </cell>
          <cell r="BK37" t="str">
            <v/>
          </cell>
          <cell r="BL37" t="str">
            <v/>
          </cell>
          <cell r="BM37" t="str">
            <v/>
          </cell>
          <cell r="BN37" t="str">
            <v/>
          </cell>
          <cell r="BO37">
            <v>676.18299999999999</v>
          </cell>
          <cell r="BP37">
            <v>674.65300000000002</v>
          </cell>
          <cell r="BQ37">
            <v>676.78300000000002</v>
          </cell>
          <cell r="BR37">
            <v>675.25300000000004</v>
          </cell>
          <cell r="BS37">
            <v>674.35300000000007</v>
          </cell>
          <cell r="BT37">
            <v>672.02300000000014</v>
          </cell>
          <cell r="BU37" t="str">
            <v/>
          </cell>
          <cell r="BV37">
            <v>-2.42999999999995</v>
          </cell>
          <cell r="BW37">
            <v>-3.2299999999999045</v>
          </cell>
          <cell r="BX37">
            <v>-1.8299999999999499</v>
          </cell>
          <cell r="BY37">
            <v>600</v>
          </cell>
          <cell r="BZ37">
            <v>1.1499999999999999</v>
          </cell>
          <cell r="CA37">
            <v>0.75</v>
          </cell>
          <cell r="CB37">
            <v>-2.8299999999999272</v>
          </cell>
          <cell r="CC37">
            <v>-3.2654364164759015</v>
          </cell>
          <cell r="CD37">
            <v>-9068.9332876576955</v>
          </cell>
          <cell r="CE37">
            <v>1.9570336894141922</v>
          </cell>
          <cell r="CF37">
            <v>20989.186318967211</v>
          </cell>
          <cell r="CG37">
            <v>11920.253031309516</v>
          </cell>
          <cell r="CH37">
            <v>1.25</v>
          </cell>
          <cell r="CI37">
            <v>3954</v>
          </cell>
          <cell r="CJ37">
            <v>3.768415854612265</v>
          </cell>
          <cell r="CK37">
            <v>4</v>
          </cell>
          <cell r="CL37">
            <v>3</v>
          </cell>
          <cell r="CM37">
            <v>3</v>
          </cell>
        </row>
        <row r="38">
          <cell r="A38">
            <v>55</v>
          </cell>
          <cell r="E38">
            <v>-3.1310065197464443</v>
          </cell>
          <cell r="F38" t="str">
            <v/>
          </cell>
          <cell r="G38" t="str">
            <v/>
          </cell>
          <cell r="J38" t="str">
            <v/>
          </cell>
          <cell r="K38" t="str">
            <v/>
          </cell>
          <cell r="L38" t="str">
            <v/>
          </cell>
          <cell r="M38" t="str">
            <v/>
          </cell>
          <cell r="N38" t="str">
            <v/>
          </cell>
          <cell r="O38" t="str">
            <v/>
          </cell>
          <cell r="P38" t="str">
            <v/>
          </cell>
          <cell r="S38" t="str">
            <v/>
          </cell>
          <cell r="U38" t="str">
            <v/>
          </cell>
          <cell r="X38">
            <v>0</v>
          </cell>
          <cell r="Y38" t="str">
            <v/>
          </cell>
          <cell r="AA38">
            <v>0</v>
          </cell>
          <cell r="AB38" t="str">
            <v/>
          </cell>
          <cell r="AC38" t="str">
            <v/>
          </cell>
          <cell r="AD38" t="str">
            <v/>
          </cell>
          <cell r="AE38" t="str">
            <v/>
          </cell>
          <cell r="AF38" t="str">
            <v/>
          </cell>
          <cell r="AG38" t="str">
            <v/>
          </cell>
          <cell r="AH38" t="str">
            <v/>
          </cell>
          <cell r="AI38" t="str">
            <v/>
          </cell>
          <cell r="AJ38">
            <v>1.74</v>
          </cell>
          <cell r="AK38">
            <v>12</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v>674.87300000000005</v>
          </cell>
          <cell r="BP38" t="str">
            <v/>
          </cell>
          <cell r="BQ38">
            <v>674.87300000000005</v>
          </cell>
          <cell r="BR38" t="str">
            <v/>
          </cell>
          <cell r="BS38" t="str">
            <v/>
          </cell>
          <cell r="BT38" t="str">
            <v/>
          </cell>
          <cell r="BU38" t="str">
            <v/>
          </cell>
          <cell r="BV38" t="str">
            <v/>
          </cell>
          <cell r="BW38" t="str">
            <v/>
          </cell>
          <cell r="BX38" t="str">
            <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56</v>
          </cell>
          <cell r="F39" t="str">
            <v/>
          </cell>
          <cell r="G39" t="str">
            <v/>
          </cell>
          <cell r="J39" t="str">
            <v/>
          </cell>
          <cell r="K39" t="str">
            <v/>
          </cell>
          <cell r="L39" t="str">
            <v/>
          </cell>
          <cell r="M39" t="str">
            <v/>
          </cell>
          <cell r="N39" t="str">
            <v/>
          </cell>
          <cell r="O39" t="str">
            <v/>
          </cell>
          <cell r="P39" t="str">
            <v/>
          </cell>
          <cell r="S39" t="str">
            <v/>
          </cell>
          <cell r="U39" t="str">
            <v/>
          </cell>
          <cell r="X39">
            <v>0</v>
          </cell>
          <cell r="Y39" t="str">
            <v/>
          </cell>
          <cell r="AA39">
            <v>0</v>
          </cell>
          <cell r="AB39" t="str">
            <v/>
          </cell>
          <cell r="AC39" t="str">
            <v/>
          </cell>
          <cell r="AD39" t="str">
            <v/>
          </cell>
          <cell r="AE39" t="str">
            <v/>
          </cell>
          <cell r="AF39" t="str">
            <v/>
          </cell>
          <cell r="AG39" t="str">
            <v/>
          </cell>
          <cell r="AH39" t="str">
            <v/>
          </cell>
          <cell r="AI39" t="str">
            <v/>
          </cell>
          <cell r="AJ39">
            <v>22.27</v>
          </cell>
          <cell r="AK39">
            <v>8</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v>0</v>
          </cell>
          <cell r="BP39" t="str">
            <v/>
          </cell>
          <cell r="BQ39">
            <v>0</v>
          </cell>
          <cell r="BR39" t="str">
            <v/>
          </cell>
          <cell r="BS39" t="str">
            <v/>
          </cell>
          <cell r="BT39" t="str">
            <v/>
          </cell>
          <cell r="BU39" t="str">
            <v/>
          </cell>
          <cell r="BV39" t="str">
            <v/>
          </cell>
          <cell r="BW39" t="str">
            <v/>
          </cell>
          <cell r="BX39" t="str">
            <v/>
          </cell>
          <cell r="BY39">
            <v>0</v>
          </cell>
          <cell r="BZ39">
            <v>0.4</v>
          </cell>
          <cell r="CA39">
            <v>0</v>
          </cell>
          <cell r="CB39">
            <v>0</v>
          </cell>
          <cell r="CC39">
            <v>0</v>
          </cell>
          <cell r="CD39">
            <v>0</v>
          </cell>
          <cell r="CE39" t="e">
            <v>#VALUE!</v>
          </cell>
          <cell r="CF39" t="e">
            <v>#VALUE!</v>
          </cell>
          <cell r="CG39" t="e">
            <v>#VALUE!</v>
          </cell>
          <cell r="CH39">
            <v>1.3</v>
          </cell>
          <cell r="CI39" t="e">
            <v>#VALUE!</v>
          </cell>
          <cell r="CJ39" t="e">
            <v>#VALUE!</v>
          </cell>
          <cell r="CK39" t="e">
            <v>#VALUE!</v>
          </cell>
          <cell r="CL39">
            <v>1</v>
          </cell>
          <cell r="CM39">
            <v>4</v>
          </cell>
        </row>
        <row r="40">
          <cell r="A40">
            <v>57</v>
          </cell>
          <cell r="C40" t="str">
            <v/>
          </cell>
          <cell r="F40" t="str">
            <v/>
          </cell>
          <cell r="G40" t="str">
            <v/>
          </cell>
          <cell r="J40" t="str">
            <v/>
          </cell>
          <cell r="K40" t="str">
            <v/>
          </cell>
          <cell r="L40" t="str">
            <v/>
          </cell>
          <cell r="M40" t="str">
            <v/>
          </cell>
          <cell r="N40" t="str">
            <v/>
          </cell>
          <cell r="O40" t="str">
            <v/>
          </cell>
          <cell r="P40" t="str">
            <v/>
          </cell>
          <cell r="S40" t="str">
            <v/>
          </cell>
          <cell r="U40" t="str">
            <v/>
          </cell>
          <cell r="X40">
            <v>0</v>
          </cell>
          <cell r="Y40" t="str">
            <v/>
          </cell>
          <cell r="AA40">
            <v>0</v>
          </cell>
          <cell r="AB40" t="str">
            <v/>
          </cell>
          <cell r="AC40" t="str">
            <v/>
          </cell>
          <cell r="AD40" t="str">
            <v/>
          </cell>
          <cell r="AE40" t="str">
            <v/>
          </cell>
          <cell r="AF40" t="str">
            <v/>
          </cell>
          <cell r="AG40" t="str">
            <v/>
          </cell>
          <cell r="AH40" t="str">
            <v/>
          </cell>
          <cell r="AI40" t="str">
            <v/>
          </cell>
          <cell r="AJ40">
            <v>22.35</v>
          </cell>
          <cell r="AK40">
            <v>8</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v>0</v>
          </cell>
          <cell r="BP40" t="str">
            <v/>
          </cell>
          <cell r="BQ40">
            <v>0</v>
          </cell>
          <cell r="BR40" t="str">
            <v/>
          </cell>
          <cell r="BS40" t="str">
            <v/>
          </cell>
          <cell r="BT40" t="str">
            <v/>
          </cell>
          <cell r="BU40" t="str">
            <v/>
          </cell>
          <cell r="BV40" t="str">
            <v/>
          </cell>
          <cell r="BW40" t="str">
            <v/>
          </cell>
          <cell r="BX40" t="str">
            <v/>
          </cell>
          <cell r="BY40">
            <v>0</v>
          </cell>
          <cell r="BZ40">
            <v>0.4</v>
          </cell>
          <cell r="CA40">
            <v>0</v>
          </cell>
          <cell r="CB40">
            <v>0</v>
          </cell>
          <cell r="CC40">
            <v>0</v>
          </cell>
          <cell r="CD40">
            <v>0</v>
          </cell>
          <cell r="CE40" t="e">
            <v>#VALUE!</v>
          </cell>
          <cell r="CF40" t="e">
            <v>#VALUE!</v>
          </cell>
          <cell r="CG40" t="e">
            <v>#VALUE!</v>
          </cell>
          <cell r="CH40">
            <v>1.3</v>
          </cell>
          <cell r="CI40" t="e">
            <v>#VALUE!</v>
          </cell>
          <cell r="CJ40" t="e">
            <v>#VALUE!</v>
          </cell>
          <cell r="CK40" t="e">
            <v>#VALUE!</v>
          </cell>
          <cell r="CL40">
            <v>1</v>
          </cell>
          <cell r="CM40">
            <v>4</v>
          </cell>
        </row>
        <row r="41">
          <cell r="A41">
            <v>58</v>
          </cell>
          <cell r="B41" t="str">
            <v>C31</v>
          </cell>
          <cell r="C41" t="str">
            <v>C32</v>
          </cell>
          <cell r="F41">
            <v>0</v>
          </cell>
          <cell r="G41" t="str">
            <v/>
          </cell>
          <cell r="J41" t="str">
            <v/>
          </cell>
          <cell r="K41" t="str">
            <v/>
          </cell>
          <cell r="L41" t="str">
            <v/>
          </cell>
          <cell r="M41" t="str">
            <v/>
          </cell>
          <cell r="N41" t="str">
            <v/>
          </cell>
          <cell r="O41" t="str">
            <v/>
          </cell>
          <cell r="P41" t="str">
            <v/>
          </cell>
          <cell r="Q41">
            <v>0.4</v>
          </cell>
          <cell r="S41">
            <v>0.4</v>
          </cell>
          <cell r="T41">
            <v>98</v>
          </cell>
          <cell r="U41">
            <v>157</v>
          </cell>
          <cell r="V41">
            <v>0.68799999999999994</v>
          </cell>
          <cell r="X41" t="str">
            <v/>
          </cell>
          <cell r="Y41" t="str">
            <v/>
          </cell>
          <cell r="AA41" t="str">
            <v/>
          </cell>
          <cell r="AB41" t="str">
            <v/>
          </cell>
          <cell r="AC41">
            <v>0.58479999999999999</v>
          </cell>
          <cell r="AD41">
            <v>0.23392000000000002</v>
          </cell>
          <cell r="AE41">
            <v>0.96275646183025421</v>
          </cell>
          <cell r="AF41">
            <v>1.0427564618302543</v>
          </cell>
          <cell r="AG41">
            <v>1.0827564618302543</v>
          </cell>
          <cell r="AH41">
            <v>1.5</v>
          </cell>
          <cell r="AI41">
            <v>33.06</v>
          </cell>
          <cell r="AJ41">
            <v>12.71</v>
          </cell>
          <cell r="AK41">
            <v>8</v>
          </cell>
          <cell r="AL41">
            <v>0.2</v>
          </cell>
          <cell r="AM41">
            <v>1.4E-2</v>
          </cell>
          <cell r="AN41">
            <v>1.8120574951171874E-2</v>
          </cell>
          <cell r="AO41">
            <v>3.125E-2</v>
          </cell>
          <cell r="AP41">
            <v>9.0602874755859361E-2</v>
          </cell>
          <cell r="AQ41">
            <v>1.0606024579340583</v>
          </cell>
          <cell r="AR41">
            <v>3.0484361958124309</v>
          </cell>
          <cell r="AS41">
            <v>0.97496141568254013</v>
          </cell>
          <cell r="AT41">
            <v>5.7333209672567068E-2</v>
          </cell>
          <cell r="AU41">
            <v>7.5453784623738945E-2</v>
          </cell>
          <cell r="AV41">
            <v>3.4620261029663735</v>
          </cell>
          <cell r="AW41">
            <v>108.76275771615262</v>
          </cell>
          <cell r="AX41">
            <v>1.379148553693974E-2</v>
          </cell>
          <cell r="AY41">
            <v>180.47667380172905</v>
          </cell>
          <cell r="AZ41" t="b">
            <v>0</v>
          </cell>
          <cell r="BA41" t="str">
            <v/>
          </cell>
          <cell r="BB41">
            <v>1E-3</v>
          </cell>
          <cell r="BC41">
            <v>0</v>
          </cell>
          <cell r="BD41">
            <v>0</v>
          </cell>
          <cell r="BE41">
            <v>1E-3</v>
          </cell>
          <cell r="BF41" t="str">
            <v/>
          </cell>
          <cell r="BG41">
            <v>2.6748963180841235E-2</v>
          </cell>
          <cell r="BH41">
            <v>5.9999999999999991</v>
          </cell>
          <cell r="BI41">
            <v>1.2</v>
          </cell>
          <cell r="BJ41">
            <v>0.10752081245013895</v>
          </cell>
          <cell r="BK41">
            <v>0.13877081245013895</v>
          </cell>
          <cell r="BL41">
            <v>7.4482604539801915E-6</v>
          </cell>
          <cell r="BM41">
            <v>0.16653391285271152</v>
          </cell>
          <cell r="BN41">
            <v>0</v>
          </cell>
          <cell r="BO41">
            <v>703.05299999999988</v>
          </cell>
          <cell r="BP41">
            <v>698.85299999999984</v>
          </cell>
          <cell r="BQ41">
            <v>703.25299999999993</v>
          </cell>
          <cell r="BR41">
            <v>699.05299999999988</v>
          </cell>
          <cell r="BS41">
            <v>704.45299999999997</v>
          </cell>
          <cell r="BT41">
            <v>699.85300000000007</v>
          </cell>
          <cell r="BU41" t="b">
            <v>0</v>
          </cell>
          <cell r="BV41">
            <v>1.2000000000000455</v>
          </cell>
          <cell r="BW41">
            <v>0.8000000000001819</v>
          </cell>
          <cell r="BX41">
            <v>1.4000000000000454</v>
          </cell>
          <cell r="BY41">
            <v>200</v>
          </cell>
          <cell r="BZ41">
            <v>0.65</v>
          </cell>
          <cell r="CA41">
            <v>0.25</v>
          </cell>
          <cell r="CB41">
            <v>1.0000000000001137</v>
          </cell>
          <cell r="CC41">
            <v>1.3051536509443407</v>
          </cell>
          <cell r="CD41">
            <v>1157.9975768003665</v>
          </cell>
          <cell r="CE41">
            <v>9.8449303549506206E-2</v>
          </cell>
          <cell r="CF41">
            <v>812.20675428342622</v>
          </cell>
          <cell r="CG41">
            <v>1970.2043310837926</v>
          </cell>
          <cell r="CH41">
            <v>1.5</v>
          </cell>
          <cell r="CI41">
            <v>2243</v>
          </cell>
          <cell r="CJ41">
            <v>1.3175686565428839</v>
          </cell>
          <cell r="CK41">
            <v>1.5</v>
          </cell>
          <cell r="CL41">
            <v>1</v>
          </cell>
          <cell r="CM41">
            <v>2</v>
          </cell>
        </row>
        <row r="42">
          <cell r="A42">
            <v>59</v>
          </cell>
          <cell r="B42" t="str">
            <v>C32</v>
          </cell>
          <cell r="C42" t="str">
            <v>C33</v>
          </cell>
          <cell r="F42">
            <v>0</v>
          </cell>
          <cell r="G42" t="str">
            <v/>
          </cell>
          <cell r="J42" t="str">
            <v/>
          </cell>
          <cell r="K42" t="str">
            <v/>
          </cell>
          <cell r="L42" t="str">
            <v/>
          </cell>
          <cell r="M42" t="str">
            <v/>
          </cell>
          <cell r="N42" t="str">
            <v/>
          </cell>
          <cell r="O42" t="str">
            <v/>
          </cell>
          <cell r="P42" t="str">
            <v/>
          </cell>
          <cell r="S42">
            <v>0.4</v>
          </cell>
          <cell r="T42">
            <v>98</v>
          </cell>
          <cell r="U42">
            <v>157</v>
          </cell>
          <cell r="V42">
            <v>0.68799999999999994</v>
          </cell>
          <cell r="X42">
            <v>0</v>
          </cell>
          <cell r="Y42" t="str">
            <v/>
          </cell>
          <cell r="AA42">
            <v>0</v>
          </cell>
          <cell r="AB42" t="str">
            <v/>
          </cell>
          <cell r="AC42">
            <v>0.58479999999999999</v>
          </cell>
          <cell r="AD42">
            <v>0.23392000000000002</v>
          </cell>
          <cell r="AE42">
            <v>0.96275646183025421</v>
          </cell>
          <cell r="AF42">
            <v>1.0427564618302543</v>
          </cell>
          <cell r="AG42">
            <v>1.0827564618302543</v>
          </cell>
          <cell r="AH42">
            <v>1.5</v>
          </cell>
          <cell r="AI42">
            <v>14.62</v>
          </cell>
          <cell r="AJ42">
            <v>22.67</v>
          </cell>
          <cell r="AK42">
            <v>8</v>
          </cell>
          <cell r="AL42">
            <v>0.2</v>
          </cell>
          <cell r="AM42">
            <v>1.4E-2</v>
          </cell>
          <cell r="AN42">
            <v>1.5719604492187501E-2</v>
          </cell>
          <cell r="AO42">
            <v>3.125E-2</v>
          </cell>
          <cell r="AP42">
            <v>7.85980224609375E-2</v>
          </cell>
          <cell r="AQ42">
            <v>1.3076246347994489</v>
          </cell>
          <cell r="AR42">
            <v>4.0408094936548542</v>
          </cell>
          <cell r="AS42">
            <v>1.550829268095187</v>
          </cell>
          <cell r="AT42">
            <v>8.7149958487991439E-2</v>
          </cell>
          <cell r="AU42">
            <v>0.10286956298017894</v>
          </cell>
          <cell r="AV42">
            <v>4.6236326602931452</v>
          </cell>
          <cell r="AW42">
            <v>145.25570398474781</v>
          </cell>
          <cell r="AX42">
            <v>1.0326616847745294E-2</v>
          </cell>
          <cell r="AY42">
            <v>204.8504252470143</v>
          </cell>
          <cell r="AZ42" t="str">
            <v>24°22'26''</v>
          </cell>
          <cell r="BA42">
            <v>13.890953541458391</v>
          </cell>
          <cell r="BB42">
            <v>2.7E-2</v>
          </cell>
          <cell r="BC42">
            <v>3.0000000000000001E-3</v>
          </cell>
          <cell r="BD42">
            <v>4.0000000000000001E-3</v>
          </cell>
          <cell r="BE42">
            <v>3.4000000000000002E-2</v>
          </cell>
          <cell r="BF42">
            <v>3.4000000000000002E-2</v>
          </cell>
          <cell r="BG42" t="str">
            <v/>
          </cell>
          <cell r="BH42" t="str">
            <v/>
          </cell>
          <cell r="BI42" t="str">
            <v/>
          </cell>
          <cell r="BJ42" t="str">
            <v/>
          </cell>
          <cell r="BK42" t="str">
            <v/>
          </cell>
          <cell r="BL42" t="str">
            <v/>
          </cell>
          <cell r="BM42" t="str">
            <v/>
          </cell>
          <cell r="BN42">
            <v>0.03</v>
          </cell>
          <cell r="BO42">
            <v>698.82299999999987</v>
          </cell>
          <cell r="BP42">
            <v>695.51299999999992</v>
          </cell>
          <cell r="BQ42">
            <v>699.02299999999991</v>
          </cell>
          <cell r="BR42">
            <v>695.71299999999997</v>
          </cell>
          <cell r="BS42">
            <v>699.85300000000007</v>
          </cell>
          <cell r="BT42">
            <v>696.53300000000013</v>
          </cell>
          <cell r="BU42" t="str">
            <v/>
          </cell>
          <cell r="BV42">
            <v>0.83000000000015461</v>
          </cell>
          <cell r="BW42">
            <v>0.82000000000016371</v>
          </cell>
          <cell r="BX42">
            <v>1.0300000000001546</v>
          </cell>
          <cell r="BY42">
            <v>200</v>
          </cell>
          <cell r="BZ42">
            <v>0.65</v>
          </cell>
          <cell r="CA42">
            <v>0.25</v>
          </cell>
          <cell r="CB42">
            <v>0.82500000000015916</v>
          </cell>
          <cell r="CC42">
            <v>1.1074302853340923</v>
          </cell>
          <cell r="CD42">
            <v>982.56752066267336</v>
          </cell>
          <cell r="CE42">
            <v>0.13420744962108144</v>
          </cell>
          <cell r="CF42">
            <v>1217.9326053113141</v>
          </cell>
          <cell r="CG42">
            <v>2200.5001259739875</v>
          </cell>
          <cell r="CH42">
            <v>1.5</v>
          </cell>
          <cell r="CI42">
            <v>2243</v>
          </cell>
          <cell r="CJ42">
            <v>1.4715783276687389</v>
          </cell>
          <cell r="CK42">
            <v>1.5</v>
          </cell>
          <cell r="CL42">
            <v>1</v>
          </cell>
          <cell r="CM42">
            <v>2</v>
          </cell>
        </row>
        <row r="43">
          <cell r="A43">
            <v>60</v>
          </cell>
          <cell r="B43" t="str">
            <v>C33</v>
          </cell>
          <cell r="C43" t="str">
            <v>C34</v>
          </cell>
          <cell r="F43">
            <v>0</v>
          </cell>
          <cell r="G43" t="str">
            <v/>
          </cell>
          <cell r="J43" t="str">
            <v/>
          </cell>
          <cell r="K43" t="str">
            <v/>
          </cell>
          <cell r="L43" t="str">
            <v/>
          </cell>
          <cell r="M43" t="str">
            <v/>
          </cell>
          <cell r="N43" t="str">
            <v/>
          </cell>
          <cell r="O43" t="str">
            <v/>
          </cell>
          <cell r="P43" t="str">
            <v/>
          </cell>
          <cell r="S43">
            <v>0.4</v>
          </cell>
          <cell r="T43">
            <v>98</v>
          </cell>
          <cell r="U43">
            <v>157</v>
          </cell>
          <cell r="V43">
            <v>0.68799999999999994</v>
          </cell>
          <cell r="X43">
            <v>0</v>
          </cell>
          <cell r="Y43" t="str">
            <v/>
          </cell>
          <cell r="AA43">
            <v>0</v>
          </cell>
          <cell r="AB43" t="str">
            <v/>
          </cell>
          <cell r="AC43">
            <v>0.58479999999999999</v>
          </cell>
          <cell r="AD43">
            <v>0.23392000000000002</v>
          </cell>
          <cell r="AE43">
            <v>0.96275646183025421</v>
          </cell>
          <cell r="AF43">
            <v>1.0427564618302543</v>
          </cell>
          <cell r="AG43">
            <v>1.0827564618302543</v>
          </cell>
          <cell r="AH43">
            <v>1.5</v>
          </cell>
          <cell r="AI43">
            <v>15.64</v>
          </cell>
          <cell r="AJ43">
            <v>21.09</v>
          </cell>
          <cell r="AK43">
            <v>8</v>
          </cell>
          <cell r="AL43">
            <v>0.2</v>
          </cell>
          <cell r="AM43">
            <v>1.4E-2</v>
          </cell>
          <cell r="AN43">
            <v>1.6001129150390623E-2</v>
          </cell>
          <cell r="AO43">
            <v>3.125E-2</v>
          </cell>
          <cell r="AP43">
            <v>8.0005645751953111E-2</v>
          </cell>
          <cell r="AQ43">
            <v>1.2738496815705684</v>
          </cell>
          <cell r="AR43">
            <v>3.9010338681074201</v>
          </cell>
          <cell r="AS43">
            <v>1.4634068275683341</v>
          </cell>
          <cell r="AT43">
            <v>8.2706065812305746E-2</v>
          </cell>
          <cell r="AU43">
            <v>9.8707194962696365E-2</v>
          </cell>
          <cell r="AV43">
            <v>4.4595994439352431</v>
          </cell>
          <cell r="AW43">
            <v>140.1024485102009</v>
          </cell>
          <cell r="AX43">
            <v>1.0706451000324841E-2</v>
          </cell>
          <cell r="AY43">
            <v>227.42337412800077</v>
          </cell>
          <cell r="AZ43" t="str">
            <v>22°34'23''</v>
          </cell>
          <cell r="BA43">
            <v>15.03200026335843</v>
          </cell>
          <cell r="BB43">
            <v>1E-3</v>
          </cell>
          <cell r="BC43">
            <v>1E-3</v>
          </cell>
          <cell r="BD43">
            <v>4.0000000000000001E-3</v>
          </cell>
          <cell r="BE43">
            <v>6.0000000000000001E-3</v>
          </cell>
          <cell r="BF43">
            <v>5.0000000000000001E-3</v>
          </cell>
          <cell r="BG43" t="str">
            <v/>
          </cell>
          <cell r="BH43" t="str">
            <v/>
          </cell>
          <cell r="BI43" t="str">
            <v/>
          </cell>
          <cell r="BJ43" t="str">
            <v/>
          </cell>
          <cell r="BK43" t="str">
            <v/>
          </cell>
          <cell r="BL43" t="str">
            <v/>
          </cell>
          <cell r="BM43" t="str">
            <v/>
          </cell>
          <cell r="BN43">
            <v>0.01</v>
          </cell>
          <cell r="BO43">
            <v>695.50299999999993</v>
          </cell>
          <cell r="BP43">
            <v>692.20299999999997</v>
          </cell>
          <cell r="BQ43">
            <v>695.70299999999997</v>
          </cell>
          <cell r="BR43">
            <v>692.40300000000002</v>
          </cell>
          <cell r="BS43">
            <v>696.53300000000013</v>
          </cell>
          <cell r="BT43">
            <v>693.23299999999995</v>
          </cell>
          <cell r="BU43" t="str">
            <v/>
          </cell>
          <cell r="BV43">
            <v>0.83000000000015461</v>
          </cell>
          <cell r="BW43">
            <v>0.82999999999992724</v>
          </cell>
          <cell r="BX43">
            <v>1.0300000000001546</v>
          </cell>
          <cell r="BY43">
            <v>200</v>
          </cell>
          <cell r="BZ43">
            <v>0.65</v>
          </cell>
          <cell r="CA43">
            <v>0.25</v>
          </cell>
          <cell r="CB43">
            <v>0.83000000000004093</v>
          </cell>
          <cell r="CC43">
            <v>1.1132435599236561</v>
          </cell>
          <cell r="CD43">
            <v>987.72534854226399</v>
          </cell>
          <cell r="CE43">
            <v>0.13295061126629726</v>
          </cell>
          <cell r="CF43">
            <v>1206.5267972416477</v>
          </cell>
          <cell r="CG43">
            <v>2194.2521457839116</v>
          </cell>
          <cell r="CH43">
            <v>1.5</v>
          </cell>
          <cell r="CI43">
            <v>2243</v>
          </cell>
          <cell r="CJ43">
            <v>1.4674000083262895</v>
          </cell>
          <cell r="CK43">
            <v>1.5</v>
          </cell>
          <cell r="CL43">
            <v>1</v>
          </cell>
          <cell r="CM43">
            <v>2</v>
          </cell>
        </row>
        <row r="44">
          <cell r="A44">
            <v>61</v>
          </cell>
          <cell r="B44" t="str">
            <v>C34</v>
          </cell>
          <cell r="C44" t="str">
            <v>C35</v>
          </cell>
          <cell r="F44">
            <v>0</v>
          </cell>
          <cell r="G44" t="str">
            <v/>
          </cell>
          <cell r="J44" t="str">
            <v/>
          </cell>
          <cell r="K44" t="str">
            <v/>
          </cell>
          <cell r="L44" t="str">
            <v/>
          </cell>
          <cell r="M44" t="str">
            <v/>
          </cell>
          <cell r="N44" t="str">
            <v/>
          </cell>
          <cell r="O44" t="str">
            <v/>
          </cell>
          <cell r="P44" t="str">
            <v/>
          </cell>
          <cell r="S44">
            <v>0.4</v>
          </cell>
          <cell r="T44">
            <v>98</v>
          </cell>
          <cell r="U44">
            <v>157</v>
          </cell>
          <cell r="V44">
            <v>0.68799999999999994</v>
          </cell>
          <cell r="X44">
            <v>0</v>
          </cell>
          <cell r="Y44" t="str">
            <v/>
          </cell>
          <cell r="AA44">
            <v>0</v>
          </cell>
          <cell r="AB44" t="str">
            <v/>
          </cell>
          <cell r="AC44">
            <v>0.58479999999999999</v>
          </cell>
          <cell r="AD44">
            <v>0.23392000000000002</v>
          </cell>
          <cell r="AE44">
            <v>0.96275646183025421</v>
          </cell>
          <cell r="AF44">
            <v>1.0427564618302543</v>
          </cell>
          <cell r="AG44">
            <v>1.0827564618302543</v>
          </cell>
          <cell r="AH44">
            <v>1.5</v>
          </cell>
          <cell r="AI44">
            <v>7.92</v>
          </cell>
          <cell r="AJ44">
            <v>6.27</v>
          </cell>
          <cell r="AK44">
            <v>8</v>
          </cell>
          <cell r="AL44">
            <v>0.2</v>
          </cell>
          <cell r="AM44">
            <v>1.4E-2</v>
          </cell>
          <cell r="AN44">
            <v>2.1549987792968753E-2</v>
          </cell>
          <cell r="AO44">
            <v>3.125E-2</v>
          </cell>
          <cell r="AP44">
            <v>0.10774993896484376</v>
          </cell>
          <cell r="AQ44">
            <v>0.8222695745335582</v>
          </cell>
          <cell r="AR44">
            <v>2.1628664938405349</v>
          </cell>
          <cell r="AS44">
            <v>0.55470527901471955</v>
          </cell>
          <cell r="AT44">
            <v>3.4461124016493309E-2</v>
          </cell>
          <cell r="AU44">
            <v>5.6011111809462062E-2</v>
          </cell>
          <cell r="AV44">
            <v>2.4315955122590709</v>
          </cell>
          <cell r="AW44">
            <v>76.39082597815009</v>
          </cell>
          <cell r="AX44">
            <v>1.9635865704987165E-2</v>
          </cell>
          <cell r="AY44">
            <v>232.97954529330997</v>
          </cell>
          <cell r="AZ44" t="str">
            <v>05°33'22''</v>
          </cell>
          <cell r="BA44">
            <v>61.824091446618468</v>
          </cell>
          <cell r="BB44">
            <v>1E-3</v>
          </cell>
          <cell r="BC44">
            <v>0.01</v>
          </cell>
          <cell r="BD44">
            <v>3.0000000000000001E-3</v>
          </cell>
          <cell r="BE44">
            <v>1.3999999999999999E-2</v>
          </cell>
          <cell r="BF44">
            <v>1.3000000000000001E-2</v>
          </cell>
          <cell r="BG44" t="str">
            <v/>
          </cell>
          <cell r="BH44" t="str">
            <v/>
          </cell>
          <cell r="BI44" t="str">
            <v/>
          </cell>
          <cell r="BJ44" t="str">
            <v/>
          </cell>
          <cell r="BK44" t="str">
            <v/>
          </cell>
          <cell r="BL44" t="str">
            <v/>
          </cell>
          <cell r="BM44" t="str">
            <v/>
          </cell>
          <cell r="BN44">
            <v>0.01</v>
          </cell>
          <cell r="BO44">
            <v>692.19299999999998</v>
          </cell>
          <cell r="BP44">
            <v>691.69299999999998</v>
          </cell>
          <cell r="BQ44">
            <v>692.39300000000003</v>
          </cell>
          <cell r="BR44">
            <v>691.89300000000003</v>
          </cell>
          <cell r="BS44">
            <v>693.23299999999995</v>
          </cell>
          <cell r="BT44">
            <v>692.71299999999997</v>
          </cell>
          <cell r="BU44" t="str">
            <v/>
          </cell>
          <cell r="BV44">
            <v>0.83999999999991815</v>
          </cell>
          <cell r="BW44">
            <v>0.81999999999993634</v>
          </cell>
          <cell r="BX44">
            <v>1.0399999999999181</v>
          </cell>
          <cell r="BY44">
            <v>200</v>
          </cell>
          <cell r="BZ44">
            <v>0.65</v>
          </cell>
          <cell r="CA44">
            <v>0.25</v>
          </cell>
          <cell r="CB44">
            <v>0.82999999999992724</v>
          </cell>
          <cell r="CC44">
            <v>1.1132435599235238</v>
          </cell>
          <cell r="CD44">
            <v>987.72534854214655</v>
          </cell>
          <cell r="CE44">
            <v>0.13295061126632512</v>
          </cell>
          <cell r="CF44">
            <v>1206.5267972419006</v>
          </cell>
          <cell r="CG44">
            <v>2194.2521457840471</v>
          </cell>
          <cell r="CH44">
            <v>1.5</v>
          </cell>
          <cell r="CI44">
            <v>2243</v>
          </cell>
          <cell r="CJ44">
            <v>1.4674000083263803</v>
          </cell>
          <cell r="CK44">
            <v>1.5</v>
          </cell>
          <cell r="CL44">
            <v>1</v>
          </cell>
          <cell r="CM44">
            <v>2</v>
          </cell>
        </row>
        <row r="45">
          <cell r="A45">
            <v>62</v>
          </cell>
          <cell r="B45" t="str">
            <v>C35</v>
          </cell>
          <cell r="C45" t="str">
            <v>C36</v>
          </cell>
          <cell r="F45">
            <v>0</v>
          </cell>
          <cell r="G45" t="str">
            <v/>
          </cell>
          <cell r="J45" t="str">
            <v/>
          </cell>
          <cell r="K45" t="str">
            <v/>
          </cell>
          <cell r="L45" t="str">
            <v/>
          </cell>
          <cell r="M45" t="str">
            <v/>
          </cell>
          <cell r="N45" t="str">
            <v/>
          </cell>
          <cell r="O45" t="str">
            <v/>
          </cell>
          <cell r="P45" t="str">
            <v/>
          </cell>
          <cell r="Q45">
            <v>0.37</v>
          </cell>
          <cell r="S45">
            <v>0.77</v>
          </cell>
          <cell r="T45">
            <v>98</v>
          </cell>
          <cell r="U45">
            <v>302</v>
          </cell>
          <cell r="V45">
            <v>0.68799999999999994</v>
          </cell>
          <cell r="X45">
            <v>0</v>
          </cell>
          <cell r="Y45" t="str">
            <v/>
          </cell>
          <cell r="AA45">
            <v>0</v>
          </cell>
          <cell r="AB45" t="str">
            <v/>
          </cell>
          <cell r="AC45">
            <v>0.58479999999999999</v>
          </cell>
          <cell r="AD45">
            <v>0.45029600000000003</v>
          </cell>
          <cell r="AE45">
            <v>1.7664380181782624</v>
          </cell>
          <cell r="AF45">
            <v>1.9204380181782623</v>
          </cell>
          <cell r="AG45">
            <v>1.9974380181782623</v>
          </cell>
          <cell r="AH45">
            <v>1.9974380181782623</v>
          </cell>
          <cell r="AI45">
            <v>70.47</v>
          </cell>
          <cell r="AJ45">
            <v>0.5</v>
          </cell>
          <cell r="AK45">
            <v>8</v>
          </cell>
          <cell r="AL45">
            <v>0.2</v>
          </cell>
          <cell r="AM45">
            <v>1.4E-2</v>
          </cell>
          <cell r="AN45">
            <v>4.6388244628906249E-2</v>
          </cell>
          <cell r="AO45">
            <v>3.7500000000000006E-2</v>
          </cell>
          <cell r="AP45">
            <v>0.23194122314453122</v>
          </cell>
          <cell r="AQ45">
            <v>0.36158566651884705</v>
          </cell>
          <cell r="AR45">
            <v>0.63767018541147014</v>
          </cell>
          <cell r="AS45">
            <v>8.4915358629070098E-2</v>
          </cell>
          <cell r="AT45">
            <v>6.6638223359775156E-3</v>
          </cell>
          <cell r="AU45">
            <v>5.3052066964883765E-2</v>
          </cell>
          <cell r="AV45">
            <v>0.68666128978778085</v>
          </cell>
          <cell r="AW45">
            <v>21.572100635017847</v>
          </cell>
          <cell r="AX45">
            <v>9.2593579641281412E-2</v>
          </cell>
          <cell r="AY45">
            <v>225.3794367014097</v>
          </cell>
          <cell r="BA45" t="str">
            <v/>
          </cell>
          <cell r="BB45">
            <v>1E-3</v>
          </cell>
          <cell r="BC45">
            <v>0</v>
          </cell>
          <cell r="BD45">
            <v>0</v>
          </cell>
          <cell r="BE45">
            <v>1E-3</v>
          </cell>
          <cell r="BF45">
            <v>1E-3</v>
          </cell>
          <cell r="BG45">
            <v>3.5619597336175209E-2</v>
          </cell>
          <cell r="BH45">
            <v>5.9999999999999991</v>
          </cell>
          <cell r="BI45">
            <v>1.2</v>
          </cell>
          <cell r="BJ45">
            <v>5.1796114780220366E-3</v>
          </cell>
          <cell r="BK45">
            <v>4.2679611478022045E-2</v>
          </cell>
          <cell r="BL45">
            <v>1.6001287763291672E-5</v>
          </cell>
          <cell r="BM45">
            <v>5.1234735318942404E-2</v>
          </cell>
          <cell r="BN45">
            <v>0.03</v>
          </cell>
          <cell r="BO45">
            <v>691.66300000000001</v>
          </cell>
          <cell r="BP45">
            <v>691.31299999999999</v>
          </cell>
          <cell r="BQ45">
            <v>691.86300000000006</v>
          </cell>
          <cell r="BR45">
            <v>691.51300000000003</v>
          </cell>
          <cell r="BS45">
            <v>692.71299999999997</v>
          </cell>
          <cell r="BT45">
            <v>693.90300000000002</v>
          </cell>
          <cell r="BU45" t="str">
            <v/>
          </cell>
          <cell r="BV45">
            <v>0.84999999999990905</v>
          </cell>
          <cell r="BW45">
            <v>2.3899999999999864</v>
          </cell>
          <cell r="BX45">
            <v>1.049999999999909</v>
          </cell>
          <cell r="BY45">
            <v>200</v>
          </cell>
          <cell r="BZ45">
            <v>0.65</v>
          </cell>
          <cell r="CA45">
            <v>0.25</v>
          </cell>
          <cell r="CB45">
            <v>1.6199999999999477</v>
          </cell>
          <cell r="CC45">
            <v>1.9185135744830206</v>
          </cell>
          <cell r="CD45">
            <v>1702.2011689600604</v>
          </cell>
          <cell r="CE45">
            <v>4.1998103242530949E-2</v>
          </cell>
          <cell r="CF45">
            <v>346.48435175088031</v>
          </cell>
          <cell r="CG45">
            <v>2048.6855207109406</v>
          </cell>
          <cell r="CH45">
            <v>1.5</v>
          </cell>
          <cell r="CI45">
            <v>2243</v>
          </cell>
          <cell r="CJ45">
            <v>1.3700527334223858</v>
          </cell>
          <cell r="CK45">
            <v>1.5</v>
          </cell>
          <cell r="CL45">
            <v>1</v>
          </cell>
          <cell r="CM45">
            <v>2</v>
          </cell>
        </row>
        <row r="46">
          <cell r="A46">
            <v>63</v>
          </cell>
          <cell r="F46" t="str">
            <v/>
          </cell>
          <cell r="G46" t="str">
            <v/>
          </cell>
          <cell r="J46" t="str">
            <v/>
          </cell>
          <cell r="K46" t="str">
            <v/>
          </cell>
          <cell r="L46" t="str">
            <v/>
          </cell>
          <cell r="M46" t="str">
            <v/>
          </cell>
          <cell r="N46" t="str">
            <v/>
          </cell>
          <cell r="O46" t="str">
            <v/>
          </cell>
          <cell r="P46" t="str">
            <v/>
          </cell>
          <cell r="S46" t="str">
            <v/>
          </cell>
          <cell r="U46" t="str">
            <v/>
          </cell>
          <cell r="X46">
            <v>0</v>
          </cell>
          <cell r="Y46" t="str">
            <v/>
          </cell>
          <cell r="AA46">
            <v>0</v>
          </cell>
          <cell r="AB46" t="str">
            <v/>
          </cell>
          <cell r="AC46" t="str">
            <v/>
          </cell>
          <cell r="AD46" t="str">
            <v/>
          </cell>
          <cell r="AE46" t="str">
            <v/>
          </cell>
          <cell r="AF46" t="str">
            <v/>
          </cell>
          <cell r="AG46" t="str">
            <v/>
          </cell>
          <cell r="AH46" t="str">
            <v/>
          </cell>
          <cell r="AI46" t="str">
            <v/>
          </cell>
          <cell r="AJ46">
            <v>16.149999999999999</v>
          </cell>
          <cell r="AK46">
            <v>8</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v>691.31299999999999</v>
          </cell>
          <cell r="BP46" t="str">
            <v/>
          </cell>
          <cell r="BQ46">
            <v>691.31299999999999</v>
          </cell>
          <cell r="BR46" t="str">
            <v/>
          </cell>
          <cell r="BS46" t="str">
            <v/>
          </cell>
          <cell r="BT46" t="str">
            <v/>
          </cell>
          <cell r="BU46" t="str">
            <v/>
          </cell>
          <cell r="BV46" t="str">
            <v/>
          </cell>
          <cell r="BW46" t="str">
            <v/>
          </cell>
          <cell r="BX46" t="str">
            <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64</v>
          </cell>
          <cell r="C47" t="str">
            <v/>
          </cell>
          <cell r="F47" t="str">
            <v/>
          </cell>
          <cell r="G47" t="str">
            <v/>
          </cell>
          <cell r="J47" t="str">
            <v/>
          </cell>
          <cell r="K47" t="str">
            <v/>
          </cell>
          <cell r="L47" t="str">
            <v/>
          </cell>
          <cell r="M47" t="str">
            <v/>
          </cell>
          <cell r="N47" t="str">
            <v/>
          </cell>
          <cell r="O47" t="str">
            <v/>
          </cell>
          <cell r="P47" t="str">
            <v/>
          </cell>
          <cell r="S47" t="str">
            <v/>
          </cell>
          <cell r="U47" t="str">
            <v/>
          </cell>
          <cell r="X47">
            <v>0</v>
          </cell>
          <cell r="Y47" t="str">
            <v/>
          </cell>
          <cell r="AA47">
            <v>0</v>
          </cell>
          <cell r="AB47" t="str">
            <v/>
          </cell>
          <cell r="AC47" t="str">
            <v/>
          </cell>
          <cell r="AD47" t="str">
            <v/>
          </cell>
          <cell r="AE47" t="str">
            <v/>
          </cell>
          <cell r="AF47" t="str">
            <v/>
          </cell>
          <cell r="AG47" t="str">
            <v/>
          </cell>
          <cell r="AH47" t="str">
            <v/>
          </cell>
          <cell r="AI47" t="str">
            <v/>
          </cell>
          <cell r="AJ47">
            <v>2.12</v>
          </cell>
          <cell r="AK47">
            <v>8</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v>-0.09</v>
          </cell>
          <cell r="BP47" t="str">
            <v/>
          </cell>
          <cell r="BQ47">
            <v>-0.09</v>
          </cell>
          <cell r="BR47" t="str">
            <v/>
          </cell>
          <cell r="BS47" t="str">
            <v/>
          </cell>
          <cell r="BT47" t="str">
            <v/>
          </cell>
          <cell r="BU47" t="str">
            <v/>
          </cell>
          <cell r="BV47" t="str">
            <v/>
          </cell>
          <cell r="BW47" t="str">
            <v/>
          </cell>
          <cell r="BX47" t="str">
            <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65</v>
          </cell>
          <cell r="B48" t="str">
            <v>C41</v>
          </cell>
          <cell r="C48" t="str">
            <v>C42</v>
          </cell>
          <cell r="F48">
            <v>0</v>
          </cell>
          <cell r="G48" t="str">
            <v/>
          </cell>
          <cell r="J48" t="str">
            <v/>
          </cell>
          <cell r="K48" t="str">
            <v/>
          </cell>
          <cell r="L48" t="str">
            <v/>
          </cell>
          <cell r="M48" t="str">
            <v/>
          </cell>
          <cell r="N48" t="str">
            <v/>
          </cell>
          <cell r="O48" t="str">
            <v/>
          </cell>
          <cell r="P48" t="str">
            <v/>
          </cell>
          <cell r="Q48">
            <v>0.06</v>
          </cell>
          <cell r="S48">
            <v>0.06</v>
          </cell>
          <cell r="T48">
            <v>98</v>
          </cell>
          <cell r="U48">
            <v>24</v>
          </cell>
          <cell r="V48">
            <v>0.68799999999999994</v>
          </cell>
          <cell r="X48" t="str">
            <v/>
          </cell>
          <cell r="Y48" t="str">
            <v/>
          </cell>
          <cell r="AA48" t="str">
            <v/>
          </cell>
          <cell r="AB48" t="str">
            <v/>
          </cell>
          <cell r="AC48">
            <v>0.58479999999999999</v>
          </cell>
          <cell r="AD48">
            <v>3.5088000000000001E-2</v>
          </cell>
          <cell r="AE48">
            <v>0.16595877174464532</v>
          </cell>
          <cell r="AF48">
            <v>0.17795877174464533</v>
          </cell>
          <cell r="AG48">
            <v>0.18395877174464534</v>
          </cell>
          <cell r="AH48">
            <v>1.5</v>
          </cell>
          <cell r="AI48">
            <v>22.03</v>
          </cell>
          <cell r="AJ48">
            <v>3.16</v>
          </cell>
          <cell r="AK48">
            <v>8</v>
          </cell>
          <cell r="AL48">
            <v>0.2</v>
          </cell>
          <cell r="AM48">
            <v>1.4E-2</v>
          </cell>
          <cell r="AN48">
            <v>2.5486755371093753E-2</v>
          </cell>
          <cell r="AO48">
            <v>3.125E-2</v>
          </cell>
          <cell r="AP48">
            <v>0.12743377685546875</v>
          </cell>
          <cell r="AQ48">
            <v>0.64346053825354355</v>
          </cell>
          <cell r="AR48">
            <v>1.5526440762324012</v>
          </cell>
          <cell r="AS48">
            <v>0.32228175403597431</v>
          </cell>
          <cell r="AT48">
            <v>2.1103030799670741E-2</v>
          </cell>
          <cell r="AU48">
            <v>4.6589786170764494E-2</v>
          </cell>
          <cell r="AV48">
            <v>1.7262397150928601</v>
          </cell>
          <cell r="AW48">
            <v>54.231420072706683</v>
          </cell>
          <cell r="AX48">
            <v>2.7659242520092379E-2</v>
          </cell>
          <cell r="AY48">
            <v>129.05298451941783</v>
          </cell>
          <cell r="AZ48" t="b">
            <v>0</v>
          </cell>
          <cell r="BA48" t="str">
            <v/>
          </cell>
          <cell r="BB48">
            <v>1E-3</v>
          </cell>
          <cell r="BC48">
            <v>0</v>
          </cell>
          <cell r="BD48">
            <v>0</v>
          </cell>
          <cell r="BE48">
            <v>1E-3</v>
          </cell>
          <cell r="BF48" t="str">
            <v/>
          </cell>
          <cell r="BG48">
            <v>2.6748963180841235E-2</v>
          </cell>
          <cell r="BH48">
            <v>5.9999999999999991</v>
          </cell>
          <cell r="BI48">
            <v>1.2</v>
          </cell>
          <cell r="BJ48">
            <v>2.6732161081230461E-2</v>
          </cell>
          <cell r="BK48">
            <v>5.7982161081230457E-2</v>
          </cell>
          <cell r="BL48">
            <v>7.4482604539801915E-6</v>
          </cell>
          <cell r="BM48">
            <v>6.9587531210021314E-2</v>
          </cell>
          <cell r="BN48">
            <v>0</v>
          </cell>
          <cell r="BO48">
            <v>734.95299999999997</v>
          </cell>
          <cell r="BP48">
            <v>734.25299999999993</v>
          </cell>
          <cell r="BQ48">
            <v>735.15300000000002</v>
          </cell>
          <cell r="BR48">
            <v>734.45299999999997</v>
          </cell>
          <cell r="BS48">
            <v>736.41300000000001</v>
          </cell>
          <cell r="BT48">
            <v>735.45299999999997</v>
          </cell>
          <cell r="BU48" t="b">
            <v>0</v>
          </cell>
          <cell r="BV48">
            <v>1.2599999999999909</v>
          </cell>
          <cell r="BW48">
            <v>1</v>
          </cell>
          <cell r="BX48">
            <v>1.4599999999999909</v>
          </cell>
          <cell r="BY48">
            <v>200</v>
          </cell>
          <cell r="BZ48">
            <v>0.65</v>
          </cell>
          <cell r="CA48">
            <v>0.25</v>
          </cell>
          <cell r="CB48">
            <v>1.1299999999999955</v>
          </cell>
          <cell r="CC48">
            <v>1.4446357810494279</v>
          </cell>
          <cell r="CD48">
            <v>1281.7530967361049</v>
          </cell>
          <cell r="CE48">
            <v>8.0049116323616665E-2</v>
          </cell>
          <cell r="CF48">
            <v>660.40520966983752</v>
          </cell>
          <cell r="CG48">
            <v>1942.1583064059423</v>
          </cell>
          <cell r="CH48">
            <v>1.5</v>
          </cell>
          <cell r="CI48">
            <v>2243</v>
          </cell>
          <cell r="CJ48">
            <v>1.2988129556883252</v>
          </cell>
          <cell r="CK48">
            <v>1.5</v>
          </cell>
          <cell r="CL48">
            <v>1</v>
          </cell>
          <cell r="CM48">
            <v>2</v>
          </cell>
        </row>
        <row r="49">
          <cell r="A49">
            <v>66</v>
          </cell>
          <cell r="B49" t="str">
            <v>C42</v>
          </cell>
          <cell r="C49" t="str">
            <v>C43</v>
          </cell>
          <cell r="F49">
            <v>0</v>
          </cell>
          <cell r="G49" t="str">
            <v/>
          </cell>
          <cell r="J49" t="str">
            <v/>
          </cell>
          <cell r="K49" t="str">
            <v/>
          </cell>
          <cell r="L49" t="str">
            <v/>
          </cell>
          <cell r="M49" t="str">
            <v/>
          </cell>
          <cell r="N49" t="str">
            <v/>
          </cell>
          <cell r="O49" t="str">
            <v/>
          </cell>
          <cell r="P49" t="str">
            <v/>
          </cell>
          <cell r="Q49">
            <v>0.4</v>
          </cell>
          <cell r="S49">
            <v>0.46</v>
          </cell>
          <cell r="T49">
            <v>98</v>
          </cell>
          <cell r="U49">
            <v>181</v>
          </cell>
          <cell r="V49">
            <v>0.68799999999999994</v>
          </cell>
          <cell r="X49">
            <v>0</v>
          </cell>
          <cell r="Y49" t="str">
            <v/>
          </cell>
          <cell r="AA49">
            <v>0</v>
          </cell>
          <cell r="AB49" t="str">
            <v/>
          </cell>
          <cell r="AC49">
            <v>0.58479999999999999</v>
          </cell>
          <cell r="AD49">
            <v>0.26900800000000002</v>
          </cell>
          <cell r="AE49">
            <v>1.0958853742696166</v>
          </cell>
          <cell r="AF49">
            <v>1.1878853742696167</v>
          </cell>
          <cell r="AG49">
            <v>1.2338853742696168</v>
          </cell>
          <cell r="AH49">
            <v>1.5</v>
          </cell>
          <cell r="AI49">
            <v>66.78</v>
          </cell>
          <cell r="AJ49">
            <v>16.2</v>
          </cell>
          <cell r="AK49">
            <v>8</v>
          </cell>
          <cell r="AL49">
            <v>0.2</v>
          </cell>
          <cell r="AM49">
            <v>1.4E-2</v>
          </cell>
          <cell r="AN49">
            <v>1.7072296142578127E-2</v>
          </cell>
          <cell r="AO49">
            <v>3.125E-2</v>
          </cell>
          <cell r="AP49">
            <v>8.5361480712890625E-2</v>
          </cell>
          <cell r="AQ49">
            <v>1.1578313604856028</v>
          </cell>
          <cell r="AR49">
            <v>3.4306096134168564</v>
          </cell>
          <cell r="AS49">
            <v>1.1841931528911851</v>
          </cell>
          <cell r="AT49">
            <v>6.8326883757591314E-2</v>
          </cell>
          <cell r="AU49">
            <v>8.5399179900169445E-2</v>
          </cell>
          <cell r="AV49">
            <v>3.9085445822369489</v>
          </cell>
          <cell r="AW49">
            <v>122.79054945783788</v>
          </cell>
          <cell r="AX49">
            <v>1.2215923836345803E-2</v>
          </cell>
          <cell r="AY49">
            <v>149.423962754852</v>
          </cell>
          <cell r="AZ49" t="str">
            <v>20°22'16''</v>
          </cell>
          <cell r="BA49">
            <v>16.697561856392234</v>
          </cell>
          <cell r="BB49">
            <v>3.9E-2</v>
          </cell>
          <cell r="BC49">
            <v>5.0000000000000001E-3</v>
          </cell>
          <cell r="BD49">
            <v>2E-3</v>
          </cell>
          <cell r="BE49">
            <v>4.5999999999999999E-2</v>
          </cell>
          <cell r="BF49">
            <v>4.5999999999999999E-2</v>
          </cell>
          <cell r="BG49" t="str">
            <v/>
          </cell>
          <cell r="BH49" t="str">
            <v/>
          </cell>
          <cell r="BI49" t="str">
            <v/>
          </cell>
          <cell r="BJ49" t="str">
            <v/>
          </cell>
          <cell r="BK49" t="str">
            <v/>
          </cell>
          <cell r="BL49" t="str">
            <v/>
          </cell>
          <cell r="BM49" t="str">
            <v/>
          </cell>
          <cell r="BN49">
            <v>0.05</v>
          </cell>
          <cell r="BO49">
            <v>734.20299999999997</v>
          </cell>
          <cell r="BP49">
            <v>723.38299999999992</v>
          </cell>
          <cell r="BQ49">
            <v>734.40300000000002</v>
          </cell>
          <cell r="BR49">
            <v>723.58299999999997</v>
          </cell>
          <cell r="BS49">
            <v>735.45299999999997</v>
          </cell>
          <cell r="BT49">
            <v>724.58300000000008</v>
          </cell>
          <cell r="BU49" t="str">
            <v/>
          </cell>
          <cell r="BV49">
            <v>1.0499999999999545</v>
          </cell>
          <cell r="BW49">
            <v>1.0000000000001137</v>
          </cell>
          <cell r="BX49">
            <v>1.2499999999999545</v>
          </cell>
          <cell r="BY49">
            <v>200</v>
          </cell>
          <cell r="BZ49">
            <v>0.65</v>
          </cell>
          <cell r="CA49">
            <v>0.25</v>
          </cell>
          <cell r="CB49">
            <v>1.0250000000000341</v>
          </cell>
          <cell r="CC49">
            <v>1.3324559091383172</v>
          </cell>
          <cell r="CD49">
            <v>1182.2215053829721</v>
          </cell>
          <cell r="CE49">
            <v>9.4473964477023609E-2</v>
          </cell>
          <cell r="CF49">
            <v>779.41020693544476</v>
          </cell>
          <cell r="CG49">
            <v>1961.6317123184167</v>
          </cell>
          <cell r="CH49">
            <v>1.5</v>
          </cell>
          <cell r="CI49">
            <v>2243</v>
          </cell>
          <cell r="CJ49">
            <v>1.3118357416306845</v>
          </cell>
          <cell r="CK49">
            <v>1.5</v>
          </cell>
          <cell r="CL49">
            <v>1</v>
          </cell>
          <cell r="CM49">
            <v>2</v>
          </cell>
        </row>
        <row r="50">
          <cell r="A50">
            <v>67</v>
          </cell>
          <cell r="B50" t="str">
            <v>C43</v>
          </cell>
          <cell r="C50" t="str">
            <v>C44</v>
          </cell>
          <cell r="F50">
            <v>0</v>
          </cell>
          <cell r="G50" t="str">
            <v/>
          </cell>
          <cell r="J50" t="str">
            <v/>
          </cell>
          <cell r="K50" t="str">
            <v/>
          </cell>
          <cell r="L50" t="str">
            <v/>
          </cell>
          <cell r="M50" t="str">
            <v/>
          </cell>
          <cell r="N50" t="str">
            <v/>
          </cell>
          <cell r="O50" t="str">
            <v/>
          </cell>
          <cell r="P50" t="str">
            <v/>
          </cell>
          <cell r="S50">
            <v>0.46</v>
          </cell>
          <cell r="T50">
            <v>98</v>
          </cell>
          <cell r="U50">
            <v>181</v>
          </cell>
          <cell r="V50">
            <v>0.68799999999999994</v>
          </cell>
          <cell r="X50">
            <v>0</v>
          </cell>
          <cell r="Y50" t="str">
            <v/>
          </cell>
          <cell r="AA50">
            <v>0</v>
          </cell>
          <cell r="AB50" t="str">
            <v/>
          </cell>
          <cell r="AC50">
            <v>0.58479999999999999</v>
          </cell>
          <cell r="AD50">
            <v>0.26900800000000002</v>
          </cell>
          <cell r="AE50">
            <v>1.0958853742696166</v>
          </cell>
          <cell r="AF50">
            <v>1.1878853742696167</v>
          </cell>
          <cell r="AG50">
            <v>1.2338853742696168</v>
          </cell>
          <cell r="AH50">
            <v>1.5</v>
          </cell>
          <cell r="AI50">
            <v>58.58</v>
          </cell>
          <cell r="AJ50">
            <v>1.02</v>
          </cell>
          <cell r="AK50">
            <v>8</v>
          </cell>
          <cell r="AL50">
            <v>0.2</v>
          </cell>
          <cell r="AM50">
            <v>1.4E-2</v>
          </cell>
          <cell r="AN50">
            <v>3.3689880371093758E-2</v>
          </cell>
          <cell r="AO50">
            <v>3.125E-2</v>
          </cell>
          <cell r="AP50">
            <v>0.16844940185546878</v>
          </cell>
          <cell r="AQ50">
            <v>0.42919142702492158</v>
          </cell>
          <cell r="AR50">
            <v>0.89607259602776035</v>
          </cell>
          <cell r="AS50">
            <v>0.13157878423470801</v>
          </cell>
          <cell r="AT50">
            <v>9.3886483706263294E-3</v>
          </cell>
          <cell r="AU50">
            <v>4.3078528741720086E-2</v>
          </cell>
          <cell r="AV50">
            <v>0.98074849113407159</v>
          </cell>
          <cell r="AW50">
            <v>30.811122547660744</v>
          </cell>
          <cell r="AX50">
            <v>4.868371795541359E-2</v>
          </cell>
          <cell r="AY50">
            <v>151.54051515442359</v>
          </cell>
          <cell r="AZ50" t="str">
            <v>02°06'60''</v>
          </cell>
          <cell r="BA50">
            <v>162.40353070436817</v>
          </cell>
          <cell r="BB50">
            <v>1E-3</v>
          </cell>
          <cell r="BC50">
            <v>1.2E-2</v>
          </cell>
          <cell r="BD50">
            <v>2E-3</v>
          </cell>
          <cell r="BE50">
            <v>1.5000000000000001E-2</v>
          </cell>
          <cell r="BF50">
            <v>1.5000000000000001E-2</v>
          </cell>
          <cell r="BG50">
            <v>2.6748963180841235E-2</v>
          </cell>
          <cell r="BH50">
            <v>5.9999999999999991</v>
          </cell>
          <cell r="BI50">
            <v>1.2</v>
          </cell>
          <cell r="BJ50">
            <v>8.6287355388781836E-3</v>
          </cell>
          <cell r="BK50">
            <v>3.9878735538878184E-2</v>
          </cell>
          <cell r="BL50">
            <v>7.4482604539801915E-6</v>
          </cell>
          <cell r="BM50">
            <v>4.7863420559198594E-2</v>
          </cell>
          <cell r="BN50">
            <v>0.03</v>
          </cell>
          <cell r="BO50">
            <v>723.35299999999995</v>
          </cell>
          <cell r="BP50">
            <v>722.75299999999993</v>
          </cell>
          <cell r="BQ50">
            <v>723.553</v>
          </cell>
          <cell r="BR50">
            <v>722.95299999999997</v>
          </cell>
          <cell r="BS50">
            <v>724.58300000000008</v>
          </cell>
          <cell r="BT50">
            <v>723.94299999999998</v>
          </cell>
          <cell r="BU50" t="str">
            <v/>
          </cell>
          <cell r="BV50">
            <v>1.0300000000000864</v>
          </cell>
          <cell r="BW50">
            <v>0.99000000000000909</v>
          </cell>
          <cell r="BX50">
            <v>1.2300000000000864</v>
          </cell>
          <cell r="BY50">
            <v>200</v>
          </cell>
          <cell r="BZ50">
            <v>0.65</v>
          </cell>
          <cell r="CA50">
            <v>0.25</v>
          </cell>
          <cell r="CB50">
            <v>1.0100000000000477</v>
          </cell>
          <cell r="CC50">
            <v>1.3161022842942249</v>
          </cell>
          <cell r="CD50">
            <v>1167.7117517400513</v>
          </cell>
          <cell r="CE50">
            <v>9.6831221955225311E-2</v>
          </cell>
          <cell r="CF50">
            <v>798.85758113060876</v>
          </cell>
          <cell r="CG50">
            <v>1966.5693328706602</v>
          </cell>
          <cell r="CH50">
            <v>1.5</v>
          </cell>
          <cell r="CI50">
            <v>2243</v>
          </cell>
          <cell r="CJ50">
            <v>1.3151377616165807</v>
          </cell>
          <cell r="CK50">
            <v>1.5</v>
          </cell>
          <cell r="CL50">
            <v>1</v>
          </cell>
          <cell r="CM50">
            <v>2</v>
          </cell>
        </row>
        <row r="51">
          <cell r="A51">
            <v>68</v>
          </cell>
          <cell r="B51" t="str">
            <v>C44</v>
          </cell>
          <cell r="C51" t="str">
            <v>C45</v>
          </cell>
          <cell r="F51">
            <v>0</v>
          </cell>
          <cell r="G51" t="str">
            <v/>
          </cell>
          <cell r="J51" t="str">
            <v/>
          </cell>
          <cell r="K51" t="str">
            <v/>
          </cell>
          <cell r="L51" t="str">
            <v/>
          </cell>
          <cell r="M51" t="str">
            <v/>
          </cell>
          <cell r="N51" t="str">
            <v/>
          </cell>
          <cell r="O51" t="str">
            <v/>
          </cell>
          <cell r="P51" t="str">
            <v/>
          </cell>
          <cell r="Q51">
            <v>0.55000000000000004</v>
          </cell>
          <cell r="S51">
            <v>1.01</v>
          </cell>
          <cell r="T51">
            <v>98</v>
          </cell>
          <cell r="U51">
            <v>397</v>
          </cell>
          <cell r="V51">
            <v>0.68799999999999994</v>
          </cell>
          <cell r="X51">
            <v>0</v>
          </cell>
          <cell r="Y51" t="str">
            <v/>
          </cell>
          <cell r="AA51">
            <v>0</v>
          </cell>
          <cell r="AB51" t="str">
            <v/>
          </cell>
          <cell r="AC51">
            <v>0.58479999999999999</v>
          </cell>
          <cell r="AD51">
            <v>0.59064800000000006</v>
          </cell>
          <cell r="AE51">
            <v>2.2713918613405624</v>
          </cell>
          <cell r="AF51">
            <v>2.4733918613405623</v>
          </cell>
          <cell r="AG51">
            <v>2.5743918613405623</v>
          </cell>
          <cell r="AH51">
            <v>2.5743918613405623</v>
          </cell>
          <cell r="AI51">
            <v>40.86</v>
          </cell>
          <cell r="AJ51">
            <v>3.93</v>
          </cell>
          <cell r="AK51">
            <v>8</v>
          </cell>
          <cell r="AL51">
            <v>0.2</v>
          </cell>
          <cell r="AM51">
            <v>1.4E-2</v>
          </cell>
          <cell r="AN51">
            <v>3.1508636474609372E-2</v>
          </cell>
          <cell r="AO51">
            <v>4.3750000000000004E-2</v>
          </cell>
          <cell r="AP51">
            <v>0.15754318237304685</v>
          </cell>
          <cell r="AQ51">
            <v>0.81143091089001462</v>
          </cell>
          <cell r="AR51">
            <v>1.7542720763360946</v>
          </cell>
          <cell r="AS51">
            <v>0.48000565074156676</v>
          </cell>
          <cell r="AT51">
            <v>3.3558619936177307E-2</v>
          </cell>
          <cell r="AU51">
            <v>6.5067256410786672E-2</v>
          </cell>
          <cell r="AV51">
            <v>1.9251024111405417</v>
          </cell>
          <cell r="AW51">
            <v>60.478875922471246</v>
          </cell>
          <cell r="AX51">
            <v>4.2566794142151594E-2</v>
          </cell>
          <cell r="AY51">
            <v>61.296419678570132</v>
          </cell>
          <cell r="BA51" t="str">
            <v/>
          </cell>
          <cell r="BB51">
            <v>2.1999999999999999E-2</v>
          </cell>
          <cell r="BC51">
            <v>0</v>
          </cell>
          <cell r="BD51">
            <v>0</v>
          </cell>
          <cell r="BE51">
            <v>2.1999999999999999E-2</v>
          </cell>
          <cell r="BF51">
            <v>2.1999999999999999E-2</v>
          </cell>
          <cell r="BG51">
            <v>4.5908208741370686E-2</v>
          </cell>
          <cell r="BH51">
            <v>5.9999999999999991</v>
          </cell>
          <cell r="BI51">
            <v>1.2</v>
          </cell>
          <cell r="BJ51">
            <v>4.8900961027134641E-2</v>
          </cell>
          <cell r="BK51">
            <v>9.2650961027134646E-2</v>
          </cell>
          <cell r="BL51">
            <v>3.1505945597283584E-5</v>
          </cell>
          <cell r="BM51">
            <v>0.11121896036727831</v>
          </cell>
          <cell r="BN51">
            <v>0.08</v>
          </cell>
          <cell r="BO51">
            <v>722.67299999999989</v>
          </cell>
          <cell r="BP51">
            <v>721.06299999999987</v>
          </cell>
          <cell r="BQ51">
            <v>722.87299999999993</v>
          </cell>
          <cell r="BR51">
            <v>721.26299999999992</v>
          </cell>
          <cell r="BS51">
            <v>723.94299999999998</v>
          </cell>
          <cell r="BT51">
            <v>722.99299999999994</v>
          </cell>
          <cell r="BU51" t="str">
            <v/>
          </cell>
          <cell r="BV51">
            <v>1.07000000000005</v>
          </cell>
          <cell r="BW51">
            <v>1.7300000000000182</v>
          </cell>
          <cell r="BX51">
            <v>1.27000000000005</v>
          </cell>
          <cell r="BY51">
            <v>200</v>
          </cell>
          <cell r="BZ51">
            <v>0.65</v>
          </cell>
          <cell r="CA51">
            <v>0.25</v>
          </cell>
          <cell r="CB51">
            <v>1.4000000000000341</v>
          </cell>
          <cell r="CC51">
            <v>1.7154407714474724</v>
          </cell>
          <cell r="CD51">
            <v>1522.02482446677</v>
          </cell>
          <cell r="CE51">
            <v>5.4840080383548595E-2</v>
          </cell>
          <cell r="CF51">
            <v>452.43066316427593</v>
          </cell>
          <cell r="CG51">
            <v>1974.455487631046</v>
          </cell>
          <cell r="CH51">
            <v>1.5</v>
          </cell>
          <cell r="CI51">
            <v>2243</v>
          </cell>
          <cell r="CJ51">
            <v>1.3204116056382387</v>
          </cell>
          <cell r="CK51">
            <v>1.5</v>
          </cell>
          <cell r="CL51">
            <v>1</v>
          </cell>
          <cell r="CM51">
            <v>2</v>
          </cell>
        </row>
        <row r="52">
          <cell r="A52">
            <v>69</v>
          </cell>
          <cell r="F52" t="str">
            <v/>
          </cell>
          <cell r="G52" t="str">
            <v/>
          </cell>
          <cell r="J52" t="str">
            <v/>
          </cell>
          <cell r="L52" t="str">
            <v/>
          </cell>
          <cell r="M52" t="str">
            <v/>
          </cell>
          <cell r="N52" t="str">
            <v/>
          </cell>
          <cell r="O52" t="str">
            <v/>
          </cell>
          <cell r="P52" t="str">
            <v/>
          </cell>
          <cell r="S52" t="str">
            <v/>
          </cell>
          <cell r="U52" t="str">
            <v/>
          </cell>
          <cell r="X52">
            <v>0</v>
          </cell>
          <cell r="Y52" t="str">
            <v/>
          </cell>
          <cell r="AA52">
            <v>0</v>
          </cell>
          <cell r="AB52" t="str">
            <v/>
          </cell>
          <cell r="AC52" t="str">
            <v/>
          </cell>
          <cell r="AD52" t="str">
            <v/>
          </cell>
          <cell r="AE52" t="str">
            <v/>
          </cell>
          <cell r="AF52" t="str">
            <v/>
          </cell>
          <cell r="AG52" t="str">
            <v/>
          </cell>
          <cell r="AH52" t="str">
            <v/>
          </cell>
          <cell r="AI52" t="str">
            <v/>
          </cell>
          <cell r="AJ52">
            <v>0.02</v>
          </cell>
          <cell r="AK52">
            <v>30</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v>721.06299999999987</v>
          </cell>
          <cell r="BP52" t="str">
            <v/>
          </cell>
          <cell r="BQ52">
            <v>721.06299999999987</v>
          </cell>
          <cell r="BR52" t="str">
            <v/>
          </cell>
          <cell r="BS52" t="str">
            <v/>
          </cell>
          <cell r="BT52" t="str">
            <v/>
          </cell>
          <cell r="BU52" t="str">
            <v/>
          </cell>
          <cell r="BV52" t="str">
            <v/>
          </cell>
          <cell r="BW52" t="str">
            <v/>
          </cell>
          <cell r="BX52" t="str">
            <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70</v>
          </cell>
          <cell r="C53" t="str">
            <v/>
          </cell>
          <cell r="F53" t="str">
            <v/>
          </cell>
          <cell r="G53" t="str">
            <v/>
          </cell>
          <cell r="J53" t="str">
            <v/>
          </cell>
          <cell r="L53" t="str">
            <v/>
          </cell>
          <cell r="M53" t="str">
            <v/>
          </cell>
          <cell r="N53" t="str">
            <v/>
          </cell>
          <cell r="O53" t="str">
            <v/>
          </cell>
          <cell r="P53" t="str">
            <v/>
          </cell>
          <cell r="S53" t="str">
            <v/>
          </cell>
          <cell r="U53" t="str">
            <v/>
          </cell>
          <cell r="X53">
            <v>0</v>
          </cell>
          <cell r="Y53" t="str">
            <v/>
          </cell>
          <cell r="AA53">
            <v>0</v>
          </cell>
          <cell r="AB53" t="str">
            <v/>
          </cell>
          <cell r="AC53" t="str">
            <v/>
          </cell>
          <cell r="AD53" t="str">
            <v/>
          </cell>
          <cell r="AE53" t="str">
            <v/>
          </cell>
          <cell r="AF53" t="str">
            <v/>
          </cell>
          <cell r="AG53" t="str">
            <v/>
          </cell>
          <cell r="AH53" t="str">
            <v/>
          </cell>
          <cell r="AI53" t="str">
            <v/>
          </cell>
          <cell r="AJ53">
            <v>0.02</v>
          </cell>
          <cell r="AK53">
            <v>30</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v>0</v>
          </cell>
          <cell r="BP53" t="str">
            <v/>
          </cell>
          <cell r="BQ53">
            <v>0</v>
          </cell>
          <cell r="BR53" t="str">
            <v/>
          </cell>
          <cell r="BS53" t="str">
            <v/>
          </cell>
          <cell r="BT53" t="str">
            <v/>
          </cell>
          <cell r="BU53" t="str">
            <v/>
          </cell>
          <cell r="BV53" t="str">
            <v/>
          </cell>
          <cell r="BW53" t="str">
            <v/>
          </cell>
          <cell r="BX53" t="str">
            <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71</v>
          </cell>
          <cell r="B54" t="str">
            <v>C46</v>
          </cell>
          <cell r="C54" t="str">
            <v>C45</v>
          </cell>
          <cell r="F54">
            <v>0</v>
          </cell>
          <cell r="G54" t="str">
            <v/>
          </cell>
          <cell r="J54" t="str">
            <v/>
          </cell>
          <cell r="L54" t="str">
            <v/>
          </cell>
          <cell r="M54" t="str">
            <v/>
          </cell>
          <cell r="N54" t="str">
            <v/>
          </cell>
          <cell r="O54" t="str">
            <v/>
          </cell>
          <cell r="P54" t="str">
            <v/>
          </cell>
          <cell r="Q54">
            <v>0.13</v>
          </cell>
          <cell r="S54">
            <v>0.13</v>
          </cell>
          <cell r="T54">
            <v>98</v>
          </cell>
          <cell r="U54">
            <v>51</v>
          </cell>
          <cell r="V54">
            <v>0.68799999999999994</v>
          </cell>
          <cell r="X54" t="str">
            <v/>
          </cell>
          <cell r="Y54" t="str">
            <v/>
          </cell>
          <cell r="AA54" t="str">
            <v/>
          </cell>
          <cell r="AB54" t="str">
            <v/>
          </cell>
          <cell r="AC54">
            <v>0.58479999999999999</v>
          </cell>
          <cell r="AD54">
            <v>7.6023999999999994E-2</v>
          </cell>
          <cell r="AE54">
            <v>0.33976508894512442</v>
          </cell>
          <cell r="AF54">
            <v>0.36576508894512444</v>
          </cell>
          <cell r="AG54">
            <v>0.37876508894512445</v>
          </cell>
          <cell r="AH54">
            <v>1.5</v>
          </cell>
          <cell r="AI54">
            <v>38</v>
          </cell>
          <cell r="AJ54">
            <v>1.58</v>
          </cell>
          <cell r="AK54">
            <v>8</v>
          </cell>
          <cell r="AL54">
            <v>0.2</v>
          </cell>
          <cell r="AM54">
            <v>1.4E-2</v>
          </cell>
          <cell r="AN54">
            <v>3.0216979980468753E-2</v>
          </cell>
          <cell r="AO54">
            <v>3.125E-2</v>
          </cell>
          <cell r="AP54">
            <v>0.15108489990234375</v>
          </cell>
          <cell r="AQ54">
            <v>0.50235407755737227</v>
          </cell>
          <cell r="AR54">
            <v>1.1099545398487596</v>
          </cell>
          <cell r="AS54">
            <v>0.18635205970990193</v>
          </cell>
          <cell r="AT54">
            <v>1.2862365914297574E-2</v>
          </cell>
          <cell r="AU54">
            <v>4.3079345894766329E-2</v>
          </cell>
          <cell r="AV54">
            <v>1.220635808495695</v>
          </cell>
          <cell r="AW54">
            <v>38.347404886787139</v>
          </cell>
          <cell r="AX54">
            <v>3.9116075896881236E-2</v>
          </cell>
          <cell r="AY54">
            <v>129.70537742247888</v>
          </cell>
          <cell r="AZ54" t="b">
            <v>0</v>
          </cell>
          <cell r="BA54" t="str">
            <v/>
          </cell>
          <cell r="BB54">
            <v>1E-3</v>
          </cell>
          <cell r="BC54">
            <v>0</v>
          </cell>
          <cell r="BD54">
            <v>0</v>
          </cell>
          <cell r="BE54">
            <v>1E-3</v>
          </cell>
          <cell r="BF54" t="str">
            <v/>
          </cell>
          <cell r="BG54">
            <v>2.6748963180841235E-2</v>
          </cell>
          <cell r="BH54">
            <v>5.9999999999999991</v>
          </cell>
          <cell r="BI54">
            <v>1.2</v>
          </cell>
          <cell r="BJ54">
            <v>1.336608054061523E-2</v>
          </cell>
          <cell r="BK54">
            <v>4.4616080540615229E-2</v>
          </cell>
          <cell r="BL54">
            <v>7.4482604539801915E-6</v>
          </cell>
          <cell r="BM54">
            <v>5.3548234561283048E-2</v>
          </cell>
          <cell r="BN54">
            <v>0</v>
          </cell>
          <cell r="BO54">
            <v>720.29299999999989</v>
          </cell>
          <cell r="BP54">
            <v>719.69299999999987</v>
          </cell>
          <cell r="BQ54">
            <v>720.49299999999994</v>
          </cell>
          <cell r="BR54">
            <v>719.89299999999992</v>
          </cell>
          <cell r="BS54">
            <v>721.69299999999998</v>
          </cell>
          <cell r="BT54">
            <v>722.99299999999994</v>
          </cell>
          <cell r="BU54" t="b">
            <v>0</v>
          </cell>
          <cell r="BV54">
            <v>1.2000000000000455</v>
          </cell>
          <cell r="BW54">
            <v>3.1000000000000227</v>
          </cell>
          <cell r="BX54">
            <v>1.4000000000000454</v>
          </cell>
          <cell r="BY54">
            <v>200</v>
          </cell>
          <cell r="BZ54">
            <v>0.65</v>
          </cell>
          <cell r="CA54">
            <v>0.25</v>
          </cell>
          <cell r="CB54">
            <v>2.1500000000000341</v>
          </cell>
          <cell r="CC54">
            <v>2.3498983093777586</v>
          </cell>
          <cell r="CD54">
            <v>2084.9472749954166</v>
          </cell>
          <cell r="CE54">
            <v>2.4653292845232655E-2</v>
          </cell>
          <cell r="CF54">
            <v>203.3896659731694</v>
          </cell>
          <cell r="CG54">
            <v>2288.3369409685861</v>
          </cell>
          <cell r="CH54">
            <v>1.5</v>
          </cell>
          <cell r="CI54">
            <v>2243</v>
          </cell>
          <cell r="CJ54">
            <v>1.5303189529437715</v>
          </cell>
          <cell r="CK54">
            <v>1.9</v>
          </cell>
          <cell r="CL54">
            <v>1</v>
          </cell>
          <cell r="CM54">
            <v>2</v>
          </cell>
        </row>
        <row r="55">
          <cell r="A55">
            <v>72</v>
          </cell>
          <cell r="B55" t="str">
            <v>C45</v>
          </cell>
          <cell r="C55" t="str">
            <v>C47</v>
          </cell>
          <cell r="F55">
            <v>0</v>
          </cell>
          <cell r="G55" t="str">
            <v/>
          </cell>
          <cell r="J55" t="str">
            <v/>
          </cell>
          <cell r="L55" t="str">
            <v/>
          </cell>
          <cell r="M55" t="str">
            <v/>
          </cell>
          <cell r="N55" t="str">
            <v/>
          </cell>
          <cell r="O55" t="str">
            <v/>
          </cell>
          <cell r="P55" t="str">
            <v/>
          </cell>
          <cell r="Q55">
            <v>0.09</v>
          </cell>
          <cell r="S55">
            <v>0.22</v>
          </cell>
          <cell r="U55">
            <v>51</v>
          </cell>
          <cell r="X55">
            <v>0</v>
          </cell>
          <cell r="Y55" t="str">
            <v/>
          </cell>
          <cell r="AA55">
            <v>0</v>
          </cell>
          <cell r="AB55" t="str">
            <v/>
          </cell>
          <cell r="AC55">
            <v>0</v>
          </cell>
          <cell r="AD55">
            <v>7.6023999999999994E-2</v>
          </cell>
          <cell r="AE55">
            <v>0.33976508894512442</v>
          </cell>
          <cell r="AF55">
            <v>0.3837650889451244</v>
          </cell>
          <cell r="AG55">
            <v>0.40576508894512442</v>
          </cell>
          <cell r="AH55">
            <v>1.5</v>
          </cell>
          <cell r="AI55">
            <v>28.68</v>
          </cell>
          <cell r="AJ55">
            <v>4.3099999999999996</v>
          </cell>
          <cell r="AK55">
            <v>8</v>
          </cell>
          <cell r="AL55">
            <v>0.2</v>
          </cell>
          <cell r="AM55">
            <v>1.4E-2</v>
          </cell>
          <cell r="AN55">
            <v>2.3622131347656249E-2</v>
          </cell>
          <cell r="AO55">
            <v>3.125E-2</v>
          </cell>
          <cell r="AP55">
            <v>0.11811065673828124</v>
          </cell>
          <cell r="AQ55">
            <v>0.71892268326763675</v>
          </cell>
          <cell r="AR55">
            <v>1.8039432477314221</v>
          </cell>
          <cell r="AS55">
            <v>0.41197095698228831</v>
          </cell>
          <cell r="AT55">
            <v>2.6343008385154881E-2</v>
          </cell>
          <cell r="AU55">
            <v>4.996513973281113E-2</v>
          </cell>
          <cell r="AV55">
            <v>2.016026320715536</v>
          </cell>
          <cell r="AW55">
            <v>63.335334786035894</v>
          </cell>
          <cell r="AX55">
            <v>2.3683462084275877E-2</v>
          </cell>
          <cell r="AY55">
            <v>135.40113735125379</v>
          </cell>
          <cell r="AZ55" t="str">
            <v>05°41'45''</v>
          </cell>
          <cell r="BA55">
            <v>60.306531114032445</v>
          </cell>
          <cell r="BB55">
            <v>7.0000000000000001E-3</v>
          </cell>
          <cell r="BC55">
            <v>1E-3</v>
          </cell>
          <cell r="BD55">
            <v>1E-3</v>
          </cell>
          <cell r="BE55">
            <v>9.0000000000000011E-3</v>
          </cell>
          <cell r="BF55">
            <v>9.0000000000000011E-3</v>
          </cell>
          <cell r="BG55" t="str">
            <v/>
          </cell>
          <cell r="BH55" t="str">
            <v/>
          </cell>
          <cell r="BI55" t="str">
            <v/>
          </cell>
          <cell r="BJ55" t="str">
            <v/>
          </cell>
          <cell r="BK55" t="str">
            <v/>
          </cell>
          <cell r="BL55" t="str">
            <v/>
          </cell>
          <cell r="BM55" t="str">
            <v/>
          </cell>
          <cell r="BN55">
            <v>0.01</v>
          </cell>
          <cell r="BO55">
            <v>719.68299999999988</v>
          </cell>
          <cell r="BP55">
            <v>718.44299999999987</v>
          </cell>
          <cell r="BQ55">
            <v>719.88299999999992</v>
          </cell>
          <cell r="BR55">
            <v>718.64299999999992</v>
          </cell>
          <cell r="BS55">
            <v>722.99299999999994</v>
          </cell>
          <cell r="BT55">
            <v>719.75300000000016</v>
          </cell>
          <cell r="BU55" t="str">
            <v/>
          </cell>
          <cell r="BV55">
            <v>3.1100000000000136</v>
          </cell>
          <cell r="BW55">
            <v>1.110000000000241</v>
          </cell>
          <cell r="BX55">
            <v>3.3100000000000138</v>
          </cell>
          <cell r="BY55">
            <v>200</v>
          </cell>
          <cell r="BZ55">
            <v>0.65</v>
          </cell>
          <cell r="CA55">
            <v>0.25</v>
          </cell>
          <cell r="CB55">
            <v>2.1100000000001273</v>
          </cell>
          <cell r="CC55">
            <v>2.3199717329199707</v>
          </cell>
          <cell r="CD55">
            <v>2058.3949200332445</v>
          </cell>
          <cell r="CE55">
            <v>2.5553001286404253E-2</v>
          </cell>
          <cell r="CF55">
            <v>210.81226061283508</v>
          </cell>
          <cell r="CG55">
            <v>2269.2071806460795</v>
          </cell>
          <cell r="CH55">
            <v>1.5</v>
          </cell>
          <cell r="CI55" t="b">
            <v>0</v>
          </cell>
          <cell r="CJ55" t="e">
            <v>#DIV/0!</v>
          </cell>
          <cell r="CK55" t="e">
            <v>#DIV/0!</v>
          </cell>
          <cell r="CL55">
            <v>5</v>
          </cell>
          <cell r="CM55">
            <v>2</v>
          </cell>
        </row>
        <row r="56">
          <cell r="A56">
            <v>73</v>
          </cell>
          <cell r="F56" t="str">
            <v/>
          </cell>
          <cell r="G56" t="str">
            <v/>
          </cell>
          <cell r="J56" t="str">
            <v/>
          </cell>
          <cell r="L56" t="str">
            <v/>
          </cell>
          <cell r="M56" t="str">
            <v/>
          </cell>
          <cell r="N56" t="str">
            <v/>
          </cell>
          <cell r="O56" t="str">
            <v/>
          </cell>
          <cell r="P56" t="str">
            <v/>
          </cell>
          <cell r="S56" t="str">
            <v/>
          </cell>
          <cell r="U56" t="str">
            <v/>
          </cell>
          <cell r="X56">
            <v>0</v>
          </cell>
          <cell r="Y56" t="str">
            <v/>
          </cell>
          <cell r="AA56">
            <v>0</v>
          </cell>
          <cell r="AB56" t="str">
            <v/>
          </cell>
          <cell r="AC56" t="str">
            <v/>
          </cell>
          <cell r="AD56" t="str">
            <v/>
          </cell>
          <cell r="AE56" t="str">
            <v/>
          </cell>
          <cell r="AF56" t="str">
            <v/>
          </cell>
          <cell r="AG56" t="str">
            <v/>
          </cell>
          <cell r="AH56" t="str">
            <v/>
          </cell>
          <cell r="AI56" t="str">
            <v/>
          </cell>
          <cell r="AJ56">
            <v>0.02</v>
          </cell>
          <cell r="AK56">
            <v>30</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v>718.44299999999987</v>
          </cell>
          <cell r="BP56" t="str">
            <v/>
          </cell>
          <cell r="BQ56">
            <v>718.44299999999987</v>
          </cell>
          <cell r="BR56" t="str">
            <v/>
          </cell>
          <cell r="BS56" t="str">
            <v/>
          </cell>
          <cell r="BT56" t="str">
            <v/>
          </cell>
          <cell r="BU56" t="str">
            <v/>
          </cell>
          <cell r="BV56" t="str">
            <v/>
          </cell>
          <cell r="BW56" t="str">
            <v/>
          </cell>
          <cell r="BX56" t="str">
            <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74</v>
          </cell>
          <cell r="F57" t="str">
            <v/>
          </cell>
          <cell r="G57" t="str">
            <v/>
          </cell>
          <cell r="J57" t="str">
            <v/>
          </cell>
          <cell r="L57" t="str">
            <v/>
          </cell>
          <cell r="M57" t="str">
            <v/>
          </cell>
          <cell r="N57" t="str">
            <v/>
          </cell>
          <cell r="O57" t="str">
            <v/>
          </cell>
          <cell r="P57" t="str">
            <v/>
          </cell>
          <cell r="S57" t="str">
            <v/>
          </cell>
          <cell r="U57" t="str">
            <v/>
          </cell>
          <cell r="X57">
            <v>0</v>
          </cell>
          <cell r="Y57" t="str">
            <v/>
          </cell>
          <cell r="AA57">
            <v>0</v>
          </cell>
          <cell r="AB57" t="str">
            <v/>
          </cell>
          <cell r="AC57" t="str">
            <v/>
          </cell>
          <cell r="AD57" t="str">
            <v/>
          </cell>
          <cell r="AE57" t="str">
            <v/>
          </cell>
          <cell r="AF57" t="str">
            <v/>
          </cell>
          <cell r="AG57" t="str">
            <v/>
          </cell>
          <cell r="AH57" t="str">
            <v/>
          </cell>
          <cell r="AI57" t="str">
            <v/>
          </cell>
          <cell r="AJ57">
            <v>0.02</v>
          </cell>
          <cell r="AK57">
            <v>30</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v>0</v>
          </cell>
          <cell r="BP57" t="str">
            <v/>
          </cell>
          <cell r="BQ57">
            <v>0</v>
          </cell>
          <cell r="BR57" t="str">
            <v/>
          </cell>
          <cell r="BS57" t="str">
            <v/>
          </cell>
          <cell r="BT57" t="str">
            <v/>
          </cell>
          <cell r="BU57" t="str">
            <v/>
          </cell>
          <cell r="BV57" t="str">
            <v/>
          </cell>
          <cell r="BW57" t="str">
            <v/>
          </cell>
          <cell r="BX57" t="str">
            <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75</v>
          </cell>
          <cell r="C58" t="str">
            <v/>
          </cell>
          <cell r="F58" t="str">
            <v/>
          </cell>
          <cell r="G58" t="str">
            <v/>
          </cell>
          <cell r="J58" t="str">
            <v/>
          </cell>
          <cell r="L58" t="str">
            <v/>
          </cell>
          <cell r="M58" t="str">
            <v/>
          </cell>
          <cell r="N58" t="str">
            <v/>
          </cell>
          <cell r="O58" t="str">
            <v/>
          </cell>
          <cell r="P58" t="str">
            <v/>
          </cell>
          <cell r="S58" t="str">
            <v/>
          </cell>
          <cell r="U58" t="str">
            <v/>
          </cell>
          <cell r="X58">
            <v>0</v>
          </cell>
          <cell r="Y58" t="str">
            <v/>
          </cell>
          <cell r="AA58">
            <v>0</v>
          </cell>
          <cell r="AB58" t="str">
            <v/>
          </cell>
          <cell r="AC58" t="str">
            <v/>
          </cell>
          <cell r="AD58" t="str">
            <v/>
          </cell>
          <cell r="AE58" t="str">
            <v/>
          </cell>
          <cell r="AF58" t="str">
            <v/>
          </cell>
          <cell r="AG58" t="str">
            <v/>
          </cell>
          <cell r="AH58" t="str">
            <v/>
          </cell>
          <cell r="AI58" t="str">
            <v/>
          </cell>
          <cell r="AJ58">
            <v>0.02</v>
          </cell>
          <cell r="AK58">
            <v>30</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v>0</v>
          </cell>
          <cell r="BP58" t="str">
            <v/>
          </cell>
          <cell r="BQ58">
            <v>0</v>
          </cell>
          <cell r="BR58" t="str">
            <v/>
          </cell>
          <cell r="BS58" t="str">
            <v/>
          </cell>
          <cell r="BT58" t="str">
            <v/>
          </cell>
          <cell r="BU58" t="str">
            <v/>
          </cell>
          <cell r="BV58" t="str">
            <v/>
          </cell>
          <cell r="BW58" t="str">
            <v/>
          </cell>
          <cell r="BX58" t="str">
            <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76</v>
          </cell>
          <cell r="B59" t="str">
            <v>A21</v>
          </cell>
          <cell r="C59" t="str">
            <v>C51</v>
          </cell>
          <cell r="E59">
            <v>3.13</v>
          </cell>
          <cell r="F59">
            <v>3.13</v>
          </cell>
          <cell r="G59">
            <v>5</v>
          </cell>
          <cell r="J59" t="str">
            <v/>
          </cell>
          <cell r="K59">
            <v>0.11460125141746949</v>
          </cell>
          <cell r="L59">
            <v>0.11460125141746949</v>
          </cell>
          <cell r="M59">
            <v>3</v>
          </cell>
          <cell r="N59">
            <v>471.90281881227315</v>
          </cell>
          <cell r="O59">
            <v>0.63012548262548296</v>
          </cell>
          <cell r="P59">
            <v>930.73051325856159</v>
          </cell>
          <cell r="S59">
            <v>0</v>
          </cell>
          <cell r="U59" t="str">
            <v/>
          </cell>
          <cell r="X59" t="str">
            <v/>
          </cell>
          <cell r="Y59" t="str">
            <v/>
          </cell>
          <cell r="AA59" t="str">
            <v/>
          </cell>
          <cell r="AB59" t="str">
            <v/>
          </cell>
          <cell r="AC59" t="str">
            <v/>
          </cell>
          <cell r="AD59" t="str">
            <v/>
          </cell>
          <cell r="AE59" t="str">
            <v/>
          </cell>
          <cell r="AF59" t="str">
            <v/>
          </cell>
          <cell r="AG59" t="str">
            <v/>
          </cell>
          <cell r="AH59">
            <v>932.23051325856159</v>
          </cell>
          <cell r="AI59">
            <v>12.95</v>
          </cell>
          <cell r="AJ59">
            <v>2.87</v>
          </cell>
          <cell r="AK59">
            <v>24</v>
          </cell>
          <cell r="AL59">
            <v>0.60000000000000009</v>
          </cell>
          <cell r="AM59">
            <v>1.2999999999999999E-2</v>
          </cell>
          <cell r="AN59">
            <v>0.49235315322875989</v>
          </cell>
          <cell r="AO59">
            <v>0.57410888671875016</v>
          </cell>
          <cell r="AP59">
            <v>0.82058858871459972</v>
          </cell>
          <cell r="AQ59">
            <v>3.7544882511630981</v>
          </cell>
          <cell r="AR59">
            <v>1.6309463093775045</v>
          </cell>
          <cell r="AS59">
            <v>4.1994002348634876</v>
          </cell>
          <cell r="AT59">
            <v>0.71845983833444127</v>
          </cell>
          <cell r="AU59">
            <v>1.2108129915632011</v>
          </cell>
          <cell r="AV59">
            <v>3.6852251891975691</v>
          </cell>
          <cell r="AW59">
            <v>1041.972874308643</v>
          </cell>
          <cell r="AX59">
            <v>0.8946782936908062</v>
          </cell>
          <cell r="AY59">
            <v>54.859778276292957</v>
          </cell>
          <cell r="AZ59" t="b">
            <v>0</v>
          </cell>
          <cell r="BA59" t="str">
            <v/>
          </cell>
          <cell r="BB59">
            <v>1E-3</v>
          </cell>
          <cell r="BC59">
            <v>0</v>
          </cell>
          <cell r="BD59">
            <v>0</v>
          </cell>
          <cell r="BE59">
            <v>1E-3</v>
          </cell>
          <cell r="BF59" t="str">
            <v/>
          </cell>
          <cell r="BG59">
            <v>1.0664386366702769</v>
          </cell>
          <cell r="BH59">
            <v>1.9999999999999996</v>
          </cell>
          <cell r="BI59">
            <v>1.3</v>
          </cell>
          <cell r="BJ59" t="str">
            <v/>
          </cell>
          <cell r="BK59" t="str">
            <v/>
          </cell>
          <cell r="BL59" t="str">
            <v/>
          </cell>
          <cell r="BM59">
            <v>2.2403366767437505</v>
          </cell>
          <cell r="BN59">
            <v>0</v>
          </cell>
          <cell r="BO59">
            <v>669.80300000000011</v>
          </cell>
          <cell r="BP59">
            <v>669.43300000000011</v>
          </cell>
          <cell r="BQ59">
            <v>670.40300000000013</v>
          </cell>
          <cell r="BR59">
            <v>670.03300000000013</v>
          </cell>
          <cell r="BS59">
            <v>672.02300000000014</v>
          </cell>
          <cell r="BT59">
            <v>671.34300000000007</v>
          </cell>
          <cell r="BU59" t="b">
            <v>0</v>
          </cell>
          <cell r="BV59">
            <v>1.6200000000000045</v>
          </cell>
          <cell r="BW59">
            <v>1.3099999999999454</v>
          </cell>
          <cell r="BX59">
            <v>2.2200000000000046</v>
          </cell>
          <cell r="BY59">
            <v>600</v>
          </cell>
          <cell r="BZ59">
            <v>1.1499999999999999</v>
          </cell>
          <cell r="CA59">
            <v>0.75</v>
          </cell>
          <cell r="CB59">
            <v>1.464999999999975</v>
          </cell>
          <cell r="CC59">
            <v>1.1109699718449539</v>
          </cell>
          <cell r="CD59">
            <v>3085.4413543063979</v>
          </cell>
          <cell r="CE59">
            <v>0.1448753769562664</v>
          </cell>
          <cell r="CF59">
            <v>1195.2218598891977</v>
          </cell>
          <cell r="CG59">
            <v>4280.6632141955961</v>
          </cell>
          <cell r="CH59">
            <v>1.25</v>
          </cell>
          <cell r="CI59">
            <v>2928</v>
          </cell>
          <cell r="CJ59">
            <v>1.8274689268253057</v>
          </cell>
          <cell r="CK59">
            <v>1.9</v>
          </cell>
          <cell r="CL59">
            <v>2</v>
          </cell>
          <cell r="CM59">
            <v>3</v>
          </cell>
        </row>
        <row r="60">
          <cell r="A60">
            <v>77</v>
          </cell>
          <cell r="B60" t="str">
            <v>C51</v>
          </cell>
          <cell r="C60" t="str">
            <v>C52</v>
          </cell>
          <cell r="E60">
            <v>1.4109083086337395</v>
          </cell>
          <cell r="F60">
            <v>4.540908308633739</v>
          </cell>
          <cell r="G60">
            <v>5</v>
          </cell>
          <cell r="J60" t="str">
            <v/>
          </cell>
          <cell r="K60">
            <v>0.207825604811361</v>
          </cell>
          <cell r="L60">
            <v>3.2078256048113611</v>
          </cell>
          <cell r="M60">
            <v>3.2078256048113611</v>
          </cell>
          <cell r="N60">
            <v>467.36338090484503</v>
          </cell>
          <cell r="O60">
            <v>0.63583333333333336</v>
          </cell>
          <cell r="P60">
            <v>1349.4</v>
          </cell>
          <cell r="S60">
            <v>0</v>
          </cell>
          <cell r="U60" t="str">
            <v/>
          </cell>
          <cell r="X60">
            <v>0</v>
          </cell>
          <cell r="Y60" t="str">
            <v/>
          </cell>
          <cell r="AA60">
            <v>0</v>
          </cell>
          <cell r="AB60" t="str">
            <v/>
          </cell>
          <cell r="AC60" t="str">
            <v/>
          </cell>
          <cell r="AD60" t="str">
            <v/>
          </cell>
          <cell r="AE60" t="str">
            <v/>
          </cell>
          <cell r="AF60" t="str">
            <v/>
          </cell>
          <cell r="AG60" t="str">
            <v/>
          </cell>
          <cell r="AH60">
            <v>1350.9</v>
          </cell>
          <cell r="AI60">
            <v>12</v>
          </cell>
          <cell r="AJ60">
            <v>11.3</v>
          </cell>
          <cell r="AK60">
            <v>24</v>
          </cell>
          <cell r="AL60">
            <v>0.60000000000000009</v>
          </cell>
          <cell r="AM60">
            <v>1.2999999999999999E-2</v>
          </cell>
          <cell r="AN60">
            <v>0.39710397720336921</v>
          </cell>
          <cell r="AO60">
            <v>0.59384765625000013</v>
          </cell>
          <cell r="AP60">
            <v>0.66183996200561523</v>
          </cell>
          <cell r="AQ60">
            <v>6.8021114336172364</v>
          </cell>
          <cell r="AR60">
            <v>3.6686319484017798</v>
          </cell>
          <cell r="AS60">
            <v>14.00169953154499</v>
          </cell>
          <cell r="AT60">
            <v>2.3582426073061331</v>
          </cell>
          <cell r="AU60">
            <v>2.7553465845095024</v>
          </cell>
          <cell r="AV60">
            <v>7.3124398101596899</v>
          </cell>
          <cell r="AW60">
            <v>2067.5436468673711</v>
          </cell>
          <cell r="AX60">
            <v>0.65338402990757161</v>
          </cell>
          <cell r="AY60">
            <v>0.3797372051886222</v>
          </cell>
          <cell r="AZ60" t="str">
            <v>54°28'48''</v>
          </cell>
          <cell r="BA60">
            <v>2.4280638163390891</v>
          </cell>
          <cell r="BB60">
            <v>1.5449999999999999</v>
          </cell>
          <cell r="BC60">
            <v>0.16400000000000001</v>
          </cell>
          <cell r="BD60">
            <v>0.56799999999999995</v>
          </cell>
          <cell r="BE60">
            <v>2.2769999999999997</v>
          </cell>
          <cell r="BF60">
            <v>2.2769999999999997</v>
          </cell>
          <cell r="BG60">
            <v>1.5453816773730737</v>
          </cell>
          <cell r="BH60">
            <v>1.9999999999999996</v>
          </cell>
          <cell r="BI60">
            <v>1.3</v>
          </cell>
          <cell r="BJ60" t="str">
            <v/>
          </cell>
          <cell r="BK60" t="str">
            <v/>
          </cell>
          <cell r="BL60" t="str">
            <v/>
          </cell>
          <cell r="BM60">
            <v>4.1039471069472668</v>
          </cell>
          <cell r="BN60">
            <v>3.61</v>
          </cell>
          <cell r="BO60">
            <v>669.10300000000007</v>
          </cell>
          <cell r="BP60">
            <v>667.74300000000005</v>
          </cell>
          <cell r="BQ60">
            <v>669.70300000000009</v>
          </cell>
          <cell r="BR60">
            <v>668.34300000000007</v>
          </cell>
          <cell r="BS60">
            <v>671.34300000000007</v>
          </cell>
          <cell r="BT60">
            <v>669.34300000000007</v>
          </cell>
          <cell r="BU60" t="str">
            <v/>
          </cell>
          <cell r="BV60">
            <v>1.6399999999999864</v>
          </cell>
          <cell r="BW60">
            <v>1</v>
          </cell>
          <cell r="BX60">
            <v>2.2399999999999864</v>
          </cell>
          <cell r="BY60">
            <v>600</v>
          </cell>
          <cell r="BZ60">
            <v>1.1499999999999999</v>
          </cell>
          <cell r="CA60">
            <v>0.75</v>
          </cell>
          <cell r="CB60">
            <v>1.3199999999999932</v>
          </cell>
          <cell r="CC60">
            <v>1.0143667052529992</v>
          </cell>
          <cell r="CD60">
            <v>2817.1499321638912</v>
          </cell>
          <cell r="CE60">
            <v>0.17316357276338468</v>
          </cell>
          <cell r="CF60">
            <v>1428.5994752979236</v>
          </cell>
          <cell r="CG60">
            <v>4245.7494074618153</v>
          </cell>
          <cell r="CH60">
            <v>1.25</v>
          </cell>
          <cell r="CI60">
            <v>2928</v>
          </cell>
          <cell r="CJ60">
            <v>1.8125637839232476</v>
          </cell>
          <cell r="CK60">
            <v>1.9</v>
          </cell>
          <cell r="CL60">
            <v>2</v>
          </cell>
          <cell r="CM60">
            <v>3</v>
          </cell>
        </row>
        <row r="61">
          <cell r="A61">
            <v>78</v>
          </cell>
          <cell r="B61" t="str">
            <v>C52</v>
          </cell>
          <cell r="C61" t="str">
            <v>C53</v>
          </cell>
          <cell r="F61">
            <v>4.540908308633739</v>
          </cell>
          <cell r="G61">
            <v>5</v>
          </cell>
          <cell r="J61" t="str">
            <v/>
          </cell>
          <cell r="K61">
            <v>6.9013978503485104E-2</v>
          </cell>
          <cell r="L61">
            <v>3.276839583314846</v>
          </cell>
          <cell r="M61">
            <v>3.276839583314846</v>
          </cell>
          <cell r="N61">
            <v>465.87382715726278</v>
          </cell>
          <cell r="O61">
            <v>0.6375000000000004</v>
          </cell>
          <cell r="P61">
            <v>1348.6250869773014</v>
          </cell>
          <cell r="S61">
            <v>0</v>
          </cell>
          <cell r="U61" t="str">
            <v/>
          </cell>
          <cell r="X61">
            <v>0</v>
          </cell>
          <cell r="Y61" t="str">
            <v/>
          </cell>
          <cell r="AA61">
            <v>0</v>
          </cell>
          <cell r="AB61" t="str">
            <v/>
          </cell>
          <cell r="AC61" t="str">
            <v/>
          </cell>
          <cell r="AD61" t="str">
            <v/>
          </cell>
          <cell r="AE61" t="str">
            <v/>
          </cell>
          <cell r="AF61" t="str">
            <v/>
          </cell>
          <cell r="AG61" t="str">
            <v/>
          </cell>
          <cell r="AH61">
            <v>1350.1250869773014</v>
          </cell>
          <cell r="AI61">
            <v>12</v>
          </cell>
          <cell r="AJ61">
            <v>15.18</v>
          </cell>
          <cell r="AK61">
            <v>24</v>
          </cell>
          <cell r="AL61">
            <v>0.60000000000000009</v>
          </cell>
          <cell r="AM61">
            <v>1.2999999999999999E-2</v>
          </cell>
          <cell r="AN61">
            <v>0.36289826631546029</v>
          </cell>
          <cell r="AO61">
            <v>0.59383850097656266</v>
          </cell>
          <cell r="AP61">
            <v>0.60483044385910045</v>
          </cell>
          <cell r="AQ61">
            <v>7.5496718176491209</v>
          </cell>
          <cell r="AR61">
            <v>4.362050511219449</v>
          </cell>
          <cell r="AS61">
            <v>17.482995322190245</v>
          </cell>
          <cell r="AT61">
            <v>2.9050736266159727</v>
          </cell>
          <cell r="AU61">
            <v>3.267971892931433</v>
          </cell>
          <cell r="AV61">
            <v>8.4753758855428263</v>
          </cell>
          <cell r="AW61">
            <v>2396.3560756590095</v>
          </cell>
          <cell r="AX61">
            <v>0.56340754226435674</v>
          </cell>
          <cell r="AY61">
            <v>0.37973720525858901</v>
          </cell>
          <cell r="AZ61" t="str">
            <v>00°00'00''</v>
          </cell>
          <cell r="BA61">
            <v>1000</v>
          </cell>
          <cell r="BB61">
            <v>0.51300000000000001</v>
          </cell>
          <cell r="BC61">
            <v>5.5E-2</v>
          </cell>
          <cell r="BD61">
            <v>0.13100000000000001</v>
          </cell>
          <cell r="BE61">
            <v>0.69900000000000007</v>
          </cell>
          <cell r="BF61">
            <v>0.69900000000000007</v>
          </cell>
          <cell r="BG61" t="str">
            <v/>
          </cell>
          <cell r="BH61" t="str">
            <v/>
          </cell>
          <cell r="BI61" t="str">
            <v/>
          </cell>
          <cell r="BJ61" t="str">
            <v/>
          </cell>
          <cell r="BK61" t="str">
            <v/>
          </cell>
          <cell r="BL61" t="str">
            <v/>
          </cell>
          <cell r="BM61" t="str">
            <v/>
          </cell>
          <cell r="BN61">
            <v>0.7</v>
          </cell>
          <cell r="BO61">
            <v>667.16300000000001</v>
          </cell>
          <cell r="BP61">
            <v>665.34299999999996</v>
          </cell>
          <cell r="BQ61">
            <v>667.76300000000003</v>
          </cell>
          <cell r="BR61">
            <v>665.94299999999998</v>
          </cell>
          <cell r="BS61">
            <v>669.34300000000007</v>
          </cell>
          <cell r="BT61">
            <v>666.94299999999998</v>
          </cell>
          <cell r="BU61" t="str">
            <v/>
          </cell>
          <cell r="BV61">
            <v>1.5800000000000409</v>
          </cell>
          <cell r="BW61">
            <v>1</v>
          </cell>
          <cell r="BX61">
            <v>2.180000000000041</v>
          </cell>
          <cell r="BY61">
            <v>600</v>
          </cell>
          <cell r="BZ61">
            <v>1.1499999999999999</v>
          </cell>
          <cell r="CA61">
            <v>0.75</v>
          </cell>
          <cell r="CB61">
            <v>1.2900000000000205</v>
          </cell>
          <cell r="CC61">
            <v>0.99404306734130532</v>
          </cell>
          <cell r="CD61">
            <v>2760.7061087736402</v>
          </cell>
          <cell r="CE61">
            <v>0.17997720574508347</v>
          </cell>
          <cell r="CF61">
            <v>1484.8119473969386</v>
          </cell>
          <cell r="CG61">
            <v>4245.5180561705783</v>
          </cell>
          <cell r="CH61">
            <v>1.25</v>
          </cell>
          <cell r="CI61">
            <v>2928</v>
          </cell>
          <cell r="CJ61">
            <v>1.8124650171493248</v>
          </cell>
          <cell r="CK61">
            <v>1.9</v>
          </cell>
          <cell r="CL61">
            <v>2</v>
          </cell>
          <cell r="CM61">
            <v>3</v>
          </cell>
        </row>
        <row r="62">
          <cell r="A62">
            <v>79</v>
          </cell>
          <cell r="B62" t="str">
            <v>C53</v>
          </cell>
          <cell r="C62" t="str">
            <v>C54</v>
          </cell>
          <cell r="F62">
            <v>4.540908308633739</v>
          </cell>
          <cell r="G62">
            <v>5</v>
          </cell>
          <cell r="J62" t="str">
            <v/>
          </cell>
          <cell r="K62">
            <v>6.9013978503485104E-2</v>
          </cell>
          <cell r="L62">
            <v>3.3458535618183309</v>
          </cell>
          <cell r="M62">
            <v>3.3458535618183309</v>
          </cell>
          <cell r="N62">
            <v>464.39306287061709</v>
          </cell>
          <cell r="O62">
            <v>0.63312529056252875</v>
          </cell>
          <cell r="P62">
            <v>1335.1132875976296</v>
          </cell>
          <cell r="S62">
            <v>0</v>
          </cell>
          <cell r="U62" t="str">
            <v/>
          </cell>
          <cell r="X62">
            <v>0</v>
          </cell>
          <cell r="Y62" t="str">
            <v/>
          </cell>
          <cell r="AA62">
            <v>0</v>
          </cell>
          <cell r="AB62" t="str">
            <v/>
          </cell>
          <cell r="AC62" t="str">
            <v/>
          </cell>
          <cell r="AD62" t="str">
            <v/>
          </cell>
          <cell r="AE62" t="str">
            <v/>
          </cell>
          <cell r="AF62" t="str">
            <v/>
          </cell>
          <cell r="AG62" t="str">
            <v/>
          </cell>
          <cell r="AH62">
            <v>1336.6132875976296</v>
          </cell>
          <cell r="AI62">
            <v>21.51</v>
          </cell>
          <cell r="AJ62">
            <v>9.23</v>
          </cell>
          <cell r="AK62">
            <v>24</v>
          </cell>
          <cell r="AL62">
            <v>0.60000000000000009</v>
          </cell>
          <cell r="AM62">
            <v>1.2999999999999999E-2</v>
          </cell>
          <cell r="AN62">
            <v>0.4206632137298586</v>
          </cell>
          <cell r="AO62">
            <v>0.59358215332031261</v>
          </cell>
          <cell r="AP62">
            <v>0.70110535621643089</v>
          </cell>
          <cell r="AQ62">
            <v>6.3117093251869303</v>
          </cell>
          <cell r="AR62">
            <v>3.2428305568054996</v>
          </cell>
          <cell r="AS62">
            <v>11.972322232648592</v>
          </cell>
          <cell r="AT62">
            <v>2.0304625181269955</v>
          </cell>
          <cell r="AU62">
            <v>2.451125731856854</v>
          </cell>
          <cell r="AV62">
            <v>6.6088201473996433</v>
          </cell>
          <cell r="AW62">
            <v>1868.5998741570247</v>
          </cell>
          <cell r="AX62">
            <v>0.71530203233081746</v>
          </cell>
          <cell r="AY62">
            <v>7.0463928157493481</v>
          </cell>
          <cell r="AZ62" t="str">
            <v>06°39'60''</v>
          </cell>
          <cell r="BA62">
            <v>21.461706834955795</v>
          </cell>
          <cell r="BB62">
            <v>1E-3</v>
          </cell>
          <cell r="BC62">
            <v>0.17499999999999999</v>
          </cell>
          <cell r="BD62">
            <v>0.122</v>
          </cell>
          <cell r="BE62">
            <v>0.29799999999999999</v>
          </cell>
          <cell r="BF62">
            <v>0.29699999999999999</v>
          </cell>
          <cell r="BG62" t="str">
            <v/>
          </cell>
          <cell r="BH62" t="str">
            <v/>
          </cell>
          <cell r="BI62" t="str">
            <v/>
          </cell>
          <cell r="BJ62" t="str">
            <v/>
          </cell>
          <cell r="BK62" t="str">
            <v/>
          </cell>
          <cell r="BL62" t="str">
            <v/>
          </cell>
          <cell r="BM62" t="str">
            <v/>
          </cell>
          <cell r="BN62">
            <v>0.3</v>
          </cell>
          <cell r="BO62">
            <v>665.11300000000006</v>
          </cell>
          <cell r="BP62">
            <v>663.12300000000005</v>
          </cell>
          <cell r="BQ62">
            <v>665.71300000000008</v>
          </cell>
          <cell r="BR62">
            <v>663.72300000000007</v>
          </cell>
          <cell r="BS62">
            <v>666.94299999999998</v>
          </cell>
          <cell r="BT62">
            <v>664.52300000000014</v>
          </cell>
          <cell r="BU62" t="str">
            <v/>
          </cell>
          <cell r="BV62">
            <v>1.2299999999999045</v>
          </cell>
          <cell r="BW62">
            <v>0.80000000000006821</v>
          </cell>
          <cell r="BX62">
            <v>1.8299999999999046</v>
          </cell>
          <cell r="BY62">
            <v>600</v>
          </cell>
          <cell r="BZ62">
            <v>1.1499999999999999</v>
          </cell>
          <cell r="CA62">
            <v>0.75</v>
          </cell>
          <cell r="CB62">
            <v>1.0149999999999864</v>
          </cell>
          <cell r="CC62">
            <v>0.80220603694993275</v>
          </cell>
          <cell r="CD62">
            <v>2227.9267161192001</v>
          </cell>
          <cell r="CE62">
            <v>0.26408571234109723</v>
          </cell>
          <cell r="CF62">
            <v>2178.7071268140521</v>
          </cell>
          <cell r="CG62">
            <v>4406.6338429332518</v>
          </cell>
          <cell r="CH62">
            <v>1.25</v>
          </cell>
          <cell r="CI62">
            <v>3954</v>
          </cell>
          <cell r="CJ62">
            <v>1.393093652925282</v>
          </cell>
          <cell r="CK62">
            <v>1.5</v>
          </cell>
          <cell r="CL62">
            <v>3</v>
          </cell>
          <cell r="CM62">
            <v>3</v>
          </cell>
        </row>
        <row r="63">
          <cell r="A63">
            <v>80</v>
          </cell>
          <cell r="B63" t="str">
            <v>C54</v>
          </cell>
          <cell r="C63" t="str">
            <v>B02</v>
          </cell>
          <cell r="F63">
            <v>4.540908308633739</v>
          </cell>
          <cell r="G63">
            <v>5</v>
          </cell>
          <cell r="J63" t="str">
            <v/>
          </cell>
          <cell r="K63">
            <v>6.9013978503485104E-2</v>
          </cell>
          <cell r="L63">
            <v>3.4148675403218158</v>
          </cell>
          <cell r="M63">
            <v>3.4148675403218158</v>
          </cell>
          <cell r="N63">
            <v>462.92101245913631</v>
          </cell>
          <cell r="O63">
            <v>0.66360108303249099</v>
          </cell>
          <cell r="P63">
            <v>1394.9438066942571</v>
          </cell>
          <cell r="S63">
            <v>0</v>
          </cell>
          <cell r="U63" t="str">
            <v/>
          </cell>
          <cell r="X63">
            <v>0</v>
          </cell>
          <cell r="Y63" t="str">
            <v/>
          </cell>
          <cell r="AA63">
            <v>0</v>
          </cell>
          <cell r="AB63" t="str">
            <v/>
          </cell>
          <cell r="AC63" t="str">
            <v/>
          </cell>
          <cell r="AD63" t="str">
            <v/>
          </cell>
          <cell r="AE63" t="str">
            <v/>
          </cell>
          <cell r="AF63" t="str">
            <v/>
          </cell>
          <cell r="AG63" t="str">
            <v/>
          </cell>
          <cell r="AH63">
            <v>1396.4438066942571</v>
          </cell>
          <cell r="AI63">
            <v>2.77</v>
          </cell>
          <cell r="AJ63">
            <v>3.25</v>
          </cell>
          <cell r="AK63">
            <v>28</v>
          </cell>
          <cell r="AL63">
            <v>0.70000000000000007</v>
          </cell>
          <cell r="AM63">
            <v>1.2999999999999999E-2</v>
          </cell>
          <cell r="AN63">
            <v>0.54538080692291269</v>
          </cell>
          <cell r="AO63">
            <v>0.67180175781250018</v>
          </cell>
          <cell r="AP63">
            <v>0.77911543846130371</v>
          </cell>
          <cell r="AQ63">
            <v>4.3406905213677565</v>
          </cell>
          <cell r="AR63">
            <v>1.8604714294665938</v>
          </cell>
          <cell r="AS63">
            <v>5.3362671375072201</v>
          </cell>
          <cell r="AT63">
            <v>0.9603259022574866</v>
          </cell>
          <cell r="AU63">
            <v>1.5057067091803993</v>
          </cell>
          <cell r="AV63">
            <v>4.34606238639598</v>
          </cell>
          <cell r="AW63">
            <v>1672.5608139802059</v>
          </cell>
          <cell r="AX63">
            <v>0.83491362168836714</v>
          </cell>
          <cell r="AY63">
            <v>59.642394106660248</v>
          </cell>
          <cell r="AZ63" t="str">
            <v>52°35'46''</v>
          </cell>
          <cell r="BA63">
            <v>2.168061441678244</v>
          </cell>
          <cell r="BB63">
            <v>1E-3</v>
          </cell>
          <cell r="BC63">
            <v>0.214</v>
          </cell>
          <cell r="BD63">
            <v>0.57799999999999996</v>
          </cell>
          <cell r="BE63">
            <v>0.79299999999999993</v>
          </cell>
          <cell r="BF63">
            <v>0.79199999999999993</v>
          </cell>
          <cell r="BG63">
            <v>1.0865983651414863</v>
          </cell>
          <cell r="BH63">
            <v>2.1428571428571428</v>
          </cell>
          <cell r="BI63">
            <v>1.2</v>
          </cell>
          <cell r="BJ63" t="str">
            <v/>
          </cell>
          <cell r="BK63" t="str">
            <v/>
          </cell>
          <cell r="BL63" t="str">
            <v/>
          </cell>
          <cell r="BM63">
            <v>2.4823086738364051</v>
          </cell>
          <cell r="BN63">
            <v>2.06</v>
          </cell>
          <cell r="BO63">
            <v>662.86300000000006</v>
          </cell>
          <cell r="BP63">
            <v>662.77300000000002</v>
          </cell>
          <cell r="BQ63">
            <v>663.5630000000001</v>
          </cell>
          <cell r="BR63">
            <v>663.47300000000007</v>
          </cell>
          <cell r="BS63">
            <v>664.52300000000014</v>
          </cell>
          <cell r="BT63">
            <v>662.52300000000014</v>
          </cell>
          <cell r="BU63" t="str">
            <v/>
          </cell>
          <cell r="BV63">
            <v>0.96000000000003638</v>
          </cell>
          <cell r="BW63">
            <v>-0.94999999999993179</v>
          </cell>
          <cell r="BX63">
            <v>1.6600000000000366</v>
          </cell>
          <cell r="BY63">
            <v>700</v>
          </cell>
          <cell r="BZ63">
            <v>1.2749999999999999</v>
          </cell>
          <cell r="CA63">
            <v>0.875</v>
          </cell>
          <cell r="CB63">
            <v>5.0000000000522959E-3</v>
          </cell>
          <cell r="CC63">
            <v>3.9198774568215515E-3</v>
          </cell>
          <cell r="CD63">
            <v>13.381726660565622</v>
          </cell>
          <cell r="CE63">
            <v>0.99999906137175432</v>
          </cell>
          <cell r="CF63">
            <v>10724.989933212066</v>
          </cell>
          <cell r="CG63">
            <v>10738.371659872631</v>
          </cell>
          <cell r="CH63">
            <v>1.25</v>
          </cell>
          <cell r="CI63">
            <v>3416</v>
          </cell>
          <cell r="CJ63">
            <v>3.9294392783491774</v>
          </cell>
          <cell r="CK63">
            <v>4</v>
          </cell>
          <cell r="CL63">
            <v>2</v>
          </cell>
          <cell r="CM63">
            <v>3</v>
          </cell>
        </row>
        <row r="64">
          <cell r="A64">
            <v>81</v>
          </cell>
          <cell r="F64" t="str">
            <v/>
          </cell>
          <cell r="G64" t="str">
            <v/>
          </cell>
          <cell r="J64" t="str">
            <v/>
          </cell>
          <cell r="L64" t="str">
            <v/>
          </cell>
          <cell r="M64" t="str">
            <v/>
          </cell>
          <cell r="N64" t="str">
            <v/>
          </cell>
          <cell r="O64" t="str">
            <v/>
          </cell>
          <cell r="P64" t="str">
            <v/>
          </cell>
          <cell r="S64" t="str">
            <v/>
          </cell>
          <cell r="U64" t="str">
            <v/>
          </cell>
          <cell r="X64">
            <v>0</v>
          </cell>
          <cell r="Y64" t="str">
            <v/>
          </cell>
          <cell r="AA64">
            <v>0</v>
          </cell>
          <cell r="AB64" t="str">
            <v/>
          </cell>
          <cell r="AC64" t="str">
            <v/>
          </cell>
          <cell r="AD64" t="str">
            <v/>
          </cell>
          <cell r="AE64" t="str">
            <v/>
          </cell>
          <cell r="AF64" t="str">
            <v/>
          </cell>
          <cell r="AG64" t="str">
            <v/>
          </cell>
          <cell r="AH64" t="str">
            <v/>
          </cell>
          <cell r="AI64" t="str">
            <v/>
          </cell>
          <cell r="AJ64">
            <v>0.02</v>
          </cell>
          <cell r="AK64">
            <v>30</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v>662.77300000000002</v>
          </cell>
          <cell r="BP64" t="str">
            <v/>
          </cell>
          <cell r="BQ64">
            <v>662.77300000000002</v>
          </cell>
          <cell r="BR64" t="str">
            <v/>
          </cell>
          <cell r="BS64" t="str">
            <v/>
          </cell>
          <cell r="BT64" t="str">
            <v/>
          </cell>
          <cell r="BU64" t="str">
            <v/>
          </cell>
          <cell r="BV64" t="str">
            <v/>
          </cell>
          <cell r="BW64" t="str">
            <v/>
          </cell>
          <cell r="BX64" t="str">
            <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82</v>
          </cell>
          <cell r="C65" t="str">
            <v/>
          </cell>
          <cell r="F65" t="str">
            <v/>
          </cell>
          <cell r="G65" t="str">
            <v/>
          </cell>
          <cell r="J65" t="str">
            <v/>
          </cell>
          <cell r="L65" t="str">
            <v/>
          </cell>
          <cell r="M65" t="str">
            <v/>
          </cell>
          <cell r="N65" t="str">
            <v/>
          </cell>
          <cell r="O65" t="str">
            <v/>
          </cell>
          <cell r="P65" t="str">
            <v/>
          </cell>
          <cell r="S65" t="str">
            <v/>
          </cell>
          <cell r="U65" t="str">
            <v/>
          </cell>
          <cell r="X65">
            <v>0</v>
          </cell>
          <cell r="Y65" t="str">
            <v/>
          </cell>
          <cell r="AA65">
            <v>0</v>
          </cell>
          <cell r="AB65" t="str">
            <v/>
          </cell>
          <cell r="AC65" t="str">
            <v/>
          </cell>
          <cell r="AD65" t="str">
            <v/>
          </cell>
          <cell r="AE65" t="str">
            <v/>
          </cell>
          <cell r="AF65" t="str">
            <v/>
          </cell>
          <cell r="AG65" t="str">
            <v/>
          </cell>
          <cell r="AH65" t="str">
            <v/>
          </cell>
          <cell r="AI65" t="str">
            <v/>
          </cell>
          <cell r="AJ65">
            <v>0.02</v>
          </cell>
          <cell r="AK65">
            <v>30</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v>0</v>
          </cell>
          <cell r="BP65" t="str">
            <v/>
          </cell>
          <cell r="BQ65">
            <v>0</v>
          </cell>
          <cell r="BR65" t="str">
            <v/>
          </cell>
          <cell r="BS65" t="str">
            <v/>
          </cell>
          <cell r="BT65" t="str">
            <v/>
          </cell>
          <cell r="BU65" t="str">
            <v/>
          </cell>
          <cell r="BV65" t="str">
            <v/>
          </cell>
          <cell r="BW65" t="str">
            <v/>
          </cell>
          <cell r="BX65" t="str">
            <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83</v>
          </cell>
          <cell r="B66" t="str">
            <v>A12</v>
          </cell>
          <cell r="C66" t="str">
            <v>B01</v>
          </cell>
          <cell r="D66">
            <v>1.36</v>
          </cell>
          <cell r="F66">
            <v>1.36</v>
          </cell>
          <cell r="G66">
            <v>5</v>
          </cell>
          <cell r="J66" t="str">
            <v/>
          </cell>
          <cell r="K66">
            <v>6.9013978503485104E-2</v>
          </cell>
          <cell r="L66">
            <v>6.9013978503485104E-2</v>
          </cell>
          <cell r="M66">
            <v>3</v>
          </cell>
          <cell r="N66">
            <v>471.90281881227315</v>
          </cell>
          <cell r="O66">
            <v>0.63517830045523482</v>
          </cell>
          <cell r="P66">
            <v>407.6497053891714</v>
          </cell>
          <cell r="S66">
            <v>0</v>
          </cell>
          <cell r="U66" t="str">
            <v/>
          </cell>
          <cell r="X66" t="str">
            <v/>
          </cell>
          <cell r="Y66" t="str">
            <v/>
          </cell>
          <cell r="AA66" t="str">
            <v/>
          </cell>
          <cell r="AB66" t="str">
            <v/>
          </cell>
          <cell r="AC66" t="str">
            <v/>
          </cell>
          <cell r="AD66" t="str">
            <v/>
          </cell>
          <cell r="AE66" t="str">
            <v/>
          </cell>
          <cell r="AF66" t="str">
            <v/>
          </cell>
          <cell r="AG66" t="str">
            <v/>
          </cell>
          <cell r="AH66">
            <v>409.1497053891714</v>
          </cell>
          <cell r="AI66">
            <v>13.18</v>
          </cell>
          <cell r="AJ66">
            <v>3.66</v>
          </cell>
          <cell r="AK66">
            <v>18</v>
          </cell>
          <cell r="AL66">
            <v>0.45</v>
          </cell>
          <cell r="AM66">
            <v>1.4E-2</v>
          </cell>
          <cell r="AN66">
            <v>0.34205310344696049</v>
          </cell>
          <cell r="AO66">
            <v>0.421875</v>
          </cell>
          <cell r="AP66">
            <v>0.76011800765991222</v>
          </cell>
          <cell r="AQ66">
            <v>3.1542870759603714</v>
          </cell>
          <cell r="AR66">
            <v>1.7319779487330151</v>
          </cell>
          <cell r="AS66">
            <v>3.7911630619146761</v>
          </cell>
          <cell r="AT66">
            <v>0.50711146572735111</v>
          </cell>
          <cell r="AU66">
            <v>0.8491645691743116</v>
          </cell>
          <cell r="AV66">
            <v>3.1899689136992531</v>
          </cell>
          <cell r="AW66">
            <v>507.34263453815521</v>
          </cell>
          <cell r="AX66">
            <v>0.80645638181310952</v>
          </cell>
          <cell r="AY66">
            <v>12.083830182408475</v>
          </cell>
          <cell r="AZ66" t="b">
            <v>0</v>
          </cell>
          <cell r="BA66" t="str">
            <v/>
          </cell>
          <cell r="BB66">
            <v>1E-3</v>
          </cell>
          <cell r="BC66">
            <v>0</v>
          </cell>
          <cell r="BD66">
            <v>0</v>
          </cell>
          <cell r="BE66">
            <v>1E-3</v>
          </cell>
          <cell r="BF66" t="str">
            <v/>
          </cell>
          <cell r="BG66">
            <v>0.96081913019759546</v>
          </cell>
          <cell r="BH66">
            <v>2.6666666666666665</v>
          </cell>
          <cell r="BI66">
            <v>1.2</v>
          </cell>
          <cell r="BJ66" t="str">
            <v/>
          </cell>
          <cell r="BK66" t="str">
            <v/>
          </cell>
          <cell r="BL66" t="str">
            <v/>
          </cell>
          <cell r="BM66">
            <v>1.3301610457436088</v>
          </cell>
          <cell r="BN66">
            <v>0</v>
          </cell>
          <cell r="BO66">
            <v>686.28699999999992</v>
          </cell>
          <cell r="BP66">
            <v>685.8069999999999</v>
          </cell>
          <cell r="BQ66">
            <v>686.73699999999997</v>
          </cell>
          <cell r="BR66">
            <v>686.25699999999995</v>
          </cell>
          <cell r="BS66">
            <v>688.78700000000003</v>
          </cell>
          <cell r="BT66">
            <v>686.76300000000015</v>
          </cell>
          <cell r="BU66" t="b">
            <v>0</v>
          </cell>
          <cell r="BV66">
            <v>2.0500000000000682</v>
          </cell>
          <cell r="BW66">
            <v>0.50600000000019918</v>
          </cell>
          <cell r="BX66">
            <v>2.5000000000000684</v>
          </cell>
          <cell r="BY66">
            <v>450</v>
          </cell>
          <cell r="BZ66">
            <v>0.96250000000000002</v>
          </cell>
          <cell r="CA66">
            <v>0.5625</v>
          </cell>
          <cell r="CB66">
            <v>1.2780000000001337</v>
          </cell>
          <cell r="CC66">
            <v>1.1514400187524345</v>
          </cell>
          <cell r="CD66">
            <v>2240.0725827319825</v>
          </cell>
          <cell r="CE66">
            <v>0.14096662455078157</v>
          </cell>
          <cell r="CF66">
            <v>1162.974652543948</v>
          </cell>
          <cell r="CG66">
            <v>3403.0472352759307</v>
          </cell>
          <cell r="CH66">
            <v>1.5</v>
          </cell>
          <cell r="CI66">
            <v>4487</v>
          </cell>
          <cell r="CJ66">
            <v>1.1376355812154881</v>
          </cell>
          <cell r="CK66">
            <v>1.5</v>
          </cell>
          <cell r="CL66">
            <v>2</v>
          </cell>
          <cell r="CM66">
            <v>2</v>
          </cell>
        </row>
      </sheetData>
      <sheetData sheetId="3" refreshError="1">
        <row r="12">
          <cell r="A12">
            <v>1</v>
          </cell>
          <cell r="B12" t="str">
            <v>C01</v>
          </cell>
          <cell r="C12" t="str">
            <v>C02</v>
          </cell>
          <cell r="D12">
            <v>0.02</v>
          </cell>
          <cell r="E12">
            <v>0.17</v>
          </cell>
          <cell r="F12">
            <v>0.19</v>
          </cell>
          <cell r="G12">
            <v>5</v>
          </cell>
          <cell r="H12">
            <v>100</v>
          </cell>
          <cell r="I12">
            <v>50</v>
          </cell>
          <cell r="J12">
            <v>50</v>
          </cell>
          <cell r="K12">
            <v>0.27664946512301691</v>
          </cell>
          <cell r="L12">
            <v>3.095626019591704</v>
          </cell>
          <cell r="M12">
            <v>3.095626019591704</v>
          </cell>
          <cell r="N12">
            <v>469.8039831565884</v>
          </cell>
          <cell r="O12">
            <v>0.6253233636078922</v>
          </cell>
          <cell r="P12">
            <v>55.818087326934048</v>
          </cell>
          <cell r="R12">
            <v>0.17</v>
          </cell>
          <cell r="S12">
            <v>0.17</v>
          </cell>
          <cell r="T12">
            <v>98</v>
          </cell>
          <cell r="U12">
            <v>67</v>
          </cell>
          <cell r="V12">
            <v>0.68799999999999994</v>
          </cell>
          <cell r="X12">
            <v>0</v>
          </cell>
          <cell r="Y12" t="str">
            <v/>
          </cell>
          <cell r="AA12">
            <v>0</v>
          </cell>
          <cell r="AB12" t="str">
            <v/>
          </cell>
          <cell r="AC12">
            <v>0.58479999999999999</v>
          </cell>
          <cell r="AD12">
            <v>9.9416000000000004E-2</v>
          </cell>
          <cell r="AE12">
            <v>0.4356567664164121</v>
          </cell>
          <cell r="AF12">
            <v>0.4356567664164121</v>
          </cell>
          <cell r="AG12">
            <v>0.45265676641641212</v>
          </cell>
          <cell r="AH12">
            <v>57.318087326934048</v>
          </cell>
          <cell r="AI12">
            <v>31.93</v>
          </cell>
          <cell r="AJ12">
            <v>1.8</v>
          </cell>
          <cell r="AK12">
            <v>10</v>
          </cell>
          <cell r="AL12">
            <v>0.25</v>
          </cell>
          <cell r="AM12">
            <v>1.4E-2</v>
          </cell>
          <cell r="AN12">
            <v>0.18444585800170898</v>
          </cell>
          <cell r="AO12">
            <v>0.1953125</v>
          </cell>
          <cell r="AP12">
            <v>0.73778343200683594</v>
          </cell>
          <cell r="AQ12">
            <v>1.4763484214637064</v>
          </cell>
          <cell r="AR12">
            <v>1.1208831667985493</v>
          </cell>
          <cell r="AS12">
            <v>1.0123203162045067</v>
          </cell>
          <cell r="AT12">
            <v>0.11109096134344432</v>
          </cell>
          <cell r="AU12">
            <v>0.2955368193451533</v>
          </cell>
          <cell r="AV12">
            <v>1.5118214073823955</v>
          </cell>
          <cell r="AW12">
            <v>74.211359796442437</v>
          </cell>
          <cell r="AX12">
            <v>0.77236271487484287</v>
          </cell>
          <cell r="AY12">
            <v>195.8006893534214</v>
          </cell>
          <cell r="BO12">
            <v>729.91300000000001</v>
          </cell>
          <cell r="BP12">
            <v>729.34299999999996</v>
          </cell>
          <cell r="BQ12">
            <v>730.16300000000001</v>
          </cell>
          <cell r="BR12">
            <v>729.59299999999996</v>
          </cell>
          <cell r="BS12">
            <v>731.36300000000006</v>
          </cell>
          <cell r="BT12">
            <v>732.75300000000016</v>
          </cell>
          <cell r="BU12" t="b">
            <v>0</v>
          </cell>
          <cell r="BV12">
            <v>1.2000000000000455</v>
          </cell>
          <cell r="BW12">
            <v>3.1600000000001955</v>
          </cell>
          <cell r="BX12">
            <v>1.4500000000000455</v>
          </cell>
          <cell r="BY12">
            <v>250</v>
          </cell>
          <cell r="BZ12">
            <v>0.71250000000000002</v>
          </cell>
          <cell r="CA12">
            <v>0.3125</v>
          </cell>
          <cell r="CB12">
            <v>2.1800000000001205</v>
          </cell>
          <cell r="CC12">
            <v>2.2267586221582389</v>
          </cell>
          <cell r="CD12">
            <v>2373.8986567380389</v>
          </cell>
          <cell r="CE12">
            <v>2.9965888982830813E-2</v>
          </cell>
          <cell r="CF12">
            <v>247.21858410835421</v>
          </cell>
          <cell r="CG12">
            <v>2621.1172408463931</v>
          </cell>
          <cell r="CH12">
            <v>1.5</v>
          </cell>
          <cell r="CI12">
            <v>2957</v>
          </cell>
          <cell r="CJ12">
            <v>1.3296164562967836</v>
          </cell>
          <cell r="CK12">
            <v>1.5</v>
          </cell>
          <cell r="CL12">
            <v>2</v>
          </cell>
          <cell r="CM12">
            <v>2</v>
          </cell>
        </row>
        <row r="13">
          <cell r="A13">
            <v>2</v>
          </cell>
          <cell r="B13" t="str">
            <v>C02</v>
          </cell>
          <cell r="C13" t="str">
            <v>C03</v>
          </cell>
          <cell r="D13">
            <v>7.0000000000000007E-2</v>
          </cell>
          <cell r="E13">
            <v>1.06</v>
          </cell>
          <cell r="F13">
            <v>1.32</v>
          </cell>
          <cell r="G13">
            <v>5</v>
          </cell>
          <cell r="J13" t="str">
            <v/>
          </cell>
          <cell r="K13">
            <v>0.13864702779471333</v>
          </cell>
          <cell r="L13">
            <v>3.2342730473864174</v>
          </cell>
          <cell r="M13">
            <v>3.2342730473864174</v>
          </cell>
          <cell r="N13">
            <v>466.79151255448659</v>
          </cell>
          <cell r="O13">
            <v>0.63917076167076192</v>
          </cell>
          <cell r="P13">
            <v>393.8345223395857</v>
          </cell>
          <cell r="Q13">
            <v>7.0000000000000007E-2</v>
          </cell>
          <cell r="R13">
            <v>1.06</v>
          </cell>
          <cell r="S13">
            <v>1.3</v>
          </cell>
          <cell r="T13">
            <v>98</v>
          </cell>
          <cell r="U13">
            <v>510</v>
          </cell>
          <cell r="V13">
            <v>0.68799999999999994</v>
          </cell>
          <cell r="X13">
            <v>0</v>
          </cell>
          <cell r="Y13" t="str">
            <v/>
          </cell>
          <cell r="AA13">
            <v>0</v>
          </cell>
          <cell r="AB13" t="str">
            <v/>
          </cell>
          <cell r="AC13">
            <v>0.58479999999999999</v>
          </cell>
          <cell r="AD13">
            <v>0.76024000000000003</v>
          </cell>
          <cell r="AE13">
            <v>2.8699792237869337</v>
          </cell>
          <cell r="AF13">
            <v>2.8699792237869337</v>
          </cell>
          <cell r="AG13">
            <v>2.9999792237869336</v>
          </cell>
          <cell r="AH13">
            <v>396.83450156337261</v>
          </cell>
          <cell r="AI13">
            <v>28.49</v>
          </cell>
          <cell r="AJ13">
            <v>16</v>
          </cell>
          <cell r="AK13">
            <v>18</v>
          </cell>
          <cell r="AL13">
            <v>0.45</v>
          </cell>
          <cell r="AM13">
            <v>1.4E-2</v>
          </cell>
          <cell r="AN13">
            <v>0.21567631959915157</v>
          </cell>
          <cell r="AO13">
            <v>0.41879882812499997</v>
          </cell>
          <cell r="AP13">
            <v>0.4792807102203368</v>
          </cell>
          <cell r="AQ13">
            <v>5.2681488071739047</v>
          </cell>
          <cell r="AR13">
            <v>4.1057521210051311</v>
          </cell>
          <cell r="AS13">
            <v>11.371762549399705</v>
          </cell>
          <cell r="AT13">
            <v>1.4145459660819486</v>
          </cell>
          <cell r="AU13">
            <v>1.6302222856811002</v>
          </cell>
          <cell r="AV13">
            <v>6.6696938494448759</v>
          </cell>
          <cell r="AW13">
            <v>1060.7689732048957</v>
          </cell>
          <cell r="AX13">
            <v>0.3741007812138572</v>
          </cell>
          <cell r="AY13">
            <v>144.99166753125877</v>
          </cell>
          <cell r="AZ13" t="str">
            <v>50°48'32''</v>
          </cell>
          <cell r="BA13">
            <v>2.8074230182531519</v>
          </cell>
          <cell r="BB13">
            <v>1.335</v>
          </cell>
          <cell r="BC13">
            <v>0.13</v>
          </cell>
          <cell r="BD13">
            <v>0.23200000000000001</v>
          </cell>
          <cell r="BE13">
            <v>1.6969999999999998</v>
          </cell>
          <cell r="BF13">
            <v>1.6969999999999998</v>
          </cell>
          <cell r="BG13">
            <v>0.9318989494611698</v>
          </cell>
          <cell r="BH13">
            <v>2.6666666666666665</v>
          </cell>
          <cell r="BI13">
            <v>1.2</v>
          </cell>
          <cell r="BJ13" t="str">
            <v/>
          </cell>
          <cell r="BK13" t="str">
            <v/>
          </cell>
          <cell r="BL13" t="str">
            <v/>
          </cell>
          <cell r="BM13">
            <v>1.2737045314798463</v>
          </cell>
          <cell r="BN13">
            <v>1.0900000000000001</v>
          </cell>
          <cell r="BO13">
            <v>729.02299999999991</v>
          </cell>
          <cell r="BP13">
            <v>724.46299999999997</v>
          </cell>
          <cell r="BQ13">
            <v>729.47299999999996</v>
          </cell>
          <cell r="BR13">
            <v>724.91300000000001</v>
          </cell>
          <cell r="BS13">
            <v>732.75300000000016</v>
          </cell>
          <cell r="BT13">
            <v>726.10300000000007</v>
          </cell>
          <cell r="BU13" t="str">
            <v/>
          </cell>
          <cell r="BV13">
            <v>3.2800000000002001</v>
          </cell>
          <cell r="BW13">
            <v>1.1900000000000546</v>
          </cell>
          <cell r="BX13">
            <v>3.7300000000002003</v>
          </cell>
          <cell r="BY13">
            <v>450</v>
          </cell>
          <cell r="BZ13">
            <v>0.96250000000000002</v>
          </cell>
          <cell r="CA13">
            <v>0.5625</v>
          </cell>
          <cell r="CB13">
            <v>2.2350000000001273</v>
          </cell>
          <cell r="CC13">
            <v>1.8182677779848908</v>
          </cell>
          <cell r="CD13">
            <v>3537.3547307675126</v>
          </cell>
          <cell r="CE13">
            <v>5.0975674788497072E-2</v>
          </cell>
          <cell r="CF13">
            <v>420.54931700510082</v>
          </cell>
          <cell r="CG13">
            <v>3957.9040477726135</v>
          </cell>
          <cell r="CH13">
            <v>1.5</v>
          </cell>
          <cell r="CI13">
            <v>4487</v>
          </cell>
          <cell r="CJ13">
            <v>1.3231237066322532</v>
          </cell>
          <cell r="CK13">
            <v>1.5</v>
          </cell>
          <cell r="CL13">
            <v>2</v>
          </cell>
          <cell r="CM13">
            <v>2</v>
          </cell>
        </row>
        <row r="14">
          <cell r="A14">
            <v>3</v>
          </cell>
          <cell r="B14" t="str">
            <v>C03</v>
          </cell>
          <cell r="C14" t="str">
            <v>C04</v>
          </cell>
          <cell r="D14">
            <v>0.08</v>
          </cell>
          <cell r="F14">
            <v>1.4000000000000001</v>
          </cell>
          <cell r="G14">
            <v>5</v>
          </cell>
          <cell r="J14" t="str">
            <v/>
          </cell>
          <cell r="K14">
            <v>7.1464170340705999E-2</v>
          </cell>
          <cell r="L14">
            <v>3.3057372177271236</v>
          </cell>
          <cell r="M14">
            <v>3.3057372177271236</v>
          </cell>
          <cell r="N14">
            <v>465.2527340804084</v>
          </cell>
          <cell r="O14">
            <v>0.64032555282555292</v>
          </cell>
          <cell r="P14">
            <v>417.07849981509253</v>
          </cell>
          <cell r="Q14">
            <v>0.08</v>
          </cell>
          <cell r="S14">
            <v>1.3800000000000001</v>
          </cell>
          <cell r="T14">
            <v>98</v>
          </cell>
          <cell r="U14">
            <v>541</v>
          </cell>
          <cell r="V14">
            <v>0.68799999999999994</v>
          </cell>
          <cell r="X14">
            <v>0</v>
          </cell>
          <cell r="Y14" t="str">
            <v/>
          </cell>
          <cell r="AA14">
            <v>0</v>
          </cell>
          <cell r="AB14" t="str">
            <v/>
          </cell>
          <cell r="AC14">
            <v>0.58479999999999999</v>
          </cell>
          <cell r="AD14">
            <v>0.80702400000000007</v>
          </cell>
          <cell r="AE14">
            <v>3.0332862581549471</v>
          </cell>
          <cell r="AF14">
            <v>3.0332862581549471</v>
          </cell>
          <cell r="AG14">
            <v>3.171286258154947</v>
          </cell>
          <cell r="AH14">
            <v>420.24978607324749</v>
          </cell>
          <cell r="AI14">
            <v>20.350000000000001</v>
          </cell>
          <cell r="AJ14">
            <v>24.18</v>
          </cell>
          <cell r="AK14">
            <v>18</v>
          </cell>
          <cell r="AL14">
            <v>0.45</v>
          </cell>
          <cell r="AM14">
            <v>1.4E-2</v>
          </cell>
          <cell r="AN14">
            <v>0.19886208772659303</v>
          </cell>
          <cell r="AO14">
            <v>0.42440185546875003</v>
          </cell>
          <cell r="AP14">
            <v>0.44191575050354004</v>
          </cell>
          <cell r="AQ14">
            <v>6.1996519811284889</v>
          </cell>
          <cell r="AR14">
            <v>5.0783077620942541</v>
          </cell>
          <cell r="AS14">
            <v>16.041290417037256</v>
          </cell>
          <cell r="AT14">
            <v>1.9590053357344748</v>
          </cell>
          <cell r="AU14">
            <v>2.157867423461068</v>
          </cell>
          <cell r="AV14">
            <v>8.1992486392653134</v>
          </cell>
          <cell r="AW14">
            <v>1304.0341515598959</v>
          </cell>
          <cell r="AX14">
            <v>0.3222690031319666</v>
          </cell>
          <cell r="AY14">
            <v>146.22168306402935</v>
          </cell>
          <cell r="AZ14" t="str">
            <v>01°13'48''</v>
          </cell>
          <cell r="BA14">
            <v>124.21215286107042</v>
          </cell>
          <cell r="BB14">
            <v>0.52800000000000002</v>
          </cell>
          <cell r="BC14">
            <v>5.3999999999999999E-2</v>
          </cell>
          <cell r="BD14">
            <v>8.4000000000000005E-2</v>
          </cell>
          <cell r="BE14">
            <v>0.66600000000000004</v>
          </cell>
          <cell r="BF14">
            <v>0.66600000000000004</v>
          </cell>
          <cell r="BG14" t="str">
            <v/>
          </cell>
          <cell r="BH14" t="str">
            <v/>
          </cell>
          <cell r="BI14" t="str">
            <v/>
          </cell>
          <cell r="BJ14" t="str">
            <v/>
          </cell>
          <cell r="BK14" t="str">
            <v/>
          </cell>
          <cell r="BL14" t="str">
            <v/>
          </cell>
          <cell r="BM14" t="str">
            <v/>
          </cell>
          <cell r="BN14">
            <v>0.67</v>
          </cell>
          <cell r="BO14">
            <v>723.83299999999997</v>
          </cell>
          <cell r="BP14">
            <v>718.91300000000001</v>
          </cell>
          <cell r="BQ14">
            <v>724.28300000000002</v>
          </cell>
          <cell r="BR14">
            <v>719.36300000000006</v>
          </cell>
          <cell r="BS14">
            <v>726.10300000000007</v>
          </cell>
          <cell r="BT14">
            <v>720.88300000000004</v>
          </cell>
          <cell r="BU14" t="str">
            <v/>
          </cell>
          <cell r="BV14">
            <v>1.82000000000005</v>
          </cell>
          <cell r="BW14">
            <v>1.5199999999999818</v>
          </cell>
          <cell r="BX14">
            <v>2.2700000000000502</v>
          </cell>
          <cell r="BY14">
            <v>450</v>
          </cell>
          <cell r="BZ14">
            <v>0.96250000000000002</v>
          </cell>
          <cell r="CA14">
            <v>0.5625</v>
          </cell>
          <cell r="CB14">
            <v>1.6700000000000159</v>
          </cell>
          <cell r="CC14">
            <v>1.4423178197654005</v>
          </cell>
          <cell r="CD14">
            <v>2805.9617097057853</v>
          </cell>
          <cell r="CE14">
            <v>8.7719275937971131E-2</v>
          </cell>
          <cell r="CF14">
            <v>723.68402648826179</v>
          </cell>
          <cell r="CG14">
            <v>3529.645736194047</v>
          </cell>
          <cell r="CH14">
            <v>1.5</v>
          </cell>
          <cell r="CI14">
            <v>4487</v>
          </cell>
          <cell r="CJ14">
            <v>1.1799573443929285</v>
          </cell>
          <cell r="CK14">
            <v>1.5</v>
          </cell>
          <cell r="CL14">
            <v>2</v>
          </cell>
          <cell r="CM14">
            <v>2</v>
          </cell>
        </row>
        <row r="15">
          <cell r="A15">
            <v>4</v>
          </cell>
          <cell r="B15" t="str">
            <v>C04</v>
          </cell>
          <cell r="C15" t="str">
            <v>C05</v>
          </cell>
          <cell r="D15">
            <v>0.08</v>
          </cell>
          <cell r="F15">
            <v>1.4800000000000002</v>
          </cell>
          <cell r="G15">
            <v>5</v>
          </cell>
          <cell r="J15" t="str">
            <v/>
          </cell>
          <cell r="K15">
            <v>0.18402821531285735</v>
          </cell>
          <cell r="L15">
            <v>3.489765433039981</v>
          </cell>
          <cell r="M15">
            <v>3.489765433039981</v>
          </cell>
          <cell r="N15">
            <v>461.33323264765886</v>
          </cell>
          <cell r="O15">
            <v>0.63945471195471215</v>
          </cell>
          <cell r="P15">
            <v>436.60252990881048</v>
          </cell>
          <cell r="Q15">
            <v>0.08</v>
          </cell>
          <cell r="S15">
            <v>1.4600000000000002</v>
          </cell>
          <cell r="T15">
            <v>98</v>
          </cell>
          <cell r="U15">
            <v>572</v>
          </cell>
          <cell r="V15">
            <v>0.68799999999999994</v>
          </cell>
          <cell r="X15">
            <v>0</v>
          </cell>
          <cell r="Y15" t="str">
            <v/>
          </cell>
          <cell r="AA15">
            <v>0</v>
          </cell>
          <cell r="AB15" t="str">
            <v/>
          </cell>
          <cell r="AC15">
            <v>0.58479999999999999</v>
          </cell>
          <cell r="AD15">
            <v>0.85380800000000012</v>
          </cell>
          <cell r="AE15">
            <v>3.1959004264721123</v>
          </cell>
          <cell r="AF15">
            <v>3.1959004264721123</v>
          </cell>
          <cell r="AG15">
            <v>3.3419004264721122</v>
          </cell>
          <cell r="AH15">
            <v>439.94443033528262</v>
          </cell>
          <cell r="AI15">
            <v>30.03</v>
          </cell>
          <cell r="AJ15">
            <v>23.2</v>
          </cell>
          <cell r="AK15">
            <v>18</v>
          </cell>
          <cell r="AL15">
            <v>0.45</v>
          </cell>
          <cell r="AM15">
            <v>1.4E-2</v>
          </cell>
          <cell r="AN15">
            <v>0.20615474581718446</v>
          </cell>
          <cell r="AO15">
            <v>0.42824707031249998</v>
          </cell>
          <cell r="AP15">
            <v>0.458121657371521</v>
          </cell>
          <cell r="AQ15">
            <v>6.191942411299471</v>
          </cell>
          <cell r="AR15">
            <v>4.9621972087159012</v>
          </cell>
          <cell r="AS15">
            <v>15.869199652632618</v>
          </cell>
          <cell r="AT15">
            <v>1.9541361276681499</v>
          </cell>
          <cell r="AU15">
            <v>2.1602908734853346</v>
          </cell>
          <cell r="AV15">
            <v>8.0313749299679724</v>
          </cell>
          <cell r="AW15">
            <v>1277.334991709514</v>
          </cell>
          <cell r="AX15">
            <v>0.34442368931464523</v>
          </cell>
          <cell r="AY15">
            <v>149.18645052714808</v>
          </cell>
          <cell r="AZ15" t="str">
            <v>02°57'53''</v>
          </cell>
          <cell r="BA15">
            <v>51.523316498109317</v>
          </cell>
          <cell r="BB15">
            <v>2E-3</v>
          </cell>
          <cell r="BC15">
            <v>1E-3</v>
          </cell>
          <cell r="BD15">
            <v>9.8000000000000004E-2</v>
          </cell>
          <cell r="BE15">
            <v>0.10100000000000001</v>
          </cell>
          <cell r="BF15">
            <v>0.10100000000000001</v>
          </cell>
          <cell r="BG15" t="str">
            <v/>
          </cell>
          <cell r="BH15" t="str">
            <v/>
          </cell>
          <cell r="BI15" t="str">
            <v/>
          </cell>
          <cell r="BJ15" t="str">
            <v/>
          </cell>
          <cell r="BK15" t="str">
            <v/>
          </cell>
          <cell r="BL15" t="str">
            <v/>
          </cell>
          <cell r="BM15" t="str">
            <v/>
          </cell>
          <cell r="BN15">
            <v>0.1</v>
          </cell>
          <cell r="BO15">
            <v>718.803</v>
          </cell>
          <cell r="BP15">
            <v>711.83299999999997</v>
          </cell>
          <cell r="BQ15">
            <v>719.25300000000004</v>
          </cell>
          <cell r="BR15">
            <v>712.28300000000002</v>
          </cell>
          <cell r="BS15">
            <v>720.88300000000004</v>
          </cell>
          <cell r="BT15">
            <v>713.70299999999997</v>
          </cell>
          <cell r="BU15" t="str">
            <v/>
          </cell>
          <cell r="BV15">
            <v>1.6299999999999955</v>
          </cell>
          <cell r="BW15">
            <v>1.4199999999999591</v>
          </cell>
          <cell r="BX15">
            <v>2.0799999999999956</v>
          </cell>
          <cell r="BY15">
            <v>450</v>
          </cell>
          <cell r="BZ15">
            <v>0.96250000000000002</v>
          </cell>
          <cell r="CA15">
            <v>0.5625</v>
          </cell>
          <cell r="CB15">
            <v>1.5249999999999773</v>
          </cell>
          <cell r="CC15">
            <v>1.3377476981738206</v>
          </cell>
          <cell r="CD15">
            <v>2602.5254398738161</v>
          </cell>
          <cell r="CE15">
            <v>0.10336889729831789</v>
          </cell>
          <cell r="CF15">
            <v>852.79340271112255</v>
          </cell>
          <cell r="CG15">
            <v>3455.3188425849385</v>
          </cell>
          <cell r="CH15">
            <v>1.5</v>
          </cell>
          <cell r="CI15">
            <v>4487</v>
          </cell>
          <cell r="CJ15">
            <v>1.1551099317756648</v>
          </cell>
          <cell r="CK15">
            <v>1.5</v>
          </cell>
          <cell r="CL15">
            <v>2</v>
          </cell>
          <cell r="CM15">
            <v>2</v>
          </cell>
        </row>
        <row r="16">
          <cell r="A16">
            <v>5</v>
          </cell>
          <cell r="B16" t="str">
            <v>C05</v>
          </cell>
          <cell r="C16" t="str">
            <v>A06</v>
          </cell>
          <cell r="D16">
            <v>0.12</v>
          </cell>
          <cell r="F16">
            <v>1.6</v>
          </cell>
          <cell r="G16">
            <v>5</v>
          </cell>
          <cell r="J16" t="str">
            <v/>
          </cell>
          <cell r="K16">
            <v>0.23391889898068488</v>
          </cell>
          <cell r="L16">
            <v>3.7236843320206661</v>
          </cell>
          <cell r="M16">
            <v>3.7236843320206661</v>
          </cell>
          <cell r="N16">
            <v>456.43880792748882</v>
          </cell>
          <cell r="O16">
            <v>0.63097006220839813</v>
          </cell>
          <cell r="P16">
            <v>460.79875685173562</v>
          </cell>
          <cell r="Q16">
            <v>0.12</v>
          </cell>
          <cell r="S16">
            <v>1.58</v>
          </cell>
          <cell r="T16">
            <v>98</v>
          </cell>
          <cell r="U16">
            <v>619</v>
          </cell>
          <cell r="V16">
            <v>0.68799999999999994</v>
          </cell>
          <cell r="X16">
            <v>0</v>
          </cell>
          <cell r="Y16" t="str">
            <v/>
          </cell>
          <cell r="AA16">
            <v>0</v>
          </cell>
          <cell r="AB16" t="str">
            <v/>
          </cell>
          <cell r="AC16">
            <v>0.58479999999999999</v>
          </cell>
          <cell r="AD16">
            <v>0.92398400000000014</v>
          </cell>
          <cell r="AE16">
            <v>3.4386103870359377</v>
          </cell>
          <cell r="AF16">
            <v>3.4386103870359377</v>
          </cell>
          <cell r="AG16">
            <v>3.5966103870359376</v>
          </cell>
          <cell r="AH16">
            <v>464.39536723877154</v>
          </cell>
          <cell r="AI16">
            <v>51.44</v>
          </cell>
          <cell r="AJ16">
            <v>5.05</v>
          </cell>
          <cell r="AK16">
            <v>18</v>
          </cell>
          <cell r="AL16">
            <v>0.45</v>
          </cell>
          <cell r="AM16">
            <v>1.4E-2</v>
          </cell>
          <cell r="AN16">
            <v>0.33402128219604488</v>
          </cell>
          <cell r="AO16">
            <v>0.43209228515624998</v>
          </cell>
          <cell r="AP16">
            <v>0.74226951599121083</v>
          </cell>
          <cell r="AQ16">
            <v>3.6685745690779918</v>
          </cell>
          <cell r="AR16">
            <v>2.0636965913588634</v>
          </cell>
          <cell r="AS16">
            <v>5.1362319386365947</v>
          </cell>
          <cell r="AT16">
            <v>0.68595511564147671</v>
          </cell>
          <cell r="AU16">
            <v>1.0199763978375216</v>
          </cell>
          <cell r="AV16">
            <v>3.7470681958439203</v>
          </cell>
          <cell r="AW16">
            <v>595.94544702601308</v>
          </cell>
          <cell r="AX16">
            <v>0.77925818471518693</v>
          </cell>
          <cell r="AY16">
            <v>173.38809492308243</v>
          </cell>
          <cell r="AZ16" t="str">
            <v>24°12'06''</v>
          </cell>
          <cell r="BA16">
            <v>6.2190089136179072</v>
          </cell>
          <cell r="BB16">
            <v>1E-3</v>
          </cell>
          <cell r="BC16">
            <v>0.254</v>
          </cell>
          <cell r="BD16">
            <v>0.496</v>
          </cell>
          <cell r="BE16">
            <v>0.751</v>
          </cell>
          <cell r="BF16">
            <v>0.75</v>
          </cell>
          <cell r="BG16" t="str">
            <v/>
          </cell>
          <cell r="BH16" t="str">
            <v/>
          </cell>
          <cell r="BI16" t="str">
            <v/>
          </cell>
          <cell r="BJ16" t="str">
            <v/>
          </cell>
          <cell r="BK16" t="str">
            <v/>
          </cell>
          <cell r="BL16" t="str">
            <v/>
          </cell>
          <cell r="BM16" t="str">
            <v/>
          </cell>
          <cell r="BN16">
            <v>0.75</v>
          </cell>
          <cell r="BO16">
            <v>711.08299999999997</v>
          </cell>
          <cell r="BP16">
            <v>708.48299999999995</v>
          </cell>
          <cell r="BQ16">
            <v>711.53300000000002</v>
          </cell>
          <cell r="BR16">
            <v>708.93299999999999</v>
          </cell>
          <cell r="BS16">
            <v>713.70299999999997</v>
          </cell>
          <cell r="BT16">
            <v>710.13300000000004</v>
          </cell>
          <cell r="BU16" t="str">
            <v/>
          </cell>
          <cell r="BV16">
            <v>2.1699999999999591</v>
          </cell>
          <cell r="BW16">
            <v>1.2000000000000455</v>
          </cell>
          <cell r="BX16">
            <v>2.6199999999999593</v>
          </cell>
          <cell r="BY16">
            <v>450</v>
          </cell>
          <cell r="BZ16">
            <v>0.96250000000000002</v>
          </cell>
          <cell r="CA16">
            <v>0.5625</v>
          </cell>
          <cell r="CB16">
            <v>1.6850000000000023</v>
          </cell>
          <cell r="CC16">
            <v>1.4529389276641502</v>
          </cell>
          <cell r="CD16">
            <v>2826.6245772583702</v>
          </cell>
          <cell r="CE16">
            <v>8.6300124299999559E-2</v>
          </cell>
          <cell r="CF16">
            <v>711.97602547499639</v>
          </cell>
          <cell r="CG16">
            <v>3538.6006027333665</v>
          </cell>
          <cell r="CH16">
            <v>1.5</v>
          </cell>
          <cell r="CI16">
            <v>4487</v>
          </cell>
          <cell r="CJ16">
            <v>1.1829509480945064</v>
          </cell>
          <cell r="CK16">
            <v>1.5</v>
          </cell>
          <cell r="CL16">
            <v>2</v>
          </cell>
          <cell r="CM16">
            <v>2</v>
          </cell>
        </row>
        <row r="17">
          <cell r="A17">
            <v>6</v>
          </cell>
          <cell r="B17" t="str">
            <v>A06</v>
          </cell>
          <cell r="C17" t="str">
            <v>C07</v>
          </cell>
          <cell r="D17">
            <v>0.11</v>
          </cell>
          <cell r="E17">
            <v>-1.28</v>
          </cell>
          <cell r="F17">
            <v>0.43000000000000016</v>
          </cell>
          <cell r="G17">
            <v>5</v>
          </cell>
          <cell r="J17" t="str">
            <v/>
          </cell>
          <cell r="K17">
            <v>0.18105549249407701</v>
          </cell>
          <cell r="L17">
            <v>3.9047398245147429</v>
          </cell>
          <cell r="M17">
            <v>3.9047398245147429</v>
          </cell>
          <cell r="N17">
            <v>452.71620450204074</v>
          </cell>
          <cell r="O17">
            <v>0.63363969674372367</v>
          </cell>
          <cell r="P17">
            <v>123.3493521686064</v>
          </cell>
          <cell r="R17">
            <v>5.41</v>
          </cell>
          <cell r="S17">
            <v>6.99</v>
          </cell>
          <cell r="T17">
            <v>98</v>
          </cell>
          <cell r="U17">
            <v>2740</v>
          </cell>
          <cell r="V17">
            <v>0.68799999999999994</v>
          </cell>
          <cell r="X17">
            <v>0</v>
          </cell>
          <cell r="Y17" t="str">
            <v/>
          </cell>
          <cell r="AA17">
            <v>0</v>
          </cell>
          <cell r="AB17" t="str">
            <v/>
          </cell>
          <cell r="AC17">
            <v>0.58479999999999999</v>
          </cell>
          <cell r="AD17">
            <v>4.0877520000000001</v>
          </cell>
          <cell r="AE17">
            <v>13.641572862094037</v>
          </cell>
          <cell r="AF17">
            <v>13.641572862094037</v>
          </cell>
          <cell r="AG17">
            <v>14.340572862094037</v>
          </cell>
          <cell r="AH17">
            <v>137.68992503070044</v>
          </cell>
          <cell r="AI17">
            <v>40.229999999999997</v>
          </cell>
          <cell r="AJ17">
            <v>9.5299999999999994</v>
          </cell>
          <cell r="AK17">
            <v>10</v>
          </cell>
          <cell r="AL17">
            <v>0.25</v>
          </cell>
          <cell r="AM17">
            <v>1.4E-2</v>
          </cell>
          <cell r="AN17">
            <v>0.19001126289367676</v>
          </cell>
          <cell r="AO17">
            <v>0.24627685546875</v>
          </cell>
          <cell r="AP17">
            <v>0.76004505157470703</v>
          </cell>
          <cell r="AQ17">
            <v>3.4396027150155191</v>
          </cell>
          <cell r="AR17">
            <v>2.534132949407506</v>
          </cell>
          <cell r="AS17">
            <v>5.4837776471765869</v>
          </cell>
          <cell r="AT17">
            <v>0.60300034847819217</v>
          </cell>
          <cell r="AU17">
            <v>0.79301161137186893</v>
          </cell>
          <cell r="AV17">
            <v>3.478649627315622</v>
          </cell>
          <cell r="AW17">
            <v>170.75781427480672</v>
          </cell>
          <cell r="AX17">
            <v>0.80634626072872462</v>
          </cell>
          <cell r="AY17">
            <v>123.05013851849486</v>
          </cell>
          <cell r="AZ17" t="str">
            <v>50°20'17''</v>
          </cell>
          <cell r="BA17">
            <v>5.1074356833435486</v>
          </cell>
          <cell r="BB17">
            <v>1E-3</v>
          </cell>
          <cell r="BC17">
            <v>1.7000000000000001E-2</v>
          </cell>
          <cell r="BD17">
            <v>0.25800000000000001</v>
          </cell>
          <cell r="BE17">
            <v>0.27600000000000002</v>
          </cell>
          <cell r="BF17">
            <v>0.27500000000000002</v>
          </cell>
          <cell r="BG17">
            <v>1.40553875471339</v>
          </cell>
          <cell r="BH17">
            <v>4.8</v>
          </cell>
          <cell r="BI17">
            <v>1.2</v>
          </cell>
          <cell r="BJ17" t="str">
            <v/>
          </cell>
          <cell r="BK17" t="str">
            <v/>
          </cell>
          <cell r="BL17" t="str">
            <v/>
          </cell>
          <cell r="BM17">
            <v>1.3419839564437259</v>
          </cell>
          <cell r="BN17">
            <v>1.01</v>
          </cell>
          <cell r="BO17">
            <v>707.52299999999991</v>
          </cell>
          <cell r="BP17">
            <v>703.69299999999987</v>
          </cell>
          <cell r="BQ17">
            <v>707.77299999999991</v>
          </cell>
          <cell r="BR17">
            <v>703.94299999999987</v>
          </cell>
          <cell r="BS17">
            <v>710.13300000000004</v>
          </cell>
          <cell r="BT17">
            <v>705.19299999999998</v>
          </cell>
          <cell r="BU17" t="str">
            <v/>
          </cell>
          <cell r="BV17">
            <v>2.3600000000001273</v>
          </cell>
          <cell r="BW17">
            <v>1.2500000000001137</v>
          </cell>
          <cell r="BX17">
            <v>2.6100000000001273</v>
          </cell>
          <cell r="BY17">
            <v>250</v>
          </cell>
          <cell r="BZ17">
            <v>0.71250000000000002</v>
          </cell>
          <cell r="CA17">
            <v>0.3125</v>
          </cell>
          <cell r="CB17">
            <v>1.8050000000001205</v>
          </cell>
          <cell r="CC17">
            <v>1.9421167236767078</v>
          </cell>
          <cell r="CD17">
            <v>2070.4481553084079</v>
          </cell>
          <cell r="CE17">
            <v>4.2825757596623104E-2</v>
          </cell>
          <cell r="CF17">
            <v>353.31250017214063</v>
          </cell>
          <cell r="CG17">
            <v>2423.7606554805484</v>
          </cell>
          <cell r="CH17">
            <v>1.5</v>
          </cell>
          <cell r="CI17">
            <v>2957</v>
          </cell>
          <cell r="CJ17">
            <v>1.2295032070411982</v>
          </cell>
          <cell r="CK17">
            <v>1.5</v>
          </cell>
          <cell r="CL17">
            <v>2</v>
          </cell>
          <cell r="CM17">
            <v>2</v>
          </cell>
        </row>
        <row r="18">
          <cell r="A18">
            <v>7</v>
          </cell>
          <cell r="B18" t="str">
            <v>C07</v>
          </cell>
          <cell r="C18" t="str">
            <v>C61</v>
          </cell>
          <cell r="D18">
            <v>0.18</v>
          </cell>
          <cell r="F18">
            <v>0.6100000000000001</v>
          </cell>
          <cell r="G18">
            <v>5</v>
          </cell>
          <cell r="J18" t="str">
            <v/>
          </cell>
          <cell r="K18">
            <v>0.34650327688695443</v>
          </cell>
          <cell r="L18">
            <v>4.2512431014016974</v>
          </cell>
          <cell r="M18">
            <v>4.2512431014016974</v>
          </cell>
          <cell r="N18">
            <v>445.74692635114201</v>
          </cell>
          <cell r="O18">
            <v>0.63069428238039649</v>
          </cell>
          <cell r="P18">
            <v>171.48932308136361</v>
          </cell>
          <cell r="S18">
            <v>6.99</v>
          </cell>
          <cell r="T18">
            <v>98</v>
          </cell>
          <cell r="U18">
            <v>2740</v>
          </cell>
          <cell r="V18">
            <v>0.68799999999999994</v>
          </cell>
          <cell r="X18">
            <v>0</v>
          </cell>
          <cell r="Y18" t="str">
            <v/>
          </cell>
          <cell r="AA18">
            <v>0</v>
          </cell>
          <cell r="AB18" t="str">
            <v/>
          </cell>
          <cell r="AC18">
            <v>0.58479999999999999</v>
          </cell>
          <cell r="AD18">
            <v>4.0877520000000001</v>
          </cell>
          <cell r="AE18">
            <v>13.641572862094037</v>
          </cell>
          <cell r="AF18">
            <v>13.641572862094037</v>
          </cell>
          <cell r="AG18">
            <v>14.340572862094037</v>
          </cell>
          <cell r="AH18">
            <v>185.82989594345764</v>
          </cell>
          <cell r="AI18">
            <v>34.28</v>
          </cell>
          <cell r="AJ18">
            <v>5.58</v>
          </cell>
          <cell r="AK18">
            <v>12</v>
          </cell>
          <cell r="AL18">
            <v>0.30000000000000004</v>
          </cell>
          <cell r="AM18">
            <v>1.4E-2</v>
          </cell>
          <cell r="AN18">
            <v>0.24190979003906252</v>
          </cell>
          <cell r="AO18">
            <v>0.29179687500000001</v>
          </cell>
          <cell r="AP18">
            <v>0.80636596679687489</v>
          </cell>
          <cell r="AQ18">
            <v>3.0425379661971554</v>
          </cell>
          <cell r="AR18">
            <v>1.9122336454936288</v>
          </cell>
          <cell r="AS18">
            <v>4.0296157883654304</v>
          </cell>
          <cell r="AT18">
            <v>0.47181637491086253</v>
          </cell>
          <cell r="AU18">
            <v>0.71372616494992502</v>
          </cell>
          <cell r="AV18">
            <v>3.0058605937136016</v>
          </cell>
          <cell r="AW18">
            <v>212.47176507582842</v>
          </cell>
          <cell r="AX18">
            <v>0.87460983758071276</v>
          </cell>
          <cell r="AY18">
            <v>121.46197312984964</v>
          </cell>
          <cell r="AZ18" t="str">
            <v>01°35'17''</v>
          </cell>
          <cell r="BA18">
            <v>4.1073263684940535</v>
          </cell>
          <cell r="BB18">
            <v>1E-3</v>
          </cell>
          <cell r="BC18">
            <v>2.5999999999999999E-2</v>
          </cell>
          <cell r="BD18">
            <v>0.214</v>
          </cell>
          <cell r="BE18">
            <v>0.24099999999999999</v>
          </cell>
          <cell r="BF18">
            <v>0.24</v>
          </cell>
          <cell r="BG18">
            <v>1.2025499648738953</v>
          </cell>
          <cell r="BH18">
            <v>3.9999999999999991</v>
          </cell>
          <cell r="BI18">
            <v>1.2</v>
          </cell>
          <cell r="BJ18" t="str">
            <v/>
          </cell>
          <cell r="BK18" t="str">
            <v/>
          </cell>
          <cell r="BL18" t="str">
            <v/>
          </cell>
          <cell r="BM18">
            <v>1.2463565250293192</v>
          </cell>
          <cell r="BN18">
            <v>1.06</v>
          </cell>
          <cell r="BO18">
            <v>703.36299999999994</v>
          </cell>
          <cell r="BP18">
            <v>701.45299999999997</v>
          </cell>
          <cell r="BQ18">
            <v>703.6629999999999</v>
          </cell>
          <cell r="BR18">
            <v>701.75299999999993</v>
          </cell>
          <cell r="BS18">
            <v>705.19299999999998</v>
          </cell>
          <cell r="BT18">
            <v>703.00300000000016</v>
          </cell>
          <cell r="BU18" t="str">
            <v/>
          </cell>
          <cell r="BV18">
            <v>1.5300000000000864</v>
          </cell>
          <cell r="BW18">
            <v>1.2500000000002274</v>
          </cell>
          <cell r="BX18">
            <v>1.8300000000000864</v>
          </cell>
          <cell r="BY18">
            <v>300</v>
          </cell>
          <cell r="BZ18">
            <v>0.77500000000000002</v>
          </cell>
          <cell r="CA18">
            <v>0.375</v>
          </cell>
          <cell r="CB18">
            <v>1.3900000000001569</v>
          </cell>
          <cell r="CC18">
            <v>1.4819881387386633</v>
          </cell>
          <cell r="CD18">
            <v>1869.2501642428103</v>
          </cell>
          <cell r="CE18">
            <v>8.2668075285198483E-2</v>
          </cell>
          <cell r="CF18">
            <v>682.01162110288749</v>
          </cell>
          <cell r="CG18">
            <v>2551.2617853456977</v>
          </cell>
          <cell r="CH18">
            <v>1.5</v>
          </cell>
          <cell r="CI18">
            <v>3365</v>
          </cell>
          <cell r="CJ18">
            <v>1.1372637973309203</v>
          </cell>
          <cell r="CK18">
            <v>1.5</v>
          </cell>
          <cell r="CL18">
            <v>2</v>
          </cell>
          <cell r="CM18">
            <v>2</v>
          </cell>
        </row>
        <row r="19">
          <cell r="A19">
            <v>8</v>
          </cell>
          <cell r="B19" t="str">
            <v>C61</v>
          </cell>
          <cell r="C19" t="str">
            <v>C08</v>
          </cell>
          <cell r="D19">
            <v>0.04</v>
          </cell>
          <cell r="F19">
            <v>0.65000000000000013</v>
          </cell>
          <cell r="G19">
            <v>5</v>
          </cell>
          <cell r="J19" t="str">
            <v/>
          </cell>
          <cell r="K19">
            <v>0.24142491561781468</v>
          </cell>
          <cell r="L19">
            <v>4.4926680170195121</v>
          </cell>
          <cell r="M19">
            <v>4.4926680170195121</v>
          </cell>
          <cell r="N19">
            <v>441.00779427951176</v>
          </cell>
          <cell r="O19">
            <v>0.62818710359408092</v>
          </cell>
          <cell r="P19">
            <v>180.07301581805956</v>
          </cell>
          <cell r="Q19">
            <v>0.33</v>
          </cell>
          <cell r="S19">
            <v>7.32</v>
          </cell>
          <cell r="T19">
            <v>98</v>
          </cell>
          <cell r="U19">
            <v>2869</v>
          </cell>
          <cell r="V19">
            <v>0.68799999999999994</v>
          </cell>
          <cell r="X19">
            <v>0</v>
          </cell>
          <cell r="Y19" t="str">
            <v/>
          </cell>
          <cell r="AA19">
            <v>0</v>
          </cell>
          <cell r="AB19" t="str">
            <v/>
          </cell>
          <cell r="AC19">
            <v>0.58479999999999999</v>
          </cell>
          <cell r="AD19">
            <v>4.2807360000000001</v>
          </cell>
          <cell r="AE19">
            <v>14.237373129122957</v>
          </cell>
          <cell r="AF19">
            <v>14.237373129122957</v>
          </cell>
          <cell r="AG19">
            <v>14.969373129122957</v>
          </cell>
          <cell r="AH19">
            <v>195.04238894718253</v>
          </cell>
          <cell r="AI19">
            <v>18.920000000000002</v>
          </cell>
          <cell r="AJ19">
            <v>1.53</v>
          </cell>
          <cell r="AK19">
            <v>16</v>
          </cell>
          <cell r="AL19">
            <v>0.4</v>
          </cell>
          <cell r="AM19">
            <v>1.4E-2</v>
          </cell>
          <cell r="AN19">
            <v>0.30604972839355471</v>
          </cell>
          <cell r="AO19">
            <v>0.3195312500000001</v>
          </cell>
          <cell r="AP19">
            <v>0.76512432098388672</v>
          </cell>
          <cell r="AQ19">
            <v>1.8904898693461605</v>
          </cell>
          <cell r="AR19">
            <v>1.0933902959748305</v>
          </cell>
          <cell r="AS19">
            <v>1.4158329987051654</v>
          </cell>
          <cell r="AT19">
            <v>0.18215861091235794</v>
          </cell>
          <cell r="AU19">
            <v>0.48820833930591268</v>
          </cell>
          <cell r="AV19">
            <v>1.9067332587890613</v>
          </cell>
          <cell r="AW19">
            <v>239.60716792668165</v>
          </cell>
          <cell r="AX19">
            <v>0.81400899077804012</v>
          </cell>
          <cell r="AY19">
            <v>121.46171530625648</v>
          </cell>
          <cell r="AZ19" t="str">
            <v>00°00'00''</v>
          </cell>
          <cell r="BA19">
            <v>1000</v>
          </cell>
          <cell r="BB19">
            <v>1E-3</v>
          </cell>
          <cell r="BC19">
            <v>5.8000000000000003E-2</v>
          </cell>
          <cell r="BD19">
            <v>1.6E-2</v>
          </cell>
          <cell r="BE19">
            <v>7.5000000000000011E-2</v>
          </cell>
          <cell r="BF19">
            <v>7.400000000000001E-2</v>
          </cell>
          <cell r="BG19" t="str">
            <v/>
          </cell>
          <cell r="BH19" t="str">
            <v/>
          </cell>
          <cell r="BI19" t="str">
            <v/>
          </cell>
          <cell r="BJ19" t="str">
            <v/>
          </cell>
          <cell r="BK19" t="str">
            <v/>
          </cell>
          <cell r="BL19" t="str">
            <v/>
          </cell>
          <cell r="BM19" t="str">
            <v/>
          </cell>
          <cell r="BN19">
            <v>0.1</v>
          </cell>
          <cell r="BO19">
            <v>697.15299999999991</v>
          </cell>
          <cell r="BP19">
            <v>696.86299999999994</v>
          </cell>
          <cell r="BQ19">
            <v>697.55299999999988</v>
          </cell>
          <cell r="BR19">
            <v>697.26299999999992</v>
          </cell>
          <cell r="BS19">
            <v>703.00300000000016</v>
          </cell>
          <cell r="BT19">
            <v>702.74299999999994</v>
          </cell>
          <cell r="BU19">
            <v>4.3000000000000682</v>
          </cell>
          <cell r="BV19">
            <v>5.4500000000002728</v>
          </cell>
          <cell r="BW19">
            <v>5.4800000000000182</v>
          </cell>
          <cell r="BX19">
            <v>5.8500000000002732</v>
          </cell>
          <cell r="BY19">
            <v>400</v>
          </cell>
          <cell r="BZ19">
            <v>0.9</v>
          </cell>
          <cell r="CA19">
            <v>0.5</v>
          </cell>
          <cell r="CB19">
            <v>5.4650000000001455</v>
          </cell>
          <cell r="CC19">
            <v>3.3503438135874428</v>
          </cell>
          <cell r="CD19">
            <v>5698.9348269122411</v>
          </cell>
          <cell r="CE19">
            <v>7.9243436539873091E-3</v>
          </cell>
          <cell r="CF19">
            <v>65.3758351453953</v>
          </cell>
          <cell r="CG19">
            <v>5764.3106620576364</v>
          </cell>
          <cell r="CH19">
            <v>1.5</v>
          </cell>
          <cell r="CI19">
            <v>4079</v>
          </cell>
          <cell r="CJ19">
            <v>2.1197514079643183</v>
          </cell>
          <cell r="CK19">
            <v>2.2000000000000002</v>
          </cell>
          <cell r="CL19">
            <v>2</v>
          </cell>
          <cell r="CM19">
            <v>2</v>
          </cell>
        </row>
        <row r="20">
          <cell r="A20">
            <v>9</v>
          </cell>
          <cell r="B20" t="str">
            <v>C08</v>
          </cell>
          <cell r="C20" t="str">
            <v>C09</v>
          </cell>
          <cell r="D20">
            <v>0.62</v>
          </cell>
          <cell r="F20">
            <v>1.27</v>
          </cell>
          <cell r="G20">
            <v>5</v>
          </cell>
          <cell r="J20" t="str">
            <v/>
          </cell>
          <cell r="K20">
            <v>6.5016643146473818E-2</v>
          </cell>
          <cell r="L20">
            <v>4.5576846601659859</v>
          </cell>
          <cell r="M20">
            <v>4.5576846601659859</v>
          </cell>
          <cell r="N20">
            <v>439.74748222771825</v>
          </cell>
          <cell r="O20">
            <v>0.63108321114369492</v>
          </cell>
          <cell r="P20">
            <v>352.44691153431165</v>
          </cell>
          <cell r="Q20">
            <v>0.62</v>
          </cell>
          <cell r="S20">
            <v>7.94</v>
          </cell>
          <cell r="T20">
            <v>98</v>
          </cell>
          <cell r="U20">
            <v>3112</v>
          </cell>
          <cell r="V20">
            <v>0.68799999999999994</v>
          </cell>
          <cell r="X20">
            <v>0</v>
          </cell>
          <cell r="Y20" t="str">
            <v/>
          </cell>
          <cell r="AA20">
            <v>0</v>
          </cell>
          <cell r="AB20" t="str">
            <v/>
          </cell>
          <cell r="AC20">
            <v>0.58479999999999999</v>
          </cell>
          <cell r="AD20">
            <v>4.6433119999999999</v>
          </cell>
          <cell r="AE20">
            <v>15.35151028272357</v>
          </cell>
          <cell r="AF20">
            <v>15.35151028272357</v>
          </cell>
          <cell r="AG20">
            <v>16.145510282723571</v>
          </cell>
          <cell r="AH20">
            <v>368.59242181703524</v>
          </cell>
          <cell r="AI20">
            <v>54.56</v>
          </cell>
          <cell r="AJ20">
            <v>2.38</v>
          </cell>
          <cell r="AK20">
            <v>18</v>
          </cell>
          <cell r="AL20">
            <v>0.45</v>
          </cell>
          <cell r="AM20">
            <v>1.4E-2</v>
          </cell>
          <cell r="AN20">
            <v>0.37129755020141608</v>
          </cell>
          <cell r="AO20">
            <v>0.41044921875000007</v>
          </cell>
          <cell r="AP20">
            <v>0.82510566711425792</v>
          </cell>
          <cell r="AQ20">
            <v>2.625941165867649</v>
          </cell>
          <cell r="AR20">
            <v>1.3073368269613086</v>
          </cell>
          <cell r="AS20">
            <v>2.6224234769082191</v>
          </cell>
          <cell r="AT20">
            <v>0.35145601460745907</v>
          </cell>
          <cell r="AU20">
            <v>0.7227535648088752</v>
          </cell>
          <cell r="AV20">
            <v>2.5723756309570667</v>
          </cell>
          <cell r="AW20">
            <v>409.11866696471162</v>
          </cell>
          <cell r="AX20">
            <v>0.90094256649704041</v>
          </cell>
          <cell r="AY20">
            <v>117.92527848673406</v>
          </cell>
          <cell r="AZ20" t="str">
            <v>03°32'11''</v>
          </cell>
          <cell r="BA20">
            <v>43.1904326159652</v>
          </cell>
          <cell r="BB20">
            <v>0.23499999999999999</v>
          </cell>
          <cell r="BC20">
            <v>1.7000000000000001E-2</v>
          </cell>
          <cell r="BD20">
            <v>1.2999999999999999E-2</v>
          </cell>
          <cell r="BE20">
            <v>0.26500000000000001</v>
          </cell>
          <cell r="BF20">
            <v>0.26500000000000001</v>
          </cell>
          <cell r="BG20" t="str">
            <v/>
          </cell>
          <cell r="BH20" t="str">
            <v/>
          </cell>
          <cell r="BI20" t="str">
            <v/>
          </cell>
          <cell r="BJ20" t="str">
            <v/>
          </cell>
          <cell r="BK20" t="str">
            <v/>
          </cell>
          <cell r="BL20" t="str">
            <v/>
          </cell>
          <cell r="BM20" t="str">
            <v/>
          </cell>
          <cell r="BN20">
            <v>0.27</v>
          </cell>
          <cell r="BO20">
            <v>696.59299999999996</v>
          </cell>
          <cell r="BP20">
            <v>695.29300000000001</v>
          </cell>
          <cell r="BQ20">
            <v>697.04300000000001</v>
          </cell>
          <cell r="BR20">
            <v>695.74300000000005</v>
          </cell>
          <cell r="BS20">
            <v>702.74299999999994</v>
          </cell>
          <cell r="BT20">
            <v>698.83300000000008</v>
          </cell>
          <cell r="BU20" t="str">
            <v/>
          </cell>
          <cell r="BV20">
            <v>5.6999999999999318</v>
          </cell>
          <cell r="BW20">
            <v>3.0900000000000318</v>
          </cell>
          <cell r="BX20">
            <v>6.149999999999932</v>
          </cell>
          <cell r="BY20">
            <v>450</v>
          </cell>
          <cell r="BZ20">
            <v>0.96250000000000002</v>
          </cell>
          <cell r="CA20">
            <v>0.5625</v>
          </cell>
          <cell r="CB20">
            <v>4.3949999999999818</v>
          </cell>
          <cell r="CC20">
            <v>2.8809020695580791</v>
          </cell>
          <cell r="CD20">
            <v>5604.6599340407338</v>
          </cell>
          <cell r="CE20">
            <v>1.3709704677613455E-2</v>
          </cell>
          <cell r="CF20">
            <v>113.105063590311</v>
          </cell>
          <cell r="CG20">
            <v>5717.7649976310449</v>
          </cell>
          <cell r="CH20">
            <v>1.5</v>
          </cell>
          <cell r="CI20">
            <v>4487</v>
          </cell>
          <cell r="CJ20">
            <v>1.9114436140955131</v>
          </cell>
          <cell r="CK20">
            <v>2.2000000000000002</v>
          </cell>
          <cell r="CL20">
            <v>2</v>
          </cell>
          <cell r="CM20">
            <v>2</v>
          </cell>
        </row>
        <row r="21">
          <cell r="A21">
            <v>10</v>
          </cell>
          <cell r="B21" t="str">
            <v>C09</v>
          </cell>
          <cell r="C21" t="str">
            <v>C10</v>
          </cell>
          <cell r="F21">
            <v>1.27</v>
          </cell>
          <cell r="G21">
            <v>5</v>
          </cell>
          <cell r="J21" t="str">
            <v/>
          </cell>
          <cell r="K21">
            <v>7.5797436158161771E-2</v>
          </cell>
          <cell r="L21">
            <v>4.6334820963241476</v>
          </cell>
          <cell r="M21">
            <v>4.6334820963241476</v>
          </cell>
          <cell r="N21">
            <v>438.28660769752878</v>
          </cell>
          <cell r="O21">
            <v>0.63716135458167367</v>
          </cell>
          <cell r="P21">
            <v>354.65929659256631</v>
          </cell>
          <cell r="S21">
            <v>7.94</v>
          </cell>
          <cell r="T21">
            <v>98</v>
          </cell>
          <cell r="U21">
            <v>3112</v>
          </cell>
          <cell r="V21">
            <v>0.68799999999999994</v>
          </cell>
          <cell r="X21">
            <v>0</v>
          </cell>
          <cell r="Y21" t="str">
            <v/>
          </cell>
          <cell r="AA21">
            <v>0</v>
          </cell>
          <cell r="AB21" t="str">
            <v/>
          </cell>
          <cell r="AC21">
            <v>0.58479999999999999</v>
          </cell>
          <cell r="AD21">
            <v>4.6433119999999999</v>
          </cell>
          <cell r="AE21">
            <v>15.35151028272357</v>
          </cell>
          <cell r="AF21">
            <v>15.35151028272357</v>
          </cell>
          <cell r="AG21">
            <v>16.145510282723571</v>
          </cell>
          <cell r="AH21">
            <v>370.8048068752899</v>
          </cell>
          <cell r="AI21">
            <v>20.079999999999998</v>
          </cell>
          <cell r="AJ21">
            <v>3.75</v>
          </cell>
          <cell r="AK21">
            <v>18</v>
          </cell>
          <cell r="AL21">
            <v>0.45</v>
          </cell>
          <cell r="AM21">
            <v>1.4E-2</v>
          </cell>
          <cell r="AN21">
            <v>0.31743514537811279</v>
          </cell>
          <cell r="AO21">
            <v>0.41132812500000004</v>
          </cell>
          <cell r="AP21">
            <v>0.70541143417358398</v>
          </cell>
          <cell r="AQ21">
            <v>3.0922111664149985</v>
          </cell>
          <cell r="AR21">
            <v>1.8245575255366293</v>
          </cell>
          <cell r="AS21">
            <v>3.665719761637583</v>
          </cell>
          <cell r="AT21">
            <v>0.48734810895522962</v>
          </cell>
          <cell r="AU21">
            <v>0.80478325433334241</v>
          </cell>
          <cell r="AV21">
            <v>3.2289516504002553</v>
          </cell>
          <cell r="AW21">
            <v>513.5425709245128</v>
          </cell>
          <cell r="AX21">
            <v>0.72205271358077072</v>
          </cell>
          <cell r="AY21">
            <v>119.50807788276418</v>
          </cell>
          <cell r="AZ21" t="str">
            <v>01°34'58''</v>
          </cell>
          <cell r="BA21">
            <v>96.524568417690219</v>
          </cell>
          <cell r="BB21">
            <v>8.2000000000000003E-2</v>
          </cell>
          <cell r="BC21">
            <v>1.4E-2</v>
          </cell>
          <cell r="BD21">
            <v>2.1000000000000001E-2</v>
          </cell>
          <cell r="BE21">
            <v>0.11700000000000001</v>
          </cell>
          <cell r="BF21">
            <v>0.11700000000000001</v>
          </cell>
          <cell r="BG21" t="str">
            <v/>
          </cell>
          <cell r="BH21" t="str">
            <v/>
          </cell>
          <cell r="BI21" t="str">
            <v/>
          </cell>
          <cell r="BJ21" t="str">
            <v/>
          </cell>
          <cell r="BK21" t="str">
            <v/>
          </cell>
          <cell r="BL21" t="str">
            <v/>
          </cell>
          <cell r="BM21" t="str">
            <v/>
          </cell>
          <cell r="BN21">
            <v>0.12</v>
          </cell>
          <cell r="BO21">
            <v>694.00300000000004</v>
          </cell>
          <cell r="BP21">
            <v>693.25300000000004</v>
          </cell>
          <cell r="BQ21">
            <v>694.45300000000009</v>
          </cell>
          <cell r="BR21">
            <v>693.70300000000009</v>
          </cell>
          <cell r="BS21">
            <v>698.83300000000008</v>
          </cell>
          <cell r="BT21">
            <v>694.95299999999997</v>
          </cell>
          <cell r="BU21">
            <v>1.2899999999999636</v>
          </cell>
          <cell r="BV21">
            <v>4.3799999999999955</v>
          </cell>
          <cell r="BW21">
            <v>1.2499999999998863</v>
          </cell>
          <cell r="BX21">
            <v>4.8299999999999956</v>
          </cell>
          <cell r="BY21">
            <v>450</v>
          </cell>
          <cell r="BZ21">
            <v>0.96250000000000002</v>
          </cell>
          <cell r="CA21">
            <v>0.5625</v>
          </cell>
          <cell r="CB21">
            <v>2.8149999999999409</v>
          </cell>
          <cell r="CC21">
            <v>2.1568742729422317</v>
          </cell>
          <cell r="CD21">
            <v>4196.0977945275681</v>
          </cell>
          <cell r="CE21">
            <v>3.2761069157960954E-2</v>
          </cell>
          <cell r="CF21">
            <v>270.27882055317787</v>
          </cell>
          <cell r="CG21">
            <v>4466.376615080746</v>
          </cell>
          <cell r="CH21">
            <v>1.5</v>
          </cell>
          <cell r="CI21">
            <v>4487</v>
          </cell>
          <cell r="CJ21">
            <v>1.4931056212661287</v>
          </cell>
          <cell r="CK21">
            <v>1.5</v>
          </cell>
          <cell r="CL21">
            <v>2</v>
          </cell>
          <cell r="CM21">
            <v>2</v>
          </cell>
        </row>
        <row r="22">
          <cell r="A22">
            <v>11</v>
          </cell>
          <cell r="B22" t="str">
            <v>C10</v>
          </cell>
          <cell r="C22" t="str">
            <v>C11</v>
          </cell>
          <cell r="F22">
            <v>1.27</v>
          </cell>
          <cell r="G22">
            <v>5</v>
          </cell>
          <cell r="J22" t="str">
            <v/>
          </cell>
          <cell r="K22">
            <v>2.0629546385722234E-2</v>
          </cell>
          <cell r="L22">
            <v>4.6541116427098697</v>
          </cell>
          <cell r="M22">
            <v>4.6541116427098697</v>
          </cell>
          <cell r="N22">
            <v>437.8905648792479</v>
          </cell>
          <cell r="O22">
            <v>0.63867975288959733</v>
          </cell>
          <cell r="P22">
            <v>355.18323396760064</v>
          </cell>
          <cell r="S22">
            <v>7.94</v>
          </cell>
          <cell r="T22">
            <v>98</v>
          </cell>
          <cell r="U22">
            <v>3112</v>
          </cell>
          <cell r="V22">
            <v>0.68799999999999994</v>
          </cell>
          <cell r="X22">
            <v>0</v>
          </cell>
          <cell r="Y22" t="str">
            <v/>
          </cell>
          <cell r="AA22">
            <v>0</v>
          </cell>
          <cell r="AB22" t="str">
            <v/>
          </cell>
          <cell r="AC22">
            <v>0.58479999999999999</v>
          </cell>
          <cell r="AD22">
            <v>4.6433119999999999</v>
          </cell>
          <cell r="AE22">
            <v>15.35151028272357</v>
          </cell>
          <cell r="AF22">
            <v>15.35151028272357</v>
          </cell>
          <cell r="AG22">
            <v>16.145510282723571</v>
          </cell>
          <cell r="AH22">
            <v>371.32874425032423</v>
          </cell>
          <cell r="AI22">
            <v>25.09</v>
          </cell>
          <cell r="AJ22">
            <v>19.04</v>
          </cell>
          <cell r="AK22">
            <v>18</v>
          </cell>
          <cell r="AL22">
            <v>0.45</v>
          </cell>
          <cell r="AM22">
            <v>1.4E-2</v>
          </cell>
          <cell r="AN22">
            <v>0.19840439558029183</v>
          </cell>
          <cell r="AO22">
            <v>0.41132812500000004</v>
          </cell>
          <cell r="AP22">
            <v>0.44089865684509294</v>
          </cell>
          <cell r="AQ22">
            <v>5.4945343586537332</v>
          </cell>
          <cell r="AR22">
            <v>4.5069873790235855</v>
          </cell>
          <cell r="AS22">
            <v>12.606656596432973</v>
          </cell>
          <cell r="AT22">
            <v>1.5387312853428334</v>
          </cell>
          <cell r="AU22">
            <v>1.7371356809231253</v>
          </cell>
          <cell r="AV22">
            <v>7.2757770096350631</v>
          </cell>
          <cell r="AW22">
            <v>1157.1623348829933</v>
          </cell>
          <cell r="AX22">
            <v>0.32089598240152817</v>
          </cell>
          <cell r="AY22">
            <v>124.52499114507151</v>
          </cell>
          <cell r="AZ22" t="str">
            <v>05°01'01''</v>
          </cell>
          <cell r="BA22">
            <v>30.435270669453658</v>
          </cell>
          <cell r="BB22">
            <v>0.93200000000000005</v>
          </cell>
          <cell r="BC22">
            <v>0.105</v>
          </cell>
          <cell r="BD22">
            <v>4.7E-2</v>
          </cell>
          <cell r="BE22">
            <v>1.0840000000000001</v>
          </cell>
          <cell r="BF22">
            <v>1.0840000000000001</v>
          </cell>
          <cell r="BG22">
            <v>0.87200297682874595</v>
          </cell>
          <cell r="BH22">
            <v>2.6666666666666665</v>
          </cell>
          <cell r="BI22">
            <v>1.2</v>
          </cell>
          <cell r="BJ22" t="str">
            <v/>
          </cell>
          <cell r="BK22" t="str">
            <v/>
          </cell>
          <cell r="BL22" t="str">
            <v/>
          </cell>
          <cell r="BM22">
            <v>1.1622654122143776</v>
          </cell>
          <cell r="BN22">
            <v>0.84</v>
          </cell>
          <cell r="BO22">
            <v>692.41300000000001</v>
          </cell>
          <cell r="BP22">
            <v>687.63300000000004</v>
          </cell>
          <cell r="BQ22">
            <v>692.86300000000006</v>
          </cell>
          <cell r="BR22">
            <v>688.08300000000008</v>
          </cell>
          <cell r="BS22">
            <v>694.95299999999997</v>
          </cell>
          <cell r="BT22">
            <v>689.34300000000007</v>
          </cell>
          <cell r="BU22" t="str">
            <v/>
          </cell>
          <cell r="BV22">
            <v>2.0899999999999181</v>
          </cell>
          <cell r="BW22">
            <v>1.2599999999999909</v>
          </cell>
          <cell r="BX22">
            <v>2.5399999999999183</v>
          </cell>
          <cell r="BY22">
            <v>450</v>
          </cell>
          <cell r="BZ22">
            <v>0.96250000000000002</v>
          </cell>
          <cell r="CA22">
            <v>0.5625</v>
          </cell>
          <cell r="CB22">
            <v>1.6749999999999545</v>
          </cell>
          <cell r="CC22">
            <v>1.4458622359710975</v>
          </cell>
          <cell r="CD22">
            <v>2812.8572052894597</v>
          </cell>
          <cell r="CE22">
            <v>8.7242482775220398E-2</v>
          </cell>
          <cell r="CF22">
            <v>719.75048289556833</v>
          </cell>
          <cell r="CG22">
            <v>3532.6076881850281</v>
          </cell>
          <cell r="CH22">
            <v>1.5</v>
          </cell>
          <cell r="CI22">
            <v>4487</v>
          </cell>
          <cell r="CJ22">
            <v>1.1809475222370276</v>
          </cell>
          <cell r="CK22">
            <v>1.5</v>
          </cell>
          <cell r="CL22">
            <v>2</v>
          </cell>
          <cell r="CM22">
            <v>2</v>
          </cell>
        </row>
        <row r="23">
          <cell r="A23">
            <v>12</v>
          </cell>
          <cell r="B23" t="str">
            <v>C11</v>
          </cell>
          <cell r="C23" t="str">
            <v>A12</v>
          </cell>
          <cell r="E23">
            <v>0.28000000000000003</v>
          </cell>
          <cell r="F23">
            <v>1.55</v>
          </cell>
          <cell r="G23">
            <v>5</v>
          </cell>
          <cell r="J23" t="str">
            <v/>
          </cell>
          <cell r="K23" t="str">
            <v/>
          </cell>
          <cell r="L23">
            <v>4.6541116427098697</v>
          </cell>
          <cell r="M23">
            <v>4.6541116427098697</v>
          </cell>
          <cell r="N23">
            <v>437.8905648792479</v>
          </cell>
          <cell r="O23">
            <v>0.63306000000000051</v>
          </cell>
          <cell r="P23">
            <v>429.67705155380821</v>
          </cell>
          <cell r="R23">
            <v>0.28000000000000003</v>
          </cell>
          <cell r="S23">
            <v>8.2200000000000006</v>
          </cell>
          <cell r="T23">
            <v>98</v>
          </cell>
          <cell r="U23">
            <v>110</v>
          </cell>
          <cell r="V23">
            <v>0.68799999999999994</v>
          </cell>
          <cell r="X23">
            <v>0</v>
          </cell>
          <cell r="Y23" t="str">
            <v/>
          </cell>
          <cell r="AA23">
            <v>0</v>
          </cell>
          <cell r="AB23" t="str">
            <v/>
          </cell>
          <cell r="AC23">
            <v>0.58479999999999999</v>
          </cell>
          <cell r="AD23">
            <v>4.8070560000000002</v>
          </cell>
          <cell r="AE23">
            <v>15.852551091358571</v>
          </cell>
          <cell r="AF23">
            <v>15.852551091358571</v>
          </cell>
          <cell r="AG23">
            <v>16.67455109135857</v>
          </cell>
          <cell r="AH23">
            <v>446.35160264516679</v>
          </cell>
          <cell r="AI23">
            <v>5</v>
          </cell>
          <cell r="AJ23">
            <v>3.5</v>
          </cell>
          <cell r="AK23">
            <v>18</v>
          </cell>
          <cell r="AL23">
            <v>0.45</v>
          </cell>
          <cell r="AM23">
            <v>1.4E-2</v>
          </cell>
          <cell r="AN23">
            <v>0.3708824515342713</v>
          </cell>
          <cell r="AO23">
            <v>0.42934570312499998</v>
          </cell>
          <cell r="AP23">
            <v>0.82418322563171398</v>
          </cell>
          <cell r="AQ23">
            <v>3.1831374235550873</v>
          </cell>
          <cell r="AR23">
            <v>1.587184713910635</v>
          </cell>
          <cell r="AS23">
            <v>3.8533283513727228</v>
          </cell>
          <cell r="AT23">
            <v>0.51643036988975122</v>
          </cell>
          <cell r="AU23">
            <v>0.88731282142402246</v>
          </cell>
          <cell r="AV23">
            <v>3.1194636574120183</v>
          </cell>
          <cell r="AW23">
            <v>496.12925803158839</v>
          </cell>
          <cell r="AX23">
            <v>0.89966797043190649</v>
          </cell>
          <cell r="AY23">
            <v>107.10862610994928</v>
          </cell>
          <cell r="AZ23" t="str">
            <v>17°24'59''</v>
          </cell>
          <cell r="BA23">
            <v>8.7050576818825309</v>
          </cell>
          <cell r="BB23">
            <v>1E-3</v>
          </cell>
          <cell r="BC23">
            <v>0.20399999999999999</v>
          </cell>
          <cell r="BD23">
            <v>0.192</v>
          </cell>
          <cell r="BE23">
            <v>0.39700000000000002</v>
          </cell>
          <cell r="BF23">
            <v>0.39600000000000002</v>
          </cell>
          <cell r="BG23" t="str">
            <v/>
          </cell>
          <cell r="BH23" t="str">
            <v/>
          </cell>
          <cell r="BI23" t="str">
            <v/>
          </cell>
          <cell r="BJ23" t="str">
            <v/>
          </cell>
          <cell r="BK23" t="str">
            <v/>
          </cell>
          <cell r="BL23" t="str">
            <v/>
          </cell>
          <cell r="BM23" t="str">
            <v/>
          </cell>
          <cell r="BN23">
            <v>0.4</v>
          </cell>
          <cell r="BO23">
            <v>687.23300000000006</v>
          </cell>
          <cell r="BP23">
            <v>687.05300000000011</v>
          </cell>
          <cell r="BQ23">
            <v>687.68300000000011</v>
          </cell>
          <cell r="BR23">
            <v>687.50300000000016</v>
          </cell>
          <cell r="BS23">
            <v>689.34300000000007</v>
          </cell>
          <cell r="BT23">
            <v>688.78700000000003</v>
          </cell>
          <cell r="BU23" t="str">
            <v/>
          </cell>
          <cell r="BV23">
            <v>1.6599999999999682</v>
          </cell>
          <cell r="BW23">
            <v>1.2839999999998781</v>
          </cell>
          <cell r="BX23">
            <v>2.1099999999999683</v>
          </cell>
          <cell r="BY23">
            <v>450</v>
          </cell>
          <cell r="BZ23">
            <v>0.96250000000000002</v>
          </cell>
          <cell r="CA23">
            <v>0.5625</v>
          </cell>
          <cell r="CB23">
            <v>1.4719999999999231</v>
          </cell>
          <cell r="CC23">
            <v>1.2986522926038992</v>
          </cell>
          <cell r="CD23">
            <v>2526.4671609346706</v>
          </cell>
          <cell r="CE23">
            <v>0.11010492596859589</v>
          </cell>
          <cell r="CF23">
            <v>908.36563924091604</v>
          </cell>
          <cell r="CG23">
            <v>3434.8328001755867</v>
          </cell>
          <cell r="CH23">
            <v>1.5</v>
          </cell>
          <cell r="CI23">
            <v>4487</v>
          </cell>
          <cell r="CJ23">
            <v>1.1482614665173567</v>
          </cell>
          <cell r="CK23">
            <v>1.5</v>
          </cell>
          <cell r="CL23">
            <v>2</v>
          </cell>
          <cell r="CM23">
            <v>2</v>
          </cell>
        </row>
        <row r="24">
          <cell r="A24">
            <v>13</v>
          </cell>
          <cell r="B24" t="str">
            <v>A12</v>
          </cell>
          <cell r="C24" t="str">
            <v>C13</v>
          </cell>
          <cell r="E24">
            <v>-1.5</v>
          </cell>
          <cell r="F24">
            <v>5.0000000000000044E-2</v>
          </cell>
          <cell r="G24">
            <v>5</v>
          </cell>
          <cell r="J24" t="str">
            <v/>
          </cell>
          <cell r="K24" t="str">
            <v/>
          </cell>
          <cell r="L24">
            <v>4.6541116427098697</v>
          </cell>
          <cell r="M24">
            <v>4.6541116427098697</v>
          </cell>
          <cell r="N24">
            <v>437.8905648792479</v>
          </cell>
          <cell r="O24">
            <v>0.63306105610561048</v>
          </cell>
          <cell r="P24">
            <v>13.860573173056965</v>
          </cell>
          <cell r="S24">
            <v>8.2200000000000006</v>
          </cell>
          <cell r="T24">
            <v>98</v>
          </cell>
          <cell r="U24">
            <v>110</v>
          </cell>
          <cell r="V24">
            <v>0.68799999999999994</v>
          </cell>
          <cell r="X24">
            <v>0</v>
          </cell>
          <cell r="Y24" t="str">
            <v/>
          </cell>
          <cell r="AA24">
            <v>0</v>
          </cell>
          <cell r="AB24" t="str">
            <v/>
          </cell>
          <cell r="AC24">
            <v>0.58479999999999999</v>
          </cell>
          <cell r="AD24">
            <v>4.8070560000000002</v>
          </cell>
          <cell r="AE24">
            <v>15.852551091358571</v>
          </cell>
          <cell r="AF24">
            <v>15.852551091358571</v>
          </cell>
          <cell r="AG24">
            <v>16.67455109135857</v>
          </cell>
          <cell r="AH24">
            <v>30.535124264415536</v>
          </cell>
          <cell r="AI24">
            <v>6.06</v>
          </cell>
          <cell r="AJ24">
            <v>5.98</v>
          </cell>
          <cell r="AK24">
            <v>8</v>
          </cell>
          <cell r="AL24">
            <v>0.2</v>
          </cell>
          <cell r="AM24">
            <v>1.4E-2</v>
          </cell>
          <cell r="AN24">
            <v>0.10073776245117187</v>
          </cell>
          <cell r="AO24">
            <v>0.15000000000000002</v>
          </cell>
          <cell r="AP24">
            <v>0.50368881225585938</v>
          </cell>
          <cell r="AQ24">
            <v>1.9258378679877948</v>
          </cell>
          <cell r="AR24">
            <v>2.1818722797944949</v>
          </cell>
          <cell r="AS24">
            <v>1.970139740484198</v>
          </cell>
          <cell r="AT24">
            <v>0.18903422496308742</v>
          </cell>
          <cell r="AU24">
            <v>0.2897719874142593</v>
          </cell>
          <cell r="AV24">
            <v>2.3746967329830779</v>
          </cell>
          <cell r="AW24">
            <v>74.603298108433222</v>
          </cell>
          <cell r="AX24">
            <v>0.40929992424777023</v>
          </cell>
          <cell r="AY24">
            <v>107.10481361440441</v>
          </cell>
          <cell r="AZ24" t="str">
            <v>00°00'00''</v>
          </cell>
          <cell r="BA24">
            <v>1000</v>
          </cell>
          <cell r="BB24">
            <v>1E-3</v>
          </cell>
          <cell r="BC24">
            <v>6.5000000000000002E-2</v>
          </cell>
          <cell r="BD24">
            <v>1.7000000000000001E-2</v>
          </cell>
          <cell r="BE24">
            <v>8.3000000000000004E-2</v>
          </cell>
          <cell r="BF24">
            <v>8.2000000000000003E-2</v>
          </cell>
          <cell r="BG24" t="str">
            <v/>
          </cell>
          <cell r="BH24" t="str">
            <v/>
          </cell>
          <cell r="BI24" t="str">
            <v/>
          </cell>
          <cell r="BJ24" t="str">
            <v/>
          </cell>
          <cell r="BK24" t="str">
            <v/>
          </cell>
          <cell r="BL24" t="str">
            <v/>
          </cell>
          <cell r="BM24" t="str">
            <v/>
          </cell>
          <cell r="BN24">
            <v>0.08</v>
          </cell>
          <cell r="BO24">
            <v>686.97300000000007</v>
          </cell>
          <cell r="BP24">
            <v>686.61300000000006</v>
          </cell>
          <cell r="BQ24">
            <v>687.17300000000012</v>
          </cell>
          <cell r="BR24">
            <v>686.8130000000001</v>
          </cell>
          <cell r="BS24">
            <v>688.78700000000003</v>
          </cell>
          <cell r="BT24">
            <v>688.11300000000006</v>
          </cell>
          <cell r="BU24" t="str">
            <v/>
          </cell>
          <cell r="BV24">
            <v>1.6139999999999191</v>
          </cell>
          <cell r="BW24">
            <v>1.2999999999999545</v>
          </cell>
          <cell r="BX24">
            <v>1.813999999999919</v>
          </cell>
          <cell r="BY24">
            <v>200</v>
          </cell>
          <cell r="BZ24">
            <v>0.65</v>
          </cell>
          <cell r="CA24">
            <v>0.25</v>
          </cell>
          <cell r="CB24">
            <v>1.4569999999999368</v>
          </cell>
          <cell r="CC24">
            <v>1.7695149826283836</v>
          </cell>
          <cell r="CD24">
            <v>1570.0021683370335</v>
          </cell>
          <cell r="CE24">
            <v>5.1015114483115021E-2</v>
          </cell>
          <cell r="CF24">
            <v>420.87469448569891</v>
          </cell>
          <cell r="CG24">
            <v>1990.8768628227324</v>
          </cell>
          <cell r="CH24">
            <v>1.5</v>
          </cell>
          <cell r="CI24">
            <v>2957</v>
          </cell>
          <cell r="CJ24">
            <v>1.0099138634542097</v>
          </cell>
          <cell r="CK24">
            <v>1.5</v>
          </cell>
          <cell r="CL24">
            <v>2</v>
          </cell>
          <cell r="CM24">
            <v>2</v>
          </cell>
        </row>
        <row r="25">
          <cell r="A25">
            <v>14</v>
          </cell>
          <cell r="B25" t="str">
            <v>C13</v>
          </cell>
          <cell r="C25" t="str">
            <v>C14</v>
          </cell>
          <cell r="D25">
            <v>0.3</v>
          </cell>
          <cell r="F25">
            <v>0.35000000000000003</v>
          </cell>
          <cell r="G25">
            <v>5</v>
          </cell>
          <cell r="J25" t="str">
            <v/>
          </cell>
          <cell r="K25" t="str">
            <v/>
          </cell>
          <cell r="L25">
            <v>4.6541116427098697</v>
          </cell>
          <cell r="M25">
            <v>4.6541116427098697</v>
          </cell>
          <cell r="N25">
            <v>437.8905648792479</v>
          </cell>
          <cell r="O25">
            <v>0.62662245173484554</v>
          </cell>
          <cell r="P25">
            <v>96.037220774666778</v>
          </cell>
          <cell r="Q25">
            <v>0.3</v>
          </cell>
          <cell r="R25">
            <v>4.3099999999999996</v>
          </cell>
          <cell r="S25">
            <v>12.83</v>
          </cell>
          <cell r="T25">
            <v>98</v>
          </cell>
          <cell r="U25">
            <v>1917</v>
          </cell>
          <cell r="V25">
            <v>0.68799999999999994</v>
          </cell>
          <cell r="X25">
            <v>0</v>
          </cell>
          <cell r="Y25" t="str">
            <v/>
          </cell>
          <cell r="AA25">
            <v>0</v>
          </cell>
          <cell r="AB25" t="str">
            <v/>
          </cell>
          <cell r="AC25">
            <v>0.58479999999999999</v>
          </cell>
          <cell r="AD25">
            <v>7.5029839999999997</v>
          </cell>
          <cell r="AE25">
            <v>23.948652961556085</v>
          </cell>
          <cell r="AF25">
            <v>23.948652961556085</v>
          </cell>
          <cell r="AG25">
            <v>25.231652961556087</v>
          </cell>
          <cell r="AH25">
            <v>121.26887373622287</v>
          </cell>
          <cell r="AI25">
            <v>74.069999999999993</v>
          </cell>
          <cell r="AJ25">
            <v>0.41</v>
          </cell>
          <cell r="AK25">
            <v>18</v>
          </cell>
          <cell r="AL25">
            <v>0.45</v>
          </cell>
          <cell r="AM25">
            <v>1.4E-2</v>
          </cell>
          <cell r="AN25">
            <v>0.3151702880859375</v>
          </cell>
          <cell r="AO25">
            <v>0.24301757812500002</v>
          </cell>
          <cell r="AP25">
            <v>0.70037841796875</v>
          </cell>
          <cell r="AQ25">
            <v>1.0192004030817821</v>
          </cell>
          <cell r="AR25">
            <v>0.60520601775671157</v>
          </cell>
          <cell r="AS25">
            <v>0.3985357720480861</v>
          </cell>
          <cell r="AT25">
            <v>5.2944417005202193E-2</v>
          </cell>
          <cell r="AU25">
            <v>0.36811470509113969</v>
          </cell>
          <cell r="AV25">
            <v>1.067671958590932</v>
          </cell>
          <cell r="AW25">
            <v>169.80588806612556</v>
          </cell>
          <cell r="AX25">
            <v>0.71416177093339972</v>
          </cell>
          <cell r="AY25">
            <v>120.48880343979978</v>
          </cell>
          <cell r="AZ25" t="str">
            <v>13°23'02''</v>
          </cell>
          <cell r="BA25">
            <v>11.363827430889648</v>
          </cell>
          <cell r="BB25">
            <v>7.8E-2</v>
          </cell>
          <cell r="BC25">
            <v>2.7E-2</v>
          </cell>
          <cell r="BD25">
            <v>6.0000000000000001E-3</v>
          </cell>
          <cell r="BE25">
            <v>0.111</v>
          </cell>
          <cell r="BF25">
            <v>0.111</v>
          </cell>
          <cell r="BG25">
            <v>0.28477951284958553</v>
          </cell>
          <cell r="BH25">
            <v>2.6666666666666665</v>
          </cell>
          <cell r="BI25">
            <v>1.2</v>
          </cell>
          <cell r="BJ25">
            <v>4.1102566573952996E-2</v>
          </cell>
          <cell r="BK25">
            <v>0.28412014469895303</v>
          </cell>
          <cell r="BL25">
            <v>9.2654422126641801E-3</v>
          </cell>
          <cell r="BM25">
            <v>0.35206270429394065</v>
          </cell>
          <cell r="BN25">
            <v>0.25</v>
          </cell>
          <cell r="BO25">
            <v>686.37300000000005</v>
          </cell>
          <cell r="BP25">
            <v>686.07300000000009</v>
          </cell>
          <cell r="BQ25">
            <v>686.82300000000009</v>
          </cell>
          <cell r="BR25">
            <v>686.52300000000014</v>
          </cell>
          <cell r="BS25">
            <v>688.11300000000006</v>
          </cell>
          <cell r="BT25">
            <v>689.41300000000001</v>
          </cell>
          <cell r="BU25" t="str">
            <v/>
          </cell>
          <cell r="BV25">
            <v>1.2899999999999636</v>
          </cell>
          <cell r="BW25">
            <v>2.8899999999998727</v>
          </cell>
          <cell r="BX25">
            <v>1.7399999999999636</v>
          </cell>
          <cell r="BY25">
            <v>450</v>
          </cell>
          <cell r="BZ25">
            <v>0.96250000000000002</v>
          </cell>
          <cell r="CA25">
            <v>0.5625</v>
          </cell>
          <cell r="CB25">
            <v>2.0899999999999181</v>
          </cell>
          <cell r="CC25">
            <v>1.7263664932246268</v>
          </cell>
          <cell r="CD25">
            <v>3358.5650891391419</v>
          </cell>
          <cell r="CE25">
            <v>5.7864451854060084E-2</v>
          </cell>
          <cell r="CF25">
            <v>477.38172779599569</v>
          </cell>
          <cell r="CG25">
            <v>3835.9468169351376</v>
          </cell>
          <cell r="CH25">
            <v>1.5</v>
          </cell>
          <cell r="CI25">
            <v>4487</v>
          </cell>
          <cell r="CJ25">
            <v>1.2823535158018065</v>
          </cell>
          <cell r="CK25">
            <v>1.5</v>
          </cell>
          <cell r="CL25">
            <v>2</v>
          </cell>
          <cell r="CM25">
            <v>2</v>
          </cell>
        </row>
        <row r="26">
          <cell r="A26">
            <v>15</v>
          </cell>
          <cell r="B26" t="str">
            <v>C14</v>
          </cell>
          <cell r="C26" t="str">
            <v>C15</v>
          </cell>
          <cell r="F26">
            <v>0.35000000000000003</v>
          </cell>
          <cell r="G26">
            <v>5</v>
          </cell>
          <cell r="J26" t="str">
            <v/>
          </cell>
          <cell r="K26" t="str">
            <v/>
          </cell>
          <cell r="L26">
            <v>4.6541116427098697</v>
          </cell>
          <cell r="M26">
            <v>4.6541116427098697</v>
          </cell>
          <cell r="N26">
            <v>437.8905648792479</v>
          </cell>
          <cell r="O26">
            <v>0.62989898989898918</v>
          </cell>
          <cell r="P26">
            <v>96.539388576307616</v>
          </cell>
          <cell r="S26">
            <v>12.83</v>
          </cell>
          <cell r="T26">
            <v>98</v>
          </cell>
          <cell r="U26">
            <v>1917</v>
          </cell>
          <cell r="V26">
            <v>0.68799999999999994</v>
          </cell>
          <cell r="X26">
            <v>0</v>
          </cell>
          <cell r="Y26" t="str">
            <v/>
          </cell>
          <cell r="AA26">
            <v>0</v>
          </cell>
          <cell r="AB26" t="str">
            <v/>
          </cell>
          <cell r="AC26">
            <v>0.58479999999999999</v>
          </cell>
          <cell r="AD26">
            <v>7.5029839999999997</v>
          </cell>
          <cell r="AE26">
            <v>23.948652961556085</v>
          </cell>
          <cell r="AF26">
            <v>23.948652961556085</v>
          </cell>
          <cell r="AG26">
            <v>25.231652961556087</v>
          </cell>
          <cell r="AH26">
            <v>121.77104153786371</v>
          </cell>
          <cell r="AI26">
            <v>7.92</v>
          </cell>
          <cell r="AJ26">
            <v>0.5</v>
          </cell>
          <cell r="AK26">
            <v>18</v>
          </cell>
          <cell r="AL26">
            <v>0.45</v>
          </cell>
          <cell r="AM26">
            <v>1.4E-2</v>
          </cell>
          <cell r="AN26">
            <v>0.29668879508972162</v>
          </cell>
          <cell r="AO26">
            <v>0.24345703125000001</v>
          </cell>
          <cell r="AP26">
            <v>0.65930843353271473</v>
          </cell>
          <cell r="AQ26">
            <v>1.0947976498534921</v>
          </cell>
          <cell r="AR26">
            <v>0.68391644176976363</v>
          </cell>
          <cell r="AS26">
            <v>0.46323274838033618</v>
          </cell>
          <cell r="AT26">
            <v>6.1089800923788462E-2</v>
          </cell>
          <cell r="AU26">
            <v>0.35777859601351009</v>
          </cell>
          <cell r="AV26">
            <v>1.1790464373451699</v>
          </cell>
          <cell r="AW26">
            <v>187.51923355636825</v>
          </cell>
          <cell r="AX26">
            <v>0.64937894224732606</v>
          </cell>
          <cell r="AY26">
            <v>171.69793098169856</v>
          </cell>
          <cell r="AZ26" t="str">
            <v>51°12'33''</v>
          </cell>
          <cell r="BA26">
            <v>2.7823125836732552</v>
          </cell>
          <cell r="BB26">
            <v>1E-3</v>
          </cell>
          <cell r="BC26">
            <v>1E-3</v>
          </cell>
          <cell r="BD26">
            <v>1.0999999999999999E-2</v>
          </cell>
          <cell r="BE26">
            <v>1.2999999999999999E-2</v>
          </cell>
          <cell r="BF26">
            <v>1.2999999999999999E-2</v>
          </cell>
          <cell r="BG26">
            <v>0.28595876930273845</v>
          </cell>
          <cell r="BH26">
            <v>2.6666666666666665</v>
          </cell>
          <cell r="BI26">
            <v>1.2</v>
          </cell>
          <cell r="BJ26">
            <v>5.021891818371254E-2</v>
          </cell>
          <cell r="BK26">
            <v>0.29367594943371256</v>
          </cell>
          <cell r="BL26">
            <v>9.3682384884000783E-3</v>
          </cell>
          <cell r="BM26">
            <v>0.36365302550653517</v>
          </cell>
          <cell r="BN26">
            <v>0.05</v>
          </cell>
          <cell r="BO26">
            <v>686.02300000000014</v>
          </cell>
          <cell r="BP26">
            <v>685.98300000000017</v>
          </cell>
          <cell r="BQ26">
            <v>686.47300000000018</v>
          </cell>
          <cell r="BR26">
            <v>686.43300000000022</v>
          </cell>
          <cell r="BS26">
            <v>689.41300000000001</v>
          </cell>
          <cell r="BT26">
            <v>689.03300000000013</v>
          </cell>
          <cell r="BU26" t="str">
            <v/>
          </cell>
          <cell r="BV26">
            <v>2.9399999999998272</v>
          </cell>
          <cell r="BW26">
            <v>2.5999999999999091</v>
          </cell>
          <cell r="BX26">
            <v>3.3899999999998274</v>
          </cell>
          <cell r="BY26">
            <v>450</v>
          </cell>
          <cell r="BZ26">
            <v>0.96250000000000002</v>
          </cell>
          <cell r="CA26">
            <v>0.5625</v>
          </cell>
          <cell r="CB26">
            <v>2.7699999999998681</v>
          </cell>
          <cell r="CC26">
            <v>2.1321792333691234</v>
          </cell>
          <cell r="CD26">
            <v>4148.0547526180653</v>
          </cell>
          <cell r="CE26">
            <v>3.3797260236705262E-2</v>
          </cell>
          <cell r="CF26">
            <v>278.82739695281839</v>
          </cell>
          <cell r="CG26">
            <v>4426.8821495708835</v>
          </cell>
          <cell r="CH26">
            <v>1.5</v>
          </cell>
          <cell r="CI26">
            <v>4487</v>
          </cell>
          <cell r="CJ26">
            <v>1.4799026575342824</v>
          </cell>
          <cell r="CK26">
            <v>1.5</v>
          </cell>
          <cell r="CL26">
            <v>2</v>
          </cell>
          <cell r="CM26">
            <v>2</v>
          </cell>
        </row>
        <row r="27">
          <cell r="A27">
            <v>16</v>
          </cell>
          <cell r="B27" t="str">
            <v>C15</v>
          </cell>
          <cell r="C27" t="str">
            <v>C16</v>
          </cell>
          <cell r="F27">
            <v>0.35000000000000003</v>
          </cell>
          <cell r="G27">
            <v>5</v>
          </cell>
          <cell r="J27" t="str">
            <v/>
          </cell>
          <cell r="K27" t="str">
            <v/>
          </cell>
          <cell r="L27">
            <v>4.6541116427098697</v>
          </cell>
          <cell r="M27">
            <v>4.6541116427098697</v>
          </cell>
          <cell r="N27">
            <v>437.8905648792479</v>
          </cell>
          <cell r="O27">
            <v>0.66974137931034572</v>
          </cell>
          <cell r="P27">
            <v>102.64570081822488</v>
          </cell>
          <cell r="S27">
            <v>12.83</v>
          </cell>
          <cell r="T27">
            <v>98</v>
          </cell>
          <cell r="U27">
            <v>1917</v>
          </cell>
          <cell r="V27">
            <v>0.68799999999999994</v>
          </cell>
          <cell r="X27">
            <v>0</v>
          </cell>
          <cell r="Y27" t="str">
            <v/>
          </cell>
          <cell r="AA27">
            <v>0</v>
          </cell>
          <cell r="AB27" t="str">
            <v/>
          </cell>
          <cell r="AC27">
            <v>0.58479999999999999</v>
          </cell>
          <cell r="AD27">
            <v>7.5029839999999997</v>
          </cell>
          <cell r="AE27">
            <v>23.948652961556085</v>
          </cell>
          <cell r="AF27">
            <v>23.948652961556085</v>
          </cell>
          <cell r="AG27">
            <v>25.231652961556087</v>
          </cell>
          <cell r="AH27">
            <v>127.87735377978098</v>
          </cell>
          <cell r="AI27">
            <v>5.22</v>
          </cell>
          <cell r="AJ27">
            <v>46.51</v>
          </cell>
          <cell r="AK27">
            <v>18</v>
          </cell>
          <cell r="AL27">
            <v>0.45</v>
          </cell>
          <cell r="AM27">
            <v>1.4E-2</v>
          </cell>
          <cell r="AN27">
            <v>9.1291397809982328E-2</v>
          </cell>
          <cell r="AO27">
            <v>0.24960937499999999</v>
          </cell>
          <cell r="AP27">
            <v>0.20286977291107183</v>
          </cell>
          <cell r="AQ27">
            <v>5.5333082548660188</v>
          </cell>
          <cell r="AR27">
            <v>6.9852038707835087</v>
          </cell>
          <cell r="AS27">
            <v>15.783833586338119</v>
          </cell>
          <cell r="AT27">
            <v>1.5605249869198994</v>
          </cell>
          <cell r="AU27">
            <v>1.6518163847298817</v>
          </cell>
          <cell r="AV27">
            <v>11.371534621226271</v>
          </cell>
          <cell r="AW27">
            <v>1808.5644373206262</v>
          </cell>
          <cell r="AX27">
            <v>7.0706551086026137E-2</v>
          </cell>
          <cell r="AY27">
            <v>150.5004077340291</v>
          </cell>
          <cell r="AZ27" t="str">
            <v>21°11'51''</v>
          </cell>
          <cell r="BA27">
            <v>7.1254554098055687</v>
          </cell>
          <cell r="BB27">
            <v>1.294</v>
          </cell>
          <cell r="BC27">
            <v>0.15</v>
          </cell>
          <cell r="BD27">
            <v>0.224</v>
          </cell>
          <cell r="BE27">
            <v>1.6679999999999999</v>
          </cell>
          <cell r="BF27">
            <v>1.6679999999999999</v>
          </cell>
          <cell r="BG27">
            <v>0.30029841452236117</v>
          </cell>
          <cell r="BH27">
            <v>2.6666666666666665</v>
          </cell>
          <cell r="BI27">
            <v>1.2</v>
          </cell>
          <cell r="BJ27">
            <v>4.7930518538132354</v>
          </cell>
          <cell r="BK27">
            <v>5.0426612288132358</v>
          </cell>
          <cell r="BL27">
            <v>1.0675652368827082E-2</v>
          </cell>
          <cell r="BM27">
            <v>6.0640042574184756</v>
          </cell>
          <cell r="BN27">
            <v>5.77</v>
          </cell>
          <cell r="BO27">
            <v>685.40300000000025</v>
          </cell>
          <cell r="BP27">
            <v>682.9730000000003</v>
          </cell>
          <cell r="BQ27">
            <v>685.85300000000029</v>
          </cell>
          <cell r="BR27">
            <v>683.42300000000034</v>
          </cell>
          <cell r="BS27">
            <v>689.03300000000013</v>
          </cell>
          <cell r="BT27">
            <v>684.62300000000005</v>
          </cell>
          <cell r="BU27" t="str">
            <v/>
          </cell>
          <cell r="BV27">
            <v>3.1799999999998363</v>
          </cell>
          <cell r="BW27">
            <v>1.1999999999997044</v>
          </cell>
          <cell r="BX27">
            <v>3.6299999999998365</v>
          </cell>
          <cell r="BY27">
            <v>450</v>
          </cell>
          <cell r="BZ27">
            <v>0.96250000000000002</v>
          </cell>
          <cell r="CA27">
            <v>0.5625</v>
          </cell>
          <cell r="CB27">
            <v>2.1899999999997704</v>
          </cell>
          <cell r="CC27">
            <v>1.7900719555872155</v>
          </cell>
          <cell r="CD27">
            <v>3482.5010799720098</v>
          </cell>
          <cell r="CE27">
            <v>5.2978269652359744E-2</v>
          </cell>
          <cell r="CF27">
            <v>437.07072463196789</v>
          </cell>
          <cell r="CG27">
            <v>3919.5718046039779</v>
          </cell>
          <cell r="CH27">
            <v>1.5</v>
          </cell>
          <cell r="CI27">
            <v>4487</v>
          </cell>
          <cell r="CJ27">
            <v>1.3103092727670975</v>
          </cell>
          <cell r="CK27">
            <v>1.5</v>
          </cell>
          <cell r="CL27">
            <v>2</v>
          </cell>
          <cell r="CM27">
            <v>2</v>
          </cell>
        </row>
        <row r="28">
          <cell r="A28">
            <v>17</v>
          </cell>
          <cell r="B28" t="str">
            <v>C16</v>
          </cell>
          <cell r="C28" t="str">
            <v>C17</v>
          </cell>
          <cell r="F28">
            <v>0.35000000000000003</v>
          </cell>
          <cell r="G28">
            <v>5</v>
          </cell>
          <cell r="J28" t="str">
            <v/>
          </cell>
          <cell r="K28" t="str">
            <v/>
          </cell>
          <cell r="L28">
            <v>4.6541116427098697</v>
          </cell>
          <cell r="M28">
            <v>4.6541116427098697</v>
          </cell>
          <cell r="N28">
            <v>437.8905648792479</v>
          </cell>
          <cell r="O28">
            <v>0.64210396039604045</v>
          </cell>
          <cell r="P28">
            <v>98.409943075158537</v>
          </cell>
          <cell r="S28">
            <v>12.83</v>
          </cell>
          <cell r="T28">
            <v>98</v>
          </cell>
          <cell r="U28">
            <v>1917</v>
          </cell>
          <cell r="V28">
            <v>0.68799999999999994</v>
          </cell>
          <cell r="X28">
            <v>0</v>
          </cell>
          <cell r="Y28" t="str">
            <v/>
          </cell>
          <cell r="AA28">
            <v>0</v>
          </cell>
          <cell r="AB28" t="str">
            <v/>
          </cell>
          <cell r="AC28">
            <v>0.58479999999999999</v>
          </cell>
          <cell r="AD28">
            <v>7.5029839999999997</v>
          </cell>
          <cell r="AE28">
            <v>23.948652961556085</v>
          </cell>
          <cell r="AF28">
            <v>23.948652961556085</v>
          </cell>
          <cell r="AG28">
            <v>25.231652961556087</v>
          </cell>
          <cell r="AH28">
            <v>123.64159603671462</v>
          </cell>
          <cell r="AI28">
            <v>4.04</v>
          </cell>
          <cell r="AJ28">
            <v>18.79</v>
          </cell>
          <cell r="AK28">
            <v>18</v>
          </cell>
          <cell r="AL28">
            <v>0.45</v>
          </cell>
          <cell r="AM28">
            <v>1.4E-2</v>
          </cell>
          <cell r="AN28">
            <v>0.11251437664031982</v>
          </cell>
          <cell r="AO28">
            <v>0.24521484374999999</v>
          </cell>
          <cell r="AP28">
            <v>0.25003194808959961</v>
          </cell>
          <cell r="AQ28">
            <v>3.9757790513113038</v>
          </cell>
          <cell r="AR28">
            <v>4.4897540672024876</v>
          </cell>
          <cell r="AS28">
            <v>7.6667329164274074</v>
          </cell>
          <cell r="AT28">
            <v>0.80564827037950104</v>
          </cell>
          <cell r="AU28">
            <v>0.91816264701982087</v>
          </cell>
          <cell r="AV28">
            <v>7.2278527823431746</v>
          </cell>
          <cell r="AW28">
            <v>1149.5403158632919</v>
          </cell>
          <cell r="AX28">
            <v>0.1075574247640555</v>
          </cell>
          <cell r="AY28">
            <v>150.4994376613574</v>
          </cell>
          <cell r="AZ28" t="str">
            <v>00°00'00''</v>
          </cell>
          <cell r="BA28">
            <v>1000</v>
          </cell>
          <cell r="BB28">
            <v>1E-3</v>
          </cell>
          <cell r="BC28">
            <v>0.151</v>
          </cell>
          <cell r="BD28">
            <v>5.8000000000000003E-2</v>
          </cell>
          <cell r="BE28">
            <v>0.21</v>
          </cell>
          <cell r="BF28">
            <v>0.20899999999999999</v>
          </cell>
          <cell r="BG28" t="str">
            <v/>
          </cell>
          <cell r="BH28" t="str">
            <v/>
          </cell>
          <cell r="BI28" t="str">
            <v/>
          </cell>
          <cell r="BJ28" t="str">
            <v/>
          </cell>
          <cell r="BK28" t="str">
            <v/>
          </cell>
          <cell r="BL28" t="str">
            <v/>
          </cell>
          <cell r="BM28" t="str">
            <v/>
          </cell>
          <cell r="BN28">
            <v>0.21</v>
          </cell>
          <cell r="BO28">
            <v>682.27300000000025</v>
          </cell>
          <cell r="BP28">
            <v>681.51300000000026</v>
          </cell>
          <cell r="BQ28">
            <v>682.7230000000003</v>
          </cell>
          <cell r="BR28">
            <v>681.96300000000031</v>
          </cell>
          <cell r="BS28">
            <v>684.62300000000005</v>
          </cell>
          <cell r="BT28">
            <v>683.44299999999998</v>
          </cell>
          <cell r="BU28" t="str">
            <v/>
          </cell>
          <cell r="BV28">
            <v>1.8999999999997499</v>
          </cell>
          <cell r="BW28">
            <v>1.4799999999996771</v>
          </cell>
          <cell r="BX28">
            <v>2.3499999999997501</v>
          </cell>
          <cell r="BY28">
            <v>450</v>
          </cell>
          <cell r="BZ28">
            <v>0.96250000000000002</v>
          </cell>
          <cell r="CA28">
            <v>0.5625</v>
          </cell>
          <cell r="CB28">
            <v>1.6899999999997135</v>
          </cell>
          <cell r="CC28">
            <v>1.4564712123942514</v>
          </cell>
          <cell r="CD28">
            <v>2833.4964716249356</v>
          </cell>
          <cell r="CE28">
            <v>8.5834483443120613E-2</v>
          </cell>
          <cell r="CF28">
            <v>708.13448840574506</v>
          </cell>
          <cell r="CG28">
            <v>3541.6309600306804</v>
          </cell>
          <cell r="CH28">
            <v>1.5</v>
          </cell>
          <cell r="CI28">
            <v>4487</v>
          </cell>
          <cell r="CJ28">
            <v>1.1839639937700068</v>
          </cell>
          <cell r="CK28">
            <v>1.5</v>
          </cell>
          <cell r="CL28">
            <v>2</v>
          </cell>
          <cell r="CM28">
            <v>2</v>
          </cell>
        </row>
        <row r="29">
          <cell r="A29">
            <v>18</v>
          </cell>
          <cell r="B29" t="str">
            <v>C17</v>
          </cell>
          <cell r="C29" t="str">
            <v>C18</v>
          </cell>
          <cell r="D29">
            <v>0.09</v>
          </cell>
          <cell r="F29">
            <v>0.44000000000000006</v>
          </cell>
          <cell r="G29">
            <v>5</v>
          </cell>
          <cell r="J29" t="str">
            <v/>
          </cell>
          <cell r="K29" t="str">
            <v/>
          </cell>
          <cell r="L29">
            <v>4.6541116427098697</v>
          </cell>
          <cell r="M29">
            <v>4.6541116427098697</v>
          </cell>
          <cell r="N29">
            <v>437.8905648792479</v>
          </cell>
          <cell r="O29">
            <v>0.6266236233907243</v>
          </cell>
          <cell r="P29">
            <v>120.73273186182799</v>
          </cell>
          <cell r="Q29">
            <v>0.09</v>
          </cell>
          <cell r="S29">
            <v>12.92</v>
          </cell>
          <cell r="T29">
            <v>98</v>
          </cell>
          <cell r="U29">
            <v>1952</v>
          </cell>
          <cell r="V29">
            <v>0.68799999999999994</v>
          </cell>
          <cell r="X29">
            <v>0</v>
          </cell>
          <cell r="Y29" t="str">
            <v/>
          </cell>
          <cell r="AA29">
            <v>0</v>
          </cell>
          <cell r="AB29" t="str">
            <v/>
          </cell>
          <cell r="AC29">
            <v>0.58479999999999999</v>
          </cell>
          <cell r="AD29">
            <v>7.5556159999999997</v>
          </cell>
          <cell r="AE29">
            <v>24.104294214297553</v>
          </cell>
          <cell r="AF29">
            <v>24.104294214297553</v>
          </cell>
          <cell r="AG29">
            <v>25.396294214297555</v>
          </cell>
          <cell r="AH29">
            <v>146.12902607612554</v>
          </cell>
          <cell r="AI29">
            <v>64.47</v>
          </cell>
          <cell r="AJ29">
            <v>0.38</v>
          </cell>
          <cell r="AK29">
            <v>18</v>
          </cell>
          <cell r="AL29">
            <v>0.45</v>
          </cell>
          <cell r="AM29">
            <v>1.4E-2</v>
          </cell>
          <cell r="AN29">
            <v>0.36901016235351564</v>
          </cell>
          <cell r="AO29">
            <v>0.26806640625</v>
          </cell>
          <cell r="AP29">
            <v>0.8200225830078125</v>
          </cell>
          <cell r="AQ29">
            <v>1.0469238242441505</v>
          </cell>
          <cell r="AR29">
            <v>0.52562657530616341</v>
          </cell>
          <cell r="AS29">
            <v>0.41680087223403262</v>
          </cell>
          <cell r="AT29">
            <v>5.5863888571355602E-2</v>
          </cell>
          <cell r="AU29">
            <v>0.42487405092487124</v>
          </cell>
          <cell r="AV29">
            <v>1.0278688540258512</v>
          </cell>
          <cell r="AW29">
            <v>163.47547780848203</v>
          </cell>
          <cell r="AX29">
            <v>0.89388957925127743</v>
          </cell>
          <cell r="AY29">
            <v>208.24170826422633</v>
          </cell>
          <cell r="AZ29" t="str">
            <v>57°44'32''</v>
          </cell>
          <cell r="BA29">
            <v>2.4182077430262381</v>
          </cell>
          <cell r="BB29">
            <v>1E-3</v>
          </cell>
          <cell r="BC29">
            <v>0.15</v>
          </cell>
          <cell r="BD29">
            <v>6.4000000000000001E-2</v>
          </cell>
          <cell r="BE29">
            <v>0.215</v>
          </cell>
          <cell r="BF29">
            <v>0.215</v>
          </cell>
          <cell r="BG29">
            <v>0.34315939100466136</v>
          </cell>
          <cell r="BH29">
            <v>2.6666666666666665</v>
          </cell>
          <cell r="BI29">
            <v>1.2</v>
          </cell>
          <cell r="BJ29">
            <v>4.2089160445659177E-2</v>
          </cell>
          <cell r="BK29">
            <v>0.31015556669565919</v>
          </cell>
          <cell r="BL29">
            <v>1.5244101460617611E-2</v>
          </cell>
          <cell r="BM29">
            <v>0.39047960178753216</v>
          </cell>
          <cell r="BN29">
            <v>0.28000000000000003</v>
          </cell>
          <cell r="BO29">
            <v>681.38300000000027</v>
          </cell>
          <cell r="BP29">
            <v>681.14300000000026</v>
          </cell>
          <cell r="BQ29">
            <v>681.83300000000031</v>
          </cell>
          <cell r="BR29">
            <v>681.5930000000003</v>
          </cell>
          <cell r="BS29">
            <v>683.44299999999998</v>
          </cell>
          <cell r="BT29">
            <v>684.57300000000009</v>
          </cell>
          <cell r="BU29" t="str">
            <v/>
          </cell>
          <cell r="BV29">
            <v>1.6099999999996726</v>
          </cell>
          <cell r="BW29">
            <v>2.9799999999997908</v>
          </cell>
          <cell r="BX29">
            <v>2.0599999999996728</v>
          </cell>
          <cell r="BY29">
            <v>450</v>
          </cell>
          <cell r="BZ29">
            <v>0.96250000000000002</v>
          </cell>
          <cell r="CA29">
            <v>0.5625</v>
          </cell>
          <cell r="CB29">
            <v>2.2949999999997317</v>
          </cell>
          <cell r="CC29">
            <v>1.8554138980513093</v>
          </cell>
          <cell r="CD29">
            <v>3609.6207661323515</v>
          </cell>
          <cell r="CE29">
            <v>4.8474597514741369E-2</v>
          </cell>
          <cell r="CF29">
            <v>399.9154294966163</v>
          </cell>
          <cell r="CG29">
            <v>4009.536195628968</v>
          </cell>
          <cell r="CH29">
            <v>1.5</v>
          </cell>
          <cell r="CI29">
            <v>4487</v>
          </cell>
          <cell r="CJ29">
            <v>1.3403842864817144</v>
          </cell>
          <cell r="CK29">
            <v>1.5</v>
          </cell>
          <cell r="CL29">
            <v>2</v>
          </cell>
          <cell r="CM29">
            <v>2</v>
          </cell>
        </row>
        <row r="30">
          <cell r="A30">
            <v>19</v>
          </cell>
          <cell r="B30" t="str">
            <v>C18</v>
          </cell>
          <cell r="C30" t="str">
            <v>C19</v>
          </cell>
          <cell r="D30">
            <v>0.04</v>
          </cell>
          <cell r="E30">
            <v>2.5499999999999998</v>
          </cell>
          <cell r="F30">
            <v>3.03</v>
          </cell>
          <cell r="G30">
            <v>5</v>
          </cell>
          <cell r="J30" t="str">
            <v/>
          </cell>
          <cell r="K30">
            <v>1.0409620105724</v>
          </cell>
          <cell r="L30">
            <v>5.6950736532822699</v>
          </cell>
          <cell r="M30">
            <v>5.6950736532822699</v>
          </cell>
          <cell r="N30">
            <v>418.73477282316048</v>
          </cell>
          <cell r="O30">
            <v>0.64050518134715029</v>
          </cell>
          <cell r="P30">
            <v>812.65142855847216</v>
          </cell>
          <cell r="Q30">
            <v>0.04</v>
          </cell>
          <cell r="R30">
            <v>2.5499999999999998</v>
          </cell>
          <cell r="S30">
            <v>15.51</v>
          </cell>
          <cell r="T30">
            <v>98</v>
          </cell>
          <cell r="U30">
            <v>2967</v>
          </cell>
          <cell r="V30">
            <v>0.68799999999999994</v>
          </cell>
          <cell r="X30">
            <v>0</v>
          </cell>
          <cell r="Y30" t="str">
            <v/>
          </cell>
          <cell r="AA30">
            <v>0</v>
          </cell>
          <cell r="AB30" t="str">
            <v/>
          </cell>
          <cell r="AC30">
            <v>0.58479999999999999</v>
          </cell>
          <cell r="AD30">
            <v>9.0702479999999994</v>
          </cell>
          <cell r="AE30">
            <v>28.551399527413498</v>
          </cell>
          <cell r="AF30">
            <v>28.551399527413498</v>
          </cell>
          <cell r="AG30">
            <v>30.102399527413496</v>
          </cell>
          <cell r="AH30">
            <v>842.75382808588563</v>
          </cell>
          <cell r="AI30">
            <v>19.3</v>
          </cell>
          <cell r="AJ30">
            <v>12.56</v>
          </cell>
          <cell r="AK30">
            <v>28</v>
          </cell>
          <cell r="AL30">
            <v>0.70000000000000007</v>
          </cell>
          <cell r="AM30">
            <v>1.2999999999999999E-2</v>
          </cell>
          <cell r="AN30">
            <v>0.27372342944145206</v>
          </cell>
          <cell r="AO30">
            <v>0.57541503906250013</v>
          </cell>
          <cell r="AP30">
            <v>0.39103347063064575</v>
          </cell>
          <cell r="AQ30">
            <v>6.0432101652517645</v>
          </cell>
          <cell r="AR30">
            <v>4.2668532950937799</v>
          </cell>
          <cell r="AS30">
            <v>11.682602929841305</v>
          </cell>
          <cell r="AT30">
            <v>1.8613857849848245</v>
          </cell>
          <cell r="AU30">
            <v>2.1351092144262767</v>
          </cell>
          <cell r="AV30">
            <v>8.5437610854409787</v>
          </cell>
          <cell r="AW30">
            <v>3288.0245898558483</v>
          </cell>
          <cell r="AX30">
            <v>0.25631007465270605</v>
          </cell>
          <cell r="AY30">
            <v>114.73554446443033</v>
          </cell>
          <cell r="AZ30" t="str">
            <v>93°30'22''</v>
          </cell>
          <cell r="BA30">
            <v>1.0077907318737453</v>
          </cell>
          <cell r="BB30">
            <v>1.71</v>
          </cell>
          <cell r="BC30">
            <v>0.18099999999999999</v>
          </cell>
          <cell r="BD30">
            <v>0.25600000000000001</v>
          </cell>
          <cell r="BE30">
            <v>2.1470000000000002</v>
          </cell>
          <cell r="BF30">
            <v>2.1470000000000002</v>
          </cell>
          <cell r="BG30">
            <v>0.65576210616210429</v>
          </cell>
          <cell r="BH30">
            <v>2.1428571428571428</v>
          </cell>
          <cell r="BI30">
            <v>1.2</v>
          </cell>
          <cell r="BJ30" t="str">
            <v/>
          </cell>
          <cell r="BK30" t="str">
            <v/>
          </cell>
          <cell r="BL30" t="str">
            <v/>
          </cell>
          <cell r="BM30">
            <v>1.2779304091405184</v>
          </cell>
          <cell r="BN30">
            <v>0.91</v>
          </cell>
          <cell r="BO30">
            <v>680.29300000000023</v>
          </cell>
          <cell r="BP30">
            <v>677.87300000000027</v>
          </cell>
          <cell r="BQ30">
            <v>680.99300000000028</v>
          </cell>
          <cell r="BR30">
            <v>678.57300000000032</v>
          </cell>
          <cell r="BS30">
            <v>684.57300000000009</v>
          </cell>
          <cell r="BT30">
            <v>679.55300000000011</v>
          </cell>
          <cell r="BU30" t="str">
            <v/>
          </cell>
          <cell r="BV30">
            <v>3.5799999999998136</v>
          </cell>
          <cell r="BW30">
            <v>0.97999999999979082</v>
          </cell>
          <cell r="BX30">
            <v>4.2799999999998137</v>
          </cell>
          <cell r="BY30">
            <v>700</v>
          </cell>
          <cell r="BZ30">
            <v>1.2749999999999999</v>
          </cell>
          <cell r="CA30">
            <v>0.875</v>
          </cell>
          <cell r="CB30">
            <v>2.2799999999998022</v>
          </cell>
          <cell r="CC30">
            <v>1.478405219135404</v>
          </cell>
          <cell r="CD30">
            <v>5046.9982171496813</v>
          </cell>
          <cell r="CE30">
            <v>7.5050793024618923E-2</v>
          </cell>
          <cell r="CF30">
            <v>619.16904245310616</v>
          </cell>
          <cell r="CG30">
            <v>5666.1672596027875</v>
          </cell>
          <cell r="CH30">
            <v>1.25</v>
          </cell>
          <cell r="CI30">
            <v>3416</v>
          </cell>
          <cell r="CJ30">
            <v>2.0733925862129636</v>
          </cell>
          <cell r="CK30">
            <v>2.2000000000000002</v>
          </cell>
          <cell r="CL30">
            <v>2</v>
          </cell>
          <cell r="CM30">
            <v>3</v>
          </cell>
        </row>
        <row r="31">
          <cell r="A31">
            <v>20</v>
          </cell>
          <cell r="B31" t="str">
            <v>C19</v>
          </cell>
          <cell r="C31" t="str">
            <v>C20</v>
          </cell>
          <cell r="D31">
            <v>0.06</v>
          </cell>
          <cell r="F31">
            <v>3.09</v>
          </cell>
          <cell r="G31">
            <v>5</v>
          </cell>
          <cell r="J31" t="str">
            <v/>
          </cell>
          <cell r="K31">
            <v>0.1114086862725861</v>
          </cell>
          <cell r="L31">
            <v>5.8064823395548562</v>
          </cell>
          <cell r="M31">
            <v>5.8064823395548562</v>
          </cell>
          <cell r="N31">
            <v>416.77659245846382</v>
          </cell>
          <cell r="O31">
            <v>0.63959865053513276</v>
          </cell>
          <cell r="P31">
            <v>823.70051548318918</v>
          </cell>
          <cell r="Q31">
            <v>0.06</v>
          </cell>
          <cell r="S31">
            <v>15.57</v>
          </cell>
          <cell r="T31">
            <v>98</v>
          </cell>
          <cell r="U31">
            <v>2991</v>
          </cell>
          <cell r="V31">
            <v>0.68799999999999994</v>
          </cell>
          <cell r="X31">
            <v>0</v>
          </cell>
          <cell r="Y31" t="str">
            <v/>
          </cell>
          <cell r="AA31">
            <v>0</v>
          </cell>
          <cell r="AB31" t="str">
            <v/>
          </cell>
          <cell r="AC31">
            <v>0.58479999999999999</v>
          </cell>
          <cell r="AD31">
            <v>9.1053359999999994</v>
          </cell>
          <cell r="AE31">
            <v>28.653739317893354</v>
          </cell>
          <cell r="AF31">
            <v>28.653739317893354</v>
          </cell>
          <cell r="AG31">
            <v>30.210739317893353</v>
          </cell>
          <cell r="AH31">
            <v>853.91125480108258</v>
          </cell>
          <cell r="AI31">
            <v>21.49</v>
          </cell>
          <cell r="AJ31">
            <v>19.920000000000002</v>
          </cell>
          <cell r="AK31">
            <v>28</v>
          </cell>
          <cell r="AL31">
            <v>0.70000000000000007</v>
          </cell>
          <cell r="AM31">
            <v>1.2999999999999999E-2</v>
          </cell>
          <cell r="AN31">
            <v>0.24419292211532592</v>
          </cell>
          <cell r="AO31">
            <v>0.57866210937500018</v>
          </cell>
          <cell r="AP31">
            <v>0.3488470315933227</v>
          </cell>
          <cell r="AQ31">
            <v>7.1455995945685054</v>
          </cell>
          <cell r="AR31">
            <v>5.3862416836514919</v>
          </cell>
          <cell r="AS31">
            <v>16.817122932812747</v>
          </cell>
          <cell r="AT31">
            <v>2.602425767884688</v>
          </cell>
          <cell r="AU31">
            <v>2.8466186900000139</v>
          </cell>
          <cell r="AV31">
            <v>10.75966977857024</v>
          </cell>
          <cell r="AW31">
            <v>4140.806192597528</v>
          </cell>
          <cell r="AX31">
            <v>0.20621859973248929</v>
          </cell>
          <cell r="AY31">
            <v>114.73715898942989</v>
          </cell>
          <cell r="AZ31" t="str">
            <v>00°00'00''</v>
          </cell>
          <cell r="BA31">
            <v>1000</v>
          </cell>
          <cell r="BB31">
            <v>0.71199999999999997</v>
          </cell>
          <cell r="BC31">
            <v>7.3999999999999996E-2</v>
          </cell>
          <cell r="BD31">
            <v>0.111</v>
          </cell>
          <cell r="BE31">
            <v>0.89699999999999991</v>
          </cell>
          <cell r="BF31">
            <v>0.89699999999999991</v>
          </cell>
          <cell r="BG31" t="str">
            <v/>
          </cell>
          <cell r="BH31" t="str">
            <v/>
          </cell>
          <cell r="BI31" t="str">
            <v/>
          </cell>
          <cell r="BJ31" t="str">
            <v/>
          </cell>
          <cell r="BK31" t="str">
            <v/>
          </cell>
          <cell r="BL31" t="str">
            <v/>
          </cell>
          <cell r="BM31" t="str">
            <v/>
          </cell>
          <cell r="BN31">
            <v>0.9</v>
          </cell>
          <cell r="BO31">
            <v>676.98300000000029</v>
          </cell>
          <cell r="BP31">
            <v>672.70300000000032</v>
          </cell>
          <cell r="BQ31">
            <v>677.68300000000033</v>
          </cell>
          <cell r="BR31">
            <v>673.40300000000036</v>
          </cell>
          <cell r="BS31">
            <v>679.55300000000011</v>
          </cell>
          <cell r="BT31">
            <v>674.35300000000007</v>
          </cell>
          <cell r="BU31" t="str">
            <v/>
          </cell>
          <cell r="BV31">
            <v>1.8699999999997772</v>
          </cell>
          <cell r="BW31">
            <v>0.94999999999970441</v>
          </cell>
          <cell r="BX31">
            <v>2.5699999999997774</v>
          </cell>
          <cell r="BY31">
            <v>700</v>
          </cell>
          <cell r="BZ31">
            <v>1.2749999999999999</v>
          </cell>
          <cell r="CA31">
            <v>0.875</v>
          </cell>
          <cell r="CB31">
            <v>1.4099999999997408</v>
          </cell>
          <cell r="CC31">
            <v>0.98163236546473365</v>
          </cell>
          <cell r="CD31">
            <v>3351.1088396280757</v>
          </cell>
          <cell r="CE31">
            <v>0.17724447485870864</v>
          </cell>
          <cell r="CF31">
            <v>1462.2669175843464</v>
          </cell>
          <cell r="CG31">
            <v>4813.3757572124223</v>
          </cell>
          <cell r="CH31">
            <v>1.25</v>
          </cell>
          <cell r="CI31">
            <v>3416</v>
          </cell>
          <cell r="CJ31">
            <v>1.7613348057715246</v>
          </cell>
          <cell r="CK31">
            <v>1.9</v>
          </cell>
          <cell r="CL31">
            <v>2</v>
          </cell>
          <cell r="CM31">
            <v>3</v>
          </cell>
        </row>
        <row r="32">
          <cell r="A32">
            <v>21</v>
          </cell>
          <cell r="B32" t="str">
            <v>C20</v>
          </cell>
          <cell r="C32" t="str">
            <v>A21</v>
          </cell>
          <cell r="F32">
            <v>3.09</v>
          </cell>
          <cell r="G32">
            <v>5</v>
          </cell>
          <cell r="J32" t="str">
            <v/>
          </cell>
          <cell r="K32">
            <v>3.8589780837585699E-2</v>
          </cell>
          <cell r="L32">
            <v>5.8450721203924418</v>
          </cell>
          <cell r="M32">
            <v>5.8450721203924418</v>
          </cell>
          <cell r="N32">
            <v>416.1022764375839</v>
          </cell>
          <cell r="O32">
            <v>0.63457776427703505</v>
          </cell>
          <cell r="P32">
            <v>815.91218958335151</v>
          </cell>
          <cell r="S32">
            <v>15.57</v>
          </cell>
          <cell r="T32">
            <v>98</v>
          </cell>
          <cell r="U32">
            <v>2991</v>
          </cell>
          <cell r="V32">
            <v>0.68799999999999994</v>
          </cell>
          <cell r="X32">
            <v>0</v>
          </cell>
          <cell r="Y32" t="str">
            <v/>
          </cell>
          <cell r="AA32">
            <v>0</v>
          </cell>
          <cell r="AB32" t="str">
            <v/>
          </cell>
          <cell r="AC32">
            <v>0.58479999999999999</v>
          </cell>
          <cell r="AD32">
            <v>9.1053359999999994</v>
          </cell>
          <cell r="AE32">
            <v>28.653739317893354</v>
          </cell>
          <cell r="AF32">
            <v>28.653739317893354</v>
          </cell>
          <cell r="AG32">
            <v>30.210739317893353</v>
          </cell>
          <cell r="AH32">
            <v>846.1229289012449</v>
          </cell>
          <cell r="AI32">
            <v>16.46</v>
          </cell>
          <cell r="AJ32">
            <v>5.71</v>
          </cell>
          <cell r="AK32">
            <v>24</v>
          </cell>
          <cell r="AL32">
            <v>0.60000000000000009</v>
          </cell>
          <cell r="AM32">
            <v>1.2999999999999999E-2</v>
          </cell>
          <cell r="AN32">
            <v>0.36759567260742199</v>
          </cell>
          <cell r="AO32">
            <v>0.56345214843750013</v>
          </cell>
          <cell r="AP32">
            <v>0.61265945434570324</v>
          </cell>
          <cell r="AQ32">
            <v>4.659697786559974</v>
          </cell>
          <cell r="AR32">
            <v>2.6670380059460763</v>
          </cell>
          <cell r="AS32">
            <v>6.6460351725848561</v>
          </cell>
          <cell r="AT32">
            <v>1.1066658237549398</v>
          </cell>
          <cell r="AU32">
            <v>1.4742614963623617</v>
          </cell>
          <cell r="AV32">
            <v>5.1980581877270664</v>
          </cell>
          <cell r="AW32">
            <v>1469.7163273946069</v>
          </cell>
          <cell r="AX32">
            <v>0.57570492559008479</v>
          </cell>
          <cell r="AY32">
            <v>99.698075365859424</v>
          </cell>
          <cell r="AZ32" t="str">
            <v>15°02'21''</v>
          </cell>
          <cell r="BA32">
            <v>9.4697332935740395</v>
          </cell>
          <cell r="BB32">
            <v>1E-3</v>
          </cell>
          <cell r="BC32">
            <v>0.29899999999999999</v>
          </cell>
          <cell r="BD32">
            <v>0.35499999999999998</v>
          </cell>
          <cell r="BE32">
            <v>0.65500000000000003</v>
          </cell>
          <cell r="BF32">
            <v>0.65399999999999991</v>
          </cell>
          <cell r="BG32" t="str">
            <v/>
          </cell>
          <cell r="BH32" t="str">
            <v/>
          </cell>
          <cell r="BI32" t="str">
            <v/>
          </cell>
          <cell r="BJ32" t="str">
            <v/>
          </cell>
          <cell r="BK32" t="str">
            <v/>
          </cell>
          <cell r="BL32" t="str">
            <v/>
          </cell>
          <cell r="BM32" t="str">
            <v/>
          </cell>
          <cell r="BN32">
            <v>0.1</v>
          </cell>
          <cell r="BO32">
            <v>671.11300000000028</v>
          </cell>
          <cell r="BP32">
            <v>670.17300000000023</v>
          </cell>
          <cell r="BQ32">
            <v>671.71300000000031</v>
          </cell>
          <cell r="BR32">
            <v>670.77300000000025</v>
          </cell>
          <cell r="BS32">
            <v>674.35300000000007</v>
          </cell>
          <cell r="BT32">
            <v>672.02300000000014</v>
          </cell>
          <cell r="BU32">
            <v>1.5900000000000318</v>
          </cell>
          <cell r="BV32">
            <v>2.639999999999759</v>
          </cell>
          <cell r="BW32">
            <v>1.2499999999998863</v>
          </cell>
          <cell r="BX32">
            <v>3.2399999999997591</v>
          </cell>
          <cell r="BY32">
            <v>600</v>
          </cell>
          <cell r="BZ32">
            <v>1.1499999999999999</v>
          </cell>
          <cell r="CA32">
            <v>0.75</v>
          </cell>
          <cell r="CB32">
            <v>1.9449999999998226</v>
          </cell>
          <cell r="CC32">
            <v>1.412298630530689</v>
          </cell>
          <cell r="CD32">
            <v>3922.3063716413558</v>
          </cell>
          <cell r="CE32">
            <v>8.7159735983932562E-2</v>
          </cell>
          <cell r="CF32">
            <v>719.06782186744363</v>
          </cell>
          <cell r="CG32">
            <v>4641.3741935087992</v>
          </cell>
          <cell r="CH32">
            <v>1.25</v>
          </cell>
          <cell r="CI32">
            <v>2928</v>
          </cell>
          <cell r="CJ32">
            <v>1.9814609774200818</v>
          </cell>
          <cell r="CK32">
            <v>2.2000000000000002</v>
          </cell>
          <cell r="CL32">
            <v>2</v>
          </cell>
          <cell r="CM32">
            <v>3</v>
          </cell>
        </row>
        <row r="33">
          <cell r="A33">
            <v>22</v>
          </cell>
          <cell r="B33" t="str">
            <v>A21</v>
          </cell>
          <cell r="C33" t="str">
            <v>C725</v>
          </cell>
          <cell r="E33">
            <v>-3</v>
          </cell>
          <cell r="F33">
            <v>8.9999999999999858E-2</v>
          </cell>
          <cell r="G33">
            <v>5</v>
          </cell>
          <cell r="J33" t="str">
            <v/>
          </cell>
          <cell r="K33">
            <v>0.48517237035901284</v>
          </cell>
          <cell r="L33">
            <v>6.330244490751455</v>
          </cell>
          <cell r="M33">
            <v>6.330244490751455</v>
          </cell>
          <cell r="N33">
            <v>407.79409737979614</v>
          </cell>
          <cell r="O33">
            <v>0.62647629310344866</v>
          </cell>
          <cell r="P33">
            <v>22.992600102836498</v>
          </cell>
          <cell r="S33">
            <v>15.57</v>
          </cell>
          <cell r="T33">
            <v>98</v>
          </cell>
          <cell r="U33">
            <v>2991</v>
          </cell>
          <cell r="V33">
            <v>0.68799999999999994</v>
          </cell>
          <cell r="X33">
            <v>0</v>
          </cell>
          <cell r="Y33" t="str">
            <v/>
          </cell>
          <cell r="AA33">
            <v>0</v>
          </cell>
          <cell r="AB33" t="str">
            <v/>
          </cell>
          <cell r="AC33">
            <v>0.58479999999999999</v>
          </cell>
          <cell r="AD33">
            <v>9.1053359999999994</v>
          </cell>
          <cell r="AE33">
            <v>28.653739317893354</v>
          </cell>
          <cell r="AF33">
            <v>28.653739317893354</v>
          </cell>
          <cell r="AG33">
            <v>30.210739317893353</v>
          </cell>
          <cell r="AH33">
            <v>53.203339420729847</v>
          </cell>
          <cell r="AI33">
            <v>18.559999999999999</v>
          </cell>
          <cell r="AJ33">
            <v>0.5</v>
          </cell>
          <cell r="AK33">
            <v>12</v>
          </cell>
          <cell r="AL33">
            <v>0.30000000000000004</v>
          </cell>
          <cell r="AM33">
            <v>1.4E-2</v>
          </cell>
          <cell r="AN33">
            <v>0.23405742645263677</v>
          </cell>
          <cell r="AO33">
            <v>0.17929687500000002</v>
          </cell>
          <cell r="AP33">
            <v>0.78019142150878917</v>
          </cell>
          <cell r="AQ33">
            <v>0.89916319209920159</v>
          </cell>
          <cell r="AR33">
            <v>0.58778155347259819</v>
          </cell>
          <cell r="AS33">
            <v>0.35221054419674536</v>
          </cell>
          <cell r="AT33">
            <v>4.1207667993171541E-2</v>
          </cell>
          <cell r="AU33">
            <v>0.27526509444580832</v>
          </cell>
          <cell r="AV33">
            <v>0.89978083297385381</v>
          </cell>
          <cell r="AW33">
            <v>63.601759231010206</v>
          </cell>
          <cell r="AX33">
            <v>0.83650735551965016</v>
          </cell>
          <cell r="AY33">
            <v>119.92178337811953</v>
          </cell>
          <cell r="AZ33" t="str">
            <v>20°13'25''</v>
          </cell>
          <cell r="BA33">
            <v>11.214496684338839</v>
          </cell>
          <cell r="BB33">
            <v>1E-3</v>
          </cell>
          <cell r="BC33">
            <v>0.21299999999999999</v>
          </cell>
          <cell r="BD33">
            <v>0.02</v>
          </cell>
          <cell r="BE33">
            <v>0.23399999999999999</v>
          </cell>
          <cell r="BF33">
            <v>0.23399999999999999</v>
          </cell>
          <cell r="BG33">
            <v>0.34429160941380316</v>
          </cell>
          <cell r="BH33">
            <v>3.9999999999999991</v>
          </cell>
          <cell r="BI33">
            <v>1.2</v>
          </cell>
          <cell r="BJ33">
            <v>3.2357977204485085E-2</v>
          </cell>
          <cell r="BK33">
            <v>0.2116548522044851</v>
          </cell>
          <cell r="BL33">
            <v>1.0252508574409323E-2</v>
          </cell>
          <cell r="BM33">
            <v>0.26628883293467331</v>
          </cell>
          <cell r="BN33">
            <v>-0.1</v>
          </cell>
          <cell r="BO33">
            <v>670.14300000000026</v>
          </cell>
          <cell r="BP33">
            <v>670.05300000000022</v>
          </cell>
          <cell r="BQ33">
            <v>670.44300000000021</v>
          </cell>
          <cell r="BR33">
            <v>670.35300000000018</v>
          </cell>
          <cell r="BS33">
            <v>672.02300000000014</v>
          </cell>
          <cell r="BT33">
            <v>672.40300000000002</v>
          </cell>
          <cell r="BU33" t="str">
            <v/>
          </cell>
          <cell r="BV33">
            <v>1.5799999999999272</v>
          </cell>
          <cell r="BW33">
            <v>2.0499999999998408</v>
          </cell>
          <cell r="BX33">
            <v>1.8799999999999273</v>
          </cell>
          <cell r="BY33">
            <v>300</v>
          </cell>
          <cell r="BZ33">
            <v>0.77500000000000002</v>
          </cell>
          <cell r="CA33">
            <v>0.375</v>
          </cell>
          <cell r="CB33">
            <v>1.814999999999884</v>
          </cell>
          <cell r="CC33">
            <v>1.8301559529052325</v>
          </cell>
          <cell r="CD33">
            <v>2308.3985803487813</v>
          </cell>
          <cell r="CE33">
            <v>5.0728678463819565E-2</v>
          </cell>
          <cell r="CF33">
            <v>418.51159732651143</v>
          </cell>
          <cell r="CG33">
            <v>2726.9101776752927</v>
          </cell>
          <cell r="CH33">
            <v>1.5</v>
          </cell>
          <cell r="CI33">
            <v>3365</v>
          </cell>
          <cell r="CJ33">
            <v>1.215561743391661</v>
          </cell>
          <cell r="CK33">
            <v>1.5</v>
          </cell>
          <cell r="CL33">
            <v>2</v>
          </cell>
          <cell r="CM33">
            <v>2</v>
          </cell>
        </row>
        <row r="34">
          <cell r="A34">
            <v>23</v>
          </cell>
          <cell r="F34" t="str">
            <v/>
          </cell>
          <cell r="G34" t="str">
            <v/>
          </cell>
          <cell r="J34" t="str">
            <v/>
          </cell>
          <cell r="L34" t="str">
            <v/>
          </cell>
          <cell r="M34" t="str">
            <v/>
          </cell>
          <cell r="N34" t="str">
            <v/>
          </cell>
          <cell r="O34" t="str">
            <v/>
          </cell>
          <cell r="P34" t="str">
            <v/>
          </cell>
          <cell r="S34" t="str">
            <v/>
          </cell>
          <cell r="T34">
            <v>98</v>
          </cell>
          <cell r="U34" t="str">
            <v/>
          </cell>
          <cell r="V34">
            <v>0.68799999999999994</v>
          </cell>
          <cell r="X34">
            <v>0</v>
          </cell>
          <cell r="Y34" t="str">
            <v/>
          </cell>
          <cell r="AA34">
            <v>0</v>
          </cell>
          <cell r="AB34" t="str">
            <v/>
          </cell>
          <cell r="AC34" t="str">
            <v/>
          </cell>
          <cell r="AD34" t="str">
            <v/>
          </cell>
          <cell r="AE34" t="str">
            <v/>
          </cell>
          <cell r="AF34" t="str">
            <v/>
          </cell>
          <cell r="AG34" t="str">
            <v/>
          </cell>
          <cell r="AH34" t="str">
            <v/>
          </cell>
          <cell r="AI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v>670.05300000000022</v>
          </cell>
          <cell r="BP34" t="str">
            <v/>
          </cell>
          <cell r="BQ34">
            <v>670.05300000000022</v>
          </cell>
          <cell r="BR34" t="str">
            <v/>
          </cell>
          <cell r="BS34" t="str">
            <v/>
          </cell>
          <cell r="BT34" t="str">
            <v/>
          </cell>
          <cell r="BU34" t="str">
            <v/>
          </cell>
          <cell r="BV34" t="str">
            <v/>
          </cell>
          <cell r="BW34" t="str">
            <v/>
          </cell>
          <cell r="BX34" t="str">
            <v/>
          </cell>
          <cell r="BY34">
            <v>0</v>
          </cell>
          <cell r="BZ34">
            <v>0.4</v>
          </cell>
          <cell r="CA34">
            <v>0</v>
          </cell>
          <cell r="CB34">
            <v>0</v>
          </cell>
          <cell r="CC34">
            <v>0</v>
          </cell>
          <cell r="CD34">
            <v>0</v>
          </cell>
          <cell r="CE34" t="e">
            <v>#VALUE!</v>
          </cell>
          <cell r="CF34" t="e">
            <v>#VALUE!</v>
          </cell>
          <cell r="CG34" t="e">
            <v>#VALUE!</v>
          </cell>
          <cell r="CH34">
            <v>1.5</v>
          </cell>
          <cell r="CI34" t="e">
            <v>#VALUE!</v>
          </cell>
          <cell r="CJ34" t="e">
            <v>#VALUE!</v>
          </cell>
          <cell r="CK34" t="e">
            <v>#VALUE!</v>
          </cell>
          <cell r="CL34">
            <v>2</v>
          </cell>
          <cell r="CM34">
            <v>2</v>
          </cell>
        </row>
        <row r="35">
          <cell r="A35">
            <v>24</v>
          </cell>
          <cell r="C35" t="str">
            <v/>
          </cell>
          <cell r="F35" t="str">
            <v/>
          </cell>
          <cell r="G35" t="str">
            <v/>
          </cell>
          <cell r="J35" t="str">
            <v/>
          </cell>
          <cell r="L35" t="str">
            <v/>
          </cell>
          <cell r="M35" t="str">
            <v/>
          </cell>
          <cell r="N35" t="str">
            <v/>
          </cell>
          <cell r="O35" t="str">
            <v/>
          </cell>
          <cell r="P35" t="str">
            <v/>
          </cell>
          <cell r="S35" t="str">
            <v/>
          </cell>
          <cell r="T35">
            <v>98</v>
          </cell>
          <cell r="U35" t="str">
            <v/>
          </cell>
          <cell r="V35">
            <v>0.68799999999999994</v>
          </cell>
          <cell r="X35">
            <v>0</v>
          </cell>
          <cell r="Y35" t="str">
            <v/>
          </cell>
          <cell r="AA35">
            <v>0</v>
          </cell>
          <cell r="AB35" t="str">
            <v/>
          </cell>
          <cell r="AC35" t="str">
            <v/>
          </cell>
          <cell r="AD35" t="str">
            <v/>
          </cell>
          <cell r="AE35" t="str">
            <v/>
          </cell>
          <cell r="AF35" t="str">
            <v/>
          </cell>
          <cell r="AG35" t="str">
            <v/>
          </cell>
          <cell r="AH35" t="str">
            <v/>
          </cell>
          <cell r="AI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v>0</v>
          </cell>
          <cell r="BP35" t="str">
            <v/>
          </cell>
          <cell r="BQ35">
            <v>0</v>
          </cell>
          <cell r="BR35" t="str">
            <v/>
          </cell>
          <cell r="BS35" t="str">
            <v/>
          </cell>
          <cell r="BT35" t="str">
            <v/>
          </cell>
          <cell r="BU35" t="str">
            <v/>
          </cell>
          <cell r="BV35" t="str">
            <v/>
          </cell>
          <cell r="BW35" t="str">
            <v/>
          </cell>
          <cell r="BX35" t="str">
            <v/>
          </cell>
          <cell r="BY35">
            <v>0</v>
          </cell>
          <cell r="BZ35">
            <v>0.4</v>
          </cell>
          <cell r="CA35">
            <v>0</v>
          </cell>
          <cell r="CB35">
            <v>0</v>
          </cell>
          <cell r="CC35">
            <v>0</v>
          </cell>
          <cell r="CD35">
            <v>0</v>
          </cell>
          <cell r="CE35" t="e">
            <v>#VALUE!</v>
          </cell>
          <cell r="CF35" t="e">
            <v>#VALUE!</v>
          </cell>
          <cell r="CG35" t="e">
            <v>#VALUE!</v>
          </cell>
          <cell r="CH35">
            <v>1.5</v>
          </cell>
          <cell r="CI35" t="e">
            <v>#VALUE!</v>
          </cell>
          <cell r="CJ35" t="e">
            <v>#VALUE!</v>
          </cell>
          <cell r="CK35" t="e">
            <v>#VALUE!</v>
          </cell>
          <cell r="CL35">
            <v>2</v>
          </cell>
          <cell r="CM35">
            <v>2</v>
          </cell>
        </row>
        <row r="36">
          <cell r="A36">
            <v>25</v>
          </cell>
          <cell r="B36" t="str">
            <v>C65</v>
          </cell>
          <cell r="C36" t="str">
            <v>C02</v>
          </cell>
          <cell r="D36">
            <v>1.06</v>
          </cell>
          <cell r="F36">
            <v>1.06</v>
          </cell>
          <cell r="G36">
            <v>5</v>
          </cell>
          <cell r="H36">
            <v>36.799999999999997</v>
          </cell>
          <cell r="I36">
            <v>16</v>
          </cell>
          <cell r="J36">
            <v>43.478260869565219</v>
          </cell>
          <cell r="K36">
            <v>4.8647885230008001E-2</v>
          </cell>
          <cell r="L36">
            <v>1.9674559208888331</v>
          </cell>
          <cell r="M36">
            <v>3</v>
          </cell>
          <cell r="N36">
            <v>471.90281881227315</v>
          </cell>
          <cell r="O36">
            <v>0.63052939412117581</v>
          </cell>
          <cell r="P36">
            <v>315.40151433556429</v>
          </cell>
          <cell r="Q36">
            <v>1.06</v>
          </cell>
          <cell r="S36">
            <v>1.06</v>
          </cell>
          <cell r="T36">
            <v>98</v>
          </cell>
          <cell r="U36">
            <v>416</v>
          </cell>
          <cell r="V36">
            <v>0.68799999999999994</v>
          </cell>
          <cell r="X36" t="str">
            <v/>
          </cell>
          <cell r="Y36" t="str">
            <v/>
          </cell>
          <cell r="AA36" t="str">
            <v/>
          </cell>
          <cell r="AB36" t="str">
            <v/>
          </cell>
          <cell r="AC36">
            <v>0.58479999999999999</v>
          </cell>
          <cell r="AD36">
            <v>0.61988799999999999</v>
          </cell>
          <cell r="AE36">
            <v>2.3754089779960461</v>
          </cell>
          <cell r="AF36">
            <v>2.3754089779960461</v>
          </cell>
          <cell r="AG36">
            <v>2.481408977996046</v>
          </cell>
          <cell r="AH36">
            <v>317.88292331356035</v>
          </cell>
          <cell r="AI36">
            <v>16.670000000000002</v>
          </cell>
          <cell r="AJ36">
            <v>6.88</v>
          </cell>
          <cell r="AK36">
            <v>14</v>
          </cell>
          <cell r="AL36">
            <v>0.35000000000000003</v>
          </cell>
          <cell r="AM36">
            <v>1.4E-2</v>
          </cell>
          <cell r="AN36">
            <v>0.28684284687042244</v>
          </cell>
          <cell r="AO36">
            <v>0.34468078613281261</v>
          </cell>
          <cell r="AP36">
            <v>0.81955099105834972</v>
          </cell>
          <cell r="AQ36">
            <v>3.7667191182941138</v>
          </cell>
          <cell r="AR36">
            <v>2.1460192077338629</v>
          </cell>
          <cell r="AS36">
            <v>5.8668386919375335</v>
          </cell>
          <cell r="AT36">
            <v>0.72314846667290444</v>
          </cell>
          <cell r="AU36">
            <v>1.0099913135433269</v>
          </cell>
          <cell r="AV36">
            <v>3.6989388155534599</v>
          </cell>
          <cell r="AW36">
            <v>355.87961965126453</v>
          </cell>
          <cell r="AX36">
            <v>0.89323160349857034</v>
          </cell>
          <cell r="AY36">
            <v>114.16598646464206</v>
          </cell>
          <cell r="AZ36" t="b">
            <v>0</v>
          </cell>
          <cell r="BA36" t="str">
            <v/>
          </cell>
          <cell r="BB36">
            <v>1E-3</v>
          </cell>
          <cell r="BC36">
            <v>0</v>
          </cell>
          <cell r="BD36">
            <v>0</v>
          </cell>
          <cell r="BE36">
            <v>1E-3</v>
          </cell>
          <cell r="BF36" t="str">
            <v/>
          </cell>
          <cell r="BG36">
            <v>1.3992256904642315</v>
          </cell>
          <cell r="BH36">
            <v>3.4285714285714279</v>
          </cell>
          <cell r="BI36">
            <v>1.2</v>
          </cell>
          <cell r="BJ36" t="str">
            <v/>
          </cell>
          <cell r="BK36" t="str">
            <v/>
          </cell>
          <cell r="BL36" t="str">
            <v/>
          </cell>
          <cell r="BM36">
            <v>1.8645732578563656</v>
          </cell>
          <cell r="BN36">
            <v>0</v>
          </cell>
          <cell r="BO36">
            <v>732.16300000000012</v>
          </cell>
          <cell r="BP36">
            <v>731.01300000000015</v>
          </cell>
          <cell r="BQ36">
            <v>732.51300000000015</v>
          </cell>
          <cell r="BR36">
            <v>731.36300000000017</v>
          </cell>
          <cell r="BS36">
            <v>733.76300000000015</v>
          </cell>
          <cell r="BT36">
            <v>732.75300000000016</v>
          </cell>
          <cell r="BU36" t="b">
            <v>0</v>
          </cell>
          <cell r="BV36">
            <v>1.25</v>
          </cell>
          <cell r="BW36">
            <v>1.3899999999999864</v>
          </cell>
          <cell r="BX36">
            <v>1.6</v>
          </cell>
          <cell r="BY36">
            <v>350</v>
          </cell>
          <cell r="BZ36">
            <v>0.83750000000000002</v>
          </cell>
          <cell r="CA36">
            <v>0.4375</v>
          </cell>
          <cell r="CB36">
            <v>1.3199999999999932</v>
          </cell>
          <cell r="CC36">
            <v>1.3318877741955721</v>
          </cell>
          <cell r="CD36">
            <v>1961.8082591506625</v>
          </cell>
          <cell r="CE36">
            <v>0.10512844739980842</v>
          </cell>
          <cell r="CF36">
            <v>867.3096910484195</v>
          </cell>
          <cell r="CG36">
            <v>2829.1179501990819</v>
          </cell>
          <cell r="CH36">
            <v>1.5</v>
          </cell>
          <cell r="CI36">
            <v>3671</v>
          </cell>
          <cell r="CJ36">
            <v>1.1560002520562853</v>
          </cell>
          <cell r="CK36">
            <v>1.5</v>
          </cell>
          <cell r="CL36">
            <v>2</v>
          </cell>
          <cell r="CM36">
            <v>2</v>
          </cell>
        </row>
        <row r="37">
          <cell r="A37">
            <v>26</v>
          </cell>
          <cell r="F37" t="str">
            <v/>
          </cell>
          <cell r="G37" t="str">
            <v/>
          </cell>
          <cell r="J37" t="str">
            <v/>
          </cell>
          <cell r="L37" t="str">
            <v/>
          </cell>
          <cell r="M37" t="str">
            <v/>
          </cell>
          <cell r="N37" t="str">
            <v/>
          </cell>
          <cell r="O37" t="str">
            <v/>
          </cell>
          <cell r="P37" t="str">
            <v/>
          </cell>
          <cell r="S37" t="str">
            <v/>
          </cell>
          <cell r="X37">
            <v>0</v>
          </cell>
          <cell r="Y37" t="str">
            <v/>
          </cell>
          <cell r="AA37">
            <v>0</v>
          </cell>
          <cell r="AB37" t="str">
            <v/>
          </cell>
          <cell r="AC37" t="str">
            <v/>
          </cell>
          <cell r="AD37" t="str">
            <v/>
          </cell>
          <cell r="AE37" t="str">
            <v/>
          </cell>
          <cell r="AF37" t="str">
            <v/>
          </cell>
          <cell r="AG37" t="str">
            <v/>
          </cell>
          <cell r="AH37" t="str">
            <v/>
          </cell>
          <cell r="AI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v>731.01300000000015</v>
          </cell>
          <cell r="BP37" t="str">
            <v/>
          </cell>
          <cell r="BQ37">
            <v>731.01300000000015</v>
          </cell>
          <cell r="BR37" t="str">
            <v/>
          </cell>
          <cell r="BS37" t="str">
            <v/>
          </cell>
          <cell r="BT37" t="str">
            <v/>
          </cell>
          <cell r="BU37" t="str">
            <v/>
          </cell>
          <cell r="BV37" t="str">
            <v/>
          </cell>
          <cell r="BW37" t="str">
            <v/>
          </cell>
          <cell r="BX37" t="str">
            <v/>
          </cell>
          <cell r="BY37">
            <v>0</v>
          </cell>
          <cell r="BZ37">
            <v>0.4</v>
          </cell>
          <cell r="CA37">
            <v>0</v>
          </cell>
          <cell r="CB37">
            <v>0</v>
          </cell>
          <cell r="CC37">
            <v>0</v>
          </cell>
          <cell r="CD37">
            <v>0</v>
          </cell>
          <cell r="CE37" t="e">
            <v>#VALUE!</v>
          </cell>
          <cell r="CF37" t="e">
            <v>#VALUE!</v>
          </cell>
          <cell r="CG37" t="e">
            <v>#VALUE!</v>
          </cell>
          <cell r="CH37">
            <v>1.25</v>
          </cell>
          <cell r="CI37">
            <v>0</v>
          </cell>
          <cell r="CJ37" t="e">
            <v>#VALUE!</v>
          </cell>
          <cell r="CK37" t="e">
            <v>#VALUE!</v>
          </cell>
          <cell r="CL37">
            <v>3</v>
          </cell>
          <cell r="CM37">
            <v>3</v>
          </cell>
        </row>
        <row r="38">
          <cell r="A38">
            <v>27</v>
          </cell>
          <cell r="C38" t="str">
            <v/>
          </cell>
          <cell r="F38" t="str">
            <v/>
          </cell>
          <cell r="G38" t="str">
            <v/>
          </cell>
          <cell r="J38" t="str">
            <v/>
          </cell>
          <cell r="K38" t="str">
            <v/>
          </cell>
          <cell r="L38" t="str">
            <v/>
          </cell>
          <cell r="M38" t="str">
            <v/>
          </cell>
          <cell r="N38" t="str">
            <v/>
          </cell>
          <cell r="O38" t="str">
            <v/>
          </cell>
          <cell r="P38" t="str">
            <v/>
          </cell>
          <cell r="S38" t="str">
            <v/>
          </cell>
          <cell r="U38" t="str">
            <v/>
          </cell>
          <cell r="X38">
            <v>0</v>
          </cell>
          <cell r="Y38" t="str">
            <v/>
          </cell>
          <cell r="AA38">
            <v>0</v>
          </cell>
          <cell r="AB38" t="str">
            <v/>
          </cell>
          <cell r="AC38" t="str">
            <v/>
          </cell>
          <cell r="AD38" t="str">
            <v/>
          </cell>
          <cell r="AE38" t="str">
            <v/>
          </cell>
          <cell r="AF38" t="str">
            <v/>
          </cell>
          <cell r="AG38" t="str">
            <v/>
          </cell>
          <cell r="AH38" t="str">
            <v/>
          </cell>
          <cell r="AI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v>0</v>
          </cell>
          <cell r="BP38" t="str">
            <v/>
          </cell>
          <cell r="BQ38">
            <v>0</v>
          </cell>
          <cell r="BR38" t="str">
            <v/>
          </cell>
          <cell r="BS38" t="str">
            <v/>
          </cell>
          <cell r="BT38" t="str">
            <v/>
          </cell>
          <cell r="BU38" t="str">
            <v/>
          </cell>
          <cell r="BV38" t="str">
            <v/>
          </cell>
          <cell r="BW38" t="str">
            <v/>
          </cell>
          <cell r="BX38" t="str">
            <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28</v>
          </cell>
          <cell r="B39" t="str">
            <v>C05</v>
          </cell>
          <cell r="C39" t="str">
            <v>C66</v>
          </cell>
          <cell r="D39">
            <v>0.08</v>
          </cell>
          <cell r="E39">
            <v>1.48</v>
          </cell>
          <cell r="F39">
            <v>1.56</v>
          </cell>
          <cell r="G39">
            <v>5</v>
          </cell>
          <cell r="J39" t="str">
            <v/>
          </cell>
          <cell r="K39" t="str">
            <v/>
          </cell>
          <cell r="L39">
            <v>3.72</v>
          </cell>
          <cell r="M39">
            <v>3.72</v>
          </cell>
          <cell r="N39">
            <v>456.51514969634218</v>
          </cell>
          <cell r="O39">
            <v>0.63097305389221547</v>
          </cell>
          <cell r="P39">
            <v>449.35606271706217</v>
          </cell>
          <cell r="Q39">
            <v>0.08</v>
          </cell>
          <cell r="R39">
            <v>1.46</v>
          </cell>
          <cell r="S39">
            <v>1.54</v>
          </cell>
          <cell r="U39">
            <v>0</v>
          </cell>
          <cell r="V39">
            <v>0.68799999999999994</v>
          </cell>
          <cell r="X39" t="str">
            <v/>
          </cell>
          <cell r="Y39" t="str">
            <v/>
          </cell>
          <cell r="AA39" t="str">
            <v/>
          </cell>
          <cell r="AB39" t="str">
            <v/>
          </cell>
          <cell r="AC39">
            <v>0.58479999999999999</v>
          </cell>
          <cell r="AD39">
            <v>0.90059199999999995</v>
          </cell>
          <cell r="AE39">
            <v>3.357862437011466</v>
          </cell>
          <cell r="AF39">
            <v>3.357862437011466</v>
          </cell>
          <cell r="AG39">
            <v>3.5118624370114659</v>
          </cell>
          <cell r="AH39">
            <v>452.86792515407365</v>
          </cell>
          <cell r="AI39">
            <v>41.75</v>
          </cell>
          <cell r="AJ39">
            <v>4.8600000000000003</v>
          </cell>
          <cell r="AK39">
            <v>18</v>
          </cell>
          <cell r="AL39">
            <v>0.45</v>
          </cell>
          <cell r="AM39">
            <v>1.4E-2</v>
          </cell>
          <cell r="AN39">
            <v>0.33266472816467291</v>
          </cell>
          <cell r="AO39">
            <v>0.430389404296875</v>
          </cell>
          <cell r="AP39">
            <v>0.73925495147705089</v>
          </cell>
          <cell r="AQ39">
            <v>3.5926959790713959</v>
          </cell>
          <cell r="AR39">
            <v>2.0291277788693174</v>
          </cell>
          <cell r="AS39">
            <v>4.9274661047989676</v>
          </cell>
          <cell r="AT39">
            <v>0.65787280316186414</v>
          </cell>
          <cell r="AU39">
            <v>0.99053753132653699</v>
          </cell>
          <cell r="AV39">
            <v>3.6759030011368368</v>
          </cell>
          <cell r="AW39">
            <v>584.62711184880811</v>
          </cell>
          <cell r="AX39">
            <v>0.77462696473644033</v>
          </cell>
          <cell r="AY39">
            <v>168.3950695955327</v>
          </cell>
          <cell r="AZ39" t="b">
            <v>0</v>
          </cell>
          <cell r="BA39" t="str">
            <v/>
          </cell>
          <cell r="BB39">
            <v>1E-3</v>
          </cell>
          <cell r="BC39">
            <v>0</v>
          </cell>
          <cell r="BD39">
            <v>0</v>
          </cell>
          <cell r="BE39">
            <v>1E-3</v>
          </cell>
          <cell r="BF39" t="str">
            <v/>
          </cell>
          <cell r="BG39">
            <v>1.0634840016004636</v>
          </cell>
          <cell r="BH39">
            <v>2.6666666666666665</v>
          </cell>
          <cell r="BI39">
            <v>1.2</v>
          </cell>
          <cell r="BJ39" t="str">
            <v/>
          </cell>
          <cell r="BK39" t="str">
            <v/>
          </cell>
          <cell r="BL39" t="str">
            <v/>
          </cell>
          <cell r="BM39">
            <v>1.5445115658202628</v>
          </cell>
          <cell r="BN39">
            <v>0</v>
          </cell>
          <cell r="BO39">
            <v>711.08299999999986</v>
          </cell>
          <cell r="BP39">
            <v>709.05299999999988</v>
          </cell>
          <cell r="BQ39">
            <v>711.5329999999999</v>
          </cell>
          <cell r="BR39">
            <v>709.50299999999993</v>
          </cell>
          <cell r="BS39">
            <v>713.70299999999997</v>
          </cell>
          <cell r="BT39">
            <v>710.80300000000011</v>
          </cell>
          <cell r="BU39" t="b">
            <v>0</v>
          </cell>
          <cell r="BV39">
            <v>2.1700000000000728</v>
          </cell>
          <cell r="BW39">
            <v>1.3000000000001819</v>
          </cell>
          <cell r="BX39">
            <v>2.6200000000000729</v>
          </cell>
          <cell r="BY39">
            <v>450</v>
          </cell>
          <cell r="BZ39">
            <v>0.96250000000000002</v>
          </cell>
          <cell r="CA39">
            <v>0.5625</v>
          </cell>
          <cell r="CB39">
            <v>1.7350000000001273</v>
          </cell>
          <cell r="CC39">
            <v>1.4880807702715295</v>
          </cell>
          <cell r="CD39">
            <v>2894.9913847771545</v>
          </cell>
          <cell r="CE39">
            <v>8.1803329920048573E-2</v>
          </cell>
          <cell r="CF39">
            <v>674.87747184040074</v>
          </cell>
          <cell r="CG39">
            <v>3569.8688566175551</v>
          </cell>
          <cell r="CH39">
            <v>1.5</v>
          </cell>
          <cell r="CI39">
            <v>3262</v>
          </cell>
          <cell r="CJ39">
            <v>1.6415705962373797</v>
          </cell>
          <cell r="CK39">
            <v>1.9</v>
          </cell>
          <cell r="CL39">
            <v>1</v>
          </cell>
          <cell r="CM39">
            <v>2</v>
          </cell>
        </row>
        <row r="40">
          <cell r="A40">
            <v>29</v>
          </cell>
          <cell r="B40" t="str">
            <v>C66</v>
          </cell>
          <cell r="C40" t="str">
            <v>A06</v>
          </cell>
          <cell r="D40">
            <v>0.04</v>
          </cell>
          <cell r="F40">
            <v>1.6</v>
          </cell>
          <cell r="G40">
            <v>5</v>
          </cell>
          <cell r="J40" t="str">
            <v/>
          </cell>
          <cell r="K40" t="str">
            <v/>
          </cell>
          <cell r="L40">
            <v>3.72</v>
          </cell>
          <cell r="M40">
            <v>3.72</v>
          </cell>
          <cell r="N40">
            <v>456.51514969634218</v>
          </cell>
          <cell r="O40">
            <v>0.63069047619047658</v>
          </cell>
          <cell r="P40">
            <v>460.67161144024442</v>
          </cell>
          <cell r="Q40">
            <v>0.4</v>
          </cell>
          <cell r="R40">
            <v>1.65</v>
          </cell>
          <cell r="S40">
            <v>3.59</v>
          </cell>
          <cell r="U40">
            <v>0</v>
          </cell>
          <cell r="V40">
            <v>0.68799999999999994</v>
          </cell>
          <cell r="X40">
            <v>0</v>
          </cell>
          <cell r="Y40" t="str">
            <v/>
          </cell>
          <cell r="AA40">
            <v>0</v>
          </cell>
          <cell r="AB40" t="str">
            <v/>
          </cell>
          <cell r="AC40">
            <v>0.58479999999999999</v>
          </cell>
          <cell r="AD40">
            <v>2.0994319999999997</v>
          </cell>
          <cell r="AE40">
            <v>7.356876637912686</v>
          </cell>
          <cell r="AF40">
            <v>7.356876637912686</v>
          </cell>
          <cell r="AG40">
            <v>7.715876637912686</v>
          </cell>
          <cell r="AH40">
            <v>468.38748807815711</v>
          </cell>
          <cell r="AI40">
            <v>10.5</v>
          </cell>
          <cell r="AJ40">
            <v>3.9</v>
          </cell>
          <cell r="AK40">
            <v>18</v>
          </cell>
          <cell r="AL40">
            <v>0.45</v>
          </cell>
          <cell r="AM40">
            <v>1.4E-2</v>
          </cell>
          <cell r="AN40">
            <v>0.36916197538375856</v>
          </cell>
          <cell r="AO40">
            <v>0.43264160156249998</v>
          </cell>
          <cell r="AP40">
            <v>0.82035994529724121</v>
          </cell>
          <cell r="AQ40">
            <v>3.3544458814498141</v>
          </cell>
          <cell r="AR40">
            <v>1.6832257133070738</v>
          </cell>
          <cell r="AS40">
            <v>4.2789947210838051</v>
          </cell>
          <cell r="AT40">
            <v>0.57351208825563815</v>
          </cell>
          <cell r="AU40">
            <v>0.94267406363939665</v>
          </cell>
          <cell r="AV40">
            <v>3.2928974947677059</v>
          </cell>
          <cell r="AW40">
            <v>523.71271804093942</v>
          </cell>
          <cell r="AX40">
            <v>0.89435958292222062</v>
          </cell>
          <cell r="AY40">
            <v>193.63390509092622</v>
          </cell>
          <cell r="AZ40" t="str">
            <v>25°14'20''</v>
          </cell>
          <cell r="BA40">
            <v>5.9555090167450695</v>
          </cell>
          <cell r="BB40">
            <v>1E-3</v>
          </cell>
          <cell r="BC40">
            <v>1.7000000000000001E-2</v>
          </cell>
          <cell r="BD40">
            <v>0.246</v>
          </cell>
          <cell r="BE40">
            <v>0.26400000000000001</v>
          </cell>
          <cell r="BF40">
            <v>0.26300000000000001</v>
          </cell>
          <cell r="BG40">
            <v>1.0999290796571159</v>
          </cell>
          <cell r="BH40">
            <v>2.6666666666666665</v>
          </cell>
          <cell r="BI40">
            <v>1.2</v>
          </cell>
          <cell r="BJ40" t="str">
            <v/>
          </cell>
          <cell r="BK40" t="str">
            <v/>
          </cell>
          <cell r="BL40" t="str">
            <v/>
          </cell>
          <cell r="BM40">
            <v>1.6258330812559965</v>
          </cell>
          <cell r="BN40">
            <v>1.29</v>
          </cell>
          <cell r="BO40">
            <v>708.01299999999992</v>
          </cell>
          <cell r="BP40">
            <v>707.60299999999995</v>
          </cell>
          <cell r="BQ40">
            <v>708.46299999999997</v>
          </cell>
          <cell r="BR40">
            <v>708.053</v>
          </cell>
          <cell r="BS40">
            <v>710.80300000000011</v>
          </cell>
          <cell r="BT40">
            <v>710.13300000000004</v>
          </cell>
          <cell r="BU40">
            <v>1.0399999999999636</v>
          </cell>
          <cell r="BV40">
            <v>2.3400000000001455</v>
          </cell>
          <cell r="BW40">
            <v>2.0800000000000409</v>
          </cell>
          <cell r="BX40">
            <v>2.7900000000001457</v>
          </cell>
          <cell r="BY40">
            <v>450</v>
          </cell>
          <cell r="BZ40">
            <v>0.96250000000000002</v>
          </cell>
          <cell r="CA40">
            <v>0.5625</v>
          </cell>
          <cell r="CB40">
            <v>2.2100000000000932</v>
          </cell>
          <cell r="CC40">
            <v>1.8026392431693148</v>
          </cell>
          <cell r="CD40">
            <v>3506.9501488713786</v>
          </cell>
          <cell r="CE40">
            <v>5.2074181051889878E-2</v>
          </cell>
          <cell r="CF40">
            <v>429.61199367809149</v>
          </cell>
          <cell r="CG40">
            <v>3936.5621425494701</v>
          </cell>
          <cell r="CH40">
            <v>1.5</v>
          </cell>
          <cell r="CI40">
            <v>3262</v>
          </cell>
          <cell r="CJ40">
            <v>1.8101910526744958</v>
          </cell>
          <cell r="CK40">
            <v>1.9</v>
          </cell>
          <cell r="CL40">
            <v>1</v>
          </cell>
          <cell r="CM40">
            <v>2</v>
          </cell>
        </row>
        <row r="41">
          <cell r="A41">
            <v>30</v>
          </cell>
          <cell r="C41" t="str">
            <v/>
          </cell>
          <cell r="F41" t="str">
            <v/>
          </cell>
          <cell r="G41" t="str">
            <v/>
          </cell>
          <cell r="J41" t="str">
            <v/>
          </cell>
          <cell r="K41" t="str">
            <v/>
          </cell>
          <cell r="L41" t="str">
            <v/>
          </cell>
          <cell r="M41" t="str">
            <v/>
          </cell>
          <cell r="N41" t="str">
            <v/>
          </cell>
          <cell r="O41" t="str">
            <v/>
          </cell>
          <cell r="P41" t="str">
            <v/>
          </cell>
          <cell r="S41" t="str">
            <v/>
          </cell>
          <cell r="U41" t="str">
            <v/>
          </cell>
          <cell r="X41">
            <v>0</v>
          </cell>
          <cell r="Y41" t="str">
            <v/>
          </cell>
          <cell r="AA41">
            <v>0</v>
          </cell>
          <cell r="AB41" t="str">
            <v/>
          </cell>
          <cell r="AC41" t="str">
            <v/>
          </cell>
          <cell r="AD41" t="str">
            <v/>
          </cell>
          <cell r="AE41" t="str">
            <v/>
          </cell>
          <cell r="AF41" t="str">
            <v/>
          </cell>
          <cell r="AG41" t="str">
            <v/>
          </cell>
          <cell r="AH41" t="str">
            <v/>
          </cell>
          <cell r="AI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v>707.60299999999995</v>
          </cell>
          <cell r="BP41" t="str">
            <v/>
          </cell>
          <cell r="BQ41">
            <v>707.60299999999995</v>
          </cell>
          <cell r="BR41" t="str">
            <v/>
          </cell>
          <cell r="BS41" t="str">
            <v/>
          </cell>
          <cell r="BT41" t="str">
            <v/>
          </cell>
          <cell r="BU41" t="str">
            <v/>
          </cell>
          <cell r="BV41" t="str">
            <v/>
          </cell>
          <cell r="BW41" t="str">
            <v/>
          </cell>
          <cell r="BX41" t="str">
            <v/>
          </cell>
          <cell r="BY41">
            <v>0</v>
          </cell>
          <cell r="BZ41">
            <v>0.4</v>
          </cell>
          <cell r="CA41">
            <v>0</v>
          </cell>
          <cell r="CB41">
            <v>0</v>
          </cell>
          <cell r="CC41">
            <v>0</v>
          </cell>
          <cell r="CD41">
            <v>0</v>
          </cell>
          <cell r="CE41" t="e">
            <v>#VALUE!</v>
          </cell>
          <cell r="CF41" t="e">
            <v>#VALUE!</v>
          </cell>
          <cell r="CG41" t="e">
            <v>#VALUE!</v>
          </cell>
          <cell r="CH41">
            <v>1.5</v>
          </cell>
          <cell r="CI41" t="e">
            <v>#VALUE!</v>
          </cell>
          <cell r="CJ41" t="e">
            <v>#VALUE!</v>
          </cell>
          <cell r="CK41" t="e">
            <v>#VALUE!</v>
          </cell>
          <cell r="CL41">
            <v>2</v>
          </cell>
          <cell r="CM41">
            <v>2</v>
          </cell>
        </row>
        <row r="42">
          <cell r="A42">
            <v>31</v>
          </cell>
          <cell r="B42" t="str">
            <v>C17</v>
          </cell>
          <cell r="C42" t="str">
            <v>C63</v>
          </cell>
          <cell r="D42">
            <v>0.09</v>
          </cell>
          <cell r="F42">
            <v>0.44</v>
          </cell>
          <cell r="G42">
            <v>5</v>
          </cell>
          <cell r="J42" t="str">
            <v/>
          </cell>
          <cell r="K42" t="str">
            <v/>
          </cell>
          <cell r="L42">
            <v>4.6541116427098697</v>
          </cell>
          <cell r="M42">
            <v>4.6541116427098697</v>
          </cell>
          <cell r="N42">
            <v>437.8905648792479</v>
          </cell>
          <cell r="O42">
            <v>0.6266236233907243</v>
          </cell>
          <cell r="P42">
            <v>120.73273186182797</v>
          </cell>
          <cell r="Q42">
            <v>0.09</v>
          </cell>
          <cell r="S42">
            <v>12.92</v>
          </cell>
          <cell r="U42">
            <v>0</v>
          </cell>
          <cell r="V42">
            <v>0.68799999999999994</v>
          </cell>
          <cell r="X42" t="str">
            <v/>
          </cell>
          <cell r="Y42" t="str">
            <v/>
          </cell>
          <cell r="AA42" t="str">
            <v/>
          </cell>
          <cell r="AB42" t="str">
            <v/>
          </cell>
          <cell r="AC42">
            <v>0.58479999999999999</v>
          </cell>
          <cell r="AD42">
            <v>7.5556159999999997</v>
          </cell>
          <cell r="AE42">
            <v>24.104294214297553</v>
          </cell>
          <cell r="AF42">
            <v>24.104294214297553</v>
          </cell>
          <cell r="AG42">
            <v>25.396294214297555</v>
          </cell>
          <cell r="AH42">
            <v>146.12902607612551</v>
          </cell>
          <cell r="AI42">
            <v>61.17</v>
          </cell>
          <cell r="AJ42">
            <v>0.38</v>
          </cell>
          <cell r="AK42">
            <v>18</v>
          </cell>
          <cell r="AL42">
            <v>0.45</v>
          </cell>
          <cell r="AM42">
            <v>1.4E-2</v>
          </cell>
          <cell r="AN42">
            <v>0.36901016235351564</v>
          </cell>
          <cell r="AO42">
            <v>0.26806640625</v>
          </cell>
          <cell r="AP42">
            <v>0.8200225830078125</v>
          </cell>
          <cell r="AQ42">
            <v>1.0469238242441505</v>
          </cell>
          <cell r="AR42">
            <v>0.52562657530616341</v>
          </cell>
          <cell r="AS42">
            <v>0.41680087223403262</v>
          </cell>
          <cell r="AT42">
            <v>5.5863888571355602E-2</v>
          </cell>
          <cell r="AU42">
            <v>0.42487405092487124</v>
          </cell>
          <cell r="AV42">
            <v>1.0278688540258512</v>
          </cell>
          <cell r="AW42">
            <v>163.47547780848203</v>
          </cell>
          <cell r="AX42">
            <v>0.89388957925127732</v>
          </cell>
          <cell r="AY42">
            <v>210.18024341199273</v>
          </cell>
          <cell r="AZ42" t="b">
            <v>0</v>
          </cell>
          <cell r="BA42" t="str">
            <v/>
          </cell>
          <cell r="BB42">
            <v>1E-3</v>
          </cell>
          <cell r="BC42">
            <v>0</v>
          </cell>
          <cell r="BD42">
            <v>0</v>
          </cell>
          <cell r="BE42">
            <v>1E-3</v>
          </cell>
          <cell r="BF42" t="str">
            <v/>
          </cell>
          <cell r="BG42">
            <v>0.34315939100466131</v>
          </cell>
          <cell r="BH42">
            <v>2.6666666666666665</v>
          </cell>
          <cell r="BI42">
            <v>1.2</v>
          </cell>
          <cell r="BJ42">
            <v>4.2089160445659177E-2</v>
          </cell>
          <cell r="BK42">
            <v>0.31015556669565919</v>
          </cell>
          <cell r="BL42">
            <v>1.5244101460617601E-2</v>
          </cell>
          <cell r="BM42">
            <v>0.39047960178753216</v>
          </cell>
          <cell r="BN42">
            <v>0</v>
          </cell>
          <cell r="BO42">
            <v>681.38300000000027</v>
          </cell>
          <cell r="BP42">
            <v>681.15300000000025</v>
          </cell>
          <cell r="BQ42">
            <v>681.83300000000031</v>
          </cell>
          <cell r="BR42">
            <v>681.60300000000029</v>
          </cell>
          <cell r="BS42">
            <v>683.44299999999998</v>
          </cell>
          <cell r="BT42">
            <v>684.70299999999997</v>
          </cell>
          <cell r="BU42" t="b">
            <v>0</v>
          </cell>
          <cell r="BV42">
            <v>1.6099999999996726</v>
          </cell>
          <cell r="BW42">
            <v>3.0999999999996817</v>
          </cell>
          <cell r="BX42">
            <v>2.0599999999996728</v>
          </cell>
          <cell r="BY42">
            <v>450</v>
          </cell>
          <cell r="BZ42">
            <v>0.96250000000000002</v>
          </cell>
          <cell r="CA42">
            <v>0.5625</v>
          </cell>
          <cell r="CB42">
            <v>2.3549999999996771</v>
          </cell>
          <cell r="CC42">
            <v>1.8920540629510763</v>
          </cell>
          <cell r="CD42">
            <v>3680.9024894371182</v>
          </cell>
          <cell r="CE42">
            <v>4.6150322958460999E-2</v>
          </cell>
          <cell r="CF42">
            <v>380.74016440730321</v>
          </cell>
          <cell r="CG42">
            <v>4061.6426538444216</v>
          </cell>
          <cell r="CH42">
            <v>1.5</v>
          </cell>
          <cell r="CI42">
            <v>4487</v>
          </cell>
          <cell r="CJ42">
            <v>1.3578034278508206</v>
          </cell>
          <cell r="CK42">
            <v>1.5</v>
          </cell>
          <cell r="CL42">
            <v>2</v>
          </cell>
          <cell r="CM42">
            <v>2</v>
          </cell>
        </row>
        <row r="43">
          <cell r="A43">
            <v>32</v>
          </cell>
          <cell r="B43" t="str">
            <v>C63</v>
          </cell>
          <cell r="C43" t="str">
            <v>C18</v>
          </cell>
          <cell r="F43">
            <v>0.44</v>
          </cell>
          <cell r="G43">
            <v>5</v>
          </cell>
          <cell r="J43" t="str">
            <v/>
          </cell>
          <cell r="K43" t="str">
            <v/>
          </cell>
          <cell r="L43">
            <v>4.6541116427098697</v>
          </cell>
          <cell r="M43">
            <v>4.6541116427098697</v>
          </cell>
          <cell r="N43">
            <v>437.8905648792479</v>
          </cell>
          <cell r="O43">
            <v>0.62915394402035474</v>
          </cell>
          <cell r="P43">
            <v>120.73273186182797</v>
          </cell>
          <cell r="S43">
            <v>12.92</v>
          </cell>
          <cell r="U43">
            <v>0</v>
          </cell>
          <cell r="X43">
            <v>0</v>
          </cell>
          <cell r="Y43" t="str">
            <v/>
          </cell>
          <cell r="AA43">
            <v>0</v>
          </cell>
          <cell r="AB43" t="str">
            <v/>
          </cell>
          <cell r="AC43">
            <v>0</v>
          </cell>
          <cell r="AD43">
            <v>7.5556159999999997</v>
          </cell>
          <cell r="AE43">
            <v>24.104294214297553</v>
          </cell>
          <cell r="AF43">
            <v>24.104294214297553</v>
          </cell>
          <cell r="AG43">
            <v>25.396294214297555</v>
          </cell>
          <cell r="AH43">
            <v>146.12902607612551</v>
          </cell>
          <cell r="AI43">
            <v>3.93</v>
          </cell>
          <cell r="AJ43">
            <v>0.38</v>
          </cell>
          <cell r="AK43">
            <v>18</v>
          </cell>
          <cell r="AL43">
            <v>0.45</v>
          </cell>
          <cell r="AM43">
            <v>1.4E-2</v>
          </cell>
          <cell r="AN43">
            <v>0.36901016235351564</v>
          </cell>
          <cell r="AO43">
            <v>0.26806640625</v>
          </cell>
          <cell r="AP43">
            <v>0.8200225830078125</v>
          </cell>
          <cell r="AQ43">
            <v>1.0469238242441505</v>
          </cell>
          <cell r="AR43">
            <v>0.52562657530616341</v>
          </cell>
          <cell r="AS43">
            <v>0.41680087223403262</v>
          </cell>
          <cell r="AT43">
            <v>5.5863888571355602E-2</v>
          </cell>
          <cell r="AU43">
            <v>0.42487405092487124</v>
          </cell>
          <cell r="AV43">
            <v>1.0278688540258512</v>
          </cell>
          <cell r="AW43">
            <v>163.47547780848203</v>
          </cell>
          <cell r="AX43">
            <v>0.89388957925127732</v>
          </cell>
          <cell r="AY43">
            <v>176.46914278751129</v>
          </cell>
          <cell r="AZ43" t="str">
            <v>33°42'40''</v>
          </cell>
          <cell r="BA43">
            <v>4.4007882766342536</v>
          </cell>
          <cell r="BB43">
            <v>0</v>
          </cell>
          <cell r="BC43" t="str">
            <v/>
          </cell>
          <cell r="BD43" t="str">
            <v/>
          </cell>
          <cell r="BE43" t="str">
            <v/>
          </cell>
          <cell r="BF43">
            <v>0</v>
          </cell>
          <cell r="BG43">
            <v>0.34315939100466131</v>
          </cell>
          <cell r="BH43">
            <v>2.6666666666666665</v>
          </cell>
          <cell r="BI43">
            <v>1.2</v>
          </cell>
          <cell r="BJ43">
            <v>4.2089160445659177E-2</v>
          </cell>
          <cell r="BK43">
            <v>0.31015556669565919</v>
          </cell>
          <cell r="BL43">
            <v>1.5244101460617601E-2</v>
          </cell>
          <cell r="BM43">
            <v>0.39047960178753216</v>
          </cell>
          <cell r="BN43">
            <v>0.02</v>
          </cell>
          <cell r="BO43">
            <v>681.13300000000027</v>
          </cell>
          <cell r="BP43">
            <v>681.12300000000027</v>
          </cell>
          <cell r="BQ43">
            <v>681.58300000000031</v>
          </cell>
          <cell r="BR43">
            <v>681.57300000000032</v>
          </cell>
          <cell r="BS43">
            <v>684.70299999999997</v>
          </cell>
          <cell r="BT43">
            <v>684.57300000000009</v>
          </cell>
          <cell r="BU43" t="str">
            <v/>
          </cell>
          <cell r="BV43">
            <v>3.1199999999996635</v>
          </cell>
          <cell r="BW43">
            <v>2.9999999999997726</v>
          </cell>
          <cell r="BX43">
            <v>3.5699999999996637</v>
          </cell>
          <cell r="BY43">
            <v>450</v>
          </cell>
          <cell r="BZ43">
            <v>0.96250000000000002</v>
          </cell>
          <cell r="CA43">
            <v>0.5625</v>
          </cell>
          <cell r="CB43">
            <v>3.0599999999997181</v>
          </cell>
          <cell r="CC43">
            <v>2.2869584185782901</v>
          </cell>
          <cell r="CD43">
            <v>4449.1704021681926</v>
          </cell>
          <cell r="CE43">
            <v>2.786784652648655E-2</v>
          </cell>
          <cell r="CF43">
            <v>229.90973384351403</v>
          </cell>
          <cell r="CG43">
            <v>4679.0801360117066</v>
          </cell>
          <cell r="CH43">
            <v>1.5</v>
          </cell>
          <cell r="CI43">
            <v>4487</v>
          </cell>
          <cell r="CJ43">
            <v>1.5642122139553285</v>
          </cell>
          <cell r="CK43">
            <v>1.9</v>
          </cell>
          <cell r="CL43">
            <v>2</v>
          </cell>
          <cell r="CM43">
            <v>2</v>
          </cell>
        </row>
        <row r="44">
          <cell r="A44">
            <v>33</v>
          </cell>
          <cell r="F44" t="str">
            <v/>
          </cell>
          <cell r="G44" t="str">
            <v/>
          </cell>
          <cell r="J44" t="str">
            <v/>
          </cell>
          <cell r="K44" t="str">
            <v/>
          </cell>
          <cell r="L44" t="str">
            <v/>
          </cell>
          <cell r="M44" t="str">
            <v/>
          </cell>
          <cell r="N44" t="str">
            <v/>
          </cell>
          <cell r="O44" t="str">
            <v/>
          </cell>
          <cell r="P44" t="str">
            <v/>
          </cell>
          <cell r="S44" t="str">
            <v/>
          </cell>
          <cell r="U44" t="str">
            <v/>
          </cell>
          <cell r="X44">
            <v>0</v>
          </cell>
          <cell r="Y44" t="str">
            <v/>
          </cell>
          <cell r="AA44">
            <v>0</v>
          </cell>
          <cell r="AB44" t="str">
            <v/>
          </cell>
          <cell r="AC44" t="str">
            <v/>
          </cell>
          <cell r="AD44" t="str">
            <v/>
          </cell>
          <cell r="AE44" t="str">
            <v/>
          </cell>
          <cell r="AF44" t="str">
            <v/>
          </cell>
          <cell r="AG44" t="str">
            <v/>
          </cell>
          <cell r="AH44" t="str">
            <v/>
          </cell>
          <cell r="AI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v>681.12300000000027</v>
          </cell>
          <cell r="BP44" t="str">
            <v/>
          </cell>
          <cell r="BQ44">
            <v>681.12300000000027</v>
          </cell>
          <cell r="BR44" t="str">
            <v/>
          </cell>
          <cell r="BS44" t="str">
            <v/>
          </cell>
          <cell r="BT44" t="str">
            <v/>
          </cell>
          <cell r="BU44" t="str">
            <v/>
          </cell>
          <cell r="BV44" t="str">
            <v/>
          </cell>
          <cell r="BW44" t="str">
            <v/>
          </cell>
          <cell r="BX44" t="str">
            <v/>
          </cell>
          <cell r="BY44">
            <v>0</v>
          </cell>
          <cell r="BZ44">
            <v>0.4</v>
          </cell>
          <cell r="CA44">
            <v>0</v>
          </cell>
          <cell r="CB44">
            <v>0</v>
          </cell>
          <cell r="CC44">
            <v>0</v>
          </cell>
          <cell r="CD44">
            <v>0</v>
          </cell>
          <cell r="CE44" t="e">
            <v>#VALUE!</v>
          </cell>
          <cell r="CF44" t="e">
            <v>#VALUE!</v>
          </cell>
          <cell r="CG44" t="e">
            <v>#VALUE!</v>
          </cell>
          <cell r="CH44">
            <v>1.5</v>
          </cell>
          <cell r="CI44" t="e">
            <v>#VALUE!</v>
          </cell>
          <cell r="CJ44" t="e">
            <v>#VALUE!</v>
          </cell>
          <cell r="CK44" t="e">
            <v>#VALUE!</v>
          </cell>
          <cell r="CL44">
            <v>2</v>
          </cell>
          <cell r="CM44">
            <v>2</v>
          </cell>
        </row>
        <row r="45">
          <cell r="A45">
            <v>34</v>
          </cell>
          <cell r="F45" t="str">
            <v/>
          </cell>
          <cell r="G45" t="str">
            <v/>
          </cell>
          <cell r="J45" t="str">
            <v/>
          </cell>
          <cell r="K45" t="str">
            <v/>
          </cell>
          <cell r="L45" t="str">
            <v/>
          </cell>
          <cell r="M45" t="str">
            <v/>
          </cell>
          <cell r="N45" t="str">
            <v/>
          </cell>
          <cell r="O45" t="str">
            <v/>
          </cell>
          <cell r="P45" t="str">
            <v/>
          </cell>
          <cell r="S45" t="str">
            <v/>
          </cell>
          <cell r="U45" t="str">
            <v/>
          </cell>
          <cell r="X45">
            <v>0</v>
          </cell>
          <cell r="Y45" t="str">
            <v/>
          </cell>
          <cell r="AA45">
            <v>0</v>
          </cell>
          <cell r="AB45" t="str">
            <v/>
          </cell>
          <cell r="AC45" t="str">
            <v/>
          </cell>
          <cell r="AD45" t="str">
            <v/>
          </cell>
          <cell r="AE45" t="str">
            <v/>
          </cell>
          <cell r="AF45" t="str">
            <v/>
          </cell>
          <cell r="AG45" t="str">
            <v/>
          </cell>
          <cell r="AH45" t="str">
            <v/>
          </cell>
          <cell r="AI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v>0</v>
          </cell>
          <cell r="BP45" t="str">
            <v/>
          </cell>
          <cell r="BQ45">
            <v>0</v>
          </cell>
          <cell r="BR45" t="str">
            <v/>
          </cell>
          <cell r="BS45" t="str">
            <v/>
          </cell>
          <cell r="BT45" t="str">
            <v/>
          </cell>
          <cell r="BU45" t="str">
            <v/>
          </cell>
          <cell r="BV45" t="str">
            <v/>
          </cell>
          <cell r="BW45" t="str">
            <v/>
          </cell>
          <cell r="BX45" t="str">
            <v/>
          </cell>
          <cell r="BY45">
            <v>0</v>
          </cell>
          <cell r="BZ45">
            <v>0.4</v>
          </cell>
          <cell r="CA45">
            <v>0</v>
          </cell>
          <cell r="CB45">
            <v>0</v>
          </cell>
          <cell r="CC45">
            <v>0</v>
          </cell>
          <cell r="CD45">
            <v>0</v>
          </cell>
          <cell r="CE45" t="e">
            <v>#VALUE!</v>
          </cell>
          <cell r="CF45" t="e">
            <v>#VALUE!</v>
          </cell>
          <cell r="CG45" t="e">
            <v>#VALUE!</v>
          </cell>
          <cell r="CH45">
            <v>1.5</v>
          </cell>
          <cell r="CI45" t="e">
            <v>#VALUE!</v>
          </cell>
          <cell r="CJ45" t="e">
            <v>#VALUE!</v>
          </cell>
          <cell r="CK45" t="e">
            <v>#VALUE!</v>
          </cell>
          <cell r="CL45">
            <v>2</v>
          </cell>
          <cell r="CM45">
            <v>2</v>
          </cell>
        </row>
        <row r="46">
          <cell r="A46">
            <v>35</v>
          </cell>
          <cell r="F46" t="str">
            <v/>
          </cell>
          <cell r="G46" t="str">
            <v/>
          </cell>
          <cell r="J46" t="str">
            <v/>
          </cell>
          <cell r="K46" t="str">
            <v/>
          </cell>
          <cell r="L46" t="str">
            <v/>
          </cell>
          <cell r="M46" t="str">
            <v/>
          </cell>
          <cell r="N46" t="str">
            <v/>
          </cell>
          <cell r="O46" t="str">
            <v/>
          </cell>
          <cell r="P46" t="str">
            <v/>
          </cell>
          <cell r="S46" t="str">
            <v/>
          </cell>
          <cell r="U46" t="str">
            <v/>
          </cell>
          <cell r="X46">
            <v>0</v>
          </cell>
          <cell r="Y46" t="str">
            <v/>
          </cell>
          <cell r="AA46">
            <v>0</v>
          </cell>
          <cell r="AB46" t="str">
            <v/>
          </cell>
          <cell r="AC46" t="str">
            <v/>
          </cell>
          <cell r="AD46" t="str">
            <v/>
          </cell>
          <cell r="AE46" t="str">
            <v/>
          </cell>
          <cell r="AF46" t="str">
            <v/>
          </cell>
          <cell r="AG46" t="str">
            <v/>
          </cell>
          <cell r="AH46" t="str">
            <v/>
          </cell>
          <cell r="AI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v>0</v>
          </cell>
          <cell r="BP46" t="str">
            <v/>
          </cell>
          <cell r="BQ46">
            <v>0</v>
          </cell>
          <cell r="BR46" t="str">
            <v/>
          </cell>
          <cell r="BS46" t="str">
            <v/>
          </cell>
          <cell r="BT46" t="str">
            <v/>
          </cell>
          <cell r="BU46" t="str">
            <v/>
          </cell>
          <cell r="BV46" t="str">
            <v/>
          </cell>
          <cell r="BW46" t="str">
            <v/>
          </cell>
          <cell r="BX46" t="str">
            <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36</v>
          </cell>
          <cell r="F47" t="str">
            <v/>
          </cell>
          <cell r="G47" t="str">
            <v/>
          </cell>
          <cell r="J47" t="str">
            <v/>
          </cell>
          <cell r="L47" t="str">
            <v/>
          </cell>
          <cell r="M47" t="str">
            <v/>
          </cell>
          <cell r="N47" t="str">
            <v/>
          </cell>
          <cell r="O47" t="str">
            <v/>
          </cell>
          <cell r="P47" t="str">
            <v/>
          </cell>
          <cell r="S47" t="str">
            <v/>
          </cell>
          <cell r="U47" t="str">
            <v/>
          </cell>
          <cell r="X47">
            <v>0</v>
          </cell>
          <cell r="Y47" t="str">
            <v/>
          </cell>
          <cell r="AA47">
            <v>0</v>
          </cell>
          <cell r="AB47" t="str">
            <v/>
          </cell>
          <cell r="AC47" t="str">
            <v/>
          </cell>
          <cell r="AD47" t="str">
            <v/>
          </cell>
          <cell r="AE47" t="str">
            <v/>
          </cell>
          <cell r="AF47" t="str">
            <v/>
          </cell>
          <cell r="AG47" t="str">
            <v/>
          </cell>
          <cell r="AH47" t="str">
            <v/>
          </cell>
          <cell r="AI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v>0</v>
          </cell>
          <cell r="BP47" t="str">
            <v/>
          </cell>
          <cell r="BQ47">
            <v>0</v>
          </cell>
          <cell r="BR47" t="str">
            <v/>
          </cell>
          <cell r="BS47" t="str">
            <v/>
          </cell>
          <cell r="BT47" t="str">
            <v/>
          </cell>
          <cell r="BU47" t="str">
            <v/>
          </cell>
          <cell r="BV47" t="str">
            <v/>
          </cell>
          <cell r="BW47" t="str">
            <v/>
          </cell>
          <cell r="BX47" t="str">
            <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37</v>
          </cell>
          <cell r="B48">
            <v>0</v>
          </cell>
          <cell r="C48">
            <v>0</v>
          </cell>
          <cell r="D48" t="b">
            <v>1</v>
          </cell>
          <cell r="E48">
            <v>0</v>
          </cell>
          <cell r="F48" t="str">
            <v/>
          </cell>
          <cell r="G48" t="str">
            <v/>
          </cell>
          <cell r="H48" t="b">
            <v>0</v>
          </cell>
          <cell r="I48">
            <v>0</v>
          </cell>
          <cell r="J48" t="str">
            <v/>
          </cell>
          <cell r="K48">
            <v>0</v>
          </cell>
          <cell r="L48" t="str">
            <v/>
          </cell>
          <cell r="M48" t="str">
            <v/>
          </cell>
          <cell r="N48" t="str">
            <v/>
          </cell>
          <cell r="O48" t="str">
            <v/>
          </cell>
          <cell r="P48" t="str">
            <v/>
          </cell>
          <cell r="Q48">
            <v>0</v>
          </cell>
          <cell r="R48" t="b">
            <v>1</v>
          </cell>
          <cell r="S48" t="str">
            <v/>
          </cell>
          <cell r="T48">
            <v>0</v>
          </cell>
          <cell r="U48" t="str">
            <v/>
          </cell>
          <cell r="V48">
            <v>0</v>
          </cell>
          <cell r="W48">
            <v>0</v>
          </cell>
          <cell r="X48">
            <v>0</v>
          </cell>
          <cell r="Y48" t="str">
            <v/>
          </cell>
          <cell r="Z48" t="b">
            <v>1</v>
          </cell>
          <cell r="AA48">
            <v>0</v>
          </cell>
          <cell r="AB48" t="str">
            <v/>
          </cell>
          <cell r="AC48" t="str">
            <v/>
          </cell>
          <cell r="AD48" t="str">
            <v/>
          </cell>
          <cell r="AE48" t="str">
            <v/>
          </cell>
          <cell r="AF48" t="str">
            <v/>
          </cell>
          <cell r="AG48" t="str">
            <v/>
          </cell>
          <cell r="AH48" t="str">
            <v/>
          </cell>
          <cell r="AI48" t="str">
            <v/>
          </cell>
          <cell r="AJ48">
            <v>4.170511198008438E-67</v>
          </cell>
          <cell r="AK48" t="str">
            <v>M. DE O. PREPARACIÓN MEZCLAS</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v>0</v>
          </cell>
          <cell r="BP48" t="str">
            <v/>
          </cell>
          <cell r="BQ48">
            <v>0</v>
          </cell>
          <cell r="BR48" t="str">
            <v/>
          </cell>
          <cell r="BS48" t="str">
            <v/>
          </cell>
          <cell r="BT48" t="str">
            <v/>
          </cell>
          <cell r="BU48" t="str">
            <v/>
          </cell>
          <cell r="BV48" t="str">
            <v/>
          </cell>
          <cell r="BW48" t="str">
            <v/>
          </cell>
          <cell r="BX48" t="str">
            <v/>
          </cell>
          <cell r="BY48">
            <v>0</v>
          </cell>
          <cell r="BZ48">
            <v>0.4</v>
          </cell>
          <cell r="CA48">
            <v>0</v>
          </cell>
          <cell r="CB48">
            <v>0</v>
          </cell>
          <cell r="CC48">
            <v>0</v>
          </cell>
          <cell r="CD48">
            <v>0</v>
          </cell>
          <cell r="CE48" t="e">
            <v>#VALUE!</v>
          </cell>
          <cell r="CF48" t="e">
            <v>#VALUE!</v>
          </cell>
          <cell r="CG48" t="e">
            <v>#VALUE!</v>
          </cell>
          <cell r="CH48">
            <v>1.3</v>
          </cell>
          <cell r="CI48" t="e">
            <v>#VALUE!</v>
          </cell>
          <cell r="CJ48" t="e">
            <v>#VALUE!</v>
          </cell>
          <cell r="CK48" t="e">
            <v>#VALUE!</v>
          </cell>
          <cell r="CL48">
            <v>1</v>
          </cell>
          <cell r="CM48">
            <v>4</v>
          </cell>
        </row>
        <row r="49">
          <cell r="A49">
            <v>38</v>
          </cell>
          <cell r="F49" t="str">
            <v/>
          </cell>
          <cell r="G49" t="str">
            <v/>
          </cell>
          <cell r="J49" t="str">
            <v/>
          </cell>
          <cell r="L49" t="str">
            <v/>
          </cell>
          <cell r="M49" t="str">
            <v/>
          </cell>
          <cell r="N49" t="str">
            <v/>
          </cell>
          <cell r="O49" t="str">
            <v/>
          </cell>
          <cell r="P49" t="str">
            <v/>
          </cell>
          <cell r="S49" t="str">
            <v/>
          </cell>
          <cell r="U49" t="str">
            <v/>
          </cell>
          <cell r="X49">
            <v>0</v>
          </cell>
          <cell r="Y49" t="str">
            <v/>
          </cell>
          <cell r="AA49">
            <v>0</v>
          </cell>
          <cell r="AB49" t="str">
            <v/>
          </cell>
          <cell r="AC49" t="str">
            <v/>
          </cell>
          <cell r="AD49" t="str">
            <v/>
          </cell>
          <cell r="AE49" t="str">
            <v/>
          </cell>
          <cell r="AF49" t="str">
            <v/>
          </cell>
          <cell r="AG49" t="str">
            <v/>
          </cell>
          <cell r="AH49" t="str">
            <v/>
          </cell>
          <cell r="AI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v>0</v>
          </cell>
          <cell r="BP49" t="str">
            <v/>
          </cell>
          <cell r="BQ49">
            <v>0</v>
          </cell>
          <cell r="BR49" t="str">
            <v/>
          </cell>
          <cell r="BS49" t="str">
            <v/>
          </cell>
          <cell r="BT49" t="str">
            <v/>
          </cell>
          <cell r="BU49" t="str">
            <v/>
          </cell>
          <cell r="BV49" t="str">
            <v/>
          </cell>
          <cell r="BW49" t="str">
            <v/>
          </cell>
          <cell r="BX49" t="str">
            <v/>
          </cell>
          <cell r="BY49">
            <v>0</v>
          </cell>
          <cell r="BZ49">
            <v>0.4</v>
          </cell>
          <cell r="CA49">
            <v>0</v>
          </cell>
          <cell r="CB49">
            <v>0</v>
          </cell>
          <cell r="CC49">
            <v>0</v>
          </cell>
          <cell r="CD49">
            <v>0</v>
          </cell>
          <cell r="CE49" t="e">
            <v>#VALUE!</v>
          </cell>
          <cell r="CF49" t="e">
            <v>#VALUE!</v>
          </cell>
          <cell r="CG49" t="e">
            <v>#VALUE!</v>
          </cell>
          <cell r="CH49">
            <v>1.3</v>
          </cell>
          <cell r="CI49" t="e">
            <v>#VALUE!</v>
          </cell>
          <cell r="CJ49" t="e">
            <v>#VALUE!</v>
          </cell>
          <cell r="CK49" t="e">
            <v>#VALUE!</v>
          </cell>
          <cell r="CL49">
            <v>1</v>
          </cell>
          <cell r="CM49">
            <v>4</v>
          </cell>
        </row>
        <row r="50">
          <cell r="A50">
            <v>39</v>
          </cell>
          <cell r="F50" t="str">
            <v/>
          </cell>
          <cell r="G50" t="str">
            <v/>
          </cell>
          <cell r="J50" t="str">
            <v/>
          </cell>
          <cell r="L50" t="str">
            <v/>
          </cell>
          <cell r="M50" t="str">
            <v/>
          </cell>
          <cell r="N50" t="str">
            <v/>
          </cell>
          <cell r="O50" t="str">
            <v/>
          </cell>
          <cell r="P50" t="str">
            <v/>
          </cell>
          <cell r="S50" t="str">
            <v/>
          </cell>
          <cell r="U50" t="str">
            <v/>
          </cell>
          <cell r="X50">
            <v>0</v>
          </cell>
          <cell r="Y50" t="str">
            <v/>
          </cell>
          <cell r="AA50">
            <v>0</v>
          </cell>
          <cell r="AB50" t="str">
            <v/>
          </cell>
          <cell r="AC50" t="str">
            <v/>
          </cell>
          <cell r="AD50" t="str">
            <v/>
          </cell>
          <cell r="AE50" t="str">
            <v/>
          </cell>
          <cell r="AF50" t="str">
            <v/>
          </cell>
          <cell r="AG50" t="str">
            <v/>
          </cell>
          <cell r="AH50" t="str">
            <v/>
          </cell>
          <cell r="AI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v>0</v>
          </cell>
          <cell r="BP50" t="str">
            <v/>
          </cell>
          <cell r="BQ50">
            <v>0</v>
          </cell>
          <cell r="BR50" t="str">
            <v/>
          </cell>
          <cell r="BS50" t="str">
            <v/>
          </cell>
          <cell r="BT50" t="str">
            <v/>
          </cell>
          <cell r="BU50" t="str">
            <v/>
          </cell>
          <cell r="BV50" t="str">
            <v/>
          </cell>
          <cell r="BW50" t="str">
            <v/>
          </cell>
          <cell r="BX50" t="str">
            <v/>
          </cell>
          <cell r="BY50">
            <v>0</v>
          </cell>
          <cell r="BZ50">
            <v>0.4</v>
          </cell>
          <cell r="CA50">
            <v>0</v>
          </cell>
          <cell r="CB50">
            <v>0</v>
          </cell>
          <cell r="CC50">
            <v>0</v>
          </cell>
          <cell r="CD50">
            <v>0</v>
          </cell>
          <cell r="CE50" t="e">
            <v>#VALUE!</v>
          </cell>
          <cell r="CF50" t="e">
            <v>#VALUE!</v>
          </cell>
          <cell r="CG50" t="e">
            <v>#VALUE!</v>
          </cell>
          <cell r="CH50">
            <v>1.5</v>
          </cell>
          <cell r="CI50" t="e">
            <v>#VALUE!</v>
          </cell>
          <cell r="CJ50" t="e">
            <v>#VALUE!</v>
          </cell>
          <cell r="CK50" t="e">
            <v>#VALUE!</v>
          </cell>
          <cell r="CL50">
            <v>2</v>
          </cell>
          <cell r="CM50">
            <v>2</v>
          </cell>
        </row>
        <row r="51">
          <cell r="A51">
            <v>40</v>
          </cell>
          <cell r="F51" t="str">
            <v/>
          </cell>
          <cell r="G51" t="str">
            <v/>
          </cell>
          <cell r="J51" t="str">
            <v/>
          </cell>
          <cell r="L51" t="str">
            <v/>
          </cell>
          <cell r="M51" t="str">
            <v/>
          </cell>
          <cell r="N51" t="str">
            <v/>
          </cell>
          <cell r="O51" t="str">
            <v/>
          </cell>
          <cell r="P51" t="str">
            <v/>
          </cell>
          <cell r="S51" t="str">
            <v/>
          </cell>
          <cell r="U51" t="str">
            <v/>
          </cell>
          <cell r="X51">
            <v>0</v>
          </cell>
          <cell r="Y51" t="str">
            <v/>
          </cell>
          <cell r="AA51">
            <v>0</v>
          </cell>
          <cell r="AB51" t="str">
            <v/>
          </cell>
          <cell r="AC51" t="str">
            <v/>
          </cell>
          <cell r="AD51" t="str">
            <v/>
          </cell>
          <cell r="AE51" t="str">
            <v/>
          </cell>
          <cell r="AF51" t="str">
            <v/>
          </cell>
          <cell r="AG51" t="str">
            <v/>
          </cell>
          <cell r="AH51" t="str">
            <v/>
          </cell>
          <cell r="AI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v>0</v>
          </cell>
          <cell r="BP51" t="str">
            <v/>
          </cell>
          <cell r="BQ51">
            <v>0</v>
          </cell>
          <cell r="BR51" t="str">
            <v/>
          </cell>
          <cell r="BS51" t="str">
            <v/>
          </cell>
          <cell r="BT51" t="str">
            <v/>
          </cell>
          <cell r="BU51" t="str">
            <v/>
          </cell>
          <cell r="BV51" t="str">
            <v/>
          </cell>
          <cell r="BW51" t="str">
            <v/>
          </cell>
          <cell r="BX51" t="str">
            <v/>
          </cell>
          <cell r="BY51">
            <v>0</v>
          </cell>
          <cell r="BZ51">
            <v>0.4</v>
          </cell>
          <cell r="CA51">
            <v>0</v>
          </cell>
          <cell r="CB51">
            <v>0</v>
          </cell>
          <cell r="CC51">
            <v>0</v>
          </cell>
          <cell r="CD51">
            <v>0</v>
          </cell>
          <cell r="CE51" t="e">
            <v>#VALUE!</v>
          </cell>
          <cell r="CF51" t="e">
            <v>#VALUE!</v>
          </cell>
          <cell r="CG51" t="e">
            <v>#VALUE!</v>
          </cell>
          <cell r="CH51">
            <v>1.5</v>
          </cell>
          <cell r="CI51" t="e">
            <v>#VALUE!</v>
          </cell>
          <cell r="CJ51" t="e">
            <v>#VALUE!</v>
          </cell>
          <cell r="CK51" t="e">
            <v>#VALUE!</v>
          </cell>
          <cell r="CL51">
            <v>2</v>
          </cell>
          <cell r="CM51">
            <v>2</v>
          </cell>
        </row>
        <row r="52">
          <cell r="A52">
            <v>41</v>
          </cell>
          <cell r="F52" t="str">
            <v/>
          </cell>
          <cell r="G52" t="str">
            <v/>
          </cell>
          <cell r="J52" t="str">
            <v/>
          </cell>
          <cell r="L52" t="str">
            <v/>
          </cell>
          <cell r="M52" t="str">
            <v/>
          </cell>
          <cell r="N52" t="str">
            <v/>
          </cell>
          <cell r="O52" t="str">
            <v/>
          </cell>
          <cell r="P52" t="str">
            <v/>
          </cell>
          <cell r="S52" t="str">
            <v/>
          </cell>
          <cell r="U52" t="str">
            <v/>
          </cell>
          <cell r="X52">
            <v>0</v>
          </cell>
          <cell r="Y52" t="str">
            <v/>
          </cell>
          <cell r="AA52">
            <v>0</v>
          </cell>
          <cell r="AB52" t="str">
            <v/>
          </cell>
          <cell r="AC52" t="str">
            <v/>
          </cell>
          <cell r="AD52" t="str">
            <v/>
          </cell>
          <cell r="AE52" t="str">
            <v/>
          </cell>
          <cell r="AF52" t="str">
            <v/>
          </cell>
          <cell r="AG52" t="str">
            <v/>
          </cell>
          <cell r="AH52" t="str">
            <v/>
          </cell>
          <cell r="AI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v>0</v>
          </cell>
          <cell r="BP52" t="str">
            <v/>
          </cell>
          <cell r="BQ52">
            <v>0</v>
          </cell>
          <cell r="BR52" t="str">
            <v/>
          </cell>
          <cell r="BS52" t="str">
            <v/>
          </cell>
          <cell r="BT52" t="str">
            <v/>
          </cell>
          <cell r="BU52" t="str">
            <v/>
          </cell>
          <cell r="BV52" t="str">
            <v/>
          </cell>
          <cell r="BW52" t="str">
            <v/>
          </cell>
          <cell r="BX52" t="str">
            <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42</v>
          </cell>
          <cell r="F53" t="str">
            <v/>
          </cell>
          <cell r="G53" t="str">
            <v/>
          </cell>
          <cell r="J53" t="str">
            <v/>
          </cell>
          <cell r="L53" t="str">
            <v/>
          </cell>
          <cell r="M53" t="str">
            <v/>
          </cell>
          <cell r="N53" t="str">
            <v/>
          </cell>
          <cell r="O53" t="str">
            <v/>
          </cell>
          <cell r="P53" t="str">
            <v/>
          </cell>
          <cell r="S53" t="str">
            <v/>
          </cell>
          <cell r="U53" t="str">
            <v/>
          </cell>
          <cell r="X53">
            <v>0</v>
          </cell>
          <cell r="Y53" t="str">
            <v/>
          </cell>
          <cell r="AA53">
            <v>0</v>
          </cell>
          <cell r="AB53" t="str">
            <v/>
          </cell>
          <cell r="AC53" t="str">
            <v/>
          </cell>
          <cell r="AD53" t="str">
            <v/>
          </cell>
          <cell r="AE53" t="str">
            <v/>
          </cell>
          <cell r="AF53" t="str">
            <v/>
          </cell>
          <cell r="AG53" t="str">
            <v/>
          </cell>
          <cell r="AH53" t="str">
            <v/>
          </cell>
          <cell r="AI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v>0</v>
          </cell>
          <cell r="BP53" t="str">
            <v/>
          </cell>
          <cell r="BQ53">
            <v>0</v>
          </cell>
          <cell r="BR53" t="str">
            <v/>
          </cell>
          <cell r="BS53" t="str">
            <v/>
          </cell>
          <cell r="BT53" t="str">
            <v/>
          </cell>
          <cell r="BU53" t="str">
            <v/>
          </cell>
          <cell r="BV53" t="str">
            <v/>
          </cell>
          <cell r="BW53" t="str">
            <v/>
          </cell>
          <cell r="BX53" t="str">
            <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43</v>
          </cell>
          <cell r="F54" t="str">
            <v/>
          </cell>
          <cell r="G54" t="str">
            <v/>
          </cell>
          <cell r="J54" t="str">
            <v/>
          </cell>
          <cell r="L54" t="str">
            <v/>
          </cell>
          <cell r="M54" t="str">
            <v/>
          </cell>
          <cell r="N54" t="str">
            <v/>
          </cell>
          <cell r="O54" t="str">
            <v/>
          </cell>
          <cell r="P54" t="str">
            <v/>
          </cell>
          <cell r="S54" t="str">
            <v/>
          </cell>
          <cell r="U54" t="str">
            <v/>
          </cell>
          <cell r="X54">
            <v>0</v>
          </cell>
          <cell r="Y54" t="str">
            <v/>
          </cell>
          <cell r="AA54">
            <v>0</v>
          </cell>
          <cell r="AB54" t="str">
            <v/>
          </cell>
          <cell r="AC54" t="str">
            <v/>
          </cell>
          <cell r="AD54" t="str">
            <v/>
          </cell>
          <cell r="AE54" t="str">
            <v/>
          </cell>
          <cell r="AF54" t="str">
            <v/>
          </cell>
          <cell r="AG54" t="str">
            <v/>
          </cell>
          <cell r="AH54" t="str">
            <v/>
          </cell>
          <cell r="AI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v>0</v>
          </cell>
          <cell r="BP54" t="str">
            <v/>
          </cell>
          <cell r="BQ54">
            <v>0</v>
          </cell>
          <cell r="BR54" t="str">
            <v/>
          </cell>
          <cell r="BS54" t="str">
            <v/>
          </cell>
          <cell r="BT54" t="str">
            <v/>
          </cell>
          <cell r="BU54" t="str">
            <v/>
          </cell>
          <cell r="BV54" t="str">
            <v/>
          </cell>
          <cell r="BW54" t="str">
            <v/>
          </cell>
          <cell r="BX54" t="str">
            <v/>
          </cell>
          <cell r="BY54">
            <v>0</v>
          </cell>
          <cell r="BZ54">
            <v>0.4</v>
          </cell>
          <cell r="CA54">
            <v>0</v>
          </cell>
          <cell r="CB54">
            <v>0</v>
          </cell>
          <cell r="CC54">
            <v>0</v>
          </cell>
          <cell r="CD54">
            <v>0</v>
          </cell>
          <cell r="CE54" t="e">
            <v>#VALUE!</v>
          </cell>
          <cell r="CF54" t="e">
            <v>#VALUE!</v>
          </cell>
          <cell r="CG54" t="e">
            <v>#VALUE!</v>
          </cell>
          <cell r="CH54">
            <v>1.3</v>
          </cell>
          <cell r="CI54" t="e">
            <v>#VALUE!</v>
          </cell>
          <cell r="CJ54" t="e">
            <v>#VALUE!</v>
          </cell>
          <cell r="CK54" t="e">
            <v>#VALUE!</v>
          </cell>
          <cell r="CL54">
            <v>1</v>
          </cell>
          <cell r="CM54">
            <v>4</v>
          </cell>
        </row>
        <row r="55">
          <cell r="A55">
            <v>44</v>
          </cell>
          <cell r="F55" t="str">
            <v/>
          </cell>
          <cell r="G55" t="str">
            <v/>
          </cell>
          <cell r="J55" t="str">
            <v/>
          </cell>
          <cell r="L55" t="str">
            <v/>
          </cell>
          <cell r="M55" t="str">
            <v/>
          </cell>
          <cell r="N55" t="str">
            <v/>
          </cell>
          <cell r="O55" t="str">
            <v/>
          </cell>
          <cell r="P55" t="str">
            <v/>
          </cell>
          <cell r="S55" t="str">
            <v/>
          </cell>
          <cell r="U55" t="str">
            <v/>
          </cell>
          <cell r="X55">
            <v>0</v>
          </cell>
          <cell r="Y55" t="str">
            <v/>
          </cell>
          <cell r="AA55">
            <v>0</v>
          </cell>
          <cell r="AB55" t="str">
            <v/>
          </cell>
          <cell r="AC55" t="str">
            <v/>
          </cell>
          <cell r="AD55" t="str">
            <v/>
          </cell>
          <cell r="AE55" t="str">
            <v/>
          </cell>
          <cell r="AF55" t="str">
            <v/>
          </cell>
          <cell r="AG55" t="str">
            <v/>
          </cell>
          <cell r="AH55" t="str">
            <v/>
          </cell>
          <cell r="AI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v>0</v>
          </cell>
          <cell r="BP55" t="str">
            <v/>
          </cell>
          <cell r="BQ55">
            <v>0</v>
          </cell>
          <cell r="BR55" t="str">
            <v/>
          </cell>
          <cell r="BS55" t="str">
            <v/>
          </cell>
          <cell r="BT55" t="str">
            <v/>
          </cell>
          <cell r="BU55" t="str">
            <v/>
          </cell>
          <cell r="BV55" t="str">
            <v/>
          </cell>
          <cell r="BW55" t="str">
            <v/>
          </cell>
          <cell r="BX55" t="str">
            <v/>
          </cell>
          <cell r="BY55">
            <v>0</v>
          </cell>
          <cell r="BZ55">
            <v>0.4</v>
          </cell>
          <cell r="CA55">
            <v>0</v>
          </cell>
          <cell r="CB55">
            <v>0</v>
          </cell>
          <cell r="CC55">
            <v>0</v>
          </cell>
          <cell r="CD55">
            <v>0</v>
          </cell>
          <cell r="CE55" t="e">
            <v>#VALUE!</v>
          </cell>
          <cell r="CF55" t="e">
            <v>#VALUE!</v>
          </cell>
          <cell r="CG55" t="e">
            <v>#VALUE!</v>
          </cell>
          <cell r="CH55">
            <v>1.3</v>
          </cell>
          <cell r="CI55" t="e">
            <v>#VALUE!</v>
          </cell>
          <cell r="CJ55" t="e">
            <v>#VALUE!</v>
          </cell>
          <cell r="CK55" t="e">
            <v>#VALUE!</v>
          </cell>
          <cell r="CL55">
            <v>5</v>
          </cell>
          <cell r="CM55">
            <v>4</v>
          </cell>
        </row>
        <row r="56">
          <cell r="A56">
            <v>45</v>
          </cell>
          <cell r="F56" t="str">
            <v/>
          </cell>
          <cell r="G56" t="str">
            <v/>
          </cell>
          <cell r="J56" t="str">
            <v/>
          </cell>
          <cell r="L56" t="str">
            <v/>
          </cell>
          <cell r="M56" t="str">
            <v/>
          </cell>
          <cell r="N56" t="str">
            <v/>
          </cell>
          <cell r="O56" t="str">
            <v/>
          </cell>
          <cell r="P56" t="str">
            <v/>
          </cell>
          <cell r="S56" t="str">
            <v/>
          </cell>
          <cell r="U56" t="str">
            <v/>
          </cell>
          <cell r="X56">
            <v>0</v>
          </cell>
          <cell r="Y56" t="str">
            <v/>
          </cell>
          <cell r="AA56">
            <v>0</v>
          </cell>
          <cell r="AB56" t="str">
            <v/>
          </cell>
          <cell r="AC56" t="str">
            <v/>
          </cell>
          <cell r="AD56" t="str">
            <v/>
          </cell>
          <cell r="AE56" t="str">
            <v/>
          </cell>
          <cell r="AF56" t="str">
            <v/>
          </cell>
          <cell r="AG56" t="str">
            <v/>
          </cell>
          <cell r="AH56" t="str">
            <v/>
          </cell>
          <cell r="AI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v>0</v>
          </cell>
          <cell r="BP56" t="str">
            <v/>
          </cell>
          <cell r="BQ56">
            <v>0</v>
          </cell>
          <cell r="BR56" t="str">
            <v/>
          </cell>
          <cell r="BS56" t="str">
            <v/>
          </cell>
          <cell r="BT56" t="str">
            <v/>
          </cell>
          <cell r="BU56" t="str">
            <v/>
          </cell>
          <cell r="BV56" t="str">
            <v/>
          </cell>
          <cell r="BW56" t="str">
            <v/>
          </cell>
          <cell r="BX56" t="str">
            <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46</v>
          </cell>
          <cell r="F57" t="str">
            <v/>
          </cell>
          <cell r="G57" t="str">
            <v/>
          </cell>
          <cell r="J57" t="str">
            <v/>
          </cell>
          <cell r="L57" t="str">
            <v/>
          </cell>
          <cell r="M57" t="str">
            <v/>
          </cell>
          <cell r="N57" t="str">
            <v/>
          </cell>
          <cell r="O57" t="str">
            <v/>
          </cell>
          <cell r="P57" t="str">
            <v/>
          </cell>
          <cell r="S57" t="str">
            <v/>
          </cell>
          <cell r="U57" t="str">
            <v/>
          </cell>
          <cell r="X57">
            <v>0</v>
          </cell>
          <cell r="Y57" t="str">
            <v/>
          </cell>
          <cell r="AA57">
            <v>0</v>
          </cell>
          <cell r="AB57" t="str">
            <v/>
          </cell>
          <cell r="AC57" t="str">
            <v/>
          </cell>
          <cell r="AD57" t="str">
            <v/>
          </cell>
          <cell r="AE57" t="str">
            <v/>
          </cell>
          <cell r="AF57" t="str">
            <v/>
          </cell>
          <cell r="AG57" t="str">
            <v/>
          </cell>
          <cell r="AH57" t="str">
            <v/>
          </cell>
          <cell r="AI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v>0</v>
          </cell>
          <cell r="BP57" t="str">
            <v/>
          </cell>
          <cell r="BQ57">
            <v>0</v>
          </cell>
          <cell r="BR57" t="str">
            <v/>
          </cell>
          <cell r="BS57" t="str">
            <v/>
          </cell>
          <cell r="BT57" t="str">
            <v/>
          </cell>
          <cell r="BU57" t="str">
            <v/>
          </cell>
          <cell r="BV57" t="str">
            <v/>
          </cell>
          <cell r="BW57" t="str">
            <v/>
          </cell>
          <cell r="BX57" t="str">
            <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47</v>
          </cell>
          <cell r="F58" t="str">
            <v/>
          </cell>
          <cell r="G58" t="str">
            <v/>
          </cell>
          <cell r="J58" t="str">
            <v/>
          </cell>
          <cell r="L58" t="str">
            <v/>
          </cell>
          <cell r="M58" t="str">
            <v/>
          </cell>
          <cell r="N58" t="str">
            <v/>
          </cell>
          <cell r="O58" t="str">
            <v/>
          </cell>
          <cell r="P58" t="str">
            <v/>
          </cell>
          <cell r="S58" t="str">
            <v/>
          </cell>
          <cell r="U58" t="str">
            <v/>
          </cell>
          <cell r="X58">
            <v>0</v>
          </cell>
          <cell r="Y58" t="str">
            <v/>
          </cell>
          <cell r="AA58">
            <v>0</v>
          </cell>
          <cell r="AB58" t="str">
            <v/>
          </cell>
          <cell r="AC58" t="str">
            <v/>
          </cell>
          <cell r="AD58" t="str">
            <v/>
          </cell>
          <cell r="AE58" t="str">
            <v/>
          </cell>
          <cell r="AF58" t="str">
            <v/>
          </cell>
          <cell r="AG58" t="str">
            <v/>
          </cell>
          <cell r="AH58" t="str">
            <v/>
          </cell>
          <cell r="AI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v>0</v>
          </cell>
          <cell r="BP58" t="str">
            <v/>
          </cell>
          <cell r="BQ58">
            <v>0</v>
          </cell>
          <cell r="BR58" t="str">
            <v/>
          </cell>
          <cell r="BS58" t="str">
            <v/>
          </cell>
          <cell r="BT58" t="str">
            <v/>
          </cell>
          <cell r="BU58" t="str">
            <v/>
          </cell>
          <cell r="BV58" t="str">
            <v/>
          </cell>
          <cell r="BW58" t="str">
            <v/>
          </cell>
          <cell r="BX58" t="str">
            <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48</v>
          </cell>
          <cell r="F59" t="str">
            <v/>
          </cell>
          <cell r="G59" t="str">
            <v/>
          </cell>
          <cell r="J59" t="str">
            <v/>
          </cell>
          <cell r="L59" t="str">
            <v/>
          </cell>
          <cell r="M59" t="str">
            <v/>
          </cell>
          <cell r="N59" t="str">
            <v/>
          </cell>
          <cell r="O59" t="str">
            <v/>
          </cell>
          <cell r="P59" t="str">
            <v/>
          </cell>
          <cell r="S59" t="str">
            <v/>
          </cell>
          <cell r="U59" t="str">
            <v/>
          </cell>
          <cell r="X59">
            <v>0</v>
          </cell>
          <cell r="Y59" t="str">
            <v/>
          </cell>
          <cell r="AA59">
            <v>0</v>
          </cell>
          <cell r="AB59" t="str">
            <v/>
          </cell>
          <cell r="AC59" t="str">
            <v/>
          </cell>
          <cell r="AD59" t="str">
            <v/>
          </cell>
          <cell r="AE59" t="str">
            <v/>
          </cell>
          <cell r="AF59" t="str">
            <v/>
          </cell>
          <cell r="AG59" t="str">
            <v/>
          </cell>
          <cell r="AH59" t="str">
            <v/>
          </cell>
          <cell r="AI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v>0</v>
          </cell>
          <cell r="BP59" t="str">
            <v/>
          </cell>
          <cell r="BQ59">
            <v>0</v>
          </cell>
          <cell r="BR59" t="str">
            <v/>
          </cell>
          <cell r="BS59" t="str">
            <v/>
          </cell>
          <cell r="BT59" t="str">
            <v/>
          </cell>
          <cell r="BU59" t="str">
            <v/>
          </cell>
          <cell r="BV59" t="str">
            <v/>
          </cell>
          <cell r="BW59" t="str">
            <v/>
          </cell>
          <cell r="BX59" t="str">
            <v/>
          </cell>
          <cell r="BY59">
            <v>0</v>
          </cell>
          <cell r="BZ59">
            <v>0.4</v>
          </cell>
          <cell r="CA59">
            <v>0</v>
          </cell>
          <cell r="CB59">
            <v>0</v>
          </cell>
          <cell r="CC59">
            <v>0</v>
          </cell>
          <cell r="CD59">
            <v>0</v>
          </cell>
          <cell r="CE59" t="e">
            <v>#VALUE!</v>
          </cell>
          <cell r="CF59" t="e">
            <v>#VALUE!</v>
          </cell>
          <cell r="CG59" t="e">
            <v>#VALUE!</v>
          </cell>
          <cell r="CH59">
            <v>1.25</v>
          </cell>
          <cell r="CI59">
            <v>0</v>
          </cell>
          <cell r="CJ59" t="e">
            <v>#VALUE!</v>
          </cell>
          <cell r="CK59" t="e">
            <v>#VALUE!</v>
          </cell>
          <cell r="CL59">
            <v>3</v>
          </cell>
          <cell r="CM59">
            <v>3</v>
          </cell>
        </row>
        <row r="60">
          <cell r="A60">
            <v>49</v>
          </cell>
          <cell r="F60" t="str">
            <v/>
          </cell>
          <cell r="G60" t="str">
            <v/>
          </cell>
          <cell r="J60" t="str">
            <v/>
          </cell>
          <cell r="L60" t="str">
            <v/>
          </cell>
          <cell r="M60" t="str">
            <v/>
          </cell>
          <cell r="N60" t="str">
            <v/>
          </cell>
          <cell r="O60" t="str">
            <v/>
          </cell>
          <cell r="P60" t="str">
            <v/>
          </cell>
          <cell r="S60" t="str">
            <v/>
          </cell>
          <cell r="U60" t="str">
            <v/>
          </cell>
          <cell r="X60">
            <v>0</v>
          </cell>
          <cell r="Y60" t="str">
            <v/>
          </cell>
          <cell r="AA60">
            <v>0</v>
          </cell>
          <cell r="AB60" t="str">
            <v/>
          </cell>
          <cell r="AC60" t="str">
            <v/>
          </cell>
          <cell r="AD60" t="str">
            <v/>
          </cell>
          <cell r="AE60" t="str">
            <v/>
          </cell>
          <cell r="AF60" t="str">
            <v/>
          </cell>
          <cell r="AG60" t="str">
            <v/>
          </cell>
          <cell r="AH60" t="str">
            <v/>
          </cell>
          <cell r="AI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v>0</v>
          </cell>
          <cell r="BP60" t="str">
            <v/>
          </cell>
          <cell r="BQ60">
            <v>0</v>
          </cell>
          <cell r="BR60" t="str">
            <v/>
          </cell>
          <cell r="BS60" t="str">
            <v/>
          </cell>
          <cell r="BT60" t="str">
            <v/>
          </cell>
          <cell r="BU60" t="str">
            <v/>
          </cell>
          <cell r="BV60" t="str">
            <v/>
          </cell>
          <cell r="BW60" t="str">
            <v/>
          </cell>
          <cell r="BX60" t="str">
            <v/>
          </cell>
          <cell r="BY60">
            <v>0</v>
          </cell>
          <cell r="BZ60">
            <v>0.4</v>
          </cell>
          <cell r="CA60">
            <v>0</v>
          </cell>
          <cell r="CB60">
            <v>0</v>
          </cell>
          <cell r="CC60">
            <v>0</v>
          </cell>
          <cell r="CD60">
            <v>0</v>
          </cell>
          <cell r="CE60" t="e">
            <v>#VALUE!</v>
          </cell>
          <cell r="CF60" t="e">
            <v>#VALUE!</v>
          </cell>
          <cell r="CG60" t="e">
            <v>#VALUE!</v>
          </cell>
          <cell r="CH60">
            <v>1.25</v>
          </cell>
          <cell r="CI60">
            <v>0</v>
          </cell>
          <cell r="CJ60" t="e">
            <v>#VALUE!</v>
          </cell>
          <cell r="CK60" t="e">
            <v>#VALUE!</v>
          </cell>
          <cell r="CL60">
            <v>3</v>
          </cell>
          <cell r="CM60">
            <v>3</v>
          </cell>
        </row>
        <row r="61">
          <cell r="A61">
            <v>50</v>
          </cell>
          <cell r="F61" t="str">
            <v/>
          </cell>
          <cell r="G61" t="str">
            <v/>
          </cell>
          <cell r="J61" t="str">
            <v/>
          </cell>
          <cell r="L61" t="str">
            <v/>
          </cell>
          <cell r="M61" t="str">
            <v/>
          </cell>
          <cell r="N61" t="str">
            <v/>
          </cell>
          <cell r="O61" t="str">
            <v/>
          </cell>
          <cell r="P61" t="str">
            <v/>
          </cell>
          <cell r="S61" t="str">
            <v/>
          </cell>
          <cell r="U61" t="str">
            <v/>
          </cell>
          <cell r="X61">
            <v>0</v>
          </cell>
          <cell r="Y61" t="str">
            <v/>
          </cell>
          <cell r="AA61">
            <v>0</v>
          </cell>
          <cell r="AB61" t="str">
            <v/>
          </cell>
          <cell r="AC61" t="str">
            <v/>
          </cell>
          <cell r="AD61" t="str">
            <v/>
          </cell>
          <cell r="AE61" t="str">
            <v/>
          </cell>
          <cell r="AF61" t="str">
            <v/>
          </cell>
          <cell r="AG61" t="str">
            <v/>
          </cell>
          <cell r="AH61" t="str">
            <v/>
          </cell>
          <cell r="AI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v>0</v>
          </cell>
          <cell r="BP61" t="str">
            <v/>
          </cell>
          <cell r="BQ61">
            <v>0</v>
          </cell>
          <cell r="BR61" t="str">
            <v/>
          </cell>
          <cell r="BS61" t="str">
            <v/>
          </cell>
          <cell r="BT61" t="str">
            <v/>
          </cell>
          <cell r="BU61" t="str">
            <v/>
          </cell>
          <cell r="BV61" t="str">
            <v/>
          </cell>
          <cell r="BW61" t="str">
            <v/>
          </cell>
          <cell r="BX61" t="str">
            <v/>
          </cell>
          <cell r="BY61">
            <v>0</v>
          </cell>
          <cell r="BZ61">
            <v>0.4</v>
          </cell>
          <cell r="CA61">
            <v>0</v>
          </cell>
          <cell r="CB61">
            <v>0</v>
          </cell>
          <cell r="CC61">
            <v>0</v>
          </cell>
          <cell r="CD61">
            <v>0</v>
          </cell>
          <cell r="CE61" t="e">
            <v>#VALUE!</v>
          </cell>
          <cell r="CF61" t="e">
            <v>#VALUE!</v>
          </cell>
          <cell r="CG61" t="e">
            <v>#VALUE!</v>
          </cell>
          <cell r="CH61">
            <v>1.25</v>
          </cell>
          <cell r="CI61">
            <v>0</v>
          </cell>
          <cell r="CJ61" t="e">
            <v>#VALUE!</v>
          </cell>
          <cell r="CK61" t="e">
            <v>#VALUE!</v>
          </cell>
          <cell r="CL61">
            <v>3</v>
          </cell>
          <cell r="CM61">
            <v>3</v>
          </cell>
        </row>
        <row r="62">
          <cell r="A62">
            <v>51</v>
          </cell>
          <cell r="F62" t="str">
            <v/>
          </cell>
          <cell r="G62" t="str">
            <v/>
          </cell>
          <cell r="J62" t="str">
            <v/>
          </cell>
          <cell r="L62" t="str">
            <v/>
          </cell>
          <cell r="M62" t="str">
            <v/>
          </cell>
          <cell r="N62" t="str">
            <v/>
          </cell>
          <cell r="O62" t="str">
            <v/>
          </cell>
          <cell r="P62" t="str">
            <v/>
          </cell>
          <cell r="S62" t="str">
            <v/>
          </cell>
          <cell r="U62" t="str">
            <v/>
          </cell>
          <cell r="X62">
            <v>0</v>
          </cell>
          <cell r="Y62" t="str">
            <v/>
          </cell>
          <cell r="AA62">
            <v>0</v>
          </cell>
          <cell r="AB62" t="str">
            <v/>
          </cell>
          <cell r="AC62" t="str">
            <v/>
          </cell>
          <cell r="AD62" t="str">
            <v/>
          </cell>
          <cell r="AE62" t="str">
            <v/>
          </cell>
          <cell r="AF62" t="str">
            <v/>
          </cell>
          <cell r="AG62" t="str">
            <v/>
          </cell>
          <cell r="AH62" t="str">
            <v/>
          </cell>
          <cell r="AI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v>0</v>
          </cell>
          <cell r="BP62" t="str">
            <v/>
          </cell>
          <cell r="BQ62">
            <v>0</v>
          </cell>
          <cell r="BR62" t="str">
            <v/>
          </cell>
          <cell r="BS62" t="str">
            <v/>
          </cell>
          <cell r="BT62" t="str">
            <v/>
          </cell>
          <cell r="BU62" t="str">
            <v/>
          </cell>
          <cell r="BV62" t="str">
            <v/>
          </cell>
          <cell r="BW62" t="str">
            <v/>
          </cell>
          <cell r="BX62" t="str">
            <v/>
          </cell>
          <cell r="BY62">
            <v>0</v>
          </cell>
          <cell r="BZ62">
            <v>0.4</v>
          </cell>
          <cell r="CA62">
            <v>0</v>
          </cell>
          <cell r="CB62">
            <v>0</v>
          </cell>
          <cell r="CC62">
            <v>0</v>
          </cell>
          <cell r="CD62">
            <v>0</v>
          </cell>
          <cell r="CE62" t="e">
            <v>#VALUE!</v>
          </cell>
          <cell r="CF62" t="e">
            <v>#VALUE!</v>
          </cell>
          <cell r="CG62" t="e">
            <v>#VALUE!</v>
          </cell>
          <cell r="CH62">
            <v>1.25</v>
          </cell>
          <cell r="CI62">
            <v>0</v>
          </cell>
          <cell r="CJ62" t="e">
            <v>#VALUE!</v>
          </cell>
          <cell r="CK62" t="e">
            <v>#VALUE!</v>
          </cell>
          <cell r="CL62">
            <v>3</v>
          </cell>
          <cell r="CM62">
            <v>3</v>
          </cell>
        </row>
        <row r="63">
          <cell r="A63">
            <v>52</v>
          </cell>
          <cell r="F63" t="str">
            <v/>
          </cell>
          <cell r="G63" t="str">
            <v/>
          </cell>
          <cell r="J63" t="str">
            <v/>
          </cell>
          <cell r="L63" t="str">
            <v/>
          </cell>
          <cell r="M63" t="str">
            <v/>
          </cell>
          <cell r="N63" t="str">
            <v/>
          </cell>
          <cell r="O63" t="str">
            <v/>
          </cell>
          <cell r="P63" t="str">
            <v/>
          </cell>
          <cell r="S63" t="str">
            <v/>
          </cell>
          <cell r="U63" t="str">
            <v/>
          </cell>
          <cell r="X63">
            <v>0</v>
          </cell>
          <cell r="Y63" t="str">
            <v/>
          </cell>
          <cell r="AA63">
            <v>0</v>
          </cell>
          <cell r="AB63" t="str">
            <v/>
          </cell>
          <cell r="AC63" t="str">
            <v/>
          </cell>
          <cell r="AD63" t="str">
            <v/>
          </cell>
          <cell r="AE63" t="str">
            <v/>
          </cell>
          <cell r="AF63" t="str">
            <v/>
          </cell>
          <cell r="AG63" t="str">
            <v/>
          </cell>
          <cell r="AH63" t="str">
            <v/>
          </cell>
          <cell r="AI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v>0</v>
          </cell>
          <cell r="BP63" t="str">
            <v/>
          </cell>
          <cell r="BQ63">
            <v>0</v>
          </cell>
          <cell r="BR63" t="str">
            <v/>
          </cell>
          <cell r="BS63" t="str">
            <v/>
          </cell>
          <cell r="BT63" t="str">
            <v/>
          </cell>
          <cell r="BU63" t="str">
            <v/>
          </cell>
          <cell r="BV63" t="str">
            <v/>
          </cell>
          <cell r="BW63" t="str">
            <v/>
          </cell>
          <cell r="BX63" t="str">
            <v/>
          </cell>
          <cell r="BY63">
            <v>0</v>
          </cell>
          <cell r="BZ63">
            <v>0.4</v>
          </cell>
          <cell r="CA63">
            <v>0</v>
          </cell>
          <cell r="CB63">
            <v>0</v>
          </cell>
          <cell r="CC63">
            <v>0</v>
          </cell>
          <cell r="CD63">
            <v>0</v>
          </cell>
          <cell r="CE63" t="e">
            <v>#VALUE!</v>
          </cell>
          <cell r="CF63" t="e">
            <v>#VALUE!</v>
          </cell>
          <cell r="CG63" t="e">
            <v>#VALUE!</v>
          </cell>
          <cell r="CH63">
            <v>1.25</v>
          </cell>
          <cell r="CI63">
            <v>0</v>
          </cell>
          <cell r="CJ63" t="e">
            <v>#VALUE!</v>
          </cell>
          <cell r="CK63" t="e">
            <v>#VALUE!</v>
          </cell>
          <cell r="CL63">
            <v>4</v>
          </cell>
          <cell r="CM63">
            <v>3</v>
          </cell>
        </row>
        <row r="64">
          <cell r="A64">
            <v>53</v>
          </cell>
          <cell r="F64" t="str">
            <v/>
          </cell>
          <cell r="G64" t="str">
            <v/>
          </cell>
          <cell r="J64" t="str">
            <v/>
          </cell>
          <cell r="L64" t="str">
            <v/>
          </cell>
          <cell r="M64" t="str">
            <v/>
          </cell>
          <cell r="N64" t="str">
            <v/>
          </cell>
          <cell r="O64" t="str">
            <v/>
          </cell>
          <cell r="P64" t="str">
            <v/>
          </cell>
          <cell r="S64" t="str">
            <v/>
          </cell>
          <cell r="U64" t="str">
            <v/>
          </cell>
          <cell r="X64">
            <v>0</v>
          </cell>
          <cell r="Y64" t="str">
            <v/>
          </cell>
          <cell r="AA64">
            <v>0</v>
          </cell>
          <cell r="AB64" t="str">
            <v/>
          </cell>
          <cell r="AC64" t="str">
            <v/>
          </cell>
          <cell r="AD64" t="str">
            <v/>
          </cell>
          <cell r="AE64" t="str">
            <v/>
          </cell>
          <cell r="AF64" t="str">
            <v/>
          </cell>
          <cell r="AG64" t="str">
            <v/>
          </cell>
          <cell r="AH64" t="str">
            <v/>
          </cell>
          <cell r="AI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v>0</v>
          </cell>
          <cell r="BP64" t="str">
            <v/>
          </cell>
          <cell r="BQ64">
            <v>0</v>
          </cell>
          <cell r="BR64" t="str">
            <v/>
          </cell>
          <cell r="BS64" t="str">
            <v/>
          </cell>
          <cell r="BT64" t="str">
            <v/>
          </cell>
          <cell r="BU64" t="str">
            <v/>
          </cell>
          <cell r="BV64" t="str">
            <v/>
          </cell>
          <cell r="BW64" t="str">
            <v/>
          </cell>
          <cell r="BX64" t="str">
            <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54</v>
          </cell>
          <cell r="F65" t="str">
            <v/>
          </cell>
          <cell r="G65" t="str">
            <v/>
          </cell>
          <cell r="J65" t="str">
            <v/>
          </cell>
          <cell r="L65" t="str">
            <v/>
          </cell>
          <cell r="M65" t="str">
            <v/>
          </cell>
          <cell r="N65" t="str">
            <v/>
          </cell>
          <cell r="O65" t="str">
            <v/>
          </cell>
          <cell r="P65" t="str">
            <v/>
          </cell>
          <cell r="S65" t="str">
            <v/>
          </cell>
          <cell r="U65" t="str">
            <v/>
          </cell>
          <cell r="X65">
            <v>0</v>
          </cell>
          <cell r="Y65" t="str">
            <v/>
          </cell>
          <cell r="AA65">
            <v>0</v>
          </cell>
          <cell r="AB65" t="str">
            <v/>
          </cell>
          <cell r="AC65" t="str">
            <v/>
          </cell>
          <cell r="AD65" t="str">
            <v/>
          </cell>
          <cell r="AE65" t="str">
            <v/>
          </cell>
          <cell r="AF65" t="str">
            <v/>
          </cell>
          <cell r="AG65" t="str">
            <v/>
          </cell>
          <cell r="AH65" t="str">
            <v/>
          </cell>
          <cell r="AI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v>0</v>
          </cell>
          <cell r="BP65" t="str">
            <v/>
          </cell>
          <cell r="BQ65">
            <v>0</v>
          </cell>
          <cell r="BR65" t="str">
            <v/>
          </cell>
          <cell r="BS65" t="str">
            <v/>
          </cell>
          <cell r="BT65" t="str">
            <v/>
          </cell>
          <cell r="BU65" t="str">
            <v/>
          </cell>
          <cell r="BV65" t="str">
            <v/>
          </cell>
          <cell r="BW65" t="str">
            <v/>
          </cell>
          <cell r="BX65" t="str">
            <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55</v>
          </cell>
          <cell r="F66" t="str">
            <v/>
          </cell>
          <cell r="G66" t="str">
            <v/>
          </cell>
          <cell r="J66" t="str">
            <v/>
          </cell>
          <cell r="L66" t="str">
            <v/>
          </cell>
          <cell r="M66" t="str">
            <v/>
          </cell>
          <cell r="N66" t="str">
            <v/>
          </cell>
          <cell r="O66" t="str">
            <v/>
          </cell>
          <cell r="P66" t="str">
            <v/>
          </cell>
          <cell r="S66" t="str">
            <v/>
          </cell>
          <cell r="U66" t="str">
            <v/>
          </cell>
          <cell r="X66">
            <v>0</v>
          </cell>
          <cell r="Y66" t="str">
            <v/>
          </cell>
          <cell r="AA66">
            <v>0</v>
          </cell>
          <cell r="AB66" t="str">
            <v/>
          </cell>
          <cell r="AC66" t="str">
            <v/>
          </cell>
          <cell r="AD66" t="str">
            <v/>
          </cell>
          <cell r="AE66" t="str">
            <v/>
          </cell>
          <cell r="AF66" t="str">
            <v/>
          </cell>
          <cell r="AG66" t="str">
            <v/>
          </cell>
          <cell r="AH66" t="str">
            <v/>
          </cell>
          <cell r="AI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v>0</v>
          </cell>
          <cell r="BP66" t="str">
            <v/>
          </cell>
          <cell r="BQ66">
            <v>0</v>
          </cell>
          <cell r="BR66" t="str">
            <v/>
          </cell>
          <cell r="BS66" t="str">
            <v/>
          </cell>
          <cell r="BT66" t="str">
            <v/>
          </cell>
          <cell r="BU66" t="str">
            <v/>
          </cell>
          <cell r="BV66" t="str">
            <v/>
          </cell>
          <cell r="BW66" t="str">
            <v/>
          </cell>
          <cell r="BX66" t="str">
            <v/>
          </cell>
          <cell r="BY66">
            <v>0</v>
          </cell>
          <cell r="BZ66">
            <v>0.4</v>
          </cell>
          <cell r="CA66">
            <v>0</v>
          </cell>
          <cell r="CB66">
            <v>0</v>
          </cell>
          <cell r="CC66">
            <v>0</v>
          </cell>
          <cell r="CD66">
            <v>0</v>
          </cell>
          <cell r="CE66" t="e">
            <v>#VALUE!</v>
          </cell>
          <cell r="CF66" t="e">
            <v>#VALUE!</v>
          </cell>
          <cell r="CG66" t="e">
            <v>#VALUE!</v>
          </cell>
          <cell r="CH66">
            <v>1.5</v>
          </cell>
          <cell r="CI66" t="b">
            <v>0</v>
          </cell>
          <cell r="CJ66" t="e">
            <v>#VALUE!</v>
          </cell>
          <cell r="CK66" t="e">
            <v>#VALUE!</v>
          </cell>
          <cell r="CL66">
            <v>5</v>
          </cell>
          <cell r="CM66">
            <v>2</v>
          </cell>
        </row>
        <row r="67">
          <cell r="A67">
            <v>56</v>
          </cell>
          <cell r="F67" t="str">
            <v/>
          </cell>
          <cell r="G67" t="str">
            <v/>
          </cell>
          <cell r="J67" t="str">
            <v/>
          </cell>
          <cell r="L67" t="str">
            <v/>
          </cell>
          <cell r="M67" t="str">
            <v/>
          </cell>
          <cell r="N67" t="str">
            <v/>
          </cell>
          <cell r="O67" t="str">
            <v/>
          </cell>
          <cell r="P67" t="str">
            <v/>
          </cell>
          <cell r="S67" t="str">
            <v/>
          </cell>
          <cell r="U67" t="str">
            <v/>
          </cell>
          <cell r="X67">
            <v>0</v>
          </cell>
          <cell r="Y67" t="str">
            <v/>
          </cell>
          <cell r="AA67">
            <v>0</v>
          </cell>
          <cell r="AB67" t="str">
            <v/>
          </cell>
          <cell r="AC67" t="str">
            <v/>
          </cell>
          <cell r="AD67" t="str">
            <v/>
          </cell>
          <cell r="AE67" t="str">
            <v/>
          </cell>
          <cell r="AF67" t="str">
            <v/>
          </cell>
          <cell r="AG67" t="str">
            <v/>
          </cell>
          <cell r="AH67" t="str">
            <v/>
          </cell>
          <cell r="AI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v>0</v>
          </cell>
          <cell r="BP67" t="str">
            <v/>
          </cell>
          <cell r="BQ67">
            <v>0</v>
          </cell>
          <cell r="BR67" t="str">
            <v/>
          </cell>
          <cell r="BS67" t="str">
            <v/>
          </cell>
          <cell r="BT67" t="str">
            <v/>
          </cell>
          <cell r="BU67" t="str">
            <v/>
          </cell>
          <cell r="BV67" t="str">
            <v/>
          </cell>
          <cell r="BW67" t="str">
            <v/>
          </cell>
          <cell r="BX67" t="str">
            <v/>
          </cell>
          <cell r="BY67">
            <v>0</v>
          </cell>
          <cell r="BZ67">
            <v>0.4</v>
          </cell>
          <cell r="CA67">
            <v>0</v>
          </cell>
          <cell r="CB67">
            <v>0</v>
          </cell>
          <cell r="CC67">
            <v>0</v>
          </cell>
          <cell r="CD67">
            <v>0</v>
          </cell>
          <cell r="CE67" t="e">
            <v>#VALUE!</v>
          </cell>
          <cell r="CF67" t="e">
            <v>#VALUE!</v>
          </cell>
          <cell r="CG67" t="e">
            <v>#VALUE!</v>
          </cell>
          <cell r="CH67">
            <v>1.3</v>
          </cell>
          <cell r="CI67" t="e">
            <v>#VALUE!</v>
          </cell>
          <cell r="CJ67" t="e">
            <v>#VALUE!</v>
          </cell>
          <cell r="CK67" t="e">
            <v>#VALUE!</v>
          </cell>
          <cell r="CL67">
            <v>5</v>
          </cell>
          <cell r="CM67">
            <v>4</v>
          </cell>
        </row>
        <row r="68">
          <cell r="A68">
            <v>57</v>
          </cell>
          <cell r="F68" t="str">
            <v/>
          </cell>
          <cell r="G68" t="str">
            <v/>
          </cell>
          <cell r="J68" t="str">
            <v/>
          </cell>
          <cell r="L68" t="str">
            <v/>
          </cell>
          <cell r="M68" t="str">
            <v/>
          </cell>
          <cell r="N68" t="str">
            <v/>
          </cell>
          <cell r="O68" t="str">
            <v/>
          </cell>
          <cell r="P68" t="str">
            <v/>
          </cell>
          <cell r="S68" t="str">
            <v/>
          </cell>
          <cell r="U68" t="str">
            <v/>
          </cell>
          <cell r="X68">
            <v>0</v>
          </cell>
          <cell r="Y68" t="str">
            <v/>
          </cell>
          <cell r="AA68">
            <v>0</v>
          </cell>
          <cell r="AB68" t="str">
            <v/>
          </cell>
          <cell r="AC68" t="str">
            <v/>
          </cell>
          <cell r="AD68" t="str">
            <v/>
          </cell>
          <cell r="AE68" t="str">
            <v/>
          </cell>
          <cell r="AF68" t="str">
            <v/>
          </cell>
          <cell r="AG68" t="str">
            <v/>
          </cell>
          <cell r="AH68" t="str">
            <v/>
          </cell>
          <cell r="AI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v>0</v>
          </cell>
          <cell r="BP68" t="str">
            <v/>
          </cell>
          <cell r="BQ68">
            <v>0</v>
          </cell>
          <cell r="BR68" t="str">
            <v/>
          </cell>
          <cell r="BS68" t="str">
            <v/>
          </cell>
          <cell r="BT68" t="str">
            <v/>
          </cell>
          <cell r="BU68" t="str">
            <v/>
          </cell>
          <cell r="BV68" t="str">
            <v/>
          </cell>
          <cell r="BW68" t="str">
            <v/>
          </cell>
          <cell r="BX68" t="str">
            <v/>
          </cell>
          <cell r="BY68">
            <v>0</v>
          </cell>
          <cell r="BZ68">
            <v>0.4</v>
          </cell>
          <cell r="CA68">
            <v>0</v>
          </cell>
          <cell r="CB68">
            <v>0</v>
          </cell>
          <cell r="CC68">
            <v>0</v>
          </cell>
          <cell r="CD68">
            <v>0</v>
          </cell>
          <cell r="CE68" t="e">
            <v>#VALUE!</v>
          </cell>
          <cell r="CF68" t="e">
            <v>#VALUE!</v>
          </cell>
          <cell r="CG68" t="e">
            <v>#VALUE!</v>
          </cell>
          <cell r="CH68">
            <v>1.3</v>
          </cell>
          <cell r="CI68" t="e">
            <v>#VALUE!</v>
          </cell>
          <cell r="CJ68" t="e">
            <v>#VALUE!</v>
          </cell>
          <cell r="CK68" t="e">
            <v>#VALUE!</v>
          </cell>
          <cell r="CL68">
            <v>5</v>
          </cell>
          <cell r="CM68">
            <v>4</v>
          </cell>
        </row>
        <row r="69">
          <cell r="A69">
            <v>58</v>
          </cell>
          <cell r="F69" t="str">
            <v/>
          </cell>
          <cell r="G69" t="str">
            <v/>
          </cell>
          <cell r="J69" t="str">
            <v/>
          </cell>
          <cell r="L69" t="str">
            <v/>
          </cell>
          <cell r="M69" t="str">
            <v/>
          </cell>
          <cell r="N69" t="str">
            <v/>
          </cell>
          <cell r="O69" t="str">
            <v/>
          </cell>
          <cell r="P69" t="str">
            <v/>
          </cell>
          <cell r="S69" t="str">
            <v/>
          </cell>
          <cell r="U69" t="str">
            <v/>
          </cell>
          <cell r="X69">
            <v>0</v>
          </cell>
          <cell r="Y69" t="str">
            <v/>
          </cell>
          <cell r="AA69">
            <v>0</v>
          </cell>
          <cell r="AB69" t="str">
            <v/>
          </cell>
          <cell r="AC69" t="str">
            <v/>
          </cell>
          <cell r="AD69" t="str">
            <v/>
          </cell>
          <cell r="AE69" t="str">
            <v/>
          </cell>
          <cell r="AF69" t="str">
            <v/>
          </cell>
          <cell r="AG69" t="str">
            <v/>
          </cell>
          <cell r="AH69" t="str">
            <v/>
          </cell>
          <cell r="AI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v>0</v>
          </cell>
          <cell r="BP69" t="str">
            <v/>
          </cell>
          <cell r="BQ69">
            <v>0</v>
          </cell>
          <cell r="BR69" t="str">
            <v/>
          </cell>
          <cell r="BS69" t="str">
            <v/>
          </cell>
          <cell r="BT69" t="str">
            <v/>
          </cell>
          <cell r="BU69" t="str">
            <v/>
          </cell>
          <cell r="BV69" t="str">
            <v/>
          </cell>
          <cell r="BW69" t="str">
            <v/>
          </cell>
          <cell r="BX69" t="str">
            <v/>
          </cell>
          <cell r="BY69">
            <v>0</v>
          </cell>
          <cell r="BZ69">
            <v>0.4</v>
          </cell>
          <cell r="CA69">
            <v>0</v>
          </cell>
          <cell r="CB69">
            <v>0</v>
          </cell>
          <cell r="CC69">
            <v>0</v>
          </cell>
          <cell r="CD69">
            <v>0</v>
          </cell>
          <cell r="CE69" t="e">
            <v>#VALUE!</v>
          </cell>
          <cell r="CF69" t="e">
            <v>#VALUE!</v>
          </cell>
          <cell r="CG69" t="e">
            <v>#VALUE!</v>
          </cell>
          <cell r="CH69">
            <v>1.3</v>
          </cell>
          <cell r="CI69" t="e">
            <v>#VALUE!</v>
          </cell>
          <cell r="CJ69" t="e">
            <v>#VALUE!</v>
          </cell>
          <cell r="CK69" t="e">
            <v>#VALUE!</v>
          </cell>
          <cell r="CL69">
            <v>5</v>
          </cell>
          <cell r="CM69">
            <v>4</v>
          </cell>
        </row>
        <row r="70">
          <cell r="A70">
            <v>59</v>
          </cell>
          <cell r="F70" t="str">
            <v/>
          </cell>
          <cell r="G70" t="str">
            <v/>
          </cell>
          <cell r="J70" t="str">
            <v/>
          </cell>
          <cell r="L70" t="str">
            <v/>
          </cell>
          <cell r="M70" t="str">
            <v/>
          </cell>
          <cell r="N70" t="str">
            <v/>
          </cell>
          <cell r="O70" t="str">
            <v/>
          </cell>
          <cell r="P70" t="str">
            <v/>
          </cell>
          <cell r="S70" t="str">
            <v/>
          </cell>
          <cell r="U70" t="str">
            <v/>
          </cell>
          <cell r="X70">
            <v>0</v>
          </cell>
          <cell r="Y70" t="str">
            <v/>
          </cell>
          <cell r="AA70">
            <v>0</v>
          </cell>
          <cell r="AB70" t="str">
            <v/>
          </cell>
          <cell r="AC70" t="str">
            <v/>
          </cell>
          <cell r="AD70" t="str">
            <v/>
          </cell>
          <cell r="AE70" t="str">
            <v/>
          </cell>
          <cell r="AF70" t="str">
            <v/>
          </cell>
          <cell r="AG70" t="str">
            <v/>
          </cell>
          <cell r="AH70" t="str">
            <v/>
          </cell>
          <cell r="AI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v>0</v>
          </cell>
          <cell r="BP70" t="str">
            <v/>
          </cell>
          <cell r="BQ70">
            <v>0</v>
          </cell>
          <cell r="BR70" t="str">
            <v/>
          </cell>
          <cell r="BS70" t="str">
            <v/>
          </cell>
          <cell r="BT70" t="str">
            <v/>
          </cell>
          <cell r="BU70" t="str">
            <v/>
          </cell>
          <cell r="BV70" t="str">
            <v/>
          </cell>
          <cell r="BW70" t="str">
            <v/>
          </cell>
          <cell r="BX70" t="str">
            <v/>
          </cell>
          <cell r="BY70">
            <v>0</v>
          </cell>
          <cell r="BZ70">
            <v>0.4</v>
          </cell>
          <cell r="CA70">
            <v>0</v>
          </cell>
          <cell r="CB70">
            <v>0</v>
          </cell>
          <cell r="CC70">
            <v>0</v>
          </cell>
          <cell r="CD70">
            <v>0</v>
          </cell>
          <cell r="CE70" t="e">
            <v>#VALUE!</v>
          </cell>
          <cell r="CF70" t="e">
            <v>#VALUE!</v>
          </cell>
          <cell r="CG70" t="e">
            <v>#VALUE!</v>
          </cell>
          <cell r="CH70">
            <v>1.3</v>
          </cell>
          <cell r="CI70" t="e">
            <v>#VALUE!</v>
          </cell>
          <cell r="CJ70" t="e">
            <v>#VALUE!</v>
          </cell>
          <cell r="CK70" t="e">
            <v>#VALUE!</v>
          </cell>
          <cell r="CL70">
            <v>5</v>
          </cell>
          <cell r="CM70">
            <v>4</v>
          </cell>
        </row>
        <row r="71">
          <cell r="A71">
            <v>60</v>
          </cell>
          <cell r="F71" t="str">
            <v/>
          </cell>
          <cell r="G71" t="str">
            <v/>
          </cell>
          <cell r="J71" t="str">
            <v/>
          </cell>
          <cell r="L71" t="str">
            <v/>
          </cell>
          <cell r="M71" t="str">
            <v/>
          </cell>
          <cell r="N71" t="str">
            <v/>
          </cell>
          <cell r="O71" t="str">
            <v/>
          </cell>
          <cell r="P71" t="str">
            <v/>
          </cell>
          <cell r="S71" t="str">
            <v/>
          </cell>
          <cell r="U71" t="str">
            <v/>
          </cell>
          <cell r="X71">
            <v>0</v>
          </cell>
          <cell r="Y71" t="str">
            <v/>
          </cell>
          <cell r="AA71">
            <v>0</v>
          </cell>
          <cell r="AB71" t="str">
            <v/>
          </cell>
          <cell r="AC71" t="str">
            <v/>
          </cell>
          <cell r="AD71" t="str">
            <v/>
          </cell>
          <cell r="AE71" t="str">
            <v/>
          </cell>
          <cell r="AF71" t="str">
            <v/>
          </cell>
          <cell r="AG71" t="str">
            <v/>
          </cell>
          <cell r="AH71" t="str">
            <v/>
          </cell>
          <cell r="AI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v>0</v>
          </cell>
          <cell r="BP71" t="str">
            <v/>
          </cell>
          <cell r="BQ71">
            <v>0</v>
          </cell>
          <cell r="BR71" t="str">
            <v/>
          </cell>
          <cell r="BS71" t="str">
            <v/>
          </cell>
          <cell r="BT71" t="str">
            <v/>
          </cell>
          <cell r="BU71" t="str">
            <v/>
          </cell>
          <cell r="BV71" t="str">
            <v/>
          </cell>
          <cell r="BW71" t="str">
            <v/>
          </cell>
          <cell r="BX71" t="str">
            <v/>
          </cell>
          <cell r="BY71">
            <v>0</v>
          </cell>
          <cell r="BZ71">
            <v>0.4</v>
          </cell>
          <cell r="CA71">
            <v>0</v>
          </cell>
          <cell r="CB71">
            <v>0</v>
          </cell>
          <cell r="CC71">
            <v>0</v>
          </cell>
          <cell r="CD71">
            <v>0</v>
          </cell>
          <cell r="CE71" t="e">
            <v>#VALUE!</v>
          </cell>
          <cell r="CF71" t="e">
            <v>#VALUE!</v>
          </cell>
          <cell r="CG71" t="e">
            <v>#VALUE!</v>
          </cell>
          <cell r="CH71">
            <v>1.3</v>
          </cell>
          <cell r="CI71" t="e">
            <v>#VALUE!</v>
          </cell>
          <cell r="CJ71" t="e">
            <v>#VALUE!</v>
          </cell>
          <cell r="CK71" t="e">
            <v>#VALUE!</v>
          </cell>
          <cell r="CL71">
            <v>5</v>
          </cell>
          <cell r="CM71">
            <v>4</v>
          </cell>
        </row>
      </sheetData>
      <sheetData sheetId="4" refreshError="1"/>
      <sheetData sheetId="5" refreshError="1"/>
      <sheetData sheetId="6" refreshError="1"/>
      <sheetData sheetId="7" refreshError="1"/>
      <sheetData sheetId="8">
        <row r="12">
          <cell r="A12">
            <v>1</v>
          </cell>
        </row>
      </sheetData>
      <sheetData sheetId="9"/>
      <sheetData sheetId="10"/>
      <sheetData sheetId="11">
        <row r="12">
          <cell r="A12">
            <v>1</v>
          </cell>
        </row>
      </sheetData>
      <sheetData sheetId="12"/>
      <sheetData sheetId="13"/>
      <sheetData sheetId="14"/>
      <sheetData sheetId="15"/>
      <sheetData sheetId="16"/>
      <sheetData sheetId="17"/>
      <sheetData sheetId="18"/>
      <sheetData sheetId="1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
      <sheetName val="Ene-Mar EEPPM"/>
      <sheetName val="Ene-Mar Contrato"/>
      <sheetName val="Rendimientos_Sur 03-00(JC)"/>
      <sheetName val="Ene-Feb"/>
      <sheetName val="Mar-Abr"/>
      <sheetName val="May-Jun"/>
      <sheetName val="Jul-Ago"/>
      <sheetName val="Sep-Oct"/>
      <sheetName val="DATOS EPANET"/>
      <sheetName val="Ene-Mar_EEPPM2"/>
      <sheetName val="Ene-Mar_Contrato2"/>
      <sheetName val="Rendimientos_Sur_03-00(JC)2"/>
      <sheetName val="Ene-Mar_EEPPM"/>
      <sheetName val="Ene-Mar_Contrato"/>
      <sheetName val="Rendimientos_Sur_03-00(JC)"/>
      <sheetName val="Ene-Mar_EEPPM1"/>
      <sheetName val="Ene-Mar_Contrato1"/>
      <sheetName val="Rendimientos_Sur_03-00(JC)1"/>
      <sheetName val="Presupuesto_Via_distribuidora"/>
      <sheetName val="Base de Diseño"/>
    </sheetNames>
    <sheetDataSet>
      <sheetData sheetId="0" refreshError="1">
        <row r="12">
          <cell r="A12" t="str">
            <v>CAMBIO ACOMETIDAS CONTRATO</v>
          </cell>
          <cell r="B12">
            <v>1</v>
          </cell>
          <cell r="C12">
            <v>0</v>
          </cell>
          <cell r="E12">
            <v>0</v>
          </cell>
          <cell r="F12" t="str">
            <v/>
          </cell>
          <cell r="G12" t="str">
            <v/>
          </cell>
          <cell r="H12">
            <v>0</v>
          </cell>
        </row>
        <row r="13">
          <cell r="A13" t="str">
            <v>CARROTANQUE</v>
          </cell>
          <cell r="B13">
            <v>135</v>
          </cell>
          <cell r="C13">
            <v>0</v>
          </cell>
          <cell r="D13">
            <v>1</v>
          </cell>
          <cell r="E13">
            <v>28</v>
          </cell>
          <cell r="F13">
            <v>4.8</v>
          </cell>
          <cell r="G13">
            <v>4.8</v>
          </cell>
          <cell r="H13">
            <v>0</v>
          </cell>
        </row>
        <row r="14">
          <cell r="A14" t="str">
            <v>CASAS SIN AGUA</v>
          </cell>
          <cell r="B14">
            <v>291</v>
          </cell>
          <cell r="C14">
            <v>242</v>
          </cell>
          <cell r="D14">
            <v>1</v>
          </cell>
          <cell r="E14">
            <v>28</v>
          </cell>
          <cell r="F14">
            <v>10.4</v>
          </cell>
          <cell r="G14">
            <v>19</v>
          </cell>
          <cell r="H14">
            <v>0.45403377110694182</v>
          </cell>
        </row>
        <row r="15">
          <cell r="A15" t="str">
            <v>CORTE Y RECONEXION</v>
          </cell>
          <cell r="B15">
            <v>14</v>
          </cell>
          <cell r="C15">
            <v>7</v>
          </cell>
          <cell r="E15">
            <v>0</v>
          </cell>
          <cell r="F15" t="str">
            <v/>
          </cell>
          <cell r="G15" t="str">
            <v/>
          </cell>
          <cell r="H15">
            <v>0.33333333333333331</v>
          </cell>
        </row>
        <row r="16">
          <cell r="A16" t="str">
            <v>DAÑOS ACUEDUCTO</v>
          </cell>
          <cell r="B16">
            <v>384</v>
          </cell>
          <cell r="C16">
            <v>87</v>
          </cell>
          <cell r="D16">
            <v>7.7142857142857144</v>
          </cell>
          <cell r="E16">
            <v>28</v>
          </cell>
          <cell r="F16">
            <v>1.8</v>
          </cell>
          <cell r="G16">
            <v>2.2000000000000002</v>
          </cell>
          <cell r="H16">
            <v>0.18471337579617833</v>
          </cell>
        </row>
        <row r="17">
          <cell r="A17" t="str">
            <v>ESCOMBROS DAÑOS ACUEDUCTO</v>
          </cell>
          <cell r="B17">
            <v>138</v>
          </cell>
          <cell r="C17">
            <v>2</v>
          </cell>
          <cell r="D17">
            <v>1</v>
          </cell>
          <cell r="E17">
            <v>28</v>
          </cell>
          <cell r="F17">
            <v>4.9000000000000004</v>
          </cell>
          <cell r="G17">
            <v>5</v>
          </cell>
          <cell r="H17">
            <v>1.4285714285714285E-2</v>
          </cell>
        </row>
        <row r="18">
          <cell r="A18" t="str">
            <v>FRAUDES</v>
          </cell>
          <cell r="B18">
            <v>123</v>
          </cell>
          <cell r="C18">
            <v>238</v>
          </cell>
          <cell r="D18">
            <v>1</v>
          </cell>
          <cell r="E18">
            <v>19</v>
          </cell>
          <cell r="F18">
            <v>6.5</v>
          </cell>
          <cell r="G18">
            <v>19</v>
          </cell>
          <cell r="H18">
            <v>0.65927977839335183</v>
          </cell>
        </row>
        <row r="19">
          <cell r="A19" t="str">
            <v>GARANTIAS INSTALACIONES</v>
          </cell>
          <cell r="B19">
            <v>17</v>
          </cell>
          <cell r="C19">
            <v>1</v>
          </cell>
          <cell r="E19">
            <v>0</v>
          </cell>
          <cell r="F19" t="str">
            <v/>
          </cell>
          <cell r="G19" t="str">
            <v/>
          </cell>
          <cell r="H19">
            <v>5.5555555555555552E-2</v>
          </cell>
        </row>
        <row r="20">
          <cell r="A20" t="str">
            <v>INSTALACIONES ACUEDUCTO</v>
          </cell>
          <cell r="B20">
            <v>2</v>
          </cell>
          <cell r="C20">
            <v>22</v>
          </cell>
          <cell r="E20">
            <v>0</v>
          </cell>
          <cell r="F20" t="str">
            <v/>
          </cell>
          <cell r="G20" t="str">
            <v/>
          </cell>
          <cell r="H20">
            <v>0.91666666666666663</v>
          </cell>
        </row>
        <row r="21">
          <cell r="A21" t="str">
            <v>MEDIDORES 1/2 Y 1"</v>
          </cell>
          <cell r="B21">
            <v>1</v>
          </cell>
          <cell r="C21">
            <v>1</v>
          </cell>
          <cell r="E21">
            <v>0</v>
          </cell>
          <cell r="F21" t="str">
            <v/>
          </cell>
          <cell r="G21" t="str">
            <v/>
          </cell>
          <cell r="H21">
            <v>0.5</v>
          </cell>
        </row>
        <row r="22">
          <cell r="A22" t="str">
            <v>MMTO VALVULAS E HIDRANTES</v>
          </cell>
          <cell r="B22">
            <v>15</v>
          </cell>
          <cell r="C22">
            <v>4</v>
          </cell>
          <cell r="D22">
            <v>1.5</v>
          </cell>
          <cell r="E22">
            <v>28</v>
          </cell>
          <cell r="F22">
            <v>0.4</v>
          </cell>
          <cell r="G22">
            <v>0.5</v>
          </cell>
          <cell r="H22">
            <v>0.21052631578947367</v>
          </cell>
        </row>
        <row r="23">
          <cell r="A23" t="str">
            <v>OBRAS ACCESORIAS DAÑOS ACUEDUCTO</v>
          </cell>
          <cell r="B23">
            <v>3</v>
          </cell>
          <cell r="C23">
            <v>8</v>
          </cell>
          <cell r="E23">
            <v>0</v>
          </cell>
          <cell r="F23" t="str">
            <v/>
          </cell>
          <cell r="G23" t="str">
            <v/>
          </cell>
          <cell r="H23">
            <v>0.72727272727272729</v>
          </cell>
        </row>
        <row r="24">
          <cell r="A24" t="str">
            <v>OBRAS ACCESORIAS INSTALACIONES</v>
          </cell>
          <cell r="B24">
            <v>405</v>
          </cell>
          <cell r="C24">
            <v>0</v>
          </cell>
          <cell r="E24">
            <v>0</v>
          </cell>
          <cell r="F24" t="str">
            <v/>
          </cell>
          <cell r="G24" t="str">
            <v/>
          </cell>
          <cell r="H24">
            <v>0</v>
          </cell>
        </row>
        <row r="25">
          <cell r="A25" t="str">
            <v>PITOMETRÍA</v>
          </cell>
          <cell r="B25">
            <v>46</v>
          </cell>
          <cell r="C25">
            <v>25</v>
          </cell>
          <cell r="D25">
            <v>2.1111111111111112</v>
          </cell>
          <cell r="E25">
            <v>9</v>
          </cell>
          <cell r="F25">
            <v>2.4</v>
          </cell>
          <cell r="G25">
            <v>3.7</v>
          </cell>
          <cell r="H25">
            <v>0.352112676056338</v>
          </cell>
        </row>
        <row r="26">
          <cell r="A26" t="str">
            <v>PROYECTOS ACUEDUCTO</v>
          </cell>
          <cell r="B26">
            <v>21</v>
          </cell>
          <cell r="C26">
            <v>1</v>
          </cell>
          <cell r="E26">
            <v>0</v>
          </cell>
          <cell r="F26" t="str">
            <v/>
          </cell>
          <cell r="G26" t="str">
            <v/>
          </cell>
          <cell r="H26">
            <v>4.5454545454545456E-2</v>
          </cell>
        </row>
        <row r="27">
          <cell r="A27" t="str">
            <v>REFERENCIACIÓN ACUEDUCTO</v>
          </cell>
          <cell r="B27">
            <v>7</v>
          </cell>
          <cell r="C27">
            <v>5</v>
          </cell>
          <cell r="E27">
            <v>0</v>
          </cell>
          <cell r="F27" t="str">
            <v/>
          </cell>
          <cell r="G27" t="str">
            <v/>
          </cell>
          <cell r="H27">
            <v>0.41666666666666669</v>
          </cell>
        </row>
        <row r="28">
          <cell r="F28" t="str">
            <v/>
          </cell>
          <cell r="G28" t="str">
            <v/>
          </cell>
          <cell r="H28" t="str">
            <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1603</v>
          </cell>
          <cell r="C33">
            <v>643</v>
          </cell>
          <cell r="F33" t="str">
            <v/>
          </cell>
          <cell r="G33" t="str">
            <v/>
          </cell>
          <cell r="H33">
            <v>0.28628673196794302</v>
          </cell>
        </row>
        <row r="34">
          <cell r="F34" t="str">
            <v/>
          </cell>
          <cell r="G34" t="str">
            <v/>
          </cell>
          <cell r="H34" t="str">
            <v/>
          </cell>
        </row>
        <row r="35">
          <cell r="A35" t="str">
            <v>CAMBIO ACOMETIDAS CONTRATO</v>
          </cell>
          <cell r="B35">
            <v>210</v>
          </cell>
          <cell r="C35">
            <v>1</v>
          </cell>
          <cell r="D35">
            <v>3</v>
          </cell>
          <cell r="E35">
            <v>19</v>
          </cell>
          <cell r="F35">
            <v>3.7</v>
          </cell>
          <cell r="G35">
            <v>3.7</v>
          </cell>
          <cell r="H35">
            <v>4.7393364928909956E-3</v>
          </cell>
        </row>
        <row r="36">
          <cell r="A36" t="str">
            <v>CARROTANQUE</v>
          </cell>
          <cell r="B36">
            <v>1</v>
          </cell>
          <cell r="C36">
            <v>0</v>
          </cell>
          <cell r="F36" t="str">
            <v/>
          </cell>
          <cell r="G36" t="str">
            <v/>
          </cell>
          <cell r="H36">
            <v>0</v>
          </cell>
        </row>
        <row r="37">
          <cell r="A37" t="str">
            <v>CASAS SIN AGUA</v>
          </cell>
          <cell r="B37">
            <v>0</v>
          </cell>
          <cell r="C37">
            <v>1</v>
          </cell>
          <cell r="F37" t="str">
            <v/>
          </cell>
          <cell r="G37" t="str">
            <v/>
          </cell>
          <cell r="H37">
            <v>1</v>
          </cell>
        </row>
        <row r="38">
          <cell r="A38" t="str">
            <v>CORTE Y RECONEXION</v>
          </cell>
          <cell r="B38">
            <v>584</v>
          </cell>
          <cell r="C38">
            <v>18</v>
          </cell>
          <cell r="D38">
            <v>1</v>
          </cell>
          <cell r="E38">
            <v>19</v>
          </cell>
          <cell r="F38">
            <v>30.7</v>
          </cell>
          <cell r="G38">
            <v>31.7</v>
          </cell>
          <cell r="H38">
            <v>2.9900332225913623E-2</v>
          </cell>
        </row>
        <row r="39">
          <cell r="A39" t="str">
            <v>DAÑOS ACUEDUCTO</v>
          </cell>
          <cell r="B39">
            <v>35</v>
          </cell>
          <cell r="C39">
            <v>0</v>
          </cell>
          <cell r="F39" t="str">
            <v/>
          </cell>
          <cell r="G39" t="str">
            <v/>
          </cell>
          <cell r="H39">
            <v>0</v>
          </cell>
        </row>
        <row r="40">
          <cell r="A40" t="str">
            <v>FRAUDES</v>
          </cell>
          <cell r="B40">
            <v>2</v>
          </cell>
          <cell r="C40">
            <v>0</v>
          </cell>
          <cell r="F40" t="str">
            <v/>
          </cell>
          <cell r="G40" t="str">
            <v/>
          </cell>
          <cell r="H40">
            <v>0</v>
          </cell>
        </row>
        <row r="41">
          <cell r="A41" t="str">
            <v>GARANTIAS INSTALACIONES</v>
          </cell>
          <cell r="B41">
            <v>14</v>
          </cell>
          <cell r="C41">
            <v>0</v>
          </cell>
          <cell r="D41">
            <v>1</v>
          </cell>
          <cell r="E41">
            <v>19</v>
          </cell>
          <cell r="F41">
            <v>0.7</v>
          </cell>
          <cell r="G41">
            <v>0.7</v>
          </cell>
          <cell r="H41">
            <v>0</v>
          </cell>
        </row>
        <row r="42">
          <cell r="A42" t="str">
            <v>INSTALACIONES ACUEDUCTO</v>
          </cell>
          <cell r="B42">
            <v>284</v>
          </cell>
          <cell r="C42">
            <v>4</v>
          </cell>
          <cell r="D42">
            <v>5</v>
          </cell>
          <cell r="E42">
            <v>19</v>
          </cell>
          <cell r="F42">
            <v>3</v>
          </cell>
          <cell r="G42">
            <v>3</v>
          </cell>
          <cell r="H42">
            <v>1.3888888888888888E-2</v>
          </cell>
        </row>
        <row r="43">
          <cell r="A43" t="str">
            <v>MEDIDORES 1/2 Y 1"</v>
          </cell>
          <cell r="B43">
            <v>264</v>
          </cell>
          <cell r="C43">
            <v>2</v>
          </cell>
          <cell r="D43">
            <v>4</v>
          </cell>
          <cell r="E43">
            <v>19</v>
          </cell>
          <cell r="F43">
            <v>3.5</v>
          </cell>
          <cell r="G43">
            <v>3.5</v>
          </cell>
          <cell r="H43">
            <v>7.5187969924812026E-3</v>
          </cell>
        </row>
        <row r="44">
          <cell r="A44" t="str">
            <v>MMTO VALVULAS E HIDRANTES</v>
          </cell>
          <cell r="B44">
            <v>71</v>
          </cell>
          <cell r="C44">
            <v>0</v>
          </cell>
          <cell r="D44">
            <v>3</v>
          </cell>
          <cell r="E44">
            <v>19</v>
          </cell>
          <cell r="F44">
            <v>1.2</v>
          </cell>
          <cell r="G44">
            <v>1.2</v>
          </cell>
          <cell r="H44">
            <v>0</v>
          </cell>
        </row>
        <row r="45">
          <cell r="A45" t="str">
            <v>OBRAS ACCESORIAS DAÑOS ACUEDUCTO</v>
          </cell>
          <cell r="B45">
            <v>92</v>
          </cell>
          <cell r="C45">
            <v>0</v>
          </cell>
          <cell r="D45">
            <v>3</v>
          </cell>
          <cell r="E45">
            <v>19</v>
          </cell>
          <cell r="F45">
            <v>1.6</v>
          </cell>
          <cell r="G45">
            <v>1.6</v>
          </cell>
          <cell r="H45">
            <v>0</v>
          </cell>
        </row>
        <row r="46">
          <cell r="A46" t="str">
            <v>OBRAS ACCESORIAS INSTALACIONES</v>
          </cell>
          <cell r="B46">
            <v>3</v>
          </cell>
          <cell r="C46">
            <v>0</v>
          </cell>
          <cell r="D46">
            <v>1</v>
          </cell>
          <cell r="E46">
            <v>19</v>
          </cell>
          <cell r="F46">
            <v>0.2</v>
          </cell>
          <cell r="G46">
            <v>0.2</v>
          </cell>
          <cell r="H46">
            <v>0</v>
          </cell>
        </row>
        <row r="47">
          <cell r="A47" t="str">
            <v>REFERENCIACIÓN ACUEDUCTO</v>
          </cell>
          <cell r="B47">
            <v>1</v>
          </cell>
          <cell r="C47">
            <v>0</v>
          </cell>
          <cell r="F47" t="str">
            <v/>
          </cell>
          <cell r="G47" t="str">
            <v/>
          </cell>
          <cell r="H47">
            <v>0</v>
          </cell>
        </row>
        <row r="48">
          <cell r="F48" t="str">
            <v/>
          </cell>
          <cell r="G48" t="str">
            <v/>
          </cell>
          <cell r="H48" t="str">
            <v/>
          </cell>
        </row>
        <row r="49">
          <cell r="F49" t="str">
            <v/>
          </cell>
          <cell r="G49" t="str">
            <v/>
          </cell>
          <cell r="H49" t="str">
            <v/>
          </cell>
        </row>
        <row r="51">
          <cell r="A51" t="str">
            <v>Total general</v>
          </cell>
          <cell r="B51">
            <v>1561</v>
          </cell>
          <cell r="C51">
            <v>26</v>
          </cell>
          <cell r="F51" t="str">
            <v/>
          </cell>
          <cell r="G51" t="str">
            <v/>
          </cell>
          <cell r="H51">
            <v>1.6383112791430371E-2</v>
          </cell>
        </row>
      </sheetData>
      <sheetData sheetId="1" refreshError="1">
        <row r="12">
          <cell r="A12" t="str">
            <v>CAMBIO ACOMETIDAS CONTRATO</v>
          </cell>
          <cell r="B12">
            <v>3</v>
          </cell>
          <cell r="C12">
            <v>14</v>
          </cell>
          <cell r="E12">
            <v>0</v>
          </cell>
          <cell r="F12" t="str">
            <v/>
          </cell>
          <cell r="G12" t="str">
            <v/>
          </cell>
          <cell r="H12">
            <v>0.82352941176470584</v>
          </cell>
        </row>
        <row r="13">
          <cell r="A13" t="str">
            <v>CARROTANQUE</v>
          </cell>
          <cell r="B13">
            <v>84</v>
          </cell>
          <cell r="C13">
            <v>3</v>
          </cell>
          <cell r="D13">
            <v>1</v>
          </cell>
          <cell r="E13">
            <v>28</v>
          </cell>
          <cell r="F13">
            <v>3</v>
          </cell>
          <cell r="G13">
            <v>3.1</v>
          </cell>
          <cell r="H13">
            <v>3.4482758620689655E-2</v>
          </cell>
        </row>
        <row r="14">
          <cell r="A14" t="str">
            <v>CASAS SIN AGUA</v>
          </cell>
          <cell r="B14">
            <v>250</v>
          </cell>
          <cell r="C14">
            <v>313</v>
          </cell>
          <cell r="D14">
            <v>1</v>
          </cell>
          <cell r="E14">
            <v>28</v>
          </cell>
          <cell r="F14">
            <v>8.9</v>
          </cell>
          <cell r="G14">
            <v>20.100000000000001</v>
          </cell>
          <cell r="H14">
            <v>0.55595026642984013</v>
          </cell>
        </row>
        <row r="15">
          <cell r="A15" t="str">
            <v>CORTE Y RECONEXION</v>
          </cell>
          <cell r="B15">
            <v>2</v>
          </cell>
          <cell r="C15">
            <v>3</v>
          </cell>
          <cell r="E15">
            <v>0</v>
          </cell>
          <cell r="F15" t="str">
            <v/>
          </cell>
          <cell r="G15" t="str">
            <v/>
          </cell>
          <cell r="H15">
            <v>0.6</v>
          </cell>
        </row>
        <row r="16">
          <cell r="A16" t="str">
            <v>DAÑOS ACUEDUCTO</v>
          </cell>
          <cell r="B16">
            <v>580</v>
          </cell>
          <cell r="C16">
            <v>109</v>
          </cell>
          <cell r="D16">
            <v>8.2857142857142865</v>
          </cell>
          <cell r="E16">
            <v>28</v>
          </cell>
          <cell r="F16">
            <v>2.5</v>
          </cell>
          <cell r="G16">
            <v>3</v>
          </cell>
          <cell r="H16">
            <v>0.15820029027576196</v>
          </cell>
        </row>
        <row r="17">
          <cell r="A17" t="str">
            <v>ESCOMBROS DAÑOS ACUEDUCTO</v>
          </cell>
          <cell r="B17">
            <v>131</v>
          </cell>
          <cell r="C17">
            <v>6</v>
          </cell>
          <cell r="D17">
            <v>1</v>
          </cell>
          <cell r="E17">
            <v>28</v>
          </cell>
          <cell r="F17">
            <v>4.7</v>
          </cell>
          <cell r="G17">
            <v>4.9000000000000004</v>
          </cell>
          <cell r="H17">
            <v>4.3795620437956206E-2</v>
          </cell>
        </row>
        <row r="18">
          <cell r="A18" t="str">
            <v>FRAUDES</v>
          </cell>
          <cell r="B18">
            <v>384</v>
          </cell>
          <cell r="C18">
            <v>127</v>
          </cell>
          <cell r="D18">
            <v>1</v>
          </cell>
          <cell r="E18">
            <v>21</v>
          </cell>
          <cell r="F18">
            <v>18.3</v>
          </cell>
          <cell r="G18">
            <v>24.3</v>
          </cell>
          <cell r="H18">
            <v>0.24853228962818003</v>
          </cell>
        </row>
        <row r="19">
          <cell r="A19" t="str">
            <v>GARANTIAS INSTALACIONES</v>
          </cell>
          <cell r="B19">
            <v>30</v>
          </cell>
          <cell r="C19">
            <v>8</v>
          </cell>
          <cell r="E19">
            <v>0</v>
          </cell>
          <cell r="F19" t="str">
            <v/>
          </cell>
          <cell r="G19" t="str">
            <v/>
          </cell>
          <cell r="H19">
            <v>0.21052631578947367</v>
          </cell>
        </row>
        <row r="20">
          <cell r="A20" t="str">
            <v>INSTALACIONES ACUEDUCTO</v>
          </cell>
          <cell r="B20">
            <v>1</v>
          </cell>
          <cell r="C20">
            <v>55</v>
          </cell>
          <cell r="E20">
            <v>0</v>
          </cell>
          <cell r="F20" t="str">
            <v/>
          </cell>
          <cell r="G20" t="str">
            <v/>
          </cell>
          <cell r="H20">
            <v>0.9821428571428571</v>
          </cell>
        </row>
        <row r="21">
          <cell r="A21" t="str">
            <v>MMTO VALVULAS E HIDRANTES</v>
          </cell>
          <cell r="B21">
            <v>7</v>
          </cell>
          <cell r="C21">
            <v>7</v>
          </cell>
          <cell r="D21">
            <v>1.7142857142857142</v>
          </cell>
          <cell r="E21">
            <v>28</v>
          </cell>
          <cell r="F21">
            <v>0.1</v>
          </cell>
          <cell r="G21">
            <v>0.3</v>
          </cell>
          <cell r="H21">
            <v>0.5</v>
          </cell>
        </row>
        <row r="22">
          <cell r="A22" t="str">
            <v>OBRAS ACCESORIAS DAÑOS ACUEDUCTO</v>
          </cell>
          <cell r="B22">
            <v>1</v>
          </cell>
          <cell r="C22">
            <v>4</v>
          </cell>
          <cell r="E22">
            <v>0</v>
          </cell>
          <cell r="F22" t="str">
            <v/>
          </cell>
          <cell r="G22" t="str">
            <v/>
          </cell>
          <cell r="H22">
            <v>0.8</v>
          </cell>
        </row>
        <row r="23">
          <cell r="A23" t="str">
            <v>OBRAS ACCESORIAS INSTALACIONES</v>
          </cell>
          <cell r="B23">
            <v>415</v>
          </cell>
          <cell r="C23">
            <v>0</v>
          </cell>
          <cell r="E23">
            <v>0</v>
          </cell>
          <cell r="F23" t="str">
            <v/>
          </cell>
          <cell r="G23" t="str">
            <v/>
          </cell>
          <cell r="H23">
            <v>0</v>
          </cell>
        </row>
        <row r="24">
          <cell r="A24" t="str">
            <v>PITOMETRÍA</v>
          </cell>
          <cell r="B24">
            <v>68</v>
          </cell>
          <cell r="C24">
            <v>24</v>
          </cell>
          <cell r="D24">
            <v>3.0833333333333335</v>
          </cell>
          <cell r="E24">
            <v>12</v>
          </cell>
          <cell r="F24">
            <v>1.8</v>
          </cell>
          <cell r="G24">
            <v>2.5</v>
          </cell>
          <cell r="H24">
            <v>0.2608695652173913</v>
          </cell>
        </row>
        <row r="25">
          <cell r="A25" t="str">
            <v>PROYECTOS ACUEDUCTO</v>
          </cell>
          <cell r="B25">
            <v>4</v>
          </cell>
          <cell r="C25">
            <v>0</v>
          </cell>
          <cell r="E25">
            <v>0</v>
          </cell>
          <cell r="F25" t="str">
            <v/>
          </cell>
          <cell r="G25" t="str">
            <v/>
          </cell>
          <cell r="H25">
            <v>0</v>
          </cell>
        </row>
        <row r="26">
          <cell r="A26" t="str">
            <v>REFERENCIACIÓN ACUEDUCTO</v>
          </cell>
          <cell r="B26">
            <v>12</v>
          </cell>
          <cell r="C26">
            <v>4</v>
          </cell>
          <cell r="E26">
            <v>0</v>
          </cell>
          <cell r="F26" t="str">
            <v/>
          </cell>
          <cell r="G26" t="str">
            <v/>
          </cell>
          <cell r="H26">
            <v>0.25</v>
          </cell>
        </row>
        <row r="27">
          <cell r="F27" t="str">
            <v/>
          </cell>
          <cell r="G27" t="str">
            <v/>
          </cell>
          <cell r="H27" t="str">
            <v/>
          </cell>
        </row>
        <row r="28">
          <cell r="F28" t="str">
            <v/>
          </cell>
          <cell r="G28" t="str">
            <v/>
          </cell>
          <cell r="H28" t="str">
            <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1972</v>
          </cell>
          <cell r="C33">
            <v>677</v>
          </cell>
          <cell r="F33" t="str">
            <v/>
          </cell>
          <cell r="G33" t="str">
            <v/>
          </cell>
          <cell r="H33">
            <v>0.2555681389203473</v>
          </cell>
        </row>
        <row r="35">
          <cell r="A35" t="str">
            <v>CAMBIO ACOMETIDAS CONTRATO</v>
          </cell>
          <cell r="B35">
            <v>212</v>
          </cell>
          <cell r="C35">
            <v>1</v>
          </cell>
          <cell r="D35">
            <v>3</v>
          </cell>
          <cell r="E35">
            <v>21</v>
          </cell>
          <cell r="F35">
            <v>3.4</v>
          </cell>
          <cell r="G35">
            <v>3.4</v>
          </cell>
          <cell r="H35">
            <v>4.6948356807511738E-3</v>
          </cell>
        </row>
        <row r="36">
          <cell r="A36" t="str">
            <v>CASAS SIN AGUA</v>
          </cell>
          <cell r="B36">
            <v>0</v>
          </cell>
          <cell r="C36">
            <v>1</v>
          </cell>
          <cell r="F36" t="str">
            <v/>
          </cell>
          <cell r="G36" t="str">
            <v/>
          </cell>
          <cell r="H36">
            <v>1</v>
          </cell>
        </row>
        <row r="37">
          <cell r="A37" t="str">
            <v>CORTE Y RECONEXION</v>
          </cell>
          <cell r="B37">
            <v>574</v>
          </cell>
          <cell r="C37">
            <v>1</v>
          </cell>
          <cell r="D37">
            <v>1</v>
          </cell>
          <cell r="E37">
            <v>21</v>
          </cell>
          <cell r="F37">
            <v>27.3</v>
          </cell>
          <cell r="G37">
            <v>27.4</v>
          </cell>
          <cell r="H37">
            <v>1.7391304347826088E-3</v>
          </cell>
        </row>
        <row r="38">
          <cell r="A38" t="str">
            <v>DAÑOS ACUEDUCTO</v>
          </cell>
          <cell r="B38">
            <v>2</v>
          </cell>
          <cell r="C38">
            <v>0</v>
          </cell>
          <cell r="F38" t="str">
            <v/>
          </cell>
          <cell r="G38" t="str">
            <v/>
          </cell>
          <cell r="H38">
            <v>0</v>
          </cell>
        </row>
        <row r="39">
          <cell r="A39" t="str">
            <v>FRAUDES</v>
          </cell>
          <cell r="B39">
            <v>5</v>
          </cell>
          <cell r="C39">
            <v>0</v>
          </cell>
          <cell r="F39" t="str">
            <v/>
          </cell>
          <cell r="G39" t="str">
            <v/>
          </cell>
          <cell r="H39">
            <v>0</v>
          </cell>
        </row>
        <row r="40">
          <cell r="A40" t="str">
            <v>GARANTIAS INSTALACIONES</v>
          </cell>
          <cell r="B40">
            <v>16</v>
          </cell>
          <cell r="C40">
            <v>1</v>
          </cell>
          <cell r="D40">
            <v>1</v>
          </cell>
          <cell r="E40">
            <v>21</v>
          </cell>
          <cell r="F40">
            <v>0.8</v>
          </cell>
          <cell r="G40">
            <v>0.8</v>
          </cell>
          <cell r="H40">
            <v>5.8823529411764705E-2</v>
          </cell>
        </row>
        <row r="41">
          <cell r="A41" t="str">
            <v>INSTALACIONES ACUEDUCTO</v>
          </cell>
          <cell r="B41">
            <v>400</v>
          </cell>
          <cell r="C41">
            <v>0</v>
          </cell>
          <cell r="D41">
            <v>5</v>
          </cell>
          <cell r="E41">
            <v>21</v>
          </cell>
          <cell r="F41">
            <v>3.8</v>
          </cell>
          <cell r="G41">
            <v>3.8</v>
          </cell>
          <cell r="H41">
            <v>0</v>
          </cell>
        </row>
        <row r="42">
          <cell r="A42" t="str">
            <v>MEDIDORES 1/2 Y 1"</v>
          </cell>
          <cell r="B42">
            <v>295</v>
          </cell>
          <cell r="C42">
            <v>1</v>
          </cell>
          <cell r="D42">
            <v>4</v>
          </cell>
          <cell r="E42">
            <v>21</v>
          </cell>
          <cell r="F42">
            <v>3.5</v>
          </cell>
          <cell r="G42">
            <v>3.5</v>
          </cell>
          <cell r="H42">
            <v>3.3783783783783786E-3</v>
          </cell>
        </row>
        <row r="43">
          <cell r="A43" t="str">
            <v>MMTO VALVULAS E HIDRANTES</v>
          </cell>
          <cell r="B43">
            <v>48</v>
          </cell>
          <cell r="C43">
            <v>0</v>
          </cell>
          <cell r="D43">
            <v>3</v>
          </cell>
          <cell r="E43">
            <v>21</v>
          </cell>
          <cell r="F43">
            <v>0.8</v>
          </cell>
          <cell r="G43">
            <v>0.8</v>
          </cell>
          <cell r="H43">
            <v>0</v>
          </cell>
        </row>
        <row r="44">
          <cell r="A44" t="str">
            <v>OBRAS ACCESORIAS DAÑOS ACUEDUCTO</v>
          </cell>
          <cell r="B44">
            <v>119</v>
          </cell>
          <cell r="C44">
            <v>0</v>
          </cell>
          <cell r="D44">
            <v>3</v>
          </cell>
          <cell r="E44">
            <v>21</v>
          </cell>
          <cell r="F44">
            <v>1.9</v>
          </cell>
          <cell r="G44">
            <v>1.9</v>
          </cell>
          <cell r="H44">
            <v>0</v>
          </cell>
        </row>
        <row r="45">
          <cell r="A45" t="str">
            <v>OBRAS ACCESORIAS INSTALACIONES</v>
          </cell>
          <cell r="B45">
            <v>8</v>
          </cell>
          <cell r="C45">
            <v>0</v>
          </cell>
          <cell r="D45">
            <v>1</v>
          </cell>
          <cell r="E45">
            <v>21</v>
          </cell>
          <cell r="F45">
            <v>0.4</v>
          </cell>
          <cell r="G45">
            <v>0.4</v>
          </cell>
          <cell r="H45">
            <v>0</v>
          </cell>
        </row>
        <row r="46">
          <cell r="A46" t="str">
            <v>PROYECTOS ACUEDUCTO</v>
          </cell>
          <cell r="B46">
            <v>2</v>
          </cell>
          <cell r="C46">
            <v>0</v>
          </cell>
          <cell r="F46" t="str">
            <v/>
          </cell>
          <cell r="G46" t="str">
            <v/>
          </cell>
          <cell r="H46">
            <v>0</v>
          </cell>
        </row>
        <row r="47">
          <cell r="F47" t="str">
            <v/>
          </cell>
          <cell r="G47" t="str">
            <v/>
          </cell>
          <cell r="H47" t="str">
            <v/>
          </cell>
        </row>
        <row r="48">
          <cell r="F48" t="str">
            <v/>
          </cell>
          <cell r="G48" t="str">
            <v/>
          </cell>
          <cell r="H48" t="str">
            <v/>
          </cell>
        </row>
        <row r="49">
          <cell r="F49" t="str">
            <v/>
          </cell>
          <cell r="G49" t="str">
            <v/>
          </cell>
          <cell r="H49" t="str">
            <v/>
          </cell>
        </row>
        <row r="51">
          <cell r="A51" t="str">
            <v>Total general</v>
          </cell>
          <cell r="B51">
            <v>1681</v>
          </cell>
          <cell r="C51">
            <v>5</v>
          </cell>
          <cell r="F51" t="str">
            <v/>
          </cell>
          <cell r="G51" t="str">
            <v/>
          </cell>
          <cell r="H51">
            <v>2.9655990510083037E-3</v>
          </cell>
        </row>
      </sheetData>
      <sheetData sheetId="2" refreshError="1">
        <row r="12">
          <cell r="A12" t="str">
            <v>CAMBIO ACOMETIDAS CONTRATO</v>
          </cell>
          <cell r="B12">
            <v>9</v>
          </cell>
          <cell r="C12">
            <v>8</v>
          </cell>
          <cell r="E12">
            <v>0</v>
          </cell>
          <cell r="F12" t="str">
            <v/>
          </cell>
          <cell r="G12" t="str">
            <v/>
          </cell>
          <cell r="H12">
            <v>0.47058823529411764</v>
          </cell>
        </row>
        <row r="13">
          <cell r="A13" t="str">
            <v>CARROTANQUE</v>
          </cell>
          <cell r="B13">
            <v>47</v>
          </cell>
          <cell r="C13">
            <v>0</v>
          </cell>
          <cell r="D13">
            <v>1</v>
          </cell>
          <cell r="E13">
            <v>35</v>
          </cell>
          <cell r="F13">
            <v>1.3</v>
          </cell>
          <cell r="G13">
            <v>1.3</v>
          </cell>
          <cell r="H13">
            <v>0</v>
          </cell>
        </row>
        <row r="14">
          <cell r="A14" t="str">
            <v>CASAS SIN AGUA</v>
          </cell>
          <cell r="B14">
            <v>277</v>
          </cell>
          <cell r="C14">
            <v>396</v>
          </cell>
          <cell r="D14">
            <v>1</v>
          </cell>
          <cell r="E14">
            <v>35</v>
          </cell>
          <cell r="F14">
            <v>7.9</v>
          </cell>
          <cell r="G14">
            <v>19.2</v>
          </cell>
          <cell r="H14">
            <v>0.58841010401188709</v>
          </cell>
        </row>
        <row r="15">
          <cell r="A15" t="str">
            <v>CORTE Y RECONEXION</v>
          </cell>
          <cell r="B15">
            <v>5</v>
          </cell>
          <cell r="C15">
            <v>4</v>
          </cell>
          <cell r="E15">
            <v>0</v>
          </cell>
          <cell r="F15" t="str">
            <v/>
          </cell>
          <cell r="G15" t="str">
            <v/>
          </cell>
          <cell r="H15">
            <v>0.44444444444444442</v>
          </cell>
        </row>
        <row r="16">
          <cell r="A16" t="str">
            <v>DAÑOS ACUEDUCTO</v>
          </cell>
          <cell r="B16">
            <v>948</v>
          </cell>
          <cell r="C16">
            <v>86</v>
          </cell>
          <cell r="D16">
            <v>8.1142857142857157</v>
          </cell>
          <cell r="E16">
            <v>35</v>
          </cell>
          <cell r="F16">
            <v>3.3</v>
          </cell>
          <cell r="G16">
            <v>3.6</v>
          </cell>
          <cell r="H16">
            <v>8.3172147001934232E-2</v>
          </cell>
        </row>
        <row r="17">
          <cell r="A17" t="str">
            <v>ESCOMBROS DAÑOS ACUEDUCTO</v>
          </cell>
          <cell r="B17">
            <v>122</v>
          </cell>
          <cell r="C17">
            <v>8</v>
          </cell>
          <cell r="D17">
            <v>1</v>
          </cell>
          <cell r="E17">
            <v>35</v>
          </cell>
          <cell r="F17">
            <v>3.5</v>
          </cell>
          <cell r="G17">
            <v>3.7</v>
          </cell>
          <cell r="H17">
            <v>6.1538461538461542E-2</v>
          </cell>
        </row>
        <row r="18">
          <cell r="A18" t="str">
            <v>FRAUDES</v>
          </cell>
          <cell r="B18">
            <v>315</v>
          </cell>
          <cell r="C18">
            <v>26</v>
          </cell>
          <cell r="D18">
            <v>1</v>
          </cell>
          <cell r="E18">
            <v>21</v>
          </cell>
          <cell r="F18">
            <v>15</v>
          </cell>
          <cell r="G18">
            <v>16.2</v>
          </cell>
          <cell r="H18">
            <v>7.6246334310850442E-2</v>
          </cell>
        </row>
        <row r="19">
          <cell r="A19" t="str">
            <v>GARANTIAS INSTALACIONES</v>
          </cell>
          <cell r="B19">
            <v>19</v>
          </cell>
          <cell r="C19">
            <v>18</v>
          </cell>
          <cell r="E19">
            <v>0</v>
          </cell>
          <cell r="F19" t="str">
            <v/>
          </cell>
          <cell r="G19" t="str">
            <v/>
          </cell>
          <cell r="H19">
            <v>0.48648648648648651</v>
          </cell>
        </row>
        <row r="20">
          <cell r="A20" t="str">
            <v>INSTALACIONES ACUEDUCTO</v>
          </cell>
          <cell r="B20">
            <v>6</v>
          </cell>
          <cell r="C20">
            <v>50</v>
          </cell>
          <cell r="E20">
            <v>0</v>
          </cell>
          <cell r="F20" t="str">
            <v/>
          </cell>
          <cell r="G20" t="str">
            <v/>
          </cell>
          <cell r="H20">
            <v>0.8928571428571429</v>
          </cell>
        </row>
        <row r="21">
          <cell r="A21" t="str">
            <v>MEDIDORES 1/2 Y 1"</v>
          </cell>
          <cell r="B21">
            <v>1</v>
          </cell>
          <cell r="C21">
            <v>22</v>
          </cell>
          <cell r="E21">
            <v>0</v>
          </cell>
          <cell r="F21" t="str">
            <v/>
          </cell>
          <cell r="G21" t="str">
            <v/>
          </cell>
          <cell r="H21">
            <v>0.95652173913043481</v>
          </cell>
        </row>
        <row r="22">
          <cell r="A22" t="str">
            <v>MMTO VALVULAS E HIDRANTES</v>
          </cell>
          <cell r="B22">
            <v>1</v>
          </cell>
          <cell r="C22">
            <v>13</v>
          </cell>
          <cell r="D22">
            <v>1.6857142857142857</v>
          </cell>
          <cell r="E22">
            <v>35</v>
          </cell>
          <cell r="F22">
            <v>0</v>
          </cell>
          <cell r="G22">
            <v>0.2</v>
          </cell>
          <cell r="H22">
            <v>0.9285714285714286</v>
          </cell>
        </row>
        <row r="23">
          <cell r="A23" t="str">
            <v>OBRAS ACCESORIAS DAÑOS ACUEDUCTO</v>
          </cell>
          <cell r="B23">
            <v>0</v>
          </cell>
          <cell r="C23">
            <v>7</v>
          </cell>
          <cell r="E23">
            <v>0</v>
          </cell>
          <cell r="F23" t="str">
            <v/>
          </cell>
          <cell r="G23" t="str">
            <v/>
          </cell>
          <cell r="H23">
            <v>1</v>
          </cell>
        </row>
        <row r="24">
          <cell r="A24" t="str">
            <v>OBRAS ACCESORIAS INSTALACIONES</v>
          </cell>
          <cell r="B24">
            <v>635</v>
          </cell>
          <cell r="C24">
            <v>0</v>
          </cell>
          <cell r="E24">
            <v>0</v>
          </cell>
          <cell r="F24" t="str">
            <v/>
          </cell>
          <cell r="G24" t="str">
            <v/>
          </cell>
          <cell r="H24">
            <v>0</v>
          </cell>
        </row>
        <row r="25">
          <cell r="A25" t="str">
            <v>PITOMETRÍA</v>
          </cell>
          <cell r="B25">
            <v>38</v>
          </cell>
          <cell r="C25">
            <v>30</v>
          </cell>
          <cell r="D25">
            <v>2.875</v>
          </cell>
          <cell r="E25">
            <v>12</v>
          </cell>
          <cell r="F25">
            <v>1.1000000000000001</v>
          </cell>
          <cell r="G25">
            <v>2</v>
          </cell>
          <cell r="H25">
            <v>0.44117647058823528</v>
          </cell>
        </row>
        <row r="26">
          <cell r="A26" t="str">
            <v>PROYECTOS ACUEDUCTO</v>
          </cell>
          <cell r="B26">
            <v>1</v>
          </cell>
          <cell r="C26">
            <v>5</v>
          </cell>
          <cell r="E26">
            <v>0</v>
          </cell>
          <cell r="F26" t="str">
            <v/>
          </cell>
          <cell r="G26" t="str">
            <v/>
          </cell>
          <cell r="H26">
            <v>0.83333333333333337</v>
          </cell>
        </row>
        <row r="27">
          <cell r="A27" t="str">
            <v>REFERENCIACIÓN ACUEDUCTO</v>
          </cell>
          <cell r="B27">
            <v>3</v>
          </cell>
          <cell r="C27">
            <v>2</v>
          </cell>
          <cell r="E27">
            <v>0</v>
          </cell>
          <cell r="F27" t="str">
            <v/>
          </cell>
          <cell r="G27" t="str">
            <v/>
          </cell>
          <cell r="H27">
            <v>0.4</v>
          </cell>
        </row>
        <row r="28">
          <cell r="A28" t="str">
            <v>REVISIÓN  POSTERIOR  FRAUDES</v>
          </cell>
          <cell r="B28">
            <v>1</v>
          </cell>
          <cell r="C28">
            <v>0</v>
          </cell>
          <cell r="E28">
            <v>0</v>
          </cell>
          <cell r="F28" t="str">
            <v/>
          </cell>
          <cell r="G28" t="str">
            <v/>
          </cell>
          <cell r="H28">
            <v>0</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2428</v>
          </cell>
          <cell r="C33">
            <v>675</v>
          </cell>
          <cell r="F33" t="str">
            <v/>
          </cell>
          <cell r="G33" t="str">
            <v/>
          </cell>
          <cell r="H33">
            <v>0.21753142120528521</v>
          </cell>
        </row>
        <row r="35">
          <cell r="A35" t="str">
            <v>CAMBIO ACOMETIDAS CONTRATO</v>
          </cell>
          <cell r="B35">
            <v>249</v>
          </cell>
          <cell r="C35">
            <v>1</v>
          </cell>
          <cell r="D35">
            <v>3</v>
          </cell>
          <cell r="E35">
            <v>21</v>
          </cell>
          <cell r="F35">
            <v>4</v>
          </cell>
          <cell r="G35">
            <v>4</v>
          </cell>
          <cell r="H35">
            <v>4.0000000000000001E-3</v>
          </cell>
        </row>
        <row r="36">
          <cell r="A36" t="str">
            <v>CASAS SIN AGUA</v>
          </cell>
          <cell r="B36">
            <v>0</v>
          </cell>
          <cell r="C36">
            <v>1</v>
          </cell>
          <cell r="F36" t="str">
            <v/>
          </cell>
          <cell r="G36" t="str">
            <v/>
          </cell>
          <cell r="H36">
            <v>1</v>
          </cell>
        </row>
        <row r="37">
          <cell r="A37" t="str">
            <v>CORTE Y RECONEXION</v>
          </cell>
          <cell r="B37">
            <v>365</v>
          </cell>
          <cell r="C37">
            <v>97</v>
          </cell>
          <cell r="D37">
            <v>1</v>
          </cell>
          <cell r="E37">
            <v>21</v>
          </cell>
          <cell r="F37">
            <v>17.399999999999999</v>
          </cell>
          <cell r="G37">
            <v>22</v>
          </cell>
          <cell r="H37">
            <v>0.20995670995670995</v>
          </cell>
        </row>
        <row r="38">
          <cell r="A38" t="str">
            <v>DAÑOS ACUEDUCTO</v>
          </cell>
          <cell r="B38">
            <v>3</v>
          </cell>
          <cell r="C38">
            <v>0</v>
          </cell>
          <cell r="F38" t="str">
            <v/>
          </cell>
          <cell r="G38" t="str">
            <v/>
          </cell>
          <cell r="H38">
            <v>0</v>
          </cell>
        </row>
        <row r="39">
          <cell r="A39" t="str">
            <v>ESCOMBROS DAÑOS ACUEDUCTO</v>
          </cell>
          <cell r="B39">
            <v>3</v>
          </cell>
          <cell r="C39">
            <v>0</v>
          </cell>
          <cell r="F39" t="str">
            <v/>
          </cell>
          <cell r="G39" t="str">
            <v/>
          </cell>
          <cell r="H39">
            <v>0</v>
          </cell>
        </row>
        <row r="40">
          <cell r="A40" t="str">
            <v>FRAUDES</v>
          </cell>
          <cell r="B40">
            <v>2</v>
          </cell>
          <cell r="C40">
            <v>1</v>
          </cell>
          <cell r="F40" t="str">
            <v/>
          </cell>
          <cell r="G40" t="str">
            <v/>
          </cell>
          <cell r="H40">
            <v>0.33333333333333331</v>
          </cell>
        </row>
        <row r="41">
          <cell r="A41" t="str">
            <v>GARANTIAS INSTALACIONES</v>
          </cell>
          <cell r="B41">
            <v>12</v>
          </cell>
          <cell r="C41">
            <v>4</v>
          </cell>
          <cell r="D41">
            <v>1</v>
          </cell>
          <cell r="E41">
            <v>21</v>
          </cell>
          <cell r="F41">
            <v>0.6</v>
          </cell>
          <cell r="G41">
            <v>0.8</v>
          </cell>
          <cell r="H41">
            <v>0.25</v>
          </cell>
        </row>
        <row r="42">
          <cell r="A42" t="str">
            <v>INSTALACIONES ACUEDUCTO</v>
          </cell>
          <cell r="B42">
            <v>336</v>
          </cell>
          <cell r="C42">
            <v>5</v>
          </cell>
          <cell r="D42">
            <v>5</v>
          </cell>
          <cell r="E42">
            <v>21</v>
          </cell>
          <cell r="F42">
            <v>3.2</v>
          </cell>
          <cell r="G42">
            <v>3.2</v>
          </cell>
          <cell r="H42">
            <v>1.466275659824047E-2</v>
          </cell>
        </row>
        <row r="43">
          <cell r="A43" t="str">
            <v>MEDIDORES 1/2 Y 1"</v>
          </cell>
          <cell r="B43">
            <v>216</v>
          </cell>
          <cell r="C43">
            <v>1</v>
          </cell>
          <cell r="D43">
            <v>4</v>
          </cell>
          <cell r="E43">
            <v>21</v>
          </cell>
          <cell r="F43">
            <v>2.6</v>
          </cell>
          <cell r="G43">
            <v>2.6</v>
          </cell>
          <cell r="H43">
            <v>4.608294930875576E-3</v>
          </cell>
        </row>
        <row r="44">
          <cell r="A44" t="str">
            <v>MMTO VALVULAS E HIDRANTES</v>
          </cell>
          <cell r="B44">
            <v>33</v>
          </cell>
          <cell r="C44">
            <v>0</v>
          </cell>
          <cell r="D44">
            <v>3</v>
          </cell>
          <cell r="E44">
            <v>21</v>
          </cell>
          <cell r="F44">
            <v>0.5</v>
          </cell>
          <cell r="G44">
            <v>0.5</v>
          </cell>
          <cell r="H44">
            <v>0</v>
          </cell>
        </row>
        <row r="45">
          <cell r="A45" t="str">
            <v>OBRAS ACCESORIAS DAÑOS ACUEDUCTO</v>
          </cell>
          <cell r="B45">
            <v>133</v>
          </cell>
          <cell r="C45">
            <v>0</v>
          </cell>
          <cell r="D45">
            <v>3</v>
          </cell>
          <cell r="E45">
            <v>21</v>
          </cell>
          <cell r="F45">
            <v>2.1</v>
          </cell>
          <cell r="G45">
            <v>2.1</v>
          </cell>
          <cell r="H45">
            <v>0</v>
          </cell>
        </row>
        <row r="46">
          <cell r="A46" t="str">
            <v>OBRAS ACCESORIAS INSTALACIONES</v>
          </cell>
          <cell r="B46">
            <v>5</v>
          </cell>
          <cell r="C46">
            <v>0</v>
          </cell>
          <cell r="D46">
            <v>1</v>
          </cell>
          <cell r="E46">
            <v>21</v>
          </cell>
          <cell r="F46">
            <v>0.2</v>
          </cell>
          <cell r="G46">
            <v>0.2</v>
          </cell>
          <cell r="H46">
            <v>0</v>
          </cell>
        </row>
        <row r="47">
          <cell r="A47" t="str">
            <v>PROYECTOS ACUEDUCTO</v>
          </cell>
          <cell r="B47">
            <v>2</v>
          </cell>
          <cell r="C47">
            <v>0</v>
          </cell>
          <cell r="F47" t="str">
            <v/>
          </cell>
          <cell r="G47" t="str">
            <v/>
          </cell>
          <cell r="H47">
            <v>0</v>
          </cell>
        </row>
        <row r="48">
          <cell r="A48" t="str">
            <v>REFERENCIACIÓN ACUEDUCTO</v>
          </cell>
          <cell r="B48">
            <v>1</v>
          </cell>
          <cell r="C48">
            <v>0</v>
          </cell>
          <cell r="F48" t="str">
            <v/>
          </cell>
          <cell r="G48" t="str">
            <v/>
          </cell>
          <cell r="H48">
            <v>0</v>
          </cell>
        </row>
        <row r="49">
          <cell r="F49" t="str">
            <v/>
          </cell>
          <cell r="G49" t="str">
            <v/>
          </cell>
          <cell r="H49" t="str">
            <v/>
          </cell>
        </row>
        <row r="51">
          <cell r="A51" t="str">
            <v>Total general</v>
          </cell>
          <cell r="B51">
            <v>1360</v>
          </cell>
          <cell r="C51">
            <v>110</v>
          </cell>
          <cell r="F51" t="str">
            <v/>
          </cell>
          <cell r="G51" t="str">
            <v/>
          </cell>
          <cell r="H51">
            <v>7.4829931972789115E-2</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Feb"/>
      <sheetName val="Mar-Abr"/>
      <sheetName val="May-Jun"/>
      <sheetName val="Jul-Ago"/>
      <sheetName val="Sep-Oct"/>
      <sheetName val="Nov-Dic"/>
      <sheetName val="Ene-Dic EEPPM"/>
      <sheetName val="May-Dic Contrato"/>
      <sheetName val="ENE"/>
      <sheetName val="FEB"/>
      <sheetName val="MAR"/>
      <sheetName val="Ene-Dic_EEPPM"/>
      <sheetName val="May-Dic_Contrato"/>
      <sheetName val="Ene-Dic_EEPPM2"/>
      <sheetName val="May-Dic_Contrato2"/>
      <sheetName val="Ene-Dic_EEPPM1"/>
      <sheetName val="May-Dic_Contrato1"/>
      <sheetName val="GRUPO 3"/>
      <sheetName val="Liquidación de Obra x Administr"/>
      <sheetName val="Hoja3"/>
    </sheetNames>
    <sheetDataSet>
      <sheetData sheetId="0" refreshError="1">
        <row r="12">
          <cell r="A12" t="str">
            <v>CARROTANQUE</v>
          </cell>
          <cell r="B12">
            <v>57</v>
          </cell>
          <cell r="C12">
            <v>2</v>
          </cell>
          <cell r="D12">
            <v>1</v>
          </cell>
          <cell r="E12">
            <v>43</v>
          </cell>
          <cell r="F12">
            <v>1.3</v>
          </cell>
          <cell r="G12">
            <v>1.4</v>
          </cell>
          <cell r="H12">
            <v>3.3898305084745763E-2</v>
          </cell>
        </row>
        <row r="13">
          <cell r="A13" t="str">
            <v>CASAS SIN AGUA</v>
          </cell>
          <cell r="B13">
            <v>573</v>
          </cell>
          <cell r="C13">
            <v>548</v>
          </cell>
          <cell r="D13">
            <v>1</v>
          </cell>
          <cell r="E13">
            <v>59</v>
          </cell>
          <cell r="F13">
            <v>9.6999999999999993</v>
          </cell>
          <cell r="G13">
            <v>19</v>
          </cell>
          <cell r="H13">
            <v>0.48884924174843891</v>
          </cell>
        </row>
        <row r="14">
          <cell r="A14" t="str">
            <v>CORTE Y RECONEXION</v>
          </cell>
          <cell r="B14">
            <v>37</v>
          </cell>
          <cell r="C14">
            <v>65</v>
          </cell>
          <cell r="F14" t="str">
            <v/>
          </cell>
          <cell r="G14" t="str">
            <v/>
          </cell>
          <cell r="H14">
            <v>0.63725490196078427</v>
          </cell>
        </row>
        <row r="15">
          <cell r="A15" t="str">
            <v>DAÑOS ACUEDUCTO</v>
          </cell>
          <cell r="B15">
            <v>591</v>
          </cell>
          <cell r="C15">
            <v>205</v>
          </cell>
          <cell r="D15">
            <v>7.3050847457627119</v>
          </cell>
          <cell r="E15">
            <v>59</v>
          </cell>
          <cell r="F15">
            <v>1.4</v>
          </cell>
          <cell r="G15">
            <v>1.8</v>
          </cell>
          <cell r="H15">
            <v>0.25753768844221103</v>
          </cell>
        </row>
        <row r="16">
          <cell r="A16" t="str">
            <v>ESCOMBROS DAÑOS ACUEDUCTO</v>
          </cell>
          <cell r="B16">
            <v>271</v>
          </cell>
          <cell r="C16">
            <v>8</v>
          </cell>
          <cell r="D16">
            <v>1</v>
          </cell>
          <cell r="E16">
            <v>59</v>
          </cell>
          <cell r="F16">
            <v>4.5999999999999996</v>
          </cell>
          <cell r="G16">
            <v>4.7</v>
          </cell>
          <cell r="H16">
            <v>2.8673835125448029E-2</v>
          </cell>
        </row>
        <row r="17">
          <cell r="A17" t="str">
            <v>FRAUDES</v>
          </cell>
          <cell r="B17">
            <v>13</v>
          </cell>
          <cell r="C17">
            <v>103</v>
          </cell>
          <cell r="D17">
            <v>1</v>
          </cell>
          <cell r="E17">
            <v>11</v>
          </cell>
          <cell r="F17">
            <v>10.5</v>
          </cell>
          <cell r="G17">
            <v>10.5</v>
          </cell>
          <cell r="H17">
            <v>0.88793103448275867</v>
          </cell>
        </row>
        <row r="18">
          <cell r="A18" t="str">
            <v>GARANTIAS INSTALACIONES</v>
          </cell>
          <cell r="B18">
            <v>25</v>
          </cell>
          <cell r="C18">
            <v>40</v>
          </cell>
          <cell r="F18" t="str">
            <v/>
          </cell>
          <cell r="G18" t="str">
            <v/>
          </cell>
          <cell r="H18">
            <v>0.61538461538461542</v>
          </cell>
        </row>
        <row r="19">
          <cell r="A19" t="str">
            <v>INSTALACIONES ACUEDUCTO</v>
          </cell>
          <cell r="B19">
            <v>5</v>
          </cell>
          <cell r="C19">
            <v>81</v>
          </cell>
          <cell r="F19" t="str">
            <v/>
          </cell>
          <cell r="G19" t="str">
            <v/>
          </cell>
          <cell r="H19">
            <v>0.94186046511627908</v>
          </cell>
        </row>
        <row r="20">
          <cell r="A20" t="str">
            <v>INSTALACIONES ALCANTARILLADO</v>
          </cell>
          <cell r="B20">
            <v>5</v>
          </cell>
          <cell r="C20">
            <v>0</v>
          </cell>
          <cell r="F20" t="str">
            <v/>
          </cell>
          <cell r="G20" t="str">
            <v/>
          </cell>
          <cell r="H20">
            <v>0</v>
          </cell>
        </row>
        <row r="21">
          <cell r="A21" t="str">
            <v>MEDIDORES 1/2 Y 1"</v>
          </cell>
          <cell r="B21">
            <v>19</v>
          </cell>
          <cell r="C21">
            <v>16</v>
          </cell>
          <cell r="F21" t="str">
            <v/>
          </cell>
          <cell r="G21" t="str">
            <v/>
          </cell>
          <cell r="H21">
            <v>0.45714285714285713</v>
          </cell>
        </row>
        <row r="22">
          <cell r="A22" t="str">
            <v>MMTO VALVULAS E HIDRANTES</v>
          </cell>
          <cell r="B22">
            <v>12</v>
          </cell>
          <cell r="C22">
            <v>26</v>
          </cell>
          <cell r="D22">
            <v>1</v>
          </cell>
          <cell r="E22">
            <v>59</v>
          </cell>
          <cell r="F22">
            <v>0.2</v>
          </cell>
          <cell r="G22">
            <v>0.6</v>
          </cell>
          <cell r="H22">
            <v>0.68421052631578949</v>
          </cell>
        </row>
        <row r="23">
          <cell r="A23" t="str">
            <v>OBRAS ACCESORIAS DAÑOS ACUEDUCTO</v>
          </cell>
          <cell r="B23">
            <v>18</v>
          </cell>
          <cell r="C23">
            <v>0</v>
          </cell>
          <cell r="F23" t="str">
            <v/>
          </cell>
          <cell r="G23" t="str">
            <v/>
          </cell>
          <cell r="H23">
            <v>0</v>
          </cell>
        </row>
        <row r="24">
          <cell r="A24" t="str">
            <v>OBRAS ACCESORIAS INSTALACIONES</v>
          </cell>
          <cell r="B24">
            <v>653</v>
          </cell>
          <cell r="C24">
            <v>0</v>
          </cell>
          <cell r="F24" t="str">
            <v/>
          </cell>
          <cell r="G24" t="str">
            <v/>
          </cell>
          <cell r="H24">
            <v>0</v>
          </cell>
        </row>
        <row r="25">
          <cell r="A25" t="str">
            <v>PITOMETRÍA</v>
          </cell>
          <cell r="B25">
            <v>82</v>
          </cell>
          <cell r="C25">
            <v>95</v>
          </cell>
          <cell r="D25">
            <v>1</v>
          </cell>
          <cell r="E25">
            <v>17</v>
          </cell>
          <cell r="F25">
            <v>4.8</v>
          </cell>
          <cell r="G25">
            <v>10.4</v>
          </cell>
          <cell r="H25">
            <v>0.53672316384180796</v>
          </cell>
        </row>
        <row r="26">
          <cell r="A26" t="str">
            <v>PROYECTOS ACUEDUCTO</v>
          </cell>
          <cell r="B26">
            <v>47</v>
          </cell>
          <cell r="C26">
            <v>62</v>
          </cell>
          <cell r="F26" t="str">
            <v/>
          </cell>
          <cell r="G26" t="str">
            <v/>
          </cell>
          <cell r="H26">
            <v>0.56880733944954132</v>
          </cell>
        </row>
        <row r="27">
          <cell r="A27" t="str">
            <v>REFERENCIACIÓN ACUEDUCTO</v>
          </cell>
          <cell r="B27">
            <v>3</v>
          </cell>
          <cell r="C27">
            <v>3</v>
          </cell>
          <cell r="F27" t="str">
            <v/>
          </cell>
          <cell r="G27" t="str">
            <v/>
          </cell>
          <cell r="H27">
            <v>0.5</v>
          </cell>
        </row>
        <row r="28">
          <cell r="A28" t="str">
            <v>REPARACION CAJAS DE MEDIDORES</v>
          </cell>
          <cell r="B28">
            <v>1</v>
          </cell>
          <cell r="C28">
            <v>19</v>
          </cell>
          <cell r="F28" t="str">
            <v/>
          </cell>
          <cell r="G28" t="str">
            <v/>
          </cell>
          <cell r="H28">
            <v>0.95</v>
          </cell>
        </row>
        <row r="29">
          <cell r="A29" t="str">
            <v>RETIRO MEDIDOR</v>
          </cell>
          <cell r="B29">
            <v>113</v>
          </cell>
          <cell r="C29">
            <v>65</v>
          </cell>
          <cell r="F29" t="str">
            <v/>
          </cell>
          <cell r="G29" t="str">
            <v/>
          </cell>
          <cell r="H29">
            <v>0.3651685393258427</v>
          </cell>
        </row>
        <row r="30">
          <cell r="A30" t="str">
            <v>TAPONADAS</v>
          </cell>
          <cell r="B30">
            <v>1</v>
          </cell>
          <cell r="C30">
            <v>7</v>
          </cell>
          <cell r="F30" t="str">
            <v/>
          </cell>
          <cell r="G30" t="str">
            <v/>
          </cell>
          <cell r="H30">
            <v>0.875</v>
          </cell>
        </row>
        <row r="31">
          <cell r="A31" t="str">
            <v>TRASLADO MEDIDOR</v>
          </cell>
          <cell r="B31">
            <v>0</v>
          </cell>
          <cell r="C31">
            <v>6</v>
          </cell>
          <cell r="F31" t="str">
            <v/>
          </cell>
          <cell r="G31" t="str">
            <v/>
          </cell>
          <cell r="H31">
            <v>1</v>
          </cell>
        </row>
        <row r="32">
          <cell r="F32" t="str">
            <v/>
          </cell>
          <cell r="G32" t="str">
            <v/>
          </cell>
          <cell r="H32" t="str">
            <v/>
          </cell>
        </row>
        <row r="33">
          <cell r="A33" t="str">
            <v>Total general</v>
          </cell>
          <cell r="B33">
            <v>2526</v>
          </cell>
          <cell r="C33">
            <v>1351</v>
          </cell>
          <cell r="F33" t="str">
            <v/>
          </cell>
          <cell r="G33" t="str">
            <v/>
          </cell>
          <cell r="H33">
            <v>0.34846530822801136</v>
          </cell>
        </row>
        <row r="34">
          <cell r="F34" t="str">
            <v/>
          </cell>
          <cell r="G34" t="str">
            <v/>
          </cell>
          <cell r="H34" t="str">
            <v/>
          </cell>
        </row>
      </sheetData>
      <sheetData sheetId="1" refreshError="1">
        <row r="12">
          <cell r="A12" t="str">
            <v>CARROTANQUE</v>
          </cell>
          <cell r="B12">
            <v>104</v>
          </cell>
          <cell r="C12">
            <v>14</v>
          </cell>
          <cell r="D12">
            <v>1</v>
          </cell>
          <cell r="E12">
            <v>46</v>
          </cell>
          <cell r="F12">
            <v>2.2999999999999998</v>
          </cell>
          <cell r="G12">
            <v>2.6</v>
          </cell>
          <cell r="H12">
            <v>0.11864406779661017</v>
          </cell>
        </row>
        <row r="13">
          <cell r="A13" t="str">
            <v>CASAS SIN AGUA</v>
          </cell>
          <cell r="B13">
            <v>546</v>
          </cell>
          <cell r="C13">
            <v>609</v>
          </cell>
          <cell r="D13">
            <v>1</v>
          </cell>
          <cell r="E13">
            <v>61</v>
          </cell>
          <cell r="F13">
            <v>9</v>
          </cell>
          <cell r="G13">
            <v>18.899999999999999</v>
          </cell>
          <cell r="H13">
            <v>0.52727272727272723</v>
          </cell>
        </row>
        <row r="14">
          <cell r="A14" t="str">
            <v>CORTE Y RECONEXION</v>
          </cell>
          <cell r="B14">
            <v>122</v>
          </cell>
          <cell r="C14">
            <v>138</v>
          </cell>
          <cell r="D14">
            <v>1</v>
          </cell>
          <cell r="E14">
            <v>61</v>
          </cell>
          <cell r="F14" t="str">
            <v/>
          </cell>
          <cell r="G14" t="str">
            <v/>
          </cell>
          <cell r="H14">
            <v>0.53076923076923077</v>
          </cell>
        </row>
        <row r="15">
          <cell r="A15" t="str">
            <v>DAÑOS ACUEDUCTO</v>
          </cell>
          <cell r="B15">
            <v>666</v>
          </cell>
          <cell r="C15">
            <v>234</v>
          </cell>
          <cell r="D15">
            <v>7.442622950819672</v>
          </cell>
          <cell r="E15">
            <v>61</v>
          </cell>
          <cell r="F15">
            <v>1.5</v>
          </cell>
          <cell r="G15">
            <v>2</v>
          </cell>
          <cell r="H15">
            <v>0.26</v>
          </cell>
        </row>
        <row r="16">
          <cell r="A16" t="str">
            <v>ESCOMBROS DAÑOS ACUEDUCTO</v>
          </cell>
          <cell r="B16">
            <v>221</v>
          </cell>
          <cell r="C16">
            <v>9</v>
          </cell>
          <cell r="D16">
            <v>1</v>
          </cell>
          <cell r="E16">
            <v>61</v>
          </cell>
          <cell r="F16">
            <v>3.6</v>
          </cell>
          <cell r="G16">
            <v>3.8</v>
          </cell>
          <cell r="H16">
            <v>3.9130434782608699E-2</v>
          </cell>
        </row>
        <row r="17">
          <cell r="A17" t="str">
            <v>FRAUDES</v>
          </cell>
          <cell r="B17">
            <v>62</v>
          </cell>
          <cell r="C17">
            <v>249</v>
          </cell>
          <cell r="D17">
            <v>1</v>
          </cell>
          <cell r="E17">
            <v>14</v>
          </cell>
          <cell r="F17">
            <v>22.2</v>
          </cell>
          <cell r="G17">
            <v>22.2</v>
          </cell>
          <cell r="H17">
            <v>0.80064308681672025</v>
          </cell>
        </row>
        <row r="18">
          <cell r="A18" t="str">
            <v>GARANTIAS INSTALACIONES</v>
          </cell>
          <cell r="B18">
            <v>70</v>
          </cell>
          <cell r="C18">
            <v>23</v>
          </cell>
          <cell r="D18">
            <v>1</v>
          </cell>
          <cell r="E18">
            <v>18</v>
          </cell>
          <cell r="F18" t="str">
            <v/>
          </cell>
          <cell r="G18" t="str">
            <v/>
          </cell>
          <cell r="H18">
            <v>0.24731182795698925</v>
          </cell>
        </row>
        <row r="19">
          <cell r="A19" t="str">
            <v>INSTALACIONES ACUEDUCTO</v>
          </cell>
          <cell r="B19">
            <v>13</v>
          </cell>
          <cell r="C19">
            <v>39</v>
          </cell>
          <cell r="F19" t="str">
            <v/>
          </cell>
          <cell r="G19" t="str">
            <v/>
          </cell>
          <cell r="H19">
            <v>0.75</v>
          </cell>
        </row>
        <row r="20">
          <cell r="A20" t="str">
            <v>INSTALACIONES ALCANTARILLADO</v>
          </cell>
          <cell r="B20">
            <v>3</v>
          </cell>
          <cell r="C20">
            <v>3</v>
          </cell>
          <cell r="F20" t="str">
            <v/>
          </cell>
          <cell r="G20" t="str">
            <v/>
          </cell>
          <cell r="H20">
            <v>0.5</v>
          </cell>
        </row>
        <row r="21">
          <cell r="A21" t="str">
            <v>MEDIDORES 1/2 Y 1"</v>
          </cell>
          <cell r="B21">
            <v>7</v>
          </cell>
          <cell r="C21">
            <v>18</v>
          </cell>
          <cell r="F21" t="str">
            <v/>
          </cell>
          <cell r="G21" t="str">
            <v/>
          </cell>
          <cell r="H21">
            <v>0.72</v>
          </cell>
        </row>
        <row r="22">
          <cell r="A22" t="str">
            <v>MMTO VALVULAS E HIDRANTES</v>
          </cell>
          <cell r="B22">
            <v>10</v>
          </cell>
          <cell r="C22">
            <v>19</v>
          </cell>
          <cell r="D22">
            <v>1</v>
          </cell>
          <cell r="E22">
            <v>61</v>
          </cell>
          <cell r="F22">
            <v>0.2</v>
          </cell>
          <cell r="G22">
            <v>0.5</v>
          </cell>
          <cell r="H22">
            <v>0.65517241379310343</v>
          </cell>
        </row>
        <row r="23">
          <cell r="A23" t="str">
            <v>OBRAS ACCESORIAS DAÑOS ACUEDUCTO</v>
          </cell>
          <cell r="B23">
            <v>2</v>
          </cell>
          <cell r="C23">
            <v>14</v>
          </cell>
          <cell r="D23">
            <v>1</v>
          </cell>
          <cell r="E23">
            <v>61</v>
          </cell>
          <cell r="F23" t="str">
            <v/>
          </cell>
          <cell r="G23" t="str">
            <v/>
          </cell>
          <cell r="H23">
            <v>0.875</v>
          </cell>
        </row>
        <row r="24">
          <cell r="A24" t="str">
            <v>OBRAS ACCESORIAS INSTALACIONES</v>
          </cell>
          <cell r="B24">
            <v>544</v>
          </cell>
          <cell r="C24">
            <v>1</v>
          </cell>
          <cell r="F24" t="str">
            <v/>
          </cell>
          <cell r="G24" t="str">
            <v/>
          </cell>
          <cell r="H24">
            <v>1.834862385321101E-3</v>
          </cell>
        </row>
        <row r="25">
          <cell r="A25" t="str">
            <v>PITOMETRÍA</v>
          </cell>
          <cell r="B25">
            <v>72</v>
          </cell>
          <cell r="C25">
            <v>75</v>
          </cell>
          <cell r="D25">
            <v>1</v>
          </cell>
          <cell r="E25">
            <v>21</v>
          </cell>
          <cell r="F25">
            <v>3.4</v>
          </cell>
          <cell r="G25">
            <v>7</v>
          </cell>
          <cell r="H25">
            <v>0.51020408163265307</v>
          </cell>
        </row>
        <row r="26">
          <cell r="A26" t="str">
            <v>PROYECTOS ACUEDUCTO</v>
          </cell>
          <cell r="B26">
            <v>52</v>
          </cell>
          <cell r="C26">
            <v>4</v>
          </cell>
          <cell r="D26">
            <v>1</v>
          </cell>
          <cell r="E26">
            <v>20</v>
          </cell>
          <cell r="F26" t="str">
            <v/>
          </cell>
          <cell r="G26" t="str">
            <v/>
          </cell>
          <cell r="H26">
            <v>7.1428571428571425E-2</v>
          </cell>
        </row>
        <row r="27">
          <cell r="A27" t="str">
            <v>REFERENCIACIÓN ACUEDUCTO</v>
          </cell>
          <cell r="B27">
            <v>1</v>
          </cell>
          <cell r="C27">
            <v>0</v>
          </cell>
          <cell r="F27" t="str">
            <v/>
          </cell>
          <cell r="G27" t="str">
            <v/>
          </cell>
          <cell r="H27">
            <v>0</v>
          </cell>
        </row>
        <row r="28">
          <cell r="A28" t="str">
            <v>REPARACION CAJAS DE MEDIDORES</v>
          </cell>
          <cell r="B28">
            <v>1</v>
          </cell>
          <cell r="C28">
            <v>6</v>
          </cell>
          <cell r="F28" t="str">
            <v/>
          </cell>
          <cell r="G28" t="str">
            <v/>
          </cell>
          <cell r="H28">
            <v>0.8571428571428571</v>
          </cell>
        </row>
        <row r="29">
          <cell r="A29" t="str">
            <v>RETIRO MEDIDOR</v>
          </cell>
          <cell r="B29">
            <v>121</v>
          </cell>
          <cell r="C29">
            <v>52</v>
          </cell>
          <cell r="F29" t="str">
            <v/>
          </cell>
          <cell r="G29" t="str">
            <v/>
          </cell>
          <cell r="H29">
            <v>0.30057803468208094</v>
          </cell>
        </row>
        <row r="30">
          <cell r="A30" t="str">
            <v>TAPONADAS</v>
          </cell>
          <cell r="B30">
            <v>2</v>
          </cell>
          <cell r="C30">
            <v>20</v>
          </cell>
          <cell r="F30" t="str">
            <v/>
          </cell>
          <cell r="G30" t="str">
            <v/>
          </cell>
          <cell r="H30">
            <v>0.90909090909090906</v>
          </cell>
        </row>
        <row r="31">
          <cell r="A31" t="str">
            <v>TRASLADO MEDIDOR</v>
          </cell>
          <cell r="B31">
            <v>1</v>
          </cell>
          <cell r="C31">
            <v>0</v>
          </cell>
          <cell r="F31" t="str">
            <v/>
          </cell>
          <cell r="G31" t="str">
            <v/>
          </cell>
          <cell r="H31">
            <v>0</v>
          </cell>
        </row>
        <row r="32">
          <cell r="F32" t="str">
            <v/>
          </cell>
          <cell r="G32" t="str">
            <v/>
          </cell>
          <cell r="H32" t="str">
            <v/>
          </cell>
        </row>
        <row r="33">
          <cell r="A33" t="str">
            <v>Total general</v>
          </cell>
          <cell r="B33">
            <v>2620</v>
          </cell>
          <cell r="C33">
            <v>1527</v>
          </cell>
          <cell r="F33" t="str">
            <v/>
          </cell>
          <cell r="G33" t="str">
            <v/>
          </cell>
          <cell r="H33">
            <v>0.36821798890764407</v>
          </cell>
        </row>
        <row r="34">
          <cell r="F34" t="str">
            <v/>
          </cell>
          <cell r="G34" t="str">
            <v/>
          </cell>
          <cell r="H34" t="str">
            <v/>
          </cell>
        </row>
      </sheetData>
      <sheetData sheetId="2" refreshError="1">
        <row r="12">
          <cell r="A12" t="str">
            <v>CAMBIO ACOMETIDAS CONTRATO</v>
          </cell>
          <cell r="B12">
            <v>2</v>
          </cell>
          <cell r="C12">
            <v>5</v>
          </cell>
          <cell r="D12">
            <v>1</v>
          </cell>
          <cell r="E12">
            <v>46</v>
          </cell>
          <cell r="F12" t="str">
            <v/>
          </cell>
          <cell r="G12" t="str">
            <v/>
          </cell>
          <cell r="H12">
            <v>0.7142857142857143</v>
          </cell>
        </row>
        <row r="13">
          <cell r="A13" t="str">
            <v>CARROTANQUE</v>
          </cell>
          <cell r="B13">
            <v>80</v>
          </cell>
          <cell r="C13">
            <v>2</v>
          </cell>
          <cell r="D13">
            <v>1</v>
          </cell>
          <cell r="E13">
            <v>44</v>
          </cell>
          <cell r="F13">
            <v>1.8</v>
          </cell>
          <cell r="G13">
            <v>1.9</v>
          </cell>
          <cell r="H13">
            <v>2.4390243902439025E-2</v>
          </cell>
        </row>
        <row r="14">
          <cell r="A14" t="str">
            <v>CASAS SIN AGUA</v>
          </cell>
          <cell r="B14">
            <v>500</v>
          </cell>
          <cell r="C14">
            <v>535</v>
          </cell>
          <cell r="D14">
            <v>1</v>
          </cell>
          <cell r="E14">
            <v>61</v>
          </cell>
          <cell r="F14">
            <v>8.1999999999999993</v>
          </cell>
          <cell r="G14">
            <v>17</v>
          </cell>
          <cell r="H14">
            <v>0.51690821256038644</v>
          </cell>
        </row>
        <row r="15">
          <cell r="A15" t="str">
            <v>CORTE Y RECONEXION</v>
          </cell>
          <cell r="B15">
            <v>19</v>
          </cell>
          <cell r="C15">
            <v>17</v>
          </cell>
          <cell r="D15">
            <v>7.442622950819672</v>
          </cell>
          <cell r="E15">
            <v>61</v>
          </cell>
          <cell r="F15" t="str">
            <v/>
          </cell>
          <cell r="G15" t="str">
            <v/>
          </cell>
          <cell r="H15">
            <v>0.47222222222222221</v>
          </cell>
        </row>
        <row r="16">
          <cell r="A16" t="str">
            <v>DAÑOS ACUEDUCTO</v>
          </cell>
          <cell r="B16">
            <v>598</v>
          </cell>
          <cell r="C16">
            <v>259</v>
          </cell>
          <cell r="D16">
            <v>7.278688524590164</v>
          </cell>
          <cell r="E16">
            <v>61</v>
          </cell>
          <cell r="F16">
            <v>1.3</v>
          </cell>
          <cell r="G16">
            <v>1.9</v>
          </cell>
          <cell r="H16">
            <v>0.30221703617269546</v>
          </cell>
        </row>
        <row r="17">
          <cell r="A17" t="str">
            <v>ESCOMBROS DAÑOS ACUEDUCTO</v>
          </cell>
          <cell r="B17">
            <v>188</v>
          </cell>
          <cell r="C17">
            <v>9</v>
          </cell>
          <cell r="D17">
            <v>1</v>
          </cell>
          <cell r="E17">
            <v>61</v>
          </cell>
          <cell r="F17">
            <v>3.1</v>
          </cell>
          <cell r="G17">
            <v>3.2</v>
          </cell>
          <cell r="H17">
            <v>4.5685279187817257E-2</v>
          </cell>
        </row>
        <row r="18">
          <cell r="A18" t="str">
            <v>FRAUDES</v>
          </cell>
          <cell r="B18">
            <v>234</v>
          </cell>
          <cell r="C18">
            <v>222</v>
          </cell>
          <cell r="D18">
            <v>1</v>
          </cell>
          <cell r="E18">
            <v>18</v>
          </cell>
          <cell r="F18">
            <v>13</v>
          </cell>
          <cell r="G18">
            <v>25.3</v>
          </cell>
          <cell r="H18">
            <v>0.48684210526315791</v>
          </cell>
        </row>
        <row r="19">
          <cell r="A19" t="str">
            <v>GARANTIAS INSTALACIONES</v>
          </cell>
          <cell r="B19">
            <v>13</v>
          </cell>
          <cell r="C19">
            <v>7</v>
          </cell>
          <cell r="F19" t="str">
            <v/>
          </cell>
          <cell r="G19" t="str">
            <v/>
          </cell>
          <cell r="H19">
            <v>0.35</v>
          </cell>
        </row>
        <row r="20">
          <cell r="A20" t="str">
            <v>INSTALACIONES ACUEDUCTO</v>
          </cell>
          <cell r="B20">
            <v>48</v>
          </cell>
          <cell r="C20">
            <v>104</v>
          </cell>
          <cell r="F20" t="str">
            <v/>
          </cell>
          <cell r="G20" t="str">
            <v/>
          </cell>
          <cell r="H20">
            <v>0.68421052631578949</v>
          </cell>
        </row>
        <row r="21">
          <cell r="A21" t="str">
            <v>INSTALACIONES ALCANTARILLADO</v>
          </cell>
          <cell r="B21">
            <v>8</v>
          </cell>
          <cell r="C21">
            <v>0</v>
          </cell>
          <cell r="F21" t="str">
            <v/>
          </cell>
          <cell r="G21" t="str">
            <v/>
          </cell>
          <cell r="H21">
            <v>0</v>
          </cell>
        </row>
        <row r="22">
          <cell r="A22" t="str">
            <v>MEDIDORES 1/2 Y 1"</v>
          </cell>
          <cell r="B22">
            <v>3</v>
          </cell>
          <cell r="C22">
            <v>4</v>
          </cell>
          <cell r="D22">
            <v>1</v>
          </cell>
          <cell r="E22">
            <v>62</v>
          </cell>
          <cell r="F22" t="str">
            <v/>
          </cell>
          <cell r="G22" t="str">
            <v/>
          </cell>
          <cell r="H22">
            <v>0.5714285714285714</v>
          </cell>
        </row>
        <row r="23">
          <cell r="A23" t="str">
            <v>MMTO VALVULAS E HIDRANTES</v>
          </cell>
          <cell r="B23">
            <v>2</v>
          </cell>
          <cell r="C23">
            <v>1</v>
          </cell>
          <cell r="D23">
            <v>1</v>
          </cell>
          <cell r="E23">
            <v>61</v>
          </cell>
          <cell r="F23">
            <v>0</v>
          </cell>
          <cell r="G23">
            <v>0</v>
          </cell>
          <cell r="H23">
            <v>0.33333333333333331</v>
          </cell>
        </row>
        <row r="24">
          <cell r="A24" t="str">
            <v>OBRAS ACCESORIAS DAÑOS ACUEDUCTO</v>
          </cell>
          <cell r="B24">
            <v>4</v>
          </cell>
          <cell r="C24">
            <v>23</v>
          </cell>
          <cell r="F24" t="str">
            <v/>
          </cell>
          <cell r="G24" t="str">
            <v/>
          </cell>
          <cell r="H24">
            <v>0.85185185185185186</v>
          </cell>
        </row>
        <row r="25">
          <cell r="A25" t="str">
            <v>OBRAS ACCESORIAS INSTALACIONES</v>
          </cell>
          <cell r="B25">
            <v>1107</v>
          </cell>
          <cell r="C25">
            <v>0</v>
          </cell>
          <cell r="D25">
            <v>1</v>
          </cell>
          <cell r="E25">
            <v>20</v>
          </cell>
          <cell r="F25" t="str">
            <v/>
          </cell>
          <cell r="G25" t="str">
            <v/>
          </cell>
          <cell r="H25">
            <v>0</v>
          </cell>
        </row>
        <row r="26">
          <cell r="A26" t="str">
            <v>PITOMETRÍA</v>
          </cell>
          <cell r="B26">
            <v>150</v>
          </cell>
          <cell r="C26">
            <v>65</v>
          </cell>
          <cell r="D26">
            <v>1</v>
          </cell>
          <cell r="E26">
            <v>20</v>
          </cell>
          <cell r="F26">
            <v>7.5</v>
          </cell>
          <cell r="G26">
            <v>10.8</v>
          </cell>
          <cell r="H26">
            <v>0.30232558139534882</v>
          </cell>
        </row>
        <row r="27">
          <cell r="A27" t="str">
            <v>PROYECTOS ACUEDUCTO</v>
          </cell>
          <cell r="B27">
            <v>62</v>
          </cell>
          <cell r="C27">
            <v>1</v>
          </cell>
          <cell r="F27" t="str">
            <v/>
          </cell>
          <cell r="G27" t="str">
            <v/>
          </cell>
          <cell r="H27">
            <v>1.5873015873015872E-2</v>
          </cell>
        </row>
        <row r="28">
          <cell r="A28" t="str">
            <v>REFERENCIACIÓN ACUEDUCTO</v>
          </cell>
          <cell r="B28">
            <v>1</v>
          </cell>
          <cell r="C28">
            <v>3</v>
          </cell>
          <cell r="F28" t="str">
            <v/>
          </cell>
          <cell r="G28" t="str">
            <v/>
          </cell>
          <cell r="H28">
            <v>0.75</v>
          </cell>
        </row>
        <row r="29">
          <cell r="A29" t="str">
            <v>TRASLADO MEDIDOR</v>
          </cell>
          <cell r="B29">
            <v>1</v>
          </cell>
          <cell r="C29">
            <v>0</v>
          </cell>
          <cell r="F29" t="str">
            <v/>
          </cell>
          <cell r="G29" t="str">
            <v/>
          </cell>
          <cell r="H29">
            <v>0</v>
          </cell>
        </row>
        <row r="30">
          <cell r="A30" t="str">
            <v>TAPONADAS</v>
          </cell>
          <cell r="B30">
            <v>2</v>
          </cell>
          <cell r="C30">
            <v>20</v>
          </cell>
          <cell r="F30" t="str">
            <v/>
          </cell>
          <cell r="G30" t="str">
            <v/>
          </cell>
          <cell r="H30" t="str">
            <v/>
          </cell>
        </row>
        <row r="31">
          <cell r="A31" t="str">
            <v>Total general</v>
          </cell>
          <cell r="B31">
            <v>3020</v>
          </cell>
          <cell r="C31">
            <v>1257</v>
          </cell>
          <cell r="F31" t="str">
            <v/>
          </cell>
          <cell r="G31" t="str">
            <v/>
          </cell>
          <cell r="H31">
            <v>0.29389759176993219</v>
          </cell>
        </row>
        <row r="32">
          <cell r="F32" t="str">
            <v/>
          </cell>
          <cell r="G32" t="str">
            <v/>
          </cell>
          <cell r="H32" t="str">
            <v/>
          </cell>
        </row>
      </sheetData>
      <sheetData sheetId="3" refreshError="1">
        <row r="12">
          <cell r="A12" t="str">
            <v>CAMBIO ACOMETIDAS CONTRATO</v>
          </cell>
          <cell r="B12">
            <v>6</v>
          </cell>
          <cell r="C12">
            <v>4</v>
          </cell>
          <cell r="D12">
            <v>1</v>
          </cell>
          <cell r="E12">
            <v>46</v>
          </cell>
          <cell r="F12" t="str">
            <v/>
          </cell>
          <cell r="G12" t="str">
            <v/>
          </cell>
          <cell r="H12">
            <v>0.4</v>
          </cell>
        </row>
        <row r="13">
          <cell r="A13" t="str">
            <v>CARROTANQUE</v>
          </cell>
          <cell r="B13">
            <v>65</v>
          </cell>
          <cell r="C13">
            <v>1</v>
          </cell>
          <cell r="D13">
            <v>1</v>
          </cell>
          <cell r="E13">
            <v>45</v>
          </cell>
          <cell r="F13">
            <v>1.4</v>
          </cell>
          <cell r="G13">
            <v>1.5</v>
          </cell>
          <cell r="H13">
            <v>1.5151515151515152E-2</v>
          </cell>
        </row>
        <row r="14">
          <cell r="A14" t="str">
            <v>CASAS SIN AGUA</v>
          </cell>
          <cell r="B14">
            <v>477</v>
          </cell>
          <cell r="C14">
            <v>610</v>
          </cell>
          <cell r="D14">
            <v>1</v>
          </cell>
          <cell r="E14">
            <v>62</v>
          </cell>
          <cell r="F14">
            <v>7.7</v>
          </cell>
          <cell r="G14">
            <v>17.5</v>
          </cell>
          <cell r="H14">
            <v>0.56117755289788407</v>
          </cell>
        </row>
        <row r="15">
          <cell r="A15" t="str">
            <v>CORTE Y RECONEXION</v>
          </cell>
          <cell r="B15">
            <v>8</v>
          </cell>
          <cell r="C15">
            <v>4</v>
          </cell>
          <cell r="D15">
            <v>7.442622950819672</v>
          </cell>
          <cell r="E15">
            <v>61</v>
          </cell>
          <cell r="F15" t="str">
            <v/>
          </cell>
          <cell r="G15" t="str">
            <v/>
          </cell>
          <cell r="H15">
            <v>0.33333333333333331</v>
          </cell>
        </row>
        <row r="16">
          <cell r="A16" t="str">
            <v>DAÑOS ACUEDUCTO</v>
          </cell>
          <cell r="B16">
            <v>572</v>
          </cell>
          <cell r="C16">
            <v>218</v>
          </cell>
          <cell r="D16">
            <v>7.306451612903226</v>
          </cell>
          <cell r="E16">
            <v>62</v>
          </cell>
          <cell r="F16">
            <v>1.3</v>
          </cell>
          <cell r="G16">
            <v>1.7</v>
          </cell>
          <cell r="H16">
            <v>0.27594936708860762</v>
          </cell>
        </row>
        <row r="17">
          <cell r="A17" t="str">
            <v>ESCOMBROS DAÑOS ACUEDUCTO</v>
          </cell>
          <cell r="B17">
            <v>226</v>
          </cell>
          <cell r="C17">
            <v>9</v>
          </cell>
          <cell r="D17">
            <v>1</v>
          </cell>
          <cell r="E17">
            <v>62</v>
          </cell>
          <cell r="F17">
            <v>3.6</v>
          </cell>
          <cell r="G17">
            <v>3.8</v>
          </cell>
          <cell r="H17">
            <v>3.8297872340425532E-2</v>
          </cell>
        </row>
        <row r="18">
          <cell r="A18" t="str">
            <v>FRAUDES</v>
          </cell>
          <cell r="B18">
            <v>213</v>
          </cell>
          <cell r="C18">
            <v>103</v>
          </cell>
          <cell r="D18">
            <v>1</v>
          </cell>
          <cell r="E18">
            <v>16</v>
          </cell>
          <cell r="F18">
            <v>13.3</v>
          </cell>
          <cell r="G18">
            <v>19.8</v>
          </cell>
          <cell r="H18">
            <v>0.32594936708860761</v>
          </cell>
        </row>
        <row r="19">
          <cell r="A19" t="str">
            <v>GARANTIAS INSTALACIONES</v>
          </cell>
          <cell r="B19">
            <v>13</v>
          </cell>
          <cell r="C19">
            <v>5</v>
          </cell>
          <cell r="F19" t="str">
            <v/>
          </cell>
          <cell r="G19" t="str">
            <v/>
          </cell>
          <cell r="H19">
            <v>0.27777777777777779</v>
          </cell>
        </row>
        <row r="20">
          <cell r="A20" t="str">
            <v>INSTALACIONES ACUEDUCTO</v>
          </cell>
          <cell r="B20">
            <v>27</v>
          </cell>
          <cell r="C20">
            <v>42</v>
          </cell>
          <cell r="F20" t="str">
            <v/>
          </cell>
          <cell r="G20" t="str">
            <v/>
          </cell>
          <cell r="H20">
            <v>0.60869565217391308</v>
          </cell>
        </row>
        <row r="21">
          <cell r="A21" t="str">
            <v>MEDIDORES 1/2 Y 1"</v>
          </cell>
          <cell r="B21">
            <v>8</v>
          </cell>
          <cell r="C21">
            <v>1</v>
          </cell>
          <cell r="F21" t="str">
            <v/>
          </cell>
          <cell r="G21" t="str">
            <v/>
          </cell>
          <cell r="H21">
            <v>0.1111111111111111</v>
          </cell>
        </row>
        <row r="22">
          <cell r="A22" t="str">
            <v>MMTO VALVULAS E HIDRANTES</v>
          </cell>
          <cell r="B22">
            <v>6</v>
          </cell>
          <cell r="C22">
            <v>7</v>
          </cell>
          <cell r="D22">
            <v>1</v>
          </cell>
          <cell r="E22">
            <v>62</v>
          </cell>
          <cell r="F22">
            <v>0.1</v>
          </cell>
          <cell r="G22">
            <v>0.2</v>
          </cell>
          <cell r="H22">
            <v>0.53846153846153844</v>
          </cell>
        </row>
        <row r="23">
          <cell r="A23" t="str">
            <v>OBRAS ACCESORIAS DAÑOS ACUEDUCTO</v>
          </cell>
          <cell r="B23">
            <v>9</v>
          </cell>
          <cell r="C23">
            <v>16</v>
          </cell>
          <cell r="D23">
            <v>1</v>
          </cell>
          <cell r="E23">
            <v>61</v>
          </cell>
          <cell r="F23" t="str">
            <v/>
          </cell>
          <cell r="G23" t="str">
            <v/>
          </cell>
          <cell r="H23">
            <v>0.64</v>
          </cell>
        </row>
        <row r="24">
          <cell r="A24" t="str">
            <v>OBRAS ACCESORIAS INSTALACIONES</v>
          </cell>
          <cell r="B24">
            <v>1223</v>
          </cell>
          <cell r="C24">
            <v>0</v>
          </cell>
          <cell r="F24" t="str">
            <v/>
          </cell>
          <cell r="G24" t="str">
            <v/>
          </cell>
          <cell r="H24">
            <v>0</v>
          </cell>
        </row>
        <row r="25">
          <cell r="A25" t="str">
            <v>PITOMETRÍA</v>
          </cell>
          <cell r="B25">
            <v>83</v>
          </cell>
          <cell r="C25">
            <v>48</v>
          </cell>
          <cell r="D25">
            <v>1</v>
          </cell>
          <cell r="E25">
            <v>20</v>
          </cell>
          <cell r="F25">
            <v>4.2</v>
          </cell>
          <cell r="G25">
            <v>6.6</v>
          </cell>
          <cell r="H25">
            <v>0.36641221374045801</v>
          </cell>
        </row>
        <row r="26">
          <cell r="A26" t="str">
            <v>PROYECTOS ACUEDUCTO</v>
          </cell>
          <cell r="B26">
            <v>70</v>
          </cell>
          <cell r="C26">
            <v>17</v>
          </cell>
          <cell r="D26">
            <v>1</v>
          </cell>
          <cell r="E26">
            <v>20</v>
          </cell>
          <cell r="F26" t="str">
            <v/>
          </cell>
          <cell r="G26" t="str">
            <v/>
          </cell>
          <cell r="H26">
            <v>0.19540229885057472</v>
          </cell>
        </row>
        <row r="27">
          <cell r="A27" t="str">
            <v>REFERENCIACIÓN ACUEDUCTO</v>
          </cell>
          <cell r="B27">
            <v>1</v>
          </cell>
          <cell r="C27">
            <v>0</v>
          </cell>
          <cell r="F27" t="str">
            <v/>
          </cell>
          <cell r="G27" t="str">
            <v/>
          </cell>
          <cell r="H27" t="str">
            <v/>
          </cell>
        </row>
        <row r="28">
          <cell r="A28" t="str">
            <v>Total general</v>
          </cell>
          <cell r="B28">
            <v>3006</v>
          </cell>
          <cell r="C28">
            <v>1085</v>
          </cell>
          <cell r="F28" t="str">
            <v/>
          </cell>
          <cell r="G28" t="str">
            <v/>
          </cell>
          <cell r="H28">
            <v>0.26521632852603277</v>
          </cell>
        </row>
        <row r="29">
          <cell r="A29" t="str">
            <v>RETIRO MEDIDOR</v>
          </cell>
          <cell r="B29">
            <v>121</v>
          </cell>
          <cell r="C29">
            <v>52</v>
          </cell>
          <cell r="F29" t="str">
            <v/>
          </cell>
          <cell r="G29" t="str">
            <v/>
          </cell>
          <cell r="H29" t="str">
            <v/>
          </cell>
        </row>
      </sheetData>
      <sheetData sheetId="4" refreshError="1">
        <row r="12">
          <cell r="A12" t="str">
            <v>CAMBIO ACOMETIDAS CONTRATO</v>
          </cell>
          <cell r="B12">
            <v>3</v>
          </cell>
          <cell r="C12">
            <v>2</v>
          </cell>
          <cell r="F12" t="str">
            <v/>
          </cell>
          <cell r="G12" t="str">
            <v/>
          </cell>
          <cell r="H12">
            <v>0.4</v>
          </cell>
        </row>
        <row r="13">
          <cell r="A13" t="str">
            <v>CARROTANQUE</v>
          </cell>
          <cell r="B13">
            <v>21</v>
          </cell>
          <cell r="C13">
            <v>1</v>
          </cell>
          <cell r="D13">
            <v>1</v>
          </cell>
          <cell r="E13">
            <v>46</v>
          </cell>
          <cell r="F13">
            <v>0.5</v>
          </cell>
          <cell r="G13">
            <v>0.5</v>
          </cell>
          <cell r="H13">
            <v>4.5454545454545456E-2</v>
          </cell>
        </row>
        <row r="14">
          <cell r="A14" t="str">
            <v>CASAS SIN AGUA</v>
          </cell>
          <cell r="B14">
            <v>419</v>
          </cell>
          <cell r="C14">
            <v>603</v>
          </cell>
          <cell r="D14">
            <v>1</v>
          </cell>
          <cell r="E14">
            <v>61</v>
          </cell>
          <cell r="F14">
            <v>6.9</v>
          </cell>
          <cell r="G14">
            <v>16.8</v>
          </cell>
          <cell r="H14">
            <v>0.59001956947162426</v>
          </cell>
        </row>
        <row r="15">
          <cell r="A15" t="str">
            <v>CORTE Y RECONEXION</v>
          </cell>
          <cell r="B15">
            <v>7</v>
          </cell>
          <cell r="C15">
            <v>8</v>
          </cell>
          <cell r="F15" t="str">
            <v/>
          </cell>
          <cell r="G15" t="str">
            <v/>
          </cell>
          <cell r="H15">
            <v>0.53333333333333333</v>
          </cell>
        </row>
        <row r="16">
          <cell r="A16" t="str">
            <v>DAÑOS ACUEDUCTO</v>
          </cell>
          <cell r="B16">
            <v>537</v>
          </cell>
          <cell r="C16">
            <v>199</v>
          </cell>
          <cell r="D16">
            <v>7.32258064516129</v>
          </cell>
          <cell r="E16">
            <v>61</v>
          </cell>
          <cell r="F16">
            <v>1.2</v>
          </cell>
          <cell r="G16">
            <v>1.6</v>
          </cell>
          <cell r="H16">
            <v>0.2703804347826087</v>
          </cell>
        </row>
        <row r="17">
          <cell r="A17" t="str">
            <v>ESCOMBROS DAÑOS ACUEDUCTO</v>
          </cell>
          <cell r="B17">
            <v>220</v>
          </cell>
          <cell r="C17">
            <v>6</v>
          </cell>
          <cell r="D17">
            <v>1</v>
          </cell>
          <cell r="E17">
            <v>61</v>
          </cell>
          <cell r="F17">
            <v>3.6</v>
          </cell>
          <cell r="G17">
            <v>3.7</v>
          </cell>
          <cell r="H17">
            <v>2.6548672566371681E-2</v>
          </cell>
        </row>
        <row r="18">
          <cell r="A18" t="str">
            <v>FRAUDES</v>
          </cell>
          <cell r="B18">
            <v>314</v>
          </cell>
          <cell r="C18">
            <v>45</v>
          </cell>
          <cell r="D18">
            <v>1</v>
          </cell>
          <cell r="E18">
            <v>21</v>
          </cell>
          <cell r="F18">
            <v>15</v>
          </cell>
          <cell r="G18">
            <v>17.100000000000001</v>
          </cell>
          <cell r="H18">
            <v>0.12534818941504178</v>
          </cell>
        </row>
        <row r="19">
          <cell r="A19" t="str">
            <v>GARANTIAS INSTALACIONES</v>
          </cell>
          <cell r="B19">
            <v>11</v>
          </cell>
          <cell r="C19">
            <v>4</v>
          </cell>
          <cell r="F19" t="str">
            <v/>
          </cell>
          <cell r="G19" t="str">
            <v/>
          </cell>
          <cell r="H19">
            <v>0.26666666666666666</v>
          </cell>
        </row>
        <row r="20">
          <cell r="A20" t="str">
            <v>INSTALACIONES ACUEDUCTO</v>
          </cell>
          <cell r="B20">
            <v>6</v>
          </cell>
          <cell r="C20">
            <v>73</v>
          </cell>
          <cell r="F20" t="str">
            <v/>
          </cell>
          <cell r="G20" t="str">
            <v/>
          </cell>
          <cell r="H20">
            <v>0.92405063291139244</v>
          </cell>
        </row>
        <row r="21">
          <cell r="A21" t="str">
            <v>MEDIDORES 1/2 Y 1"</v>
          </cell>
          <cell r="B21">
            <v>2</v>
          </cell>
          <cell r="C21">
            <v>3</v>
          </cell>
          <cell r="F21" t="str">
            <v/>
          </cell>
          <cell r="G21" t="str">
            <v/>
          </cell>
          <cell r="H21">
            <v>0.6</v>
          </cell>
        </row>
        <row r="22">
          <cell r="A22" t="str">
            <v>MMTO VALVULAS E HIDRANTES</v>
          </cell>
          <cell r="B22">
            <v>49</v>
          </cell>
          <cell r="C22">
            <v>4</v>
          </cell>
          <cell r="D22">
            <v>1</v>
          </cell>
          <cell r="E22">
            <v>61</v>
          </cell>
          <cell r="F22">
            <v>0.8</v>
          </cell>
          <cell r="G22">
            <v>0.9</v>
          </cell>
          <cell r="H22">
            <v>7.5471698113207544E-2</v>
          </cell>
        </row>
        <row r="23">
          <cell r="A23" t="str">
            <v>OBRAS ACCESORIAS DAÑOS ACUEDUCTO</v>
          </cell>
          <cell r="B23">
            <v>42</v>
          </cell>
          <cell r="C23">
            <v>1</v>
          </cell>
          <cell r="F23" t="str">
            <v/>
          </cell>
          <cell r="G23" t="str">
            <v/>
          </cell>
          <cell r="H23">
            <v>2.3255813953488372E-2</v>
          </cell>
        </row>
        <row r="24">
          <cell r="A24" t="str">
            <v>OBRAS ACCESORIAS INSTALACIONES</v>
          </cell>
          <cell r="B24">
            <v>927</v>
          </cell>
          <cell r="C24">
            <v>0</v>
          </cell>
          <cell r="F24" t="str">
            <v/>
          </cell>
          <cell r="G24" t="str">
            <v/>
          </cell>
          <cell r="H24">
            <v>0</v>
          </cell>
        </row>
        <row r="25">
          <cell r="A25" t="str">
            <v>PITOMETRÍA</v>
          </cell>
          <cell r="B25">
            <v>47</v>
          </cell>
          <cell r="C25">
            <v>39</v>
          </cell>
          <cell r="D25">
            <v>1</v>
          </cell>
          <cell r="E25">
            <v>21</v>
          </cell>
          <cell r="F25">
            <v>2.2000000000000002</v>
          </cell>
          <cell r="G25">
            <v>4.0999999999999996</v>
          </cell>
          <cell r="H25">
            <v>0.45348837209302323</v>
          </cell>
        </row>
        <row r="26">
          <cell r="A26" t="str">
            <v>PROYECTOS ACUEDUCTO</v>
          </cell>
          <cell r="B26">
            <v>74</v>
          </cell>
          <cell r="C26">
            <v>15</v>
          </cell>
          <cell r="F26" t="str">
            <v/>
          </cell>
          <cell r="G26" t="str">
            <v/>
          </cell>
          <cell r="H26">
            <v>0.16853932584269662</v>
          </cell>
        </row>
        <row r="27">
          <cell r="A27" t="str">
            <v>REFERENCIACIÓN ACUEDUCTO</v>
          </cell>
          <cell r="B27">
            <v>0</v>
          </cell>
          <cell r="C27">
            <v>3</v>
          </cell>
          <cell r="F27" t="str">
            <v/>
          </cell>
          <cell r="G27" t="str">
            <v/>
          </cell>
          <cell r="H27">
            <v>1</v>
          </cell>
        </row>
        <row r="28">
          <cell r="A28" t="str">
            <v>#N/A</v>
          </cell>
          <cell r="B28">
            <v>3</v>
          </cell>
          <cell r="C28">
            <v>1</v>
          </cell>
          <cell r="F28" t="str">
            <v/>
          </cell>
          <cell r="G28" t="str">
            <v/>
          </cell>
          <cell r="H28" t="str">
            <v/>
          </cell>
        </row>
        <row r="29">
          <cell r="A29" t="str">
            <v>Total general</v>
          </cell>
          <cell r="B29">
            <v>2679</v>
          </cell>
          <cell r="C29">
            <v>1006</v>
          </cell>
          <cell r="F29" t="str">
            <v/>
          </cell>
          <cell r="G29" t="str">
            <v/>
          </cell>
          <cell r="H29">
            <v>0.2729986431478969</v>
          </cell>
        </row>
        <row r="30">
          <cell r="F30" t="str">
            <v/>
          </cell>
          <cell r="G30" t="str">
            <v/>
          </cell>
          <cell r="H30" t="str">
            <v/>
          </cell>
        </row>
      </sheetData>
      <sheetData sheetId="5" refreshError="1">
        <row r="12">
          <cell r="A12" t="str">
            <v>CAMBIO ACOMETIDAS CONTRATO</v>
          </cell>
          <cell r="B12">
            <v>8</v>
          </cell>
          <cell r="C12">
            <v>8</v>
          </cell>
          <cell r="F12" t="str">
            <v/>
          </cell>
          <cell r="G12" t="str">
            <v/>
          </cell>
          <cell r="H12">
            <v>0.5</v>
          </cell>
        </row>
        <row r="13">
          <cell r="A13" t="str">
            <v>CARROTANQUE</v>
          </cell>
          <cell r="B13">
            <v>123</v>
          </cell>
          <cell r="C13">
            <v>1</v>
          </cell>
          <cell r="D13">
            <v>1</v>
          </cell>
          <cell r="E13">
            <v>63</v>
          </cell>
          <cell r="F13">
            <v>2</v>
          </cell>
          <cell r="G13">
            <v>2</v>
          </cell>
          <cell r="H13">
            <v>8.0645161290322578E-3</v>
          </cell>
        </row>
        <row r="14">
          <cell r="A14" t="str">
            <v>CASAS SIN AGUA</v>
          </cell>
          <cell r="B14">
            <v>465</v>
          </cell>
          <cell r="C14">
            <v>735</v>
          </cell>
          <cell r="D14">
            <v>1</v>
          </cell>
          <cell r="E14">
            <v>63</v>
          </cell>
          <cell r="F14">
            <v>7.4</v>
          </cell>
          <cell r="G14">
            <v>19</v>
          </cell>
          <cell r="H14">
            <v>0.61250000000000004</v>
          </cell>
        </row>
        <row r="15">
          <cell r="A15" t="str">
            <v>CORTE Y RECONEXION</v>
          </cell>
          <cell r="B15">
            <v>15</v>
          </cell>
          <cell r="C15">
            <v>32</v>
          </cell>
          <cell r="F15" t="str">
            <v/>
          </cell>
          <cell r="G15" t="str">
            <v/>
          </cell>
          <cell r="H15">
            <v>0.68085106382978722</v>
          </cell>
        </row>
        <row r="16">
          <cell r="A16" t="str">
            <v>DAÑOS ACUEDUCTO</v>
          </cell>
          <cell r="B16">
            <v>640</v>
          </cell>
          <cell r="C16">
            <v>287</v>
          </cell>
          <cell r="D16">
            <v>7</v>
          </cell>
          <cell r="E16">
            <v>55.285714285714285</v>
          </cell>
          <cell r="F16">
            <v>1.7</v>
          </cell>
          <cell r="G16">
            <v>2.4</v>
          </cell>
          <cell r="H16">
            <v>0.30960086299892126</v>
          </cell>
        </row>
        <row r="17">
          <cell r="A17" t="str">
            <v>ESCOMBROS DAÑOS ACUEDUCTO</v>
          </cell>
          <cell r="B17">
            <v>205</v>
          </cell>
          <cell r="C17">
            <v>9</v>
          </cell>
          <cell r="D17">
            <v>1</v>
          </cell>
          <cell r="E17">
            <v>63</v>
          </cell>
          <cell r="F17">
            <v>3.3</v>
          </cell>
          <cell r="G17">
            <v>3.4</v>
          </cell>
          <cell r="H17">
            <v>4.2056074766355138E-2</v>
          </cell>
        </row>
        <row r="18">
          <cell r="A18" t="str">
            <v>FRAUDES</v>
          </cell>
          <cell r="B18">
            <v>356</v>
          </cell>
          <cell r="C18">
            <v>255</v>
          </cell>
          <cell r="D18">
            <v>1</v>
          </cell>
          <cell r="E18">
            <v>25</v>
          </cell>
          <cell r="F18">
            <v>14.2</v>
          </cell>
          <cell r="G18">
            <v>24.4</v>
          </cell>
          <cell r="H18">
            <v>0.41734860883797054</v>
          </cell>
        </row>
        <row r="19">
          <cell r="A19" t="str">
            <v>GARANTIAS INSTALACIONES</v>
          </cell>
          <cell r="B19">
            <v>32</v>
          </cell>
          <cell r="C19">
            <v>7</v>
          </cell>
          <cell r="F19" t="str">
            <v/>
          </cell>
          <cell r="G19" t="str">
            <v/>
          </cell>
          <cell r="H19">
            <v>0.17948717948717949</v>
          </cell>
        </row>
        <row r="20">
          <cell r="A20" t="str">
            <v>INSTALACIONES ACUEDUCTO</v>
          </cell>
          <cell r="B20">
            <v>4</v>
          </cell>
          <cell r="C20">
            <v>91</v>
          </cell>
          <cell r="F20" t="str">
            <v/>
          </cell>
          <cell r="G20" t="str">
            <v/>
          </cell>
          <cell r="H20">
            <v>0.95789473684210524</v>
          </cell>
        </row>
        <row r="21">
          <cell r="A21" t="str">
            <v>MEDIDORES 1/2 Y 1"</v>
          </cell>
          <cell r="B21">
            <v>2</v>
          </cell>
          <cell r="C21">
            <v>3</v>
          </cell>
          <cell r="F21" t="str">
            <v/>
          </cell>
          <cell r="G21" t="str">
            <v/>
          </cell>
          <cell r="H21">
            <v>0.6</v>
          </cell>
        </row>
        <row r="22">
          <cell r="A22" t="str">
            <v>MMTO VALVULAS E HIDRANTES</v>
          </cell>
          <cell r="B22">
            <v>36</v>
          </cell>
          <cell r="C22">
            <v>12</v>
          </cell>
          <cell r="D22">
            <v>2</v>
          </cell>
          <cell r="E22">
            <v>44</v>
          </cell>
          <cell r="F22">
            <v>0.4</v>
          </cell>
          <cell r="G22">
            <v>0.5</v>
          </cell>
          <cell r="H22">
            <v>0.25</v>
          </cell>
        </row>
        <row r="23">
          <cell r="A23" t="str">
            <v>OBRAS ACCESORIAS DAÑOS ACUEDUCTO</v>
          </cell>
          <cell r="B23">
            <v>9</v>
          </cell>
          <cell r="C23">
            <v>22</v>
          </cell>
          <cell r="F23" t="str">
            <v/>
          </cell>
          <cell r="G23" t="str">
            <v/>
          </cell>
          <cell r="H23">
            <v>0.70967741935483875</v>
          </cell>
        </row>
        <row r="24">
          <cell r="A24" t="str">
            <v>OBRAS ACCESORIAS INSTALACIONES</v>
          </cell>
          <cell r="B24">
            <v>1132</v>
          </cell>
          <cell r="C24">
            <v>0</v>
          </cell>
          <cell r="F24" t="str">
            <v/>
          </cell>
          <cell r="G24" t="str">
            <v/>
          </cell>
          <cell r="H24">
            <v>0</v>
          </cell>
        </row>
        <row r="25">
          <cell r="A25" t="str">
            <v>PITOMETRÍA</v>
          </cell>
          <cell r="B25">
            <v>44</v>
          </cell>
          <cell r="C25">
            <v>71</v>
          </cell>
          <cell r="D25">
            <v>3</v>
          </cell>
          <cell r="E25">
            <v>31.333333333333332</v>
          </cell>
          <cell r="F25">
            <v>0.5</v>
          </cell>
          <cell r="G25">
            <v>1.2</v>
          </cell>
          <cell r="H25">
            <v>0.61739130434782608</v>
          </cell>
        </row>
        <row r="26">
          <cell r="A26" t="str">
            <v>PROYECTOS ACUEDUCTO</v>
          </cell>
          <cell r="B26">
            <v>51</v>
          </cell>
          <cell r="C26">
            <v>7</v>
          </cell>
          <cell r="F26" t="str">
            <v/>
          </cell>
          <cell r="G26" t="str">
            <v/>
          </cell>
          <cell r="H26">
            <v>0.1206896551724138</v>
          </cell>
        </row>
        <row r="27">
          <cell r="A27" t="str">
            <v>SECTOR SIN AGUA</v>
          </cell>
          <cell r="B27">
            <v>0</v>
          </cell>
          <cell r="C27">
            <v>1</v>
          </cell>
          <cell r="F27" t="str">
            <v/>
          </cell>
          <cell r="G27" t="str">
            <v/>
          </cell>
          <cell r="H27">
            <v>1</v>
          </cell>
        </row>
        <row r="28">
          <cell r="A28" t="str">
            <v>#N/A</v>
          </cell>
          <cell r="B28">
            <v>3</v>
          </cell>
          <cell r="C28">
            <v>1</v>
          </cell>
          <cell r="F28" t="str">
            <v/>
          </cell>
          <cell r="G28" t="str">
            <v/>
          </cell>
          <cell r="H28">
            <v>0.25</v>
          </cell>
        </row>
        <row r="29">
          <cell r="A29" t="str">
            <v>Total general</v>
          </cell>
          <cell r="B29">
            <v>2679</v>
          </cell>
          <cell r="C29">
            <v>1006</v>
          </cell>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3125</v>
          </cell>
          <cell r="C33">
            <v>1542</v>
          </cell>
          <cell r="F33" t="str">
            <v/>
          </cell>
          <cell r="G33" t="str">
            <v/>
          </cell>
          <cell r="H33">
            <v>0.33040497107349476</v>
          </cell>
        </row>
        <row r="34">
          <cell r="F34" t="str">
            <v/>
          </cell>
          <cell r="G34" t="str">
            <v/>
          </cell>
          <cell r="H34" t="str">
            <v/>
          </cell>
        </row>
      </sheetData>
      <sheetData sheetId="6"/>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CANT.5921"/>
      <sheetName val="ACTA COMPARATIVA"/>
    </sheetNames>
    <sheetDataSet>
      <sheetData sheetId="0" refreshError="1"/>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ACOMETIDAS"/>
      <sheetName val="dem poz"/>
      <sheetName val="desvio"/>
      <sheetName val="TUBERIA"/>
      <sheetName val="CARCAMO"/>
      <sheetName val="ANDENES"/>
      <sheetName val="DOMICILIARIAS"/>
      <sheetName val="PAVIMENTO"/>
      <sheetName val="SUMA TUB"/>
      <sheetName val="RESUMEN"/>
      <sheetName val="VILLA SAGRARIO N"/>
      <sheetName val="CANT.592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opliegos"/>
      <sheetName val="aguia"/>
      <sheetName val="aCant"/>
      <sheetName val="dEDT"/>
      <sheetName val="aItems"/>
      <sheetName val="aUnitbasic"/>
      <sheetName val="aUnitb"/>
      <sheetName val="precmateri"/>
      <sheetName val="disayuda"/>
      <sheetName val="bdistribu"/>
      <sheetName val="AUI"/>
      <sheetName val="Prest"/>
      <sheetName val="factordiahabil"/>
      <sheetName val="dMO no calificada"/>
      <sheetName val="dCuadrilla"/>
      <sheetName val="precmatuni"/>
      <sheetName val="manoobraitem"/>
      <sheetName val="cAnalisisbas"/>
      <sheetName val="cAnalisis"/>
      <sheetName val="cPresup"/>
      <sheetName val="listaacti"/>
      <sheetName val="pert"/>
      <sheetName val="variacion"/>
      <sheetName val="bmatrizacti"/>
      <sheetName val="bCPM"/>
      <sheetName val="gantt21"/>
      <sheetName val="ganttprim22"/>
      <sheetName val="ganttult23"/>
      <sheetName val="ecurvaScosto"/>
      <sheetName val="Financiero "/>
      <sheetName val="dganttpersonal"/>
      <sheetName val="bdistribu (1)"/>
      <sheetName val="bdistribu (2)"/>
      <sheetName val="bdistribu (3)"/>
      <sheetName val="bdistribu (4)"/>
      <sheetName val="bdistribu (5)"/>
      <sheetName val="bdistribu (6)"/>
      <sheetName val="nivelacion"/>
      <sheetName val="personal"/>
      <sheetName val="ganttdefinyniv"/>
      <sheetName val="ganttdefin"/>
      <sheetName val="33NIVELA"/>
      <sheetName val="btiempo"/>
      <sheetName val="dganttmateriales"/>
      <sheetName val="dganttmateriales (2)"/>
      <sheetName val="dganttmateriales (3)"/>
      <sheetName val="dganttmateriales (4)"/>
      <sheetName val="dganttmateriales (5)"/>
      <sheetName val="dganttmateriales (6)"/>
      <sheetName val="dganttmateriales (7)"/>
      <sheetName val="dganttmateriales (8)"/>
      <sheetName val="dganttmateriales (9)"/>
      <sheetName val="dganttmateriales (10)"/>
      <sheetName val="dganttmateriales (11)"/>
      <sheetName val="dganttmateriales (12)"/>
      <sheetName val="dganttmateriales (13)"/>
      <sheetName val="dganttmateriales (14)"/>
      <sheetName val="dganttmateriales (15)"/>
      <sheetName val="dganttmateriales (16)"/>
      <sheetName val="dganttmateriales (17)"/>
      <sheetName val="dganttmateriales (18)"/>
      <sheetName val="dganttmateriales (19)"/>
      <sheetName val="dganttmateriales (20)"/>
      <sheetName val="dganttmateriales (21)"/>
      <sheetName val="dganttmateriales (22)"/>
      <sheetName val="dganttmateriales (23)"/>
      <sheetName val="dganttmateriales (24)"/>
      <sheetName val="dganttmateriales (25)"/>
      <sheetName val="dganttmateriales (26)"/>
      <sheetName val="dganttmateriales (27)"/>
      <sheetName val="dganttmateriales (28)"/>
      <sheetName val="dganttmateriales (29)"/>
      <sheetName val="dganttmateriales (30)"/>
      <sheetName val="dganttmateriales (31)"/>
      <sheetName val="dganttmateriales (32)"/>
      <sheetName val="efondoscerc"/>
      <sheetName val="efondoslejano"/>
      <sheetName val="zprocedimiento"/>
    </sheetNames>
    <sheetDataSet>
      <sheetData sheetId="0">
        <row r="1">
          <cell r="A1">
            <v>2</v>
          </cell>
        </row>
        <row r="5">
          <cell r="B5" t="str">
            <v>ALCALDÍA MUNICIPAL DE ISTMINA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
      <sheetName val="MATERIAL"/>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PRESUPUESTO"/>
      <sheetName val="AIU OFICIAL"/>
      <sheetName val="APU del 1 al 13"/>
      <sheetName val="costos de personal"/>
      <sheetName val="LISTADO DE INSUMOS"/>
      <sheetName val="BASE"/>
      <sheetName val="APU HIDROSANITARIAS"/>
      <sheetName val="APUElectrico"/>
      <sheetName val="BASE ELECTRICA APU"/>
      <sheetName val="APU SEÑAL"/>
      <sheetName val="insumos señal"/>
      <sheetName val="Formulario SEÑAL"/>
      <sheetName val="Interventoria"/>
      <sheetName val="AIU Interventoria"/>
      <sheetName val="Costo socioambiental obra"/>
      <sheetName val="Formulario Electrico"/>
      <sheetName val="BASE CTOS"/>
      <sheetName val="PRESTA"/>
      <sheetName val="REDES HIROSANITARIAS"/>
    </sheetNames>
    <sheetDataSet>
      <sheetData sheetId="0" refreshError="1"/>
      <sheetData sheetId="1"/>
      <sheetData sheetId="2" refreshError="1"/>
      <sheetData sheetId="3" refreshError="1"/>
      <sheetData sheetId="4"/>
      <sheetData sheetId="5"/>
      <sheetData sheetId="6">
        <row r="1">
          <cell r="C1">
            <v>0</v>
          </cell>
        </row>
        <row r="8">
          <cell r="D8">
            <v>67024.742400000003</v>
          </cell>
        </row>
        <row r="9">
          <cell r="D9">
            <v>50268.556800000006</v>
          </cell>
        </row>
        <row r="10">
          <cell r="D10">
            <v>40214.845439999997</v>
          </cell>
        </row>
        <row r="29">
          <cell r="D29">
            <v>361137.34347199998</v>
          </cell>
        </row>
        <row r="30">
          <cell r="D30">
            <v>346807.34347199998</v>
          </cell>
        </row>
        <row r="31">
          <cell r="D31">
            <v>313927.34347199998</v>
          </cell>
        </row>
        <row r="32">
          <cell r="D32">
            <v>292252.30561023997</v>
          </cell>
        </row>
        <row r="33">
          <cell r="D33">
            <v>296832.34347199998</v>
          </cell>
        </row>
        <row r="38">
          <cell r="D38">
            <v>309771.847312</v>
          </cell>
        </row>
        <row r="39">
          <cell r="D39">
            <v>270111.847312</v>
          </cell>
        </row>
        <row r="46">
          <cell r="D46">
            <v>9000</v>
          </cell>
        </row>
        <row r="48">
          <cell r="D48">
            <v>66000</v>
          </cell>
        </row>
        <row r="50">
          <cell r="D50">
            <v>68000</v>
          </cell>
        </row>
        <row r="51">
          <cell r="D51">
            <v>75000</v>
          </cell>
        </row>
        <row r="52">
          <cell r="D52">
            <v>23500</v>
          </cell>
        </row>
        <row r="72">
          <cell r="D72">
            <v>3364.1933333333332</v>
          </cell>
        </row>
        <row r="73">
          <cell r="D73">
            <v>10738.699999999999</v>
          </cell>
        </row>
        <row r="168">
          <cell r="D168">
            <v>11574.286666666667</v>
          </cell>
        </row>
        <row r="173">
          <cell r="D173">
            <v>4738.5999999999995</v>
          </cell>
        </row>
        <row r="175">
          <cell r="D175">
            <v>33707.279999999999</v>
          </cell>
        </row>
        <row r="178">
          <cell r="D178">
            <v>4853.4399999999996</v>
          </cell>
        </row>
        <row r="179">
          <cell r="D179">
            <v>10102.092000000001</v>
          </cell>
        </row>
        <row r="188">
          <cell r="D188">
            <v>12557.695999999998</v>
          </cell>
        </row>
        <row r="189">
          <cell r="D189">
            <v>40990.223999999995</v>
          </cell>
        </row>
        <row r="190">
          <cell r="D190">
            <v>72424.367999999988</v>
          </cell>
        </row>
        <row r="191">
          <cell r="D191">
            <v>113124.59199999999</v>
          </cell>
        </row>
        <row r="417">
          <cell r="D417">
            <v>98000</v>
          </cell>
        </row>
        <row r="418">
          <cell r="D418">
            <v>15000</v>
          </cell>
        </row>
        <row r="419">
          <cell r="D419">
            <v>12500</v>
          </cell>
        </row>
        <row r="421">
          <cell r="D421">
            <v>48125</v>
          </cell>
        </row>
        <row r="447">
          <cell r="D447">
            <v>23000</v>
          </cell>
        </row>
        <row r="450">
          <cell r="D450">
            <v>1700000</v>
          </cell>
        </row>
        <row r="453">
          <cell r="D453">
            <v>40000</v>
          </cell>
        </row>
        <row r="460">
          <cell r="D460">
            <v>80000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3">
          <cell r="D13">
            <v>566700</v>
          </cell>
        </row>
      </sheetData>
      <sheetData sheetId="1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s>
    <sheetDataSet>
      <sheetData sheetId="0"/>
      <sheetData sheetId="1">
        <row r="7">
          <cell r="A7" t="str">
            <v>Acero A-36 para estructura metalica</v>
          </cell>
        </row>
      </sheetData>
      <sheetData sheetId="2">
        <row r="7">
          <cell r="A7" t="str">
            <v>Aspersor manual</v>
          </cell>
        </row>
        <row r="8">
          <cell r="A8" t="str">
            <v>Barredora mecánica de cepillo</v>
          </cell>
        </row>
        <row r="9">
          <cell r="A9" t="str">
            <v>Bomba de inyección de lechada</v>
          </cell>
        </row>
        <row r="10">
          <cell r="A10" t="str">
            <v>Bomba para gato de tensionamiento</v>
          </cell>
        </row>
        <row r="11">
          <cell r="A11" t="str">
            <v>Bomba de concreto</v>
          </cell>
        </row>
        <row r="12">
          <cell r="A12" t="str">
            <v>Buldozer D4</v>
          </cell>
        </row>
        <row r="13">
          <cell r="A13" t="str">
            <v>Buldozer D6</v>
          </cell>
        </row>
        <row r="14">
          <cell r="A14" t="str">
            <v>Buldozer D8 (incluido Ripper)</v>
          </cell>
        </row>
        <row r="15">
          <cell r="A15" t="str">
            <v>Calentador a gas</v>
          </cell>
        </row>
        <row r="16">
          <cell r="A16" t="str">
            <v>Camion 350</v>
          </cell>
        </row>
        <row r="17">
          <cell r="A17" t="str">
            <v>Camioneta D-300</v>
          </cell>
        </row>
        <row r="18">
          <cell r="A18" t="str">
            <v>Camión de Slurry</v>
          </cell>
        </row>
        <row r="19">
          <cell r="A19" t="str">
            <v>Cargador 920 o equivalente</v>
          </cell>
        </row>
        <row r="20">
          <cell r="A20" t="str">
            <v>Cargador 930 o equivalente</v>
          </cell>
        </row>
        <row r="21">
          <cell r="A21" t="str">
            <v>Carrotanque de agua (10000 galones)</v>
          </cell>
        </row>
        <row r="22">
          <cell r="A22" t="str">
            <v>Carrotanque Irrigador de asfalto</v>
          </cell>
        </row>
        <row r="23">
          <cell r="A23" t="str">
            <v>Cizalla</v>
          </cell>
        </row>
        <row r="24">
          <cell r="A24" t="str">
            <v>Compactador Benitin</v>
          </cell>
        </row>
        <row r="25">
          <cell r="A25" t="str">
            <v>Compactador manual (RANA)</v>
          </cell>
        </row>
        <row r="26">
          <cell r="A26" t="str">
            <v>Compactador manual (SALTARIN)</v>
          </cell>
        </row>
        <row r="27">
          <cell r="A27" t="str">
            <v>Compactador manual de rodillo</v>
          </cell>
        </row>
        <row r="28">
          <cell r="A28" t="str">
            <v>Compactador vibratorio tipo DD-20</v>
          </cell>
        </row>
        <row r="29">
          <cell r="A29" t="str">
            <v>Compactador manual vibratorio (CANGURO) (Apisonadores)</v>
          </cell>
        </row>
        <row r="30">
          <cell r="A30" t="str">
            <v>Compactador neumatico</v>
          </cell>
        </row>
        <row r="31">
          <cell r="A31" t="str">
            <v>Compresor 125 pies 3 con martillo</v>
          </cell>
        </row>
        <row r="32">
          <cell r="A32" t="str">
            <v>Compresor 250 pies 3 con martillo</v>
          </cell>
        </row>
        <row r="33">
          <cell r="A33" t="str">
            <v>Compresor (barrido y soplado)</v>
          </cell>
        </row>
        <row r="34">
          <cell r="A34" t="str">
            <v>Compresor para penetrar roca</v>
          </cell>
        </row>
        <row r="35">
          <cell r="A35" t="str">
            <v>Cortadora de pavimento</v>
          </cell>
        </row>
        <row r="36">
          <cell r="A36" t="str">
            <v>Diferencial de 2 ton.</v>
          </cell>
        </row>
        <row r="37">
          <cell r="A37" t="str">
            <v>Diferencial de 3 ton</v>
          </cell>
        </row>
        <row r="38">
          <cell r="A38" t="str">
            <v>Equipo de control (bandas sonoras reduce velocidad) (Termohigometros, Termómetros, Galgas, etc)</v>
          </cell>
        </row>
        <row r="39">
          <cell r="A39" t="str">
            <v>Equipo de oxicorte</v>
          </cell>
        </row>
        <row r="40">
          <cell r="A40" t="str">
            <v>Equipo de perforación (TRACKDRILL)</v>
          </cell>
        </row>
        <row r="41">
          <cell r="A41" t="str">
            <v>Equipo de pintura (Compresor)</v>
          </cell>
        </row>
        <row r="42">
          <cell r="A42" t="str">
            <v>Equipo de soldadura 250 AMP</v>
          </cell>
        </row>
        <row r="43">
          <cell r="A43" t="str">
            <v>euipo de soldadura 400</v>
          </cell>
        </row>
        <row r="44">
          <cell r="A44" t="str">
            <v>euipo de soldadura 600</v>
          </cell>
        </row>
        <row r="45">
          <cell r="A45" t="str">
            <v>Equipo de topografía</v>
          </cell>
        </row>
        <row r="46">
          <cell r="A46" t="str">
            <v>Equipo manual aplicador (bandas sonoras reduce velocidad)</v>
          </cell>
        </row>
        <row r="47">
          <cell r="A47" t="str">
            <v>Esparcidor de gravilla (INCLUYE VOLQUETA)</v>
          </cell>
        </row>
        <row r="48">
          <cell r="A48" t="str">
            <v>Estación</v>
          </cell>
        </row>
        <row r="49">
          <cell r="A49" t="str">
            <v>Formaleta metálica (concreto hidraulico)</v>
          </cell>
        </row>
        <row r="50">
          <cell r="A50" t="str">
            <v>Formaleta metálica (tuberia de concreto reforzado)</v>
          </cell>
        </row>
        <row r="51">
          <cell r="A51" t="str">
            <v>Formaleta para camisa de pilote</v>
          </cell>
        </row>
        <row r="52">
          <cell r="A52" t="str">
            <v>Fresadora de pavimento</v>
          </cell>
        </row>
        <row r="53">
          <cell r="A53" t="str">
            <v>Fresadora y recicladora de pavimento</v>
          </cell>
        </row>
        <row r="54">
          <cell r="A54" t="str">
            <v>Gato para tensionamiento</v>
          </cell>
        </row>
        <row r="55">
          <cell r="A55" t="str">
            <v>Grua 10 ton</v>
          </cell>
        </row>
        <row r="56">
          <cell r="A56" t="str">
            <v>Grua (capacidad 15 ton)</v>
          </cell>
        </row>
        <row r="57">
          <cell r="A57" t="str">
            <v>Grua con torre</v>
          </cell>
        </row>
        <row r="58">
          <cell r="A58" t="str">
            <v>Grua telescópica</v>
          </cell>
        </row>
        <row r="59">
          <cell r="A59" t="str">
            <v>Guadañadora</v>
          </cell>
        </row>
        <row r="60">
          <cell r="A60" t="str">
            <v>Maquina térmica pegatachas</v>
          </cell>
        </row>
        <row r="61">
          <cell r="A61" t="str">
            <v>Mezcladora de concreto (1bulto)</v>
          </cell>
        </row>
        <row r="62">
          <cell r="A62" t="str">
            <v>Montacargas</v>
          </cell>
        </row>
        <row r="63">
          <cell r="A63" t="str">
            <v>Motobomba 3 PULGADAS</v>
          </cell>
        </row>
        <row r="64">
          <cell r="A64" t="str">
            <v>Motobomba 4 PULGADAS</v>
          </cell>
        </row>
        <row r="65">
          <cell r="A65" t="str">
            <v>Motobomba 6" DIAMETRO DE BOMBEO DE 2M³/SEG.</v>
          </cell>
        </row>
        <row r="66">
          <cell r="A66" t="str">
            <v>Motobomba de concreto</v>
          </cell>
        </row>
        <row r="67">
          <cell r="A67" t="str">
            <v>Motoniveladora</v>
          </cell>
        </row>
        <row r="68">
          <cell r="A68" t="str">
            <v>Motosierra</v>
          </cell>
        </row>
        <row r="69">
          <cell r="A69" t="str">
            <v>Pala auxiliar de piloteadora</v>
          </cell>
        </row>
        <row r="70">
          <cell r="A70" t="str">
            <v>Pala grua con martillos</v>
          </cell>
        </row>
        <row r="71">
          <cell r="A71" t="str">
            <v>Piloteadora</v>
          </cell>
        </row>
        <row r="72">
          <cell r="A72" t="str">
            <v>Planta de asfalto en caliente</v>
          </cell>
        </row>
        <row r="73">
          <cell r="A73" t="str">
            <v>Planta de asfalto en frio</v>
          </cell>
        </row>
        <row r="74">
          <cell r="A74" t="str">
            <v xml:space="preserve">Planta eléctrica </v>
          </cell>
        </row>
        <row r="75">
          <cell r="A75" t="str">
            <v>Planta trituradora</v>
          </cell>
        </row>
        <row r="76">
          <cell r="A76" t="str">
            <v>Pluma capacidad 100 kg</v>
          </cell>
        </row>
        <row r="77">
          <cell r="A77" t="str">
            <v>Pulidora (8500 REV)</v>
          </cell>
        </row>
        <row r="78">
          <cell r="A78" t="str">
            <v>Pulvimixer</v>
          </cell>
        </row>
        <row r="79">
          <cell r="A79" t="str">
            <v>Regla vibratoria L=3m</v>
          </cell>
        </row>
        <row r="80">
          <cell r="A80" t="str">
            <v>Recicladora</v>
          </cell>
        </row>
        <row r="81">
          <cell r="A81" t="str">
            <v>Retrocargador</v>
          </cell>
        </row>
        <row r="82">
          <cell r="A82" t="str">
            <v>Retroexcavadora CAT 320</v>
          </cell>
        </row>
        <row r="83">
          <cell r="A83" t="str">
            <v xml:space="preserve">Retrocargador CAT 510 </v>
          </cell>
        </row>
        <row r="84">
          <cell r="A84" t="str">
            <v>Retroexcavadora A25C</v>
          </cell>
        </row>
        <row r="85">
          <cell r="A85" t="str">
            <v>Retroexcavadora E-200 sobre orugas</v>
          </cell>
        </row>
        <row r="86">
          <cell r="A86" t="str">
            <v>Retroexcavadora E-200 sobre orugas trabajo en rio</v>
          </cell>
        </row>
        <row r="87">
          <cell r="A87" t="str">
            <v>Retroexcavadora E-200 con martillo neumatico</v>
          </cell>
        </row>
        <row r="88">
          <cell r="A88" t="str">
            <v>Retroexcavadora 428 doble trasmición</v>
          </cell>
        </row>
        <row r="89">
          <cell r="A89" t="str">
            <v>Retroexcavadora sobre llantas JD 410</v>
          </cell>
        </row>
        <row r="90">
          <cell r="A90" t="str">
            <v>Taco metálico o puntal (escamas en concreto)</v>
          </cell>
        </row>
        <row r="91">
          <cell r="A91" t="str">
            <v>Tarifa de transporte</v>
          </cell>
        </row>
        <row r="92">
          <cell r="A92" t="str">
            <v>Tarifa de transporte para  mezclas</v>
          </cell>
        </row>
        <row r="93">
          <cell r="A93" t="str">
            <v xml:space="preserve">Tarifa de transporte de mezclas para bacheo </v>
          </cell>
        </row>
        <row r="94">
          <cell r="A94" t="str">
            <v>Tarifa de transporte de estructuras metálicas en obra</v>
          </cell>
        </row>
        <row r="95">
          <cell r="A95" t="str">
            <v xml:space="preserve">Tarifa de transporte de estructuras metálicas </v>
          </cell>
        </row>
        <row r="96">
          <cell r="A96" t="str">
            <v>Terminadora de asfalto (Finisher)</v>
          </cell>
        </row>
        <row r="97">
          <cell r="A97" t="str">
            <v>Vehiculo delineador</v>
          </cell>
        </row>
        <row r="98">
          <cell r="A98" t="str">
            <v>Vibrador de concreto</v>
          </cell>
        </row>
        <row r="99">
          <cell r="A99" t="str">
            <v>Vibrocompatador Dynapac (10 ton)</v>
          </cell>
        </row>
        <row r="100">
          <cell r="A100" t="str">
            <v>Vibrocompatador Dynapac C15</v>
          </cell>
        </row>
        <row r="101">
          <cell r="A101" t="str">
            <v>Volqueta 6 m3</v>
          </cell>
        </row>
        <row r="102">
          <cell r="A102" t="str">
            <v>Equipo de sandblasting</v>
          </cell>
        </row>
        <row r="103">
          <cell r="A103" t="str">
            <v>Taladro</v>
          </cell>
        </row>
        <row r="104">
          <cell r="A104" t="str">
            <v>dispensador neumatico hit-p500</v>
          </cell>
        </row>
        <row r="106">
          <cell r="A106" t="str">
            <v>Camisa</v>
          </cell>
        </row>
        <row r="108">
          <cell r="A108" t="str">
            <v>CORTADORA DE LÁMINA</v>
          </cell>
        </row>
        <row r="109">
          <cell r="A109" t="str">
            <v>CORTADORA DE ANGULO</v>
          </cell>
        </row>
        <row r="110">
          <cell r="A110" t="str">
            <v>EQUIPO DE SOLDADURA</v>
          </cell>
        </row>
        <row r="111">
          <cell r="A111" t="str">
            <v>EQUIPO DE PINTURA</v>
          </cell>
        </row>
        <row r="112">
          <cell r="A112" t="str">
            <v>EQUIPO DE SERIGRAFÍA</v>
          </cell>
        </row>
        <row r="113">
          <cell r="A113" t="str">
            <v>EQUIPO DE LAMINACIÓN</v>
          </cell>
        </row>
        <row r="114">
          <cell r="A114" t="str">
            <v>TALADRO</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_Via_distribuidora"/>
      <sheetName val="INSUMOS BASE"/>
      <sheetName val="costos mano obra"/>
      <sheetName val="Información"/>
      <sheetName val="ANEXOS QUE APLICAN"/>
      <sheetName val="DATOS GRALES"/>
      <sheetName val="PRESUPUESTO"/>
      <sheetName val="FORMATO AU"/>
      <sheetName val="CALCULO ANTICIPO"/>
      <sheetName val="GASTOS DE LEGALIZACIÓN"/>
      <sheetName val="APU AMBIENTAL"/>
      <sheetName val="LISTA VERIFICACIÓN "/>
      <sheetName val="INTERV AMBIENTAL"/>
      <sheetName val="IMPACTOS"/>
      <sheetName val="CRONOGRAMA"/>
      <sheetName val="APU"/>
      <sheetName val="APU labores arbolado 2014"/>
      <sheetName val="INSUMOS_BASE1"/>
      <sheetName val="costos_mano_obra1"/>
      <sheetName val="ANEXOS_QUE_APLICAN1"/>
      <sheetName val="DATOS_GRALES1"/>
      <sheetName val="FORMATO_AU1"/>
      <sheetName val="CALCULO_ANTICIPO1"/>
      <sheetName val="GASTOS_DE_LEGALIZACIÓN1"/>
      <sheetName val="APU_AMBIENTAL1"/>
      <sheetName val="LISTA_VERIFICACIÓN_1"/>
      <sheetName val="INTERV_AMBIENTAL1"/>
      <sheetName val="APU_labores_arbolado_20141"/>
      <sheetName val="INSUMOS_BASE"/>
      <sheetName val="costos_mano_obra"/>
      <sheetName val="ANEXOS_QUE_APLICAN"/>
      <sheetName val="DATOS_GRALES"/>
      <sheetName val="FORMATO_AU"/>
      <sheetName val="CALCULO_ANTICIPO"/>
      <sheetName val="GASTOS_DE_LEGALIZACIÓN"/>
      <sheetName val="APU_AMBIENTAL"/>
      <sheetName val="LISTA_VERIFICACIÓN_"/>
      <sheetName val="INTERV_AMBIENTAL"/>
      <sheetName val="APU_labores_arbolado_2014"/>
      <sheetName val="Presupuesto correigio nora mora"/>
      <sheetName val="RELACION DE PRECIOS"/>
      <sheetName val="ACTA 6"/>
      <sheetName val="MODIF. 2"/>
      <sheetName val="MODIF. 3"/>
      <sheetName val="MODIF. 4"/>
      <sheetName val="cant"/>
      <sheetName val="par mar19"/>
      <sheetName val="par"/>
      <sheetName val="TUBERIA"/>
      <sheetName val="Formular"/>
      <sheetName val="Recursos"/>
      <sheetName val="Analisis A.I.U."/>
      <sheetName val="OE 1"/>
      <sheetName val="OE 2"/>
      <sheetName val="OE 3"/>
      <sheetName val="OE 4"/>
      <sheetName val="OE 5"/>
      <sheetName val="OE 6"/>
      <sheetName val="OE 7"/>
      <sheetName val="OE 8"/>
      <sheetName val="OE 9"/>
      <sheetName val="OE 10"/>
      <sheetName val="OE 11"/>
      <sheetName val="ACTA 1 Y FINAL"/>
      <sheetName val="1,1,1"/>
      <sheetName val="1,1,2"/>
      <sheetName val="2,1,1"/>
      <sheetName val="2,1,2"/>
      <sheetName val="2,2,2"/>
      <sheetName val="2,2,3"/>
      <sheetName val="4,1,1"/>
      <sheetName val="4,1,2"/>
      <sheetName val="5,1,1"/>
      <sheetName val="6,1,1"/>
      <sheetName val="7,1,1"/>
      <sheetName val="7,1,2"/>
      <sheetName val="7,1,3"/>
      <sheetName val="7,1,5"/>
      <sheetName val="7,3,2"/>
      <sheetName val="7,3,3"/>
      <sheetName val="7,3,4"/>
      <sheetName val="7,3,5"/>
      <sheetName val="7,3,6"/>
      <sheetName val="7,4,1"/>
      <sheetName val="8,1,1"/>
      <sheetName val="8,1,2"/>
      <sheetName val="8,2,1,1"/>
      <sheetName val="8,2,1,2"/>
      <sheetName val="8,2,2,1"/>
      <sheetName val="8,2,2,2"/>
      <sheetName val="8,2,3,1"/>
      <sheetName val="8,2,3,2"/>
      <sheetName val="8,2,4,1"/>
      <sheetName val="8,2,5,1"/>
      <sheetName val="8,2,6,1"/>
      <sheetName val="8,3,1"/>
      <sheetName val="8,4,1"/>
      <sheetName val="8,7,1"/>
      <sheetName val="9,1,1"/>
      <sheetName val="OE1"/>
      <sheetName val="OE2"/>
      <sheetName val="OE3"/>
      <sheetName val="OE4"/>
      <sheetName val="OE5"/>
      <sheetName val="OE6"/>
      <sheetName val="OE7"/>
      <sheetName val="OE8"/>
      <sheetName val="OE9"/>
      <sheetName val="OE10"/>
      <sheetName val="OE11"/>
      <sheetName val="INSUMOS"/>
      <sheetName val="MAQUILA"/>
      <sheetName val="SUBPRODUCTOS"/>
    </sheetNames>
    <sheetDataSet>
      <sheetData sheetId="0"/>
      <sheetData sheetId="1" refreshError="1"/>
      <sheetData sheetId="2" refreshError="1"/>
      <sheetData sheetId="3" refreshError="1"/>
      <sheetData sheetId="4">
        <row r="1">
          <cell r="C1">
            <v>0</v>
          </cell>
        </row>
      </sheetData>
      <sheetData sheetId="5">
        <row r="1">
          <cell r="C1">
            <v>0</v>
          </cell>
        </row>
      </sheetData>
      <sheetData sheetId="6">
        <row r="1">
          <cell r="C1">
            <v>0</v>
          </cell>
        </row>
      </sheetData>
      <sheetData sheetId="7">
        <row r="1">
          <cell r="C1">
            <v>0</v>
          </cell>
        </row>
      </sheetData>
      <sheetData sheetId="8">
        <row r="1">
          <cell r="C1">
            <v>0</v>
          </cell>
        </row>
      </sheetData>
      <sheetData sheetId="9"/>
      <sheetData sheetId="10"/>
      <sheetData sheetId="11"/>
      <sheetData sheetId="12"/>
      <sheetData sheetId="13"/>
      <sheetData sheetId="14"/>
      <sheetData sheetId="15">
        <row r="1">
          <cell r="C1">
            <v>0</v>
          </cell>
        </row>
      </sheetData>
      <sheetData sheetId="16">
        <row r="1">
          <cell r="C1">
            <v>0</v>
          </cell>
        </row>
      </sheetData>
      <sheetData sheetId="17">
        <row r="1">
          <cell r="C1">
            <v>0</v>
          </cell>
        </row>
      </sheetData>
      <sheetData sheetId="18">
        <row r="1">
          <cell r="C1">
            <v>0</v>
          </cell>
        </row>
      </sheetData>
      <sheetData sheetId="19">
        <row r="1">
          <cell r="C1">
            <v>0</v>
          </cell>
        </row>
      </sheetData>
      <sheetData sheetId="20">
        <row r="1">
          <cell r="C1">
            <v>0</v>
          </cell>
        </row>
      </sheetData>
      <sheetData sheetId="21">
        <row r="1">
          <cell r="C1">
            <v>0</v>
          </cell>
        </row>
      </sheetData>
      <sheetData sheetId="22">
        <row r="1">
          <cell r="C1">
            <v>0</v>
          </cell>
        </row>
      </sheetData>
      <sheetData sheetId="23">
        <row r="1">
          <cell r="C1">
            <v>0</v>
          </cell>
        </row>
      </sheetData>
      <sheetData sheetId="24">
        <row r="1">
          <cell r="C1">
            <v>0</v>
          </cell>
        </row>
      </sheetData>
      <sheetData sheetId="25">
        <row r="1">
          <cell r="C1">
            <v>0</v>
          </cell>
        </row>
      </sheetData>
      <sheetData sheetId="26">
        <row r="1">
          <cell r="C1">
            <v>0</v>
          </cell>
        </row>
      </sheetData>
      <sheetData sheetId="27">
        <row r="1">
          <cell r="C1">
            <v>0</v>
          </cell>
        </row>
      </sheetData>
      <sheetData sheetId="28" refreshError="1"/>
      <sheetData sheetId="29" refreshError="1"/>
      <sheetData sheetId="30" refreshError="1"/>
      <sheetData sheetId="31" refreshError="1"/>
      <sheetData sheetId="32">
        <row r="1">
          <cell r="C1">
            <v>0</v>
          </cell>
        </row>
      </sheetData>
      <sheetData sheetId="33">
        <row r="1">
          <cell r="C1">
            <v>0</v>
          </cell>
        </row>
      </sheetData>
      <sheetData sheetId="34">
        <row r="1">
          <cell r="C1">
            <v>0</v>
          </cell>
        </row>
      </sheetData>
      <sheetData sheetId="35">
        <row r="1">
          <cell r="C1">
            <v>0</v>
          </cell>
        </row>
      </sheetData>
      <sheetData sheetId="36">
        <row r="1">
          <cell r="C1">
            <v>0</v>
          </cell>
        </row>
      </sheetData>
      <sheetData sheetId="37"/>
      <sheetData sheetId="38"/>
      <sheetData sheetId="39">
        <row r="1">
          <cell r="C1">
            <v>0</v>
          </cell>
        </row>
      </sheetData>
      <sheetData sheetId="40"/>
      <sheetData sheetId="41"/>
      <sheetData sheetId="42">
        <row r="1">
          <cell r="C1">
            <v>0</v>
          </cell>
        </row>
      </sheetData>
      <sheetData sheetId="43"/>
      <sheetData sheetId="44">
        <row r="1">
          <cell r="C1">
            <v>0</v>
          </cell>
        </row>
      </sheetData>
      <sheetData sheetId="45"/>
      <sheetData sheetId="46"/>
      <sheetData sheetId="47"/>
      <sheetData sheetId="48" refreshError="1"/>
      <sheetData sheetId="49" refreshError="1"/>
      <sheetData sheetId="50" refreshError="1"/>
      <sheetData sheetId="51"/>
      <sheetData sheetId="52"/>
      <sheetData sheetId="53">
        <row r="1">
          <cell r="C1">
            <v>0</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
          <cell r="C1">
            <v>0</v>
          </cell>
        </row>
      </sheetData>
      <sheetData sheetId="88"/>
      <sheetData sheetId="89"/>
      <sheetData sheetId="90"/>
      <sheetData sheetId="91"/>
      <sheetData sheetId="92"/>
      <sheetData sheetId="93"/>
      <sheetData sheetId="94"/>
      <sheetData sheetId="95">
        <row r="1">
          <cell r="C1">
            <v>0</v>
          </cell>
        </row>
      </sheetData>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 val="EQUIPO"/>
      <sheetName val="MATERIAL"/>
      <sheetName val="Presup_Cancha"/>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General"/>
      <sheetName val="FECHAS DE CORTE"/>
      <sheetName val="PENDIENTES POR FACTURAR"/>
      <sheetName val="COSTOS X GRUPOS"/>
      <sheetName val="FTCO-043 P. COSTO IND-SISOMA"/>
      <sheetName val="SKJ452"/>
      <sheetName val="ITA878"/>
      <sheetName val="AEA-944"/>
      <sheetName val="DUB-823"/>
      <sheetName val="GPI 526"/>
      <sheetName val="XXJ617"/>
      <sheetName val="SNG_855"/>
      <sheetName val="VEA 374"/>
      <sheetName val="HFB024"/>
      <sheetName val="PAJ825"/>
    </sheetNames>
    <sheetDataSet>
      <sheetData sheetId="0">
        <row r="7">
          <cell r="B7">
            <v>39630</v>
          </cell>
        </row>
        <row r="23">
          <cell r="B23">
            <v>2</v>
          </cell>
        </row>
      </sheetData>
      <sheetData sheetId="1">
        <row r="4">
          <cell r="B4">
            <v>0</v>
          </cell>
        </row>
        <row r="5">
          <cell r="B5">
            <v>31</v>
          </cell>
        </row>
        <row r="6">
          <cell r="B6">
            <v>60</v>
          </cell>
        </row>
        <row r="7">
          <cell r="B7">
            <v>91</v>
          </cell>
        </row>
        <row r="8">
          <cell r="B8">
            <v>121</v>
          </cell>
        </row>
        <row r="9">
          <cell r="B9">
            <v>152</v>
          </cell>
        </row>
        <row r="10">
          <cell r="B10">
            <v>182</v>
          </cell>
        </row>
        <row r="11">
          <cell r="B11">
            <v>213</v>
          </cell>
        </row>
        <row r="12">
          <cell r="B12">
            <v>244</v>
          </cell>
        </row>
        <row r="13">
          <cell r="B13">
            <v>274</v>
          </cell>
        </row>
        <row r="14">
          <cell r="B14">
            <v>305</v>
          </cell>
        </row>
        <row r="15">
          <cell r="B15">
            <v>335</v>
          </cell>
        </row>
        <row r="16">
          <cell r="B16">
            <v>366</v>
          </cell>
        </row>
        <row r="17">
          <cell r="B17">
            <v>397</v>
          </cell>
        </row>
        <row r="18">
          <cell r="B18">
            <v>425</v>
          </cell>
        </row>
        <row r="19">
          <cell r="B19">
            <v>456</v>
          </cell>
        </row>
        <row r="20">
          <cell r="B20">
            <v>486</v>
          </cell>
        </row>
        <row r="21">
          <cell r="B21">
            <v>517</v>
          </cell>
        </row>
        <row r="22">
          <cell r="B22">
            <v>547</v>
          </cell>
        </row>
        <row r="23">
          <cell r="B23">
            <v>578</v>
          </cell>
        </row>
        <row r="24">
          <cell r="B24">
            <v>609</v>
          </cell>
        </row>
        <row r="25">
          <cell r="B25">
            <v>639</v>
          </cell>
        </row>
        <row r="26">
          <cell r="B26">
            <v>670</v>
          </cell>
        </row>
        <row r="27">
          <cell r="B27">
            <v>700</v>
          </cell>
        </row>
        <row r="28">
          <cell r="B28">
            <v>731</v>
          </cell>
        </row>
        <row r="29">
          <cell r="B29">
            <v>762</v>
          </cell>
        </row>
        <row r="30">
          <cell r="B30">
            <v>790</v>
          </cell>
        </row>
        <row r="31">
          <cell r="B31">
            <v>821</v>
          </cell>
        </row>
        <row r="32">
          <cell r="B32">
            <v>851</v>
          </cell>
        </row>
        <row r="33">
          <cell r="B33">
            <v>882</v>
          </cell>
        </row>
        <row r="34">
          <cell r="B34">
            <v>912</v>
          </cell>
        </row>
        <row r="35">
          <cell r="B35">
            <v>943</v>
          </cell>
        </row>
        <row r="36">
          <cell r="B36">
            <v>974</v>
          </cell>
        </row>
        <row r="37">
          <cell r="B37">
            <v>1004</v>
          </cell>
        </row>
        <row r="38">
          <cell r="B38">
            <v>1035</v>
          </cell>
        </row>
        <row r="39">
          <cell r="B39">
            <v>1065</v>
          </cell>
        </row>
        <row r="40">
          <cell r="B40">
            <v>1096</v>
          </cell>
        </row>
        <row r="41">
          <cell r="B41">
            <v>1127</v>
          </cell>
        </row>
        <row r="42">
          <cell r="B42">
            <v>1155</v>
          </cell>
        </row>
        <row r="43">
          <cell r="B43">
            <v>1186</v>
          </cell>
        </row>
        <row r="44">
          <cell r="B44">
            <v>1216</v>
          </cell>
        </row>
        <row r="45">
          <cell r="B45">
            <v>1247</v>
          </cell>
        </row>
        <row r="46">
          <cell r="B46">
            <v>1277</v>
          </cell>
        </row>
        <row r="47">
          <cell r="B47">
            <v>1308</v>
          </cell>
        </row>
        <row r="48">
          <cell r="B48">
            <v>1339</v>
          </cell>
        </row>
        <row r="49">
          <cell r="B49">
            <v>1369</v>
          </cell>
        </row>
        <row r="50">
          <cell r="B50">
            <v>1400</v>
          </cell>
        </row>
        <row r="51">
          <cell r="B51">
            <v>1430</v>
          </cell>
        </row>
        <row r="52">
          <cell r="B52">
            <v>1461</v>
          </cell>
        </row>
        <row r="53">
          <cell r="B53">
            <v>1492</v>
          </cell>
        </row>
        <row r="54">
          <cell r="B54">
            <v>1521</v>
          </cell>
        </row>
        <row r="55">
          <cell r="B55">
            <v>1552</v>
          </cell>
        </row>
        <row r="56">
          <cell r="B56">
            <v>1582</v>
          </cell>
        </row>
        <row r="57">
          <cell r="B57">
            <v>1613</v>
          </cell>
        </row>
        <row r="58">
          <cell r="B58">
            <v>1643</v>
          </cell>
        </row>
        <row r="59">
          <cell r="B59">
            <v>1674</v>
          </cell>
        </row>
        <row r="60">
          <cell r="B60">
            <v>1705</v>
          </cell>
        </row>
        <row r="61">
          <cell r="B61">
            <v>1735</v>
          </cell>
        </row>
        <row r="62">
          <cell r="B62">
            <v>1766</v>
          </cell>
        </row>
        <row r="63">
          <cell r="B63">
            <v>1796</v>
          </cell>
        </row>
        <row r="64">
          <cell r="B64">
            <v>1827</v>
          </cell>
        </row>
        <row r="65">
          <cell r="B65">
            <v>1858</v>
          </cell>
        </row>
        <row r="66">
          <cell r="B66">
            <v>1886</v>
          </cell>
        </row>
        <row r="67">
          <cell r="B67">
            <v>1917</v>
          </cell>
        </row>
        <row r="68">
          <cell r="B68">
            <v>1947</v>
          </cell>
        </row>
        <row r="69">
          <cell r="B69">
            <v>1978</v>
          </cell>
        </row>
        <row r="70">
          <cell r="B70">
            <v>2008</v>
          </cell>
        </row>
        <row r="71">
          <cell r="B71">
            <v>2039</v>
          </cell>
        </row>
        <row r="72">
          <cell r="B72">
            <v>2070</v>
          </cell>
        </row>
        <row r="73">
          <cell r="B73">
            <v>2100</v>
          </cell>
        </row>
        <row r="74">
          <cell r="B74">
            <v>2131</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uesta"/>
      <sheetName val="PlanCero"/>
    </sheetNames>
    <sheetDataSet>
      <sheetData sheetId="0" refreshError="1"/>
      <sheetData sheetId="1">
        <row r="8">
          <cell r="D8">
            <v>1</v>
          </cell>
        </row>
        <row r="9">
          <cell r="D9">
            <v>0.6</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
      <sheetName val="ResumenGeneral"/>
      <sheetName val="BOCATOMA"/>
      <sheetName val="APU BOCATOMA"/>
      <sheetName val="ADUCCIÓN"/>
      <sheetName val="APU ADUCCIÓN"/>
      <sheetName val="DESARENADOR"/>
      <sheetName val="APU DESARENADOR"/>
      <sheetName val="PLANTA DE TRATAMIENTO"/>
      <sheetName val="APU PLANTA DE TRATAMIENTO"/>
      <sheetName val="TANQUE DE ALMACENAMIENTO"/>
      <sheetName val="APU TANQUE ALMAC"/>
      <sheetName val=" REDES DE DISTRI"/>
      <sheetName val="APU_Redes"/>
      <sheetName val="BASE CTOS"/>
      <sheetName val="BASE"/>
      <sheetName val="INSUMOS"/>
      <sheetName val="Formular"/>
      <sheetName val="Recursos"/>
      <sheetName val="RESUMEN_OBRAS_"/>
      <sheetName val="APU_BOCATOMA"/>
      <sheetName val="APU_ADUCCIÓN"/>
      <sheetName val="APU_DESARENADOR"/>
      <sheetName val="PLANTA_DE_TRATAMIENTO"/>
      <sheetName val="APU_PLANTA_DE_TRATAMIENTO"/>
      <sheetName val="TANQUE_DE_ALMACENAMIENTO"/>
      <sheetName val="APU_TANQUE_ALMAC"/>
      <sheetName val="_REDES_DE_DISTRI"/>
      <sheetName val="BASE_CTOS"/>
      <sheetName val="RESUMEN_OBRAS_2"/>
      <sheetName val="APU_BOCATOMA2"/>
      <sheetName val="APU_ADUCCIÓN2"/>
      <sheetName val="APU_DESARENADOR2"/>
      <sheetName val="PLANTA_DE_TRATAMIENTO2"/>
      <sheetName val="APU_PLANTA_DE_TRATAMIENTO2"/>
      <sheetName val="TANQUE_DE_ALMACENAMIENTO2"/>
      <sheetName val="APU_TANQUE_ALMAC2"/>
      <sheetName val="_REDES_DE_DISTRI2"/>
      <sheetName val="BASE_CTOS2"/>
      <sheetName val="RESUMEN_OBRAS_1"/>
      <sheetName val="APU_BOCATOMA1"/>
      <sheetName val="APU_ADUCCIÓN1"/>
      <sheetName val="APU_DESARENADOR1"/>
      <sheetName val="PLANTA_DE_TRATAMIENTO1"/>
      <sheetName val="APU_PLANTA_DE_TRATAMIENTO1"/>
      <sheetName val="TANQUE_DE_ALMACENAMIENTO1"/>
      <sheetName val="APU_TANQUE_ALMAC1"/>
      <sheetName val="_REDES_DE_DISTRI1"/>
      <sheetName val="BASE_CTOS1"/>
      <sheetName val="Base de Diseñ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C5">
            <v>0.06</v>
          </cell>
        </row>
        <row r="63">
          <cell r="D63">
            <v>348000</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 SAGRARIO"/>
      <sheetName val="RESUMEN"/>
      <sheetName val="TUBERIA"/>
      <sheetName val="DOMICILIARIAS"/>
      <sheetName val="ASFALTO"/>
      <sheetName val="PAVIMENTO"/>
      <sheetName val="ANDENES"/>
      <sheetName val="SOBREPISO"/>
      <sheetName val="ACOMETIDAS"/>
      <sheetName val="FACTORES"/>
      <sheetName val="Datos"/>
    </sheetNames>
    <sheetDataSet>
      <sheetData sheetId="0"/>
      <sheetData sheetId="1"/>
      <sheetData sheetId="2" refreshError="1">
        <row r="12">
          <cell r="S12">
            <v>1.2555959999999899</v>
          </cell>
        </row>
      </sheetData>
      <sheetData sheetId="3"/>
      <sheetData sheetId="4"/>
      <sheetData sheetId="5"/>
      <sheetData sheetId="6"/>
      <sheetData sheetId="7"/>
      <sheetData sheetId="8"/>
      <sheetData sheetId="9"/>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PROGRAMACION "/>
      <sheetName val="Itemes_Renovación"/>
      <sheetName val="Hoja1"/>
    </sheetNames>
    <sheetDataSet>
      <sheetData sheetId="0"/>
      <sheetData sheetId="1" refreshError="1"/>
      <sheetData sheetId="2" refreshError="1"/>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REF"/>
      <sheetName val="Hoja2"/>
      <sheetName val="\\Escritorio\amv 2011\a  aaInfo"/>
      <sheetName val="\Users\avargase\AppData\Local\M"/>
      <sheetName val="CANT OBRA"/>
      <sheetName val="[aCCIDENTES DE 1995 - 1996.xls]"/>
      <sheetName val="Res-Accide-10"/>
      <sheetName val="\\Giovanni\administracion vial\"/>
      <sheetName val="\MONTO AGOTABLE 2010\a  aaInfor"/>
      <sheetName val="\AMV _ no borrar\PRESUPUESTOS\a"/>
      <sheetName val="\I\AMV _ no borrar\PRESUPUESTOS"/>
      <sheetName val="\G\I\AMV _ no borrar\PRESUPUEST"/>
      <sheetName val="\A\a  aaInformación GRUPO 4\A M"/>
      <sheetName val="\G\A\a  aaInformación GRUPO 4\A"/>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Lista obra"/>
      <sheetName val="\Users\Administrador\Desktop\AM"/>
      <sheetName val="\Mini HP Enero 2015\Proyectos i"/>
      <sheetName val="\C\Users\avargase\AppData\Local"/>
      <sheetName val="\Volumes\USB PIOLIN\Escritorio\"/>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Tabla CONPES 3714"/>
      <sheetName val="_a  aaInformación GRUPO 4_A MIn"/>
      <sheetName val="\Users\HP\AppData\Local\Microso"/>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precios-básicos2002"/>
      <sheetName val="APUs"/>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LISTADO "/>
      <sheetName val="M.O."/>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INTERVENCION"/>
      <sheetName val="CAMBIA"/>
      <sheetName val="ACTA 9 (Espacio publico)"/>
      <sheetName val="ACTA 9  (VIAS)"/>
      <sheetName val="ACTA PIPMA 9"/>
      <sheetName val="PREACTA PIPMA 8 A-B-C-D-E y F "/>
      <sheetName val="1.4 Excavaciones a mano EP "/>
      <sheetName val="SALVEDAD 9"/>
      <sheetName val="TRANSPORTES (1)"/>
      <sheetName val="TRANSPORTES (2)"/>
      <sheetName val="1.4 Excavaciones a mano VIAS"/>
      <sheetName val="1.4 EXCAV PEP BARRIO BOLIVAR"/>
      <sheetName val="1.4 EXCAV PEP FRANCISCA"/>
      <sheetName val="2.1 Demolic anden PEP BOLIVAR"/>
      <sheetName val="2.1 Demol anden PEP FRCANAS"/>
      <sheetName val="2,2 Demolicion sardinel (EP) "/>
      <sheetName val="2.5 Excavaciones"/>
      <sheetName val="2.12 demolic pep bbolivar1"/>
      <sheetName val="3.1 conformacion"/>
      <sheetName val="3,2 Base "/>
      <sheetName val="3,3 Sub base"/>
      <sheetName val="NP 54 MDC-19"/>
      <sheetName val=" 3.11 NP68 MDC19"/>
      <sheetName val="3.14 Tpte Base"/>
      <sheetName val="3,15 Tpte Sub base1"/>
      <sheetName val="NP2 MAT de mejoramiento"/>
      <sheetName val="3.16 Tpte mat  mejoramiento"/>
      <sheetName val="3.17  TPTE MDC 19"/>
      <sheetName val="NP55 TRANSPORTE MDC-19 CHR"/>
      <sheetName val="3.19 ACERO DE REFUERZO 420 (1)"/>
      <sheetName val="3.22 Acero pasajunta y anclaje"/>
      <sheetName val="4.1 RELLENO MAT. ANDEN 8"/>
      <sheetName val="4.1 rell pep frcnas"/>
      <sheetName val="4.1 rell bbolivar"/>
      <sheetName val="TRANSPORTES"/>
      <sheetName val="4.3 anden B40"/>
      <sheetName val="4.3 Anden B40 frcnas"/>
      <sheetName val="4.16A PARADERO FRANCISCANAS"/>
      <sheetName val="4.16D PARADERO B.BOLIVAR"/>
      <sheetName val=" 4.3i-4.4i-4.51i  TPTES B40 "/>
      <sheetName val=" 4.13i-4.43i-4.44i tpte bordill"/>
      <sheetName val="4.16.13.9 S.E.I DURANTA"/>
      <sheetName val="4.4 EMPRADIZACIÓN"/>
      <sheetName val="4.4 prado pep bbolivar"/>
      <sheetName val="4.4 prado pep frcnas"/>
      <sheetName val="4,41 BORDILLO A80 (EP)"/>
      <sheetName val="4,43 SARDINEL A-10"/>
      <sheetName val="4,44 SARDINEL A-170 FALTANTE"/>
      <sheetName val="5.3 SEÑAL VTCAL"/>
      <sheetName val="5.4 SEÑAL BANDERA"/>
      <sheetName val="5.6 TACHAS REFLECTIVAS"/>
      <sheetName val="8.3 Reposicion Sumidero sencill"/>
      <sheetName val="8.5 EMPALME SUMIDEROS"/>
      <sheetName val="8.7 DEMOLICION SUMIDEROS"/>
      <sheetName val="NP1 Corte Pav DISCO"/>
      <sheetName val="NP5 Demolicion losa concret"/>
      <sheetName val="N.P 05  demol losas ccto BBoliv"/>
      <sheetName val="NP30 Tuberia PVC 10&quot; sumideros"/>
      <sheetName val="NP37 Sumidero sencillo"/>
      <sheetName val="NP50 Demolicion T. Recamara"/>
      <sheetName val="NP53 SELLO DE JUNTAS MORTERO"/>
      <sheetName val="NP55 IMPRIMANTE ML"/>
      <sheetName val="NP56 IMPRIMANTE M2"/>
      <sheetName val="NP 57  VTCAL con CURVA"/>
      <sheetName val="NP60 DEMARCACION VIAL ML"/>
      <sheetName val="NP61 DEMARCACIÓN VIAL  M2"/>
      <sheetName val="_aCCIDENTES_DE_1995___1996_xl_2"/>
      <sheetName val="_aCCIDENTES_DE_1995___1996_xl_3"/>
      <sheetName val="_aCCIDENTES_DE_1995___1996_xl_4"/>
      <sheetName val="_aCCIDENTES_DE_1995___1996_xl_5"/>
      <sheetName val="_aCCIDENTES_DE_1995___1996_xl_6"/>
      <sheetName val="_aCCIDENTES_DE_1995___1996_xl_7"/>
      <sheetName val="BASE"/>
      <sheetName val="ACTA No.1 "/>
      <sheetName val="ACTA No.5"/>
      <sheetName val="ACTA MAYORES - GENERAL"/>
      <sheetName val="EQUIPOS"/>
      <sheetName val="MANO DE OBRA"/>
      <sheetName val="TRANSPORTE"/>
      <sheetName val="//ccefici"/>
      <sheetName val="//d.docs.live.net/a  aaInformac"/>
      <sheetName val="0. PORTADA"/>
      <sheetName val="1. FICHA INFORMATIVA"/>
      <sheetName val="PERSONAL"/>
      <sheetName val="2 y 3.  ESTADO"/>
      <sheetName val="4.  REG FOT."/>
      <sheetName val="4 reg Fot 2"/>
      <sheetName val="5.  INF. FINANCIERO"/>
      <sheetName val="6.  POLIZAS"/>
      <sheetName val="7.  BALANCE ACTIVIDADES"/>
      <sheetName val="8.  LIQUIDACION"/>
      <sheetName val="9. LISTA DE CHEQUEO"/>
      <sheetName val="GESPROY"/>
      <sheetName val="Hoja3"/>
      <sheetName val="PLAN DE INVERSION ANTICIPO"/>
      <sheetName val="inv mensual"/>
      <sheetName val="borrador flujo inv"/>
      <sheetName val="social-ambiental"/>
      <sheetName val="AU"/>
      <sheetName val=" ACTA FINAL + MODIFICATORIA "/>
      <sheetName val="HISTORICOS FUEL OIL EXP"/>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sheetData sheetId="137" refreshError="1"/>
      <sheetData sheetId="138"/>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sheetData sheetId="466"/>
      <sheetData sheetId="467" refreshError="1"/>
      <sheetData sheetId="468" refreshError="1"/>
      <sheetData sheetId="469" refreshError="1"/>
      <sheetData sheetId="470" refreshError="1"/>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PROGRAMACION "/>
      <sheetName val="Itemes_Renovación"/>
      <sheetName val="Hoja1"/>
    </sheetNames>
    <sheetDataSet>
      <sheetData sheetId="0"/>
      <sheetData sheetId="1" refreshError="1"/>
      <sheetData sheetId="2" refreshError="1"/>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s>
    <sheetDataSet>
      <sheetData sheetId="0" refreshError="1"/>
      <sheetData sheetId="1" refreshError="1">
        <row r="4">
          <cell r="C4">
            <v>200.1</v>
          </cell>
          <cell r="D4">
            <v>200</v>
          </cell>
          <cell r="F4" t="str">
            <v>Desmonte y limpieza en bosque</v>
          </cell>
          <cell r="G4" t="str">
            <v>Ha</v>
          </cell>
          <cell r="H4" t="str">
            <v>Ha</v>
          </cell>
          <cell r="J4" t="str">
            <v>No incluye excavación o descapote</v>
          </cell>
        </row>
        <row r="5">
          <cell r="C5">
            <v>200.2</v>
          </cell>
          <cell r="D5">
            <v>200</v>
          </cell>
          <cell r="F5" t="str">
            <v>Desmonte y limpieza en zonas no boscosas</v>
          </cell>
          <cell r="G5" t="str">
            <v>Ha</v>
          </cell>
          <cell r="H5" t="str">
            <v>Ha</v>
          </cell>
        </row>
        <row r="6">
          <cell r="C6">
            <v>201.1</v>
          </cell>
          <cell r="D6">
            <v>201</v>
          </cell>
          <cell r="F6" t="str">
            <v>Demolición de edificaciones</v>
          </cell>
          <cell r="G6" t="str">
            <v>Global</v>
          </cell>
          <cell r="H6" t="str">
            <v>Global</v>
          </cell>
        </row>
        <row r="7">
          <cell r="C7">
            <v>201.2</v>
          </cell>
          <cell r="D7">
            <v>201</v>
          </cell>
          <cell r="F7" t="str">
            <v>Demolición de estructuras</v>
          </cell>
          <cell r="G7" t="str">
            <v>Global</v>
          </cell>
          <cell r="H7" t="str">
            <v>Global</v>
          </cell>
        </row>
        <row r="8">
          <cell r="C8">
            <v>201.3</v>
          </cell>
          <cell r="D8">
            <v>201</v>
          </cell>
          <cell r="F8" t="str">
            <v>Demolición de pavimentos, pisos, andén y bordillos de concreto</v>
          </cell>
          <cell r="G8" t="str">
            <v>m3</v>
          </cell>
          <cell r="H8">
            <v>33199</v>
          </cell>
        </row>
        <row r="9">
          <cell r="C9">
            <v>201.4</v>
          </cell>
          <cell r="D9">
            <v>201</v>
          </cell>
          <cell r="F9" t="str">
            <v>Demolición de obstáculos</v>
          </cell>
          <cell r="G9" t="str">
            <v>Global</v>
          </cell>
          <cell r="H9" t="str">
            <v>Global</v>
          </cell>
        </row>
        <row r="10">
          <cell r="C10">
            <v>201.5</v>
          </cell>
          <cell r="D10">
            <v>201</v>
          </cell>
          <cell r="F10" t="str">
            <v>Demolición de edificaciones</v>
          </cell>
          <cell r="G10" t="str">
            <v>Un</v>
          </cell>
          <cell r="H10" t="str">
            <v>Un</v>
          </cell>
        </row>
        <row r="11">
          <cell r="C11">
            <v>201.6</v>
          </cell>
          <cell r="D11">
            <v>201</v>
          </cell>
          <cell r="F11" t="str">
            <v>Demolición de estructuras</v>
          </cell>
          <cell r="G11" t="str">
            <v>Un</v>
          </cell>
          <cell r="H11" t="str">
            <v>Un</v>
          </cell>
        </row>
        <row r="12">
          <cell r="C12">
            <v>201.7</v>
          </cell>
          <cell r="D12">
            <v>201</v>
          </cell>
          <cell r="F12" t="str">
            <v>Demolición de pavimentos, pisos, andén y bordillos de concreto</v>
          </cell>
          <cell r="G12" t="str">
            <v>m2</v>
          </cell>
          <cell r="H12" t="str">
            <v>m2</v>
          </cell>
        </row>
        <row r="13">
          <cell r="C13">
            <v>201.8</v>
          </cell>
          <cell r="D13">
            <v>201</v>
          </cell>
          <cell r="F13" t="str">
            <v>Desmontaje y traslado de estructuras metálicas</v>
          </cell>
          <cell r="G13" t="str">
            <v>Un</v>
          </cell>
          <cell r="H13" t="str">
            <v>Un</v>
          </cell>
        </row>
        <row r="14">
          <cell r="C14">
            <v>201.9</v>
          </cell>
          <cell r="D14">
            <v>201</v>
          </cell>
          <cell r="F14" t="str">
            <v>Remoción de especies vegetales</v>
          </cell>
          <cell r="G14" t="str">
            <v>Un</v>
          </cell>
          <cell r="H14" t="str">
            <v>Un</v>
          </cell>
        </row>
        <row r="15">
          <cell r="C15" t="str">
            <v>201.10</v>
          </cell>
          <cell r="D15">
            <v>201</v>
          </cell>
          <cell r="F15" t="str">
            <v>Remoción de obstáculos</v>
          </cell>
          <cell r="G15" t="str">
            <v>Un</v>
          </cell>
          <cell r="H15" t="str">
            <v>Un</v>
          </cell>
        </row>
        <row r="16">
          <cell r="C16">
            <v>201.11</v>
          </cell>
          <cell r="D16">
            <v>201</v>
          </cell>
          <cell r="F16" t="str">
            <v>Remoción de servicios existentes</v>
          </cell>
          <cell r="G16" t="str">
            <v>Un</v>
          </cell>
          <cell r="H16" t="str">
            <v>Un</v>
          </cell>
        </row>
        <row r="17">
          <cell r="C17">
            <v>201.12</v>
          </cell>
          <cell r="D17">
            <v>201</v>
          </cell>
          <cell r="F17" t="str">
            <v>Remoción de alcantarillas</v>
          </cell>
          <cell r="G17" t="str">
            <v>ml</v>
          </cell>
          <cell r="H17" t="str">
            <v>ml</v>
          </cell>
        </row>
        <row r="18">
          <cell r="C18">
            <v>201.13</v>
          </cell>
          <cell r="D18">
            <v>201</v>
          </cell>
          <cell r="F18" t="str">
            <v>Remoción de cercas de alambre</v>
          </cell>
          <cell r="G18" t="str">
            <v>ml</v>
          </cell>
          <cell r="H18" t="str">
            <v>ml</v>
          </cell>
        </row>
        <row r="19">
          <cell r="C19">
            <v>201.14</v>
          </cell>
          <cell r="D19">
            <v>201</v>
          </cell>
          <cell r="F19" t="str">
            <v>Remoción de servicios existentes</v>
          </cell>
          <cell r="G19" t="str">
            <v>ml</v>
          </cell>
          <cell r="H19" t="str">
            <v>ml</v>
          </cell>
        </row>
        <row r="20">
          <cell r="C20">
            <v>201.15</v>
          </cell>
          <cell r="D20">
            <v>201</v>
          </cell>
          <cell r="F20" t="str">
            <v>Remoción de obstáculos</v>
          </cell>
          <cell r="G20" t="str">
            <v>ml</v>
          </cell>
          <cell r="H20" t="str">
            <v>ml</v>
          </cell>
        </row>
        <row r="21">
          <cell r="C21">
            <v>201.16</v>
          </cell>
          <cell r="D21">
            <v>201</v>
          </cell>
          <cell r="E21" t="str">
            <v>201P</v>
          </cell>
          <cell r="F21" t="str">
            <v>Demolición de estructuras</v>
          </cell>
          <cell r="G21" t="str">
            <v>m3</v>
          </cell>
          <cell r="H21" t="str">
            <v>m3</v>
          </cell>
          <cell r="J21" t="str">
            <v>La unidad de pago es el m³</v>
          </cell>
        </row>
        <row r="22">
          <cell r="C22" t="str">
            <v>201P.1</v>
          </cell>
          <cell r="D22">
            <v>201</v>
          </cell>
          <cell r="E22" t="str">
            <v>201P.1</v>
          </cell>
          <cell r="F22" t="str">
            <v>Demolición total o parcial de estructuras de concreto</v>
          </cell>
          <cell r="G22" t="str">
            <v>m3</v>
          </cell>
          <cell r="H22">
            <v>28917</v>
          </cell>
        </row>
        <row r="23">
          <cell r="C23" t="str">
            <v>201P.3</v>
          </cell>
          <cell r="E23" t="str">
            <v>201P.3</v>
          </cell>
          <cell r="F23" t="str">
            <v>Revestimiento de gaviones incluye concreto, formaleta y limpieza</v>
          </cell>
          <cell r="G23" t="str">
            <v>m3</v>
          </cell>
          <cell r="H23">
            <v>393147</v>
          </cell>
        </row>
        <row r="24">
          <cell r="C24">
            <v>210.1</v>
          </cell>
          <cell r="D24">
            <v>210</v>
          </cell>
          <cell r="F24" t="str">
            <v>Excavación sin clasificar de la explanación, canales y préstamos</v>
          </cell>
          <cell r="G24" t="str">
            <v>m3</v>
          </cell>
          <cell r="H24">
            <v>4001</v>
          </cell>
          <cell r="J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cell r="H25">
            <v>22042</v>
          </cell>
        </row>
        <row r="26">
          <cell r="C26">
            <v>210.3</v>
          </cell>
          <cell r="D26">
            <v>210</v>
          </cell>
          <cell r="F26" t="str">
            <v>Excavación en material común  de la explanación, canales y préstamos</v>
          </cell>
          <cell r="G26" t="str">
            <v>m3</v>
          </cell>
          <cell r="H26" t="str">
            <v>m3</v>
          </cell>
        </row>
        <row r="27">
          <cell r="C27">
            <v>211</v>
          </cell>
          <cell r="D27">
            <v>211</v>
          </cell>
          <cell r="F27" t="str">
            <v>Remoción de derrumbes</v>
          </cell>
          <cell r="G27" t="str">
            <v>m3</v>
          </cell>
          <cell r="J27" t="str">
            <v>No incluye el transporte a distancias mayores a 100 ml</v>
          </cell>
        </row>
        <row r="28">
          <cell r="C28" t="str">
            <v>211P.1</v>
          </cell>
          <cell r="D28">
            <v>211</v>
          </cell>
          <cell r="E28" t="str">
            <v>211P.1</v>
          </cell>
          <cell r="F28" t="str">
            <v>Remoción de derrumbes</v>
          </cell>
          <cell r="G28" t="str">
            <v>m3</v>
          </cell>
          <cell r="H28">
            <v>6952</v>
          </cell>
        </row>
        <row r="29">
          <cell r="C29" t="str">
            <v>211P.2</v>
          </cell>
          <cell r="D29">
            <v>211</v>
          </cell>
          <cell r="E29" t="str">
            <v>211P.2</v>
          </cell>
          <cell r="F29" t="str">
            <v>Remoción de Material en Roca</v>
          </cell>
          <cell r="G29" t="str">
            <v>m3</v>
          </cell>
          <cell r="H29">
            <v>21182</v>
          </cell>
        </row>
        <row r="30">
          <cell r="C30">
            <v>220</v>
          </cell>
          <cell r="D30">
            <v>220</v>
          </cell>
          <cell r="F30" t="str">
            <v>Terraplenes</v>
          </cell>
          <cell r="G30" t="str">
            <v>m3</v>
          </cell>
          <cell r="H30" t="str">
            <v>m3</v>
          </cell>
          <cell r="J30" t="str">
            <v>No incluye el suministro de materiales y el transporte</v>
          </cell>
        </row>
        <row r="31">
          <cell r="C31">
            <v>220.1</v>
          </cell>
          <cell r="D31">
            <v>220</v>
          </cell>
          <cell r="E31" t="str">
            <v>220P</v>
          </cell>
          <cell r="F31" t="str">
            <v>Terraplenes</v>
          </cell>
          <cell r="G31" t="str">
            <v>m3</v>
          </cell>
          <cell r="H31" t="str">
            <v>m3</v>
          </cell>
          <cell r="J31" t="str">
            <v>Incluye el suministro y transporte de materiales</v>
          </cell>
        </row>
        <row r="32">
          <cell r="C32">
            <v>221.1</v>
          </cell>
          <cell r="D32">
            <v>221</v>
          </cell>
          <cell r="F32" t="str">
            <v>Pedraplén compacto</v>
          </cell>
          <cell r="G32" t="str">
            <v>m3</v>
          </cell>
          <cell r="H32" t="str">
            <v>m3</v>
          </cell>
          <cell r="J32" t="str">
            <v>No incluye la corona, el suministro de materiales y el transporte</v>
          </cell>
        </row>
        <row r="33">
          <cell r="C33">
            <v>221.2</v>
          </cell>
          <cell r="D33">
            <v>221</v>
          </cell>
          <cell r="F33" t="str">
            <v>Pedraplén suelto</v>
          </cell>
          <cell r="G33" t="str">
            <v>m3</v>
          </cell>
          <cell r="H33" t="str">
            <v>m3</v>
          </cell>
        </row>
        <row r="34">
          <cell r="C34">
            <v>230.1</v>
          </cell>
          <cell r="D34">
            <v>230</v>
          </cell>
          <cell r="F34" t="str">
            <v>Mejoramiento de la subrasante involucrando el suelo existente</v>
          </cell>
          <cell r="G34" t="str">
            <v>m2</v>
          </cell>
          <cell r="H34" t="str">
            <v>m2</v>
          </cell>
          <cell r="J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cell r="H35" t="str">
            <v>m3</v>
          </cell>
        </row>
        <row r="36">
          <cell r="C36">
            <v>310</v>
          </cell>
          <cell r="D36">
            <v>310</v>
          </cell>
          <cell r="F36" t="str">
            <v>Conformación de la calzada existente</v>
          </cell>
          <cell r="G36" t="str">
            <v>m2</v>
          </cell>
          <cell r="H36">
            <v>455</v>
          </cell>
          <cell r="J36" t="str">
            <v>No incluye suministro transporte y colocación de los materiales de afirmado y subbase.</v>
          </cell>
        </row>
        <row r="37">
          <cell r="C37">
            <v>311</v>
          </cell>
          <cell r="D37">
            <v>311</v>
          </cell>
          <cell r="F37" t="str">
            <v>Afirmado</v>
          </cell>
          <cell r="G37" t="str">
            <v>m3</v>
          </cell>
          <cell r="H37" t="str">
            <v>m3</v>
          </cell>
          <cell r="J37" t="str">
            <v>No incluye producto estabilizante</v>
          </cell>
        </row>
        <row r="38">
          <cell r="C38" t="str">
            <v>311P.5</v>
          </cell>
          <cell r="D38">
            <v>311</v>
          </cell>
          <cell r="E38" t="str">
            <v>311P.5</v>
          </cell>
          <cell r="F38" t="str">
            <v>Relleno con material de afirmado</v>
          </cell>
          <cell r="G38" t="str">
            <v>m3</v>
          </cell>
          <cell r="H38">
            <v>55436</v>
          </cell>
        </row>
        <row r="39">
          <cell r="C39">
            <v>312</v>
          </cell>
          <cell r="E39" t="str">
            <v>312P</v>
          </cell>
          <cell r="F39" t="str">
            <v>Relleno con material de afirmado para realce de cunetas</v>
          </cell>
          <cell r="G39" t="str">
            <v>m3</v>
          </cell>
          <cell r="H39">
            <v>28000</v>
          </cell>
        </row>
        <row r="40">
          <cell r="C40">
            <v>320.10000000000002</v>
          </cell>
          <cell r="D40">
            <v>320</v>
          </cell>
          <cell r="F40" t="str">
            <v>Subbase granular de C.B.R.&gt; 20%</v>
          </cell>
          <cell r="G40" t="str">
            <v>m3</v>
          </cell>
          <cell r="H40" t="str">
            <v>m3</v>
          </cell>
          <cell r="J40" t="str">
            <v>No incluye producto estabilizante</v>
          </cell>
        </row>
        <row r="41">
          <cell r="C41">
            <v>320.2</v>
          </cell>
          <cell r="D41">
            <v>320</v>
          </cell>
          <cell r="F41" t="str">
            <v>Subbase granular de C.B.R.&gt; 30%</v>
          </cell>
          <cell r="G41" t="str">
            <v>m3</v>
          </cell>
          <cell r="H41">
            <v>35462</v>
          </cell>
        </row>
        <row r="42">
          <cell r="C42">
            <v>320.3</v>
          </cell>
          <cell r="D42">
            <v>320</v>
          </cell>
          <cell r="F42" t="str">
            <v>Subbase granular de C.B.R.&gt; 40%</v>
          </cell>
          <cell r="G42" t="str">
            <v>m3</v>
          </cell>
          <cell r="H42" t="str">
            <v>m3</v>
          </cell>
        </row>
        <row r="43">
          <cell r="C43">
            <v>320.39999999999998</v>
          </cell>
          <cell r="D43">
            <v>320</v>
          </cell>
          <cell r="F43" t="str">
            <v>Subbase granular para bacheo</v>
          </cell>
          <cell r="G43" t="str">
            <v>m3</v>
          </cell>
          <cell r="H43" t="str">
            <v>m3</v>
          </cell>
        </row>
        <row r="44">
          <cell r="C44">
            <v>330.1</v>
          </cell>
          <cell r="D44">
            <v>330</v>
          </cell>
          <cell r="F44" t="str">
            <v>Base granular</v>
          </cell>
          <cell r="G44" t="str">
            <v>m3</v>
          </cell>
          <cell r="H44">
            <v>59602</v>
          </cell>
          <cell r="J44" t="str">
            <v>No incluye producto estabilizante</v>
          </cell>
        </row>
        <row r="45">
          <cell r="C45">
            <v>330.2</v>
          </cell>
          <cell r="D45">
            <v>330</v>
          </cell>
          <cell r="F45" t="str">
            <v>Base granular para bacheo</v>
          </cell>
          <cell r="G45" t="str">
            <v>m3</v>
          </cell>
          <cell r="H45" t="str">
            <v>m3</v>
          </cell>
        </row>
        <row r="46">
          <cell r="C46">
            <v>340.1</v>
          </cell>
          <cell r="D46">
            <v>340</v>
          </cell>
          <cell r="F46" t="str">
            <v>Base estabilizada con emulsión asfáltica tipo BEE-1</v>
          </cell>
          <cell r="G46" t="str">
            <v>m3</v>
          </cell>
          <cell r="H46" t="str">
            <v>m3</v>
          </cell>
          <cell r="J46" t="str">
            <v>No incluye la emulsión asfáltica</v>
          </cell>
        </row>
        <row r="47">
          <cell r="C47">
            <v>340.2</v>
          </cell>
          <cell r="D47">
            <v>340</v>
          </cell>
          <cell r="F47" t="str">
            <v>Base estabilizada con emulsión asfáltica tipo BEE-2</v>
          </cell>
          <cell r="G47" t="str">
            <v>m3</v>
          </cell>
          <cell r="H47" t="str">
            <v>m3</v>
          </cell>
        </row>
        <row r="48">
          <cell r="C48">
            <v>340.3</v>
          </cell>
          <cell r="D48">
            <v>340</v>
          </cell>
          <cell r="F48" t="str">
            <v>Base estabilizada con emulsión asfáltica tipo BEE-3</v>
          </cell>
          <cell r="G48" t="str">
            <v>m3</v>
          </cell>
          <cell r="H48" t="str">
            <v>m3</v>
          </cell>
        </row>
        <row r="49">
          <cell r="C49">
            <v>341.1</v>
          </cell>
          <cell r="D49">
            <v>341</v>
          </cell>
          <cell r="F49" t="str">
            <v>Base estabilizada con cemento</v>
          </cell>
          <cell r="G49" t="str">
            <v>m3</v>
          </cell>
          <cell r="H49" t="str">
            <v>m3</v>
          </cell>
        </row>
        <row r="50">
          <cell r="C50" t="str">
            <v>341P,1</v>
          </cell>
          <cell r="D50">
            <v>341</v>
          </cell>
          <cell r="E50" t="str">
            <v>341P.1</v>
          </cell>
          <cell r="F50" t="str">
            <v>Base estabilizada con cemento</v>
          </cell>
          <cell r="G50" t="str">
            <v>m3</v>
          </cell>
          <cell r="H50">
            <v>45878</v>
          </cell>
        </row>
        <row r="51">
          <cell r="C51">
            <v>341.2</v>
          </cell>
          <cell r="D51">
            <v>341</v>
          </cell>
          <cell r="F51" t="str">
            <v>Cemento</v>
          </cell>
          <cell r="G51" t="str">
            <v>Kg</v>
          </cell>
          <cell r="H51" t="str">
            <v>Kg</v>
          </cell>
        </row>
        <row r="52">
          <cell r="C52" t="str">
            <v>341P,2</v>
          </cell>
          <cell r="D52">
            <v>341</v>
          </cell>
          <cell r="E52" t="str">
            <v>341P.1</v>
          </cell>
          <cell r="F52" t="str">
            <v>Cemento</v>
          </cell>
          <cell r="G52" t="str">
            <v>Kg</v>
          </cell>
          <cell r="H52">
            <v>699</v>
          </cell>
        </row>
        <row r="53">
          <cell r="C53" t="str">
            <v>341P,3</v>
          </cell>
          <cell r="D53">
            <v>341</v>
          </cell>
          <cell r="E53" t="str">
            <v>341P.1</v>
          </cell>
          <cell r="F53" t="str">
            <v>Cemento para recalce de causes</v>
          </cell>
          <cell r="G53" t="str">
            <v>m3</v>
          </cell>
          <cell r="H53" t="str">
            <v>m3</v>
          </cell>
        </row>
        <row r="54">
          <cell r="C54">
            <v>342.1</v>
          </cell>
          <cell r="D54">
            <v>342</v>
          </cell>
          <cell r="F54" t="str">
            <v>Base estabilizada con compuestos multienzimáticos orgánicos tipo BEMO-1</v>
          </cell>
          <cell r="G54" t="str">
            <v>m3</v>
          </cell>
          <cell r="H54" t="str">
            <v>m3</v>
          </cell>
        </row>
        <row r="55">
          <cell r="C55">
            <v>342.2</v>
          </cell>
          <cell r="D55">
            <v>342</v>
          </cell>
          <cell r="F55" t="str">
            <v>Base estabilizada con compuestos multienzimáticos orgánicos tipo BEMO-2</v>
          </cell>
          <cell r="G55" t="str">
            <v>m3</v>
          </cell>
          <cell r="H55" t="str">
            <v>m3</v>
          </cell>
        </row>
        <row r="56">
          <cell r="C56">
            <v>342.3</v>
          </cell>
          <cell r="D56">
            <v>342</v>
          </cell>
          <cell r="F56" t="str">
            <v>Compuesto multienzimático orgánico</v>
          </cell>
          <cell r="G56" t="str">
            <v>Cl</v>
          </cell>
          <cell r="H56" t="str">
            <v>Cl</v>
          </cell>
        </row>
        <row r="57">
          <cell r="C57">
            <v>410</v>
          </cell>
          <cell r="D57">
            <v>410</v>
          </cell>
          <cell r="F57" t="str">
            <v>Cemento asfáltico</v>
          </cell>
          <cell r="G57" t="str">
            <v>Kg</v>
          </cell>
          <cell r="H57" t="str">
            <v>Kg</v>
          </cell>
        </row>
        <row r="58">
          <cell r="C58">
            <v>411.1</v>
          </cell>
          <cell r="D58">
            <v>411</v>
          </cell>
          <cell r="F58" t="str">
            <v>Emulsión asfáltica de rotura media CRM</v>
          </cell>
          <cell r="G58" t="str">
            <v>Lt</v>
          </cell>
          <cell r="H58" t="str">
            <v>Lt</v>
          </cell>
        </row>
        <row r="59">
          <cell r="C59">
            <v>411.2</v>
          </cell>
          <cell r="D59">
            <v>411</v>
          </cell>
          <cell r="F59" t="str">
            <v>Emulsión asfáltica de rotura lenta CRL-1</v>
          </cell>
          <cell r="G59" t="str">
            <v>Lt</v>
          </cell>
          <cell r="H59" t="str">
            <v>Lt</v>
          </cell>
        </row>
        <row r="60">
          <cell r="C60">
            <v>411.3</v>
          </cell>
          <cell r="D60">
            <v>411</v>
          </cell>
          <cell r="F60" t="str">
            <v>Emulsión asfáltica de rotura lenta CRL-1h</v>
          </cell>
          <cell r="G60" t="str">
            <v>Lt</v>
          </cell>
          <cell r="H60" t="str">
            <v>Lt</v>
          </cell>
        </row>
        <row r="61">
          <cell r="C61">
            <v>413</v>
          </cell>
          <cell r="D61">
            <v>413</v>
          </cell>
          <cell r="F61" t="str">
            <v>Excavación para reparación del pavimento existente</v>
          </cell>
          <cell r="G61" t="str">
            <v>m3</v>
          </cell>
          <cell r="H61">
            <v>34304</v>
          </cell>
        </row>
        <row r="62">
          <cell r="C62">
            <v>413.1</v>
          </cell>
          <cell r="D62">
            <v>413</v>
          </cell>
          <cell r="E62" t="str">
            <v>413P</v>
          </cell>
          <cell r="F62" t="str">
            <v>Excavación para reparación del pavimento existente</v>
          </cell>
          <cell r="G62" t="str">
            <v>m3</v>
          </cell>
          <cell r="H62" t="str">
            <v>m3</v>
          </cell>
          <cell r="J62" t="str">
            <v>Tiene en cuenta el programa PICO y PALA</v>
          </cell>
        </row>
        <row r="63">
          <cell r="C63">
            <v>420</v>
          </cell>
          <cell r="D63">
            <v>420</v>
          </cell>
          <cell r="F63" t="str">
            <v>Imprimación</v>
          </cell>
          <cell r="G63" t="str">
            <v>m2</v>
          </cell>
          <cell r="H63">
            <v>1614</v>
          </cell>
        </row>
        <row r="64">
          <cell r="C64">
            <v>421</v>
          </cell>
          <cell r="D64">
            <v>421</v>
          </cell>
          <cell r="F64" t="str">
            <v>Riego de liga</v>
          </cell>
          <cell r="G64" t="str">
            <v>m2</v>
          </cell>
          <cell r="H64" t="str">
            <v>m2</v>
          </cell>
        </row>
        <row r="65">
          <cell r="C65">
            <v>421.1</v>
          </cell>
          <cell r="D65">
            <v>421</v>
          </cell>
          <cell r="F65" t="str">
            <v>Riego de liga (cemento asfáltico)</v>
          </cell>
          <cell r="G65" t="str">
            <v>m2</v>
          </cell>
          <cell r="H65" t="str">
            <v>m2</v>
          </cell>
        </row>
        <row r="66">
          <cell r="C66">
            <v>421.2</v>
          </cell>
          <cell r="D66">
            <v>421</v>
          </cell>
          <cell r="F66" t="str">
            <v>Riego de liga (emulsión asfáltica)</v>
          </cell>
          <cell r="G66" t="str">
            <v>m2</v>
          </cell>
          <cell r="H66" t="str">
            <v>m2</v>
          </cell>
        </row>
        <row r="67">
          <cell r="C67">
            <v>430</v>
          </cell>
          <cell r="D67">
            <v>430</v>
          </cell>
          <cell r="F67" t="str">
            <v>Tratamiento superficial simple</v>
          </cell>
          <cell r="G67" t="str">
            <v>m2</v>
          </cell>
          <cell r="H67" t="str">
            <v>m2</v>
          </cell>
        </row>
        <row r="68">
          <cell r="C68" t="str">
            <v>430P</v>
          </cell>
          <cell r="E68" t="str">
            <v>430P</v>
          </cell>
          <cell r="F68" t="str">
            <v>Baranda metálica tubular para puentes</v>
          </cell>
          <cell r="G68" t="str">
            <v>ml</v>
          </cell>
          <cell r="H68" t="str">
            <v>ml</v>
          </cell>
        </row>
        <row r="69">
          <cell r="C69">
            <v>431</v>
          </cell>
          <cell r="D69">
            <v>431</v>
          </cell>
          <cell r="F69" t="str">
            <v>Tratamiento superficial doble</v>
          </cell>
          <cell r="G69" t="str">
            <v>m2</v>
          </cell>
          <cell r="H69" t="str">
            <v>m2</v>
          </cell>
        </row>
        <row r="70">
          <cell r="C70">
            <v>432</v>
          </cell>
          <cell r="D70">
            <v>432</v>
          </cell>
          <cell r="F70" t="str">
            <v>Sello de arena - asfalto</v>
          </cell>
          <cell r="G70" t="str">
            <v>m2</v>
          </cell>
          <cell r="H70" t="str">
            <v>m2</v>
          </cell>
        </row>
        <row r="71">
          <cell r="C71">
            <v>433</v>
          </cell>
          <cell r="D71">
            <v>433</v>
          </cell>
          <cell r="F71" t="str">
            <v>Lechada asfáltica</v>
          </cell>
          <cell r="G71" t="str">
            <v>m2</v>
          </cell>
          <cell r="H71" t="str">
            <v>m2</v>
          </cell>
        </row>
        <row r="72">
          <cell r="C72">
            <v>434</v>
          </cell>
          <cell r="E72" t="str">
            <v>434P</v>
          </cell>
          <cell r="F72" t="str">
            <v>Sello de grietas</v>
          </cell>
          <cell r="G72" t="str">
            <v>ml</v>
          </cell>
          <cell r="H72" t="str">
            <v>ml</v>
          </cell>
        </row>
        <row r="73">
          <cell r="C73" t="str">
            <v>434P.1</v>
          </cell>
          <cell r="E73" t="str">
            <v>434P</v>
          </cell>
          <cell r="F73" t="str">
            <v>Sello de grietas en concreto</v>
          </cell>
          <cell r="G73" t="str">
            <v>ml</v>
          </cell>
          <cell r="H73">
            <v>23935</v>
          </cell>
        </row>
        <row r="74">
          <cell r="C74">
            <v>435</v>
          </cell>
          <cell r="E74" t="str">
            <v>435P</v>
          </cell>
          <cell r="F74" t="str">
            <v>Sello de juntas de pavimento de concreto hidráulico</v>
          </cell>
          <cell r="G74" t="str">
            <v>ml</v>
          </cell>
          <cell r="H74" t="str">
            <v>ml</v>
          </cell>
        </row>
        <row r="75">
          <cell r="C75">
            <v>440.1</v>
          </cell>
          <cell r="D75">
            <v>440</v>
          </cell>
          <cell r="F75" t="str">
            <v>Mezcla densa en frío tipo MDF-1</v>
          </cell>
          <cell r="G75" t="str">
            <v>m3</v>
          </cell>
          <cell r="H75" t="str">
            <v>m3</v>
          </cell>
          <cell r="J75" t="str">
            <v>No incluye suministro y almacenamiento del cemento asfáltico</v>
          </cell>
        </row>
        <row r="76">
          <cell r="C76">
            <v>440.2</v>
          </cell>
          <cell r="D76">
            <v>440</v>
          </cell>
          <cell r="F76" t="str">
            <v>Mezcla densa en frío tipo MDF-2</v>
          </cell>
          <cell r="G76" t="str">
            <v>m3</v>
          </cell>
          <cell r="H76" t="str">
            <v>m3</v>
          </cell>
        </row>
        <row r="77">
          <cell r="C77">
            <v>440.3</v>
          </cell>
          <cell r="D77">
            <v>440</v>
          </cell>
          <cell r="F77" t="str">
            <v>Mezcla densa en frío tipo MDF-3</v>
          </cell>
          <cell r="G77" t="str">
            <v>m3</v>
          </cell>
          <cell r="H77" t="str">
            <v>m3</v>
          </cell>
        </row>
        <row r="78">
          <cell r="C78">
            <v>440.5</v>
          </cell>
          <cell r="D78">
            <v>440</v>
          </cell>
          <cell r="F78" t="str">
            <v>Mezcla densa en frío para bacheo</v>
          </cell>
          <cell r="G78" t="str">
            <v>m3</v>
          </cell>
          <cell r="H78" t="str">
            <v>m3</v>
          </cell>
        </row>
        <row r="79">
          <cell r="C79">
            <v>441.1</v>
          </cell>
          <cell r="D79">
            <v>441</v>
          </cell>
          <cell r="F79" t="str">
            <v>Mezcla abierta en frío tipo MAF-1</v>
          </cell>
          <cell r="G79" t="str">
            <v>m3</v>
          </cell>
          <cell r="H79" t="str">
            <v>m3</v>
          </cell>
          <cell r="J79" t="str">
            <v>No incluye suministro y almacenamiento del cemento asfáltico</v>
          </cell>
        </row>
        <row r="80">
          <cell r="C80">
            <v>441.2</v>
          </cell>
          <cell r="D80">
            <v>441</v>
          </cell>
          <cell r="F80" t="str">
            <v>Mezcla abierta en frío tipo MAF-2</v>
          </cell>
          <cell r="G80" t="str">
            <v>m3</v>
          </cell>
          <cell r="H80" t="str">
            <v>m3</v>
          </cell>
        </row>
        <row r="81">
          <cell r="C81">
            <v>441.3</v>
          </cell>
          <cell r="D81">
            <v>441</v>
          </cell>
          <cell r="F81" t="str">
            <v>Mezcla abierta en frío tipo MAF-3</v>
          </cell>
          <cell r="G81" t="str">
            <v>m3</v>
          </cell>
          <cell r="H81" t="str">
            <v>m3</v>
          </cell>
        </row>
        <row r="82">
          <cell r="C82">
            <v>441.4</v>
          </cell>
          <cell r="D82">
            <v>441</v>
          </cell>
          <cell r="F82" t="str">
            <v>Mezcla abierta en frío para bacheo</v>
          </cell>
          <cell r="G82" t="str">
            <v>m3</v>
          </cell>
          <cell r="H82" t="str">
            <v>m3</v>
          </cell>
        </row>
        <row r="83">
          <cell r="C83">
            <v>450.1</v>
          </cell>
          <cell r="D83">
            <v>450</v>
          </cell>
          <cell r="F83" t="str">
            <v>Mezcla densa en caliente tipo MDC-1</v>
          </cell>
          <cell r="G83" t="str">
            <v>m3</v>
          </cell>
          <cell r="H83" t="str">
            <v>m3</v>
          </cell>
          <cell r="J83" t="str">
            <v>No incluye suministro y almacenamiento del cemento asfáltico</v>
          </cell>
        </row>
        <row r="84">
          <cell r="C84">
            <v>450.2</v>
          </cell>
          <cell r="D84">
            <v>450</v>
          </cell>
          <cell r="F84" t="str">
            <v>Mezcla densa en caliente tipo MDC-2</v>
          </cell>
          <cell r="G84" t="str">
            <v>m3</v>
          </cell>
          <cell r="H84" t="str">
            <v>m3</v>
          </cell>
        </row>
        <row r="85">
          <cell r="C85">
            <v>450.3</v>
          </cell>
          <cell r="D85">
            <v>450</v>
          </cell>
          <cell r="F85" t="str">
            <v>Mezcla densa en caliente tipo MDC-3</v>
          </cell>
          <cell r="G85" t="str">
            <v>m3</v>
          </cell>
          <cell r="H85">
            <v>230745</v>
          </cell>
        </row>
        <row r="86">
          <cell r="C86">
            <v>450.4</v>
          </cell>
          <cell r="D86">
            <v>450</v>
          </cell>
          <cell r="F86" t="str">
            <v>Mezcla densa en caliente para bacheo</v>
          </cell>
          <cell r="G86" t="str">
            <v>m3</v>
          </cell>
          <cell r="H86" t="str">
            <v>m3</v>
          </cell>
        </row>
        <row r="87">
          <cell r="C87">
            <v>450.5</v>
          </cell>
          <cell r="D87">
            <v>450</v>
          </cell>
          <cell r="E87" t="str">
            <v>450P</v>
          </cell>
          <cell r="F87" t="str">
            <v>Parcheo con mezcla densa en caliente tipo MDC-2</v>
          </cell>
          <cell r="G87" t="str">
            <v>m3</v>
          </cell>
          <cell r="H87" t="str">
            <v>m3</v>
          </cell>
          <cell r="J87" t="str">
            <v>Incluye riego de liga, suministro y transporte del cemento asfáltico</v>
          </cell>
        </row>
        <row r="88">
          <cell r="C88">
            <v>450.6</v>
          </cell>
          <cell r="D88">
            <v>450</v>
          </cell>
          <cell r="E88" t="str">
            <v>450P-1</v>
          </cell>
          <cell r="F88" t="str">
            <v>Mezcla densa en caliente tipo MDC-2</v>
          </cell>
          <cell r="G88" t="str">
            <v>m3</v>
          </cell>
          <cell r="H88" t="str">
            <v>m3</v>
          </cell>
          <cell r="J88" t="str">
            <v>Incluye riego de liga, suministro y transporte del cemento asfáltico</v>
          </cell>
        </row>
        <row r="89">
          <cell r="C89">
            <v>450.7</v>
          </cell>
          <cell r="D89">
            <v>450</v>
          </cell>
          <cell r="E89" t="str">
            <v>450P-1</v>
          </cell>
          <cell r="F89" t="str">
            <v>Mezcla densa en caliente tipo MDC-1</v>
          </cell>
          <cell r="G89" t="str">
            <v>m3</v>
          </cell>
          <cell r="H89" t="str">
            <v>m3</v>
          </cell>
          <cell r="J89" t="str">
            <v>Incluye riego de liga, suministro y transporte del cemento asfáltico</v>
          </cell>
        </row>
        <row r="90">
          <cell r="C90">
            <v>450.8</v>
          </cell>
          <cell r="D90">
            <v>450</v>
          </cell>
          <cell r="E90" t="str">
            <v>450P-1</v>
          </cell>
          <cell r="F90" t="str">
            <v>Mezcla densa en caliente tipo MDC-3</v>
          </cell>
          <cell r="G90" t="str">
            <v>m3</v>
          </cell>
          <cell r="H90" t="str">
            <v>m3</v>
          </cell>
          <cell r="J90" t="str">
            <v>Incluye riego de liga, suministro y transporte del cemento asfáltico</v>
          </cell>
        </row>
        <row r="91">
          <cell r="C91">
            <v>450.9</v>
          </cell>
          <cell r="D91">
            <v>450</v>
          </cell>
          <cell r="E91" t="str">
            <v>450P-2</v>
          </cell>
          <cell r="F91" t="str">
            <v>Parcheo con fresado y mezcla densa en caliente tipo MDC-2</v>
          </cell>
          <cell r="G91" t="str">
            <v>m3</v>
          </cell>
          <cell r="H91">
            <v>318664</v>
          </cell>
        </row>
        <row r="92">
          <cell r="C92">
            <v>450.11</v>
          </cell>
          <cell r="D92">
            <v>450</v>
          </cell>
          <cell r="E92" t="str">
            <v>450P-3</v>
          </cell>
          <cell r="F92" t="str">
            <v>Mezcla densa en caliente tipo MDC-2 para bacheo</v>
          </cell>
          <cell r="G92" t="str">
            <v>m3</v>
          </cell>
          <cell r="H92" t="str">
            <v>m3</v>
          </cell>
          <cell r="J92" t="str">
            <v>Incluye suministro y transporte del cemento asfáltico</v>
          </cell>
        </row>
        <row r="93">
          <cell r="C93">
            <v>450.12</v>
          </cell>
          <cell r="D93">
            <v>450</v>
          </cell>
          <cell r="E93" t="str">
            <v>450P-3</v>
          </cell>
          <cell r="F93" t="str">
            <v>Mezcla densa en caliente tipo MDC-1 para bacheo</v>
          </cell>
          <cell r="G93" t="str">
            <v>m3</v>
          </cell>
          <cell r="H93" t="str">
            <v>m3</v>
          </cell>
        </row>
        <row r="94">
          <cell r="C94">
            <v>450.13</v>
          </cell>
          <cell r="D94">
            <v>450</v>
          </cell>
          <cell r="E94" t="str">
            <v>450P-1</v>
          </cell>
          <cell r="F94" t="str">
            <v>Mezcla densa en caliente tipo MDC-2</v>
          </cell>
          <cell r="G94" t="str">
            <v>m3</v>
          </cell>
          <cell r="H94" t="str">
            <v>m3</v>
          </cell>
        </row>
        <row r="95">
          <cell r="C95" t="str">
            <v>450P,1</v>
          </cell>
          <cell r="D95">
            <v>450</v>
          </cell>
          <cell r="E95" t="str">
            <v>450P-1</v>
          </cell>
          <cell r="F95" t="str">
            <v>Mezcla densa en caliente tipo MDC-2</v>
          </cell>
          <cell r="G95" t="str">
            <v>m3</v>
          </cell>
          <cell r="H95">
            <v>325244</v>
          </cell>
        </row>
        <row r="96">
          <cell r="C96" t="str">
            <v>450P,2</v>
          </cell>
          <cell r="D96">
            <v>450</v>
          </cell>
          <cell r="E96" t="str">
            <v>450P-2</v>
          </cell>
          <cell r="F96" t="str">
            <v>Parcheo con mezcla densa en caliente tipo MDC-2</v>
          </cell>
          <cell r="G96" t="str">
            <v>m3</v>
          </cell>
          <cell r="H96">
            <v>358746</v>
          </cell>
        </row>
        <row r="97">
          <cell r="C97">
            <v>451.1</v>
          </cell>
          <cell r="D97">
            <v>451</v>
          </cell>
          <cell r="F97" t="str">
            <v>Mezcla abierta en caliente tipo MAC-1</v>
          </cell>
          <cell r="G97" t="str">
            <v>m3</v>
          </cell>
          <cell r="H97" t="str">
            <v>m3</v>
          </cell>
        </row>
        <row r="98">
          <cell r="C98">
            <v>451.2</v>
          </cell>
          <cell r="D98">
            <v>451</v>
          </cell>
          <cell r="F98" t="str">
            <v>Mezcla abierta en caliente tipo MAC-2</v>
          </cell>
          <cell r="G98" t="str">
            <v>m3</v>
          </cell>
          <cell r="H98">
            <v>159158</v>
          </cell>
        </row>
        <row r="99">
          <cell r="C99">
            <v>451.3</v>
          </cell>
          <cell r="D99">
            <v>451</v>
          </cell>
          <cell r="F99" t="str">
            <v>Mezcla abierta en caliente tipo MAC-3</v>
          </cell>
          <cell r="G99" t="str">
            <v>m3</v>
          </cell>
          <cell r="H99" t="str">
            <v>m3</v>
          </cell>
        </row>
        <row r="100">
          <cell r="C100">
            <v>460</v>
          </cell>
          <cell r="D100">
            <v>460</v>
          </cell>
          <cell r="F100" t="str">
            <v>Fresado de pavimento asfáltico</v>
          </cell>
          <cell r="G100" t="str">
            <v>m3</v>
          </cell>
          <cell r="H100">
            <v>60691</v>
          </cell>
        </row>
        <row r="101">
          <cell r="C101">
            <v>461</v>
          </cell>
          <cell r="D101">
            <v>461</v>
          </cell>
          <cell r="F101" t="str">
            <v>Pavimento asfáltico reciclado en frío</v>
          </cell>
          <cell r="G101" t="str">
            <v>m3</v>
          </cell>
          <cell r="H101" t="str">
            <v>m3</v>
          </cell>
          <cell r="J101" t="str">
            <v>No incluye suministro y almacenamiento del cemento asfáltico o la emulsión.</v>
          </cell>
        </row>
        <row r="102">
          <cell r="C102">
            <v>461.1</v>
          </cell>
          <cell r="D102">
            <v>461</v>
          </cell>
          <cell r="E102" t="str">
            <v>461P</v>
          </cell>
          <cell r="F102" t="str">
            <v>Pavimento asfáltico reciclado en frío</v>
          </cell>
          <cell r="G102" t="str">
            <v>m3</v>
          </cell>
          <cell r="H102" t="str">
            <v>m3</v>
          </cell>
          <cell r="J102" t="str">
            <v>Incluye el cemento asfáltico o la emulsión asfáltica</v>
          </cell>
        </row>
        <row r="103">
          <cell r="C103">
            <v>462.1</v>
          </cell>
          <cell r="D103">
            <v>462</v>
          </cell>
          <cell r="F103" t="str">
            <v>Pavimento asfáltico reciclado en caliente tipo MDC-1</v>
          </cell>
          <cell r="G103" t="str">
            <v>m3</v>
          </cell>
          <cell r="H103" t="str">
            <v>m3</v>
          </cell>
          <cell r="J103" t="str">
            <v>No incluye suministro y almacenamiento del cemento asfáltico o la emulsión. Tampoco el agente rejuvenecedor</v>
          </cell>
        </row>
        <row r="104">
          <cell r="C104">
            <v>462.2</v>
          </cell>
          <cell r="D104">
            <v>462</v>
          </cell>
          <cell r="F104" t="str">
            <v>Pavimento asfáltico reciclado en caliente tipo MDC-2</v>
          </cell>
          <cell r="G104" t="str">
            <v>m3</v>
          </cell>
          <cell r="H104" t="str">
            <v>m3</v>
          </cell>
        </row>
        <row r="105">
          <cell r="C105">
            <v>462.3</v>
          </cell>
          <cell r="D105">
            <v>462</v>
          </cell>
          <cell r="F105" t="str">
            <v>Pavimento asfáltico reciclado en caliente tipo MDC-3</v>
          </cell>
          <cell r="G105" t="str">
            <v>m3</v>
          </cell>
          <cell r="H105" t="str">
            <v>m3</v>
          </cell>
        </row>
        <row r="106">
          <cell r="C106">
            <v>462.4</v>
          </cell>
          <cell r="D106">
            <v>462</v>
          </cell>
          <cell r="F106" t="str">
            <v>Pavimento asfáltico reciclado en caliente para bacheo</v>
          </cell>
          <cell r="G106" t="str">
            <v>m3</v>
          </cell>
          <cell r="H106" t="str">
            <v>m3</v>
          </cell>
        </row>
        <row r="107">
          <cell r="C107">
            <v>470</v>
          </cell>
          <cell r="E107" t="str">
            <v>470P</v>
          </cell>
          <cell r="F107" t="str">
            <v>Asfalto Natural (Asfaltita)</v>
          </cell>
          <cell r="G107" t="str">
            <v>m3</v>
          </cell>
          <cell r="H107" t="str">
            <v>m3</v>
          </cell>
        </row>
        <row r="108">
          <cell r="C108">
            <v>500</v>
          </cell>
          <cell r="D108">
            <v>500</v>
          </cell>
          <cell r="F108" t="str">
            <v>Pavimento de concreto hidráulico</v>
          </cell>
          <cell r="G108" t="str">
            <v>m3</v>
          </cell>
          <cell r="H108">
            <v>426121</v>
          </cell>
          <cell r="J108" t="str">
            <v>No incluye la preparación de la superficie existente</v>
          </cell>
        </row>
        <row r="109">
          <cell r="C109">
            <v>501</v>
          </cell>
          <cell r="E109" t="str">
            <v>501P</v>
          </cell>
          <cell r="F109" t="str">
            <v>Corte en losas de pavimento rígido</v>
          </cell>
          <cell r="G109" t="str">
            <v>ml</v>
          </cell>
          <cell r="H109">
            <v>4125</v>
          </cell>
        </row>
        <row r="110">
          <cell r="C110">
            <v>510</v>
          </cell>
          <cell r="D110">
            <v>510</v>
          </cell>
          <cell r="F110" t="str">
            <v>Pavimento de adoquines de concreto</v>
          </cell>
          <cell r="G110" t="str">
            <v>m2</v>
          </cell>
          <cell r="H110" t="str">
            <v>m2</v>
          </cell>
          <cell r="J110" t="str">
            <v>No incluye la preparación de la superficie existente. Tampoco las obras de confinamiento del pavimento.</v>
          </cell>
        </row>
        <row r="111">
          <cell r="C111">
            <v>600.1</v>
          </cell>
          <cell r="D111">
            <v>600</v>
          </cell>
          <cell r="F111" t="str">
            <v>Excavaciones varias sin clasificar</v>
          </cell>
          <cell r="G111" t="str">
            <v>m3</v>
          </cell>
          <cell r="H111">
            <v>9990</v>
          </cell>
        </row>
        <row r="112">
          <cell r="C112">
            <v>600.20000000000005</v>
          </cell>
          <cell r="D112">
            <v>600</v>
          </cell>
          <cell r="F112" t="str">
            <v>Excavaciones varias en roca en seco</v>
          </cell>
          <cell r="G112" t="str">
            <v>m3</v>
          </cell>
          <cell r="H112">
            <v>38000</v>
          </cell>
        </row>
        <row r="113">
          <cell r="C113">
            <v>600.29999999999995</v>
          </cell>
          <cell r="D113">
            <v>600</v>
          </cell>
          <cell r="F113" t="str">
            <v>Excavaciones varias en roca bajo agua</v>
          </cell>
          <cell r="G113" t="str">
            <v>m3</v>
          </cell>
          <cell r="H113" t="str">
            <v>m3</v>
          </cell>
        </row>
        <row r="114">
          <cell r="C114">
            <v>600.4</v>
          </cell>
          <cell r="D114">
            <v>600</v>
          </cell>
          <cell r="F114" t="str">
            <v>Excavaciones varias en material común en seco</v>
          </cell>
          <cell r="G114" t="str">
            <v>m3</v>
          </cell>
          <cell r="H114">
            <v>24253</v>
          </cell>
        </row>
        <row r="115">
          <cell r="C115">
            <v>600.5</v>
          </cell>
          <cell r="D115">
            <v>600</v>
          </cell>
          <cell r="F115" t="str">
            <v>Excavaciones varias en material común bajo agua</v>
          </cell>
          <cell r="G115" t="str">
            <v>m3</v>
          </cell>
          <cell r="H115">
            <v>29716</v>
          </cell>
        </row>
        <row r="116">
          <cell r="C116">
            <v>600.6</v>
          </cell>
          <cell r="D116">
            <v>600</v>
          </cell>
          <cell r="E116" t="str">
            <v>600P</v>
          </cell>
          <cell r="F116" t="str">
            <v>Excavaciones varias sin clasificar</v>
          </cell>
          <cell r="G116" t="str">
            <v>m3</v>
          </cell>
          <cell r="H116" t="str">
            <v>m3</v>
          </cell>
          <cell r="J116" t="str">
            <v>Tiene en cuenta el programa PICO y PALA</v>
          </cell>
        </row>
        <row r="117">
          <cell r="C117">
            <v>600.70000000000005</v>
          </cell>
          <cell r="D117">
            <v>600</v>
          </cell>
          <cell r="E117" t="str">
            <v>600P</v>
          </cell>
          <cell r="F117" t="str">
            <v>Excavaciones varias en material común en seco</v>
          </cell>
          <cell r="G117" t="str">
            <v>m3</v>
          </cell>
          <cell r="H117" t="str">
            <v>m3</v>
          </cell>
          <cell r="J117" t="str">
            <v>Tiene en cuenta el programa PICO y PALA</v>
          </cell>
        </row>
        <row r="118">
          <cell r="C118" t="str">
            <v>600P.1</v>
          </cell>
          <cell r="D118">
            <v>600</v>
          </cell>
          <cell r="E118" t="str">
            <v>600P.1</v>
          </cell>
          <cell r="F118" t="str">
            <v>Excavaciones manuales varias sin clasificar</v>
          </cell>
          <cell r="G118" t="str">
            <v>m3</v>
          </cell>
          <cell r="H118">
            <v>18224</v>
          </cell>
          <cell r="J118" t="str">
            <v>Tiene en cuenta el programa PICO y PALA</v>
          </cell>
        </row>
        <row r="119">
          <cell r="C119">
            <v>600.79999999999995</v>
          </cell>
          <cell r="D119">
            <v>600</v>
          </cell>
          <cell r="E119" t="str">
            <v>600P</v>
          </cell>
          <cell r="F119" t="str">
            <v>Excavaciones varias en material común bajo agua</v>
          </cell>
          <cell r="G119" t="str">
            <v>m3</v>
          </cell>
          <cell r="H119" t="str">
            <v>m3</v>
          </cell>
          <cell r="J119" t="str">
            <v>Tiene en cuenta el programa PICO y PALA</v>
          </cell>
        </row>
        <row r="120">
          <cell r="C120">
            <v>601.1</v>
          </cell>
          <cell r="D120">
            <v>601</v>
          </cell>
          <cell r="F120" t="str">
            <v>Excavaciones varias en roca en seco</v>
          </cell>
          <cell r="G120" t="str">
            <v>m3</v>
          </cell>
          <cell r="H120" t="str">
            <v>m3</v>
          </cell>
        </row>
        <row r="121">
          <cell r="C121">
            <v>601.20000000000005</v>
          </cell>
          <cell r="D121">
            <v>601</v>
          </cell>
          <cell r="F121" t="str">
            <v>Excavaciones varias en roca bajo agua</v>
          </cell>
          <cell r="G121" t="str">
            <v>m3</v>
          </cell>
          <cell r="H121" t="str">
            <v>m3</v>
          </cell>
        </row>
        <row r="122">
          <cell r="C122">
            <v>601.29999999999995</v>
          </cell>
          <cell r="D122">
            <v>601</v>
          </cell>
          <cell r="F122" t="str">
            <v>Excavaciones varias en material común en seco</v>
          </cell>
          <cell r="G122" t="str">
            <v>m3</v>
          </cell>
          <cell r="H122" t="str">
            <v>m3</v>
          </cell>
        </row>
        <row r="123">
          <cell r="C123">
            <v>601.4</v>
          </cell>
          <cell r="D123">
            <v>601</v>
          </cell>
          <cell r="F123" t="str">
            <v>Excavaciones varias en material común bajo agua</v>
          </cell>
          <cell r="G123" t="str">
            <v>m3</v>
          </cell>
          <cell r="H123" t="str">
            <v>m3</v>
          </cell>
        </row>
        <row r="124">
          <cell r="C124">
            <v>610.1</v>
          </cell>
          <cell r="D124">
            <v>610</v>
          </cell>
          <cell r="F124" t="str">
            <v>Rellenos para estructuras</v>
          </cell>
          <cell r="G124" t="str">
            <v>m3</v>
          </cell>
          <cell r="H124">
            <v>38345</v>
          </cell>
          <cell r="J124" t="str">
            <v>No incluye la preparación de la superficie sobre la que irá el relleno.</v>
          </cell>
        </row>
        <row r="125">
          <cell r="C125">
            <v>610.20000000000005</v>
          </cell>
          <cell r="D125">
            <v>610</v>
          </cell>
          <cell r="F125" t="str">
            <v>Material filtrante</v>
          </cell>
          <cell r="G125" t="str">
            <v>m3</v>
          </cell>
          <cell r="H125" t="str">
            <v>m3</v>
          </cell>
        </row>
        <row r="126">
          <cell r="C126">
            <v>612</v>
          </cell>
          <cell r="E126" t="str">
            <v>612P</v>
          </cell>
          <cell r="F126" t="str">
            <v>Geobloques</v>
          </cell>
          <cell r="G126" t="str">
            <v>m3</v>
          </cell>
          <cell r="H126" t="str">
            <v>m3</v>
          </cell>
        </row>
        <row r="127">
          <cell r="C127">
            <v>620.1</v>
          </cell>
          <cell r="D127">
            <v>620</v>
          </cell>
          <cell r="F127" t="str">
            <v>Pilotes prefabricados de concreto</v>
          </cell>
          <cell r="G127" t="str">
            <v>ml</v>
          </cell>
          <cell r="H127" t="str">
            <v>ml</v>
          </cell>
        </row>
        <row r="128">
          <cell r="C128">
            <v>620.20000000000005</v>
          </cell>
          <cell r="D128">
            <v>620</v>
          </cell>
          <cell r="F128" t="str">
            <v>Extensión de pilotes</v>
          </cell>
          <cell r="G128" t="str">
            <v>ml</v>
          </cell>
          <cell r="H128" t="str">
            <v>ml</v>
          </cell>
        </row>
        <row r="129">
          <cell r="C129">
            <v>620.29999999999995</v>
          </cell>
          <cell r="D129">
            <v>620</v>
          </cell>
          <cell r="F129" t="str">
            <v>Prueba de carga</v>
          </cell>
          <cell r="G129" t="str">
            <v>Un</v>
          </cell>
          <cell r="H129" t="str">
            <v>Un</v>
          </cell>
        </row>
        <row r="130">
          <cell r="C130">
            <v>621.1</v>
          </cell>
          <cell r="D130">
            <v>621</v>
          </cell>
          <cell r="F130" t="str">
            <v>Pilote de concreto fundido in-situ de diámetro____</v>
          </cell>
          <cell r="G130" t="str">
            <v>ml</v>
          </cell>
          <cell r="H130" t="str">
            <v>ml</v>
          </cell>
        </row>
        <row r="131">
          <cell r="C131">
            <v>621.20000000000005</v>
          </cell>
          <cell r="D131">
            <v>621</v>
          </cell>
          <cell r="F131" t="str">
            <v>Base acampanada</v>
          </cell>
          <cell r="G131" t="str">
            <v>m3</v>
          </cell>
          <cell r="H131" t="str">
            <v>m3</v>
          </cell>
        </row>
        <row r="132">
          <cell r="C132">
            <v>621.29999999999995</v>
          </cell>
          <cell r="D132">
            <v>621</v>
          </cell>
          <cell r="F132" t="str">
            <v>Pilote de prueba de diámetro ____</v>
          </cell>
          <cell r="G132" t="str">
            <v>ml</v>
          </cell>
          <cell r="H132" t="str">
            <v>ml</v>
          </cell>
        </row>
        <row r="133">
          <cell r="C133">
            <v>621.4</v>
          </cell>
          <cell r="D133">
            <v>621</v>
          </cell>
          <cell r="F133" t="str">
            <v>Base acampanada de prueba</v>
          </cell>
          <cell r="G133" t="str">
            <v>m3</v>
          </cell>
          <cell r="H133" t="str">
            <v>m3</v>
          </cell>
        </row>
        <row r="134">
          <cell r="C134">
            <v>621.5</v>
          </cell>
          <cell r="D134">
            <v>621</v>
          </cell>
          <cell r="F134" t="str">
            <v>Camisa permanente de diámetro exterior ____</v>
          </cell>
          <cell r="G134" t="str">
            <v>ml</v>
          </cell>
          <cell r="H134" t="str">
            <v>ml</v>
          </cell>
        </row>
        <row r="135">
          <cell r="C135">
            <v>621.6</v>
          </cell>
          <cell r="D135">
            <v>621</v>
          </cell>
          <cell r="F135" t="str">
            <v>Prueba de carga</v>
          </cell>
          <cell r="G135" t="str">
            <v>Un</v>
          </cell>
          <cell r="H135" t="str">
            <v>Un</v>
          </cell>
        </row>
        <row r="136">
          <cell r="C136">
            <v>622.1</v>
          </cell>
          <cell r="D136">
            <v>622</v>
          </cell>
          <cell r="F136" t="str">
            <v>Tablestacado de madera</v>
          </cell>
          <cell r="G136" t="str">
            <v>m2</v>
          </cell>
          <cell r="H136" t="str">
            <v>m2</v>
          </cell>
        </row>
        <row r="137">
          <cell r="C137">
            <v>622.20000000000005</v>
          </cell>
          <cell r="D137">
            <v>622</v>
          </cell>
          <cell r="F137" t="str">
            <v>Tablestacado metálico</v>
          </cell>
          <cell r="G137" t="str">
            <v>m2</v>
          </cell>
          <cell r="H137" t="str">
            <v>m2</v>
          </cell>
        </row>
        <row r="138">
          <cell r="C138">
            <v>622.29999999999995</v>
          </cell>
          <cell r="D138">
            <v>622</v>
          </cell>
          <cell r="F138" t="str">
            <v>Tablestacado de concreto reforzado</v>
          </cell>
          <cell r="G138" t="str">
            <v>m2</v>
          </cell>
          <cell r="H138" t="str">
            <v>m2</v>
          </cell>
        </row>
        <row r="139">
          <cell r="C139">
            <v>622.4</v>
          </cell>
          <cell r="D139">
            <v>622</v>
          </cell>
          <cell r="F139" t="str">
            <v>Tablestacado de concreto preesforzado</v>
          </cell>
          <cell r="G139" t="str">
            <v>m2</v>
          </cell>
          <cell r="H139" t="str">
            <v>m2</v>
          </cell>
        </row>
        <row r="140">
          <cell r="C140">
            <v>622.5</v>
          </cell>
          <cell r="D140">
            <v>622</v>
          </cell>
          <cell r="F140" t="str">
            <v>Corte del extremo superior del elemento</v>
          </cell>
          <cell r="G140" t="str">
            <v>ml</v>
          </cell>
          <cell r="H140" t="str">
            <v>ml</v>
          </cell>
        </row>
        <row r="141">
          <cell r="C141">
            <v>622.6</v>
          </cell>
          <cell r="D141">
            <v>622</v>
          </cell>
          <cell r="E141" t="str">
            <v>622P</v>
          </cell>
          <cell r="F141" t="str">
            <v>Tablestacado metálico</v>
          </cell>
          <cell r="G141" t="str">
            <v>ml</v>
          </cell>
          <cell r="H141" t="str">
            <v>ml</v>
          </cell>
          <cell r="J141" t="str">
            <v>La unidad de medida es el metro lineal</v>
          </cell>
        </row>
        <row r="142">
          <cell r="C142">
            <v>623.1</v>
          </cell>
          <cell r="E142" t="str">
            <v>623P</v>
          </cell>
          <cell r="F142" t="str">
            <v>Suministro e hincamiento de rieles</v>
          </cell>
          <cell r="G142" t="str">
            <v>ml</v>
          </cell>
          <cell r="H142">
            <v>92683</v>
          </cell>
        </row>
        <row r="143">
          <cell r="C143">
            <v>623.20000000000005</v>
          </cell>
          <cell r="E143" t="str">
            <v>623P</v>
          </cell>
          <cell r="F143" t="str">
            <v>Suministro e instalación de rieles</v>
          </cell>
          <cell r="G143" t="str">
            <v>ml</v>
          </cell>
          <cell r="H143">
            <v>76829</v>
          </cell>
        </row>
        <row r="144">
          <cell r="C144">
            <v>630.1</v>
          </cell>
          <cell r="D144">
            <v>630</v>
          </cell>
          <cell r="F144" t="str">
            <v>Concreto Clase A</v>
          </cell>
          <cell r="G144" t="str">
            <v>m3</v>
          </cell>
          <cell r="H144" t="str">
            <v>m3</v>
          </cell>
          <cell r="J144" t="str">
            <v>5000PSI</v>
          </cell>
        </row>
        <row r="145">
          <cell r="C145">
            <v>630.20000000000005</v>
          </cell>
          <cell r="D145">
            <v>630</v>
          </cell>
          <cell r="F145" t="str">
            <v>Concreto Clase B</v>
          </cell>
          <cell r="G145" t="str">
            <v>m3</v>
          </cell>
          <cell r="H145" t="str">
            <v>m3</v>
          </cell>
          <cell r="J145" t="str">
            <v>4000PSI</v>
          </cell>
        </row>
        <row r="146">
          <cell r="C146">
            <v>630.29999999999995</v>
          </cell>
          <cell r="D146">
            <v>630</v>
          </cell>
          <cell r="F146" t="str">
            <v>Concreto Clase C</v>
          </cell>
          <cell r="G146" t="str">
            <v>m3</v>
          </cell>
          <cell r="H146" t="str">
            <v>m3</v>
          </cell>
          <cell r="J146" t="str">
            <v>3000PSI</v>
          </cell>
        </row>
        <row r="147">
          <cell r="C147">
            <v>630.4</v>
          </cell>
          <cell r="D147">
            <v>630</v>
          </cell>
          <cell r="F147" t="str">
            <v>Concreto Clase D</v>
          </cell>
          <cell r="G147" t="str">
            <v>m3</v>
          </cell>
          <cell r="H147">
            <v>374399</v>
          </cell>
          <cell r="J147" t="str">
            <v>2000PSI</v>
          </cell>
        </row>
        <row r="148">
          <cell r="C148">
            <v>630.5</v>
          </cell>
          <cell r="D148">
            <v>630</v>
          </cell>
          <cell r="F148" t="str">
            <v>Concreto Clase E</v>
          </cell>
          <cell r="G148" t="str">
            <v>m3</v>
          </cell>
          <cell r="H148">
            <v>325680</v>
          </cell>
        </row>
        <row r="149">
          <cell r="C149">
            <v>630.6</v>
          </cell>
          <cell r="D149">
            <v>630</v>
          </cell>
          <cell r="F149" t="str">
            <v>Concreto Simple de 175 Kg/cm2</v>
          </cell>
          <cell r="G149" t="str">
            <v>m3</v>
          </cell>
          <cell r="H149">
            <v>326357</v>
          </cell>
        </row>
        <row r="150">
          <cell r="C150" t="str">
            <v>630P.7</v>
          </cell>
          <cell r="D150">
            <v>630</v>
          </cell>
          <cell r="F150" t="str">
            <v>Concreto ciplopeo de resistencia 211 Kg/cm2</v>
          </cell>
          <cell r="G150" t="str">
            <v>m3</v>
          </cell>
          <cell r="H150">
            <v>288781</v>
          </cell>
        </row>
        <row r="151">
          <cell r="C151">
            <v>630.70000000000005</v>
          </cell>
          <cell r="D151">
            <v>630</v>
          </cell>
          <cell r="F151" t="str">
            <v>Concreto Clase G</v>
          </cell>
          <cell r="G151" t="str">
            <v>m3</v>
          </cell>
          <cell r="H151">
            <v>282866</v>
          </cell>
        </row>
        <row r="152">
          <cell r="C152">
            <v>630.79999999999995</v>
          </cell>
          <cell r="D152">
            <v>630</v>
          </cell>
          <cell r="E152" t="str">
            <v>630P</v>
          </cell>
          <cell r="F152" t="str">
            <v>Concreto Clase A con aditivo</v>
          </cell>
          <cell r="G152" t="str">
            <v>m3</v>
          </cell>
          <cell r="H152" t="str">
            <v>m3</v>
          </cell>
        </row>
        <row r="153">
          <cell r="C153">
            <v>630.9</v>
          </cell>
          <cell r="D153">
            <v>630</v>
          </cell>
          <cell r="E153" t="str">
            <v>630P</v>
          </cell>
          <cell r="F153" t="str">
            <v>Concreto Clase D con aditivo</v>
          </cell>
          <cell r="G153" t="str">
            <v>m3</v>
          </cell>
          <cell r="H153" t="str">
            <v>m3</v>
          </cell>
        </row>
        <row r="154">
          <cell r="C154">
            <v>630.1</v>
          </cell>
          <cell r="D154">
            <v>630</v>
          </cell>
          <cell r="E154" t="str">
            <v>630P-1</v>
          </cell>
          <cell r="F154" t="str">
            <v>Realce de cabezotes de alcantarillas</v>
          </cell>
          <cell r="G154" t="str">
            <v>m3</v>
          </cell>
          <cell r="H154" t="str">
            <v>m3</v>
          </cell>
        </row>
        <row r="155">
          <cell r="C155">
            <v>630.11</v>
          </cell>
          <cell r="D155">
            <v>630</v>
          </cell>
          <cell r="E155" t="str">
            <v>630P-2</v>
          </cell>
          <cell r="F155" t="str">
            <v>Realce de bordillo de cunetas</v>
          </cell>
          <cell r="G155" t="str">
            <v>ml</v>
          </cell>
          <cell r="H155">
            <v>30840</v>
          </cell>
        </row>
        <row r="156">
          <cell r="C156">
            <v>630.12</v>
          </cell>
          <cell r="D156">
            <v>630</v>
          </cell>
          <cell r="E156" t="str">
            <v>630P-3</v>
          </cell>
          <cell r="F156" t="str">
            <v>Concreto Clase G para cimientos</v>
          </cell>
          <cell r="G156" t="str">
            <v>m3</v>
          </cell>
          <cell r="H156" t="str">
            <v>m3</v>
          </cell>
        </row>
        <row r="157">
          <cell r="C157">
            <v>630.13</v>
          </cell>
          <cell r="D157">
            <v>630</v>
          </cell>
          <cell r="E157" t="str">
            <v>630P-3</v>
          </cell>
          <cell r="F157" t="str">
            <v>Concreto Clase G para elevaciones</v>
          </cell>
          <cell r="G157" t="str">
            <v>m3</v>
          </cell>
          <cell r="H157" t="str">
            <v>m3</v>
          </cell>
        </row>
        <row r="158">
          <cell r="C158">
            <v>630.14</v>
          </cell>
          <cell r="D158">
            <v>630</v>
          </cell>
          <cell r="E158" t="str">
            <v>630P-4</v>
          </cell>
          <cell r="F158" t="str">
            <v>Recubrimiento con malla y mortero 1:4, e=5cm</v>
          </cell>
          <cell r="G158" t="str">
            <v>m2</v>
          </cell>
          <cell r="H158" t="str">
            <v>m2</v>
          </cell>
        </row>
        <row r="159">
          <cell r="C159">
            <v>630.15</v>
          </cell>
          <cell r="D159">
            <v>630</v>
          </cell>
          <cell r="E159" t="str">
            <v>630P-5</v>
          </cell>
          <cell r="F159" t="str">
            <v>Recalce de alcantarillas</v>
          </cell>
          <cell r="G159" t="str">
            <v>ml</v>
          </cell>
          <cell r="H159">
            <v>77402</v>
          </cell>
        </row>
        <row r="160">
          <cell r="C160">
            <v>632</v>
          </cell>
          <cell r="D160">
            <v>632</v>
          </cell>
          <cell r="F160" t="str">
            <v>Baranda de concreto</v>
          </cell>
          <cell r="G160" t="str">
            <v>ml</v>
          </cell>
          <cell r="H160" t="str">
            <v>ml</v>
          </cell>
          <cell r="J160" t="str">
            <v>No incluye el acero de refuerzo</v>
          </cell>
        </row>
        <row r="161">
          <cell r="C161">
            <v>632.1</v>
          </cell>
          <cell r="D161">
            <v>632</v>
          </cell>
          <cell r="E161" t="str">
            <v>632P</v>
          </cell>
          <cell r="F161" t="str">
            <v>Baranda metálica tubular</v>
          </cell>
          <cell r="G161" t="str">
            <v>ml</v>
          </cell>
          <cell r="H161" t="str">
            <v>ml</v>
          </cell>
        </row>
        <row r="162">
          <cell r="C162">
            <v>640.1</v>
          </cell>
          <cell r="D162">
            <v>640</v>
          </cell>
          <cell r="F162" t="str">
            <v>Acero de refuerzo Grado 37</v>
          </cell>
          <cell r="G162" t="str">
            <v>Kg</v>
          </cell>
          <cell r="H162" t="str">
            <v>Kg</v>
          </cell>
        </row>
        <row r="163">
          <cell r="C163">
            <v>640.20000000000005</v>
          </cell>
          <cell r="D163">
            <v>640</v>
          </cell>
          <cell r="F163" t="str">
            <v>Acero de refuerzo Grado 40</v>
          </cell>
          <cell r="G163" t="str">
            <v>Kg</v>
          </cell>
          <cell r="H163" t="str">
            <v>Kg</v>
          </cell>
        </row>
        <row r="164">
          <cell r="C164">
            <v>640.29999999999995</v>
          </cell>
          <cell r="D164">
            <v>640</v>
          </cell>
          <cell r="F164" t="str">
            <v>Acero de refuerzo Grado 60</v>
          </cell>
          <cell r="G164" t="str">
            <v>Kg</v>
          </cell>
          <cell r="H164">
            <v>2737</v>
          </cell>
        </row>
        <row r="165">
          <cell r="C165">
            <v>641</v>
          </cell>
          <cell r="D165">
            <v>641</v>
          </cell>
          <cell r="F165" t="str">
            <v>Acero de preesfuerzo</v>
          </cell>
          <cell r="G165" t="str">
            <v>t-m</v>
          </cell>
          <cell r="H165" t="str">
            <v>t-m</v>
          </cell>
        </row>
        <row r="166">
          <cell r="C166">
            <v>642.1</v>
          </cell>
          <cell r="D166">
            <v>642</v>
          </cell>
          <cell r="F166" t="str">
            <v>Apoyo elastomérico</v>
          </cell>
          <cell r="G166" t="str">
            <v>Un</v>
          </cell>
          <cell r="H166" t="str">
            <v>Un</v>
          </cell>
        </row>
        <row r="167">
          <cell r="C167">
            <v>642.20000000000005</v>
          </cell>
          <cell r="D167">
            <v>642</v>
          </cell>
          <cell r="F167" t="str">
            <v>Sello para juntas de puentes</v>
          </cell>
          <cell r="G167" t="str">
            <v>ml</v>
          </cell>
          <cell r="H167">
            <v>8342</v>
          </cell>
        </row>
        <row r="168">
          <cell r="C168">
            <v>643</v>
          </cell>
          <cell r="E168" t="str">
            <v>643P</v>
          </cell>
          <cell r="F168" t="str">
            <v>Suministro e instalación de juntas de dilatación</v>
          </cell>
          <cell r="G168" t="str">
            <v>ml</v>
          </cell>
          <cell r="H168" t="str">
            <v>ml</v>
          </cell>
        </row>
        <row r="169">
          <cell r="C169">
            <v>644</v>
          </cell>
          <cell r="E169" t="str">
            <v>644P</v>
          </cell>
          <cell r="F169" t="str">
            <v>Suministro e instalación de sellos para juntas de puentes</v>
          </cell>
          <cell r="G169" t="str">
            <v>ml</v>
          </cell>
          <cell r="H169">
            <v>8342</v>
          </cell>
        </row>
        <row r="170">
          <cell r="C170">
            <v>650.1</v>
          </cell>
          <cell r="D170">
            <v>650</v>
          </cell>
          <cell r="F170" t="str">
            <v>Diseño y fabricación de estructura metálica</v>
          </cell>
          <cell r="G170" t="str">
            <v>Kg</v>
          </cell>
          <cell r="H170" t="str">
            <v>Kg</v>
          </cell>
        </row>
        <row r="171">
          <cell r="C171">
            <v>650.20000000000005</v>
          </cell>
          <cell r="D171">
            <v>650</v>
          </cell>
          <cell r="F171" t="str">
            <v>Fabricación de la estructura metálica</v>
          </cell>
          <cell r="G171" t="str">
            <v>Kg</v>
          </cell>
          <cell r="H171" t="str">
            <v>Kg</v>
          </cell>
        </row>
        <row r="172">
          <cell r="C172">
            <v>650.29999999999995</v>
          </cell>
          <cell r="D172">
            <v>650</v>
          </cell>
          <cell r="F172" t="str">
            <v>Transporte de estructura metálica</v>
          </cell>
          <cell r="G172" t="str">
            <v>Kg</v>
          </cell>
          <cell r="H172" t="str">
            <v>Kg</v>
          </cell>
        </row>
        <row r="173">
          <cell r="C173">
            <v>650.4</v>
          </cell>
          <cell r="D173">
            <v>650</v>
          </cell>
          <cell r="F173" t="str">
            <v>Montaje y pintura de estructura metálica</v>
          </cell>
          <cell r="G173" t="str">
            <v>Kg</v>
          </cell>
          <cell r="H173" t="str">
            <v>Kg</v>
          </cell>
        </row>
        <row r="174">
          <cell r="C174">
            <v>660.1</v>
          </cell>
          <cell r="D174">
            <v>660</v>
          </cell>
          <cell r="F174" t="str">
            <v>Tubería de concreto simple de diámetro 450 mm</v>
          </cell>
          <cell r="G174" t="str">
            <v>ml</v>
          </cell>
          <cell r="H174" t="str">
            <v>ml</v>
          </cell>
        </row>
        <row r="175">
          <cell r="C175">
            <v>660.2</v>
          </cell>
          <cell r="D175">
            <v>660</v>
          </cell>
          <cell r="F175" t="str">
            <v>Tubería de concreto simple de diámetro 600 mm</v>
          </cell>
          <cell r="G175" t="str">
            <v>ml</v>
          </cell>
          <cell r="H175">
            <v>132715</v>
          </cell>
        </row>
        <row r="176">
          <cell r="C176">
            <v>660.3</v>
          </cell>
          <cell r="D176">
            <v>660</v>
          </cell>
          <cell r="F176" t="str">
            <v>Tubería de concreto simple de diámetro 750 mm</v>
          </cell>
          <cell r="G176" t="str">
            <v>ml</v>
          </cell>
          <cell r="H176" t="str">
            <v>ml</v>
          </cell>
        </row>
        <row r="177">
          <cell r="C177">
            <v>661</v>
          </cell>
          <cell r="D177">
            <v>661</v>
          </cell>
          <cell r="F177" t="str">
            <v>Tubería de concreto reforzado de 900 mm diámetro interior</v>
          </cell>
          <cell r="G177" t="str">
            <v>ml</v>
          </cell>
          <cell r="H177">
            <v>226838</v>
          </cell>
        </row>
        <row r="178">
          <cell r="C178">
            <v>662.1</v>
          </cell>
          <cell r="D178">
            <v>662</v>
          </cell>
          <cell r="F178" t="str">
            <v>Tubería corrugada de acero galvanizado de lámina calibre __ y diámetro __ mm</v>
          </cell>
          <cell r="G178" t="str">
            <v>ml</v>
          </cell>
          <cell r="H178" t="str">
            <v>ml</v>
          </cell>
        </row>
        <row r="179">
          <cell r="C179">
            <v>662.2</v>
          </cell>
          <cell r="D179">
            <v>662</v>
          </cell>
          <cell r="F179" t="str">
            <v>Tubería corrugada de acero con recubrimiento bituminoso de lámina calibre __ y diámetro __ mm</v>
          </cell>
          <cell r="G179" t="str">
            <v>ml</v>
          </cell>
          <cell r="H179" t="str">
            <v>ml</v>
          </cell>
        </row>
        <row r="180">
          <cell r="C180">
            <v>669.1</v>
          </cell>
          <cell r="E180" t="str">
            <v>669P</v>
          </cell>
          <cell r="F180" t="str">
            <v>Andenes de sección 2m de ancho x 0.12 m de espesor</v>
          </cell>
          <cell r="G180" t="str">
            <v>m2</v>
          </cell>
          <cell r="H180" t="str">
            <v>m2</v>
          </cell>
        </row>
        <row r="181">
          <cell r="C181">
            <v>670.1</v>
          </cell>
          <cell r="D181">
            <v>670</v>
          </cell>
          <cell r="F181" t="str">
            <v>Disipadores de energía y sedimentadores en gaviones</v>
          </cell>
          <cell r="G181" t="str">
            <v>m3</v>
          </cell>
          <cell r="H181" t="str">
            <v>m3</v>
          </cell>
        </row>
        <row r="182">
          <cell r="C182">
            <v>670.2</v>
          </cell>
          <cell r="D182">
            <v>670</v>
          </cell>
          <cell r="F182" t="str">
            <v>Disipadores de energía y sedimentadores en concreto ciclópeo</v>
          </cell>
          <cell r="G182" t="str">
            <v>m3</v>
          </cell>
          <cell r="H182" t="str">
            <v>m3</v>
          </cell>
        </row>
        <row r="183">
          <cell r="C183">
            <v>670.3</v>
          </cell>
          <cell r="D183">
            <v>670</v>
          </cell>
          <cell r="F183" t="str">
            <v>Disipadores de energía empotrado en muro</v>
          </cell>
          <cell r="G183" t="str">
            <v>Ml</v>
          </cell>
          <cell r="H183">
            <v>119719</v>
          </cell>
        </row>
        <row r="184">
          <cell r="C184">
            <v>671</v>
          </cell>
          <cell r="D184">
            <v>671</v>
          </cell>
          <cell r="F184" t="str">
            <v>Cunetas revestidas en concreto</v>
          </cell>
          <cell r="G184" t="str">
            <v>m3</v>
          </cell>
          <cell r="H184">
            <v>269566</v>
          </cell>
        </row>
        <row r="185">
          <cell r="C185" t="str">
            <v>671P.1</v>
          </cell>
          <cell r="D185">
            <v>671</v>
          </cell>
          <cell r="E185" t="str">
            <v>671P.1</v>
          </cell>
          <cell r="F185" t="str">
            <v>Cunetas revestidas en concreto</v>
          </cell>
          <cell r="G185" t="str">
            <v>m3</v>
          </cell>
          <cell r="H185">
            <v>343826</v>
          </cell>
        </row>
        <row r="186">
          <cell r="C186">
            <v>672</v>
          </cell>
          <cell r="D186">
            <v>672</v>
          </cell>
          <cell r="F186" t="str">
            <v>Bordillo</v>
          </cell>
          <cell r="G186" t="str">
            <v>ml</v>
          </cell>
          <cell r="H186" t="str">
            <v>ml</v>
          </cell>
        </row>
        <row r="187">
          <cell r="C187">
            <v>673</v>
          </cell>
          <cell r="D187">
            <v>673</v>
          </cell>
          <cell r="F187" t="str">
            <v>Material filtrante</v>
          </cell>
          <cell r="G187" t="str">
            <v>m3</v>
          </cell>
          <cell r="H187">
            <v>56507</v>
          </cell>
        </row>
        <row r="188">
          <cell r="C188">
            <v>673.1</v>
          </cell>
          <cell r="D188">
            <v>673</v>
          </cell>
          <cell r="E188" t="str">
            <v>673P</v>
          </cell>
          <cell r="F188" t="str">
            <v>Dren horizontal 0-10 m</v>
          </cell>
          <cell r="G188" t="str">
            <v>ml</v>
          </cell>
          <cell r="H188" t="str">
            <v>ml</v>
          </cell>
        </row>
        <row r="189">
          <cell r="C189">
            <v>673.2</v>
          </cell>
          <cell r="D189">
            <v>673</v>
          </cell>
          <cell r="E189" t="str">
            <v>673P</v>
          </cell>
          <cell r="F189" t="str">
            <v>Dren horizontal 0-30 m</v>
          </cell>
          <cell r="G189" t="str">
            <v>ml</v>
          </cell>
          <cell r="H189" t="str">
            <v>ml</v>
          </cell>
        </row>
        <row r="190">
          <cell r="C190">
            <v>673.3</v>
          </cell>
          <cell r="D190">
            <v>673</v>
          </cell>
          <cell r="E190" t="str">
            <v>673P-1</v>
          </cell>
          <cell r="F190" t="str">
            <v>Filtros geocompuestos Tipo Geodren o Pack drain</v>
          </cell>
          <cell r="G190" t="str">
            <v>ml</v>
          </cell>
          <cell r="H190" t="str">
            <v>ml</v>
          </cell>
        </row>
        <row r="191">
          <cell r="C191">
            <v>674.1</v>
          </cell>
          <cell r="E191" t="str">
            <v>674P</v>
          </cell>
          <cell r="F191" t="str">
            <v>Nivelación y reconstrucción de pozos de inspección</v>
          </cell>
          <cell r="G191" t="str">
            <v>Un</v>
          </cell>
          <cell r="H191" t="str">
            <v>Un</v>
          </cell>
        </row>
        <row r="192">
          <cell r="C192">
            <v>674.2</v>
          </cell>
          <cell r="E192" t="str">
            <v>674P</v>
          </cell>
          <cell r="F192" t="str">
            <v>Nivelación y reconstrucción de sumideros</v>
          </cell>
          <cell r="G192" t="str">
            <v>Un</v>
          </cell>
          <cell r="H192" t="str">
            <v>Un</v>
          </cell>
        </row>
        <row r="193">
          <cell r="C193">
            <v>674.3</v>
          </cell>
          <cell r="E193" t="str">
            <v>674P</v>
          </cell>
          <cell r="F193" t="str">
            <v>Nivelación y reconstrucción de cajas de válvulas de la E.A.A.B</v>
          </cell>
          <cell r="G193" t="str">
            <v>Un</v>
          </cell>
          <cell r="H193" t="str">
            <v>Un</v>
          </cell>
        </row>
        <row r="194">
          <cell r="C194">
            <v>674.4</v>
          </cell>
          <cell r="E194" t="str">
            <v>674P</v>
          </cell>
          <cell r="F194" t="str">
            <v>Nivelación y reconstrucción de cajas de energía de CODENSA</v>
          </cell>
          <cell r="G194" t="str">
            <v>Un</v>
          </cell>
          <cell r="H194" t="str">
            <v>Un</v>
          </cell>
        </row>
        <row r="195">
          <cell r="C195">
            <v>674.5</v>
          </cell>
          <cell r="E195" t="str">
            <v>674P</v>
          </cell>
          <cell r="F195" t="str">
            <v>Nivelación y reconstrucción de cajas de la ETB</v>
          </cell>
          <cell r="G195" t="str">
            <v>Un</v>
          </cell>
          <cell r="H195" t="str">
            <v>Un</v>
          </cell>
        </row>
        <row r="196">
          <cell r="C196">
            <v>675</v>
          </cell>
          <cell r="E196" t="str">
            <v>675P</v>
          </cell>
          <cell r="F196" t="str">
            <v>Caja de inspección para alumbrado público</v>
          </cell>
          <cell r="G196" t="str">
            <v>Un</v>
          </cell>
          <cell r="H196" t="str">
            <v>Un</v>
          </cell>
        </row>
        <row r="197">
          <cell r="C197">
            <v>678.1</v>
          </cell>
          <cell r="E197" t="str">
            <v>678P</v>
          </cell>
          <cell r="F197" t="str">
            <v>Suministro y colocación de ductos de PVC o similar</v>
          </cell>
          <cell r="G197" t="str">
            <v>ml</v>
          </cell>
          <cell r="H197">
            <v>24007</v>
          </cell>
        </row>
        <row r="198">
          <cell r="C198" t="str">
            <v>678P.1</v>
          </cell>
          <cell r="E198" t="str">
            <v>678P</v>
          </cell>
          <cell r="F198" t="str">
            <v>Suministro e instalación de drenes de PVC de 4" diam.</v>
          </cell>
          <cell r="G198" t="str">
            <v>Un</v>
          </cell>
          <cell r="H198">
            <v>32398</v>
          </cell>
        </row>
        <row r="199">
          <cell r="C199">
            <v>680.1</v>
          </cell>
          <cell r="D199">
            <v>680</v>
          </cell>
          <cell r="F199" t="str">
            <v>Escamas en concreto</v>
          </cell>
          <cell r="G199" t="str">
            <v>m2</v>
          </cell>
          <cell r="H199" t="str">
            <v>m2</v>
          </cell>
        </row>
        <row r="200">
          <cell r="C200">
            <v>680.2</v>
          </cell>
          <cell r="D200">
            <v>680</v>
          </cell>
          <cell r="F200" t="str">
            <v>Armadura galvanizada</v>
          </cell>
          <cell r="G200" t="str">
            <v>ml</v>
          </cell>
          <cell r="H200" t="str">
            <v>ml</v>
          </cell>
        </row>
        <row r="201">
          <cell r="C201">
            <v>680.3</v>
          </cell>
          <cell r="D201">
            <v>680</v>
          </cell>
          <cell r="F201" t="str">
            <v>Relleno granular para tierra armada</v>
          </cell>
          <cell r="G201" t="str">
            <v>m3</v>
          </cell>
          <cell r="H201" t="str">
            <v>m3</v>
          </cell>
        </row>
        <row r="202">
          <cell r="C202">
            <v>681.1</v>
          </cell>
          <cell r="D202">
            <v>681</v>
          </cell>
          <cell r="F202" t="str">
            <v>Gaviones</v>
          </cell>
          <cell r="G202" t="str">
            <v>m3</v>
          </cell>
          <cell r="H202">
            <v>83069</v>
          </cell>
        </row>
        <row r="203">
          <cell r="C203" t="str">
            <v>681.1</v>
          </cell>
          <cell r="D203">
            <v>681</v>
          </cell>
          <cell r="F203" t="str">
            <v>Gaviones incluye transporte especial.</v>
          </cell>
          <cell r="G203" t="str">
            <v>m3</v>
          </cell>
          <cell r="H203">
            <v>93816</v>
          </cell>
        </row>
        <row r="204">
          <cell r="C204">
            <v>682</v>
          </cell>
          <cell r="D204">
            <v>682</v>
          </cell>
          <cell r="F204" t="str">
            <v>Muro de contención de suelo reforzado con Geotextil</v>
          </cell>
          <cell r="G204" t="str">
            <v>m3</v>
          </cell>
          <cell r="H204" t="str">
            <v>m3</v>
          </cell>
          <cell r="J204" t="str">
            <v>No incluye Geotextil ni recubrimiento del muro</v>
          </cell>
        </row>
        <row r="205">
          <cell r="C205">
            <v>683</v>
          </cell>
          <cell r="E205" t="str">
            <v>683P</v>
          </cell>
          <cell r="F205" t="str">
            <v>Bolsacretos en concreto Clase F</v>
          </cell>
          <cell r="G205" t="str">
            <v>m3</v>
          </cell>
          <cell r="H205" t="str">
            <v>m3</v>
          </cell>
        </row>
        <row r="206">
          <cell r="C206">
            <v>683.1</v>
          </cell>
          <cell r="E206" t="str">
            <v>683P-1</v>
          </cell>
          <cell r="F206" t="str">
            <v>Bolsacretos en concreto Clase D</v>
          </cell>
          <cell r="G206" t="str">
            <v>Un</v>
          </cell>
        </row>
        <row r="207">
          <cell r="C207">
            <v>700.1</v>
          </cell>
          <cell r="E207" t="str">
            <v>700P.1</v>
          </cell>
          <cell r="F207" t="str">
            <v>Línea de demarcación acrilica</v>
          </cell>
          <cell r="G207" t="str">
            <v>ml</v>
          </cell>
          <cell r="H207">
            <v>720</v>
          </cell>
        </row>
        <row r="208">
          <cell r="C208">
            <v>700.1</v>
          </cell>
          <cell r="D208">
            <v>700</v>
          </cell>
          <cell r="E208" t="str">
            <v>700P.2</v>
          </cell>
          <cell r="F208" t="str">
            <v>Línea de demarcación termoplastica</v>
          </cell>
          <cell r="G208" t="str">
            <v>ml</v>
          </cell>
          <cell r="H208">
            <v>4060</v>
          </cell>
        </row>
        <row r="209">
          <cell r="C209">
            <v>700.2</v>
          </cell>
          <cell r="D209">
            <v>700</v>
          </cell>
          <cell r="E209" t="str">
            <v>700P.3</v>
          </cell>
          <cell r="F209" t="str">
            <v>Marca vial termoplastica</v>
          </cell>
          <cell r="G209" t="str">
            <v>m2</v>
          </cell>
          <cell r="H209">
            <v>40600</v>
          </cell>
        </row>
        <row r="210">
          <cell r="C210">
            <v>700.2</v>
          </cell>
          <cell r="E210" t="str">
            <v>700P.4</v>
          </cell>
          <cell r="F210" t="str">
            <v>Marca vial acrilica</v>
          </cell>
          <cell r="G210" t="str">
            <v>m2</v>
          </cell>
          <cell r="H210">
            <v>14800</v>
          </cell>
        </row>
        <row r="211">
          <cell r="C211">
            <v>700.3</v>
          </cell>
          <cell r="D211">
            <v>700</v>
          </cell>
          <cell r="E211" t="str">
            <v>700P</v>
          </cell>
          <cell r="F211" t="str">
            <v>Línea de demarcación sobre concreto rígido</v>
          </cell>
          <cell r="G211" t="str">
            <v>ml</v>
          </cell>
          <cell r="H211" t="str">
            <v>ml</v>
          </cell>
        </row>
        <row r="212">
          <cell r="C212">
            <v>701</v>
          </cell>
          <cell r="D212">
            <v>701</v>
          </cell>
          <cell r="F212" t="str">
            <v>Tacha reflectiva</v>
          </cell>
          <cell r="G212" t="str">
            <v>Un</v>
          </cell>
          <cell r="H212">
            <v>6982</v>
          </cell>
        </row>
        <row r="213">
          <cell r="C213">
            <v>710.1</v>
          </cell>
          <cell r="D213">
            <v>710</v>
          </cell>
          <cell r="F213" t="str">
            <v>Señal de tránsito grupo I</v>
          </cell>
          <cell r="G213" t="str">
            <v>Un</v>
          </cell>
          <cell r="H213">
            <v>167063</v>
          </cell>
        </row>
        <row r="214">
          <cell r="C214">
            <v>710.2</v>
          </cell>
          <cell r="D214">
            <v>710</v>
          </cell>
          <cell r="F214" t="str">
            <v>Señal de tránsito grupo II</v>
          </cell>
          <cell r="G214" t="str">
            <v>Un</v>
          </cell>
          <cell r="H214">
            <v>334126</v>
          </cell>
        </row>
        <row r="215">
          <cell r="C215">
            <v>710.3</v>
          </cell>
          <cell r="D215">
            <v>710</v>
          </cell>
          <cell r="F215" t="str">
            <v>Señal de tránsito grupo III</v>
          </cell>
          <cell r="G215" t="str">
            <v>Un</v>
          </cell>
          <cell r="H215" t="str">
            <v>Un</v>
          </cell>
        </row>
        <row r="216">
          <cell r="C216">
            <v>710.4</v>
          </cell>
          <cell r="D216">
            <v>710</v>
          </cell>
          <cell r="F216" t="str">
            <v>Señal de tránsito grupo IV</v>
          </cell>
          <cell r="G216" t="str">
            <v>Un</v>
          </cell>
          <cell r="H216" t="str">
            <v>Un</v>
          </cell>
        </row>
        <row r="217">
          <cell r="C217">
            <v>710.5</v>
          </cell>
          <cell r="D217">
            <v>710</v>
          </cell>
          <cell r="F217" t="str">
            <v>Señal de tránsito grupo V</v>
          </cell>
          <cell r="G217" t="str">
            <v>m2</v>
          </cell>
          <cell r="H217" t="str">
            <v>m2</v>
          </cell>
        </row>
        <row r="218">
          <cell r="C218">
            <v>710.6</v>
          </cell>
          <cell r="D218">
            <v>710</v>
          </cell>
          <cell r="E218" t="str">
            <v>710P</v>
          </cell>
          <cell r="F218" t="str">
            <v>Suministro e instalación de pasavías</v>
          </cell>
          <cell r="G218" t="str">
            <v>Un</v>
          </cell>
          <cell r="H218">
            <v>6000000</v>
          </cell>
        </row>
        <row r="219">
          <cell r="C219">
            <v>720</v>
          </cell>
          <cell r="D219">
            <v>720</v>
          </cell>
          <cell r="F219" t="str">
            <v>Poste de kilometraje</v>
          </cell>
          <cell r="G219" t="str">
            <v>Un</v>
          </cell>
          <cell r="H219">
            <v>161271</v>
          </cell>
        </row>
        <row r="220">
          <cell r="C220" t="str">
            <v>720P.1</v>
          </cell>
          <cell r="F220" t="str">
            <v>Mantenimiento postes de kilometraje</v>
          </cell>
          <cell r="G220" t="str">
            <v>Un</v>
          </cell>
          <cell r="H220">
            <v>26987</v>
          </cell>
        </row>
        <row r="221">
          <cell r="C221">
            <v>730.1</v>
          </cell>
          <cell r="D221">
            <v>730</v>
          </cell>
          <cell r="F221" t="str">
            <v>Defensa metálica</v>
          </cell>
          <cell r="G221" t="str">
            <v>ml</v>
          </cell>
          <cell r="H221">
            <v>67574</v>
          </cell>
        </row>
        <row r="222">
          <cell r="C222">
            <v>730.2</v>
          </cell>
          <cell r="D222">
            <v>730</v>
          </cell>
          <cell r="F222" t="str">
            <v>Sección final</v>
          </cell>
          <cell r="G222" t="str">
            <v>Un</v>
          </cell>
          <cell r="H222">
            <v>35959</v>
          </cell>
        </row>
        <row r="223">
          <cell r="C223">
            <v>730.3</v>
          </cell>
          <cell r="D223">
            <v>730</v>
          </cell>
          <cell r="F223" t="str">
            <v>Sección de tope</v>
          </cell>
          <cell r="G223" t="str">
            <v>Un</v>
          </cell>
          <cell r="H223" t="str">
            <v>Un</v>
          </cell>
        </row>
        <row r="224">
          <cell r="C224">
            <v>731</v>
          </cell>
          <cell r="E224" t="str">
            <v>731P</v>
          </cell>
          <cell r="F224" t="str">
            <v>Amortiguadores para defensa metálica</v>
          </cell>
          <cell r="G224" t="str">
            <v>Un</v>
          </cell>
          <cell r="H224">
            <v>3768</v>
          </cell>
        </row>
        <row r="225">
          <cell r="C225">
            <v>740</v>
          </cell>
          <cell r="D225">
            <v>740</v>
          </cell>
          <cell r="F225" t="str">
            <v>Captafaros</v>
          </cell>
          <cell r="G225" t="str">
            <v>Un</v>
          </cell>
          <cell r="H225">
            <v>6728</v>
          </cell>
        </row>
        <row r="226">
          <cell r="C226">
            <v>741</v>
          </cell>
          <cell r="E226" t="str">
            <v>741P</v>
          </cell>
          <cell r="F226" t="str">
            <v>Pintura de muros</v>
          </cell>
          <cell r="G226" t="str">
            <v>m2</v>
          </cell>
          <cell r="H226">
            <v>11341</v>
          </cell>
        </row>
        <row r="227">
          <cell r="C227">
            <v>741.1</v>
          </cell>
          <cell r="E227" t="str">
            <v>741P-1</v>
          </cell>
          <cell r="F227" t="str">
            <v>Pintura de muros</v>
          </cell>
          <cell r="G227" t="str">
            <v>m2</v>
          </cell>
          <cell r="H227" t="str">
            <v>m2</v>
          </cell>
        </row>
        <row r="228">
          <cell r="C228">
            <v>750</v>
          </cell>
          <cell r="E228" t="str">
            <v>750P</v>
          </cell>
          <cell r="F228" t="str">
            <v>Bandas sonoras reductoras de velocidad</v>
          </cell>
          <cell r="G228" t="str">
            <v>m2</v>
          </cell>
          <cell r="H228">
            <v>69121</v>
          </cell>
        </row>
        <row r="229">
          <cell r="C229">
            <v>800.1</v>
          </cell>
          <cell r="D229">
            <v>800</v>
          </cell>
          <cell r="F229" t="str">
            <v>Cerca de alambre de púas con postes de madera</v>
          </cell>
          <cell r="G229" t="str">
            <v>ml</v>
          </cell>
          <cell r="H229" t="str">
            <v>ml</v>
          </cell>
        </row>
        <row r="230">
          <cell r="C230">
            <v>800.2</v>
          </cell>
          <cell r="D230">
            <v>800</v>
          </cell>
          <cell r="F230" t="str">
            <v>Cerca de alambre de púas con postes de concreto</v>
          </cell>
          <cell r="G230" t="str">
            <v>ml</v>
          </cell>
          <cell r="H230" t="str">
            <v>ml</v>
          </cell>
        </row>
        <row r="231">
          <cell r="C231">
            <v>800.3</v>
          </cell>
          <cell r="D231">
            <v>800</v>
          </cell>
          <cell r="F231" t="str">
            <v>Cerca de malla con postes de madera</v>
          </cell>
          <cell r="G231" t="str">
            <v>ml</v>
          </cell>
          <cell r="H231" t="str">
            <v>ml</v>
          </cell>
        </row>
        <row r="232">
          <cell r="C232">
            <v>800.4</v>
          </cell>
          <cell r="D232">
            <v>800</v>
          </cell>
          <cell r="F232" t="str">
            <v>Cerca de malla con postes de concreto</v>
          </cell>
          <cell r="G232" t="str">
            <v>ml</v>
          </cell>
          <cell r="H232" t="str">
            <v>ml</v>
          </cell>
        </row>
        <row r="233">
          <cell r="C233">
            <v>810.1</v>
          </cell>
          <cell r="D233">
            <v>810</v>
          </cell>
          <cell r="F233" t="str">
            <v>Empradización de taludes con bloques de césped</v>
          </cell>
          <cell r="G233" t="str">
            <v>m2</v>
          </cell>
          <cell r="H233">
            <v>3561</v>
          </cell>
          <cell r="J233" t="str">
            <v>No incluye transporte de materiales</v>
          </cell>
        </row>
        <row r="234">
          <cell r="C234">
            <v>810.2</v>
          </cell>
          <cell r="D234">
            <v>810</v>
          </cell>
          <cell r="F234" t="str">
            <v>Empradización de taludes con tierra orgánica y semillas</v>
          </cell>
          <cell r="G234" t="str">
            <v>m2</v>
          </cell>
          <cell r="H234">
            <v>6600</v>
          </cell>
          <cell r="J234" t="str">
            <v>No incluye transporte de materiales</v>
          </cell>
        </row>
        <row r="235">
          <cell r="C235">
            <v>810.3</v>
          </cell>
          <cell r="D235">
            <v>810</v>
          </cell>
          <cell r="E235" t="str">
            <v>810P</v>
          </cell>
          <cell r="F235" t="str">
            <v>Empradización de taludes con bloques de césped</v>
          </cell>
          <cell r="G235" t="str">
            <v>m2</v>
          </cell>
          <cell r="H235" t="str">
            <v>m2</v>
          </cell>
          <cell r="J235" t="str">
            <v>Incluye transporte de materiales</v>
          </cell>
        </row>
        <row r="236">
          <cell r="C236">
            <v>810.4</v>
          </cell>
          <cell r="D236">
            <v>810</v>
          </cell>
          <cell r="E236" t="str">
            <v>810P</v>
          </cell>
          <cell r="F236" t="str">
            <v>Empradización de taludes con tierra orgánica y semillas</v>
          </cell>
          <cell r="G236" t="str">
            <v>m2</v>
          </cell>
          <cell r="H236" t="str">
            <v>m2</v>
          </cell>
          <cell r="J236" t="str">
            <v>Incluye transporte de materiales</v>
          </cell>
        </row>
        <row r="237">
          <cell r="C237">
            <v>810.5</v>
          </cell>
          <cell r="D237">
            <v>810</v>
          </cell>
          <cell r="F237" t="str">
            <v>Revegetalizacion de taludes con vetivert</v>
          </cell>
          <cell r="G237" t="str">
            <v>m2</v>
          </cell>
          <cell r="H237">
            <v>5600</v>
          </cell>
        </row>
        <row r="238">
          <cell r="C238">
            <v>820.1</v>
          </cell>
          <cell r="D238">
            <v>820</v>
          </cell>
          <cell r="F238" t="str">
            <v>Geotextil</v>
          </cell>
          <cell r="G238" t="str">
            <v>m2</v>
          </cell>
          <cell r="H238">
            <v>3590</v>
          </cell>
        </row>
        <row r="239">
          <cell r="C239">
            <v>820.2</v>
          </cell>
          <cell r="D239">
            <v>820</v>
          </cell>
          <cell r="F239" t="str">
            <v>Geotextil para refuerzo del pavimento</v>
          </cell>
          <cell r="G239" t="str">
            <v>m2</v>
          </cell>
          <cell r="H239" t="str">
            <v>m2</v>
          </cell>
        </row>
        <row r="240">
          <cell r="C240">
            <v>830</v>
          </cell>
          <cell r="E240" t="str">
            <v>830P</v>
          </cell>
          <cell r="F240" t="str">
            <v>Limpieza de bermas, incluye cargue y retiro del material sobrante</v>
          </cell>
          <cell r="G240" t="str">
            <v>m2</v>
          </cell>
          <cell r="H240" t="str">
            <v>m2</v>
          </cell>
        </row>
        <row r="241">
          <cell r="C241" t="str">
            <v>830P.1</v>
          </cell>
          <cell r="D241">
            <v>830</v>
          </cell>
          <cell r="E241" t="str">
            <v>830P.1</v>
          </cell>
          <cell r="F241" t="str">
            <v>Limpieza de cajon, incluye cargue y retiro del material.</v>
          </cell>
          <cell r="G241" t="str">
            <v>m3</v>
          </cell>
          <cell r="H241">
            <v>12831</v>
          </cell>
        </row>
        <row r="242">
          <cell r="C242">
            <v>900.1</v>
          </cell>
          <cell r="D242">
            <v>900</v>
          </cell>
          <cell r="F242" t="str">
            <v>Transporte de materiales provenientes de excavación de la explanación, canales y préstamos, entre 100m y 1000m</v>
          </cell>
          <cell r="G242" t="str">
            <v>m³-E</v>
          </cell>
          <cell r="H242" t="str">
            <v>m³-E</v>
          </cell>
        </row>
        <row r="243">
          <cell r="C243">
            <v>900.2</v>
          </cell>
          <cell r="D243">
            <v>900</v>
          </cell>
          <cell r="F243" t="str">
            <v>Transporte de materiales provenientes de la excavación de la explanación, canales y préstamos para distancias mayores de 1000m</v>
          </cell>
          <cell r="G243" t="str">
            <v>m³-km</v>
          </cell>
          <cell r="H243" t="str">
            <v>m³-km</v>
          </cell>
        </row>
        <row r="244">
          <cell r="C244">
            <v>900.3</v>
          </cell>
          <cell r="D244">
            <v>900</v>
          </cell>
          <cell r="F244" t="str">
            <v>Transporte de materiales provenientes de derrumbes</v>
          </cell>
          <cell r="G244" t="str">
            <v>m³-km</v>
          </cell>
          <cell r="H244" t="str">
            <v>m³-km</v>
          </cell>
        </row>
        <row r="245">
          <cell r="C245">
            <v>1000.1</v>
          </cell>
          <cell r="E245" t="str">
            <v>1000P</v>
          </cell>
          <cell r="F245" t="str">
            <v>Retroexcavadora sobre orugas de capacidad mínima 1.5 yardas cúbicas</v>
          </cell>
          <cell r="G245" t="str">
            <v>H-maq</v>
          </cell>
          <cell r="H245" t="str">
            <v>H-maq</v>
          </cell>
        </row>
        <row r="246">
          <cell r="C246">
            <v>1000.2</v>
          </cell>
          <cell r="E246" t="str">
            <v>1000P.2</v>
          </cell>
          <cell r="F246" t="str">
            <v>Desmonte programado de rocas y material de derrumbe</v>
          </cell>
          <cell r="G246" t="str">
            <v>m3</v>
          </cell>
          <cell r="H246">
            <v>17488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1"/>
      <sheetName val="Cantidades_de_Obra1"/>
      <sheetName val="SUB_APU3"/>
      <sheetName val="Cantidades_de_Obra3"/>
      <sheetName val="SUB_APU2"/>
      <sheetName val="Cantidades_de_Obra2"/>
      <sheetName val="Itemes Renovación"/>
      <sheetName val="SUB_APU4"/>
      <sheetName val="Cantidades_de_Obra4"/>
      <sheetName val="SUB_APU5"/>
      <sheetName val="Cantidades_de_Obra5"/>
      <sheetName val="Itemes_Renovación"/>
      <sheetName val="Jul-Ago"/>
      <sheetName val="May-Jun"/>
      <sheetName val="Sep-Oct"/>
      <sheetName val="LISTA CÓDIGOS"/>
      <sheetName val="BASE APU"/>
      <sheetName val="MANO DE OBRA"/>
      <sheetName val="EQUIPOS"/>
      <sheetName val="MATERIALES"/>
      <sheetName val="ESTRUCTURAS"/>
      <sheetName val="TRANSPORTE"/>
      <sheetName val="Sábana"/>
      <sheetName val="PLAN DE INVERSION ANTICIPO"/>
      <sheetName val="inv mensual"/>
      <sheetName val="borrador flujo inv"/>
      <sheetName val="social-ambiental"/>
      <sheetName val="AU"/>
      <sheetName val="ELECTRICO"/>
      <sheetName val="Vuelta"/>
      <sheetName val="SUB_APU6"/>
      <sheetName val="Cantidades_de_Obra6"/>
      <sheetName val="Itemes_Renovación1"/>
      <sheetName val="Coloc. e Interc. Tapones"/>
      <sheetName val="Cambio de Valv."/>
      <sheetName val="Interc de Hidr."/>
      <sheetName val="Interc.tapones"/>
      <sheetName val="Interc.válv."/>
      <sheetName val="Paral. 1"/>
      <sheetName val="Paral. 2"/>
      <sheetName val="Paral. 3"/>
      <sheetName val="Paral.4"/>
      <sheetName val="Varios."/>
      <sheetName val="CALC PROD MENSUAL"/>
      <sheetName val="Base de Diseño"/>
      <sheetName val="Design"/>
    </sheetNames>
    <sheetDataSet>
      <sheetData sheetId="0" refreshError="1"/>
      <sheetData sheetId="1" refreshError="1"/>
      <sheetData sheetId="2" refreshError="1">
        <row r="1">
          <cell r="A1" t="str">
            <v>CODIGO</v>
          </cell>
          <cell r="B1" t="str">
            <v>RECURSO</v>
          </cell>
          <cell r="C1" t="str">
            <v>UN</v>
          </cell>
          <cell r="D1" t="str">
            <v>V/UNITARIO</v>
          </cell>
          <cell r="E1" t="str">
            <v>FECHA</v>
          </cell>
        </row>
        <row r="2">
          <cell r="B2" t="str">
            <v>MATERIALES</v>
          </cell>
          <cell r="C2">
            <v>0</v>
          </cell>
          <cell r="D2">
            <v>0</v>
          </cell>
          <cell r="E2">
            <v>0</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cell r="E55">
            <v>16900</v>
          </cell>
        </row>
        <row r="56">
          <cell r="B56" t="str">
            <v>EQUIPO</v>
          </cell>
          <cell r="C56" t="str">
            <v>m2</v>
          </cell>
          <cell r="D56" t="str">
            <v>Baldosín gris tipo industrial</v>
          </cell>
          <cell r="E56">
            <v>38900</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cell r="E68">
            <v>2737</v>
          </cell>
        </row>
        <row r="69">
          <cell r="B69" t="str">
            <v>TRANSPORTE</v>
          </cell>
          <cell r="C69" t="str">
            <v>un</v>
          </cell>
          <cell r="D69" t="str">
            <v>Bloques de concreto de 0,3m x 0,3m x 0,2m</v>
          </cell>
          <cell r="E69">
            <v>3689</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cell r="E72">
            <v>79470.000000000015</v>
          </cell>
        </row>
        <row r="73">
          <cell r="B73" t="str">
            <v>MANO DE OBRA</v>
          </cell>
          <cell r="C73" t="str">
            <v>un</v>
          </cell>
          <cell r="D73" t="str">
            <v>Breaker 1x15A</v>
          </cell>
          <cell r="E73">
            <v>9536.4000000000015</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row r="81">
          <cell r="B81" t="str">
            <v>ICAC1</v>
          </cell>
          <cell r="C81" t="str">
            <v>ml</v>
          </cell>
          <cell r="D81" t="str">
            <v>Cable 1/0 ACSR</v>
          </cell>
          <cell r="E81">
            <v>15000</v>
          </cell>
        </row>
        <row r="82">
          <cell r="B82" t="str">
            <v>ICACD1</v>
          </cell>
          <cell r="C82" t="str">
            <v>ml</v>
          </cell>
          <cell r="D82" t="str">
            <v xml:space="preserve">cable 1/0 desnudo </v>
          </cell>
          <cell r="E82">
            <v>40460</v>
          </cell>
        </row>
        <row r="83">
          <cell r="B83" t="str">
            <v>ICACD8</v>
          </cell>
          <cell r="C83" t="str">
            <v>ml</v>
          </cell>
          <cell r="D83" t="str">
            <v xml:space="preserve">cable 8 desnudo </v>
          </cell>
          <cell r="E83">
            <v>3500</v>
          </cell>
        </row>
        <row r="84">
          <cell r="B84" t="str">
            <v>ICAC2</v>
          </cell>
          <cell r="C84" t="str">
            <v>ml</v>
          </cell>
          <cell r="D84" t="str">
            <v>Cable 2/0 ACSR</v>
          </cell>
          <cell r="E84">
            <v>18000</v>
          </cell>
        </row>
        <row r="85">
          <cell r="B85" t="str">
            <v>IC2ACSR</v>
          </cell>
          <cell r="C85" t="str">
            <v>ml</v>
          </cell>
          <cell r="D85" t="str">
            <v>Cable 2 ACSR</v>
          </cell>
          <cell r="E85">
            <v>2300</v>
          </cell>
        </row>
        <row r="86">
          <cell r="B86" t="str">
            <v>ICA2</v>
          </cell>
          <cell r="C86" t="str">
            <v>ml</v>
          </cell>
          <cell r="D86" t="str">
            <v>Cable N° 2</v>
          </cell>
          <cell r="E86">
            <v>27060.6</v>
          </cell>
        </row>
        <row r="87">
          <cell r="B87" t="str">
            <v>ICA4</v>
          </cell>
          <cell r="C87" t="str">
            <v>ml</v>
          </cell>
          <cell r="D87" t="str">
            <v>Cable Nº 4</v>
          </cell>
          <cell r="E87">
            <v>17428.739999999998</v>
          </cell>
        </row>
        <row r="88">
          <cell r="B88" t="str">
            <v>ICA6</v>
          </cell>
          <cell r="C88" t="str">
            <v>ml</v>
          </cell>
          <cell r="D88" t="str">
            <v>Cable N° 6</v>
          </cell>
          <cell r="E88">
            <v>5900</v>
          </cell>
        </row>
        <row r="89">
          <cell r="B89" t="str">
            <v>IC8</v>
          </cell>
          <cell r="C89" t="str">
            <v>ml</v>
          </cell>
          <cell r="D89" t="str">
            <v>Cable N° 8</v>
          </cell>
          <cell r="E89">
            <v>3800</v>
          </cell>
        </row>
        <row r="90">
          <cell r="B90" t="str">
            <v>ICA10</v>
          </cell>
          <cell r="C90" t="str">
            <v>ml</v>
          </cell>
          <cell r="D90" t="str">
            <v>Cable N° 10</v>
          </cell>
          <cell r="E90">
            <v>10500</v>
          </cell>
        </row>
        <row r="91">
          <cell r="B91" t="str">
            <v>ICA3N12</v>
          </cell>
          <cell r="C91" t="str">
            <v>ml</v>
          </cell>
          <cell r="D91" t="str">
            <v xml:space="preserve">Cable 3 N°12 </v>
          </cell>
          <cell r="E91">
            <v>8500</v>
          </cell>
        </row>
        <row r="92">
          <cell r="B92" t="str">
            <v>ICA12</v>
          </cell>
          <cell r="C92" t="str">
            <v>ml</v>
          </cell>
          <cell r="D92" t="str">
            <v xml:space="preserve">Cable N°12 </v>
          </cell>
          <cell r="E92">
            <v>3000</v>
          </cell>
        </row>
        <row r="93">
          <cell r="B93" t="str">
            <v>ICA12.1</v>
          </cell>
          <cell r="C93" t="str">
            <v>ml</v>
          </cell>
          <cell r="D93" t="str">
            <v xml:space="preserve">Cable N°12 </v>
          </cell>
          <cell r="E93">
            <v>4805</v>
          </cell>
        </row>
        <row r="94">
          <cell r="B94" t="str">
            <v>ICA8</v>
          </cell>
          <cell r="C94" t="str">
            <v>ml</v>
          </cell>
          <cell r="D94" t="str">
            <v>Cable antifraude N°8</v>
          </cell>
          <cell r="E94">
            <v>12000</v>
          </cell>
        </row>
        <row r="95">
          <cell r="B95" t="str">
            <v>ICC</v>
          </cell>
          <cell r="C95" t="str">
            <v>ml</v>
          </cell>
          <cell r="D95" t="str">
            <v xml:space="preserve">Cable cubierto 1/0 AWG </v>
          </cell>
          <cell r="E95">
            <v>33500</v>
          </cell>
        </row>
        <row r="96">
          <cell r="B96" t="str">
            <v>ICCTL</v>
          </cell>
          <cell r="C96" t="str">
            <v>ml</v>
          </cell>
          <cell r="D96" t="str">
            <v>Cable control</v>
          </cell>
          <cell r="E96">
            <v>20000</v>
          </cell>
        </row>
        <row r="97">
          <cell r="B97" t="str">
            <v>ICCTL4x10</v>
          </cell>
          <cell r="C97" t="str">
            <v>ml</v>
          </cell>
          <cell r="D97" t="str">
            <v>Cable control 4x10</v>
          </cell>
          <cell r="E97">
            <v>20760</v>
          </cell>
        </row>
        <row r="98">
          <cell r="B98" t="str">
            <v>ICCTL4x12</v>
          </cell>
          <cell r="C98" t="str">
            <v>ml</v>
          </cell>
          <cell r="D98" t="str">
            <v>Cable control 4x12</v>
          </cell>
          <cell r="E98">
            <v>14857</v>
          </cell>
        </row>
        <row r="99">
          <cell r="B99" t="str">
            <v>ICA1/0</v>
          </cell>
          <cell r="C99" t="str">
            <v>ml</v>
          </cell>
          <cell r="D99" t="str">
            <v>Cable aluminio 1/0 desnudo</v>
          </cell>
          <cell r="E99">
            <v>1900</v>
          </cell>
        </row>
        <row r="100">
          <cell r="B100" t="str">
            <v>ICCD1</v>
          </cell>
          <cell r="C100" t="str">
            <v>ml</v>
          </cell>
          <cell r="D100" t="str">
            <v>Cable de cobre desnudo N°1</v>
          </cell>
          <cell r="E100">
            <v>17000</v>
          </cell>
        </row>
        <row r="101">
          <cell r="B101" t="str">
            <v>ICCD2</v>
          </cell>
          <cell r="C101" t="str">
            <v>ml</v>
          </cell>
          <cell r="D101" t="str">
            <v>Cable de cobre desnudo N°2</v>
          </cell>
          <cell r="E101">
            <v>21550</v>
          </cell>
        </row>
        <row r="102">
          <cell r="B102" t="str">
            <v>ICCD4</v>
          </cell>
          <cell r="C102" t="str">
            <v>ml</v>
          </cell>
          <cell r="D102" t="str">
            <v>Cable de cobre desnudo N°4</v>
          </cell>
          <cell r="E102">
            <v>72000</v>
          </cell>
        </row>
        <row r="103">
          <cell r="B103" t="str">
            <v>ICCD1/0</v>
          </cell>
          <cell r="C103" t="str">
            <v>ml</v>
          </cell>
          <cell r="D103" t="str">
            <v>Cable de cobre desnudo 1/0 AWG</v>
          </cell>
          <cell r="E103">
            <v>20746</v>
          </cell>
        </row>
        <row r="104">
          <cell r="B104" t="str">
            <v>ICAB1N12</v>
          </cell>
          <cell r="C104" t="str">
            <v>ml</v>
          </cell>
          <cell r="D104" t="str">
            <v>Cable de cobre 1N°12 + 1N°12 +1N°12</v>
          </cell>
          <cell r="E104">
            <v>9520</v>
          </cell>
        </row>
        <row r="105">
          <cell r="B105" t="str">
            <v>ICAB2N6</v>
          </cell>
          <cell r="C105" t="str">
            <v>ml</v>
          </cell>
          <cell r="D105" t="str">
            <v>Cable de cobre 2N°6 + 1N°6 cu XLPW 600v</v>
          </cell>
          <cell r="E105">
            <v>14590</v>
          </cell>
        </row>
        <row r="106">
          <cell r="B106" t="str">
            <v>ICAB2N8</v>
          </cell>
          <cell r="C106" t="str">
            <v>ml</v>
          </cell>
          <cell r="D106" t="str">
            <v>Cable de cobre 2N°8 + 1N°8 +1N°10 THHN</v>
          </cell>
          <cell r="E106">
            <v>11305</v>
          </cell>
        </row>
        <row r="107">
          <cell r="B107" t="str">
            <v>ICAB3N8</v>
          </cell>
          <cell r="C107" t="str">
            <v>ml</v>
          </cell>
          <cell r="D107" t="str">
            <v>Cable de cobre 3N°8 tipo TC-S AWG</v>
          </cell>
          <cell r="E107">
            <v>11900</v>
          </cell>
        </row>
        <row r="108">
          <cell r="B108" t="str">
            <v>ICAB3N10</v>
          </cell>
          <cell r="C108" t="str">
            <v>ml</v>
          </cell>
          <cell r="D108" t="str">
            <v>Cable de cobre N°10 tipo TC-S AWG</v>
          </cell>
          <cell r="E108">
            <v>2975</v>
          </cell>
        </row>
        <row r="109">
          <cell r="B109" t="str">
            <v>ICAB3N10</v>
          </cell>
          <cell r="C109" t="str">
            <v>ml</v>
          </cell>
          <cell r="D109" t="str">
            <v>Cable de cobre 3N°10 tipo TC-S AWG</v>
          </cell>
          <cell r="E109">
            <v>10710</v>
          </cell>
        </row>
        <row r="110">
          <cell r="B110" t="str">
            <v>ICAB3N12</v>
          </cell>
          <cell r="C110" t="str">
            <v>ml</v>
          </cell>
          <cell r="D110" t="str">
            <v>Cable de cobre 3N°12 tipo TC-S AWG</v>
          </cell>
          <cell r="E110">
            <v>10710</v>
          </cell>
        </row>
        <row r="111">
          <cell r="B111" t="str">
            <v>ICABE</v>
          </cell>
          <cell r="C111" t="str">
            <v>ml</v>
          </cell>
          <cell r="D111" t="str">
            <v xml:space="preserve">Cable encauchetado </v>
          </cell>
          <cell r="E111">
            <v>25000</v>
          </cell>
        </row>
        <row r="112">
          <cell r="B112" t="str">
            <v>ICABE3x10</v>
          </cell>
          <cell r="C112" t="str">
            <v>ml</v>
          </cell>
          <cell r="D112" t="str">
            <v>Cable encauchetado 3x10</v>
          </cell>
          <cell r="E112">
            <v>8490</v>
          </cell>
        </row>
        <row r="113">
          <cell r="B113" t="str">
            <v>ICABE3x12</v>
          </cell>
          <cell r="C113" t="str">
            <v>ml</v>
          </cell>
          <cell r="D113" t="str">
            <v>Cable encauchetado 3x12</v>
          </cell>
          <cell r="E113">
            <v>6300</v>
          </cell>
        </row>
        <row r="114">
          <cell r="B114" t="str">
            <v>ICABE3x14</v>
          </cell>
          <cell r="C114" t="str">
            <v>ml</v>
          </cell>
          <cell r="D114" t="str">
            <v>Cable encauchetado 3x14 AWG</v>
          </cell>
          <cell r="E114">
            <v>3900</v>
          </cell>
        </row>
        <row r="115">
          <cell r="B115" t="str">
            <v>ICABE4x8</v>
          </cell>
          <cell r="C115" t="str">
            <v>ml</v>
          </cell>
          <cell r="D115" t="str">
            <v>Cable encauchetado 4x8 AWG</v>
          </cell>
          <cell r="E115">
            <v>17301</v>
          </cell>
        </row>
        <row r="116">
          <cell r="B116" t="str">
            <v>ICABE4x6</v>
          </cell>
          <cell r="C116" t="str">
            <v>ml</v>
          </cell>
          <cell r="D116" t="str">
            <v>Cable encauchetado 4x6 AWG</v>
          </cell>
          <cell r="E116">
            <v>26869</v>
          </cell>
        </row>
        <row r="117">
          <cell r="B117" t="str">
            <v>ICAA1/2</v>
          </cell>
          <cell r="C117" t="str">
            <v>ml</v>
          </cell>
          <cell r="D117" t="str">
            <v>Cable galvanizado alma de acero, Ø1/2"</v>
          </cell>
          <cell r="E117">
            <v>4891.1241960000007</v>
          </cell>
        </row>
        <row r="118">
          <cell r="B118" t="str">
            <v>ICAA1/4</v>
          </cell>
          <cell r="C118" t="str">
            <v>ml</v>
          </cell>
          <cell r="D118" t="str">
            <v>Cable galvanizado alma de acero, Ø1/4"</v>
          </cell>
          <cell r="E118">
            <v>6546.19</v>
          </cell>
        </row>
        <row r="119">
          <cell r="B119" t="str">
            <v>ICAA3/8</v>
          </cell>
          <cell r="C119" t="str">
            <v>ml</v>
          </cell>
          <cell r="D119" t="str">
            <v>Cable galvanizado alma de acero, Ø3/8"</v>
          </cell>
          <cell r="E119">
            <v>15131.088000000002</v>
          </cell>
        </row>
        <row r="120">
          <cell r="B120" t="str">
            <v>ICAB8</v>
          </cell>
          <cell r="C120" t="str">
            <v>ml</v>
          </cell>
          <cell r="D120" t="str">
            <v>Cable No8 AWG-CU-THHN/THWN-90ºC</v>
          </cell>
          <cell r="E120">
            <v>4200</v>
          </cell>
        </row>
        <row r="121">
          <cell r="B121" t="str">
            <v>ICAB10</v>
          </cell>
          <cell r="C121" t="str">
            <v>ml</v>
          </cell>
          <cell r="D121" t="str">
            <v>Cable No10 AWG-CU-THHN/THWN-90ºC</v>
          </cell>
          <cell r="E121">
            <v>3800</v>
          </cell>
        </row>
        <row r="122">
          <cell r="B122" t="str">
            <v>ICAB</v>
          </cell>
          <cell r="C122" t="str">
            <v>ml</v>
          </cell>
          <cell r="D122" t="str">
            <v>Cable No12 AWG-CU-THHN/THWN-90ºC</v>
          </cell>
          <cell r="E122">
            <v>2400</v>
          </cell>
        </row>
        <row r="123">
          <cell r="B123" t="str">
            <v>ICABSG</v>
          </cell>
          <cell r="C123" t="str">
            <v>ml</v>
          </cell>
          <cell r="D123" t="str">
            <v>Cable SGX 1/4"</v>
          </cell>
          <cell r="E123">
            <v>3500</v>
          </cell>
        </row>
        <row r="124">
          <cell r="B124" t="str">
            <v>ICABSGX</v>
          </cell>
          <cell r="C124" t="str">
            <v>ml</v>
          </cell>
          <cell r="D124" t="str">
            <v xml:space="preserve">Cable super GX </v>
          </cell>
          <cell r="E124">
            <v>2900</v>
          </cell>
        </row>
        <row r="125">
          <cell r="B125" t="str">
            <v>ICABT</v>
          </cell>
          <cell r="C125" t="str">
            <v>ml</v>
          </cell>
          <cell r="D125" t="str">
            <v xml:space="preserve">cable trenza </v>
          </cell>
          <cell r="E125">
            <v>6500</v>
          </cell>
        </row>
        <row r="126">
          <cell r="B126" t="str">
            <v>ICAD</v>
          </cell>
          <cell r="C126" t="str">
            <v>ml</v>
          </cell>
          <cell r="D126" t="str">
            <v>Cadena</v>
          </cell>
          <cell r="E126">
            <v>25218.480000000003</v>
          </cell>
        </row>
        <row r="127">
          <cell r="B127" t="str">
            <v>ICMPSE</v>
          </cell>
          <cell r="C127" t="str">
            <v>un</v>
          </cell>
          <cell r="D127" t="str">
            <v>Caja para mantenimiento preventivo al sistema eléctrico</v>
          </cell>
          <cell r="E127">
            <v>30000</v>
          </cell>
        </row>
        <row r="128">
          <cell r="B128" t="str">
            <v>ICSE</v>
          </cell>
          <cell r="C128" t="str">
            <v>un</v>
          </cell>
          <cell r="D128" t="str">
            <v>Caja 12cmX12cmX5cm (Salida eléctrica)</v>
          </cell>
          <cell r="E128">
            <v>12715.2</v>
          </cell>
        </row>
        <row r="129">
          <cell r="B129" t="str">
            <v>ICMCA</v>
          </cell>
          <cell r="C129" t="str">
            <v>un</v>
          </cell>
          <cell r="D129" t="str">
            <v>Caja metálica mas troquel</v>
          </cell>
          <cell r="E129">
            <v>10000</v>
          </cell>
        </row>
        <row r="130">
          <cell r="B130" t="str">
            <v>ICCD</v>
          </cell>
          <cell r="C130" t="str">
            <v>un</v>
          </cell>
          <cell r="D130" t="str">
            <v>Caja contador doble</v>
          </cell>
          <cell r="E130">
            <v>145000</v>
          </cell>
        </row>
        <row r="131">
          <cell r="B131" t="str">
            <v>ICAJFV1</v>
          </cell>
          <cell r="C131" t="str">
            <v>un</v>
          </cell>
          <cell r="D131" t="str">
            <v>Caja de PRFV tipo Matt 450 g/m2, Woven Roving 800 gm2, para válvula (sin fondo), Ø10", h= variable (Incluye tapa)</v>
          </cell>
          <cell r="E131">
            <v>158746</v>
          </cell>
        </row>
        <row r="132">
          <cell r="B132" t="str">
            <v>ICAJFV2</v>
          </cell>
          <cell r="C132" t="str">
            <v>un</v>
          </cell>
          <cell r="D132" t="str">
            <v>Caja de PRFV tipo Matt 450 g/m2, Woven Roving 800 gm2, para aforo, Ø12", h= 0,5m (Incluye tapa)</v>
          </cell>
          <cell r="E132">
            <v>158637.18640000001</v>
          </cell>
        </row>
        <row r="133">
          <cell r="B133" t="str">
            <v>ICAMA</v>
          </cell>
          <cell r="C133" t="str">
            <v>un</v>
          </cell>
          <cell r="D133" t="str">
            <v>Caja para micromedidor de acueducto</v>
          </cell>
          <cell r="E133">
            <v>103517</v>
          </cell>
        </row>
        <row r="134">
          <cell r="B134" t="str">
            <v>ICCDPS</v>
          </cell>
          <cell r="C134" t="str">
            <v>un</v>
          </cell>
          <cell r="D134" t="str">
            <v>Caja mas cableado para DPS</v>
          </cell>
          <cell r="E134">
            <v>90000</v>
          </cell>
        </row>
        <row r="135">
          <cell r="B135" t="str">
            <v>ICP</v>
          </cell>
          <cell r="C135" t="str">
            <v>un</v>
          </cell>
          <cell r="D135" t="str">
            <v>Caja primaria 100A-15kV-12kA</v>
          </cell>
          <cell r="E135">
            <v>165000</v>
          </cell>
        </row>
        <row r="136">
          <cell r="B136" t="str">
            <v>ICPS</v>
          </cell>
          <cell r="C136" t="str">
            <v>un</v>
          </cell>
          <cell r="D136" t="str">
            <v>Caja primaria mas soporte</v>
          </cell>
          <cell r="E136">
            <v>175000</v>
          </cell>
        </row>
        <row r="137">
          <cell r="B137" t="str">
            <v>ICI</v>
          </cell>
          <cell r="C137" t="str">
            <v>un</v>
          </cell>
          <cell r="D137" t="str">
            <v>Caja inspeccion (material civil)</v>
          </cell>
          <cell r="E137">
            <v>185000</v>
          </cell>
        </row>
        <row r="138">
          <cell r="B138" t="str">
            <v>ICAE6</v>
          </cell>
          <cell r="C138" t="str">
            <v>un</v>
          </cell>
          <cell r="D138" t="str">
            <v>Camisa de enfriamiento en PVC de 6" y base en acero Inoxidable</v>
          </cell>
          <cell r="E138">
            <v>1785000</v>
          </cell>
        </row>
        <row r="139">
          <cell r="B139" t="str">
            <v>ICAMI</v>
          </cell>
          <cell r="C139" t="str">
            <v>un</v>
          </cell>
          <cell r="D139" t="str">
            <v>Camisa</v>
          </cell>
          <cell r="E139">
            <v>78000</v>
          </cell>
        </row>
        <row r="140">
          <cell r="B140" t="str">
            <v>ICANI</v>
          </cell>
          <cell r="C140" t="str">
            <v>un</v>
          </cell>
          <cell r="D140" t="str">
            <v>Candado para intemperie</v>
          </cell>
          <cell r="E140">
            <v>46000</v>
          </cell>
        </row>
        <row r="141">
          <cell r="B141" t="str">
            <v>ICAN</v>
          </cell>
          <cell r="C141" t="str">
            <v>un</v>
          </cell>
          <cell r="D141" t="str">
            <v>Canes</v>
          </cell>
          <cell r="E141">
            <v>14875</v>
          </cell>
        </row>
        <row r="142">
          <cell r="B142" t="str">
            <v>ICAN3,5X4</v>
          </cell>
          <cell r="C142" t="str">
            <v>un</v>
          </cell>
          <cell r="D142" t="str">
            <v>Can de madera de 3,5 a 4,0m</v>
          </cell>
          <cell r="E142">
            <v>200</v>
          </cell>
        </row>
        <row r="143">
          <cell r="B143" t="str">
            <v>ICSTB</v>
          </cell>
          <cell r="C143" t="str">
            <v>un</v>
          </cell>
          <cell r="D143" t="str">
            <v>Canastilla para sumidero tipo B</v>
          </cell>
          <cell r="E143">
            <v>148750</v>
          </cell>
        </row>
        <row r="144">
          <cell r="B144" t="str">
            <v>ICZB</v>
          </cell>
          <cell r="C144" t="str">
            <v>ml</v>
          </cell>
          <cell r="D144" t="str">
            <v>Canalizacion zona blanda (arenilla)</v>
          </cell>
          <cell r="E144">
            <v>2200</v>
          </cell>
        </row>
        <row r="145">
          <cell r="B145" t="str">
            <v>ICAP1 1/4</v>
          </cell>
          <cell r="C145" t="str">
            <v>un</v>
          </cell>
          <cell r="D145" t="str">
            <v xml:space="preserve">Capacete 1 1/4'' </v>
          </cell>
          <cell r="E145">
            <v>6188</v>
          </cell>
        </row>
        <row r="146">
          <cell r="B146" t="str">
            <v>ICAP2</v>
          </cell>
          <cell r="C146" t="str">
            <v>un</v>
          </cell>
          <cell r="D146" t="str">
            <v xml:space="preserve">Capacete 2'' </v>
          </cell>
          <cell r="E146">
            <v>9350</v>
          </cell>
        </row>
        <row r="147">
          <cell r="B147" t="str">
            <v>ICAP3</v>
          </cell>
          <cell r="C147" t="str">
            <v>un</v>
          </cell>
          <cell r="D147" t="str">
            <v>Capacete 3"</v>
          </cell>
          <cell r="E147">
            <v>23500</v>
          </cell>
        </row>
        <row r="148">
          <cell r="B148" t="str">
            <v>ICEM</v>
          </cell>
          <cell r="C148" t="str">
            <v>bulto 50kg</v>
          </cell>
          <cell r="D148" t="str">
            <v>Cemento</v>
          </cell>
          <cell r="E148">
            <v>25000</v>
          </cell>
        </row>
        <row r="149">
          <cell r="B149" t="str">
            <v>ICEMB</v>
          </cell>
          <cell r="C149" t="str">
            <v>bulto 40kg</v>
          </cell>
          <cell r="D149" t="str">
            <v>Cemento blanco</v>
          </cell>
          <cell r="E149">
            <v>42900</v>
          </cell>
        </row>
        <row r="150">
          <cell r="B150" t="str">
            <v>ICER</v>
          </cell>
          <cell r="C150" t="str">
            <v>m2</v>
          </cell>
          <cell r="D150" t="str">
            <v xml:space="preserve">Cerámica 25cm x 35cm </v>
          </cell>
          <cell r="E150">
            <v>22253</v>
          </cell>
        </row>
        <row r="151">
          <cell r="B151" t="str">
            <v>ICDG</v>
          </cell>
          <cell r="C151" t="str">
            <v>m2</v>
          </cell>
          <cell r="D151" t="str">
            <v>Cespedones de gramalote</v>
          </cell>
          <cell r="E151">
            <v>6304.6200000000008</v>
          </cell>
        </row>
        <row r="152">
          <cell r="B152" t="str">
            <v>ICTG</v>
          </cell>
          <cell r="C152" t="str">
            <v>gl</v>
          </cell>
          <cell r="D152" t="str">
            <v>Chazos, tornillos anulares, guayas y grilletes</v>
          </cell>
          <cell r="E152">
            <v>5298.0000000000009</v>
          </cell>
        </row>
        <row r="153">
          <cell r="B153" t="str">
            <v>ICB</v>
          </cell>
          <cell r="C153" t="str">
            <v>m</v>
          </cell>
          <cell r="D153" t="str">
            <v xml:space="preserve">Cinta bandi </v>
          </cell>
          <cell r="E153">
            <v>3570</v>
          </cell>
        </row>
        <row r="154">
          <cell r="B154" t="str">
            <v>ICBYH</v>
          </cell>
          <cell r="C154" t="str">
            <v>gl</v>
          </cell>
          <cell r="D154" t="str">
            <v>Cinta Bandit-it y hebillas</v>
          </cell>
          <cell r="E154">
            <v>25000</v>
          </cell>
        </row>
        <row r="155">
          <cell r="B155" t="str">
            <v>ICCEL</v>
          </cell>
          <cell r="C155" t="str">
            <v>un</v>
          </cell>
          <cell r="D155" t="str">
            <v>Cinta de colores para instalaciones eléctricas</v>
          </cell>
          <cell r="E155">
            <v>3000</v>
          </cell>
        </row>
        <row r="156">
          <cell r="B156" t="str">
            <v>ICPE</v>
          </cell>
          <cell r="C156" t="str">
            <v>ml</v>
          </cell>
          <cell r="D156" t="str">
            <v>Cinta en polietileno color azul, e=10cm para acueducto</v>
          </cell>
          <cell r="E156">
            <v>1700</v>
          </cell>
        </row>
        <row r="157">
          <cell r="B157" t="str">
            <v>ICPEAL</v>
          </cell>
          <cell r="C157" t="str">
            <v>ml</v>
          </cell>
          <cell r="D157" t="str">
            <v>Cinta en polietileno color azul, e=10cm para acantarillado</v>
          </cell>
          <cell r="E157">
            <v>1000</v>
          </cell>
        </row>
        <row r="158">
          <cell r="B158" t="str">
            <v>ICPL</v>
          </cell>
          <cell r="C158" t="str">
            <v>ml</v>
          </cell>
          <cell r="D158" t="str">
            <v>cinta plastica</v>
          </cell>
          <cell r="E158">
            <v>1990</v>
          </cell>
        </row>
        <row r="159">
          <cell r="B159" t="str">
            <v>ICPVC.10</v>
          </cell>
          <cell r="C159" t="str">
            <v>ml</v>
          </cell>
          <cell r="D159" t="str">
            <v>Cinta PVC 0.10, sello elástico</v>
          </cell>
          <cell r="E159">
            <v>18913.86</v>
          </cell>
        </row>
        <row r="160">
          <cell r="B160" t="str">
            <v>ICPVC.15</v>
          </cell>
          <cell r="C160" t="str">
            <v>ml</v>
          </cell>
          <cell r="D160" t="str">
            <v>Cinta PVC 0.15, sello elástico</v>
          </cell>
          <cell r="E160">
            <v>27125.760000000002</v>
          </cell>
        </row>
        <row r="161">
          <cell r="B161" t="str">
            <v>ICPVC.22</v>
          </cell>
          <cell r="C161" t="str">
            <v>ml</v>
          </cell>
          <cell r="D161" t="str">
            <v>Cinta PVC 0.22, sello elástico</v>
          </cell>
          <cell r="E161">
            <v>34542.960000000006</v>
          </cell>
        </row>
        <row r="162">
          <cell r="B162" t="str">
            <v>ICSC23</v>
          </cell>
          <cell r="C162" t="str">
            <v>gl</v>
          </cell>
          <cell r="D162" t="str">
            <v>Cinta Scotch 23</v>
          </cell>
          <cell r="E162">
            <v>529.80000000000007</v>
          </cell>
        </row>
        <row r="163">
          <cell r="B163" t="str">
            <v>ICSEÑ</v>
          </cell>
          <cell r="C163" t="str">
            <v>ml</v>
          </cell>
          <cell r="D163" t="str">
            <v>cinta de señalización</v>
          </cell>
          <cell r="E163">
            <v>1500</v>
          </cell>
        </row>
        <row r="164">
          <cell r="B164" t="str">
            <v>ICSC33</v>
          </cell>
          <cell r="C164" t="str">
            <v>gl</v>
          </cell>
          <cell r="D164" t="str">
            <v>Cinta Scotch 33</v>
          </cell>
          <cell r="E164">
            <v>635.7600000000001</v>
          </cell>
        </row>
        <row r="165">
          <cell r="B165" t="str">
            <v>ICLA</v>
          </cell>
          <cell r="C165" t="str">
            <v>kg</v>
          </cell>
          <cell r="D165" t="str">
            <v>Clavos</v>
          </cell>
          <cell r="E165">
            <v>4760</v>
          </cell>
        </row>
        <row r="166">
          <cell r="B166" t="str">
            <v>ICLAV20A</v>
          </cell>
          <cell r="C166" t="str">
            <v>un</v>
          </cell>
          <cell r="D166" t="str">
            <v>Clavija 20A</v>
          </cell>
          <cell r="E166">
            <v>3800</v>
          </cell>
        </row>
        <row r="167">
          <cell r="B167" t="str">
            <v>ICMG3</v>
          </cell>
          <cell r="C167" t="str">
            <v>un</v>
          </cell>
          <cell r="D167" t="str">
            <v>Cruceta metálica galvanizada, L=3m</v>
          </cell>
          <cell r="E167">
            <v>121796.5</v>
          </cell>
        </row>
        <row r="168">
          <cell r="B168" t="str">
            <v>ICO9-11</v>
          </cell>
          <cell r="C168" t="str">
            <v>un</v>
          </cell>
          <cell r="D168" t="str">
            <v>Collarín de 9 a11"</v>
          </cell>
          <cell r="E168">
            <v>44000</v>
          </cell>
        </row>
        <row r="169">
          <cell r="B169" t="str">
            <v>ICS</v>
          </cell>
          <cell r="C169" t="str">
            <v>un</v>
          </cell>
          <cell r="D169" t="str">
            <v>Combo sanitario (incluye sanitario, lavamanos de pared y griferia)</v>
          </cell>
          <cell r="E169">
            <v>339864</v>
          </cell>
        </row>
        <row r="170">
          <cell r="B170" t="str">
            <v>ICTOR</v>
          </cell>
          <cell r="C170" t="str">
            <v>un</v>
          </cell>
          <cell r="D170" t="str">
            <v xml:space="preserve">Conector   </v>
          </cell>
          <cell r="E170">
            <v>18900</v>
          </cell>
        </row>
        <row r="171">
          <cell r="B171" t="str">
            <v>ICON</v>
          </cell>
          <cell r="C171" t="str">
            <v>un</v>
          </cell>
          <cell r="D171" t="str">
            <v>Conector OB 10-10</v>
          </cell>
          <cell r="E171">
            <v>1190</v>
          </cell>
        </row>
        <row r="172">
          <cell r="B172" t="str">
            <v>ICCG</v>
          </cell>
          <cell r="C172" t="str">
            <v>gl</v>
          </cell>
          <cell r="D172" t="str">
            <v>Conectores, cintas y grapas (Sálida eléctrica)</v>
          </cell>
          <cell r="E172">
            <v>15470</v>
          </cell>
        </row>
        <row r="173">
          <cell r="B173" t="str">
            <v>ICEL</v>
          </cell>
          <cell r="C173" t="str">
            <v>un</v>
          </cell>
          <cell r="D173" t="str">
            <v>Contador 240/120V - 15 - 100A, con accesorios para su montaje</v>
          </cell>
          <cell r="E173">
            <v>180000</v>
          </cell>
        </row>
        <row r="174">
          <cell r="B174" t="str">
            <v>ICEL1</v>
          </cell>
          <cell r="C174" t="str">
            <v>un</v>
          </cell>
          <cell r="D174" t="str">
            <v>Contador electrónico 20/120A - 240/120V , 60Hz - conexión directa. Incluye gabinete para instalar en poste , breaker de protección, puesta a tierra y portante metálico de 3" con capacete</v>
          </cell>
          <cell r="E174">
            <v>1850000</v>
          </cell>
        </row>
        <row r="175">
          <cell r="B175" t="str">
            <v>ICM</v>
          </cell>
          <cell r="C175" t="str">
            <v>un</v>
          </cell>
          <cell r="D175" t="str">
            <v>Contador monofasico 15(60)A, 240/120 V</v>
          </cell>
          <cell r="E175">
            <v>350000</v>
          </cell>
        </row>
        <row r="176">
          <cell r="B176" t="str">
            <v>ICM1</v>
          </cell>
          <cell r="C176" t="str">
            <v>un</v>
          </cell>
          <cell r="D176" t="str">
            <v>Contador monofasico 15(100)A, 240/120 V</v>
          </cell>
          <cell r="E176">
            <v>450000</v>
          </cell>
        </row>
        <row r="177">
          <cell r="B177" t="str">
            <v>ICOTOR</v>
          </cell>
          <cell r="C177" t="str">
            <v>un</v>
          </cell>
          <cell r="D177" t="str">
            <v>Contactor</v>
          </cell>
          <cell r="E177">
            <v>162000</v>
          </cell>
        </row>
        <row r="178">
          <cell r="B178" t="str">
            <v>ICORA11/4</v>
          </cell>
          <cell r="C178" t="str">
            <v>m</v>
          </cell>
          <cell r="D178" t="str">
            <v>Coraza americana 1 1/4"</v>
          </cell>
          <cell r="E178">
            <v>8144</v>
          </cell>
        </row>
        <row r="179">
          <cell r="B179" t="str">
            <v>ICAIB</v>
          </cell>
          <cell r="C179" t="str">
            <v>cm</v>
          </cell>
          <cell r="D179" t="str">
            <v>Cortes en acero, incluye bisel</v>
          </cell>
          <cell r="E179">
            <v>1547</v>
          </cell>
        </row>
        <row r="180">
          <cell r="B180" t="str">
            <v>ICOS</v>
          </cell>
          <cell r="C180" t="str">
            <v>un</v>
          </cell>
          <cell r="D180" t="str">
            <v>Costal</v>
          </cell>
          <cell r="E180">
            <v>500</v>
          </cell>
        </row>
        <row r="181">
          <cell r="B181" t="str">
            <v>IDES</v>
          </cell>
          <cell r="C181" t="str">
            <v>gl</v>
          </cell>
          <cell r="D181" t="str">
            <v>Desperdicio (10% de los materiales)</v>
          </cell>
          <cell r="E181">
            <v>0</v>
          </cell>
        </row>
        <row r="182">
          <cell r="B182" t="str">
            <v>IDPS</v>
          </cell>
          <cell r="C182" t="str">
            <v>un</v>
          </cell>
          <cell r="D182" t="str">
            <v>DPS</v>
          </cell>
          <cell r="E182">
            <v>560000</v>
          </cell>
        </row>
        <row r="183">
          <cell r="B183" t="str">
            <v>IEN50</v>
          </cell>
          <cell r="C183" t="str">
            <v>un</v>
          </cell>
          <cell r="D183" t="str">
            <v>Empaque de neopreno 50 mm</v>
          </cell>
          <cell r="E183">
            <v>2975</v>
          </cell>
        </row>
        <row r="184">
          <cell r="B184" t="str">
            <v>IENT</v>
          </cell>
          <cell r="C184" t="str">
            <v>m3</v>
          </cell>
          <cell r="D184" t="str">
            <v>Entresuelo</v>
          </cell>
          <cell r="E184">
            <v>85680</v>
          </cell>
        </row>
        <row r="185">
          <cell r="B185" t="str">
            <v>IEA1</v>
          </cell>
          <cell r="C185" t="str">
            <v>un</v>
          </cell>
          <cell r="D185" t="str">
            <v>Escalera en aluminio, un cuerpo; L=2,30m</v>
          </cell>
          <cell r="E185">
            <v>319999</v>
          </cell>
        </row>
        <row r="186">
          <cell r="B186" t="str">
            <v>IEFV1</v>
          </cell>
          <cell r="C186" t="str">
            <v>un</v>
          </cell>
          <cell r="D186" t="str">
            <v>Escalera en PRFV; L=1,50m</v>
          </cell>
          <cell r="E186">
            <v>541331</v>
          </cell>
        </row>
        <row r="187">
          <cell r="B187" t="str">
            <v>IEFV2</v>
          </cell>
          <cell r="C187" t="str">
            <v>un</v>
          </cell>
          <cell r="D187" t="str">
            <v>Escalera en PRFV; L=2,00m</v>
          </cell>
          <cell r="E187">
            <v>660331</v>
          </cell>
        </row>
        <row r="188">
          <cell r="B188" t="str">
            <v>IEFV3</v>
          </cell>
          <cell r="C188" t="str">
            <v>un</v>
          </cell>
          <cell r="D188" t="str">
            <v>Escalera en PRFV; L=2,50m</v>
          </cell>
          <cell r="E188">
            <v>779331</v>
          </cell>
        </row>
        <row r="189">
          <cell r="B189" t="str">
            <v>IEFV4</v>
          </cell>
          <cell r="C189" t="str">
            <v>un</v>
          </cell>
          <cell r="D189" t="str">
            <v>Escalera en PRFV; L=3,00m</v>
          </cell>
          <cell r="E189">
            <v>898331</v>
          </cell>
        </row>
        <row r="190">
          <cell r="B190" t="str">
            <v>IEFV5</v>
          </cell>
          <cell r="C190" t="str">
            <v>un</v>
          </cell>
          <cell r="D190" t="str">
            <v>Escalera en PRFV; L=3,50m</v>
          </cell>
          <cell r="E190">
            <v>945931</v>
          </cell>
        </row>
        <row r="191">
          <cell r="B191" t="str">
            <v>IEFV6</v>
          </cell>
          <cell r="C191" t="str">
            <v>un</v>
          </cell>
          <cell r="D191" t="str">
            <v>Escalera extensión en PRFV; L=5,02m, peso=13,4kg, norma ANSI, tipo 2, capacidad=102Kg-225Lb</v>
          </cell>
          <cell r="E191">
            <v>1095871</v>
          </cell>
        </row>
        <row r="192">
          <cell r="B192" t="str">
            <v>IE7PLA</v>
          </cell>
          <cell r="C192" t="str">
            <v>un</v>
          </cell>
          <cell r="D192" t="str">
            <v>Escalera con 7 peldaños en lámina de Alfajor de 0,9m x 0,3m e = 6mm adosada a muro circular de Ø3m , incluye ángulo de Acero de 2 1/2" x 3/16", platina de acero de 2" x 4" x 3/16", anticorrosivo y pintura intemperie amarillo tránsito (2 capas)</v>
          </cell>
          <cell r="E192">
            <v>2450000</v>
          </cell>
        </row>
        <row r="193">
          <cell r="B193" t="str">
            <v>IE18PLA</v>
          </cell>
          <cell r="C193" t="str">
            <v>un</v>
          </cell>
          <cell r="D193" t="str">
            <v>Escalera con 18 peldaños en lámina de Alfajor de 0,9m x 0,3m e = 6mm adosada a muro circular de Ø3m , incluye ángulo de Acero de 2 1/2" x 3/16", platina de acero de 2" x 4" x 3/16", anticorrosivo y pintura intemperie amarillo tránsito (2 capas)</v>
          </cell>
          <cell r="E193">
            <v>3000000</v>
          </cell>
        </row>
        <row r="194">
          <cell r="B194" t="str">
            <v>IE24PLA</v>
          </cell>
          <cell r="C194" t="str">
            <v>un</v>
          </cell>
          <cell r="D194" t="str">
            <v>Suministro, transporte e instalación de escalera con 24 peldaños en lámina de Alfajor de 0,9m x 0,3m e = 6mm adosada a muro circular de Ø3m , incluye ángulo de Acero de 2 1/2" x 3/16", platina de acero de 2" x 4" x 3/16", anticorrosivo y pintura intemperie amarillo tránsito (2 capas)</v>
          </cell>
          <cell r="E194">
            <v>3500000</v>
          </cell>
        </row>
        <row r="195">
          <cell r="B195" t="str">
            <v>IES</v>
          </cell>
          <cell r="C195" t="str">
            <v>gal</v>
          </cell>
          <cell r="D195" t="str">
            <v>Esmalte sintético</v>
          </cell>
          <cell r="E195">
            <v>57120</v>
          </cell>
        </row>
        <row r="196">
          <cell r="B196" t="str">
            <v>IEPP</v>
          </cell>
          <cell r="C196" t="str">
            <v>un</v>
          </cell>
          <cell r="D196" t="str">
            <v>Estacón en polipropileno</v>
          </cell>
          <cell r="E196">
            <v>17850</v>
          </cell>
        </row>
        <row r="197">
          <cell r="B197" t="str">
            <v>IEPP2</v>
          </cell>
          <cell r="C197" t="str">
            <v>un</v>
          </cell>
          <cell r="D197" t="str">
            <v xml:space="preserve">Estacón en polipropileno, L=2,5m, Ø=4" </v>
          </cell>
          <cell r="E197">
            <v>63070</v>
          </cell>
        </row>
        <row r="198">
          <cell r="B198" t="str">
            <v>IEMI</v>
          </cell>
          <cell r="C198" t="str">
            <v>un</v>
          </cell>
          <cell r="D198" t="str">
            <v>Estacón media madera inmunizada, L=1,5m, Ø=4"</v>
          </cell>
          <cell r="E198">
            <v>30000</v>
          </cell>
        </row>
        <row r="199">
          <cell r="B199" t="str">
            <v>IFNM</v>
          </cell>
          <cell r="C199" t="str">
            <v>un</v>
          </cell>
          <cell r="D199" t="str">
            <v>Flotador de nivel para encendido y apagado de motobombas</v>
          </cell>
          <cell r="E199">
            <v>499800</v>
          </cell>
        </row>
        <row r="200">
          <cell r="B200" t="str">
            <v>IFNMAI</v>
          </cell>
          <cell r="C200" t="str">
            <v>un</v>
          </cell>
          <cell r="D200" t="str">
            <v>Flotador de nivel magnético con niveles de alta y baja en acero inoxidable para montaje vertical</v>
          </cell>
          <cell r="E200">
            <v>499800</v>
          </cell>
        </row>
        <row r="201">
          <cell r="B201" t="str">
            <v>IFG</v>
          </cell>
          <cell r="C201" t="str">
            <v>un</v>
          </cell>
          <cell r="D201" t="str">
            <v xml:space="preserve">fungibles </v>
          </cell>
          <cell r="E201">
            <v>10000</v>
          </cell>
        </row>
        <row r="202">
          <cell r="B202" t="str">
            <v>IF6T</v>
          </cell>
          <cell r="C202" t="str">
            <v>un</v>
          </cell>
          <cell r="D202" t="str">
            <v>Fusible 6T-7K</v>
          </cell>
          <cell r="E202">
            <v>3000</v>
          </cell>
        </row>
        <row r="203">
          <cell r="B203" t="str">
            <v>IF125A</v>
          </cell>
          <cell r="C203" t="str">
            <v>un</v>
          </cell>
          <cell r="D203" t="str">
            <v>Fusible 125A Gl/gG tipo cuchilla de 500 Voltios, ruptura 120kA. portafusible y protecciones</v>
          </cell>
          <cell r="E203">
            <v>26180</v>
          </cell>
        </row>
        <row r="204">
          <cell r="B204" t="str">
            <v>IGAB</v>
          </cell>
          <cell r="C204" t="str">
            <v>un</v>
          </cell>
          <cell r="D204" t="str">
            <v>Gabinete en acero laminado, protección IP 55; incluye bandeja doble fondo. Medidas: 300x200x160 mm</v>
          </cell>
          <cell r="E204">
            <v>261800</v>
          </cell>
        </row>
        <row r="205">
          <cell r="B205" t="str">
            <v>IGABB</v>
          </cell>
          <cell r="C205" t="str">
            <v>un</v>
          </cell>
          <cell r="D205" t="str">
            <v>Gabinete con cableado de control y borneras de tablero manual para control de bombas</v>
          </cell>
          <cell r="E205">
            <v>2500000</v>
          </cell>
        </row>
        <row r="206">
          <cell r="B206" t="str">
            <v>IGABCYB</v>
          </cell>
          <cell r="C206" t="str">
            <v>un</v>
          </cell>
          <cell r="D206" t="str">
            <v xml:space="preserve">Gabinete con cableado de control y borneras </v>
          </cell>
          <cell r="E206">
            <v>10463670</v>
          </cell>
        </row>
        <row r="207">
          <cell r="B207" t="str">
            <v>IGABBP</v>
          </cell>
          <cell r="C207" t="str">
            <v>un</v>
          </cell>
          <cell r="D207" t="str">
            <v>Gabinete con cableado de control y borboneras planta</v>
          </cell>
          <cell r="E207">
            <v>4500000</v>
          </cell>
        </row>
        <row r="208">
          <cell r="B208" t="str">
            <v>IGABBTA</v>
          </cell>
          <cell r="C208" t="str">
            <v>un</v>
          </cell>
          <cell r="D208" t="str">
            <v>Gabinete con cableado de control y borneras de tablero automatico para control de bombas</v>
          </cell>
          <cell r="E208">
            <v>1800000</v>
          </cell>
        </row>
        <row r="209">
          <cell r="B209" t="str">
            <v>IGEOM</v>
          </cell>
          <cell r="C209" t="str">
            <v>m2</v>
          </cell>
          <cell r="D209" t="str">
            <v>Geomembrana tipo HD o HFPE de 40mils o similar</v>
          </cell>
          <cell r="E209">
            <v>17850</v>
          </cell>
        </row>
        <row r="210">
          <cell r="B210" t="str">
            <v>IGEO1</v>
          </cell>
          <cell r="C210" t="str">
            <v>m2</v>
          </cell>
          <cell r="D210" t="str">
            <v>Geotextil NT2000 (No tejido)</v>
          </cell>
          <cell r="E210">
            <v>5406.17</v>
          </cell>
        </row>
        <row r="211">
          <cell r="B211" t="str">
            <v>IGEO</v>
          </cell>
          <cell r="C211" t="str">
            <v>m2</v>
          </cell>
          <cell r="D211" t="str">
            <v>Geotextil NT2500 (No tejido)</v>
          </cell>
          <cell r="E211">
            <v>5673.92</v>
          </cell>
        </row>
        <row r="212">
          <cell r="B212" t="str">
            <v>IGEO2</v>
          </cell>
          <cell r="C212" t="str">
            <v>m2</v>
          </cell>
          <cell r="D212" t="str">
            <v>Geotextil NT4000 (No tejido)</v>
          </cell>
          <cell r="E212">
            <v>9218.93</v>
          </cell>
        </row>
        <row r="213">
          <cell r="B213" t="str">
            <v>IGP</v>
          </cell>
          <cell r="C213" t="str">
            <v>un</v>
          </cell>
          <cell r="D213" t="str">
            <v>Guía y pasador</v>
          </cell>
          <cell r="E213">
            <v>14471.59</v>
          </cell>
        </row>
        <row r="214">
          <cell r="B214" t="str">
            <v>IGTM</v>
          </cell>
          <cell r="C214" t="str">
            <v>m2</v>
          </cell>
          <cell r="D214" t="str">
            <v>Grama tipo macana</v>
          </cell>
          <cell r="E214">
            <v>5950</v>
          </cell>
        </row>
        <row r="215">
          <cell r="B215" t="str">
            <v>IGRAN</v>
          </cell>
          <cell r="C215" t="str">
            <v>Kg</v>
          </cell>
          <cell r="D215" t="str">
            <v>Granito #2</v>
          </cell>
          <cell r="E215">
            <v>1186.5999999999999</v>
          </cell>
        </row>
        <row r="216">
          <cell r="B216" t="str">
            <v>IGRA</v>
          </cell>
          <cell r="C216" t="str">
            <v>Kg</v>
          </cell>
          <cell r="D216" t="str">
            <v>Grapas</v>
          </cell>
          <cell r="E216">
            <v>4363.7299999999996</v>
          </cell>
        </row>
        <row r="217">
          <cell r="B217" t="str">
            <v>IGRT</v>
          </cell>
          <cell r="C217" t="str">
            <v>un</v>
          </cell>
          <cell r="D217" t="str">
            <v>Grapa de retención tipo tuerca</v>
          </cell>
          <cell r="E217">
            <v>29600</v>
          </cell>
        </row>
        <row r="218">
          <cell r="B218" t="str">
            <v>IGYP</v>
          </cell>
          <cell r="C218" t="str">
            <v>gl</v>
          </cell>
          <cell r="D218" t="str">
            <v xml:space="preserve">Grapas y pernos </v>
          </cell>
          <cell r="E218">
            <v>5950</v>
          </cell>
        </row>
        <row r="219">
          <cell r="B219" t="str">
            <v>IGRAV</v>
          </cell>
          <cell r="C219" t="str">
            <v>m3</v>
          </cell>
          <cell r="D219" t="str">
            <v>Gravilla 3/4</v>
          </cell>
          <cell r="E219">
            <v>35000</v>
          </cell>
        </row>
        <row r="220">
          <cell r="B220" t="str">
            <v>IGDSC</v>
          </cell>
          <cell r="C220" t="str">
            <v>un</v>
          </cell>
          <cell r="D220" t="str">
            <v>Griferia ducha sencilla cromado</v>
          </cell>
          <cell r="E220">
            <v>45900</v>
          </cell>
        </row>
        <row r="221">
          <cell r="B221" t="str">
            <v>IGTP1/2</v>
          </cell>
          <cell r="C221" t="str">
            <v>un</v>
          </cell>
          <cell r="D221" t="str">
            <v>Grillete de amarre para trabajo pesado, Ø1/2"</v>
          </cell>
          <cell r="E221">
            <v>5817.2040000000006</v>
          </cell>
        </row>
        <row r="222">
          <cell r="B222" t="str">
            <v>IGTP1/4</v>
          </cell>
          <cell r="C222" t="str">
            <v>un</v>
          </cell>
          <cell r="D222" t="str">
            <v>Grillete de amarre para trabajo pesado, Ø1/4"</v>
          </cell>
          <cell r="E222">
            <v>2963.1</v>
          </cell>
        </row>
        <row r="223">
          <cell r="B223" t="str">
            <v>IGTP3/8</v>
          </cell>
          <cell r="C223" t="str">
            <v>un</v>
          </cell>
          <cell r="D223" t="str">
            <v>Grillete de amarre para trabajo pesado, Ø3/8"</v>
          </cell>
          <cell r="E223">
            <v>4034.1</v>
          </cell>
        </row>
        <row r="224">
          <cell r="B224" t="str">
            <v>IGTP5/16</v>
          </cell>
          <cell r="C224" t="str">
            <v>un</v>
          </cell>
          <cell r="D224" t="str">
            <v>Grillete de amarre para trabajo pesado, Ø5/16"</v>
          </cell>
          <cell r="E224">
            <v>3082.1</v>
          </cell>
        </row>
        <row r="225">
          <cell r="B225" t="str">
            <v>IGUA</v>
          </cell>
          <cell r="C225" t="str">
            <v>un</v>
          </cell>
          <cell r="D225" t="str">
            <v>Guardacabos</v>
          </cell>
          <cell r="E225">
            <v>2400</v>
          </cell>
        </row>
        <row r="226">
          <cell r="B226" t="str">
            <v>IGUA20A</v>
          </cell>
          <cell r="C226" t="str">
            <v>un</v>
          </cell>
          <cell r="D226" t="str">
            <v>Guardamotores 20 A</v>
          </cell>
          <cell r="E226">
            <v>245000</v>
          </cell>
        </row>
        <row r="227">
          <cell r="B227" t="str">
            <v>IIMP</v>
          </cell>
          <cell r="C227" t="str">
            <v>kg</v>
          </cell>
          <cell r="D227" t="str">
            <v>Impermeabilizante Sika mortero 101 o similar</v>
          </cell>
          <cell r="E227">
            <v>3876</v>
          </cell>
        </row>
        <row r="228">
          <cell r="B228" t="str">
            <v>IHER</v>
          </cell>
          <cell r="C228" t="str">
            <v>un</v>
          </cell>
          <cell r="D228" t="str">
            <v>Herraje para caja 0.4mx0.4m</v>
          </cell>
          <cell r="E228">
            <v>120641.7176</v>
          </cell>
        </row>
        <row r="229">
          <cell r="B229" t="str">
            <v>IHER1</v>
          </cell>
          <cell r="C229" t="str">
            <v>un</v>
          </cell>
          <cell r="D229" t="str">
            <v>Herraje para caja 0.6mx0.6m</v>
          </cell>
          <cell r="E229">
            <v>140641.7176</v>
          </cell>
        </row>
        <row r="230">
          <cell r="B230" t="str">
            <v>IHER2</v>
          </cell>
          <cell r="C230" t="str">
            <v>un</v>
          </cell>
          <cell r="D230" t="str">
            <v>Herraje para caja 0.8mx0.8m</v>
          </cell>
          <cell r="E230">
            <v>160641.7176</v>
          </cell>
        </row>
        <row r="231">
          <cell r="B231" t="str">
            <v>IHER3</v>
          </cell>
          <cell r="C231" t="str">
            <v>un</v>
          </cell>
          <cell r="D231" t="str">
            <v>Herraje para caja 5.9mx0.9m</v>
          </cell>
          <cell r="E231">
            <v>1190000</v>
          </cell>
        </row>
        <row r="232">
          <cell r="B232" t="str">
            <v>IHER4</v>
          </cell>
          <cell r="C232" t="str">
            <v>un</v>
          </cell>
          <cell r="D232" t="str">
            <v>Herraje para caja 0.6mx0.8m</v>
          </cell>
          <cell r="E232">
            <v>190000</v>
          </cell>
        </row>
        <row r="233">
          <cell r="B233" t="str">
            <v>IHC</v>
          </cell>
          <cell r="C233" t="str">
            <v>un</v>
          </cell>
          <cell r="D233" t="str">
            <v>Herraje para cono</v>
          </cell>
          <cell r="E233">
            <v>29750</v>
          </cell>
        </row>
        <row r="234">
          <cell r="B234" t="str">
            <v>IHER3</v>
          </cell>
          <cell r="C234" t="str">
            <v>un</v>
          </cell>
          <cell r="D234" t="str">
            <v>Herraje para tapa de alto tráfico</v>
          </cell>
          <cell r="E234">
            <v>89250</v>
          </cell>
        </row>
        <row r="235">
          <cell r="B235" t="str">
            <v>IIS32</v>
          </cell>
          <cell r="C235" t="str">
            <v>Kg</v>
          </cell>
          <cell r="D235" t="str">
            <v>Imprimante tipo sikadur 32 primer</v>
          </cell>
          <cell r="E235">
            <v>80900</v>
          </cell>
        </row>
        <row r="236">
          <cell r="B236" t="str">
            <v>IIS</v>
          </cell>
          <cell r="C236" t="str">
            <v>un</v>
          </cell>
          <cell r="D236" t="str">
            <v>Interruptor sencillo</v>
          </cell>
          <cell r="E236">
            <v>3400</v>
          </cell>
        </row>
        <row r="237">
          <cell r="B237" t="str">
            <v>IID</v>
          </cell>
          <cell r="C237" t="str">
            <v>un</v>
          </cell>
          <cell r="D237" t="str">
            <v>Interruptor doble</v>
          </cell>
          <cell r="E237">
            <v>5800</v>
          </cell>
        </row>
        <row r="238">
          <cell r="B238" t="str">
            <v>IIASE</v>
          </cell>
          <cell r="C238" t="str">
            <v>gl</v>
          </cell>
          <cell r="D238" t="str">
            <v>Implemento de aseo para mantenimiento preventivo al sistema eléctrico</v>
          </cell>
          <cell r="E238">
            <v>300000</v>
          </cell>
        </row>
        <row r="239">
          <cell r="B239" t="str">
            <v>IJAMH</v>
          </cell>
          <cell r="C239" t="str">
            <v>un</v>
          </cell>
          <cell r="D239" t="str">
            <v>Juego de anillo polimérico para cámaras de inspección de 1,2m de diámetro</v>
          </cell>
          <cell r="E239">
            <v>237976.19999999998</v>
          </cell>
        </row>
        <row r="240">
          <cell r="B240" t="str">
            <v>IJET1/2</v>
          </cell>
          <cell r="C240" t="str">
            <v>un</v>
          </cell>
          <cell r="D240" t="str">
            <v>Juego de empaques y tornillos 1/2"</v>
          </cell>
          <cell r="E240">
            <v>12609.240000000002</v>
          </cell>
        </row>
        <row r="241">
          <cell r="B241" t="str">
            <v>IJET11/2</v>
          </cell>
          <cell r="C241" t="str">
            <v>un</v>
          </cell>
          <cell r="D241" t="str">
            <v>Juego de empaques y tornillos 1 1/2"</v>
          </cell>
          <cell r="E241">
            <v>13870.164000000001</v>
          </cell>
        </row>
        <row r="242">
          <cell r="B242" t="str">
            <v>IJET2</v>
          </cell>
          <cell r="C242" t="str">
            <v>un</v>
          </cell>
          <cell r="D242" t="str">
            <v>Juego de empaques y tornillos 2"</v>
          </cell>
          <cell r="E242">
            <v>17652.936000000002</v>
          </cell>
        </row>
        <row r="243">
          <cell r="B243" t="str">
            <v>IJET21/2</v>
          </cell>
          <cell r="C243" t="str">
            <v>un</v>
          </cell>
          <cell r="D243" t="str">
            <v>Juego de empaques y tornillos 2 1/2"</v>
          </cell>
          <cell r="E243">
            <v>18913.86</v>
          </cell>
        </row>
        <row r="244">
          <cell r="B244" t="str">
            <v>IJET3</v>
          </cell>
          <cell r="C244" t="str">
            <v>un</v>
          </cell>
          <cell r="D244" t="str">
            <v>Juego de empaques y tornillos 3"</v>
          </cell>
          <cell r="E244">
            <v>21435.708000000002</v>
          </cell>
        </row>
        <row r="245">
          <cell r="B245" t="str">
            <v>IJET4</v>
          </cell>
          <cell r="C245" t="str">
            <v>un</v>
          </cell>
          <cell r="D245" t="str">
            <v>Juego de empaques y tornillos 4"</v>
          </cell>
          <cell r="E245">
            <v>37827.72</v>
          </cell>
        </row>
        <row r="246">
          <cell r="B246" t="str">
            <v>IJET6</v>
          </cell>
          <cell r="C246" t="str">
            <v>un</v>
          </cell>
          <cell r="D246" t="str">
            <v>Juego de empaques y tornillos 6"</v>
          </cell>
          <cell r="E246">
            <v>63046.200000000004</v>
          </cell>
        </row>
        <row r="247">
          <cell r="B247" t="str">
            <v>IJET8</v>
          </cell>
          <cell r="C247" t="str">
            <v>un</v>
          </cell>
          <cell r="D247" t="str">
            <v>Juego de empaques y tornillos 8"</v>
          </cell>
          <cell r="E247">
            <v>75655.44</v>
          </cell>
        </row>
        <row r="248">
          <cell r="B248" t="str">
            <v>IJET10</v>
          </cell>
          <cell r="C248" t="str">
            <v>un</v>
          </cell>
          <cell r="D248" t="str">
            <v>Juego de empaques y tornillos 10"</v>
          </cell>
          <cell r="E248">
            <v>88264.680000000008</v>
          </cell>
        </row>
        <row r="249">
          <cell r="B249" t="str">
            <v>IJET12</v>
          </cell>
          <cell r="C249" t="str">
            <v>un</v>
          </cell>
          <cell r="D249" t="str">
            <v>Juego de empaques y tornillos 12"</v>
          </cell>
          <cell r="E249">
            <v>113483.16</v>
          </cell>
        </row>
        <row r="250">
          <cell r="B250" t="str">
            <v>IJET14</v>
          </cell>
          <cell r="C250" t="str">
            <v>un</v>
          </cell>
          <cell r="D250" t="str">
            <v>Juego de empaques y tornillos 14"</v>
          </cell>
          <cell r="E250">
            <v>138701.64000000001</v>
          </cell>
        </row>
        <row r="251">
          <cell r="B251" t="str">
            <v>IJET16</v>
          </cell>
          <cell r="C251" t="str">
            <v>un</v>
          </cell>
          <cell r="D251" t="str">
            <v>Juego de empaques y tornillos 16"</v>
          </cell>
          <cell r="E251">
            <v>163920.12000000002</v>
          </cell>
        </row>
        <row r="252">
          <cell r="B252" t="str">
            <v>IJET18</v>
          </cell>
          <cell r="C252" t="str">
            <v>un</v>
          </cell>
          <cell r="D252" t="str">
            <v>Juego de empaques y tornillos 18"</v>
          </cell>
          <cell r="E252">
            <v>189138.6</v>
          </cell>
        </row>
        <row r="253">
          <cell r="B253" t="str">
            <v>IJET20</v>
          </cell>
          <cell r="C253" t="str">
            <v>un</v>
          </cell>
          <cell r="D253" t="str">
            <v>Juego de empaques y tornillos 20"</v>
          </cell>
          <cell r="E253">
            <v>214357.08000000002</v>
          </cell>
        </row>
        <row r="254">
          <cell r="B254" t="str">
            <v>ILAD</v>
          </cell>
          <cell r="C254" t="str">
            <v>un</v>
          </cell>
          <cell r="D254" t="str">
            <v>Ladrillo 15cm x 20cm x40cm</v>
          </cell>
          <cell r="E254">
            <v>1900</v>
          </cell>
        </row>
        <row r="255">
          <cell r="B255" t="str">
            <v>ILADC</v>
          </cell>
          <cell r="C255" t="str">
            <v>un</v>
          </cell>
          <cell r="D255" t="str">
            <v>Ladrillo calado trebol 20cmx20cm</v>
          </cell>
          <cell r="E255">
            <v>1800</v>
          </cell>
        </row>
        <row r="256">
          <cell r="B256" t="str">
            <v>ILAG</v>
          </cell>
          <cell r="C256" t="str">
            <v>un</v>
          </cell>
          <cell r="D256" t="str">
            <v>Lagrimal de 0,50m x 0,25m x 0,15m</v>
          </cell>
          <cell r="E256">
            <v>5500</v>
          </cell>
        </row>
        <row r="257">
          <cell r="B257" t="str">
            <v>ILPN</v>
          </cell>
          <cell r="C257" t="str">
            <v>ml</v>
          </cell>
          <cell r="D257" t="str">
            <v>Lámina de polietileno negro 1200m x 0,20mm</v>
          </cell>
          <cell r="E257">
            <v>1990</v>
          </cell>
        </row>
        <row r="258">
          <cell r="B258" t="str">
            <v>ILSHID</v>
          </cell>
          <cell r="C258" t="str">
            <v>un</v>
          </cell>
          <cell r="D258" t="str">
            <v>Lámpara de sodio HID con fotocontrol individual y bombilla tubular clara 250W. Incluye brazo.</v>
          </cell>
          <cell r="E258">
            <v>350000</v>
          </cell>
        </row>
        <row r="259">
          <cell r="B259" t="str">
            <v>ILTC</v>
          </cell>
          <cell r="C259" t="str">
            <v>un</v>
          </cell>
          <cell r="D259" t="str">
            <v>Lámpara tipo riel corrido de 2x54W</v>
          </cell>
          <cell r="E259">
            <v>87000</v>
          </cell>
        </row>
        <row r="260">
          <cell r="B260" t="str">
            <v>ILTC32</v>
          </cell>
          <cell r="C260" t="str">
            <v>un</v>
          </cell>
          <cell r="D260" t="str">
            <v>Lámpara tipo riel corrido de 2x32W</v>
          </cell>
          <cell r="E260">
            <v>77000</v>
          </cell>
        </row>
        <row r="261">
          <cell r="B261" t="str">
            <v>ILTT</v>
          </cell>
          <cell r="C261" t="str">
            <v>un</v>
          </cell>
          <cell r="D261" t="str">
            <v>Lámpara tipo tortuga</v>
          </cell>
          <cell r="E261">
            <v>70000</v>
          </cell>
        </row>
        <row r="262">
          <cell r="B262" t="str">
            <v>ILAVA</v>
          </cell>
          <cell r="C262" t="str">
            <v>un</v>
          </cell>
          <cell r="D262" t="str">
            <v>Lavaplatos en aluminio</v>
          </cell>
          <cell r="E262">
            <v>89990</v>
          </cell>
        </row>
        <row r="263">
          <cell r="B263" t="str">
            <v>ILYC</v>
          </cell>
          <cell r="C263" t="str">
            <v>kg</v>
          </cell>
          <cell r="D263" t="str">
            <v>Lechada y carnaza</v>
          </cell>
          <cell r="E263">
            <v>23800</v>
          </cell>
        </row>
        <row r="264">
          <cell r="B264" t="str">
            <v>ILOP</v>
          </cell>
          <cell r="C264" t="str">
            <v>un</v>
          </cell>
          <cell r="D264" t="str">
            <v>Loseta prefabricada de 0,60m*0,3m*0,05m</v>
          </cell>
          <cell r="E264">
            <v>14161</v>
          </cell>
        </row>
        <row r="265">
          <cell r="B265" t="str">
            <v>ILOP1</v>
          </cell>
          <cell r="C265" t="str">
            <v>un</v>
          </cell>
          <cell r="D265" t="str">
            <v>Loseta prefabricada de 1,10m*0,5m*0,05m</v>
          </cell>
          <cell r="E265">
            <v>29631</v>
          </cell>
        </row>
        <row r="266">
          <cell r="B266" t="str">
            <v>ILUB</v>
          </cell>
          <cell r="C266" t="str">
            <v>un</v>
          </cell>
          <cell r="D266" t="str">
            <v>Lubricante</v>
          </cell>
          <cell r="E266">
            <v>22289.89</v>
          </cell>
        </row>
        <row r="267">
          <cell r="B267" t="str">
            <v>ILUM</v>
          </cell>
          <cell r="C267" t="str">
            <v>un</v>
          </cell>
          <cell r="D267" t="str">
            <v>Luminaria de 2X32W-T8-865</v>
          </cell>
          <cell r="E267">
            <v>80920</v>
          </cell>
        </row>
        <row r="268">
          <cell r="B268" t="str">
            <v>ILUMS</v>
          </cell>
          <cell r="C268" t="str">
            <v>un</v>
          </cell>
          <cell r="D268" t="str">
            <v>Luminaria de sodio de 70W</v>
          </cell>
          <cell r="E268">
            <v>307150</v>
          </cell>
        </row>
        <row r="269">
          <cell r="B269" t="str">
            <v>ILMH44</v>
          </cell>
          <cell r="C269" t="str">
            <v>un</v>
          </cell>
          <cell r="D269" t="str">
            <v xml:space="preserve">luminaria hermetica </v>
          </cell>
          <cell r="E269">
            <v>213995</v>
          </cell>
        </row>
        <row r="270">
          <cell r="B270" t="str">
            <v>ILMH44W</v>
          </cell>
          <cell r="C270" t="str">
            <v>un</v>
          </cell>
          <cell r="D270" t="str">
            <v xml:space="preserve">luminaria hermetica </v>
          </cell>
          <cell r="E270">
            <v>135000</v>
          </cell>
        </row>
        <row r="271">
          <cell r="B271" t="str">
            <v>ILMH</v>
          </cell>
          <cell r="C271" t="str">
            <v>un</v>
          </cell>
          <cell r="D271" t="str">
            <v>luminaria hermetica 40 W</v>
          </cell>
          <cell r="E271">
            <v>145000</v>
          </cell>
        </row>
        <row r="272">
          <cell r="B272" t="str">
            <v>ILUML</v>
          </cell>
          <cell r="C272" t="str">
            <v>un</v>
          </cell>
          <cell r="D272" t="str">
            <v>Luminaria tipo LED 70W - 120V</v>
          </cell>
          <cell r="E272">
            <v>1275000</v>
          </cell>
        </row>
        <row r="273">
          <cell r="B273" t="str">
            <v>ILLED</v>
          </cell>
          <cell r="C273" t="str">
            <v>un</v>
          </cell>
          <cell r="D273" t="str">
            <v>Luminaria LED 200 W</v>
          </cell>
          <cell r="E273">
            <v>650000</v>
          </cell>
        </row>
        <row r="274">
          <cell r="B274" t="str">
            <v>ILLEDT</v>
          </cell>
          <cell r="C274" t="str">
            <v>un</v>
          </cell>
          <cell r="D274" t="str">
            <v>Luminaria led tortuga</v>
          </cell>
          <cell r="E274">
            <v>65000</v>
          </cell>
        </row>
        <row r="275">
          <cell r="B275" t="str">
            <v>ILUMF</v>
          </cell>
          <cell r="C275" t="str">
            <v>un</v>
          </cell>
          <cell r="D275" t="str">
            <v>Luminaria incluye fotocelda</v>
          </cell>
          <cell r="E275">
            <v>380800</v>
          </cell>
        </row>
        <row r="276">
          <cell r="B276" t="str">
            <v>ILUMOB</v>
          </cell>
          <cell r="C276" t="str">
            <v>un</v>
          </cell>
          <cell r="D276" t="str">
            <v>Luminaria ojo de buey sobreponer</v>
          </cell>
          <cell r="E276">
            <v>45000</v>
          </cell>
        </row>
        <row r="277">
          <cell r="B277" t="str">
            <v>ILE</v>
          </cell>
          <cell r="C277" t="str">
            <v>un</v>
          </cell>
          <cell r="D277" t="str">
            <v>Luminaria emergencia</v>
          </cell>
          <cell r="E277">
            <v>82000</v>
          </cell>
        </row>
        <row r="278">
          <cell r="B278" t="str">
            <v>ILEP</v>
          </cell>
          <cell r="C278" t="str">
            <v>un</v>
          </cell>
          <cell r="D278" t="str">
            <v xml:space="preserve">Luz de emergencia portatíl 60 Led, voltage 110, potencia 5Watts, autonomia 15 horas en iluminación baja y 7 horas en iluminación alta, tiempo de carga de 18 a 20 horas </v>
          </cell>
          <cell r="E278">
            <v>68901</v>
          </cell>
        </row>
        <row r="279">
          <cell r="B279" t="str">
            <v>IMAD</v>
          </cell>
          <cell r="C279" t="str">
            <v>m2</v>
          </cell>
          <cell r="D279" t="str">
            <v>Madera 3 usos</v>
          </cell>
          <cell r="E279">
            <v>4501.7699999999995</v>
          </cell>
        </row>
        <row r="280">
          <cell r="B280" t="str">
            <v>IMADI</v>
          </cell>
          <cell r="C280" t="str">
            <v>un</v>
          </cell>
          <cell r="D280" t="str">
            <v>Madera inmunizada, L= 0,8m, A=0,04m, H=0,085m</v>
          </cell>
          <cell r="E280">
            <v>17731</v>
          </cell>
        </row>
        <row r="281">
          <cell r="B281" t="str">
            <v>IMALE</v>
          </cell>
          <cell r="C281" t="str">
            <v>un</v>
          </cell>
          <cell r="D281" t="str">
            <v>Madera laminada estructural de 0,09m x 0,09m y L=2,8m</v>
          </cell>
          <cell r="E281">
            <v>30000</v>
          </cell>
        </row>
        <row r="282">
          <cell r="B282" t="str">
            <v>IMR</v>
          </cell>
          <cell r="C282" t="str">
            <v>gl</v>
          </cell>
          <cell r="D282" t="str">
            <v>Madera roble para cajones</v>
          </cell>
          <cell r="E282">
            <v>314041</v>
          </cell>
        </row>
        <row r="283">
          <cell r="B283" t="str">
            <v>IMP3/8</v>
          </cell>
          <cell r="C283" t="str">
            <v>ml</v>
          </cell>
          <cell r="D283" t="str">
            <v>Manguera de poliuretano de Ø3/8"</v>
          </cell>
          <cell r="E283">
            <v>8851.2199999999993</v>
          </cell>
        </row>
        <row r="284">
          <cell r="B284" t="str">
            <v>IMS1/2</v>
          </cell>
          <cell r="C284" t="str">
            <v>ml</v>
          </cell>
          <cell r="D284" t="str">
            <v>Manguera de silicona Ø1/2"</v>
          </cell>
          <cell r="E284">
            <v>4898.04</v>
          </cell>
        </row>
        <row r="285">
          <cell r="B285" t="str">
            <v>IMF11/2</v>
          </cell>
          <cell r="C285" t="str">
            <v>ml</v>
          </cell>
          <cell r="D285" t="str">
            <v>Manguera flexible Ø11/2"</v>
          </cell>
          <cell r="E285">
            <v>15470</v>
          </cell>
        </row>
        <row r="286">
          <cell r="B286" t="str">
            <v>IMAN</v>
          </cell>
          <cell r="C286" t="str">
            <v>un</v>
          </cell>
          <cell r="D286" t="str">
            <v>Manómetro Ø1/2"</v>
          </cell>
          <cell r="E286">
            <v>36890</v>
          </cell>
        </row>
        <row r="287">
          <cell r="B287" t="str">
            <v>IMEA</v>
          </cell>
          <cell r="C287" t="str">
            <v>un</v>
          </cell>
          <cell r="D287" t="str">
            <v>Material epóxico en ampolla</v>
          </cell>
          <cell r="E287">
            <v>70746</v>
          </cell>
        </row>
        <row r="288">
          <cell r="B288" t="str">
            <v>IMEKG</v>
          </cell>
          <cell r="C288" t="str">
            <v>kg</v>
          </cell>
          <cell r="D288" t="str">
            <v xml:space="preserve">Material epóxico </v>
          </cell>
          <cell r="E288">
            <v>55013.7</v>
          </cell>
        </row>
        <row r="289">
          <cell r="B289" t="str">
            <v>IME</v>
          </cell>
          <cell r="C289" t="str">
            <v>Kg</v>
          </cell>
          <cell r="D289" t="str">
            <v>Material expansivo</v>
          </cell>
          <cell r="E289">
            <v>23490</v>
          </cell>
        </row>
        <row r="290">
          <cell r="B290" t="str">
            <v>IMP</v>
          </cell>
          <cell r="C290" t="str">
            <v>m3</v>
          </cell>
          <cell r="D290" t="str">
            <v>Material de prestamo</v>
          </cell>
          <cell r="E290">
            <v>7735</v>
          </cell>
        </row>
        <row r="291">
          <cell r="B291" t="str">
            <v>IMESD84</v>
          </cell>
          <cell r="C291" t="str">
            <v>m2</v>
          </cell>
          <cell r="D291" t="str">
            <v>Malla electrosoldada para refuerzo tipo D84 o similar</v>
          </cell>
          <cell r="E291">
            <v>5176.5</v>
          </cell>
        </row>
        <row r="292">
          <cell r="B292" t="str">
            <v>IMESD131</v>
          </cell>
          <cell r="C292" t="str">
            <v>m2</v>
          </cell>
          <cell r="D292" t="str">
            <v>Malla electrosoldada tipo D131</v>
          </cell>
          <cell r="E292">
            <v>6000</v>
          </cell>
        </row>
        <row r="293">
          <cell r="B293" t="str">
            <v>IMESD106</v>
          </cell>
          <cell r="C293" t="str">
            <v>m2</v>
          </cell>
          <cell r="D293" t="str">
            <v>Malla electrosoldada para refuerzo tipo D106 o similar</v>
          </cell>
          <cell r="E293">
            <v>7056.7</v>
          </cell>
        </row>
        <row r="294">
          <cell r="B294" t="str">
            <v>IMEC12</v>
          </cell>
          <cell r="C294" t="str">
            <v>m</v>
          </cell>
          <cell r="D294" t="str">
            <v>Malla eslabonada, ojo 5, calibre 12</v>
          </cell>
          <cell r="E294">
            <v>20525.12</v>
          </cell>
        </row>
        <row r="295">
          <cell r="B295" t="str">
            <v>IMLPAI</v>
          </cell>
          <cell r="C295" t="str">
            <v>un</v>
          </cell>
          <cell r="D295" t="str">
            <v>Mesón con lavaplatos en acero inoxidable de 0,60m de ancho x 1,20m de ancho</v>
          </cell>
          <cell r="E295">
            <v>452200</v>
          </cell>
        </row>
        <row r="296">
          <cell r="B296" t="str">
            <v>IMSE</v>
          </cell>
          <cell r="C296" t="str">
            <v>un</v>
          </cell>
          <cell r="D296" t="str">
            <v xml:space="preserve">Molde para soldadura exotérmica 90g </v>
          </cell>
          <cell r="E296">
            <v>140000</v>
          </cell>
        </row>
        <row r="297">
          <cell r="B297" t="str">
            <v>IMSAP</v>
          </cell>
          <cell r="C297" t="str">
            <v>m2</v>
          </cell>
          <cell r="D297" t="str">
            <v>Módulo de sedimentación acelerada de poliestireno de alto impacto, altura 0,52m</v>
          </cell>
          <cell r="E297">
            <v>595000</v>
          </cell>
        </row>
        <row r="298">
          <cell r="B298" t="str">
            <v>IPEG</v>
          </cell>
          <cell r="C298" t="str">
            <v>m3</v>
          </cell>
          <cell r="D298" t="str">
            <v>Mortero de pega</v>
          </cell>
          <cell r="E298">
            <v>629510</v>
          </cell>
        </row>
        <row r="299">
          <cell r="B299" t="str">
            <v>IMRE</v>
          </cell>
          <cell r="C299" t="str">
            <v>Kg</v>
          </cell>
          <cell r="D299" t="str">
            <v>Mortero de reparación</v>
          </cell>
          <cell r="E299">
            <v>3742.55</v>
          </cell>
        </row>
        <row r="300">
          <cell r="B300" t="str">
            <v>IOF</v>
          </cell>
          <cell r="C300" t="str">
            <v>gl</v>
          </cell>
          <cell r="D300" t="str">
            <v>Obra falsa</v>
          </cell>
          <cell r="E300">
            <v>50000</v>
          </cell>
        </row>
        <row r="301">
          <cell r="B301" t="str">
            <v>IPAI</v>
          </cell>
          <cell r="C301" t="str">
            <v>un</v>
          </cell>
          <cell r="D301" t="str">
            <v>Pantalla distribuidora de flujo perforada, en acero Inoxidable T.304 AC/1 Cal.3mm en forma de L (0,7 m; 0,6 m) ancho de 2,5 metros, incluye pernos tipo ancla de cuña de 1/4" x  2 1/4" en acero inoxidable incluye empaque de neopreno y perforaciones de 3"</v>
          </cell>
          <cell r="E301">
            <v>1290352.7</v>
          </cell>
        </row>
        <row r="302">
          <cell r="B302" t="str">
            <v>IPR</v>
          </cell>
          <cell r="C302" t="str">
            <v>un</v>
          </cell>
          <cell r="D302" t="str">
            <v>Pararrayos 10kA-12kV</v>
          </cell>
          <cell r="E302">
            <v>165000</v>
          </cell>
        </row>
        <row r="303">
          <cell r="B303" t="str">
            <v>IPAS</v>
          </cell>
          <cell r="C303" t="str">
            <v>m</v>
          </cell>
          <cell r="D303" t="str">
            <v xml:space="preserve">Pasamanos en fibra de vidrio de VINYL ESTER </v>
          </cell>
          <cell r="E303">
            <v>208250</v>
          </cell>
        </row>
        <row r="304">
          <cell r="B304" t="str">
            <v>IPAST</v>
          </cell>
          <cell r="C304" t="str">
            <v>m</v>
          </cell>
          <cell r="D304" t="str">
            <v>Pasamanos en tubería negra liviana Ø2"</v>
          </cell>
          <cell r="E304">
            <v>30357.256999999998</v>
          </cell>
        </row>
        <row r="305">
          <cell r="B305" t="str">
            <v>IPYL</v>
          </cell>
          <cell r="C305" t="str">
            <v>m3</v>
          </cell>
          <cell r="D305" t="str">
            <v>Pavimento y liga</v>
          </cell>
          <cell r="E305">
            <v>420000</v>
          </cell>
        </row>
        <row r="306">
          <cell r="B306" t="str">
            <v>IPEC</v>
          </cell>
          <cell r="C306" t="str">
            <v>un</v>
          </cell>
          <cell r="D306" t="str">
            <v>Pecera</v>
          </cell>
          <cell r="E306">
            <v>248525.55</v>
          </cell>
        </row>
        <row r="307">
          <cell r="B307" t="str">
            <v>IPEGB</v>
          </cell>
          <cell r="C307" t="str">
            <v>un</v>
          </cell>
          <cell r="D307" t="str">
            <v>Pegacor blanco</v>
          </cell>
          <cell r="E307">
            <v>36300</v>
          </cell>
        </row>
        <row r="308">
          <cell r="B308" t="str">
            <v>IPUG1</v>
          </cell>
          <cell r="C308" t="str">
            <v>un</v>
          </cell>
          <cell r="D308" t="str">
            <v>Peldaños galvanizados tipo uña de gato, en acero corrugado de Ø3/4mm</v>
          </cell>
          <cell r="E308">
            <v>20706</v>
          </cell>
        </row>
        <row r="309">
          <cell r="B309" t="str">
            <v>IPUG2</v>
          </cell>
          <cell r="C309" t="str">
            <v>un</v>
          </cell>
          <cell r="D309" t="str">
            <v>Peldaños galvanizados tipo uña de gato, en acero corrugado de Ø5/8mm</v>
          </cell>
          <cell r="E309">
            <v>18706</v>
          </cell>
        </row>
        <row r="310">
          <cell r="B310" t="str">
            <v>IPER</v>
          </cell>
          <cell r="C310" t="str">
            <v>un</v>
          </cell>
          <cell r="D310" t="str">
            <v xml:space="preserve">Percha de 3 1/2" con aislador </v>
          </cell>
          <cell r="E310">
            <v>25000</v>
          </cell>
        </row>
        <row r="311">
          <cell r="B311" t="str">
            <v>IPER1</v>
          </cell>
          <cell r="C311">
            <v>0</v>
          </cell>
          <cell r="D311" t="str">
            <v>Percha 1 puesto</v>
          </cell>
          <cell r="E311">
            <v>20000</v>
          </cell>
        </row>
        <row r="312">
          <cell r="B312" t="str">
            <v>IPERT</v>
          </cell>
          <cell r="C312" t="str">
            <v>ml</v>
          </cell>
          <cell r="D312" t="str">
            <v>Perfil triangular 3"X3" e= 20mm</v>
          </cell>
          <cell r="E312">
            <v>3570</v>
          </cell>
        </row>
        <row r="313">
          <cell r="B313" t="str">
            <v>IPEAI1/4</v>
          </cell>
          <cell r="C313" t="str">
            <v>un</v>
          </cell>
          <cell r="D313" t="str">
            <v>Perno expansivo en acero inoxidable de 1/4"</v>
          </cell>
          <cell r="E313">
            <v>1785</v>
          </cell>
        </row>
        <row r="314">
          <cell r="B314" t="str">
            <v>IPEAI5/8</v>
          </cell>
          <cell r="C314" t="str">
            <v>un</v>
          </cell>
          <cell r="D314" t="str">
            <v>Perno expansivo en acero inoxidable de 5/8" x 3 1/2", incluye tuerca y dos arandelas</v>
          </cell>
          <cell r="E314">
            <v>3689</v>
          </cell>
        </row>
        <row r="315">
          <cell r="B315" t="str">
            <v>IPEAI1/4-31/4</v>
          </cell>
          <cell r="C315" t="str">
            <v>un</v>
          </cell>
          <cell r="D315" t="str">
            <v>Perno expansivo en acero inoxidable de 1/4" x 3 1/4", incluye tuerca y dos arandelas</v>
          </cell>
          <cell r="E315">
            <v>4165</v>
          </cell>
        </row>
        <row r="316">
          <cell r="B316" t="str">
            <v>IPEAR1/2-0,1</v>
          </cell>
          <cell r="C316" t="str">
            <v>un</v>
          </cell>
          <cell r="D316" t="str">
            <v>Perno de anclaje roscado, L=0,10m x Ø1/2"</v>
          </cell>
          <cell r="E316">
            <v>4879</v>
          </cell>
        </row>
        <row r="317">
          <cell r="B317" t="str">
            <v>IPEAR1/2</v>
          </cell>
          <cell r="C317" t="str">
            <v>un</v>
          </cell>
          <cell r="D317" t="str">
            <v>Perno de anclaje roscado, L=0,60m x Ø1/2"</v>
          </cell>
          <cell r="E317">
            <v>6069</v>
          </cell>
        </row>
        <row r="318">
          <cell r="B318" t="str">
            <v>IPER3/8</v>
          </cell>
          <cell r="C318" t="str">
            <v>un</v>
          </cell>
          <cell r="D318" t="str">
            <v>Perno roscado Ø3/8", incluye tuerca y arandela</v>
          </cell>
          <cell r="E318">
            <v>6043</v>
          </cell>
        </row>
        <row r="319">
          <cell r="B319" t="str">
            <v>IP14-16</v>
          </cell>
          <cell r="C319" t="str">
            <v>m3</v>
          </cell>
          <cell r="D319" t="str">
            <v>Piedra 14" a 16"</v>
          </cell>
          <cell r="E319">
            <v>55000</v>
          </cell>
        </row>
        <row r="320">
          <cell r="B320" t="str">
            <v>IPIE</v>
          </cell>
          <cell r="C320" t="str">
            <v>m3</v>
          </cell>
          <cell r="D320" t="str">
            <v>Piedra para entresuelo</v>
          </cell>
          <cell r="E320">
            <v>60000</v>
          </cell>
        </row>
        <row r="321">
          <cell r="B321" t="str">
            <v>IPICR</v>
          </cell>
          <cell r="C321" t="str">
            <v>m3</v>
          </cell>
          <cell r="D321" t="str">
            <v>Piedra canto rodado entre 3" y 5"</v>
          </cell>
          <cell r="E321">
            <v>793135</v>
          </cell>
        </row>
        <row r="322">
          <cell r="B322" t="str">
            <v>IPICR1</v>
          </cell>
          <cell r="C322" t="str">
            <v>m3</v>
          </cell>
          <cell r="D322" t="str">
            <v>Piedra canto rodado entre 2" y 4"</v>
          </cell>
          <cell r="E322">
            <v>634508</v>
          </cell>
        </row>
        <row r="323">
          <cell r="B323" t="str">
            <v>IPCPA</v>
          </cell>
          <cell r="C323" t="str">
            <v>m3</v>
          </cell>
          <cell r="D323" t="str">
            <v>Piedra ciclópea</v>
          </cell>
          <cell r="E323">
            <v>20000</v>
          </cell>
        </row>
        <row r="324">
          <cell r="B324" t="str">
            <v>IPAC</v>
          </cell>
          <cell r="C324" t="str">
            <v>gal</v>
          </cell>
          <cell r="D324" t="str">
            <v>Pintura a base de aceite</v>
          </cell>
          <cell r="E324">
            <v>87492.37</v>
          </cell>
        </row>
        <row r="325">
          <cell r="B325" t="str">
            <v>IPAG</v>
          </cell>
          <cell r="C325" t="str">
            <v>gal</v>
          </cell>
          <cell r="D325" t="str">
            <v>Pintura a base de agua</v>
          </cell>
          <cell r="E325">
            <v>60900</v>
          </cell>
        </row>
        <row r="326">
          <cell r="B326" t="str">
            <v>IPEA</v>
          </cell>
          <cell r="C326" t="str">
            <v>gal</v>
          </cell>
          <cell r="D326" t="str">
            <v>Pintura epóxica anticorrosiva</v>
          </cell>
          <cell r="E326">
            <v>178050</v>
          </cell>
        </row>
        <row r="327">
          <cell r="B327" t="str">
            <v>IPEA1C</v>
          </cell>
          <cell r="C327" t="str">
            <v>kg</v>
          </cell>
          <cell r="D327" t="str">
            <v>Pintura epóxica / (350g/m2) 1a capa</v>
          </cell>
          <cell r="E327">
            <v>40000</v>
          </cell>
        </row>
        <row r="328">
          <cell r="B328" t="str">
            <v>IPEA2C</v>
          </cell>
          <cell r="C328" t="str">
            <v>kg</v>
          </cell>
          <cell r="D328" t="str">
            <v>Pintura epóxica / (200g/m2) 2a capa</v>
          </cell>
          <cell r="E328">
            <v>38000</v>
          </cell>
        </row>
        <row r="329">
          <cell r="B329" t="str">
            <v>IPTC</v>
          </cell>
          <cell r="C329" t="str">
            <v>gal</v>
          </cell>
          <cell r="D329" t="str">
            <v>Pintura negra tipo koraza</v>
          </cell>
          <cell r="E329">
            <v>84355.815600000002</v>
          </cell>
        </row>
        <row r="330">
          <cell r="B330" t="str">
            <v>IPLAF</v>
          </cell>
          <cell r="C330" t="str">
            <v>un</v>
          </cell>
          <cell r="D330" t="str">
            <v>Plafón</v>
          </cell>
          <cell r="E330">
            <v>12900</v>
          </cell>
        </row>
        <row r="331">
          <cell r="B331" t="str">
            <v>IPLA</v>
          </cell>
          <cell r="C331" t="str">
            <v>m</v>
          </cell>
          <cell r="D331" t="str">
            <v>Platina en acero</v>
          </cell>
          <cell r="E331">
            <v>32209.73</v>
          </cell>
        </row>
        <row r="332">
          <cell r="B332" t="str">
            <v>IPLA4</v>
          </cell>
          <cell r="C332" t="str">
            <v>ml</v>
          </cell>
          <cell r="D332" t="str">
            <v>Platina en acero al carbón de 0,20m, e=3/16"</v>
          </cell>
          <cell r="E332">
            <v>21163.744000000002</v>
          </cell>
        </row>
        <row r="333">
          <cell r="B333" t="str">
            <v>IPLA5</v>
          </cell>
          <cell r="C333" t="str">
            <v>ml</v>
          </cell>
          <cell r="D333" t="str">
            <v>Platina en acero al carbón de 0,05m, e=2,5mm</v>
          </cell>
          <cell r="E333">
            <v>5290.9360000000006</v>
          </cell>
        </row>
        <row r="334">
          <cell r="B334" t="str">
            <v>IPLA6</v>
          </cell>
          <cell r="C334" t="str">
            <v>ml</v>
          </cell>
          <cell r="D334" t="str">
            <v>Platina en acero al carbón de 0,30m, e=3/16"</v>
          </cell>
          <cell r="E334">
            <v>22576.544000000002</v>
          </cell>
        </row>
        <row r="335">
          <cell r="B335" t="str">
            <v>IPLA1</v>
          </cell>
          <cell r="C335" t="str">
            <v>m</v>
          </cell>
          <cell r="D335" t="str">
            <v>Platina en acero al carbón de 0,30mX0,60m, e=1/8"</v>
          </cell>
          <cell r="E335">
            <v>4284</v>
          </cell>
        </row>
        <row r="336">
          <cell r="B336" t="str">
            <v>IPLA2</v>
          </cell>
          <cell r="C336" t="str">
            <v>m</v>
          </cell>
          <cell r="D336" t="str">
            <v>Platina en acero al carbón de 0,15mX0,60m, e=1/8"</v>
          </cell>
          <cell r="E336">
            <v>3094</v>
          </cell>
        </row>
        <row r="337">
          <cell r="B337" t="str">
            <v>IPLA3</v>
          </cell>
          <cell r="C337" t="str">
            <v>m</v>
          </cell>
          <cell r="D337" t="str">
            <v>Platina en acero al carbón de 0,50mX0,37mX0,63m, e=3/16"</v>
          </cell>
          <cell r="E337">
            <v>4284</v>
          </cell>
        </row>
        <row r="338">
          <cell r="B338" t="str">
            <v>IPLCLS</v>
          </cell>
          <cell r="C338" t="str">
            <v>un</v>
          </cell>
          <cell r="D338" t="str">
            <v>PLC logo siemens para tablero automático de control bombas</v>
          </cell>
          <cell r="E338">
            <v>1200000</v>
          </cell>
        </row>
        <row r="339">
          <cell r="B339" t="str">
            <v>IPLCLSTCP</v>
          </cell>
          <cell r="C339" t="str">
            <v>un</v>
          </cell>
          <cell r="D339" t="str">
            <v>PLC logo siemens para tablero de control planta</v>
          </cell>
          <cell r="E339">
            <v>1300000</v>
          </cell>
        </row>
        <row r="340">
          <cell r="B340" t="str">
            <v>IPMT8</v>
          </cell>
          <cell r="C340" t="str">
            <v>un</v>
          </cell>
          <cell r="D340" t="str">
            <v>Poste en madera tratada de 8m</v>
          </cell>
          <cell r="E340">
            <v>840000</v>
          </cell>
        </row>
        <row r="341">
          <cell r="B341" t="str">
            <v>IPMT</v>
          </cell>
          <cell r="C341" t="str">
            <v>un</v>
          </cell>
          <cell r="D341" t="str">
            <v>Poste madera</v>
          </cell>
          <cell r="E341">
            <v>357000</v>
          </cell>
        </row>
        <row r="342">
          <cell r="B342" t="str">
            <v>IPFV8</v>
          </cell>
          <cell r="C342" t="str">
            <v>un</v>
          </cell>
          <cell r="D342" t="str">
            <v>Poste en poliester reforzado con fibra de vidrio (PRFV), 510Kg de 8m</v>
          </cell>
          <cell r="E342">
            <v>1250000</v>
          </cell>
        </row>
        <row r="343">
          <cell r="B343" t="str">
            <v>IPFV8M</v>
          </cell>
          <cell r="C343" t="str">
            <v>un</v>
          </cell>
          <cell r="D343" t="str">
            <v>Poste en poliester reforzado con fibra de vidrio monolitico de 8m</v>
          </cell>
          <cell r="E343">
            <v>357000</v>
          </cell>
        </row>
        <row r="344">
          <cell r="B344" t="str">
            <v>IPFV12</v>
          </cell>
          <cell r="C344" t="str">
            <v>un</v>
          </cell>
          <cell r="D344" t="str">
            <v>Poste en poliester reforzado con fibra de vidrio (PRFV), 750Kg de 12m</v>
          </cell>
          <cell r="E344">
            <v>1951600</v>
          </cell>
        </row>
        <row r="345">
          <cell r="B345" t="str">
            <v>IPM</v>
          </cell>
          <cell r="C345" t="str">
            <v>un</v>
          </cell>
          <cell r="D345" t="str">
            <v>Poste metálico</v>
          </cell>
          <cell r="E345">
            <v>26174.05</v>
          </cell>
        </row>
        <row r="346">
          <cell r="B346" t="str">
            <v>IPTCP</v>
          </cell>
          <cell r="C346" t="str">
            <v>un</v>
          </cell>
          <cell r="D346" t="str">
            <v>Proteccion para tablero de control planta</v>
          </cell>
          <cell r="E346">
            <v>112000</v>
          </cell>
        </row>
        <row r="347">
          <cell r="B347" t="str">
            <v>IPCM1A</v>
          </cell>
          <cell r="C347" t="str">
            <v>un</v>
          </cell>
          <cell r="D347" t="str">
            <v>puerta celosía metalica un ala de 1,00 X 2,10 m, calibre de la lámina mayor 18 BWG. Incluye bisagras</v>
          </cell>
          <cell r="E347">
            <v>405000</v>
          </cell>
        </row>
        <row r="348">
          <cell r="B348" t="str">
            <v>IPMCM</v>
          </cell>
          <cell r="C348" t="str">
            <v>un</v>
          </cell>
          <cell r="D348" t="str">
            <v>Puerta metalica incluye chapa y marco</v>
          </cell>
          <cell r="E348">
            <v>429200</v>
          </cell>
        </row>
        <row r="349">
          <cell r="B349" t="str">
            <v>PMD</v>
          </cell>
          <cell r="C349" t="str">
            <v>un</v>
          </cell>
          <cell r="D349" t="str">
            <v>Puerta metálica dilatada de 1,0 X 2,10 m calibre 22, incluye marco y chapa</v>
          </cell>
          <cell r="E349">
            <v>357000</v>
          </cell>
        </row>
        <row r="350">
          <cell r="B350" t="str">
            <v>PMD1</v>
          </cell>
          <cell r="C350" t="str">
            <v>un</v>
          </cell>
          <cell r="D350" t="str">
            <v>Puerta metálica dilatada de 0,70 X 2,10 m calibre 22, incluye marco y chapa</v>
          </cell>
          <cell r="E350">
            <v>333200</v>
          </cell>
        </row>
        <row r="351">
          <cell r="B351" t="str">
            <v>PMD2</v>
          </cell>
          <cell r="C351" t="str">
            <v>un</v>
          </cell>
          <cell r="D351" t="str">
            <v>Puerta metálica dilatada de 0,95 X 2,10 m calibre 22, incluye marco y chapa</v>
          </cell>
          <cell r="E351">
            <v>345100</v>
          </cell>
        </row>
        <row r="352">
          <cell r="B352" t="str">
            <v>IPME1</v>
          </cell>
          <cell r="C352" t="str">
            <v>un</v>
          </cell>
          <cell r="D352" t="str">
            <v>Puerta en madera entamborada de  0,8m x 2,1m, incluye marco y chapa</v>
          </cell>
          <cell r="E352">
            <v>226100</v>
          </cell>
        </row>
        <row r="353">
          <cell r="B353" t="str">
            <v>IPME3</v>
          </cell>
          <cell r="C353" t="str">
            <v>un</v>
          </cell>
          <cell r="D353" t="str">
            <v>Puerta en madera 0,90m x 2m incluye marco y chapa</v>
          </cell>
          <cell r="E353">
            <v>117900</v>
          </cell>
        </row>
        <row r="354">
          <cell r="B354" t="str">
            <v>IPME</v>
          </cell>
          <cell r="C354" t="str">
            <v>un</v>
          </cell>
          <cell r="D354" t="str">
            <v>Puerta en malla eslabonada de una ala, ojo N°5, calibre 12, h = 2,0m, ancho = 1,0m</v>
          </cell>
          <cell r="E354">
            <v>580025.04</v>
          </cell>
        </row>
        <row r="355">
          <cell r="B355" t="str">
            <v>IPME2</v>
          </cell>
          <cell r="C355" t="str">
            <v>un</v>
          </cell>
          <cell r="D355" t="str">
            <v>Puerta en malla eslabonada de dos alas, ojo N°5, calibre 12, h = 2,0m, ancho = 2,0m</v>
          </cell>
          <cell r="E355">
            <v>832209.84000000008</v>
          </cell>
        </row>
        <row r="356">
          <cell r="B356" t="str">
            <v>IPME2X4</v>
          </cell>
          <cell r="C356" t="str">
            <v>un</v>
          </cell>
          <cell r="D356" t="str">
            <v>Puerta en malla eslabonada de dos alas, ojo N°5, calibre 12, h = 2,0m, ancho = 4,0m</v>
          </cell>
          <cell r="E356">
            <v>998651.80799999996</v>
          </cell>
        </row>
        <row r="357">
          <cell r="B357" t="str">
            <v>IPUR</v>
          </cell>
          <cell r="C357" t="str">
            <v>un</v>
          </cell>
          <cell r="D357" t="str">
            <v>Puerta en reja 0,8 x 2,10 m, incluye marco y chapa</v>
          </cell>
          <cell r="E357">
            <v>308611.14900000003</v>
          </cell>
        </row>
        <row r="358">
          <cell r="B358" t="str">
            <v>IPUR1</v>
          </cell>
          <cell r="C358" t="str">
            <v>un</v>
          </cell>
          <cell r="D358" t="str">
            <v>Puerta en reja 0,95 x 1,50 m, incluye marco y chapa</v>
          </cell>
          <cell r="E358">
            <v>283392.66900000005</v>
          </cell>
        </row>
        <row r="359">
          <cell r="B359" t="str">
            <v>IPT</v>
          </cell>
          <cell r="C359" t="str">
            <v>un</v>
          </cell>
          <cell r="D359" t="str">
            <v>puesta a tierra</v>
          </cell>
          <cell r="E359">
            <v>500000</v>
          </cell>
        </row>
        <row r="360">
          <cell r="B360" t="str">
            <v>IPTF</v>
          </cell>
          <cell r="C360" t="str">
            <v>un</v>
          </cell>
          <cell r="D360" t="str">
            <v>Punta tipo Franklin de una asta con soporte</v>
          </cell>
          <cell r="E360">
            <v>70000</v>
          </cell>
        </row>
        <row r="361">
          <cell r="B361" t="str">
            <v>IREC</v>
          </cell>
          <cell r="C361" t="str">
            <v>m3</v>
          </cell>
          <cell r="D361" t="str">
            <v>Recebo</v>
          </cell>
          <cell r="E361">
            <v>7417.2000000000007</v>
          </cell>
        </row>
        <row r="362">
          <cell r="B362" t="str">
            <v>IRV</v>
          </cell>
          <cell r="C362" t="str">
            <v>un</v>
          </cell>
          <cell r="D362" t="str">
            <v>Reja 0,8m x 0,8m para ventana, incluye marco</v>
          </cell>
          <cell r="E362">
            <v>126092.40000000001</v>
          </cell>
        </row>
        <row r="363">
          <cell r="B363" t="str">
            <v>IRDA2"</v>
          </cell>
          <cell r="C363" t="str">
            <v>un</v>
          </cell>
          <cell r="D363" t="str">
            <v>Radachinas de 2" (capacidad de carga 90 Kg)</v>
          </cell>
          <cell r="E363">
            <v>17750</v>
          </cell>
        </row>
        <row r="364">
          <cell r="B364" t="str">
            <v>IREJA1</v>
          </cell>
          <cell r="C364" t="str">
            <v>un</v>
          </cell>
          <cell r="D364" t="str">
            <v>Rejilla de 30cm x 20cm con 9 barras lisas en acero de Ø3/8" separadas cada 2 cm (incluye marco en ángulo de acero al carbón de 1"x 11/4", anclajes y bisagras para su apertura)</v>
          </cell>
          <cell r="E364">
            <v>297500</v>
          </cell>
        </row>
        <row r="365">
          <cell r="B365" t="str">
            <v>IREJA</v>
          </cell>
          <cell r="C365" t="str">
            <v>un</v>
          </cell>
          <cell r="D365" t="str">
            <v>Rejilla de 40cm x 20cm con 13 barras lisas en acero de Ø3/8" separadas cada 2 cm (incluye marco en ángulo de acero al carbón de 1"x 11/4", anclajes y bisagras para su apertura)</v>
          </cell>
          <cell r="E365">
            <v>321300</v>
          </cell>
        </row>
        <row r="366">
          <cell r="B366" t="str">
            <v>IREJA2</v>
          </cell>
          <cell r="C366" t="str">
            <v>un</v>
          </cell>
          <cell r="D366" t="str">
            <v>Rejilla de 40cm x 180cm con 45 barras lisas en acero de Ø3/8" separadas cada 3 cm (incluye marco en ángulo de acero al carbón de 1"x 11/4", anclajes y bisagras para su apertura)</v>
          </cell>
          <cell r="E366">
            <v>672350</v>
          </cell>
        </row>
        <row r="367">
          <cell r="B367" t="str">
            <v>IRCT6x4</v>
          </cell>
          <cell r="C367" t="str">
            <v>un</v>
          </cell>
          <cell r="D367" t="str">
            <v>Rejilla en cúpula tradicional de 6"x4"</v>
          </cell>
          <cell r="E367">
            <v>28900</v>
          </cell>
        </row>
        <row r="368">
          <cell r="B368" t="str">
            <v>IRPFV</v>
          </cell>
          <cell r="C368" t="str">
            <v>m2</v>
          </cell>
          <cell r="D368" t="str">
            <v>Rejilla peatonal en  fibra de vidrio  de resistencia 1100kg/cm2</v>
          </cell>
          <cell r="E368">
            <v>358904</v>
          </cell>
        </row>
        <row r="369">
          <cell r="B369" t="str">
            <v>ISSC</v>
          </cell>
          <cell r="C369" t="str">
            <v>un</v>
          </cell>
          <cell r="D369" t="str">
            <v>Sacos de suelo cemento</v>
          </cell>
          <cell r="E369">
            <v>9520</v>
          </cell>
        </row>
        <row r="370">
          <cell r="B370" t="str">
            <v>ISE</v>
          </cell>
          <cell r="C370" t="str">
            <v>ml</v>
          </cell>
          <cell r="D370" t="str">
            <v>Sellante elastomérico 6,4 mm x 12,7 mm</v>
          </cell>
          <cell r="E370">
            <v>21574.7</v>
          </cell>
        </row>
        <row r="371">
          <cell r="B371" t="str">
            <v>ISEP</v>
          </cell>
          <cell r="C371" t="str">
            <v>ml</v>
          </cell>
          <cell r="D371" t="str">
            <v>Sellante elástico de poliuretano autonivelante tipo Sikaflex-1CSL</v>
          </cell>
          <cell r="E371">
            <v>6670.3508771929819</v>
          </cell>
        </row>
        <row r="372">
          <cell r="B372" t="str">
            <v>ISAR</v>
          </cell>
          <cell r="C372" t="str">
            <v>m3</v>
          </cell>
          <cell r="D372" t="str">
            <v>Sello arenilla, e=10cm</v>
          </cell>
          <cell r="E372">
            <v>80920</v>
          </cell>
        </row>
        <row r="373">
          <cell r="B373" t="str">
            <v>ISEE</v>
          </cell>
          <cell r="C373" t="str">
            <v>ml</v>
          </cell>
          <cell r="D373" t="str">
            <v>sistema de escape exhosto 3" con aislamiento</v>
          </cell>
          <cell r="E373">
            <v>339150</v>
          </cell>
        </row>
        <row r="374">
          <cell r="B374" t="str">
            <v>ISEE2</v>
          </cell>
          <cell r="C374" t="str">
            <v>ml</v>
          </cell>
          <cell r="D374" t="str">
            <v>sistema de escape exhosto 2" con aislamiento</v>
          </cell>
          <cell r="E374">
            <v>60688</v>
          </cell>
        </row>
        <row r="375">
          <cell r="B375" t="str">
            <v>ISOLM</v>
          </cell>
          <cell r="C375" t="str">
            <v>cm</v>
          </cell>
          <cell r="D375" t="str">
            <v xml:space="preserve">Soldadura </v>
          </cell>
          <cell r="E375">
            <v>1190</v>
          </cell>
        </row>
        <row r="376">
          <cell r="B376" t="str">
            <v>ISOLMUN</v>
          </cell>
          <cell r="C376" t="str">
            <v>un</v>
          </cell>
          <cell r="D376" t="str">
            <v>soldadura</v>
          </cell>
          <cell r="E376">
            <v>35000</v>
          </cell>
        </row>
        <row r="377">
          <cell r="B377" t="str">
            <v>ISOLE</v>
          </cell>
          <cell r="C377" t="str">
            <v>un</v>
          </cell>
          <cell r="D377" t="str">
            <v>Soldadura Exotérmica 115gr</v>
          </cell>
          <cell r="E377">
            <v>78000</v>
          </cell>
        </row>
        <row r="378">
          <cell r="B378" t="str">
            <v>ISOL</v>
          </cell>
          <cell r="C378" t="str">
            <v>un</v>
          </cell>
          <cell r="D378" t="str">
            <v>Soldadura líquida (1/4 gal) y limpiador removedor (1/4 gal)</v>
          </cell>
          <cell r="E378">
            <v>182637.27585599999</v>
          </cell>
        </row>
        <row r="379">
          <cell r="B379" t="str">
            <v>ISOLV</v>
          </cell>
          <cell r="C379" t="str">
            <v>kg</v>
          </cell>
          <cell r="D379" t="str">
            <v>Solvente</v>
          </cell>
          <cell r="E379">
            <v>20000</v>
          </cell>
        </row>
        <row r="380">
          <cell r="B380" t="str">
            <v>ISOP45AG</v>
          </cell>
          <cell r="C380" t="str">
            <v>un</v>
          </cell>
          <cell r="D380" t="str">
            <v>Soporte tipo ménsula SMS045AG</v>
          </cell>
          <cell r="E380">
            <v>25783</v>
          </cell>
        </row>
        <row r="381">
          <cell r="B381" t="str">
            <v>ISUI</v>
          </cell>
          <cell r="C381" t="str">
            <v>un</v>
          </cell>
          <cell r="D381" t="str">
            <v>suiche</v>
          </cell>
          <cell r="E381">
            <v>11305</v>
          </cell>
        </row>
        <row r="382">
          <cell r="B382" t="str">
            <v>ISTB</v>
          </cell>
          <cell r="C382" t="str">
            <v>un</v>
          </cell>
          <cell r="D382" t="str">
            <v>Sumidero tipo B, Polipropileno</v>
          </cell>
          <cell r="E382">
            <v>109480</v>
          </cell>
        </row>
        <row r="383">
          <cell r="B383" t="str">
            <v>ITAB</v>
          </cell>
          <cell r="C383" t="str">
            <v>un</v>
          </cell>
          <cell r="D383" t="str">
            <v>Tabla de 2cm x 20cm y L = 3,0m, en madera común</v>
          </cell>
          <cell r="E383">
            <v>5950</v>
          </cell>
        </row>
        <row r="384">
          <cell r="B384" t="str">
            <v>ITAB2X10</v>
          </cell>
          <cell r="C384" t="str">
            <v>un</v>
          </cell>
          <cell r="D384" t="str">
            <v>Tabla de 2cm x 10cm y L = 3,0m, en madera común</v>
          </cell>
          <cell r="E384">
            <v>3000</v>
          </cell>
        </row>
        <row r="385">
          <cell r="B385" t="str">
            <v>ITAF</v>
          </cell>
          <cell r="C385" t="str">
            <v>un</v>
          </cell>
          <cell r="D385" t="str">
            <v>Tabla formaleta (10" x 3m x 3/4")</v>
          </cell>
          <cell r="E385">
            <v>10710</v>
          </cell>
        </row>
        <row r="386">
          <cell r="B386" t="str">
            <v>ITAB2F</v>
          </cell>
          <cell r="C386" t="str">
            <v>un</v>
          </cell>
          <cell r="D386" t="str">
            <v>Tablero 2F, 8 ctos, 4H 120/240V con puerta y targetero</v>
          </cell>
          <cell r="E386">
            <v>125000</v>
          </cell>
        </row>
        <row r="387">
          <cell r="B387" t="str">
            <v>ITACTO</v>
          </cell>
          <cell r="C387" t="str">
            <v>un</v>
          </cell>
          <cell r="D387" t="str">
            <v xml:space="preserve">Tablero de transferencia automática de 13.5 kVA monofásico 240 V. Incluye tablero interno de 12 circuitos monofasico </v>
          </cell>
          <cell r="E387">
            <v>5831000</v>
          </cell>
        </row>
        <row r="388">
          <cell r="B388" t="str">
            <v>ITACTO1</v>
          </cell>
          <cell r="C388" t="str">
            <v>un</v>
          </cell>
          <cell r="D388" t="str">
            <v xml:space="preserve">Tablero de transferencia automática de 50 A monofásico 240 V. Incluye tablero interno de 12 circuitos monofasico </v>
          </cell>
          <cell r="E388">
            <v>5593000</v>
          </cell>
        </row>
        <row r="389">
          <cell r="B389" t="str">
            <v>ITATA</v>
          </cell>
          <cell r="C389" t="str">
            <v>un</v>
          </cell>
          <cell r="D389" t="str">
            <v>Tablero de transferencia automática de 50 A con tablero de 18 circuitos interno y protecciones</v>
          </cell>
          <cell r="E389">
            <v>6800000</v>
          </cell>
        </row>
        <row r="390">
          <cell r="B390" t="str">
            <v>ITAB1</v>
          </cell>
          <cell r="C390" t="str">
            <v>un</v>
          </cell>
          <cell r="D390" t="str">
            <v>Tablero de control eléctrico, arrancador con dos variadores de velocidad   de 50 HP, alimentación monofásica a 220/V con sistema de alternación, control PID, incluye trasductor de presion de 4 a 20 miliamperios y maniobra ABB</v>
          </cell>
          <cell r="E390">
            <v>64022000</v>
          </cell>
        </row>
        <row r="391">
          <cell r="B391" t="str">
            <v>ITAB2</v>
          </cell>
          <cell r="C391" t="str">
            <v>un</v>
          </cell>
          <cell r="D391" t="str">
            <v xml:space="preserve">Tablero en lámina Cold Rolled  de medidas 0.5m x 0.6m x 0.3m  que contiene breaker de protección 2x20A, arrancadores directos con relés térmicos y dispositivo de Protección contra sobretensiones transitorias (DPS clase B) </v>
          </cell>
          <cell r="E391">
            <v>5212200</v>
          </cell>
        </row>
        <row r="392">
          <cell r="B392" t="str">
            <v>ITABCB</v>
          </cell>
          <cell r="C392" t="str">
            <v>un</v>
          </cell>
          <cell r="D392" t="str">
            <v>Tablero de control para bombas. el cual incluye: cofre metalico, breaker industrial de caja moldeada, protecciones motores, selectores de tres posiciones, pilotos verdes, alarma interperie 220 v, pilotos rojos, minibreaker, borneras tipo riel omega, dps, cableado y plano de conexión</v>
          </cell>
          <cell r="E392">
            <v>7996799.9999999991</v>
          </cell>
        </row>
        <row r="393">
          <cell r="B393" t="str">
            <v>ITABCB1</v>
          </cell>
          <cell r="C393" t="str">
            <v>un</v>
          </cell>
          <cell r="D393" t="str">
            <v>Tablero de control para bombas. el cual incluye: cofre metalico, breaker industrial de caja moldeada, 2 variadores de velocidad de 3 hp, 2 selectores de tres posiciones, 2 lamparas verdes, 1 alarma interperie 220 v, 2 lamparas, rojas, 1 minibreaker 2x2 a, 6 borneras tipo riel omega, dps, cableado y plano de conexión</v>
          </cell>
          <cell r="E393">
            <v>5664400</v>
          </cell>
        </row>
        <row r="394">
          <cell r="B394" t="str">
            <v>ITABIP40</v>
          </cell>
          <cell r="C394" t="str">
            <v>un</v>
          </cell>
          <cell r="D394" t="str">
            <v>Tablero para uso interior (IP40), lamina cold rolled 16, acabado final pintura en polvo de aplicación electroestática, gris claro RAL 7035.</v>
          </cell>
          <cell r="E394">
            <v>10225670</v>
          </cell>
        </row>
        <row r="395">
          <cell r="B395" t="str">
            <v>ITAB3</v>
          </cell>
          <cell r="C395" t="str">
            <v>un</v>
          </cell>
          <cell r="D395" t="str">
            <v xml:space="preserve">Tablero monofásico de 4 circuitos doble tapa y tarjetero   </v>
          </cell>
          <cell r="E395">
            <v>85000</v>
          </cell>
        </row>
        <row r="396">
          <cell r="B396" t="str">
            <v>ITABM</v>
          </cell>
          <cell r="C396" t="str">
            <v>un</v>
          </cell>
          <cell r="D396" t="str">
            <v>Tablero monofásico de 18 circuitos con espacio para totalizador</v>
          </cell>
          <cell r="E396">
            <v>5593000</v>
          </cell>
        </row>
        <row r="397">
          <cell r="B397" t="str">
            <v>ITEBME/T</v>
          </cell>
          <cell r="C397" t="str">
            <v>un</v>
          </cell>
          <cell r="D397" t="str">
            <v>Tablero monofásico E/T 24 ctos</v>
          </cell>
          <cell r="E397">
            <v>390000</v>
          </cell>
        </row>
        <row r="398">
          <cell r="B398" t="str">
            <v>ITABIP</v>
          </cell>
          <cell r="C398" t="str">
            <v>un</v>
          </cell>
          <cell r="D398" t="str">
            <v>Tablero IP 44 incluye breaker Contador monofasico 15(60)A 240/120 V</v>
          </cell>
          <cell r="E398">
            <v>350000</v>
          </cell>
        </row>
        <row r="399">
          <cell r="B399" t="str">
            <v>ITABIP1</v>
          </cell>
          <cell r="C399" t="str">
            <v>un</v>
          </cell>
          <cell r="D399" t="str">
            <v>Tablero IP 44 incluye breaker 3x100A para contador monofasico Tetrafilar 15(60)A 220/127V.</v>
          </cell>
          <cell r="E399">
            <v>280000</v>
          </cell>
        </row>
        <row r="400">
          <cell r="B400" t="str">
            <v>ITABIP2</v>
          </cell>
          <cell r="C400" t="str">
            <v>un</v>
          </cell>
          <cell r="D400" t="str">
            <v>Tablero IP 65 incluye breaker 2x40 a para contador monofásico electrónico trifilar 5(60)a, 240/120 v</v>
          </cell>
          <cell r="E400">
            <v>280000</v>
          </cell>
        </row>
        <row r="401">
          <cell r="B401" t="str">
            <v>ITABM15(100)A</v>
          </cell>
          <cell r="C401" t="str">
            <v>un</v>
          </cell>
          <cell r="D401" t="str">
            <v>Tablero para contador monofásico 15(100)A, 240/120V.</v>
          </cell>
          <cell r="E401">
            <v>350000</v>
          </cell>
        </row>
        <row r="402">
          <cell r="B402" t="str">
            <v>ITAC</v>
          </cell>
          <cell r="C402" t="str">
            <v>un</v>
          </cell>
          <cell r="D402" t="str">
            <v>Tacos de madera</v>
          </cell>
          <cell r="E402">
            <v>13685</v>
          </cell>
        </row>
        <row r="403">
          <cell r="B403" t="str">
            <v>ITH100</v>
          </cell>
          <cell r="C403" t="str">
            <v>un</v>
          </cell>
          <cell r="D403" t="str">
            <v>Tanque hidroneumático tipo diafragma  de 100 Litros</v>
          </cell>
          <cell r="E403">
            <v>742990</v>
          </cell>
        </row>
        <row r="404">
          <cell r="B404" t="str">
            <v>ITP</v>
          </cell>
          <cell r="C404" t="str">
            <v>un</v>
          </cell>
          <cell r="D404" t="str">
            <v>Tanque plástico cónico para almacenamiento de agua potable V=500L, incluye tapa</v>
          </cell>
          <cell r="E404">
            <v>266441</v>
          </cell>
        </row>
        <row r="405">
          <cell r="B405" t="str">
            <v>ITFV</v>
          </cell>
          <cell r="C405" t="str">
            <v>un</v>
          </cell>
          <cell r="D405" t="str">
            <v>Tapa de poliester reforzado con fibra de vidrio (PRFV), e=6 mm, 0,72m x 0,72m</v>
          </cell>
          <cell r="E405">
            <v>187194.13999999998</v>
          </cell>
        </row>
        <row r="406">
          <cell r="B406" t="str">
            <v>ITFV1</v>
          </cell>
          <cell r="C406" t="str">
            <v>un</v>
          </cell>
          <cell r="D406" t="str">
            <v>Tapa de poliester reforzado con fibra de vidrio (PRFV), e=6 mm, 1,0m x 1,0m</v>
          </cell>
          <cell r="E406">
            <v>210994.13999999998</v>
          </cell>
        </row>
        <row r="407">
          <cell r="B407" t="str">
            <v>ITFV2</v>
          </cell>
          <cell r="C407" t="str">
            <v>un</v>
          </cell>
          <cell r="D407" t="str">
            <v>Tapa de poliester reforzado con fibra de vidrio (PRFV), e=6 mm, 0,6m x 0,6m</v>
          </cell>
          <cell r="E407">
            <v>177674.13999999998</v>
          </cell>
        </row>
        <row r="408">
          <cell r="B408" t="str">
            <v>ITFV3</v>
          </cell>
          <cell r="C408" t="str">
            <v>un</v>
          </cell>
          <cell r="D408" t="str">
            <v>Tapa de poliester reforzado con fibra de vidrio (PRFV), e=6 mm, 3,35m x 1,3m</v>
          </cell>
          <cell r="E408">
            <v>567994.14</v>
          </cell>
        </row>
        <row r="409">
          <cell r="B409" t="str">
            <v>ITFV4</v>
          </cell>
          <cell r="C409" t="str">
            <v>un</v>
          </cell>
          <cell r="D409" t="str">
            <v>Tapa de poliester reforzado con fibra de vidrio (PRFV), e=6 mm, 0,7m x 0,7m</v>
          </cell>
          <cell r="E409">
            <v>139594.13999999998</v>
          </cell>
        </row>
        <row r="410">
          <cell r="B410" t="str">
            <v>ITFV5</v>
          </cell>
          <cell r="C410" t="str">
            <v>un</v>
          </cell>
          <cell r="D410" t="str">
            <v>Tapa de poliester reforzado con fibra de vidrio (PRFV), e=6 mm, 1,0m x 0,6m</v>
          </cell>
          <cell r="E410">
            <v>208250</v>
          </cell>
        </row>
        <row r="411">
          <cell r="B411" t="str">
            <v>ITFV6</v>
          </cell>
          <cell r="C411" t="str">
            <v>un</v>
          </cell>
          <cell r="D411" t="str">
            <v>Tapa de poliester reforzado con fibra de vidrio (PRFV), e=6 mm, 3,05m x 1,5m</v>
          </cell>
          <cell r="E411">
            <v>773500</v>
          </cell>
        </row>
        <row r="412">
          <cell r="B412" t="str">
            <v>ITFV7</v>
          </cell>
          <cell r="C412" t="str">
            <v>un</v>
          </cell>
          <cell r="D412" t="str">
            <v>Tapa de poliester reforzado con fibra de vidrio (PRFV), e=6 mm, 1,75m x 1,75m</v>
          </cell>
          <cell r="E412">
            <v>509684.13999999996</v>
          </cell>
        </row>
        <row r="413">
          <cell r="B413" t="str">
            <v>ITFV8</v>
          </cell>
          <cell r="C413" t="str">
            <v>un</v>
          </cell>
          <cell r="D413" t="str">
            <v>Tapa de PRFV de 1,6x0,65m</v>
          </cell>
          <cell r="E413">
            <v>309684</v>
          </cell>
        </row>
        <row r="414">
          <cell r="B414" t="str">
            <v>ITFV9</v>
          </cell>
          <cell r="C414" t="str">
            <v>un</v>
          </cell>
          <cell r="D414" t="str">
            <v>Tapa de PRFV de 1,6x0,6m</v>
          </cell>
          <cell r="E414">
            <v>309684</v>
          </cell>
        </row>
        <row r="415">
          <cell r="B415" t="str">
            <v>ITASB</v>
          </cell>
          <cell r="C415" t="str">
            <v>un</v>
          </cell>
          <cell r="D415" t="str">
            <v>Tapa de seguridad basculante tipo metacol de 4 apoyos de 70cm de diámetro, incluye llave y marco</v>
          </cell>
          <cell r="E415">
            <v>997850.7</v>
          </cell>
        </row>
        <row r="416">
          <cell r="B416" t="str">
            <v>ITAMA</v>
          </cell>
          <cell r="C416" t="str">
            <v>un</v>
          </cell>
          <cell r="D416" t="str">
            <v xml:space="preserve">Tapa métalica y marco para acometida de acueducto </v>
          </cell>
          <cell r="E416">
            <v>89250</v>
          </cell>
        </row>
        <row r="417">
          <cell r="B417" t="str">
            <v>ITAPP</v>
          </cell>
          <cell r="C417" t="str">
            <v>un</v>
          </cell>
          <cell r="D417" t="str">
            <v>Tapa polimérica de 0,30m x 0,30m (e=4mm), Incluye bisagras</v>
          </cell>
          <cell r="E417">
            <v>130900</v>
          </cell>
        </row>
        <row r="418">
          <cell r="B418" t="str">
            <v>ITAPP4</v>
          </cell>
          <cell r="C418" t="str">
            <v>un</v>
          </cell>
          <cell r="D418" t="str">
            <v>Tapa polimérica de 0,60m x 0,60m (e=4mm), Incluye bisagras</v>
          </cell>
          <cell r="E418">
            <v>238000</v>
          </cell>
        </row>
        <row r="419">
          <cell r="B419" t="str">
            <v>ITAPP1</v>
          </cell>
          <cell r="C419" t="str">
            <v>un</v>
          </cell>
          <cell r="D419" t="str">
            <v>Tapa polimérica de 0,90m x 0,90m (e=4mm), Incluye bisagras</v>
          </cell>
          <cell r="E419">
            <v>333200</v>
          </cell>
        </row>
        <row r="420">
          <cell r="B420" t="str">
            <v>ITAPP2</v>
          </cell>
          <cell r="C420" t="str">
            <v>un</v>
          </cell>
          <cell r="D420" t="str">
            <v>Tapa polimérica de 1,00m x 0,50m (e=4mm), Incluye bisagras</v>
          </cell>
          <cell r="E420">
            <v>238000</v>
          </cell>
        </row>
        <row r="421">
          <cell r="B421" t="str">
            <v>ITAPP3</v>
          </cell>
          <cell r="C421" t="str">
            <v>un</v>
          </cell>
          <cell r="D421" t="str">
            <v>Tapa polimérica de 1,10m x 1,00m (e=4mm), Incluye bisagras</v>
          </cell>
          <cell r="E421">
            <v>416500</v>
          </cell>
        </row>
        <row r="422">
          <cell r="B422" t="str">
            <v>ITAPP5</v>
          </cell>
          <cell r="C422" t="str">
            <v>un</v>
          </cell>
          <cell r="D422" t="str">
            <v>Tapa polimérica de 0,85m x 0,90m (e=4mm), Incluye bisagras</v>
          </cell>
          <cell r="E422">
            <v>321300</v>
          </cell>
        </row>
        <row r="423">
          <cell r="B423" t="str">
            <v>ITMH1</v>
          </cell>
          <cell r="C423" t="str">
            <v>un</v>
          </cell>
          <cell r="D423" t="str">
            <v>Tapa polimérica para cámaras de inspección y/o aliviadero de alcantarillado 1,2m de diámetro</v>
          </cell>
          <cell r="E423">
            <v>307892.26999999996</v>
          </cell>
        </row>
        <row r="424">
          <cell r="B424" t="str">
            <v>ITAVM</v>
          </cell>
          <cell r="C424" t="str">
            <v>un</v>
          </cell>
          <cell r="D424" t="str">
            <v>Tapa válvula metálica</v>
          </cell>
          <cell r="E424">
            <v>22086.399999999998</v>
          </cell>
        </row>
        <row r="425">
          <cell r="B425" t="str">
            <v>ITRAA</v>
          </cell>
          <cell r="C425" t="str">
            <v>un</v>
          </cell>
          <cell r="D425" t="str">
            <v>Tarjetas para referenciación de elementos de redes de acueducto y alcantarillado</v>
          </cell>
          <cell r="E425">
            <v>749.69999999999993</v>
          </cell>
        </row>
        <row r="426">
          <cell r="B426" t="str">
            <v>ITEAC</v>
          </cell>
          <cell r="C426" t="str">
            <v>un</v>
          </cell>
          <cell r="D426" t="str">
            <v>Teja de asbesto cemento de 0,90mx1,80m</v>
          </cell>
          <cell r="E426">
            <v>23400</v>
          </cell>
        </row>
        <row r="427">
          <cell r="B427" t="str">
            <v>ITAPA</v>
          </cell>
          <cell r="C427" t="str">
            <v>un</v>
          </cell>
          <cell r="D427" t="str">
            <v>Teja AJONIT POLIC. ADRI 0,7 mm (Cristal 00) No. 10</v>
          </cell>
          <cell r="E427">
            <v>75463</v>
          </cell>
        </row>
        <row r="428">
          <cell r="B428" t="str">
            <v>IT</v>
          </cell>
          <cell r="C428" t="str">
            <v>un</v>
          </cell>
          <cell r="D428" t="str">
            <v>Toma</v>
          </cell>
          <cell r="E428">
            <v>4000</v>
          </cell>
        </row>
        <row r="429">
          <cell r="B429" t="str">
            <v>ITCD</v>
          </cell>
          <cell r="C429" t="str">
            <v>un</v>
          </cell>
          <cell r="D429" t="str">
            <v>Toma corriente doble</v>
          </cell>
          <cell r="E429">
            <v>5950</v>
          </cell>
        </row>
        <row r="430">
          <cell r="B430" t="str">
            <v>ITCGF</v>
          </cell>
          <cell r="C430" t="str">
            <v>un</v>
          </cell>
          <cell r="D430" t="str">
            <v>Toma corriente GFCI</v>
          </cell>
          <cell r="E430">
            <v>38000</v>
          </cell>
        </row>
        <row r="431">
          <cell r="B431" t="str">
            <v>ITI</v>
          </cell>
          <cell r="C431" t="str">
            <v>un</v>
          </cell>
          <cell r="D431" t="str">
            <v>Toma interruptor</v>
          </cell>
          <cell r="E431">
            <v>3000</v>
          </cell>
        </row>
        <row r="432">
          <cell r="B432" t="str">
            <v>ITDPT</v>
          </cell>
          <cell r="C432" t="str">
            <v>un</v>
          </cell>
          <cell r="D432" t="str">
            <v>Toma doble + polo a tierra</v>
          </cell>
          <cell r="E432">
            <v>3990</v>
          </cell>
        </row>
        <row r="433">
          <cell r="B433" t="str">
            <v>ITL125V</v>
          </cell>
          <cell r="C433" t="str">
            <v>un</v>
          </cell>
          <cell r="D433" t="str">
            <v>toma leviton 125 V</v>
          </cell>
          <cell r="E433">
            <v>4500</v>
          </cell>
        </row>
        <row r="434">
          <cell r="B434" t="str">
            <v>ITPC</v>
          </cell>
          <cell r="C434" t="str">
            <v>gl</v>
          </cell>
          <cell r="D434" t="str">
            <v>Tornillos, pernos y conectores</v>
          </cell>
          <cell r="E434">
            <v>65000</v>
          </cell>
        </row>
        <row r="435">
          <cell r="B435" t="str">
            <v>ITEDOR</v>
          </cell>
          <cell r="C435" t="str">
            <v>un</v>
          </cell>
          <cell r="D435" t="str">
            <v>Tornillo espaciador</v>
          </cell>
          <cell r="E435">
            <v>7600</v>
          </cell>
        </row>
        <row r="436">
          <cell r="B436" t="str">
            <v>ITE5/8</v>
          </cell>
          <cell r="C436" t="str">
            <v>un</v>
          </cell>
          <cell r="D436" t="str">
            <v>Tornillo espaciador 5/8" x 10"</v>
          </cell>
          <cell r="E436">
            <v>6000</v>
          </cell>
        </row>
        <row r="437">
          <cell r="B437" t="str">
            <v>ITE</v>
          </cell>
          <cell r="C437" t="str">
            <v>un</v>
          </cell>
          <cell r="D437" t="str">
            <v>Tornillo espigo 4.7mm x 25cm</v>
          </cell>
          <cell r="E437">
            <v>152813</v>
          </cell>
        </row>
        <row r="438">
          <cell r="B438" t="str">
            <v>ITTM3</v>
          </cell>
          <cell r="C438" t="str">
            <v>ml</v>
          </cell>
          <cell r="D438" t="str">
            <v>Torre en tubería metálica, Ø3"</v>
          </cell>
          <cell r="E438">
            <v>214329.71</v>
          </cell>
        </row>
        <row r="439">
          <cell r="B439" t="str">
            <v>ITTM4</v>
          </cell>
          <cell r="C439" t="str">
            <v>ml</v>
          </cell>
          <cell r="D439" t="str">
            <v>Torre en tubería metálica, Ø4"</v>
          </cell>
          <cell r="E439">
            <v>226229.71</v>
          </cell>
        </row>
        <row r="440">
          <cell r="B440" t="str">
            <v>ITDOR</v>
          </cell>
          <cell r="C440" t="str">
            <v>un</v>
          </cell>
          <cell r="D440" t="str">
            <v xml:space="preserve">Totalizador </v>
          </cell>
          <cell r="E440">
            <v>250000</v>
          </cell>
        </row>
        <row r="441">
          <cell r="B441" t="str">
            <v>ITDORTM18C</v>
          </cell>
          <cell r="C441" t="str">
            <v>un</v>
          </cell>
          <cell r="D441" t="str">
            <v>Totalizador para tablero monofásico de 18 circuitos</v>
          </cell>
          <cell r="E441">
            <v>190000</v>
          </cell>
        </row>
        <row r="442">
          <cell r="B442" t="str">
            <v>ITDORTM20C</v>
          </cell>
          <cell r="C442" t="str">
            <v>un</v>
          </cell>
          <cell r="D442" t="str">
            <v>Totalizador para tablero monofásico de 24 circuitos</v>
          </cell>
          <cell r="E442">
            <v>160000</v>
          </cell>
        </row>
        <row r="443">
          <cell r="B443" t="str">
            <v>ITG120L</v>
          </cell>
          <cell r="C443" t="str">
            <v>un</v>
          </cell>
          <cell r="D443" t="str">
            <v>Trampa de grasas 120L</v>
          </cell>
          <cell r="E443">
            <v>297500</v>
          </cell>
        </row>
        <row r="444">
          <cell r="B444" t="str">
            <v>ITRA10</v>
          </cell>
          <cell r="C444" t="str">
            <v>ml</v>
          </cell>
          <cell r="D444" t="str">
            <v>transformador monofásico 10 kVA</v>
          </cell>
          <cell r="E444">
            <v>1834050</v>
          </cell>
        </row>
        <row r="445">
          <cell r="B445" t="str">
            <v>ITRA37</v>
          </cell>
          <cell r="C445" t="str">
            <v>un</v>
          </cell>
          <cell r="D445" t="str">
            <v>Transformador monofásico 37.5kVA</v>
          </cell>
          <cell r="E445">
            <v>2753300</v>
          </cell>
        </row>
        <row r="446">
          <cell r="B446" t="str">
            <v>ITRAI</v>
          </cell>
          <cell r="C446" t="str">
            <v>ml</v>
          </cell>
          <cell r="D446" t="str">
            <v>Trenza de Al. N°2 AWG</v>
          </cell>
          <cell r="E446">
            <v>9500</v>
          </cell>
        </row>
        <row r="447">
          <cell r="B447" t="str">
            <v>ITRI</v>
          </cell>
          <cell r="C447" t="str">
            <v>m3</v>
          </cell>
          <cell r="D447" t="str">
            <v>Triturado</v>
          </cell>
          <cell r="E447">
            <v>60000</v>
          </cell>
        </row>
        <row r="448">
          <cell r="B448" t="str">
            <v>ITPTS</v>
          </cell>
          <cell r="C448" t="str">
            <v>m</v>
          </cell>
          <cell r="D448" t="str">
            <v>Tubería acero rectangular PTS de 50mm X 150mm</v>
          </cell>
          <cell r="E448">
            <v>77707</v>
          </cell>
        </row>
        <row r="449">
          <cell r="B449" t="str">
            <v>ITPTS1</v>
          </cell>
          <cell r="C449" t="str">
            <v>m</v>
          </cell>
          <cell r="D449" t="str">
            <v>Tubería acero rectangular PTS de 70mm X 70mm</v>
          </cell>
          <cell r="E449">
            <v>75400</v>
          </cell>
        </row>
        <row r="450">
          <cell r="B450" t="str">
            <v>ITFM3/4</v>
          </cell>
          <cell r="C450" t="str">
            <v>ml</v>
          </cell>
          <cell r="D450" t="str">
            <v>Tubería flexible metálica 3/4" #8</v>
          </cell>
          <cell r="E450">
            <v>17850</v>
          </cell>
        </row>
        <row r="451">
          <cell r="B451" t="str">
            <v>ITCE</v>
          </cell>
          <cell r="C451" t="str">
            <v>ml</v>
          </cell>
          <cell r="D451" t="str">
            <v>Tuberia cerrada estructural astm A500 grado C</v>
          </cell>
          <cell r="E451">
            <v>13783</v>
          </cell>
        </row>
        <row r="452">
          <cell r="B452" t="str">
            <v>ITO</v>
          </cell>
          <cell r="C452" t="str">
            <v>un</v>
          </cell>
          <cell r="D452" t="str">
            <v>Tuerca de ojo</v>
          </cell>
          <cell r="E452">
            <v>5250</v>
          </cell>
        </row>
        <row r="453">
          <cell r="B453" t="str">
            <v>ITIMC3/4</v>
          </cell>
          <cell r="C453" t="str">
            <v>ml</v>
          </cell>
          <cell r="D453" t="str">
            <v>Tubo IMC 3/4"</v>
          </cell>
          <cell r="E453">
            <v>10000</v>
          </cell>
        </row>
        <row r="454">
          <cell r="B454" t="str">
            <v>ITEMT</v>
          </cell>
          <cell r="C454" t="str">
            <v>un</v>
          </cell>
          <cell r="D454" t="str">
            <v>Tubo EMT</v>
          </cell>
          <cell r="E454">
            <v>5355</v>
          </cell>
        </row>
        <row r="455">
          <cell r="B455" t="str">
            <v>ITEMT1</v>
          </cell>
          <cell r="C455" t="str">
            <v>ml</v>
          </cell>
          <cell r="D455" t="str">
            <v>Tubo EMT 1''</v>
          </cell>
          <cell r="E455">
            <v>13500</v>
          </cell>
        </row>
        <row r="456">
          <cell r="B456" t="str">
            <v>ITIMC 1 1/4'' x 3m</v>
          </cell>
          <cell r="C456" t="str">
            <v>ml</v>
          </cell>
          <cell r="D456" t="str">
            <v>Tubo IMC 1 1/4'' x 3 m</v>
          </cell>
          <cell r="E456">
            <v>29166.899999999998</v>
          </cell>
        </row>
        <row r="457">
          <cell r="B457" t="str">
            <v>ITIMC2"X 3m</v>
          </cell>
          <cell r="C457" t="str">
            <v>un</v>
          </cell>
          <cell r="D457" t="str">
            <v>Tubo IMC 2'' x 3 m</v>
          </cell>
          <cell r="E457">
            <v>97223</v>
          </cell>
        </row>
        <row r="458">
          <cell r="B458" t="str">
            <v>ITICION</v>
          </cell>
          <cell r="C458" t="str">
            <v>un</v>
          </cell>
          <cell r="D458" t="str">
            <v>Tubo iluminación</v>
          </cell>
          <cell r="E458">
            <v>20000</v>
          </cell>
        </row>
        <row r="459">
          <cell r="B459" t="str">
            <v>ITPVC3/4</v>
          </cell>
          <cell r="C459" t="str">
            <v>ml</v>
          </cell>
          <cell r="D459" t="str">
            <v>Tubo PVC 3/4</v>
          </cell>
          <cell r="E459">
            <v>3201</v>
          </cell>
        </row>
        <row r="460">
          <cell r="B460" t="str">
            <v>IUIMC3/4</v>
          </cell>
          <cell r="C460" t="str">
            <v>un</v>
          </cell>
          <cell r="D460" t="str">
            <v>Union IMC 3/4"</v>
          </cell>
          <cell r="E460">
            <v>1500</v>
          </cell>
        </row>
        <row r="461">
          <cell r="B461" t="str">
            <v>IVC5/8</v>
          </cell>
          <cell r="C461" t="str">
            <v>un</v>
          </cell>
          <cell r="D461" t="str">
            <v>Varilla Copperweld 5/8" x 2.4m</v>
          </cell>
          <cell r="E461">
            <v>41061</v>
          </cell>
        </row>
        <row r="462">
          <cell r="B462" t="str">
            <v>IVA</v>
          </cell>
          <cell r="C462" t="str">
            <v>un</v>
          </cell>
          <cell r="D462" t="str">
            <v>Varilla de anclaje</v>
          </cell>
          <cell r="E462">
            <v>25000</v>
          </cell>
        </row>
        <row r="463">
          <cell r="B463" t="str">
            <v>IVA1/2</v>
          </cell>
          <cell r="C463" t="str">
            <v>un</v>
          </cell>
          <cell r="D463" t="str">
            <v xml:space="preserve">Varilla de anclaje, Ø1/2" </v>
          </cell>
          <cell r="E463">
            <v>15590</v>
          </cell>
        </row>
        <row r="464">
          <cell r="B464" t="str">
            <v>IVA5/8</v>
          </cell>
          <cell r="C464" t="str">
            <v>un</v>
          </cell>
          <cell r="D464" t="str">
            <v xml:space="preserve">Varilla de anclaje, Ø5/8" </v>
          </cell>
          <cell r="E464">
            <v>30750</v>
          </cell>
        </row>
        <row r="465">
          <cell r="B465" t="str">
            <v>IVA3/4</v>
          </cell>
          <cell r="C465" t="str">
            <v>un</v>
          </cell>
          <cell r="D465" t="str">
            <v xml:space="preserve">Varilla de anclaje, Ø3/4" </v>
          </cell>
          <cell r="E465">
            <v>46750</v>
          </cell>
        </row>
        <row r="466">
          <cell r="B466" t="str">
            <v>IVPT</v>
          </cell>
          <cell r="C466" t="str">
            <v>un</v>
          </cell>
          <cell r="D466" t="str">
            <v>Varilla puesta tierra 2,4 m</v>
          </cell>
          <cell r="E466">
            <v>91630</v>
          </cell>
        </row>
        <row r="467">
          <cell r="B467" t="str">
            <v>IVCEA</v>
          </cell>
          <cell r="C467" t="str">
            <v>un</v>
          </cell>
          <cell r="D467" t="str">
            <v xml:space="preserve">Ventana con vidrio plano fijo de1,20mx1,20m y 4mm de espesor y celosías con marco en periferia de aluminio </v>
          </cell>
          <cell r="E467">
            <v>130900</v>
          </cell>
        </row>
        <row r="468">
          <cell r="B468" t="str">
            <v>IVCR</v>
          </cell>
          <cell r="C468" t="str">
            <v>un</v>
          </cell>
          <cell r="D468" t="str">
            <v>Ventana con vidrio plano fijo de 1,0mx1,0m y 4mm de espesor, incluye dos manos de pintura anticorrosiva y reja metálica</v>
          </cell>
          <cell r="E468">
            <v>345100</v>
          </cell>
        </row>
        <row r="469">
          <cell r="B469" t="str">
            <v>IVCR1</v>
          </cell>
          <cell r="C469" t="str">
            <v>un</v>
          </cell>
          <cell r="D469" t="str">
            <v>Ventana con vidrio plano fijo de 0,60mx0,40m y 4mm de espesor, incluye dos manos de pintura anticorrosiva y reja metálica</v>
          </cell>
          <cell r="E469">
            <v>226100</v>
          </cell>
        </row>
        <row r="470">
          <cell r="B470" t="str">
            <v>IVCA</v>
          </cell>
          <cell r="C470" t="str">
            <v>un</v>
          </cell>
          <cell r="D470" t="str">
            <v>Ventana corrediza en aluminio crudo de 1m x 1m, incluye vidrio laminado de 6 mm de espesor</v>
          </cell>
          <cell r="E470">
            <v>119000</v>
          </cell>
        </row>
        <row r="471">
          <cell r="B471" t="str">
            <v>IVCA1</v>
          </cell>
          <cell r="C471" t="str">
            <v>un</v>
          </cell>
          <cell r="D471" t="str">
            <v>Ventana corrediza en aluminio crudo de 0,6m x 0,4m, incluye vidrio laminado de 6 mm de espesor</v>
          </cell>
          <cell r="E471">
            <v>65450</v>
          </cell>
        </row>
        <row r="472">
          <cell r="B472" t="str">
            <v>IVAI1</v>
          </cell>
          <cell r="C472" t="str">
            <v>un</v>
          </cell>
          <cell r="D472" t="str">
            <v>Vertedero triangular en acero inoxidable e= 5mm de 0,6m de ancho y 0,5m de altura (incluye pernos tipo ancla de cuña de 1/4" x  2 1/4" en acero inoxidable y empaque de neopreno)</v>
          </cell>
          <cell r="E472">
            <v>273700</v>
          </cell>
        </row>
        <row r="473">
          <cell r="B473" t="str">
            <v>IVAI</v>
          </cell>
          <cell r="C473" t="str">
            <v>un</v>
          </cell>
          <cell r="D473" t="str">
            <v>Vertedero rectangular y triangular soldados entre si en acero inoxidable e= 5 mm (incluye pernos tipo ancla de cuña de 1/4" x  2 1/4" en acero inoxidable y empaque de neopreno)</v>
          </cell>
          <cell r="E473">
            <v>321300</v>
          </cell>
        </row>
        <row r="474">
          <cell r="B474" t="str">
            <v>IVAI2</v>
          </cell>
          <cell r="C474" t="str">
            <v>un</v>
          </cell>
          <cell r="D474" t="str">
            <v>Vertederos rectangulares soldados entre si en acero inoxidable e= 5 mm (incluye pernos tipo ancla de cuña de 1/4" x  2 1/4" en acero inoxidable y empaque de neopreno)</v>
          </cell>
          <cell r="E474">
            <v>524076</v>
          </cell>
        </row>
        <row r="475">
          <cell r="B475" t="str">
            <v>IVM</v>
          </cell>
          <cell r="C475" t="str">
            <v>un</v>
          </cell>
          <cell r="D475" t="str">
            <v>vestida monofasica para transformador</v>
          </cell>
          <cell r="E475">
            <v>750000</v>
          </cell>
        </row>
        <row r="476">
          <cell r="B476" t="str">
            <v>IVMPP</v>
          </cell>
          <cell r="C476" t="str">
            <v>un</v>
          </cell>
          <cell r="D476" t="str">
            <v>vestida monofasica para porte primario</v>
          </cell>
          <cell r="E476">
            <v>75000</v>
          </cell>
        </row>
        <row r="477">
          <cell r="B477" t="str">
            <v>IVP</v>
          </cell>
          <cell r="C477" t="str">
            <v>un</v>
          </cell>
          <cell r="D477" t="str">
            <v>Vidrio plano transparente para ventana de 1,0m x 0,50m y 3mm de espesor</v>
          </cell>
          <cell r="E477">
            <v>124950</v>
          </cell>
        </row>
        <row r="478">
          <cell r="B478" t="str">
            <v>IVC1</v>
          </cell>
          <cell r="C478" t="str">
            <v>ml</v>
          </cell>
          <cell r="D478" t="str">
            <v>Viga cajón PHR 100X50 e=1,50 mm</v>
          </cell>
          <cell r="E478">
            <v>21637.174999999999</v>
          </cell>
        </row>
        <row r="479">
          <cell r="B479" t="str">
            <v>IVC2</v>
          </cell>
          <cell r="C479" t="str">
            <v>ml</v>
          </cell>
          <cell r="D479" t="str">
            <v>Viga cajón PHR 160X60 e=2,00 mm</v>
          </cell>
          <cell r="E479">
            <v>23115.75</v>
          </cell>
        </row>
        <row r="480">
          <cell r="B480" t="str">
            <v>IVC</v>
          </cell>
          <cell r="C480" t="str">
            <v>ml</v>
          </cell>
          <cell r="D480" t="str">
            <v>Viga cajon PHR 305X80 e=3 mm</v>
          </cell>
          <cell r="E480">
            <v>26607.269500000002</v>
          </cell>
        </row>
        <row r="481">
          <cell r="B481" t="str">
            <v>IVIPE80</v>
          </cell>
          <cell r="C481" t="str">
            <v>ml</v>
          </cell>
          <cell r="D481" t="str">
            <v>Viga IPE 80mm</v>
          </cell>
          <cell r="E481">
            <v>18000</v>
          </cell>
        </row>
        <row r="482">
          <cell r="B482" t="str">
            <v>IVIPE100</v>
          </cell>
          <cell r="C482" t="str">
            <v>ml</v>
          </cell>
          <cell r="D482" t="str">
            <v>Viga IPE 100mm</v>
          </cell>
          <cell r="E482">
            <v>28000</v>
          </cell>
        </row>
        <row r="483">
          <cell r="B483">
            <v>0</v>
          </cell>
          <cell r="C483">
            <v>0</v>
          </cell>
          <cell r="D483">
            <v>0</v>
          </cell>
          <cell r="E483">
            <v>0</v>
          </cell>
        </row>
        <row r="484">
          <cell r="B484">
            <v>0</v>
          </cell>
          <cell r="C484">
            <v>0</v>
          </cell>
          <cell r="D484">
            <v>0</v>
          </cell>
          <cell r="E484">
            <v>0</v>
          </cell>
        </row>
        <row r="485">
          <cell r="B485">
            <v>0</v>
          </cell>
          <cell r="C485">
            <v>0</v>
          </cell>
          <cell r="D485">
            <v>0</v>
          </cell>
          <cell r="E485">
            <v>0</v>
          </cell>
        </row>
        <row r="486">
          <cell r="B486">
            <v>0</v>
          </cell>
          <cell r="C486">
            <v>0</v>
          </cell>
          <cell r="D486">
            <v>0</v>
          </cell>
          <cell r="E486">
            <v>0</v>
          </cell>
        </row>
        <row r="487">
          <cell r="B487" t="str">
            <v>LISTADO DE CONCRETOS</v>
          </cell>
          <cell r="C487">
            <v>0</v>
          </cell>
          <cell r="D487">
            <v>0</v>
          </cell>
          <cell r="E487">
            <v>0</v>
          </cell>
        </row>
        <row r="488">
          <cell r="E488" t="str">
            <v>Can</v>
          </cell>
        </row>
        <row r="489">
          <cell r="B489">
            <v>0</v>
          </cell>
          <cell r="C489" t="str">
            <v>m3</v>
          </cell>
          <cell r="D489" t="str">
            <v>Concreto de 28 Mpa (4000psi)</v>
          </cell>
          <cell r="E489" t="str">
            <v>1.1,5.1,75</v>
          </cell>
        </row>
        <row r="490">
          <cell r="B490" t="str">
            <v>IARE</v>
          </cell>
          <cell r="C490" t="str">
            <v>m3</v>
          </cell>
          <cell r="D490" t="str">
            <v>Arena</v>
          </cell>
          <cell r="E490">
            <v>0.53</v>
          </cell>
        </row>
        <row r="491">
          <cell r="B491" t="str">
            <v>ITRI</v>
          </cell>
          <cell r="C491" t="str">
            <v>m3</v>
          </cell>
          <cell r="D491" t="str">
            <v>Triturado</v>
          </cell>
          <cell r="E491">
            <v>0.62</v>
          </cell>
        </row>
        <row r="492">
          <cell r="B492" t="str">
            <v>TI</v>
          </cell>
          <cell r="C492" t="str">
            <v>m3</v>
          </cell>
          <cell r="D492" t="str">
            <v>Transporte interno</v>
          </cell>
          <cell r="E492">
            <v>1.1499999999999999</v>
          </cell>
        </row>
        <row r="493">
          <cell r="B493" t="str">
            <v>ICEM</v>
          </cell>
          <cell r="C493" t="str">
            <v>bul</v>
          </cell>
          <cell r="D493" t="str">
            <v>Cemento (incluye transporte)</v>
          </cell>
          <cell r="E493">
            <v>9</v>
          </cell>
        </row>
        <row r="494">
          <cell r="B494" t="str">
            <v>ECON</v>
          </cell>
          <cell r="C494" t="str">
            <v>m3</v>
          </cell>
          <cell r="D494" t="str">
            <v>Concretadora + vibrador</v>
          </cell>
          <cell r="E494">
            <v>1</v>
          </cell>
        </row>
        <row r="495">
          <cell r="B495" t="str">
            <v>IC28Mpa</v>
          </cell>
          <cell r="C495" t="str">
            <v>m3</v>
          </cell>
          <cell r="D495" t="str">
            <v>Concreto de 28 Mpa (4000psi)</v>
          </cell>
          <cell r="E495">
            <v>0</v>
          </cell>
        </row>
        <row r="496">
          <cell r="D496">
            <v>0</v>
          </cell>
          <cell r="E496">
            <v>0</v>
          </cell>
        </row>
        <row r="497">
          <cell r="B497">
            <v>0</v>
          </cell>
          <cell r="C497" t="str">
            <v>m3</v>
          </cell>
          <cell r="D497" t="str">
            <v>Concreto de 24.5 Mpa (3500psi)</v>
          </cell>
          <cell r="E497" t="str">
            <v>1.2.2</v>
          </cell>
        </row>
        <row r="498">
          <cell r="B498" t="str">
            <v>IARE</v>
          </cell>
          <cell r="C498" t="str">
            <v>m3</v>
          </cell>
          <cell r="D498" t="str">
            <v>Arena</v>
          </cell>
          <cell r="E498">
            <v>0.67</v>
          </cell>
        </row>
        <row r="499">
          <cell r="B499" t="str">
            <v>ITRI</v>
          </cell>
          <cell r="C499" t="str">
            <v>m3</v>
          </cell>
          <cell r="D499" t="str">
            <v>Triturado</v>
          </cell>
          <cell r="E499">
            <v>0.67</v>
          </cell>
        </row>
        <row r="500">
          <cell r="B500" t="str">
            <v>TI</v>
          </cell>
          <cell r="C500" t="str">
            <v>m3</v>
          </cell>
          <cell r="D500" t="str">
            <v>Transporte interno</v>
          </cell>
          <cell r="E500">
            <v>1.34</v>
          </cell>
        </row>
        <row r="501">
          <cell r="B501" t="str">
            <v>ICEM</v>
          </cell>
          <cell r="C501" t="str">
            <v>bul</v>
          </cell>
          <cell r="D501" t="str">
            <v>Cemento (incluye transporte)</v>
          </cell>
          <cell r="E501">
            <v>8.5</v>
          </cell>
        </row>
        <row r="502">
          <cell r="B502" t="str">
            <v>ECON</v>
          </cell>
          <cell r="C502" t="str">
            <v>m3</v>
          </cell>
          <cell r="D502" t="str">
            <v>Concretadora + vibrador</v>
          </cell>
          <cell r="E502">
            <v>3</v>
          </cell>
        </row>
        <row r="503">
          <cell r="B503" t="str">
            <v>IC24Mpa</v>
          </cell>
          <cell r="C503" t="str">
            <v>m3</v>
          </cell>
          <cell r="D503" t="str">
            <v>Concreto de 24.5 Mpa (3500psi)</v>
          </cell>
          <cell r="E503">
            <v>0</v>
          </cell>
        </row>
        <row r="504">
          <cell r="D504">
            <v>0</v>
          </cell>
          <cell r="E504">
            <v>0</v>
          </cell>
        </row>
        <row r="505">
          <cell r="B505">
            <v>0</v>
          </cell>
          <cell r="C505" t="str">
            <v>m3</v>
          </cell>
          <cell r="D505" t="str">
            <v>Concreto de 21 Mpa (3000psi)</v>
          </cell>
          <cell r="E505" t="str">
            <v>1.2.3,5</v>
          </cell>
        </row>
        <row r="506">
          <cell r="B506" t="str">
            <v>IARE</v>
          </cell>
          <cell r="C506" t="str">
            <v>m3</v>
          </cell>
          <cell r="D506" t="str">
            <v>Arena</v>
          </cell>
          <cell r="E506">
            <v>0.52</v>
          </cell>
        </row>
        <row r="507">
          <cell r="B507" t="str">
            <v>ITRI</v>
          </cell>
          <cell r="C507" t="str">
            <v>m3</v>
          </cell>
          <cell r="D507" t="str">
            <v>Triturado</v>
          </cell>
          <cell r="E507">
            <v>0.9</v>
          </cell>
        </row>
        <row r="508">
          <cell r="B508" t="str">
            <v>TI</v>
          </cell>
          <cell r="C508" t="str">
            <v>m3</v>
          </cell>
          <cell r="D508" t="str">
            <v>Transporte interno</v>
          </cell>
          <cell r="E508">
            <v>1.42</v>
          </cell>
        </row>
        <row r="509">
          <cell r="B509" t="str">
            <v>ICEM</v>
          </cell>
          <cell r="C509" t="str">
            <v>bul</v>
          </cell>
          <cell r="D509" t="str">
            <v>Cemento (incluye transporte)</v>
          </cell>
          <cell r="E509">
            <v>6.5</v>
          </cell>
        </row>
        <row r="510">
          <cell r="B510" t="str">
            <v>ECON</v>
          </cell>
          <cell r="C510" t="str">
            <v>m3</v>
          </cell>
          <cell r="D510" t="str">
            <v>Concretadora + vibrador</v>
          </cell>
          <cell r="E510">
            <v>3</v>
          </cell>
        </row>
        <row r="511">
          <cell r="B511" t="str">
            <v>IC21Mpa</v>
          </cell>
          <cell r="C511" t="str">
            <v>m3</v>
          </cell>
          <cell r="D511" t="str">
            <v>Concreto de 21 Mpa (3000psi)</v>
          </cell>
          <cell r="E511">
            <v>0</v>
          </cell>
        </row>
        <row r="512">
          <cell r="D512">
            <v>0</v>
          </cell>
          <cell r="E512">
            <v>0</v>
          </cell>
        </row>
        <row r="513">
          <cell r="B513">
            <v>0</v>
          </cell>
          <cell r="C513" t="str">
            <v>m3</v>
          </cell>
          <cell r="D513" t="str">
            <v>Concreto de 17 Mpa (2500psi)</v>
          </cell>
          <cell r="E513" t="str">
            <v>1.2,5.4,5</v>
          </cell>
        </row>
        <row r="514">
          <cell r="B514" t="str">
            <v>IAREN</v>
          </cell>
          <cell r="C514" t="str">
            <v>m3</v>
          </cell>
          <cell r="D514" t="str">
            <v>Arenilla</v>
          </cell>
          <cell r="E514">
            <v>0.52</v>
          </cell>
        </row>
        <row r="515">
          <cell r="B515" t="str">
            <v>ITRI</v>
          </cell>
          <cell r="C515" t="str">
            <v>m3</v>
          </cell>
          <cell r="D515" t="str">
            <v>Triturado</v>
          </cell>
          <cell r="E515">
            <v>0.9</v>
          </cell>
        </row>
        <row r="516">
          <cell r="B516" t="str">
            <v>TI</v>
          </cell>
          <cell r="C516" t="str">
            <v>m3</v>
          </cell>
          <cell r="D516" t="str">
            <v>Transporte interno</v>
          </cell>
          <cell r="E516">
            <v>1.42</v>
          </cell>
        </row>
        <row r="517">
          <cell r="B517" t="str">
            <v>ICEM</v>
          </cell>
          <cell r="C517" t="str">
            <v>bul</v>
          </cell>
          <cell r="D517" t="str">
            <v>Cemento (incluye transporte)</v>
          </cell>
          <cell r="E517">
            <v>6.5</v>
          </cell>
        </row>
        <row r="518">
          <cell r="B518" t="str">
            <v>ECON</v>
          </cell>
          <cell r="C518" t="str">
            <v>m3</v>
          </cell>
          <cell r="D518" t="str">
            <v>Concretadora + vibrador</v>
          </cell>
          <cell r="E518">
            <v>3</v>
          </cell>
        </row>
        <row r="519">
          <cell r="B519" t="str">
            <v>IC17Mpa</v>
          </cell>
          <cell r="C519" t="str">
            <v>m3</v>
          </cell>
          <cell r="D519" t="str">
            <v>Concreto de 17 Mpa (2500psi)</v>
          </cell>
          <cell r="E519">
            <v>0</v>
          </cell>
        </row>
        <row r="520">
          <cell r="D520">
            <v>0</v>
          </cell>
          <cell r="E520">
            <v>0</v>
          </cell>
        </row>
        <row r="521">
          <cell r="B521">
            <v>0</v>
          </cell>
          <cell r="C521" t="str">
            <v>m3</v>
          </cell>
          <cell r="D521" t="str">
            <v>Concreto de 13 Mpa (2000psi)</v>
          </cell>
          <cell r="E521" t="str">
            <v>1.3.5</v>
          </cell>
        </row>
        <row r="522">
          <cell r="B522" t="str">
            <v>IAREN</v>
          </cell>
          <cell r="C522" t="str">
            <v>m3</v>
          </cell>
          <cell r="D522" t="str">
            <v>Arenilla</v>
          </cell>
          <cell r="E522">
            <v>0.55500000000000005</v>
          </cell>
        </row>
        <row r="523">
          <cell r="B523" t="str">
            <v>ITRI</v>
          </cell>
          <cell r="C523" t="str">
            <v>m3</v>
          </cell>
          <cell r="D523" t="str">
            <v>Triturado</v>
          </cell>
          <cell r="E523">
            <v>0.92</v>
          </cell>
        </row>
        <row r="524">
          <cell r="B524" t="str">
            <v>TI</v>
          </cell>
          <cell r="C524" t="str">
            <v>m3</v>
          </cell>
          <cell r="D524" t="str">
            <v>Transporte interno</v>
          </cell>
          <cell r="E524">
            <v>1.4750000000000001</v>
          </cell>
        </row>
        <row r="525">
          <cell r="B525" t="str">
            <v>ICEM</v>
          </cell>
          <cell r="C525" t="str">
            <v>bul</v>
          </cell>
          <cell r="D525" t="str">
            <v>Cemento (incluye transporte)</v>
          </cell>
          <cell r="E525">
            <v>4.5</v>
          </cell>
        </row>
        <row r="526">
          <cell r="B526" t="str">
            <v>ECON</v>
          </cell>
          <cell r="C526" t="str">
            <v>m3</v>
          </cell>
          <cell r="D526" t="str">
            <v>Concretadora + vibrador</v>
          </cell>
          <cell r="E526">
            <v>3</v>
          </cell>
        </row>
        <row r="527">
          <cell r="B527" t="str">
            <v>IC13Mpa</v>
          </cell>
          <cell r="C527" t="str">
            <v xml:space="preserve">Total </v>
          </cell>
          <cell r="D527" t="str">
            <v>Concreto de 13 Mpa (2000psi)</v>
          </cell>
          <cell r="E527">
            <v>0</v>
          </cell>
        </row>
        <row r="528">
          <cell r="D528">
            <v>0</v>
          </cell>
          <cell r="E528">
            <v>0</v>
          </cell>
        </row>
        <row r="529">
          <cell r="B529" t="str">
            <v>ICCIC</v>
          </cell>
          <cell r="C529" t="str">
            <v>m3</v>
          </cell>
          <cell r="D529" t="str">
            <v>Concreto ciclópeo de f´c=211 kg/cm2 50% sobre tamaño emáx=0,20m</v>
          </cell>
          <cell r="E529">
            <v>0</v>
          </cell>
        </row>
        <row r="530">
          <cell r="D530">
            <v>0</v>
          </cell>
          <cell r="E530">
            <v>0</v>
          </cell>
        </row>
        <row r="531">
          <cell r="B531">
            <v>0</v>
          </cell>
          <cell r="C531" t="str">
            <v>m3</v>
          </cell>
          <cell r="D531" t="str">
            <v>Mortero 17 Mpa (2500psi)</v>
          </cell>
          <cell r="E531" t="str">
            <v>1.3.5</v>
          </cell>
        </row>
        <row r="532">
          <cell r="B532" t="str">
            <v>IAREN</v>
          </cell>
          <cell r="C532" t="str">
            <v>m3</v>
          </cell>
          <cell r="D532" t="str">
            <v>Arenilla</v>
          </cell>
          <cell r="E532">
            <v>1.0900000000000001</v>
          </cell>
        </row>
        <row r="533">
          <cell r="B533" t="str">
            <v>TI</v>
          </cell>
          <cell r="C533" t="str">
            <v>m3</v>
          </cell>
          <cell r="D533" t="str">
            <v>Transporte interno</v>
          </cell>
          <cell r="E533">
            <v>1.0900000000000001</v>
          </cell>
        </row>
        <row r="534">
          <cell r="B534" t="str">
            <v>ICEM</v>
          </cell>
          <cell r="C534" t="str">
            <v>bul</v>
          </cell>
          <cell r="D534" t="str">
            <v>Cemento (incluye transporte)</v>
          </cell>
          <cell r="E534">
            <v>9</v>
          </cell>
        </row>
        <row r="535">
          <cell r="B535" t="str">
            <v>IM17Mpa</v>
          </cell>
          <cell r="C535" t="str">
            <v>m3</v>
          </cell>
          <cell r="D535" t="str">
            <v>Mortero 17 Mpa (2500psi)</v>
          </cell>
          <cell r="E535">
            <v>0</v>
          </cell>
        </row>
        <row r="536">
          <cell r="D536">
            <v>0</v>
          </cell>
          <cell r="E536">
            <v>0</v>
          </cell>
        </row>
        <row r="537">
          <cell r="D537">
            <v>0</v>
          </cell>
          <cell r="E537">
            <v>0</v>
          </cell>
        </row>
        <row r="538">
          <cell r="D538">
            <v>0</v>
          </cell>
          <cell r="E538">
            <v>0</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refreshError="1"/>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ow r="1">
          <cell r="A1">
            <v>0</v>
          </cell>
        </row>
      </sheetData>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LARACIONES"/>
      <sheetName val="ENTIDADES"/>
      <sheetName val="DATOS INICIALES"/>
      <sheetName val="PRESUPUESTO"/>
      <sheetName val="MEMORIAS"/>
      <sheetName val="AIU"/>
      <sheetName val="PÓLIZAS OBRA"/>
      <sheetName val="LEGALIZACIÓN OBRA"/>
      <sheetName val="PMA"/>
      <sheetName val="PMT"/>
      <sheetName val="PAPSO OBRA"/>
      <sheetName val="APU GEORREFERENCIACIÓN"/>
      <sheetName val="APU CARACTERIZACIÓN"/>
      <sheetName val="AJUSTE ESTUDIOS"/>
      <sheetName val="APU"/>
      <sheetName val="APU AUXILIARES"/>
      <sheetName val="INSUMOS GENERALES"/>
      <sheetName val="INSUMOS EQUIPOS"/>
      <sheetName val="INSUMOS MATERIALES"/>
      <sheetName val="MATERIALES"/>
      <sheetName val="INSUMOS TRANSPORTES"/>
      <sheetName val="INSUMOS MANO DE OBRA"/>
      <sheetName val="INSUMOS SERVICIOS"/>
      <sheetName val="EQUIPOS"/>
      <sheetName val="TRANSPORTES"/>
      <sheetName val="MANO DE OBRA"/>
      <sheetName val="SERVICIOS"/>
      <sheetName val="ANÁLISIS TRANSPORTES"/>
      <sheetName val="FP"/>
      <sheetName val="INSUMOS ENSAYOS"/>
      <sheetName val="FACTOR PRESTACIONAL"/>
      <sheetName val="INTERVENTORÍA"/>
      <sheetName val="FM INTERVENTORÍA"/>
      <sheetName val="PÓLIZAS INTERVENTORÍA"/>
      <sheetName val="TASAS_INTERVENTORIA"/>
      <sheetName val="PAPSO INTERVENTORÍ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DEPARTAMENTO DE ANTIOQUIA</v>
          </cell>
        </row>
        <row r="2">
          <cell r="A2" t="str">
            <v>MUNICIPIO DE SAN PEDRO DE LOS MILAGROS</v>
          </cell>
        </row>
        <row r="3">
          <cell r="A3" t="str">
            <v>PROYECTO: Adecuación urbanística del espacio público articulado – EPA -San José en la zona urbana del municipio de San Pedro de los Milagros</v>
          </cell>
          <cell r="C3" t="str">
            <v>INSERTE ESCUDO ENTIDAD AQUÍ</v>
          </cell>
        </row>
        <row r="5">
          <cell r="A5" t="str">
            <v>LISTADO DE INSUMOS - MATERIALES</v>
          </cell>
        </row>
        <row r="7">
          <cell r="A7" t="str">
            <v>CÓDIGO</v>
          </cell>
          <cell r="B7" t="str">
            <v>DESCRIPCIÓN</v>
          </cell>
          <cell r="C7" t="str">
            <v>UNIDAD</v>
          </cell>
          <cell r="D7" t="str">
            <v>VALOR UNITARIO</v>
          </cell>
        </row>
        <row r="8">
          <cell r="B8" t="str">
            <v>APU AUXILIARES</v>
          </cell>
        </row>
        <row r="9">
          <cell r="A9" t="str">
            <v>SA001</v>
          </cell>
          <cell r="B9" t="str">
            <v>CONCRETO 2000 PSI (140 MPA) EN OBRA</v>
          </cell>
          <cell r="C9" t="str">
            <v>M3</v>
          </cell>
          <cell r="D9">
            <v>395250</v>
          </cell>
        </row>
        <row r="10">
          <cell r="A10" t="str">
            <v>SA002</v>
          </cell>
          <cell r="B10" t="str">
            <v>CONCRETO 2500 PSI (175 MPA) EN OBRA</v>
          </cell>
          <cell r="C10" t="str">
            <v>M3</v>
          </cell>
          <cell r="D10">
            <v>412560</v>
          </cell>
        </row>
        <row r="11">
          <cell r="A11" t="str">
            <v>SA003</v>
          </cell>
          <cell r="B11" t="str">
            <v>CONCRETO 3000 PSI (210 MPA) EN OBRA</v>
          </cell>
          <cell r="C11" t="str">
            <v>M3</v>
          </cell>
          <cell r="D11">
            <v>556695</v>
          </cell>
        </row>
        <row r="12">
          <cell r="A12" t="str">
            <v>SA004</v>
          </cell>
          <cell r="B12" t="str">
            <v>CONCRETO 3500 PSI (245 MPA) EN OBRA</v>
          </cell>
          <cell r="C12" t="str">
            <v>M3</v>
          </cell>
          <cell r="D12">
            <v>553271</v>
          </cell>
        </row>
        <row r="13">
          <cell r="A13" t="str">
            <v>SA005</v>
          </cell>
          <cell r="B13" t="str">
            <v>CONCRETO 4000 PSI (280 MPA) EN OBRA</v>
          </cell>
          <cell r="C13" t="str">
            <v>M3</v>
          </cell>
          <cell r="D13">
            <v>615201</v>
          </cell>
        </row>
        <row r="14">
          <cell r="A14" t="str">
            <v>SA006</v>
          </cell>
          <cell r="B14" t="str">
            <v>MORTERO 1:2 EN OBRA (REVOQUE)</v>
          </cell>
          <cell r="C14" t="str">
            <v>M3</v>
          </cell>
          <cell r="D14">
            <v>578119</v>
          </cell>
        </row>
        <row r="15">
          <cell r="A15" t="str">
            <v>SA007</v>
          </cell>
          <cell r="B15" t="str">
            <v>MORTERO 1:2 EN OBRA (GROUT)</v>
          </cell>
          <cell r="C15" t="str">
            <v>M3</v>
          </cell>
          <cell r="D15">
            <v>547564</v>
          </cell>
        </row>
        <row r="16">
          <cell r="A16" t="str">
            <v>SA008</v>
          </cell>
          <cell r="B16" t="str">
            <v>MORTERO 1:3 EN OBRA (REVOQUE)</v>
          </cell>
          <cell r="C16" t="str">
            <v>M3</v>
          </cell>
          <cell r="D16">
            <v>570631</v>
          </cell>
        </row>
        <row r="17">
          <cell r="A17" t="str">
            <v>SA009</v>
          </cell>
          <cell r="B17" t="str">
            <v>MORTERO 1:3 EN OBRA (GROUT)</v>
          </cell>
          <cell r="C17" t="str">
            <v>M3</v>
          </cell>
          <cell r="D17">
            <v>536296</v>
          </cell>
        </row>
        <row r="18">
          <cell r="A18" t="str">
            <v>SA010</v>
          </cell>
          <cell r="B18" t="str">
            <v>MORTERO 1:3 EN OBRA (PEGA)</v>
          </cell>
          <cell r="C18" t="str">
            <v>M3</v>
          </cell>
          <cell r="D18">
            <v>519129</v>
          </cell>
        </row>
        <row r="19">
          <cell r="A19" t="str">
            <v>SA011</v>
          </cell>
          <cell r="B19" t="str">
            <v>MORTERO 1:4 EN OBRA (REVOQUE)</v>
          </cell>
          <cell r="C19" t="str">
            <v>M3</v>
          </cell>
          <cell r="D19">
            <v>532059</v>
          </cell>
        </row>
        <row r="20">
          <cell r="A20" t="str">
            <v>SA012</v>
          </cell>
          <cell r="B20" t="str">
            <v>MORTERO 1:4 EN OBRA (GROUT)</v>
          </cell>
          <cell r="C20" t="str">
            <v>M3</v>
          </cell>
          <cell r="D20">
            <v>405000</v>
          </cell>
        </row>
        <row r="21">
          <cell r="A21" t="str">
            <v>SA013</v>
          </cell>
          <cell r="B21" t="str">
            <v>MORTERO 1:4 EN OBRA (PEGA)</v>
          </cell>
          <cell r="C21" t="str">
            <v>M3</v>
          </cell>
          <cell r="D21">
            <v>477249</v>
          </cell>
        </row>
        <row r="22">
          <cell r="A22" t="str">
            <v>SA014</v>
          </cell>
          <cell r="B22" t="str">
            <v>MORTERO 1:5 EN OBRA (REVOQUE)</v>
          </cell>
          <cell r="C22" t="str">
            <v>M3</v>
          </cell>
          <cell r="D22">
            <v>498337</v>
          </cell>
        </row>
        <row r="23">
          <cell r="A23" t="str">
            <v>SA015</v>
          </cell>
          <cell r="B23" t="str">
            <v>MORTERO 1:5 EN OBRA (PEGA)</v>
          </cell>
          <cell r="C23" t="str">
            <v>M3</v>
          </cell>
          <cell r="D23">
            <v>442582</v>
          </cell>
        </row>
        <row r="24">
          <cell r="A24" t="str">
            <v>SA016</v>
          </cell>
          <cell r="B24" t="str">
            <v>MORTERO 1:6 EN OBRA (PEGA)</v>
          </cell>
          <cell r="C24" t="str">
            <v>M3</v>
          </cell>
          <cell r="D24">
            <v>420502</v>
          </cell>
        </row>
        <row r="25">
          <cell r="A25" t="str">
            <v>SA017</v>
          </cell>
          <cell r="B25" t="str">
            <v>FORMALETA PARA MUROS, ALETAS, DISIPADORES Y ESTRIBOS (UN SOLO USO. VALIDAR NÚMERO DE REUSOS DE ACUERDO A LA ESTRUCTURA)</v>
          </cell>
          <cell r="C25" t="str">
            <v>M2</v>
          </cell>
          <cell r="D25">
            <v>54993</v>
          </cell>
        </row>
        <row r="26">
          <cell r="A26" t="str">
            <v>SA018</v>
          </cell>
          <cell r="D26" t="str">
            <v/>
          </cell>
        </row>
        <row r="27">
          <cell r="A27" t="str">
            <v>SA019</v>
          </cell>
          <cell r="D27" t="str">
            <v/>
          </cell>
        </row>
        <row r="28">
          <cell r="B28" t="str">
            <v>MATERIALES</v>
          </cell>
        </row>
        <row r="29">
          <cell r="A29" t="str">
            <v>MA001</v>
          </cell>
          <cell r="B29" t="str">
            <v>CEMENTO GRIS (50 KG) PORTLAND TIPO I</v>
          </cell>
          <cell r="C29" t="str">
            <v>SC</v>
          </cell>
          <cell r="D29">
            <v>27000</v>
          </cell>
        </row>
        <row r="30">
          <cell r="A30" t="str">
            <v>MA002</v>
          </cell>
          <cell r="B30" t="str">
            <v xml:space="preserve">ARENA DE PEGA </v>
          </cell>
          <cell r="C30" t="str">
            <v>M3</v>
          </cell>
          <cell r="D30">
            <v>100000</v>
          </cell>
        </row>
        <row r="31">
          <cell r="A31" t="str">
            <v>MA003</v>
          </cell>
          <cell r="B31" t="str">
            <v xml:space="preserve">ARENA DE REVOQUE </v>
          </cell>
          <cell r="C31" t="str">
            <v>M3</v>
          </cell>
          <cell r="D31">
            <v>145000</v>
          </cell>
        </row>
        <row r="32">
          <cell r="A32" t="str">
            <v>MA004</v>
          </cell>
          <cell r="B32" t="str">
            <v>ARENA FINA PARA CONCRETOS</v>
          </cell>
          <cell r="C32" t="str">
            <v>M3</v>
          </cell>
          <cell r="D32">
            <v>115000</v>
          </cell>
        </row>
        <row r="33">
          <cell r="A33" t="str">
            <v>MA005</v>
          </cell>
          <cell r="B33" t="str">
            <v>TRITURADO 3/4"</v>
          </cell>
          <cell r="C33" t="str">
            <v>M3</v>
          </cell>
          <cell r="D33">
            <v>115000</v>
          </cell>
        </row>
        <row r="34">
          <cell r="A34" t="str">
            <v>MA006</v>
          </cell>
          <cell r="B34" t="str">
            <v>AGUA</v>
          </cell>
          <cell r="C34" t="str">
            <v>LT</v>
          </cell>
          <cell r="D34">
            <v>50</v>
          </cell>
        </row>
        <row r="35">
          <cell r="A35" t="str">
            <v>MA007</v>
          </cell>
          <cell r="B35" t="str">
            <v>SUBBASE GRANULAR</v>
          </cell>
          <cell r="C35" t="str">
            <v>M3</v>
          </cell>
          <cell r="D35">
            <v>52582</v>
          </cell>
        </row>
        <row r="36">
          <cell r="A36" t="str">
            <v>MA008</v>
          </cell>
          <cell r="B36" t="str">
            <v>BASE GRANULAR</v>
          </cell>
          <cell r="C36" t="str">
            <v>M3</v>
          </cell>
          <cell r="D36">
            <v>60327</v>
          </cell>
        </row>
        <row r="37">
          <cell r="A37" t="str">
            <v>MA009</v>
          </cell>
          <cell r="B37" t="str">
            <v>ACERO REFUERZO G-60 FIGURADO</v>
          </cell>
          <cell r="C37" t="str">
            <v>KG</v>
          </cell>
          <cell r="D37">
            <v>7000</v>
          </cell>
        </row>
        <row r="38">
          <cell r="A38" t="str">
            <v>MA010</v>
          </cell>
          <cell r="B38" t="str">
            <v>ALAMBRE RECOCIDO C 18</v>
          </cell>
          <cell r="C38" t="str">
            <v>KG</v>
          </cell>
          <cell r="D38">
            <v>12400</v>
          </cell>
        </row>
        <row r="39">
          <cell r="A39" t="str">
            <v>MA011</v>
          </cell>
          <cell r="B39" t="str">
            <v>LARGUERO MADERA COMÚN 4CMX8CMX2.80</v>
          </cell>
          <cell r="C39" t="str">
            <v>UN</v>
          </cell>
          <cell r="D39">
            <v>10000</v>
          </cell>
        </row>
        <row r="40">
          <cell r="A40" t="str">
            <v>MA012</v>
          </cell>
          <cell r="B40" t="str">
            <v>TABLERO AGLOMERADO MDP (SUPER T) 1.83 X 2.44</v>
          </cell>
          <cell r="C40" t="str">
            <v>UN</v>
          </cell>
          <cell r="D40">
            <v>151900</v>
          </cell>
        </row>
        <row r="41">
          <cell r="A41" t="str">
            <v>MA013</v>
          </cell>
          <cell r="B41" t="str">
            <v>CLAVOS COMUNES 1½ A 3½"</v>
          </cell>
          <cell r="C41" t="str">
            <v>LB</v>
          </cell>
          <cell r="D41">
            <v>4000</v>
          </cell>
        </row>
        <row r="42">
          <cell r="A42" t="str">
            <v>MA014</v>
          </cell>
          <cell r="B42" t="str">
            <v>ESFERA REFLECTIVA</v>
          </cell>
          <cell r="C42" t="str">
            <v>KG</v>
          </cell>
          <cell r="D42">
            <v>6200</v>
          </cell>
        </row>
        <row r="43">
          <cell r="A43" t="str">
            <v>MA015</v>
          </cell>
          <cell r="B43" t="str">
            <v>PINTURA ACRILICA EN FRIO</v>
          </cell>
          <cell r="C43" t="str">
            <v>GAL</v>
          </cell>
          <cell r="D43">
            <v>92900</v>
          </cell>
        </row>
        <row r="44">
          <cell r="A44" t="str">
            <v>MA016</v>
          </cell>
          <cell r="B44" t="str">
            <v>MEZCLA ASFÁLTICA MDC-25 (RODADURA  1" AL 5.6% - INVÍAS)</v>
          </cell>
          <cell r="C44" t="str">
            <v>TON</v>
          </cell>
          <cell r="D44">
            <v>319277</v>
          </cell>
        </row>
        <row r="45">
          <cell r="A45" t="str">
            <v>MA017</v>
          </cell>
          <cell r="B45" t="str">
            <v>PARAL EN ÁNGULO 2"X2"X1/4" Y BRAZO EN ÁNGULO 2"X2"X1/8</v>
          </cell>
          <cell r="C45" t="str">
            <v>UN</v>
          </cell>
          <cell r="D45">
            <v>96000</v>
          </cell>
        </row>
        <row r="46">
          <cell r="A46" t="str">
            <v>MA018</v>
          </cell>
          <cell r="B46" t="str">
            <v>TABLERO LAMINA GALVANIZADA CALIBRE 16- MATERIAL REFLECTIVO TIPO IX -ETIQUETA DE IDENTIFICACION</v>
          </cell>
          <cell r="C46" t="str">
            <v>UN</v>
          </cell>
          <cell r="D46">
            <v>128000</v>
          </cell>
        </row>
        <row r="47">
          <cell r="A47" t="str">
            <v>MA019</v>
          </cell>
          <cell r="B47" t="str">
            <v xml:space="preserve">Malla Zaran </v>
          </cell>
          <cell r="C47" t="str">
            <v>m2</v>
          </cell>
          <cell r="D47">
            <v>3400</v>
          </cell>
        </row>
        <row r="48">
          <cell r="A48" t="str">
            <v>MA020</v>
          </cell>
          <cell r="B48" t="str">
            <v>Telera</v>
          </cell>
          <cell r="C48" t="str">
            <v>m3</v>
          </cell>
          <cell r="D48">
            <v>19500</v>
          </cell>
        </row>
        <row r="49">
          <cell r="A49" t="str">
            <v>MA021</v>
          </cell>
          <cell r="B49" t="str">
            <v>Teja ondulada</v>
          </cell>
          <cell r="C49" t="str">
            <v>unidad</v>
          </cell>
          <cell r="D49">
            <v>50200</v>
          </cell>
        </row>
        <row r="50">
          <cell r="A50" t="str">
            <v>MA022</v>
          </cell>
          <cell r="B50" t="str">
            <v>Amarras</v>
          </cell>
          <cell r="C50" t="str">
            <v>unidad</v>
          </cell>
          <cell r="D50">
            <v>520</v>
          </cell>
        </row>
        <row r="51">
          <cell r="A51" t="str">
            <v>MA023</v>
          </cell>
          <cell r="B51" t="str">
            <v xml:space="preserve">Clavo Comun </v>
          </cell>
          <cell r="C51" t="str">
            <v>lb</v>
          </cell>
          <cell r="D51">
            <v>4850</v>
          </cell>
        </row>
        <row r="52">
          <cell r="A52" t="str">
            <v>MA024</v>
          </cell>
          <cell r="B52" t="str">
            <v xml:space="preserve">Provisional de energia </v>
          </cell>
          <cell r="C52" t="str">
            <v>unidad</v>
          </cell>
          <cell r="D52">
            <v>5650400</v>
          </cell>
        </row>
        <row r="53">
          <cell r="A53" t="str">
            <v>MA025</v>
          </cell>
          <cell r="B53" t="str">
            <v xml:space="preserve">Provisional de acueducto </v>
          </cell>
          <cell r="C53" t="str">
            <v>unidad</v>
          </cell>
          <cell r="D53">
            <v>4356000</v>
          </cell>
        </row>
        <row r="54">
          <cell r="A54" t="str">
            <v>MA026</v>
          </cell>
          <cell r="B54" t="str">
            <v>Alquiler y mantenimiento de pozos septico (3 unidades)</v>
          </cell>
          <cell r="C54" t="str">
            <v>unidad</v>
          </cell>
          <cell r="D54">
            <v>859500</v>
          </cell>
        </row>
        <row r="55">
          <cell r="A55" t="str">
            <v>MA027</v>
          </cell>
          <cell r="B55" t="str">
            <v>Formaleta Anillos</v>
          </cell>
          <cell r="C55" t="str">
            <v>m2</v>
          </cell>
          <cell r="D55">
            <v>15717</v>
          </cell>
        </row>
        <row r="56">
          <cell r="A56" t="str">
            <v>MA028</v>
          </cell>
          <cell r="B56" t="str">
            <v>Arenilla</v>
          </cell>
          <cell r="C56" t="str">
            <v>m3</v>
          </cell>
          <cell r="D56">
            <v>36804</v>
          </cell>
        </row>
        <row r="57">
          <cell r="A57" t="str">
            <v>MA029</v>
          </cell>
          <cell r="B57" t="str">
            <v>Formaleta para contrapiso</v>
          </cell>
          <cell r="C57" t="str">
            <v>ml</v>
          </cell>
          <cell r="D57">
            <v>28500</v>
          </cell>
        </row>
        <row r="58">
          <cell r="A58" t="str">
            <v>MA030</v>
          </cell>
          <cell r="B58" t="str">
            <v>Impermeabilizante</v>
          </cell>
          <cell r="C58" t="str">
            <v>Kg</v>
          </cell>
          <cell r="D58">
            <v>9350</v>
          </cell>
        </row>
        <row r="59">
          <cell r="A59" t="str">
            <v>MA031</v>
          </cell>
          <cell r="B59" t="str">
            <v>Malla electrosoldada D84</v>
          </cell>
          <cell r="C59" t="str">
            <v>kg</v>
          </cell>
          <cell r="D59">
            <v>6000</v>
          </cell>
        </row>
        <row r="60">
          <cell r="A60" t="str">
            <v>MA032</v>
          </cell>
          <cell r="B60" t="str">
            <v>Acero de refuerzp Fy= 420 Mpa</v>
          </cell>
          <cell r="C60" t="str">
            <v>Kg</v>
          </cell>
          <cell r="D60">
            <v>5600</v>
          </cell>
        </row>
        <row r="61">
          <cell r="A61" t="str">
            <v>MA033</v>
          </cell>
          <cell r="B61" t="str">
            <v>Aditivo</v>
          </cell>
          <cell r="C61" t="str">
            <v>Kg</v>
          </cell>
          <cell r="D61">
            <v>1680</v>
          </cell>
        </row>
        <row r="62">
          <cell r="A62" t="str">
            <v>MA034</v>
          </cell>
          <cell r="B62" t="str">
            <v>Formaleta para mortero</v>
          </cell>
          <cell r="C62" t="str">
            <v>ml</v>
          </cell>
          <cell r="D62">
            <v>28500</v>
          </cell>
        </row>
        <row r="63">
          <cell r="A63" t="str">
            <v>MA035</v>
          </cell>
          <cell r="B63" t="str">
            <v>Formaleta para losa</v>
          </cell>
          <cell r="C63" t="str">
            <v>m2</v>
          </cell>
          <cell r="D63">
            <v>159525</v>
          </cell>
        </row>
        <row r="64">
          <cell r="A64" t="str">
            <v>MA036</v>
          </cell>
          <cell r="B64" t="str">
            <v>Formaleta para columna</v>
          </cell>
          <cell r="C64" t="str">
            <v>m2</v>
          </cell>
          <cell r="D64">
            <v>144500</v>
          </cell>
        </row>
        <row r="65">
          <cell r="A65" t="str">
            <v>MA037</v>
          </cell>
          <cell r="B65" t="str">
            <v xml:space="preserve">Biseles borde de columna </v>
          </cell>
          <cell r="C65" t="str">
            <v>ml</v>
          </cell>
          <cell r="D65">
            <v>1520</v>
          </cell>
        </row>
        <row r="66">
          <cell r="A66" t="str">
            <v>MA038</v>
          </cell>
          <cell r="B66" t="str">
            <v>Formaleta para escalas</v>
          </cell>
          <cell r="C66" t="str">
            <v>m2</v>
          </cell>
          <cell r="D66">
            <v>112523</v>
          </cell>
        </row>
        <row r="67">
          <cell r="A67" t="str">
            <v>MA039</v>
          </cell>
          <cell r="B67" t="str">
            <v>Concreto 21Mpa</v>
          </cell>
          <cell r="C67" t="str">
            <v>m3</v>
          </cell>
          <cell r="D67">
            <v>552585</v>
          </cell>
        </row>
        <row r="68">
          <cell r="A68" t="str">
            <v>MA040</v>
          </cell>
          <cell r="B68" t="str">
            <v>concreto 28 Mpa</v>
          </cell>
          <cell r="C68" t="str">
            <v>m3</v>
          </cell>
          <cell r="D68">
            <v>648201</v>
          </cell>
        </row>
        <row r="69">
          <cell r="A69" t="str">
            <v>MA041</v>
          </cell>
          <cell r="B69" t="str">
            <v>Cortina enrollable para cerramiento de locales calibre 18</v>
          </cell>
          <cell r="C69" t="str">
            <v>m2</v>
          </cell>
          <cell r="D69">
            <v>91500</v>
          </cell>
        </row>
        <row r="70">
          <cell r="A70" t="str">
            <v>MA042</v>
          </cell>
          <cell r="B70" t="str">
            <v>Cerradura</v>
          </cell>
          <cell r="C70" t="str">
            <v>und</v>
          </cell>
          <cell r="D70">
            <v>115400</v>
          </cell>
        </row>
        <row r="71">
          <cell r="A71" t="str">
            <v>MA043</v>
          </cell>
          <cell r="B71" t="str">
            <v>Puerta y marco calibre 18</v>
          </cell>
          <cell r="C71" t="str">
            <v>und</v>
          </cell>
          <cell r="D71">
            <v>420050</v>
          </cell>
        </row>
        <row r="72">
          <cell r="A72" t="str">
            <v>MA044</v>
          </cell>
          <cell r="B72" t="str">
            <v>puerta y marco calibre 18- (1.2 x 3.3 )</v>
          </cell>
          <cell r="C72" t="str">
            <v>und</v>
          </cell>
          <cell r="D72">
            <v>665359</v>
          </cell>
        </row>
        <row r="73">
          <cell r="A73" t="str">
            <v>MA045</v>
          </cell>
          <cell r="B73" t="str">
            <v>puerta y marco calibre 18 (0.8 x2.5)</v>
          </cell>
          <cell r="C73" t="str">
            <v>und</v>
          </cell>
          <cell r="D73">
            <v>336040</v>
          </cell>
        </row>
        <row r="74">
          <cell r="A74" t="str">
            <v>MA046</v>
          </cell>
          <cell r="B74" t="str">
            <v>tubo galvanizado de 2"</v>
          </cell>
          <cell r="C74" t="str">
            <v>m</v>
          </cell>
          <cell r="D74">
            <v>40000</v>
          </cell>
        </row>
        <row r="75">
          <cell r="A75" t="str">
            <v>MA047</v>
          </cell>
          <cell r="B75" t="str">
            <v>Platina 6m x 1-1/2 x 1/4 pulg</v>
          </cell>
          <cell r="C75" t="str">
            <v>m</v>
          </cell>
          <cell r="D75">
            <v>10000</v>
          </cell>
        </row>
        <row r="76">
          <cell r="A76" t="str">
            <v>MA048</v>
          </cell>
          <cell r="B76" t="str">
            <v>Perno expansivo</v>
          </cell>
          <cell r="C76" t="str">
            <v>un</v>
          </cell>
          <cell r="D76">
            <v>6000</v>
          </cell>
        </row>
        <row r="77">
          <cell r="A77" t="str">
            <v>MA049</v>
          </cell>
          <cell r="B77" t="str">
            <v>Tinner</v>
          </cell>
          <cell r="C77" t="str">
            <v>gal</v>
          </cell>
          <cell r="D77">
            <v>25000</v>
          </cell>
        </row>
        <row r="78">
          <cell r="A78" t="str">
            <v>MA050</v>
          </cell>
          <cell r="B78" t="str">
            <v>Pintura</v>
          </cell>
          <cell r="C78" t="str">
            <v>gal</v>
          </cell>
          <cell r="D78">
            <v>40000</v>
          </cell>
        </row>
        <row r="79">
          <cell r="A79" t="str">
            <v>MA051</v>
          </cell>
          <cell r="B79" t="str">
            <v>Soldadura</v>
          </cell>
          <cell r="C79" t="str">
            <v>und</v>
          </cell>
          <cell r="D79">
            <v>4500</v>
          </cell>
        </row>
        <row r="80">
          <cell r="A80" t="str">
            <v>MA052</v>
          </cell>
          <cell r="B80" t="str">
            <v>Tubo metalico</v>
          </cell>
          <cell r="C80" t="str">
            <v>und</v>
          </cell>
          <cell r="D80">
            <v>53500</v>
          </cell>
        </row>
        <row r="81">
          <cell r="A81" t="str">
            <v>MA053</v>
          </cell>
          <cell r="B81" t="str">
            <v>Platina 2</v>
          </cell>
          <cell r="C81" t="str">
            <v>un</v>
          </cell>
          <cell r="D81">
            <v>35200</v>
          </cell>
        </row>
        <row r="82">
          <cell r="A82" t="str">
            <v>MA054</v>
          </cell>
          <cell r="B82" t="str">
            <v>Ventana de aluminio</v>
          </cell>
          <cell r="C82" t="str">
            <v>m2</v>
          </cell>
          <cell r="D82">
            <v>180000</v>
          </cell>
        </row>
        <row r="83">
          <cell r="A83" t="str">
            <v>MA055</v>
          </cell>
          <cell r="B83" t="str">
            <v>divisiones de baños, tabiques, puertas, con paneles entamborados con un espesor de 30 mm.</v>
          </cell>
          <cell r="C83" t="str">
            <v>m2</v>
          </cell>
          <cell r="D83">
            <v>850000</v>
          </cell>
        </row>
        <row r="84">
          <cell r="A84" t="str">
            <v>MA056</v>
          </cell>
          <cell r="B84" t="str">
            <v xml:space="preserve">Meson corrido para lavamanos </v>
          </cell>
          <cell r="C84" t="str">
            <v>m2</v>
          </cell>
          <cell r="D84">
            <v>750000</v>
          </cell>
        </row>
        <row r="85">
          <cell r="A85" t="str">
            <v>MA057</v>
          </cell>
          <cell r="B85" t="str">
            <v>Barra de seguridad</v>
          </cell>
          <cell r="C85" t="str">
            <v>unidad</v>
          </cell>
          <cell r="D85">
            <v>185000</v>
          </cell>
        </row>
        <row r="86">
          <cell r="A86" t="str">
            <v>MA058</v>
          </cell>
          <cell r="B86" t="str">
            <v>Bloque (20x20x40)</v>
          </cell>
          <cell r="C86" t="str">
            <v>und</v>
          </cell>
          <cell r="D86">
            <v>3600</v>
          </cell>
        </row>
        <row r="87">
          <cell r="A87" t="str">
            <v>MA059</v>
          </cell>
          <cell r="B87" t="str">
            <v>Mortero 1:3</v>
          </cell>
          <cell r="C87" t="str">
            <v>m3</v>
          </cell>
          <cell r="D87">
            <v>317890</v>
          </cell>
        </row>
        <row r="88">
          <cell r="A88" t="str">
            <v>MA060</v>
          </cell>
          <cell r="B88" t="str">
            <v>Pintura Tipo 1</v>
          </cell>
          <cell r="C88" t="str">
            <v>gl</v>
          </cell>
          <cell r="D88">
            <v>56900</v>
          </cell>
        </row>
        <row r="89">
          <cell r="A89" t="str">
            <v>MA061</v>
          </cell>
          <cell r="B89" t="str">
            <v>Estuco</v>
          </cell>
          <cell r="C89" t="str">
            <v>gl</v>
          </cell>
          <cell r="D89">
            <v>50000</v>
          </cell>
        </row>
        <row r="90">
          <cell r="A90" t="str">
            <v>MA062</v>
          </cell>
          <cell r="B90" t="str">
            <v>panel metecno</v>
          </cell>
          <cell r="C90" t="str">
            <v>m2</v>
          </cell>
          <cell r="D90">
            <v>90000</v>
          </cell>
        </row>
        <row r="91">
          <cell r="A91" t="str">
            <v>MA063</v>
          </cell>
          <cell r="B91" t="str">
            <v>Elementos de Fijacion</v>
          </cell>
          <cell r="C91" t="str">
            <v>m2</v>
          </cell>
          <cell r="D91">
            <v>54256</v>
          </cell>
        </row>
        <row r="92">
          <cell r="A92" t="str">
            <v>MA064</v>
          </cell>
          <cell r="B92" t="str">
            <v>Placa de yeso acartonado espesor 6mm</v>
          </cell>
          <cell r="C92" t="str">
            <v>und</v>
          </cell>
          <cell r="D92">
            <v>45000</v>
          </cell>
        </row>
        <row r="93">
          <cell r="A93" t="str">
            <v>MA065</v>
          </cell>
          <cell r="B93" t="str">
            <v>Angulo 1" x 1" en acero galvanizado calibre 26</v>
          </cell>
          <cell r="C93" t="str">
            <v>und</v>
          </cell>
          <cell r="D93">
            <v>3000</v>
          </cell>
        </row>
        <row r="94">
          <cell r="A94" t="str">
            <v>MA066</v>
          </cell>
          <cell r="B94" t="str">
            <v>Perfil tipo omega calibre 26</v>
          </cell>
          <cell r="C94" t="str">
            <v>und</v>
          </cell>
          <cell r="D94">
            <v>6000</v>
          </cell>
        </row>
        <row r="95">
          <cell r="A95" t="str">
            <v>MA067</v>
          </cell>
          <cell r="B95" t="str">
            <v>Perfil tipo vigueta calibre 26</v>
          </cell>
          <cell r="C95" t="str">
            <v>und</v>
          </cell>
          <cell r="D95">
            <v>6100</v>
          </cell>
        </row>
        <row r="96">
          <cell r="A96" t="str">
            <v>MA068</v>
          </cell>
          <cell r="B96" t="str">
            <v>Tornillo de 6x1 para placa</v>
          </cell>
          <cell r="C96" t="str">
            <v>und</v>
          </cell>
          <cell r="D96">
            <v>50</v>
          </cell>
        </row>
        <row r="97">
          <cell r="A97" t="str">
            <v>MA069</v>
          </cell>
          <cell r="B97" t="str">
            <v>Tornillo de 7x7/16  para estructura</v>
          </cell>
          <cell r="C97" t="str">
            <v>und</v>
          </cell>
          <cell r="D97">
            <v>50</v>
          </cell>
        </row>
        <row r="98">
          <cell r="A98" t="str">
            <v>MA070</v>
          </cell>
          <cell r="B98" t="str">
            <v>rollo de cinta de papel</v>
          </cell>
          <cell r="C98" t="str">
            <v>und</v>
          </cell>
          <cell r="D98">
            <v>8700</v>
          </cell>
        </row>
        <row r="99">
          <cell r="A99" t="str">
            <v>MA071</v>
          </cell>
          <cell r="B99" t="str">
            <v>masilla</v>
          </cell>
          <cell r="C99" t="str">
            <v>gl</v>
          </cell>
          <cell r="D99">
            <v>45000</v>
          </cell>
        </row>
        <row r="100">
          <cell r="A100" t="str">
            <v>MA072</v>
          </cell>
          <cell r="B100" t="str">
            <v xml:space="preserve">Canoa Lamina </v>
          </cell>
          <cell r="C100" t="str">
            <v>m2</v>
          </cell>
          <cell r="D100">
            <v>49400</v>
          </cell>
        </row>
        <row r="101">
          <cell r="A101" t="str">
            <v>MA073</v>
          </cell>
          <cell r="B101" t="str">
            <v xml:space="preserve">Elementos de fijacion canoa </v>
          </cell>
          <cell r="C101" t="str">
            <v>m2</v>
          </cell>
          <cell r="D101">
            <v>12250</v>
          </cell>
        </row>
        <row r="102">
          <cell r="A102" t="str">
            <v>MA074</v>
          </cell>
          <cell r="B102" t="str">
            <v>Tuberia de 1/2" pvc-p</v>
          </cell>
          <cell r="C102" t="str">
            <v>m</v>
          </cell>
          <cell r="D102">
            <v>3400</v>
          </cell>
        </row>
        <row r="103">
          <cell r="A103" t="str">
            <v>MA075</v>
          </cell>
          <cell r="B103" t="str">
            <v xml:space="preserve">accesorios </v>
          </cell>
          <cell r="C103" t="str">
            <v>und</v>
          </cell>
          <cell r="D103">
            <v>2000</v>
          </cell>
        </row>
        <row r="104">
          <cell r="A104" t="str">
            <v>MA076</v>
          </cell>
          <cell r="B104" t="str">
            <v>pega pvc</v>
          </cell>
          <cell r="C104" t="str">
            <v>gl</v>
          </cell>
          <cell r="D104">
            <v>76600</v>
          </cell>
        </row>
        <row r="105">
          <cell r="A105" t="str">
            <v>MA077</v>
          </cell>
          <cell r="B105" t="str">
            <v xml:space="preserve">limpiador </v>
          </cell>
          <cell r="C105" t="str">
            <v>gl</v>
          </cell>
          <cell r="D105">
            <v>37200</v>
          </cell>
        </row>
        <row r="106">
          <cell r="A106" t="str">
            <v>MA078</v>
          </cell>
          <cell r="B106" t="str">
            <v>Tuberia de 3/4" pvc-p</v>
          </cell>
          <cell r="C106" t="str">
            <v>m</v>
          </cell>
          <cell r="D106">
            <v>4100</v>
          </cell>
        </row>
        <row r="107">
          <cell r="A107" t="str">
            <v>MA079</v>
          </cell>
          <cell r="B107" t="str">
            <v>Tuberia de 2" pvc-p</v>
          </cell>
          <cell r="C107" t="str">
            <v>m</v>
          </cell>
          <cell r="D107">
            <v>13900</v>
          </cell>
        </row>
        <row r="108">
          <cell r="A108" t="str">
            <v>MA080</v>
          </cell>
          <cell r="B108" t="str">
            <v>accesorios ii</v>
          </cell>
          <cell r="C108" t="str">
            <v>und</v>
          </cell>
          <cell r="D108">
            <v>12600</v>
          </cell>
        </row>
        <row r="109">
          <cell r="A109" t="str">
            <v>MA081</v>
          </cell>
          <cell r="B109" t="str">
            <v>Tuberia de 4" pvc-p</v>
          </cell>
          <cell r="C109" t="str">
            <v>m</v>
          </cell>
          <cell r="D109">
            <v>21000</v>
          </cell>
        </row>
        <row r="110">
          <cell r="A110" t="str">
            <v>MA082</v>
          </cell>
          <cell r="B110" t="str">
            <v>accesorios iii</v>
          </cell>
          <cell r="C110" t="str">
            <v>und</v>
          </cell>
          <cell r="D110">
            <v>49400</v>
          </cell>
        </row>
        <row r="111">
          <cell r="A111" t="str">
            <v>MA083</v>
          </cell>
          <cell r="B111" t="str">
            <v>Tuberia de 4"pvc</v>
          </cell>
          <cell r="C111" t="str">
            <v>m</v>
          </cell>
          <cell r="D111">
            <v>19000</v>
          </cell>
        </row>
        <row r="112">
          <cell r="A112" t="str">
            <v>MA084</v>
          </cell>
          <cell r="B112" t="str">
            <v>Tuberia sanitaria de 2" pvc</v>
          </cell>
          <cell r="C112" t="str">
            <v>m</v>
          </cell>
          <cell r="D112">
            <v>13900</v>
          </cell>
        </row>
        <row r="113">
          <cell r="A113" t="str">
            <v>MA085</v>
          </cell>
          <cell r="B113" t="str">
            <v>accesorios iv</v>
          </cell>
          <cell r="C113" t="str">
            <v>und</v>
          </cell>
          <cell r="D113">
            <v>12600</v>
          </cell>
        </row>
        <row r="114">
          <cell r="A114" t="str">
            <v>MA086</v>
          </cell>
          <cell r="B114" t="str">
            <v>Tuberia sanitaria de 4" pvc</v>
          </cell>
          <cell r="C114" t="str">
            <v>m</v>
          </cell>
          <cell r="D114">
            <v>21000</v>
          </cell>
        </row>
        <row r="115">
          <cell r="A115" t="str">
            <v>MA087</v>
          </cell>
          <cell r="B115" t="str">
            <v>Tuberia de 6" pvc</v>
          </cell>
          <cell r="C115" t="str">
            <v>m</v>
          </cell>
          <cell r="D115">
            <v>46000</v>
          </cell>
        </row>
        <row r="116">
          <cell r="A116" t="str">
            <v>MA088</v>
          </cell>
          <cell r="B116" t="str">
            <v>accesorios v</v>
          </cell>
          <cell r="C116" t="str">
            <v>und</v>
          </cell>
          <cell r="D116">
            <v>136900</v>
          </cell>
        </row>
        <row r="117">
          <cell r="A117" t="str">
            <v>MA089</v>
          </cell>
          <cell r="B117" t="str">
            <v>Rejilla de 4"</v>
          </cell>
          <cell r="C117" t="str">
            <v>un</v>
          </cell>
          <cell r="D117">
            <v>40000</v>
          </cell>
        </row>
        <row r="118">
          <cell r="A118" t="str">
            <v>MA090</v>
          </cell>
          <cell r="B118" t="str">
            <v>Sanitario fluxometro</v>
          </cell>
          <cell r="C118" t="str">
            <v>un</v>
          </cell>
          <cell r="D118">
            <v>690000</v>
          </cell>
        </row>
        <row r="119">
          <cell r="A119" t="str">
            <v>MA091</v>
          </cell>
          <cell r="B119" t="str">
            <v>Silicona antihongos</v>
          </cell>
          <cell r="C119" t="str">
            <v>ml</v>
          </cell>
          <cell r="D119">
            <v>19500</v>
          </cell>
        </row>
        <row r="120">
          <cell r="A120" t="str">
            <v>MA092</v>
          </cell>
          <cell r="B120" t="str">
            <v>Brida sanitaria</v>
          </cell>
          <cell r="C120" t="str">
            <v>und</v>
          </cell>
          <cell r="D120">
            <v>45200</v>
          </cell>
        </row>
        <row r="121">
          <cell r="A121" t="str">
            <v>MA093</v>
          </cell>
          <cell r="B121" t="str">
            <v>Orinal con fluxometro</v>
          </cell>
          <cell r="C121" t="str">
            <v>und</v>
          </cell>
          <cell r="D121">
            <v>660000</v>
          </cell>
        </row>
        <row r="122">
          <cell r="A122" t="str">
            <v>MA094</v>
          </cell>
          <cell r="B122" t="str">
            <v>Griferia</v>
          </cell>
          <cell r="C122" t="str">
            <v>und</v>
          </cell>
          <cell r="D122">
            <v>295600</v>
          </cell>
        </row>
        <row r="123">
          <cell r="A123" t="str">
            <v>MA095</v>
          </cell>
          <cell r="B123" t="str">
            <v>Desague</v>
          </cell>
          <cell r="C123" t="str">
            <v>und</v>
          </cell>
          <cell r="D123">
            <v>15200</v>
          </cell>
        </row>
        <row r="124">
          <cell r="A124" t="str">
            <v>MA096</v>
          </cell>
          <cell r="B124" t="str">
            <v>Lavadero</v>
          </cell>
          <cell r="C124" t="str">
            <v>und</v>
          </cell>
          <cell r="D124">
            <v>152000</v>
          </cell>
        </row>
        <row r="125">
          <cell r="A125" t="str">
            <v>MA097</v>
          </cell>
          <cell r="B125" t="str">
            <v>Griferia ii</v>
          </cell>
          <cell r="C125" t="str">
            <v>und</v>
          </cell>
          <cell r="D125">
            <v>15200</v>
          </cell>
        </row>
        <row r="126">
          <cell r="A126" t="str">
            <v>MA098</v>
          </cell>
          <cell r="B126" t="str">
            <v>desague ii</v>
          </cell>
          <cell r="C126" t="str">
            <v>und</v>
          </cell>
          <cell r="D126">
            <v>14000</v>
          </cell>
        </row>
        <row r="127">
          <cell r="A127" t="str">
            <v>MA099</v>
          </cell>
          <cell r="B127" t="str">
            <v>Herraje (marco y tapa) para caja RS3-002 EPM</v>
          </cell>
          <cell r="C127" t="str">
            <v>UND</v>
          </cell>
          <cell r="D127">
            <v>165500</v>
          </cell>
        </row>
        <row r="128">
          <cell r="A128" t="str">
            <v>MA100</v>
          </cell>
          <cell r="B128" t="str">
            <v>Tuberia sanitaria de 12" pvc</v>
          </cell>
          <cell r="C128" t="str">
            <v>m</v>
          </cell>
          <cell r="D128">
            <v>119033</v>
          </cell>
        </row>
        <row r="129">
          <cell r="A129" t="str">
            <v>MA101</v>
          </cell>
          <cell r="B129" t="str">
            <v>Contador</v>
          </cell>
          <cell r="C129" t="str">
            <v>m</v>
          </cell>
          <cell r="D129">
            <v>195200</v>
          </cell>
        </row>
        <row r="130">
          <cell r="A130" t="str">
            <v>MA102</v>
          </cell>
          <cell r="B130" t="str">
            <v>Caja Plastica</v>
          </cell>
          <cell r="C130" t="str">
            <v>und</v>
          </cell>
          <cell r="D130">
            <v>32500</v>
          </cell>
        </row>
        <row r="131">
          <cell r="A131" t="str">
            <v>MA103</v>
          </cell>
          <cell r="B131" t="str">
            <v>accesorios</v>
          </cell>
          <cell r="C131" t="str">
            <v>und</v>
          </cell>
          <cell r="D131">
            <v>18600</v>
          </cell>
        </row>
        <row r="132">
          <cell r="A132" t="str">
            <v>MA104</v>
          </cell>
          <cell r="B132" t="str">
            <v>Tapa</v>
          </cell>
          <cell r="C132" t="str">
            <v>und</v>
          </cell>
          <cell r="D132">
            <v>85050</v>
          </cell>
        </row>
        <row r="133">
          <cell r="A133" t="str">
            <v>MA105</v>
          </cell>
          <cell r="B133" t="str">
            <v>Collar</v>
          </cell>
          <cell r="C133" t="str">
            <v>und</v>
          </cell>
          <cell r="D133">
            <v>36420</v>
          </cell>
        </row>
        <row r="134">
          <cell r="A134" t="str">
            <v>MA106</v>
          </cell>
          <cell r="B134" t="str">
            <v>Valvula</v>
          </cell>
          <cell r="C134" t="str">
            <v>und</v>
          </cell>
          <cell r="D134">
            <v>35200</v>
          </cell>
        </row>
        <row r="135">
          <cell r="A135" t="str">
            <v>MA107</v>
          </cell>
          <cell r="B135" t="str">
            <v>Canalizacion en ducto PVC-DB 2  2"</v>
          </cell>
          <cell r="C135" t="str">
            <v>ml</v>
          </cell>
          <cell r="D135">
            <v>15433</v>
          </cell>
        </row>
        <row r="136">
          <cell r="A136" t="str">
            <v>MA108</v>
          </cell>
          <cell r="B136" t="str">
            <v>Alimentadores en 2 # 8+1#10 , por PVC ø 1/2" alumbrado exterior, incluye todos los accesorios</v>
          </cell>
          <cell r="C136" t="str">
            <v>ml</v>
          </cell>
          <cell r="D136">
            <v>20433</v>
          </cell>
        </row>
        <row r="137">
          <cell r="A137" t="str">
            <v>MA109</v>
          </cell>
          <cell r="B137" t="str">
            <v>Alimentadores en 2 # 6+1#8 ,  alumbrado publico, incluye todos los accesorios</v>
          </cell>
          <cell r="C137" t="str">
            <v>ml</v>
          </cell>
          <cell r="D137">
            <v>28940</v>
          </cell>
        </row>
        <row r="138">
          <cell r="A138" t="str">
            <v>MA110</v>
          </cell>
          <cell r="B138" t="str">
            <v>Cable concentrico No 8</v>
          </cell>
          <cell r="C138" t="str">
            <v>ml</v>
          </cell>
          <cell r="D138">
            <v>22650</v>
          </cell>
        </row>
        <row r="139">
          <cell r="A139" t="str">
            <v>MA111</v>
          </cell>
          <cell r="B139" t="str">
            <v>Tab. Locales comerciales : de 8 circuitos , 2F - 4H , y que incluye : 5 breaker 1* 20A, incluye todos los accesorios</v>
          </cell>
          <cell r="C139" t="str">
            <v>ml</v>
          </cell>
          <cell r="D139">
            <v>1674300</v>
          </cell>
        </row>
        <row r="140">
          <cell r="A140" t="str">
            <v>MA112</v>
          </cell>
          <cell r="B140" t="str">
            <v>Salidas eléctricas en 3N12, por tuberia EMT 1/2'' expuesta, incluye: caja 12x12x5, aparato y demas accesorios para su correcto funcionamiento.</v>
          </cell>
          <cell r="C140" t="str">
            <v>und</v>
          </cell>
          <cell r="D140">
            <v>39430</v>
          </cell>
        </row>
        <row r="141">
          <cell r="A141" t="str">
            <v>MA113</v>
          </cell>
          <cell r="B141" t="str">
            <v>Toma corriente doble polo a tierra tipo GFCI, incluye todos los accesorios</v>
          </cell>
          <cell r="C141" t="str">
            <v>und</v>
          </cell>
          <cell r="D141">
            <v>107136</v>
          </cell>
        </row>
        <row r="142">
          <cell r="A142" t="str">
            <v>MA114</v>
          </cell>
          <cell r="B142" t="str">
            <v>Alambre 8 cu - AWG, incluye todos los accesorios</v>
          </cell>
          <cell r="C142" t="str">
            <v>ml</v>
          </cell>
          <cell r="D142">
            <v>38564</v>
          </cell>
        </row>
        <row r="143">
          <cell r="A143" t="str">
            <v>MA115</v>
          </cell>
          <cell r="B143" t="str">
            <v>Grapa</v>
          </cell>
          <cell r="C143" t="str">
            <v>und</v>
          </cell>
          <cell r="D143">
            <v>18700</v>
          </cell>
        </row>
        <row r="144">
          <cell r="A144" t="str">
            <v>MA116</v>
          </cell>
          <cell r="B144" t="str">
            <v>Varilla Cpw de ø 5/8" * 2.4 mts, incluye todos los accesorios</v>
          </cell>
          <cell r="C144" t="str">
            <v>und</v>
          </cell>
          <cell r="D144">
            <v>89760</v>
          </cell>
        </row>
        <row r="145">
          <cell r="A145" t="str">
            <v>MA117</v>
          </cell>
          <cell r="B145" t="str">
            <v>Alimentadores en 4 # 12 , por PVC ø 1/2", incluye todos los accesorios</v>
          </cell>
          <cell r="C145" t="str">
            <v>ml</v>
          </cell>
          <cell r="D145">
            <v>13454</v>
          </cell>
        </row>
        <row r="146">
          <cell r="A146" t="str">
            <v>MA118</v>
          </cell>
          <cell r="B146" t="str">
            <v>Alimentadores en PVC ø 1", incluye todos los accesorios</v>
          </cell>
          <cell r="C146" t="str">
            <v>ml</v>
          </cell>
          <cell r="D146">
            <v>12500</v>
          </cell>
        </row>
        <row r="147">
          <cell r="A147" t="str">
            <v>MA119</v>
          </cell>
          <cell r="B147" t="str">
            <v>Lampara hermetica 2x32 w, para locales, incluye todos los accesorios</v>
          </cell>
          <cell r="C147" t="str">
            <v>und</v>
          </cell>
          <cell r="D147">
            <v>232400</v>
          </cell>
        </row>
        <row r="148">
          <cell r="A148" t="str">
            <v>MA120</v>
          </cell>
          <cell r="B148" t="str">
            <v>Luminaria tipo carabobo un solo brazos, incluye todos los accesorios</v>
          </cell>
          <cell r="C148" t="str">
            <v>und</v>
          </cell>
          <cell r="D148">
            <v>855400</v>
          </cell>
        </row>
        <row r="149">
          <cell r="A149" t="str">
            <v>MA121</v>
          </cell>
          <cell r="B149" t="str">
            <v>Reflector 400W, incluye todos los accesorios</v>
          </cell>
          <cell r="C149" t="str">
            <v>und</v>
          </cell>
          <cell r="D149">
            <v>1020000</v>
          </cell>
        </row>
        <row r="150">
          <cell r="A150" t="str">
            <v>MA122</v>
          </cell>
          <cell r="B150" t="str">
            <v>Cinta led iluminacion muros corta gotera, incluye todos los accesorios</v>
          </cell>
          <cell r="C150" t="str">
            <v>und</v>
          </cell>
          <cell r="D150">
            <v>35500</v>
          </cell>
        </row>
        <row r="151">
          <cell r="A151" t="str">
            <v>MA123</v>
          </cell>
          <cell r="B151" t="str">
            <v>Cinta led iluminacion muros corta gotera, incluye todos los accesorios ii</v>
          </cell>
          <cell r="C151" t="str">
            <v>und</v>
          </cell>
          <cell r="D151">
            <v>2284500</v>
          </cell>
        </row>
        <row r="152">
          <cell r="A152" t="str">
            <v>MA124</v>
          </cell>
          <cell r="B152" t="str">
            <v>Contador electrónico multifuncional 3F -3H calibrado.</v>
          </cell>
          <cell r="C152" t="str">
            <v>und</v>
          </cell>
          <cell r="D152">
            <v>1074500</v>
          </cell>
        </row>
        <row r="153">
          <cell r="A153" t="str">
            <v>MA125</v>
          </cell>
          <cell r="B153" t="str">
            <v>Transformador corriente bifásico 250/5A clase 0.5 calibrado</v>
          </cell>
          <cell r="C153" t="str">
            <v>und</v>
          </cell>
          <cell r="D153">
            <v>105200</v>
          </cell>
        </row>
        <row r="154">
          <cell r="A154" t="str">
            <v>MA126</v>
          </cell>
          <cell r="B154" t="str">
            <v>Tornillo lámina ranurado 10 x 1"</v>
          </cell>
          <cell r="C154" t="str">
            <v>und</v>
          </cell>
          <cell r="D154">
            <v>100</v>
          </cell>
        </row>
        <row r="155">
          <cell r="A155" t="str">
            <v>MA127</v>
          </cell>
          <cell r="B155" t="str">
            <v>Punta Captora de 0,60 m</v>
          </cell>
          <cell r="C155" t="str">
            <v>m</v>
          </cell>
          <cell r="D155">
            <v>95200</v>
          </cell>
        </row>
        <row r="156">
          <cell r="A156" t="str">
            <v>MA128</v>
          </cell>
          <cell r="B156" t="str">
            <v>Perno  expandible</v>
          </cell>
          <cell r="C156" t="str">
            <v>und</v>
          </cell>
          <cell r="D156">
            <v>2000</v>
          </cell>
        </row>
        <row r="157">
          <cell r="A157" t="str">
            <v>MA129</v>
          </cell>
          <cell r="B157" t="str">
            <v>Anillo de sejecion</v>
          </cell>
          <cell r="C157" t="str">
            <v>und</v>
          </cell>
          <cell r="D157">
            <v>21000</v>
          </cell>
        </row>
        <row r="158">
          <cell r="A158" t="str">
            <v>MA130</v>
          </cell>
          <cell r="B158" t="str">
            <v>Adapatador de sejecion</v>
          </cell>
          <cell r="C158" t="str">
            <v>und</v>
          </cell>
          <cell r="D158">
            <v>12500</v>
          </cell>
        </row>
        <row r="159">
          <cell r="A159" t="str">
            <v>MA131</v>
          </cell>
          <cell r="B159" t="str">
            <v>Cable cobre cubiero 1/0</v>
          </cell>
          <cell r="C159" t="str">
            <v>m</v>
          </cell>
          <cell r="D159">
            <v>32500</v>
          </cell>
        </row>
        <row r="160">
          <cell r="A160" t="str">
            <v>MA132</v>
          </cell>
          <cell r="B160" t="str">
            <v>Caja 4x4 metalica tapa lisa</v>
          </cell>
          <cell r="C160" t="str">
            <v>und</v>
          </cell>
          <cell r="D160">
            <v>12500</v>
          </cell>
        </row>
        <row r="161">
          <cell r="A161" t="str">
            <v>MA133</v>
          </cell>
          <cell r="B161" t="str">
            <v>Conector de empalme</v>
          </cell>
          <cell r="C161" t="str">
            <v>und</v>
          </cell>
          <cell r="D161">
            <v>350</v>
          </cell>
        </row>
        <row r="162">
          <cell r="A162" t="str">
            <v>MA134</v>
          </cell>
          <cell r="B162" t="str">
            <v>Adapatador EMT 3/4</v>
          </cell>
          <cell r="C162" t="str">
            <v>und</v>
          </cell>
          <cell r="D162">
            <v>3950</v>
          </cell>
        </row>
        <row r="163">
          <cell r="A163" t="str">
            <v>MA135</v>
          </cell>
          <cell r="B163" t="str">
            <v>Chazo fijacion</v>
          </cell>
          <cell r="C163" t="str">
            <v>und</v>
          </cell>
          <cell r="D163">
            <v>350</v>
          </cell>
        </row>
        <row r="164">
          <cell r="A164" t="str">
            <v>MA136</v>
          </cell>
          <cell r="B164" t="str">
            <v>Presaestopa</v>
          </cell>
          <cell r="C164" t="str">
            <v>und</v>
          </cell>
          <cell r="D164">
            <v>1850</v>
          </cell>
        </row>
        <row r="165">
          <cell r="A165" t="str">
            <v>MA137</v>
          </cell>
          <cell r="B165" t="str">
            <v>Conector bimetalico</v>
          </cell>
          <cell r="C165" t="str">
            <v>m</v>
          </cell>
          <cell r="D165">
            <v>25000</v>
          </cell>
        </row>
        <row r="166">
          <cell r="A166" t="str">
            <v>MA138</v>
          </cell>
          <cell r="B166" t="str">
            <v>Cable AL desnudo</v>
          </cell>
          <cell r="C166" t="str">
            <v>m</v>
          </cell>
          <cell r="D166">
            <v>6520</v>
          </cell>
        </row>
        <row r="167">
          <cell r="A167" t="str">
            <v>MA139</v>
          </cell>
          <cell r="B167" t="str">
            <v>Cinta metalica</v>
          </cell>
          <cell r="C167" t="str">
            <v>m</v>
          </cell>
          <cell r="D167">
            <v>8500</v>
          </cell>
        </row>
        <row r="168">
          <cell r="A168" t="str">
            <v>MA140</v>
          </cell>
          <cell r="B168" t="str">
            <v>Hebilla</v>
          </cell>
          <cell r="C168" t="str">
            <v>und</v>
          </cell>
          <cell r="D168">
            <v>1200</v>
          </cell>
        </row>
        <row r="169">
          <cell r="A169" t="str">
            <v>MA141</v>
          </cell>
          <cell r="B169" t="str">
            <v>Cable cobre cubiero 1/0 ii</v>
          </cell>
          <cell r="C169" t="str">
            <v>m</v>
          </cell>
          <cell r="D169">
            <v>34340</v>
          </cell>
        </row>
        <row r="170">
          <cell r="A170" t="str">
            <v>MA142</v>
          </cell>
          <cell r="B170" t="str">
            <v>Conetor tipo C</v>
          </cell>
          <cell r="C170" t="str">
            <v>und</v>
          </cell>
          <cell r="D170">
            <v>8500</v>
          </cell>
        </row>
        <row r="171">
          <cell r="A171" t="str">
            <v>MA143</v>
          </cell>
          <cell r="B171" t="str">
            <v>Poste 12m</v>
          </cell>
          <cell r="C171" t="str">
            <v>und</v>
          </cell>
          <cell r="D171">
            <v>2320000</v>
          </cell>
        </row>
        <row r="172">
          <cell r="A172" t="str">
            <v>MA144</v>
          </cell>
          <cell r="B172" t="str">
            <v>Transformador monofásico de 37.5KVA convencional</v>
          </cell>
          <cell r="C172" t="str">
            <v>und</v>
          </cell>
          <cell r="D172">
            <v>5048700</v>
          </cell>
        </row>
        <row r="173">
          <cell r="A173" t="str">
            <v>MA145</v>
          </cell>
          <cell r="B173" t="str">
            <v>Estribo RA6-009</v>
          </cell>
          <cell r="C173" t="str">
            <v>und</v>
          </cell>
          <cell r="D173">
            <v>30000</v>
          </cell>
        </row>
        <row r="174">
          <cell r="A174" t="str">
            <v>MA146</v>
          </cell>
          <cell r="B174" t="str">
            <v>CAJA PRIMARIA 15KV 20KA BRONCE EPM 5609</v>
          </cell>
          <cell r="C174" t="str">
            <v>und</v>
          </cell>
          <cell r="D174">
            <v>186400</v>
          </cell>
        </row>
        <row r="175">
          <cell r="A175" t="str">
            <v>MA147</v>
          </cell>
          <cell r="B175" t="str">
            <v>Conector de compresión de cobre tipo derivación.(cal según proyecto) RA7-030</v>
          </cell>
          <cell r="C175" t="str">
            <v>und</v>
          </cell>
          <cell r="D175">
            <v>8000</v>
          </cell>
        </row>
        <row r="176">
          <cell r="A176" t="str">
            <v>MA148</v>
          </cell>
          <cell r="B176" t="str">
            <v>Para Rayos 12Kv-10ka MCOV:10.2KV  RA7-108 con herraje.</v>
          </cell>
          <cell r="C176" t="str">
            <v>und</v>
          </cell>
          <cell r="D176">
            <v>150000</v>
          </cell>
        </row>
        <row r="177">
          <cell r="A177" t="str">
            <v>MA149</v>
          </cell>
          <cell r="B177" t="str">
            <v>Conector transversal universal 1/0 RA7-079</v>
          </cell>
          <cell r="C177" t="str">
            <v>und</v>
          </cell>
          <cell r="D177">
            <v>28000</v>
          </cell>
        </row>
        <row r="178">
          <cell r="A178" t="str">
            <v>MA150</v>
          </cell>
          <cell r="B178" t="str">
            <v>Percha acanalada de 1 puesto  RA7-019</v>
          </cell>
          <cell r="C178" t="str">
            <v>und</v>
          </cell>
          <cell r="D178">
            <v>7600</v>
          </cell>
        </row>
        <row r="179">
          <cell r="A179" t="str">
            <v>MA151</v>
          </cell>
          <cell r="B179" t="str">
            <v>Soporte en L  cortacircuitos y pararrayos. RA7-053</v>
          </cell>
          <cell r="C179" t="str">
            <v>und</v>
          </cell>
          <cell r="D179">
            <v>8330</v>
          </cell>
        </row>
        <row r="180">
          <cell r="A180" t="str">
            <v>MA152</v>
          </cell>
          <cell r="B180" t="str">
            <v>Tornillo carruaje para cajas primarias. RA7-001</v>
          </cell>
          <cell r="C180" t="str">
            <v>und</v>
          </cell>
          <cell r="D180">
            <v>4100</v>
          </cell>
        </row>
        <row r="181">
          <cell r="A181" t="str">
            <v>MA153</v>
          </cell>
          <cell r="B181" t="str">
            <v>VARILLA PUESTA A TIERRA 2400mm</v>
          </cell>
          <cell r="C181" t="str">
            <v>und</v>
          </cell>
          <cell r="D181">
            <v>36000</v>
          </cell>
        </row>
        <row r="182">
          <cell r="A182" t="str">
            <v>MA154</v>
          </cell>
          <cell r="B182" t="str">
            <v xml:space="preserve">Grapa Varilla copperweld de 5/8"	</v>
          </cell>
          <cell r="C182" t="str">
            <v>und</v>
          </cell>
          <cell r="D182">
            <v>12000</v>
          </cell>
        </row>
        <row r="183">
          <cell r="A183" t="str">
            <v>MA155</v>
          </cell>
          <cell r="B183" t="str">
            <v>TORNILLO  15,9X50,8 mm RA7-001</v>
          </cell>
          <cell r="C183" t="str">
            <v>und</v>
          </cell>
          <cell r="D183">
            <v>1550</v>
          </cell>
        </row>
        <row r="184">
          <cell r="A184" t="str">
            <v>MA156</v>
          </cell>
          <cell r="B184" t="str">
            <v>Perno  espaciador 15,9mm x254mm  RA7-001</v>
          </cell>
          <cell r="C184" t="str">
            <v>und</v>
          </cell>
          <cell r="D184">
            <v>4500</v>
          </cell>
        </row>
        <row r="185">
          <cell r="A185" t="str">
            <v>MA157</v>
          </cell>
          <cell r="B185" t="str">
            <v>"PERNO ESPACIADOR 15.9 x 254 mm</v>
          </cell>
          <cell r="C185" t="str">
            <v>und</v>
          </cell>
          <cell r="D185">
            <v>6500</v>
          </cell>
        </row>
        <row r="186">
          <cell r="A186" t="str">
            <v>MA158</v>
          </cell>
          <cell r="B186" t="str">
            <v>Cruceta 2.4</v>
          </cell>
          <cell r="C186" t="str">
            <v>und</v>
          </cell>
          <cell r="D186">
            <v>240000</v>
          </cell>
        </row>
        <row r="187">
          <cell r="A187" t="str">
            <v>MA159</v>
          </cell>
          <cell r="B187" t="str">
            <v>Diagonla V</v>
          </cell>
          <cell r="C187" t="str">
            <v>und</v>
          </cell>
          <cell r="D187">
            <v>65000</v>
          </cell>
        </row>
        <row r="188">
          <cell r="A188" t="str">
            <v>MA160</v>
          </cell>
          <cell r="B188" t="str">
            <v>Conetor transversal</v>
          </cell>
          <cell r="C188" t="str">
            <v>und</v>
          </cell>
          <cell r="D188">
            <v>15000</v>
          </cell>
        </row>
        <row r="189">
          <cell r="A189" t="str">
            <v>MA161</v>
          </cell>
          <cell r="B189" t="str">
            <v>Tornillo exagonal</v>
          </cell>
          <cell r="C189" t="str">
            <v>und</v>
          </cell>
          <cell r="D189">
            <v>5500</v>
          </cell>
        </row>
        <row r="190">
          <cell r="A190" t="str">
            <v>MA162</v>
          </cell>
          <cell r="B190" t="str">
            <v>porcelanato 30 x 60</v>
          </cell>
          <cell r="C190" t="str">
            <v>m2</v>
          </cell>
          <cell r="D190">
            <v>56900</v>
          </cell>
        </row>
        <row r="191">
          <cell r="A191" t="str">
            <v>MA163</v>
          </cell>
          <cell r="B191" t="str">
            <v>Pegante</v>
          </cell>
          <cell r="C191" t="str">
            <v>kg</v>
          </cell>
          <cell r="D191">
            <v>3000</v>
          </cell>
        </row>
        <row r="192">
          <cell r="A192" t="str">
            <v>MA164</v>
          </cell>
          <cell r="B192" t="str">
            <v>Carnaza</v>
          </cell>
          <cell r="C192" t="str">
            <v>kg</v>
          </cell>
          <cell r="D192">
            <v>2100</v>
          </cell>
        </row>
        <row r="193">
          <cell r="A193" t="str">
            <v>MA165</v>
          </cell>
          <cell r="B193" t="str">
            <v>Lechada Juntas</v>
          </cell>
          <cell r="C193" t="str">
            <v>kg</v>
          </cell>
          <cell r="D193">
            <v>5000</v>
          </cell>
        </row>
        <row r="194">
          <cell r="A194" t="str">
            <v>MA166</v>
          </cell>
          <cell r="B194" t="str">
            <v>indupiso de 6 x 20 x20</v>
          </cell>
          <cell r="C194" t="str">
            <v>m2</v>
          </cell>
          <cell r="D194">
            <v>68000</v>
          </cell>
        </row>
        <row r="195">
          <cell r="A195" t="str">
            <v>MA167</v>
          </cell>
          <cell r="B195" t="str">
            <v>Arenilla (relleno)</v>
          </cell>
          <cell r="C195" t="str">
            <v>m3</v>
          </cell>
          <cell r="D195">
            <v>42525</v>
          </cell>
        </row>
        <row r="196">
          <cell r="A196" t="str">
            <v>MA168</v>
          </cell>
          <cell r="B196" t="str">
            <v>Tableta tipo degres</v>
          </cell>
          <cell r="C196" t="str">
            <v>m2</v>
          </cell>
          <cell r="D196">
            <v>45252</v>
          </cell>
        </row>
        <row r="197">
          <cell r="A197" t="str">
            <v>MA169</v>
          </cell>
          <cell r="B197" t="str">
            <v>Lechada Juntas degres</v>
          </cell>
          <cell r="C197" t="str">
            <v>kg</v>
          </cell>
          <cell r="D197">
            <v>7560</v>
          </cell>
        </row>
        <row r="198">
          <cell r="A198" t="str">
            <v>MA170</v>
          </cell>
          <cell r="B198" t="str">
            <v>Tableta Ladrillo 10x20</v>
          </cell>
          <cell r="C198" t="str">
            <v>m2</v>
          </cell>
          <cell r="D198">
            <v>40000</v>
          </cell>
        </row>
        <row r="199">
          <cell r="A199" t="str">
            <v>MA171</v>
          </cell>
          <cell r="B199" t="str">
            <v>Enchape iii</v>
          </cell>
          <cell r="C199" t="str">
            <v>m2</v>
          </cell>
          <cell r="D199">
            <v>32500</v>
          </cell>
        </row>
        <row r="200">
          <cell r="A200" t="str">
            <v>MA172</v>
          </cell>
          <cell r="B200" t="str">
            <v>pegante iii</v>
          </cell>
          <cell r="C200" t="str">
            <v>kg</v>
          </cell>
          <cell r="D200">
            <v>3000</v>
          </cell>
        </row>
        <row r="201">
          <cell r="A201" t="str">
            <v>MA173</v>
          </cell>
          <cell r="B201" t="str">
            <v>caucho reciclado EPDM 1.5CM</v>
          </cell>
          <cell r="C201" t="str">
            <v>m2</v>
          </cell>
          <cell r="D201">
            <v>180000</v>
          </cell>
        </row>
        <row r="202">
          <cell r="A202" t="str">
            <v>MA174</v>
          </cell>
          <cell r="B202" t="str">
            <v>pegante iv</v>
          </cell>
          <cell r="C202" t="str">
            <v>kg</v>
          </cell>
          <cell r="D202">
            <v>25600</v>
          </cell>
        </row>
        <row r="203">
          <cell r="A203" t="str">
            <v>MA175</v>
          </cell>
          <cell r="B203" t="str">
            <v>Pegacor interior blanco</v>
          </cell>
          <cell r="C203" t="str">
            <v>kg</v>
          </cell>
          <cell r="D203">
            <v>3000</v>
          </cell>
        </row>
        <row r="204">
          <cell r="A204" t="str">
            <v>MA176</v>
          </cell>
          <cell r="B204" t="str">
            <v>Platina de dilatacion</v>
          </cell>
          <cell r="C204" t="str">
            <v>m3</v>
          </cell>
          <cell r="D204">
            <v>3500</v>
          </cell>
        </row>
        <row r="205">
          <cell r="A205" t="str">
            <v>MA177</v>
          </cell>
          <cell r="B205" t="str">
            <v xml:space="preserve">larguero </v>
          </cell>
          <cell r="C205" t="str">
            <v>und</v>
          </cell>
          <cell r="D205">
            <v>9500</v>
          </cell>
        </row>
        <row r="206">
          <cell r="A206" t="str">
            <v>MA178</v>
          </cell>
          <cell r="B206" t="str">
            <v>Adoquin alerta 20x20x6</v>
          </cell>
          <cell r="C206" t="str">
            <v>und</v>
          </cell>
          <cell r="D206">
            <v>2400</v>
          </cell>
        </row>
        <row r="207">
          <cell r="A207" t="str">
            <v>MA179</v>
          </cell>
          <cell r="B207" t="str">
            <v>Bordillo prefabricado</v>
          </cell>
          <cell r="C207" t="str">
            <v>und</v>
          </cell>
          <cell r="D207">
            <v>28000</v>
          </cell>
        </row>
        <row r="208">
          <cell r="A208" t="str">
            <v>MA180</v>
          </cell>
          <cell r="B208" t="str">
            <v>Jardinera para árboles</v>
          </cell>
          <cell r="C208" t="str">
            <v>m2</v>
          </cell>
          <cell r="D208">
            <v>80280</v>
          </cell>
        </row>
        <row r="209">
          <cell r="A209" t="str">
            <v>MA181</v>
          </cell>
          <cell r="B209" t="str">
            <v>Grama</v>
          </cell>
          <cell r="C209" t="str">
            <v>m2</v>
          </cell>
          <cell r="D209">
            <v>13000</v>
          </cell>
        </row>
        <row r="210">
          <cell r="A210" t="str">
            <v>MA182</v>
          </cell>
          <cell r="B210" t="str">
            <v>Arbol mediana altura</v>
          </cell>
          <cell r="C210" t="str">
            <v>und</v>
          </cell>
          <cell r="D210">
            <v>60000</v>
          </cell>
        </row>
        <row r="211">
          <cell r="A211" t="str">
            <v>MA183</v>
          </cell>
          <cell r="B211" t="str">
            <v>Play ground</v>
          </cell>
          <cell r="C211" t="str">
            <v>und</v>
          </cell>
          <cell r="D211">
            <v>28500000</v>
          </cell>
        </row>
        <row r="212">
          <cell r="A212" t="str">
            <v>MA184</v>
          </cell>
          <cell r="B212" t="str">
            <v>Sika seal</v>
          </cell>
          <cell r="C212" t="str">
            <v>gal</v>
          </cell>
          <cell r="D212">
            <v>85000</v>
          </cell>
        </row>
        <row r="213">
          <cell r="A213" t="str">
            <v>MA185</v>
          </cell>
          <cell r="B213" t="str">
            <v>Geotextil NT 1600</v>
          </cell>
          <cell r="C213" t="str">
            <v>m2</v>
          </cell>
          <cell r="D213">
            <v>5000</v>
          </cell>
        </row>
        <row r="214">
          <cell r="A214" t="str">
            <v>MA186</v>
          </cell>
          <cell r="B214" t="str">
            <v>Tuberia perforada 4"</v>
          </cell>
          <cell r="C214" t="str">
            <v>m</v>
          </cell>
          <cell r="D214">
            <v>21000</v>
          </cell>
        </row>
        <row r="215">
          <cell r="A215" t="str">
            <v>MA187</v>
          </cell>
          <cell r="B215" t="str">
            <v>Triturado</v>
          </cell>
          <cell r="C215" t="str">
            <v>m3</v>
          </cell>
          <cell r="D215">
            <v>95000</v>
          </cell>
        </row>
        <row r="216">
          <cell r="A216" t="str">
            <v>MA188</v>
          </cell>
          <cell r="B216" t="str">
            <v>fibra</v>
          </cell>
          <cell r="C216" t="str">
            <v>m</v>
          </cell>
          <cell r="D216">
            <v>30</v>
          </cell>
        </row>
        <row r="217">
          <cell r="A217" t="str">
            <v>MA189</v>
          </cell>
          <cell r="B217" t="str">
            <v>Formaleta para contrapiso 3.4</v>
          </cell>
          <cell r="C217" t="str">
            <v>ml</v>
          </cell>
          <cell r="D217">
            <v>78500</v>
          </cell>
        </row>
        <row r="218">
          <cell r="A218" t="str">
            <v>MA190</v>
          </cell>
          <cell r="B218" t="str">
            <v>impermeabilizante 3.4</v>
          </cell>
          <cell r="C218" t="str">
            <v>kg</v>
          </cell>
          <cell r="D218">
            <v>20000</v>
          </cell>
        </row>
        <row r="219">
          <cell r="A219" t="str">
            <v>MA191</v>
          </cell>
          <cell r="B219" t="str">
            <v>Postes de 14m</v>
          </cell>
          <cell r="C219" t="str">
            <v>und</v>
          </cell>
          <cell r="D219">
            <v>1876630</v>
          </cell>
        </row>
        <row r="220">
          <cell r="A220" t="str">
            <v>MA192</v>
          </cell>
          <cell r="B220" t="str">
            <v>Crucetas y accesorios para fijar 3 reflectores</v>
          </cell>
          <cell r="C220" t="str">
            <v>und</v>
          </cell>
          <cell r="D220">
            <v>1963500</v>
          </cell>
        </row>
        <row r="221">
          <cell r="A221" t="str">
            <v>MA193</v>
          </cell>
          <cell r="B221" t="str">
            <v>Reflector LED de 400 w 220 v ip 65</v>
          </cell>
          <cell r="C221" t="str">
            <v>und</v>
          </cell>
          <cell r="D221">
            <v>556325</v>
          </cell>
        </row>
        <row r="222">
          <cell r="A222" t="str">
            <v>MA194</v>
          </cell>
          <cell r="B222" t="str">
            <v>Cable desnudo Cu 1/0 AWG THHN</v>
          </cell>
          <cell r="C222" t="str">
            <v>m</v>
          </cell>
          <cell r="D222">
            <v>30350</v>
          </cell>
        </row>
        <row r="223">
          <cell r="A223" t="str">
            <v>MA195</v>
          </cell>
          <cell r="B223" t="str">
            <v>Puntas tipo Franklin punta de Acero una sola asta con r</v>
          </cell>
          <cell r="C223" t="str">
            <v>und</v>
          </cell>
          <cell r="D223">
            <v>89400</v>
          </cell>
        </row>
        <row r="224">
          <cell r="A224" t="str">
            <v>MA196</v>
          </cell>
          <cell r="B224" t="str">
            <v>Cajas de conexiòn en piso</v>
          </cell>
          <cell r="C224" t="str">
            <v>und</v>
          </cell>
          <cell r="D224">
            <v>290000</v>
          </cell>
        </row>
        <row r="225">
          <cell r="A225" t="str">
            <v>MA197</v>
          </cell>
          <cell r="B225" t="str">
            <v>Varilla Copperweld 2.4m X 5/8"</v>
          </cell>
          <cell r="C225" t="str">
            <v>und</v>
          </cell>
          <cell r="D225">
            <v>190000</v>
          </cell>
        </row>
        <row r="226">
          <cell r="A226" t="str">
            <v>MA198</v>
          </cell>
          <cell r="B226" t="str">
            <v>Soldadura exotèrmica cadweld 19 gr</v>
          </cell>
          <cell r="C226" t="str">
            <v>und</v>
          </cell>
          <cell r="D226">
            <v>14500</v>
          </cell>
        </row>
        <row r="227">
          <cell r="A227" t="str">
            <v>MA199</v>
          </cell>
          <cell r="B227" t="str">
            <v>Tuberia EMT de 2"</v>
          </cell>
          <cell r="C227" t="str">
            <v>m</v>
          </cell>
          <cell r="D227">
            <v>29800</v>
          </cell>
        </row>
        <row r="228">
          <cell r="A228" t="str">
            <v>MA200</v>
          </cell>
          <cell r="B228" t="str">
            <v>Postes tipo Carabobo de 4,5 m</v>
          </cell>
          <cell r="C228" t="str">
            <v>und</v>
          </cell>
          <cell r="D228">
            <v>455770</v>
          </cell>
        </row>
        <row r="229">
          <cell r="A229" t="str">
            <v>MA201</v>
          </cell>
          <cell r="B229" t="str">
            <v>Brazo y accesorios para poste metalico de 4.5m</v>
          </cell>
          <cell r="C229" t="str">
            <v>und</v>
          </cell>
          <cell r="D229">
            <v>205250</v>
          </cell>
        </row>
        <row r="230">
          <cell r="A230" t="str">
            <v>MA202</v>
          </cell>
          <cell r="B230" t="str">
            <v>Làmparas LED de 40 W Sylvania 220v ip 65</v>
          </cell>
          <cell r="C230" t="str">
            <v>und</v>
          </cell>
          <cell r="D230">
            <v>736312</v>
          </cell>
        </row>
        <row r="231">
          <cell r="A231" t="str">
            <v>MA203</v>
          </cell>
          <cell r="B231" t="str">
            <v>Cable desnudo Cu 1/0 AWG THHN</v>
          </cell>
          <cell r="C231" t="str">
            <v>und</v>
          </cell>
          <cell r="D231">
            <v>30350</v>
          </cell>
        </row>
        <row r="232">
          <cell r="A232" t="str">
            <v>MA204</v>
          </cell>
          <cell r="B232" t="str">
            <v>LED tipo hermetica de 2x32</v>
          </cell>
          <cell r="C232" t="str">
            <v>und</v>
          </cell>
          <cell r="D232">
            <v>129635</v>
          </cell>
        </row>
        <row r="233">
          <cell r="A233" t="str">
            <v>MA205</v>
          </cell>
          <cell r="B233" t="str">
            <v>Ojo de Buey de 9 w</v>
          </cell>
          <cell r="C233" t="str">
            <v>und</v>
          </cell>
          <cell r="D233">
            <v>68200</v>
          </cell>
        </row>
        <row r="234">
          <cell r="A234" t="str">
            <v>MA206</v>
          </cell>
          <cell r="B234" t="str">
            <v xml:space="preserve">Toma doble incluye tapa </v>
          </cell>
          <cell r="C234" t="str">
            <v>und</v>
          </cell>
          <cell r="D234">
            <v>4800</v>
          </cell>
        </row>
        <row r="235">
          <cell r="A235" t="str">
            <v>MA207</v>
          </cell>
          <cell r="B235" t="str">
            <v>Toma GFCI</v>
          </cell>
          <cell r="C235" t="str">
            <v>und</v>
          </cell>
          <cell r="D235">
            <v>38000</v>
          </cell>
        </row>
        <row r="236">
          <cell r="A236" t="str">
            <v>MA208</v>
          </cell>
          <cell r="B236" t="str">
            <v>suiche sencillo</v>
          </cell>
          <cell r="C236" t="str">
            <v>und</v>
          </cell>
          <cell r="D236">
            <v>9500</v>
          </cell>
        </row>
        <row r="237">
          <cell r="A237" t="str">
            <v>MA209</v>
          </cell>
          <cell r="B237" t="str">
            <v xml:space="preserve">sensor infrarojo IPS02-1LW </v>
          </cell>
          <cell r="C237" t="str">
            <v>und</v>
          </cell>
          <cell r="D237">
            <v>75400</v>
          </cell>
        </row>
        <row r="238">
          <cell r="A238" t="str">
            <v>MA210</v>
          </cell>
          <cell r="B238" t="str">
            <v>Protecciones termomagneticas 20 A  y 10 Ka</v>
          </cell>
          <cell r="C238" t="str">
            <v>und</v>
          </cell>
          <cell r="D238">
            <v>16900</v>
          </cell>
        </row>
        <row r="239">
          <cell r="A239" t="str">
            <v>MA211</v>
          </cell>
          <cell r="B239" t="str">
            <v>Tablero normal de 18 circuitos</v>
          </cell>
          <cell r="C239" t="str">
            <v>und</v>
          </cell>
          <cell r="D239">
            <v>306568</v>
          </cell>
        </row>
        <row r="240">
          <cell r="A240" t="str">
            <v>MA212</v>
          </cell>
          <cell r="B240" t="str">
            <v>Tubo 2" e: 1/4" con ganchos de fijacion 3/8" a 0.15</v>
          </cell>
          <cell r="C240" t="str">
            <v>m</v>
          </cell>
          <cell r="D240">
            <v>44000</v>
          </cell>
        </row>
        <row r="241">
          <cell r="A241" t="str">
            <v>MA213</v>
          </cell>
          <cell r="B241" t="str">
            <v>perfil 2 1/2" x 2 1/2" x 3"</v>
          </cell>
          <cell r="C241" t="str">
            <v>m</v>
          </cell>
          <cell r="D241">
            <v>30000</v>
          </cell>
        </row>
        <row r="242">
          <cell r="A242" t="str">
            <v>MA214</v>
          </cell>
          <cell r="B242" t="str">
            <v>concreto hidraulico para pavimento MR1</v>
          </cell>
          <cell r="C242" t="str">
            <v>m3</v>
          </cell>
          <cell r="D242">
            <v>563575.94999999995</v>
          </cell>
        </row>
        <row r="243">
          <cell r="A243" t="str">
            <v>MA215</v>
          </cell>
          <cell r="B243" t="str">
            <v>antisol blanco (presentacion 20kg)</v>
          </cell>
          <cell r="C243" t="str">
            <v>kg</v>
          </cell>
          <cell r="D243">
            <v>6558.32</v>
          </cell>
        </row>
        <row r="244">
          <cell r="A244" t="str">
            <v>MA216</v>
          </cell>
          <cell r="B244" t="str">
            <v>sello de silicona o sellador autonivelante</v>
          </cell>
          <cell r="C244" t="str">
            <v>m</v>
          </cell>
          <cell r="D244">
            <v>7151.46</v>
          </cell>
        </row>
        <row r="245">
          <cell r="A245" t="str">
            <v>MA217</v>
          </cell>
          <cell r="B245" t="str">
            <v>cintilla de poliuretano (sikarod)(pavimentos de concreto hidraulico)</v>
          </cell>
          <cell r="C245" t="str">
            <v>m</v>
          </cell>
          <cell r="D245">
            <v>1139</v>
          </cell>
        </row>
        <row r="246">
          <cell r="A246" t="str">
            <v>MA218</v>
          </cell>
          <cell r="B246" t="str">
            <v>Pintura acrilica en frio para trafico</v>
          </cell>
          <cell r="C246" t="str">
            <v>gal</v>
          </cell>
          <cell r="D246">
            <v>115000</v>
          </cell>
        </row>
        <row r="247">
          <cell r="A247" t="str">
            <v>MA219</v>
          </cell>
          <cell r="B247" t="str">
            <v>disolvente para pintura acrilica</v>
          </cell>
          <cell r="C247" t="str">
            <v>gal</v>
          </cell>
          <cell r="D247">
            <v>25000</v>
          </cell>
        </row>
        <row r="248">
          <cell r="A248" t="str">
            <v>MA220</v>
          </cell>
          <cell r="B248" t="str">
            <v>Concreto premezclado</v>
          </cell>
          <cell r="C248" t="str">
            <v>m3</v>
          </cell>
          <cell r="D248">
            <v>410000</v>
          </cell>
        </row>
        <row r="249">
          <cell r="A249" t="str">
            <v>MA221</v>
          </cell>
          <cell r="B249" t="str">
            <v xml:space="preserve">Formaleta para concreto en madera </v>
          </cell>
          <cell r="C249" t="str">
            <v>m2</v>
          </cell>
          <cell r="D249">
            <v>40000</v>
          </cell>
        </row>
        <row r="250">
          <cell r="A250" t="str">
            <v>MA222</v>
          </cell>
          <cell r="B250" t="str">
            <v>Formaleta super T 19mm (244 x23 cm)</v>
          </cell>
          <cell r="C250" t="str">
            <v>m2</v>
          </cell>
          <cell r="D250">
            <v>46000</v>
          </cell>
        </row>
        <row r="251">
          <cell r="A251" t="str">
            <v>MA223</v>
          </cell>
          <cell r="B251" t="str">
            <v>agente desencofrante</v>
          </cell>
          <cell r="C251" t="str">
            <v>kg</v>
          </cell>
          <cell r="D251">
            <v>6500</v>
          </cell>
        </row>
        <row r="252">
          <cell r="A252" t="str">
            <v>MA224</v>
          </cell>
          <cell r="B252" t="str">
            <v>puntal metalico telescopico de hasta 3m.</v>
          </cell>
          <cell r="C252" t="str">
            <v>und</v>
          </cell>
          <cell r="D252">
            <v>32000</v>
          </cell>
        </row>
        <row r="253">
          <cell r="A253" t="str">
            <v>MA225</v>
          </cell>
          <cell r="B253" t="str">
            <v>tubo cuadrado de 50 x 50 x 1.5 mm</v>
          </cell>
          <cell r="C253" t="str">
            <v>m</v>
          </cell>
          <cell r="D253">
            <v>17500</v>
          </cell>
        </row>
        <row r="254">
          <cell r="A254" t="str">
            <v>MA226</v>
          </cell>
          <cell r="B254" t="str">
            <v>cable N8 AWG THHN</v>
          </cell>
          <cell r="C254" t="str">
            <v>M</v>
          </cell>
          <cell r="D254">
            <v>5300</v>
          </cell>
        </row>
        <row r="255">
          <cell r="A255" t="str">
            <v>MA227</v>
          </cell>
          <cell r="B255" t="str">
            <v>cable N6 AWG THHN</v>
          </cell>
          <cell r="C255" t="str">
            <v>M</v>
          </cell>
          <cell r="D255">
            <v>7950</v>
          </cell>
        </row>
        <row r="256">
          <cell r="A256" t="str">
            <v>MA228</v>
          </cell>
          <cell r="B256" t="str">
            <v>cable N10 AWG THHN</v>
          </cell>
          <cell r="C256" t="str">
            <v>M</v>
          </cell>
          <cell r="D256">
            <v>3500</v>
          </cell>
        </row>
        <row r="257">
          <cell r="A257" t="str">
            <v>MA229</v>
          </cell>
          <cell r="B257" t="str">
            <v>Tuberia EMT de 3/4"</v>
          </cell>
          <cell r="C257" t="str">
            <v>m</v>
          </cell>
          <cell r="D257">
            <v>9300</v>
          </cell>
        </row>
        <row r="258">
          <cell r="A258" t="str">
            <v>MA230</v>
          </cell>
          <cell r="B258" t="str">
            <v>cable N12awg</v>
          </cell>
          <cell r="C258" t="str">
            <v>m</v>
          </cell>
          <cell r="D258">
            <v>2700</v>
          </cell>
        </row>
        <row r="259">
          <cell r="A259" t="str">
            <v>MA231</v>
          </cell>
          <cell r="B259" t="str">
            <v>conectores tuberia EMT</v>
          </cell>
          <cell r="C259" t="str">
            <v>und</v>
          </cell>
          <cell r="D259">
            <v>200</v>
          </cell>
        </row>
        <row r="260">
          <cell r="A260" t="str">
            <v>MA232</v>
          </cell>
          <cell r="B260" t="str">
            <v xml:space="preserve">REJILLA PARA CARCAMO. INCLUYE MARCO EN ANGULO 2 1/2"X3/16" Y CONTRAMARCO EN PLATINA DE 2"X3/16" A=0,40m; Y VARILLA 5/8" C.15			</v>
          </cell>
          <cell r="C260" t="str">
            <v>m</v>
          </cell>
          <cell r="D260">
            <v>135000</v>
          </cell>
        </row>
        <row r="261">
          <cell r="A261" t="str">
            <v>MA233</v>
          </cell>
          <cell r="B261" t="str">
            <v>tuberia novafor de 10"</v>
          </cell>
          <cell r="C261" t="str">
            <v>m</v>
          </cell>
          <cell r="D261">
            <v>73000</v>
          </cell>
        </row>
        <row r="262">
          <cell r="A262" t="str">
            <v>MA234</v>
          </cell>
          <cell r="B262" t="str">
            <v>accesorios novafort</v>
          </cell>
          <cell r="C262" t="str">
            <v>und</v>
          </cell>
          <cell r="D262">
            <v>100000</v>
          </cell>
        </row>
        <row r="263">
          <cell r="A263" t="str">
            <v>MA235</v>
          </cell>
          <cell r="B263" t="str">
            <v>Acero A 36, en perfiles conformados en frío, según ASTM A 36, acabado galvanizado, incluso accesorios, tornillería y elementos de anclaje. Trabajado y montado en taller, para colocar con uniones atornilladas en obra.</v>
          </cell>
          <cell r="C263" t="str">
            <v>kg</v>
          </cell>
          <cell r="D263">
            <v>14000</v>
          </cell>
        </row>
        <row r="264">
          <cell r="A264" t="str">
            <v>MA236</v>
          </cell>
          <cell r="B264" t="str">
            <v xml:space="preserve">tableta demarcadora visual de 10 x20 x6 </v>
          </cell>
          <cell r="C264" t="str">
            <v>und</v>
          </cell>
          <cell r="D264">
            <v>1200</v>
          </cell>
        </row>
        <row r="265">
          <cell r="A265" t="str">
            <v>MA237</v>
          </cell>
          <cell r="B265" t="str">
            <v>separol sika</v>
          </cell>
          <cell r="C265" t="str">
            <v>kg</v>
          </cell>
          <cell r="D265">
            <v>10000</v>
          </cell>
        </row>
        <row r="266">
          <cell r="A266" t="str">
            <v>MA238</v>
          </cell>
          <cell r="B266" t="str">
            <v xml:space="preserve">Formaleta super T 19 mm para muro de contencion  incluye pasamuros para paso de los tensores, elementos de sustentación, fijación y apuntalamiento necesarios para su estabilidad </v>
          </cell>
          <cell r="C266" t="str">
            <v>m2</v>
          </cell>
          <cell r="D266">
            <v>50000</v>
          </cell>
        </row>
        <row r="267">
          <cell r="A267" t="str">
            <v>MA239</v>
          </cell>
          <cell r="B267" t="str">
            <v>Formaleta pavimento rígido (metálica y madera según se requiera) por m3</v>
          </cell>
          <cell r="C267" t="str">
            <v>m2</v>
          </cell>
          <cell r="D267">
            <v>40000</v>
          </cell>
        </row>
        <row r="268">
          <cell r="A268" t="str">
            <v>MA240</v>
          </cell>
          <cell r="B268" t="str">
            <v xml:space="preserve">Formaleta super T 19 mm para superficie tipo rampa del Bowl de skate  incluye pasamuros para paso de los tensores, elementos de sustentación, fijación y apuntalamiento necesarios para su estabilidad </v>
          </cell>
          <cell r="C268" t="str">
            <v>m2</v>
          </cell>
          <cell r="D268">
            <v>46000</v>
          </cell>
        </row>
        <row r="269">
          <cell r="A269" t="str">
            <v>MA241</v>
          </cell>
          <cell r="B269" t="str">
            <v>Ladrillo 15x20x40</v>
          </cell>
          <cell r="C269" t="str">
            <v>und</v>
          </cell>
          <cell r="D269">
            <v>2700</v>
          </cell>
        </row>
        <row r="270">
          <cell r="A270" t="str">
            <v>MA242</v>
          </cell>
          <cell r="B270" t="str">
            <v>Pintura Tipo 1</v>
          </cell>
          <cell r="C270" t="str">
            <v>Gl</v>
          </cell>
          <cell r="D270">
            <v>56900</v>
          </cell>
        </row>
        <row r="271">
          <cell r="A271" t="str">
            <v>MA243</v>
          </cell>
          <cell r="B271" t="str">
            <v>Bloque con varilla de anclaje de 3/8" (retenida)</v>
          </cell>
          <cell r="C271" t="str">
            <v>und</v>
          </cell>
          <cell r="D271">
            <v>15200</v>
          </cell>
        </row>
        <row r="272">
          <cell r="A272" t="str">
            <v>MA244</v>
          </cell>
          <cell r="B272" t="str">
            <v xml:space="preserve">guarda cabo para retenida </v>
          </cell>
          <cell r="C272" t="str">
            <v>un</v>
          </cell>
          <cell r="D272">
            <v>2401</v>
          </cell>
        </row>
        <row r="273">
          <cell r="A273" t="str">
            <v>MA245</v>
          </cell>
          <cell r="B273" t="str">
            <v>cable super GX de 3/8"</v>
          </cell>
          <cell r="C273" t="str">
            <v>m</v>
          </cell>
          <cell r="D273">
            <v>3350</v>
          </cell>
        </row>
        <row r="274">
          <cell r="A274" t="str">
            <v>MA246</v>
          </cell>
          <cell r="B274" t="str">
            <v xml:space="preserve">aislador porcelana tipo tensor </v>
          </cell>
          <cell r="C274" t="str">
            <v>un</v>
          </cell>
          <cell r="D274">
            <v>15000</v>
          </cell>
        </row>
        <row r="275">
          <cell r="A275" t="str">
            <v>MA247</v>
          </cell>
          <cell r="B275" t="str">
            <v>conector de compresion CU 4/0 AWG</v>
          </cell>
          <cell r="C275" t="str">
            <v>UN</v>
          </cell>
          <cell r="D275">
            <v>10450</v>
          </cell>
        </row>
        <row r="276">
          <cell r="A276" t="str">
            <v>MA248</v>
          </cell>
          <cell r="B276" t="str">
            <v>conector de compresion CU 2 AWG</v>
          </cell>
          <cell r="C276" t="str">
            <v>UN</v>
          </cell>
          <cell r="D276">
            <v>9200</v>
          </cell>
        </row>
        <row r="277">
          <cell r="A277" t="str">
            <v>MA249</v>
          </cell>
          <cell r="B277" t="str">
            <v>tubo de pvc 3/4" x 3m</v>
          </cell>
          <cell r="C277" t="str">
            <v>un</v>
          </cell>
          <cell r="D277">
            <v>7600</v>
          </cell>
        </row>
        <row r="278">
          <cell r="A278" t="str">
            <v>MA250</v>
          </cell>
          <cell r="B278" t="str">
            <v>cinta aislante scott 23 autofund caucho 3/4" x 9.1m</v>
          </cell>
          <cell r="C278" t="str">
            <v>un</v>
          </cell>
          <cell r="D278">
            <v>41000</v>
          </cell>
        </row>
        <row r="279">
          <cell r="A279" t="str">
            <v>MA251</v>
          </cell>
          <cell r="B279" t="str">
            <v>cinta vinilo 3m x 18m</v>
          </cell>
          <cell r="C279" t="str">
            <v>un</v>
          </cell>
          <cell r="D279">
            <v>3900</v>
          </cell>
        </row>
        <row r="280">
          <cell r="A280" t="str">
            <v>MA252</v>
          </cell>
          <cell r="B280" t="str">
            <v>Soldadura exotèrmica 150 gr</v>
          </cell>
          <cell r="C280" t="str">
            <v>un</v>
          </cell>
          <cell r="D280">
            <v>20000</v>
          </cell>
        </row>
        <row r="281">
          <cell r="A281" t="str">
            <v>MA253</v>
          </cell>
          <cell r="B281" t="str">
            <v>molde para soldadura</v>
          </cell>
          <cell r="C281" t="str">
            <v>un</v>
          </cell>
          <cell r="D281">
            <v>127000</v>
          </cell>
        </row>
        <row r="282">
          <cell r="A282" t="str">
            <v>MA254</v>
          </cell>
          <cell r="B282" t="str">
            <v>Tuberia pvc db de 2"</v>
          </cell>
          <cell r="C282" t="str">
            <v>m</v>
          </cell>
          <cell r="D282">
            <v>7175</v>
          </cell>
        </row>
        <row r="283">
          <cell r="A283" t="str">
            <v>MA255</v>
          </cell>
          <cell r="B283" t="str">
            <v xml:space="preserve">terminal campana </v>
          </cell>
          <cell r="C283" t="str">
            <v>un</v>
          </cell>
          <cell r="D283">
            <v>4064</v>
          </cell>
        </row>
        <row r="284">
          <cell r="A284" t="str">
            <v>MA256</v>
          </cell>
          <cell r="B284" t="str">
            <v>uniones de 2" pvc</v>
          </cell>
          <cell r="C284" t="str">
            <v>un</v>
          </cell>
          <cell r="D284">
            <v>1800</v>
          </cell>
        </row>
        <row r="285">
          <cell r="A285" t="str">
            <v>MA257</v>
          </cell>
          <cell r="B285" t="str">
            <v xml:space="preserve">pega pvc 1/4 galon </v>
          </cell>
          <cell r="C285" t="str">
            <v>gal</v>
          </cell>
          <cell r="D285">
            <v>24725</v>
          </cell>
        </row>
        <row r="286">
          <cell r="A286" t="str">
            <v>MA258</v>
          </cell>
          <cell r="B286" t="str">
            <v>cinta de peligro EPM roja x 80 m</v>
          </cell>
          <cell r="C286" t="str">
            <v>un</v>
          </cell>
          <cell r="D286">
            <v>86871</v>
          </cell>
        </row>
        <row r="287">
          <cell r="A287" t="str">
            <v>MA259</v>
          </cell>
          <cell r="B287" t="str">
            <v>curva pvc 2"</v>
          </cell>
          <cell r="C287" t="str">
            <v>un</v>
          </cell>
          <cell r="D287">
            <v>2900</v>
          </cell>
        </row>
        <row r="288">
          <cell r="A288" t="str">
            <v>MA260</v>
          </cell>
          <cell r="B288" t="str">
            <v>cable 3x14 AWG</v>
          </cell>
          <cell r="C288" t="str">
            <v>m</v>
          </cell>
          <cell r="D288">
            <v>4600</v>
          </cell>
        </row>
        <row r="289">
          <cell r="A289" t="str">
            <v>MA261</v>
          </cell>
          <cell r="B289" t="str">
            <v>Conector 3/4" EMT</v>
          </cell>
          <cell r="C289" t="str">
            <v>un</v>
          </cell>
          <cell r="D289">
            <v>1237</v>
          </cell>
        </row>
        <row r="290">
          <cell r="A290" t="str">
            <v>MA262</v>
          </cell>
          <cell r="B290" t="str">
            <v>union 3/4" EMT</v>
          </cell>
          <cell r="C290" t="str">
            <v>un</v>
          </cell>
          <cell r="D290">
            <v>800</v>
          </cell>
        </row>
        <row r="291">
          <cell r="A291" t="str">
            <v>MA263</v>
          </cell>
          <cell r="B291" t="str">
            <v>Grapa doble ala 3/4"</v>
          </cell>
          <cell r="C291" t="str">
            <v>un</v>
          </cell>
          <cell r="D291">
            <v>300</v>
          </cell>
        </row>
        <row r="292">
          <cell r="A292" t="str">
            <v>MA264</v>
          </cell>
          <cell r="B292" t="str">
            <v>cable N 10 libre de Halogenos</v>
          </cell>
          <cell r="C292" t="str">
            <v>m</v>
          </cell>
          <cell r="D292">
            <v>3700</v>
          </cell>
        </row>
        <row r="293">
          <cell r="A293" t="str">
            <v>MA265</v>
          </cell>
          <cell r="B293" t="str">
            <v>Breaker industrial 50A, 25 KA</v>
          </cell>
          <cell r="C293" t="str">
            <v>un</v>
          </cell>
          <cell r="D293">
            <v>143354</v>
          </cell>
        </row>
        <row r="294">
          <cell r="A294" t="str">
            <v>MA266</v>
          </cell>
          <cell r="B294" t="str">
            <v>Caja para acometida principal con tapa</v>
          </cell>
          <cell r="C294" t="str">
            <v>un</v>
          </cell>
          <cell r="D294">
            <v>535000</v>
          </cell>
        </row>
        <row r="295">
          <cell r="A295" t="str">
            <v>MA267</v>
          </cell>
        </row>
        <row r="296">
          <cell r="A296" t="str">
            <v>MA268</v>
          </cell>
        </row>
        <row r="297">
          <cell r="A297" t="str">
            <v>MA269</v>
          </cell>
        </row>
        <row r="298">
          <cell r="A298" t="str">
            <v>MA270</v>
          </cell>
        </row>
        <row r="299">
          <cell r="A299" t="str">
            <v>MA271</v>
          </cell>
        </row>
        <row r="300">
          <cell r="A300" t="str">
            <v>MA272</v>
          </cell>
        </row>
        <row r="301">
          <cell r="A301" t="str">
            <v>MA273</v>
          </cell>
        </row>
        <row r="302">
          <cell r="A302" t="str">
            <v>MA274</v>
          </cell>
        </row>
        <row r="303">
          <cell r="A303" t="str">
            <v>MA275</v>
          </cell>
        </row>
        <row r="304">
          <cell r="A304" t="str">
            <v>MA276</v>
          </cell>
        </row>
        <row r="305">
          <cell r="A305" t="str">
            <v>MA277</v>
          </cell>
        </row>
        <row r="306">
          <cell r="A306" t="str">
            <v>MA278</v>
          </cell>
        </row>
        <row r="307">
          <cell r="A307" t="str">
            <v>MA279</v>
          </cell>
        </row>
        <row r="308">
          <cell r="A308" t="str">
            <v>MA280</v>
          </cell>
        </row>
        <row r="309">
          <cell r="A309" t="str">
            <v>MA281</v>
          </cell>
        </row>
        <row r="310">
          <cell r="A310" t="str">
            <v>MA282</v>
          </cell>
        </row>
        <row r="311">
          <cell r="A311" t="str">
            <v>MA283</v>
          </cell>
        </row>
        <row r="312">
          <cell r="A312" t="str">
            <v>MA284</v>
          </cell>
        </row>
        <row r="313">
          <cell r="A313" t="str">
            <v>MA285</v>
          </cell>
        </row>
        <row r="314">
          <cell r="A314" t="str">
            <v>MA286</v>
          </cell>
        </row>
        <row r="315">
          <cell r="A315" t="str">
            <v>MA287</v>
          </cell>
        </row>
        <row r="316">
          <cell r="A316" t="str">
            <v>MA288</v>
          </cell>
        </row>
        <row r="317">
          <cell r="A317" t="str">
            <v>MA289</v>
          </cell>
        </row>
        <row r="318">
          <cell r="A318" t="str">
            <v>MA290</v>
          </cell>
        </row>
        <row r="319">
          <cell r="A319" t="str">
            <v>MA291</v>
          </cell>
        </row>
        <row r="320">
          <cell r="A320" t="str">
            <v>MA292</v>
          </cell>
        </row>
        <row r="321">
          <cell r="A321" t="str">
            <v>MA293</v>
          </cell>
        </row>
        <row r="322">
          <cell r="A322" t="str">
            <v>MA294</v>
          </cell>
        </row>
        <row r="323">
          <cell r="A323" t="str">
            <v>MA295</v>
          </cell>
        </row>
        <row r="324">
          <cell r="A324" t="str">
            <v>MA296</v>
          </cell>
        </row>
        <row r="325">
          <cell r="A325" t="str">
            <v>MA297</v>
          </cell>
        </row>
        <row r="326">
          <cell r="A326" t="str">
            <v>MA298</v>
          </cell>
        </row>
        <row r="327">
          <cell r="A327" t="str">
            <v>MA299</v>
          </cell>
        </row>
        <row r="328">
          <cell r="A328" t="str">
            <v>MA300</v>
          </cell>
        </row>
        <row r="329">
          <cell r="A329" t="str">
            <v>MA301</v>
          </cell>
        </row>
        <row r="330">
          <cell r="A330" t="str">
            <v>MA302</v>
          </cell>
        </row>
        <row r="331">
          <cell r="A331" t="str">
            <v>MA303</v>
          </cell>
        </row>
        <row r="332">
          <cell r="A332" t="str">
            <v>MA304</v>
          </cell>
        </row>
        <row r="333">
          <cell r="A333" t="str">
            <v>MA305</v>
          </cell>
        </row>
        <row r="334">
          <cell r="A334" t="str">
            <v>MA306</v>
          </cell>
        </row>
        <row r="335">
          <cell r="A335" t="str">
            <v>MA307</v>
          </cell>
        </row>
        <row r="336">
          <cell r="A336" t="str">
            <v>MA308</v>
          </cell>
        </row>
        <row r="337">
          <cell r="A337" t="str">
            <v>MA309</v>
          </cell>
        </row>
        <row r="338">
          <cell r="A338" t="str">
            <v>MA310</v>
          </cell>
        </row>
        <row r="339">
          <cell r="A339" t="str">
            <v>MA311</v>
          </cell>
        </row>
        <row r="340">
          <cell r="A340" t="str">
            <v>MA312</v>
          </cell>
        </row>
        <row r="341">
          <cell r="A341" t="str">
            <v>MA313</v>
          </cell>
        </row>
        <row r="342">
          <cell r="A342" t="str">
            <v>MA314</v>
          </cell>
        </row>
        <row r="343">
          <cell r="A343" t="str">
            <v>MA315</v>
          </cell>
        </row>
        <row r="344">
          <cell r="A344" t="str">
            <v>MA316</v>
          </cell>
        </row>
        <row r="345">
          <cell r="A345" t="str">
            <v>MA317</v>
          </cell>
        </row>
        <row r="346">
          <cell r="A346" t="str">
            <v>MA318</v>
          </cell>
        </row>
        <row r="347">
          <cell r="A347" t="str">
            <v>MA319</v>
          </cell>
        </row>
        <row r="348">
          <cell r="A348" t="str">
            <v>MA320</v>
          </cell>
        </row>
        <row r="349">
          <cell r="A349" t="str">
            <v>MA321</v>
          </cell>
        </row>
        <row r="350">
          <cell r="A350" t="str">
            <v>MA322</v>
          </cell>
        </row>
        <row r="351">
          <cell r="A351" t="str">
            <v>MA323</v>
          </cell>
        </row>
        <row r="352">
          <cell r="A352" t="str">
            <v>MA324</v>
          </cell>
        </row>
        <row r="353">
          <cell r="A353" t="str">
            <v>MA325</v>
          </cell>
        </row>
        <row r="354">
          <cell r="A354" t="str">
            <v>MA326</v>
          </cell>
        </row>
        <row r="355">
          <cell r="A355" t="str">
            <v>MA327</v>
          </cell>
        </row>
        <row r="356">
          <cell r="A356" t="str">
            <v>MA328</v>
          </cell>
        </row>
        <row r="357">
          <cell r="A357" t="str">
            <v>MA329</v>
          </cell>
        </row>
        <row r="358">
          <cell r="A358" t="str">
            <v>MA330</v>
          </cell>
        </row>
        <row r="359">
          <cell r="A359" t="str">
            <v>MA331</v>
          </cell>
        </row>
        <row r="360">
          <cell r="A360" t="str">
            <v>MA332</v>
          </cell>
        </row>
        <row r="361">
          <cell r="A361" t="str">
            <v>MA333</v>
          </cell>
        </row>
        <row r="362">
          <cell r="A362" t="str">
            <v>MA334</v>
          </cell>
        </row>
        <row r="363">
          <cell r="A363" t="str">
            <v>MA335</v>
          </cell>
        </row>
        <row r="364">
          <cell r="A364" t="str">
            <v>MA336</v>
          </cell>
        </row>
        <row r="365">
          <cell r="A365" t="str">
            <v>MA337</v>
          </cell>
        </row>
        <row r="366">
          <cell r="A366" t="str">
            <v>MA338</v>
          </cell>
        </row>
        <row r="367">
          <cell r="A367" t="str">
            <v>MA339</v>
          </cell>
        </row>
        <row r="368">
          <cell r="A368" t="str">
            <v>MA340</v>
          </cell>
        </row>
        <row r="369">
          <cell r="A369" t="str">
            <v>MA341</v>
          </cell>
        </row>
        <row r="370">
          <cell r="A370" t="str">
            <v>MA342</v>
          </cell>
        </row>
        <row r="371">
          <cell r="A371" t="str">
            <v>MA343</v>
          </cell>
        </row>
        <row r="372">
          <cell r="A372" t="str">
            <v>MA344</v>
          </cell>
        </row>
        <row r="373">
          <cell r="A373" t="str">
            <v>MA345</v>
          </cell>
        </row>
        <row r="374">
          <cell r="A374" t="str">
            <v>MA346</v>
          </cell>
        </row>
        <row r="375">
          <cell r="A375" t="str">
            <v>MA347</v>
          </cell>
        </row>
        <row r="376">
          <cell r="A376" t="str">
            <v>MA348</v>
          </cell>
        </row>
        <row r="377">
          <cell r="A377" t="str">
            <v>MA349</v>
          </cell>
        </row>
        <row r="378">
          <cell r="A378" t="str">
            <v>MA350</v>
          </cell>
        </row>
        <row r="379">
          <cell r="A379" t="str">
            <v>MA351</v>
          </cell>
        </row>
        <row r="380">
          <cell r="A380" t="str">
            <v>MA352</v>
          </cell>
        </row>
        <row r="381">
          <cell r="A381" t="str">
            <v>MA353</v>
          </cell>
        </row>
        <row r="382">
          <cell r="A382" t="str">
            <v>MA354</v>
          </cell>
        </row>
        <row r="383">
          <cell r="A383" t="str">
            <v>MA355</v>
          </cell>
        </row>
        <row r="384">
          <cell r="A384" t="str">
            <v>MA356</v>
          </cell>
        </row>
        <row r="385">
          <cell r="A385" t="str">
            <v>MA357</v>
          </cell>
        </row>
        <row r="386">
          <cell r="A386" t="str">
            <v>MA358</v>
          </cell>
        </row>
        <row r="387">
          <cell r="A387" t="str">
            <v>MA359</v>
          </cell>
        </row>
        <row r="388">
          <cell r="A388" t="str">
            <v>MA360</v>
          </cell>
        </row>
        <row r="389">
          <cell r="A389" t="str">
            <v>MA361</v>
          </cell>
        </row>
        <row r="390">
          <cell r="A390" t="str">
            <v>MA362</v>
          </cell>
        </row>
        <row r="391">
          <cell r="A391" t="str">
            <v>MA363</v>
          </cell>
        </row>
        <row r="392">
          <cell r="A392" t="str">
            <v>MA364</v>
          </cell>
        </row>
        <row r="393">
          <cell r="A393" t="str">
            <v>MA365</v>
          </cell>
        </row>
        <row r="394">
          <cell r="A394" t="str">
            <v>MA366</v>
          </cell>
        </row>
        <row r="395">
          <cell r="A395" t="str">
            <v>MA367</v>
          </cell>
        </row>
        <row r="396">
          <cell r="A396" t="str">
            <v>MA368</v>
          </cell>
        </row>
        <row r="397">
          <cell r="A397" t="str">
            <v>MA369</v>
          </cell>
        </row>
        <row r="398">
          <cell r="A398" t="str">
            <v>MA370</v>
          </cell>
        </row>
        <row r="399">
          <cell r="A399" t="str">
            <v>MA371</v>
          </cell>
        </row>
        <row r="400">
          <cell r="A400" t="str">
            <v>MA372</v>
          </cell>
        </row>
        <row r="401">
          <cell r="A401" t="str">
            <v>MA373</v>
          </cell>
        </row>
        <row r="402">
          <cell r="A402" t="str">
            <v>MA374</v>
          </cell>
        </row>
        <row r="403">
          <cell r="A403" t="str">
            <v>MA375</v>
          </cell>
        </row>
        <row r="404">
          <cell r="A404" t="str">
            <v>MA376</v>
          </cell>
        </row>
        <row r="405">
          <cell r="A405" t="str">
            <v>MA377</v>
          </cell>
        </row>
        <row r="406">
          <cell r="A406" t="str">
            <v>MA378</v>
          </cell>
        </row>
        <row r="407">
          <cell r="A407" t="str">
            <v>MA379</v>
          </cell>
        </row>
        <row r="408">
          <cell r="A408" t="str">
            <v>MA380</v>
          </cell>
        </row>
        <row r="409">
          <cell r="A409" t="str">
            <v>MA381</v>
          </cell>
        </row>
        <row r="410">
          <cell r="A410" t="str">
            <v>MA382</v>
          </cell>
        </row>
        <row r="411">
          <cell r="A411" t="str">
            <v>MA383</v>
          </cell>
        </row>
        <row r="412">
          <cell r="A412" t="str">
            <v>MA384</v>
          </cell>
        </row>
        <row r="413">
          <cell r="A413" t="str">
            <v>MA385</v>
          </cell>
        </row>
        <row r="414">
          <cell r="A414" t="str">
            <v>MA386</v>
          </cell>
        </row>
        <row r="415">
          <cell r="A415" t="str">
            <v>MA387</v>
          </cell>
        </row>
        <row r="416">
          <cell r="A416" t="str">
            <v>MA388</v>
          </cell>
        </row>
        <row r="417">
          <cell r="A417" t="str">
            <v>MA389</v>
          </cell>
        </row>
        <row r="418">
          <cell r="A418" t="str">
            <v>MA390</v>
          </cell>
        </row>
        <row r="419">
          <cell r="A419" t="str">
            <v>MA391</v>
          </cell>
        </row>
        <row r="420">
          <cell r="A420" t="str">
            <v>MA392</v>
          </cell>
        </row>
        <row r="421">
          <cell r="A421" t="str">
            <v>MA393</v>
          </cell>
        </row>
        <row r="422">
          <cell r="A422" t="str">
            <v>MA394</v>
          </cell>
        </row>
        <row r="423">
          <cell r="A423" t="str">
            <v>MA395</v>
          </cell>
        </row>
        <row r="424">
          <cell r="A424" t="str">
            <v>MA396</v>
          </cell>
        </row>
        <row r="425">
          <cell r="A425" t="str">
            <v>MA397</v>
          </cell>
        </row>
        <row r="426">
          <cell r="A426" t="str">
            <v>MA398</v>
          </cell>
        </row>
        <row r="427">
          <cell r="A427" t="str">
            <v>MA399</v>
          </cell>
        </row>
        <row r="428">
          <cell r="A428" t="str">
            <v>MA400</v>
          </cell>
        </row>
        <row r="429">
          <cell r="A429" t="str">
            <v>MA401</v>
          </cell>
        </row>
        <row r="430">
          <cell r="A430" t="str">
            <v>MA402</v>
          </cell>
        </row>
        <row r="431">
          <cell r="A431" t="str">
            <v>MA403</v>
          </cell>
        </row>
        <row r="432">
          <cell r="A432" t="str">
            <v>MA404</v>
          </cell>
        </row>
        <row r="433">
          <cell r="A433" t="str">
            <v>MA405</v>
          </cell>
        </row>
        <row r="434">
          <cell r="A434" t="str">
            <v>MA406</v>
          </cell>
        </row>
        <row r="435">
          <cell r="A435" t="str">
            <v>MA407</v>
          </cell>
        </row>
        <row r="436">
          <cell r="A436" t="str">
            <v>MA408</v>
          </cell>
        </row>
        <row r="437">
          <cell r="A437" t="str">
            <v>MA409</v>
          </cell>
        </row>
        <row r="438">
          <cell r="A438" t="str">
            <v>MA410</v>
          </cell>
        </row>
        <row r="439">
          <cell r="A439" t="str">
            <v>MA411</v>
          </cell>
        </row>
        <row r="440">
          <cell r="A440" t="str">
            <v>MA412</v>
          </cell>
        </row>
        <row r="441">
          <cell r="A441" t="str">
            <v>MA413</v>
          </cell>
        </row>
        <row r="442">
          <cell r="A442" t="str">
            <v>MA414</v>
          </cell>
        </row>
        <row r="443">
          <cell r="A443" t="str">
            <v>MA415</v>
          </cell>
        </row>
        <row r="444">
          <cell r="A444" t="str">
            <v>MA416</v>
          </cell>
        </row>
        <row r="445">
          <cell r="A445" t="str">
            <v>MA417</v>
          </cell>
        </row>
        <row r="446">
          <cell r="A446" t="str">
            <v>MA418</v>
          </cell>
        </row>
        <row r="447">
          <cell r="A447" t="str">
            <v>MA419</v>
          </cell>
        </row>
        <row r="448">
          <cell r="A448" t="str">
            <v>MA420</v>
          </cell>
        </row>
        <row r="449">
          <cell r="A449" t="str">
            <v>MA421</v>
          </cell>
        </row>
        <row r="450">
          <cell r="A450" t="str">
            <v>MA422</v>
          </cell>
        </row>
        <row r="451">
          <cell r="A451" t="str">
            <v>MA423</v>
          </cell>
        </row>
        <row r="452">
          <cell r="A452" t="str">
            <v>MA424</v>
          </cell>
        </row>
        <row r="453">
          <cell r="A453" t="str">
            <v>MA425</v>
          </cell>
        </row>
        <row r="454">
          <cell r="A454" t="str">
            <v>MA426</v>
          </cell>
        </row>
        <row r="455">
          <cell r="A455" t="str">
            <v>MA427</v>
          </cell>
        </row>
        <row r="456">
          <cell r="A456" t="str">
            <v>MA428</v>
          </cell>
        </row>
        <row r="457">
          <cell r="A457" t="str">
            <v>MA429</v>
          </cell>
        </row>
        <row r="458">
          <cell r="A458" t="str">
            <v>MA430</v>
          </cell>
        </row>
        <row r="459">
          <cell r="A459" t="str">
            <v>MA431</v>
          </cell>
        </row>
        <row r="460">
          <cell r="A460" t="str">
            <v>MA432</v>
          </cell>
        </row>
        <row r="461">
          <cell r="A461" t="str">
            <v>MA433</v>
          </cell>
        </row>
        <row r="462">
          <cell r="A462" t="str">
            <v>MA434</v>
          </cell>
        </row>
        <row r="463">
          <cell r="A463" t="str">
            <v>MA435</v>
          </cell>
        </row>
        <row r="464">
          <cell r="A464" t="str">
            <v>MA436</v>
          </cell>
        </row>
        <row r="465">
          <cell r="A465" t="str">
            <v>MA437</v>
          </cell>
        </row>
        <row r="466">
          <cell r="A466" t="str">
            <v>MA438</v>
          </cell>
        </row>
        <row r="467">
          <cell r="A467" t="str">
            <v>MA439</v>
          </cell>
        </row>
        <row r="468">
          <cell r="A468" t="str">
            <v>MA440</v>
          </cell>
        </row>
        <row r="469">
          <cell r="A469" t="str">
            <v>MA441</v>
          </cell>
        </row>
        <row r="470">
          <cell r="A470" t="str">
            <v>MA442</v>
          </cell>
        </row>
        <row r="471">
          <cell r="A471" t="str">
            <v>MA443</v>
          </cell>
        </row>
        <row r="472">
          <cell r="A472" t="str">
            <v>MA444</v>
          </cell>
        </row>
        <row r="473">
          <cell r="A473" t="str">
            <v>MA445</v>
          </cell>
        </row>
        <row r="474">
          <cell r="A474" t="str">
            <v>MA446</v>
          </cell>
        </row>
        <row r="475">
          <cell r="A475" t="str">
            <v>MA447</v>
          </cell>
        </row>
        <row r="476">
          <cell r="A476" t="str">
            <v>MA448</v>
          </cell>
        </row>
        <row r="477">
          <cell r="A477" t="str">
            <v>MA449</v>
          </cell>
        </row>
        <row r="478">
          <cell r="A478" t="str">
            <v>MA450</v>
          </cell>
        </row>
        <row r="479">
          <cell r="A479" t="str">
            <v>MA451</v>
          </cell>
        </row>
        <row r="480">
          <cell r="A480" t="str">
            <v>MA452</v>
          </cell>
        </row>
        <row r="481">
          <cell r="A481" t="str">
            <v>MA453</v>
          </cell>
        </row>
        <row r="482">
          <cell r="A482" t="str">
            <v>MA454</v>
          </cell>
        </row>
        <row r="483">
          <cell r="A483" t="str">
            <v>MA455</v>
          </cell>
        </row>
        <row r="484">
          <cell r="A484" t="str">
            <v>MA456</v>
          </cell>
        </row>
        <row r="485">
          <cell r="A485" t="str">
            <v>MA457</v>
          </cell>
        </row>
        <row r="486">
          <cell r="A486" t="str">
            <v>MA458</v>
          </cell>
        </row>
        <row r="487">
          <cell r="A487" t="str">
            <v>MA459</v>
          </cell>
        </row>
        <row r="488">
          <cell r="A488" t="str">
            <v>MA460</v>
          </cell>
        </row>
        <row r="489">
          <cell r="A489" t="str">
            <v>MA461</v>
          </cell>
        </row>
        <row r="490">
          <cell r="A490" t="str">
            <v>MA462</v>
          </cell>
        </row>
        <row r="491">
          <cell r="A491" t="str">
            <v>MA463</v>
          </cell>
        </row>
        <row r="492">
          <cell r="A492" t="str">
            <v>MA464</v>
          </cell>
        </row>
        <row r="493">
          <cell r="A493" t="str">
            <v>MA465</v>
          </cell>
        </row>
        <row r="494">
          <cell r="A494" t="str">
            <v>MA466</v>
          </cell>
        </row>
        <row r="495">
          <cell r="A495" t="str">
            <v>MA467</v>
          </cell>
        </row>
        <row r="496">
          <cell r="A496" t="str">
            <v>MA468</v>
          </cell>
        </row>
        <row r="497">
          <cell r="A497" t="str">
            <v>MA469</v>
          </cell>
        </row>
        <row r="498">
          <cell r="A498" t="str">
            <v>MA470</v>
          </cell>
        </row>
        <row r="499">
          <cell r="A499" t="str">
            <v>MA471</v>
          </cell>
        </row>
        <row r="500">
          <cell r="A500" t="str">
            <v>MA472</v>
          </cell>
        </row>
        <row r="501">
          <cell r="A501" t="str">
            <v>MA473</v>
          </cell>
        </row>
        <row r="502">
          <cell r="A502" t="str">
            <v>MA474</v>
          </cell>
        </row>
        <row r="503">
          <cell r="A503" t="str">
            <v>MA475</v>
          </cell>
        </row>
        <row r="504">
          <cell r="A504" t="str">
            <v>MA476</v>
          </cell>
        </row>
        <row r="505">
          <cell r="A505" t="str">
            <v>MA477</v>
          </cell>
        </row>
        <row r="506">
          <cell r="A506" t="str">
            <v>MA478</v>
          </cell>
        </row>
        <row r="507">
          <cell r="A507" t="str">
            <v>MA479</v>
          </cell>
        </row>
        <row r="508">
          <cell r="A508" t="str">
            <v>MA480</v>
          </cell>
        </row>
        <row r="509">
          <cell r="A509" t="str">
            <v>MA481</v>
          </cell>
        </row>
        <row r="510">
          <cell r="A510" t="str">
            <v>MA482</v>
          </cell>
        </row>
        <row r="511">
          <cell r="A511" t="str">
            <v>MA483</v>
          </cell>
        </row>
        <row r="512">
          <cell r="A512" t="str">
            <v>MA484</v>
          </cell>
        </row>
        <row r="513">
          <cell r="A513" t="str">
            <v>MA485</v>
          </cell>
        </row>
        <row r="514">
          <cell r="A514" t="str">
            <v>MA486</v>
          </cell>
        </row>
        <row r="515">
          <cell r="A515" t="str">
            <v>MA487</v>
          </cell>
        </row>
        <row r="516">
          <cell r="A516" t="str">
            <v>MA488</v>
          </cell>
        </row>
        <row r="517">
          <cell r="A517" t="str">
            <v>MA489</v>
          </cell>
        </row>
        <row r="518">
          <cell r="A518" t="str">
            <v>MA490</v>
          </cell>
        </row>
        <row r="519">
          <cell r="A519" t="str">
            <v>MA491</v>
          </cell>
        </row>
        <row r="520">
          <cell r="A520" t="str">
            <v>MA492</v>
          </cell>
        </row>
        <row r="521">
          <cell r="A521" t="str">
            <v>MA493</v>
          </cell>
        </row>
        <row r="522">
          <cell r="A522" t="str">
            <v>MA494</v>
          </cell>
        </row>
        <row r="523">
          <cell r="A523" t="str">
            <v>MA495</v>
          </cell>
        </row>
        <row r="524">
          <cell r="A524" t="str">
            <v>MA496</v>
          </cell>
        </row>
        <row r="525">
          <cell r="A525" t="str">
            <v>MA497</v>
          </cell>
        </row>
        <row r="526">
          <cell r="A526" t="str">
            <v>MA498</v>
          </cell>
        </row>
        <row r="527">
          <cell r="A527" t="str">
            <v>MA499</v>
          </cell>
        </row>
        <row r="528">
          <cell r="A528" t="str">
            <v>MA500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FECHAS DE CORTE"/>
      <sheetName val="Informacion General"/>
      <sheetName val="items"/>
      <sheetName val="Itemes Renovación"/>
      <sheetName val="2103mar "/>
      <sheetName val="TRAYECTO 1"/>
      <sheetName val="A. P. U."/>
      <sheetName val="Insumos"/>
      <sheetName val="Hoja1"/>
      <sheetName val="PR_1"/>
      <sheetName val="ELECTRICO"/>
      <sheetName val="Vuelta"/>
      <sheetName val="Equipo"/>
      <sheetName val="materiales"/>
      <sheetName val="otros"/>
      <sheetName val="FIBRA ÓPTICA"/>
      <sheetName val="TARIFAS"/>
      <sheetName val="Personalizar"/>
      <sheetName val="Análisis de precios"/>
      <sheetName val="2103mar%20.xls"/>
      <sheetName val="Formulas"/>
      <sheetName val="INDICE"/>
      <sheetName val="DISTANCIA"/>
      <sheetName val="PERSONAL"/>
      <sheetName val="BASE"/>
      <sheetName val="1_Preliminares"/>
      <sheetName val="M.Obra"/>
      <sheetName val="PLAN DE INVERSION ANTICIPO"/>
      <sheetName val="inv mensual"/>
      <sheetName val="borrador flujo inv"/>
      <sheetName val="social-ambiental"/>
      <sheetName val="AU"/>
      <sheetName val="PR_0"/>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A__P__U_"/>
      <sheetName val="TRAYECTO_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días habiles 2015"/>
      <sheetName val="INS"/>
      <sheetName val="Ppto"/>
      <sheetName val="Plan auditoría"/>
      <sheetName val="320.1"/>
      <sheetName val="330.2"/>
      <sheetName val="700.1"/>
    </sheetNames>
    <sheetDataSet>
      <sheetData sheetId="0">
        <row r="2">
          <cell r="A2" t="str">
            <v>INVÍAS - TERRITORIAL CORDOBA - GRUPO 3</v>
          </cell>
        </row>
      </sheetData>
      <sheetData sheetId="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2">
          <cell r="A2">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Feb"/>
      <sheetName val="Mar-Abr"/>
      <sheetName val="May-Jun"/>
      <sheetName val="Jul-Ago"/>
      <sheetName val="Sep-Oct"/>
      <sheetName val="Ene-Oct EEPPM"/>
      <sheetName val="May-Oct Contrato"/>
      <sheetName val="Ene-Oct_EEPPM2"/>
      <sheetName val="May-Oct_Contrato2"/>
      <sheetName val="Ene-Oct_EEPPM"/>
      <sheetName val="May-Oct_Contrato"/>
      <sheetName val="Ene-Oct_EEPPM1"/>
      <sheetName val="May-Oct_Contrato1"/>
      <sheetName val="BASE"/>
      <sheetName val="ENE"/>
      <sheetName val="FEB"/>
      <sheetName val="MAR"/>
      <sheetName val="INDICE"/>
      <sheetName val="Design (3)"/>
      <sheetName val="Design"/>
    </sheetNames>
    <sheetDataSet>
      <sheetData sheetId="0" refreshError="1"/>
      <sheetData sheetId="1" refreshError="1"/>
      <sheetData sheetId="2" refreshError="1">
        <row r="31">
          <cell r="A31" t="str">
            <v>CAMBIO ACOMETIDAS CONTRATO</v>
          </cell>
        </row>
        <row r="33">
          <cell r="A33" t="str">
            <v>CAMBIO ACOMETIDAS CONTRATO</v>
          </cell>
          <cell r="B33">
            <v>259</v>
          </cell>
          <cell r="C33">
            <v>16</v>
          </cell>
          <cell r="D33">
            <v>3</v>
          </cell>
          <cell r="E33">
            <v>40</v>
          </cell>
          <cell r="F33">
            <v>2.2000000000000002</v>
          </cell>
          <cell r="G33">
            <v>2.2999999999999998</v>
          </cell>
          <cell r="H33">
            <v>5.8181818181818182E-2</v>
          </cell>
        </row>
        <row r="34">
          <cell r="A34" t="str">
            <v>CASAS SIN AGUA</v>
          </cell>
          <cell r="B34">
            <v>2</v>
          </cell>
          <cell r="C34">
            <v>4</v>
          </cell>
          <cell r="E34">
            <v>40</v>
          </cell>
          <cell r="F34" t="str">
            <v/>
          </cell>
          <cell r="G34" t="str">
            <v/>
          </cell>
          <cell r="H34">
            <v>0.66666666666666663</v>
          </cell>
        </row>
        <row r="35">
          <cell r="A35" t="str">
            <v>CORTE Y RECONEXION</v>
          </cell>
          <cell r="B35">
            <v>673</v>
          </cell>
          <cell r="C35">
            <v>58</v>
          </cell>
          <cell r="D35">
            <v>1</v>
          </cell>
          <cell r="E35">
            <v>40</v>
          </cell>
          <cell r="F35">
            <v>16.8</v>
          </cell>
          <cell r="G35">
            <v>18.3</v>
          </cell>
          <cell r="H35">
            <v>7.9343365253077974E-2</v>
          </cell>
        </row>
        <row r="36">
          <cell r="A36" t="str">
            <v>DAÑOS ACUEDUCTO</v>
          </cell>
          <cell r="B36">
            <v>8</v>
          </cell>
          <cell r="C36">
            <v>0</v>
          </cell>
          <cell r="D36">
            <v>1</v>
          </cell>
          <cell r="E36">
            <v>40</v>
          </cell>
          <cell r="F36" t="str">
            <v/>
          </cell>
          <cell r="G36" t="str">
            <v/>
          </cell>
          <cell r="H36">
            <v>0</v>
          </cell>
        </row>
        <row r="37">
          <cell r="A37" t="str">
            <v>ESCOMBROS DAÑOS ACUEDUCTO</v>
          </cell>
          <cell r="B37">
            <v>10</v>
          </cell>
          <cell r="C37">
            <v>0</v>
          </cell>
          <cell r="D37">
            <v>5</v>
          </cell>
          <cell r="E37">
            <v>40</v>
          </cell>
          <cell r="F37" t="str">
            <v/>
          </cell>
          <cell r="G37" t="str">
            <v/>
          </cell>
          <cell r="H37">
            <v>0</v>
          </cell>
        </row>
        <row r="38">
          <cell r="A38" t="str">
            <v>FRAUDES</v>
          </cell>
          <cell r="B38">
            <v>4</v>
          </cell>
          <cell r="C38">
            <v>3</v>
          </cell>
          <cell r="D38">
            <v>3.5</v>
          </cell>
          <cell r="E38">
            <v>40</v>
          </cell>
          <cell r="F38" t="str">
            <v/>
          </cell>
          <cell r="G38" t="str">
            <v/>
          </cell>
          <cell r="H38">
            <v>0.42857142857142855</v>
          </cell>
        </row>
        <row r="39">
          <cell r="A39" t="str">
            <v>GARANTIAS INSTALACIONES</v>
          </cell>
          <cell r="B39">
            <v>96</v>
          </cell>
          <cell r="C39">
            <v>7</v>
          </cell>
          <cell r="D39">
            <v>1</v>
          </cell>
          <cell r="E39">
            <v>40</v>
          </cell>
          <cell r="F39">
            <v>2.4</v>
          </cell>
          <cell r="G39">
            <v>2.6</v>
          </cell>
          <cell r="H39">
            <v>6.7961165048543687E-2</v>
          </cell>
        </row>
        <row r="40">
          <cell r="A40" t="str">
            <v>INSTALACIONES ACUEDUCTO</v>
          </cell>
          <cell r="B40">
            <v>928</v>
          </cell>
          <cell r="C40">
            <v>131</v>
          </cell>
          <cell r="D40">
            <v>5</v>
          </cell>
          <cell r="E40">
            <v>40</v>
          </cell>
          <cell r="F40">
            <v>4.5999999999999996</v>
          </cell>
          <cell r="G40">
            <v>5.3</v>
          </cell>
          <cell r="H40">
            <v>0.12370160528800755</v>
          </cell>
        </row>
        <row r="41">
          <cell r="A41" t="str">
            <v>INSTALACIONES ALCANTARILLADO</v>
          </cell>
          <cell r="B41">
            <v>59</v>
          </cell>
          <cell r="C41">
            <v>0</v>
          </cell>
          <cell r="D41">
            <v>4</v>
          </cell>
          <cell r="E41">
            <v>40</v>
          </cell>
          <cell r="F41">
            <v>0.4</v>
          </cell>
          <cell r="G41">
            <v>0.4</v>
          </cell>
          <cell r="H41">
            <v>0</v>
          </cell>
        </row>
        <row r="42">
          <cell r="A42" t="str">
            <v>MEDIDORES 1/2 Y 1"</v>
          </cell>
          <cell r="B42">
            <v>622</v>
          </cell>
          <cell r="C42">
            <v>9</v>
          </cell>
          <cell r="D42">
            <v>2.5</v>
          </cell>
          <cell r="E42">
            <v>40</v>
          </cell>
          <cell r="F42">
            <v>6.2</v>
          </cell>
          <cell r="G42">
            <v>6.3</v>
          </cell>
          <cell r="H42">
            <v>1.4263074484944533E-2</v>
          </cell>
        </row>
        <row r="43">
          <cell r="A43" t="str">
            <v>MMTO VALVULAS E HIDRANTES</v>
          </cell>
          <cell r="B43">
            <v>256</v>
          </cell>
          <cell r="C43">
            <v>0</v>
          </cell>
          <cell r="D43">
            <v>3</v>
          </cell>
          <cell r="E43">
            <v>40</v>
          </cell>
          <cell r="F43">
            <v>2.1</v>
          </cell>
          <cell r="G43">
            <v>2.1</v>
          </cell>
          <cell r="H43">
            <v>0</v>
          </cell>
        </row>
        <row r="44">
          <cell r="A44" t="str">
            <v>OBRAS ACCESORIAS DAÑOS ACUEDUCTO</v>
          </cell>
          <cell r="B44">
            <v>289</v>
          </cell>
          <cell r="C44">
            <v>24</v>
          </cell>
          <cell r="D44">
            <v>3</v>
          </cell>
          <cell r="E44">
            <v>40</v>
          </cell>
          <cell r="F44">
            <v>2.4</v>
          </cell>
          <cell r="G44">
            <v>2.6</v>
          </cell>
          <cell r="H44">
            <v>7.6677316293929709E-2</v>
          </cell>
        </row>
        <row r="45">
          <cell r="A45" t="str">
            <v>OBRAS ACCESORIAS INSTALACIONES</v>
          </cell>
          <cell r="B45">
            <v>1125</v>
          </cell>
          <cell r="C45">
            <v>0</v>
          </cell>
          <cell r="D45">
            <v>3.5</v>
          </cell>
          <cell r="E45">
            <v>40</v>
          </cell>
          <cell r="F45">
            <v>8</v>
          </cell>
          <cell r="G45">
            <v>8</v>
          </cell>
          <cell r="H45">
            <v>0</v>
          </cell>
        </row>
        <row r="46">
          <cell r="A46" t="str">
            <v>PROYECTOS ACUEDUCTO</v>
          </cell>
          <cell r="B46">
            <v>2</v>
          </cell>
          <cell r="C46">
            <v>0</v>
          </cell>
          <cell r="E46">
            <v>40</v>
          </cell>
          <cell r="F46" t="str">
            <v/>
          </cell>
          <cell r="G46" t="str">
            <v/>
          </cell>
          <cell r="H46">
            <v>0</v>
          </cell>
        </row>
        <row r="47">
          <cell r="A47" t="str">
            <v>REFERENCIACIÓN ACUEDUCTO</v>
          </cell>
          <cell r="B47">
            <v>7</v>
          </cell>
          <cell r="C47">
            <v>1</v>
          </cell>
          <cell r="E47">
            <v>40</v>
          </cell>
          <cell r="F47" t="str">
            <v/>
          </cell>
          <cell r="G47" t="str">
            <v/>
          </cell>
          <cell r="H47">
            <v>0.125</v>
          </cell>
        </row>
        <row r="48">
          <cell r="A48" t="str">
            <v>REPARACION CAJAS DE MEDIDORES</v>
          </cell>
          <cell r="B48">
            <v>8</v>
          </cell>
          <cell r="C48">
            <v>0</v>
          </cell>
          <cell r="E48">
            <v>40</v>
          </cell>
          <cell r="F48" t="str">
            <v/>
          </cell>
          <cell r="G48" t="str">
            <v/>
          </cell>
          <cell r="H48">
            <v>0</v>
          </cell>
        </row>
        <row r="49">
          <cell r="A49" t="str">
            <v>TRASLADO MEDIDOR</v>
          </cell>
          <cell r="B49">
            <v>2</v>
          </cell>
          <cell r="C49">
            <v>0</v>
          </cell>
          <cell r="D49">
            <v>1</v>
          </cell>
          <cell r="E49">
            <v>40</v>
          </cell>
          <cell r="F49">
            <v>0.1</v>
          </cell>
          <cell r="G49">
            <v>0.1</v>
          </cell>
          <cell r="H49">
            <v>0</v>
          </cell>
        </row>
        <row r="51">
          <cell r="A51" t="str">
            <v>Total general</v>
          </cell>
          <cell r="B51">
            <v>4350</v>
          </cell>
          <cell r="C51">
            <v>253</v>
          </cell>
          <cell r="F51" t="str">
            <v/>
          </cell>
          <cell r="G51" t="str">
            <v/>
          </cell>
          <cell r="H51">
            <v>5.4964153812730829E-2</v>
          </cell>
        </row>
        <row r="52">
          <cell r="F52" t="str">
            <v/>
          </cell>
          <cell r="G52" t="str">
            <v/>
          </cell>
          <cell r="H52" t="str">
            <v/>
          </cell>
        </row>
      </sheetData>
      <sheetData sheetId="3" refreshError="1">
        <row r="30">
          <cell r="A30" t="str">
            <v>CAMBIO ACOMETIDAS CONTRATO</v>
          </cell>
          <cell r="B30">
            <v>287</v>
          </cell>
          <cell r="C30">
            <v>4</v>
          </cell>
          <cell r="D30">
            <v>3</v>
          </cell>
          <cell r="E30">
            <v>41</v>
          </cell>
          <cell r="F30">
            <v>2.2999999999999998</v>
          </cell>
          <cell r="G30">
            <v>2.4</v>
          </cell>
          <cell r="H30">
            <v>1.3745704467353952E-2</v>
          </cell>
        </row>
        <row r="31">
          <cell r="A31" t="str">
            <v>CASAS SIN AGUA</v>
          </cell>
          <cell r="B31">
            <v>6</v>
          </cell>
          <cell r="C31">
            <v>1</v>
          </cell>
          <cell r="E31">
            <v>41</v>
          </cell>
          <cell r="F31" t="str">
            <v/>
          </cell>
          <cell r="G31" t="str">
            <v/>
          </cell>
          <cell r="H31">
            <v>0.14285714285714285</v>
          </cell>
        </row>
        <row r="32">
          <cell r="A32" t="str">
            <v>CORTE Y RECONEXION</v>
          </cell>
          <cell r="B32">
            <v>741</v>
          </cell>
          <cell r="C32">
            <v>10</v>
          </cell>
          <cell r="D32">
            <v>1</v>
          </cell>
          <cell r="E32">
            <v>41</v>
          </cell>
          <cell r="F32">
            <v>18.100000000000001</v>
          </cell>
          <cell r="G32">
            <v>18.3</v>
          </cell>
          <cell r="H32">
            <v>1.3315579227696404E-2</v>
          </cell>
        </row>
        <row r="33">
          <cell r="A33" t="str">
            <v>DAÑOS ACUEDUCTO</v>
          </cell>
          <cell r="B33">
            <v>15</v>
          </cell>
          <cell r="C33">
            <v>0</v>
          </cell>
          <cell r="E33">
            <v>41</v>
          </cell>
          <cell r="F33" t="str">
            <v/>
          </cell>
          <cell r="G33" t="str">
            <v/>
          </cell>
          <cell r="H33">
            <v>0</v>
          </cell>
        </row>
        <row r="34">
          <cell r="A34" t="str">
            <v>FRAUDES</v>
          </cell>
          <cell r="B34">
            <v>8</v>
          </cell>
          <cell r="C34">
            <v>5</v>
          </cell>
          <cell r="E34">
            <v>41</v>
          </cell>
          <cell r="F34" t="str">
            <v/>
          </cell>
          <cell r="G34" t="str">
            <v/>
          </cell>
          <cell r="H34">
            <v>0.38461538461538464</v>
          </cell>
        </row>
        <row r="35">
          <cell r="A35" t="str">
            <v>GARANTIAS INSTALACIONES</v>
          </cell>
          <cell r="B35">
            <v>60</v>
          </cell>
          <cell r="C35">
            <v>5</v>
          </cell>
          <cell r="D35">
            <v>1</v>
          </cell>
          <cell r="E35">
            <v>41</v>
          </cell>
          <cell r="F35">
            <v>1.5</v>
          </cell>
          <cell r="G35">
            <v>1.6</v>
          </cell>
          <cell r="H35">
            <v>7.6923076923076927E-2</v>
          </cell>
        </row>
        <row r="36">
          <cell r="A36" t="str">
            <v>INSTALACIONES ACUEDUCTO</v>
          </cell>
          <cell r="B36">
            <v>949</v>
          </cell>
          <cell r="C36">
            <v>55</v>
          </cell>
          <cell r="D36">
            <v>5</v>
          </cell>
          <cell r="E36">
            <v>41</v>
          </cell>
          <cell r="F36">
            <v>4.5999999999999996</v>
          </cell>
          <cell r="G36">
            <v>4.9000000000000004</v>
          </cell>
          <cell r="H36">
            <v>5.4780876494023904E-2</v>
          </cell>
        </row>
        <row r="37">
          <cell r="A37" t="str">
            <v>INSTALACIONES ALCANTARILLADO</v>
          </cell>
          <cell r="B37">
            <v>7</v>
          </cell>
          <cell r="C37">
            <v>0</v>
          </cell>
          <cell r="D37">
            <v>4</v>
          </cell>
          <cell r="E37">
            <v>41</v>
          </cell>
          <cell r="F37">
            <v>0</v>
          </cell>
          <cell r="G37">
            <v>0</v>
          </cell>
          <cell r="H37">
            <v>0</v>
          </cell>
        </row>
        <row r="38">
          <cell r="A38" t="str">
            <v>MEDIDORES 1/2 Y 1"</v>
          </cell>
          <cell r="B38">
            <v>1375</v>
          </cell>
          <cell r="C38">
            <v>1</v>
          </cell>
          <cell r="D38">
            <v>3.5</v>
          </cell>
          <cell r="E38">
            <v>41</v>
          </cell>
          <cell r="F38">
            <v>9.6</v>
          </cell>
          <cell r="G38">
            <v>9.6</v>
          </cell>
          <cell r="H38">
            <v>7.2674418604651162E-4</v>
          </cell>
        </row>
        <row r="39">
          <cell r="A39" t="str">
            <v>MMTO VALVULAS E HIDRANTES</v>
          </cell>
          <cell r="B39">
            <v>114</v>
          </cell>
          <cell r="C39">
            <v>0</v>
          </cell>
          <cell r="D39">
            <v>3</v>
          </cell>
          <cell r="E39">
            <v>41</v>
          </cell>
          <cell r="F39">
            <v>0.9</v>
          </cell>
          <cell r="G39">
            <v>0.9</v>
          </cell>
          <cell r="H39">
            <v>0</v>
          </cell>
        </row>
        <row r="40">
          <cell r="A40" t="str">
            <v>OBRAS ACCESORIAS DAÑOS ACUEDUCTO</v>
          </cell>
          <cell r="B40">
            <v>150</v>
          </cell>
          <cell r="C40">
            <v>0</v>
          </cell>
          <cell r="D40">
            <v>3</v>
          </cell>
          <cell r="E40">
            <v>41</v>
          </cell>
          <cell r="F40">
            <v>1.2</v>
          </cell>
          <cell r="G40">
            <v>1.2</v>
          </cell>
          <cell r="H40">
            <v>0</v>
          </cell>
        </row>
        <row r="41">
          <cell r="A41" t="str">
            <v>OBRAS ACCESORIAS INSTALACIONES</v>
          </cell>
          <cell r="B41">
            <v>1230</v>
          </cell>
          <cell r="C41">
            <v>0</v>
          </cell>
          <cell r="D41">
            <v>2.5</v>
          </cell>
          <cell r="E41">
            <v>41</v>
          </cell>
          <cell r="F41">
            <v>12</v>
          </cell>
          <cell r="G41">
            <v>12</v>
          </cell>
          <cell r="H41">
            <v>0</v>
          </cell>
        </row>
        <row r="42">
          <cell r="A42" t="str">
            <v>PROYECTOS ACUEDUCTO</v>
          </cell>
          <cell r="B42">
            <v>91</v>
          </cell>
          <cell r="C42">
            <v>17</v>
          </cell>
          <cell r="E42">
            <v>41</v>
          </cell>
          <cell r="F42" t="str">
            <v/>
          </cell>
          <cell r="G42" t="str">
            <v/>
          </cell>
          <cell r="H42">
            <v>0.15740740740740741</v>
          </cell>
        </row>
        <row r="44">
          <cell r="A44" t="str">
            <v>Total general</v>
          </cell>
          <cell r="B44">
            <v>5033</v>
          </cell>
          <cell r="C44">
            <v>98</v>
          </cell>
          <cell r="F44" t="str">
            <v/>
          </cell>
          <cell r="G44" t="str">
            <v/>
          </cell>
          <cell r="H44">
            <v>1.9099590723055934E-2</v>
          </cell>
        </row>
        <row r="45">
          <cell r="F45" t="str">
            <v/>
          </cell>
          <cell r="G45" t="str">
            <v/>
          </cell>
          <cell r="H45" t="str">
            <v/>
          </cell>
        </row>
      </sheetData>
      <sheetData sheetId="4" refreshError="1">
        <row r="31">
          <cell r="A31" t="str">
            <v>CAMBIO ACOMETIDAS CONTRATO</v>
          </cell>
          <cell r="B31">
            <v>361</v>
          </cell>
          <cell r="C31">
            <v>4</v>
          </cell>
          <cell r="D31">
            <v>3</v>
          </cell>
          <cell r="E31">
            <v>42</v>
          </cell>
          <cell r="F31">
            <v>2.9</v>
          </cell>
          <cell r="G31">
            <v>2.9</v>
          </cell>
          <cell r="H31">
            <v>1.0958904109589041E-2</v>
          </cell>
        </row>
        <row r="32">
          <cell r="A32" t="str">
            <v>CASAS SIN AGUA</v>
          </cell>
          <cell r="B32">
            <v>7</v>
          </cell>
          <cell r="C32">
            <v>0</v>
          </cell>
          <cell r="E32">
            <v>42</v>
          </cell>
          <cell r="F32" t="str">
            <v/>
          </cell>
          <cell r="G32" t="str">
            <v/>
          </cell>
          <cell r="H32">
            <v>0</v>
          </cell>
        </row>
        <row r="33">
          <cell r="A33" t="str">
            <v>CORTE Y RECONEXION</v>
          </cell>
          <cell r="B33">
            <v>825</v>
          </cell>
          <cell r="C33">
            <v>12</v>
          </cell>
          <cell r="D33">
            <v>1</v>
          </cell>
          <cell r="E33">
            <v>42</v>
          </cell>
          <cell r="F33">
            <v>19.600000000000001</v>
          </cell>
          <cell r="G33">
            <v>19.899999999999999</v>
          </cell>
          <cell r="H33">
            <v>1.4336917562724014E-2</v>
          </cell>
        </row>
        <row r="34">
          <cell r="A34" t="str">
            <v>DAÑOS ACUEDUCTO</v>
          </cell>
          <cell r="B34">
            <v>20</v>
          </cell>
          <cell r="C34">
            <v>0</v>
          </cell>
          <cell r="E34">
            <v>42</v>
          </cell>
          <cell r="F34" t="str">
            <v/>
          </cell>
          <cell r="G34" t="str">
            <v/>
          </cell>
          <cell r="H34">
            <v>0</v>
          </cell>
        </row>
        <row r="35">
          <cell r="A35" t="str">
            <v>FRAUDES</v>
          </cell>
          <cell r="B35">
            <v>35</v>
          </cell>
          <cell r="C35">
            <v>0</v>
          </cell>
          <cell r="E35">
            <v>42</v>
          </cell>
          <cell r="F35" t="str">
            <v/>
          </cell>
          <cell r="G35" t="str">
            <v/>
          </cell>
          <cell r="H35">
            <v>0</v>
          </cell>
        </row>
        <row r="36">
          <cell r="A36" t="str">
            <v>GARANTIAS INSTALACIONES</v>
          </cell>
          <cell r="B36">
            <v>88</v>
          </cell>
          <cell r="C36">
            <v>4</v>
          </cell>
          <cell r="D36">
            <v>1</v>
          </cell>
          <cell r="E36">
            <v>42</v>
          </cell>
          <cell r="F36">
            <v>2.1</v>
          </cell>
          <cell r="G36">
            <v>2.2000000000000002</v>
          </cell>
          <cell r="H36">
            <v>4.3478260869565216E-2</v>
          </cell>
        </row>
        <row r="37">
          <cell r="A37" t="str">
            <v>INSTALACIONES ACUEDUCTO</v>
          </cell>
          <cell r="B37">
            <v>828</v>
          </cell>
          <cell r="C37">
            <v>82</v>
          </cell>
          <cell r="D37">
            <v>5</v>
          </cell>
          <cell r="E37">
            <v>42</v>
          </cell>
          <cell r="F37">
            <v>3.9</v>
          </cell>
          <cell r="G37">
            <v>4.3</v>
          </cell>
          <cell r="H37">
            <v>9.0109890109890109E-2</v>
          </cell>
        </row>
        <row r="38">
          <cell r="A38" t="str">
            <v>MEDIDORES 1/2 Y 1"</v>
          </cell>
          <cell r="B38">
            <v>578</v>
          </cell>
          <cell r="C38">
            <v>6</v>
          </cell>
          <cell r="D38">
            <v>3.5</v>
          </cell>
          <cell r="E38">
            <v>42</v>
          </cell>
          <cell r="F38">
            <v>3.9</v>
          </cell>
          <cell r="G38">
            <v>4</v>
          </cell>
          <cell r="H38">
            <v>1.0273972602739725E-2</v>
          </cell>
        </row>
        <row r="39">
          <cell r="A39" t="str">
            <v>MMTO VALVULAS E HIDRANTES</v>
          </cell>
          <cell r="B39">
            <v>563</v>
          </cell>
          <cell r="C39">
            <v>0</v>
          </cell>
          <cell r="D39">
            <v>3</v>
          </cell>
          <cell r="E39">
            <v>42</v>
          </cell>
          <cell r="F39">
            <v>4.5</v>
          </cell>
          <cell r="G39">
            <v>4.5</v>
          </cell>
          <cell r="H39">
            <v>0</v>
          </cell>
        </row>
        <row r="40">
          <cell r="A40" t="str">
            <v>OBRAS ACCESORIAS DAÑOS ACUEDUCTO</v>
          </cell>
          <cell r="B40">
            <v>60</v>
          </cell>
          <cell r="C40">
            <v>1</v>
          </cell>
          <cell r="D40">
            <v>3</v>
          </cell>
          <cell r="E40">
            <v>42</v>
          </cell>
          <cell r="F40">
            <v>0.5</v>
          </cell>
          <cell r="G40">
            <v>0.5</v>
          </cell>
          <cell r="H40">
            <v>1.6393442622950821E-2</v>
          </cell>
        </row>
        <row r="41">
          <cell r="A41" t="str">
            <v>OBRAS ACCESORIAS INSTALACIONES</v>
          </cell>
          <cell r="B41">
            <v>929</v>
          </cell>
          <cell r="C41">
            <v>0</v>
          </cell>
          <cell r="D41">
            <v>2.5</v>
          </cell>
          <cell r="E41">
            <v>42</v>
          </cell>
          <cell r="F41">
            <v>8.8000000000000007</v>
          </cell>
          <cell r="G41">
            <v>8.8000000000000007</v>
          </cell>
          <cell r="H41">
            <v>0</v>
          </cell>
        </row>
        <row r="42">
          <cell r="A42" t="str">
            <v>PROYECTOS ACUEDUCTO</v>
          </cell>
          <cell r="B42">
            <v>2</v>
          </cell>
          <cell r="C42">
            <v>0</v>
          </cell>
          <cell r="E42">
            <v>42</v>
          </cell>
          <cell r="F42" t="str">
            <v/>
          </cell>
          <cell r="G42" t="str">
            <v/>
          </cell>
          <cell r="H42">
            <v>0</v>
          </cell>
        </row>
        <row r="44">
          <cell r="A44" t="str">
            <v>Total general</v>
          </cell>
          <cell r="B44">
            <v>4296</v>
          </cell>
          <cell r="C44">
            <v>109</v>
          </cell>
          <cell r="F44" t="str">
            <v/>
          </cell>
          <cell r="G44" t="str">
            <v/>
          </cell>
          <cell r="H44">
            <v>2.474460839954597E-2</v>
          </cell>
        </row>
        <row r="45">
          <cell r="F45" t="str">
            <v/>
          </cell>
          <cell r="G45" t="str">
            <v/>
          </cell>
          <cell r="H45" t="str">
            <v/>
          </cell>
        </row>
      </sheetData>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s>
    <sheetDataSet>
      <sheetData sheetId="0"/>
      <sheetData sheetId="1" refreshError="1">
        <row r="4">
          <cell r="C4">
            <v>200.1</v>
          </cell>
          <cell r="D4">
            <v>200</v>
          </cell>
          <cell r="F4" t="str">
            <v>Desmonte y limpieza en bosque</v>
          </cell>
          <cell r="G4" t="str">
            <v>Ha</v>
          </cell>
          <cell r="H4" t="str">
            <v>Ha</v>
          </cell>
          <cell r="J4" t="str">
            <v>No incluye excavación o descapote</v>
          </cell>
        </row>
        <row r="5">
          <cell r="C5">
            <v>200.2</v>
          </cell>
          <cell r="D5">
            <v>200</v>
          </cell>
          <cell r="F5" t="str">
            <v>Desmonte y limpieza en zonas no boscosas</v>
          </cell>
          <cell r="G5" t="str">
            <v>Ha</v>
          </cell>
          <cell r="H5" t="str">
            <v>Ha</v>
          </cell>
        </row>
        <row r="6">
          <cell r="C6">
            <v>201.1</v>
          </cell>
          <cell r="D6">
            <v>201</v>
          </cell>
          <cell r="F6" t="str">
            <v>Demolición de edificaciones</v>
          </cell>
          <cell r="G6" t="str">
            <v>Global</v>
          </cell>
          <cell r="H6" t="str">
            <v>Global</v>
          </cell>
        </row>
        <row r="7">
          <cell r="C7">
            <v>201.2</v>
          </cell>
          <cell r="D7">
            <v>201</v>
          </cell>
          <cell r="F7" t="str">
            <v>Demolición de estructuras</v>
          </cell>
          <cell r="G7" t="str">
            <v>Global</v>
          </cell>
          <cell r="H7" t="str">
            <v>Global</v>
          </cell>
        </row>
        <row r="8">
          <cell r="C8">
            <v>201.3</v>
          </cell>
          <cell r="D8">
            <v>201</v>
          </cell>
          <cell r="F8" t="str">
            <v>Demolición de pavimentos, pisos, andén y bordillos de concreto</v>
          </cell>
          <cell r="G8" t="str">
            <v>m3</v>
          </cell>
          <cell r="H8">
            <v>33199</v>
          </cell>
        </row>
        <row r="9">
          <cell r="C9">
            <v>201.4</v>
          </cell>
          <cell r="D9">
            <v>201</v>
          </cell>
          <cell r="F9" t="str">
            <v>Demolición de obstáculos</v>
          </cell>
          <cell r="G9" t="str">
            <v>Global</v>
          </cell>
          <cell r="H9" t="str">
            <v>Global</v>
          </cell>
        </row>
        <row r="10">
          <cell r="C10">
            <v>201.5</v>
          </cell>
          <cell r="D10">
            <v>201</v>
          </cell>
          <cell r="F10" t="str">
            <v>Demolición de edificaciones</v>
          </cell>
          <cell r="G10" t="str">
            <v>Un</v>
          </cell>
          <cell r="H10" t="str">
            <v>Un</v>
          </cell>
        </row>
        <row r="11">
          <cell r="C11">
            <v>201.6</v>
          </cell>
          <cell r="D11">
            <v>201</v>
          </cell>
          <cell r="F11" t="str">
            <v>Demolición de estructuras</v>
          </cell>
          <cell r="G11" t="str">
            <v>Un</v>
          </cell>
          <cell r="H11" t="str">
            <v>Un</v>
          </cell>
        </row>
        <row r="12">
          <cell r="C12">
            <v>201.7</v>
          </cell>
          <cell r="D12">
            <v>201</v>
          </cell>
          <cell r="F12" t="str">
            <v>Demolición de pavimentos, pisos, andén y bordillos de concreto</v>
          </cell>
          <cell r="G12" t="str">
            <v>m2</v>
          </cell>
          <cell r="H12" t="str">
            <v>m2</v>
          </cell>
        </row>
        <row r="13">
          <cell r="C13">
            <v>201.8</v>
          </cell>
          <cell r="D13">
            <v>201</v>
          </cell>
          <cell r="F13" t="str">
            <v>Desmontaje y traslado de estructuras metálicas</v>
          </cell>
          <cell r="G13" t="str">
            <v>Un</v>
          </cell>
          <cell r="H13" t="str">
            <v>Un</v>
          </cell>
        </row>
        <row r="14">
          <cell r="C14">
            <v>201.9</v>
          </cell>
          <cell r="D14">
            <v>201</v>
          </cell>
          <cell r="F14" t="str">
            <v>Remoción de especies vegetales</v>
          </cell>
          <cell r="G14" t="str">
            <v>Un</v>
          </cell>
          <cell r="H14" t="str">
            <v>Un</v>
          </cell>
        </row>
        <row r="15">
          <cell r="C15" t="str">
            <v>201.10</v>
          </cell>
          <cell r="D15">
            <v>201</v>
          </cell>
          <cell r="F15" t="str">
            <v>Remoción de obstáculos</v>
          </cell>
          <cell r="G15" t="str">
            <v>Un</v>
          </cell>
          <cell r="H15" t="str">
            <v>Un</v>
          </cell>
        </row>
        <row r="16">
          <cell r="C16">
            <v>201.11</v>
          </cell>
          <cell r="D16">
            <v>201</v>
          </cell>
          <cell r="F16" t="str">
            <v>Remoción de servicios existentes</v>
          </cell>
          <cell r="G16" t="str">
            <v>Un</v>
          </cell>
          <cell r="H16" t="str">
            <v>Un</v>
          </cell>
        </row>
        <row r="17">
          <cell r="C17">
            <v>201.12</v>
          </cell>
          <cell r="D17">
            <v>201</v>
          </cell>
          <cell r="F17" t="str">
            <v>Remoción de alcantarillas</v>
          </cell>
          <cell r="G17" t="str">
            <v>ml</v>
          </cell>
          <cell r="H17" t="str">
            <v>ml</v>
          </cell>
        </row>
        <row r="18">
          <cell r="C18">
            <v>201.13</v>
          </cell>
          <cell r="D18">
            <v>201</v>
          </cell>
          <cell r="F18" t="str">
            <v>Remoción de cercas de alambre</v>
          </cell>
          <cell r="G18" t="str">
            <v>ml</v>
          </cell>
          <cell r="H18" t="str">
            <v>ml</v>
          </cell>
        </row>
        <row r="19">
          <cell r="C19">
            <v>201.14</v>
          </cell>
          <cell r="D19">
            <v>201</v>
          </cell>
          <cell r="F19" t="str">
            <v>Remoción de servicios existentes</v>
          </cell>
          <cell r="G19" t="str">
            <v>ml</v>
          </cell>
          <cell r="H19" t="str">
            <v>ml</v>
          </cell>
        </row>
        <row r="20">
          <cell r="C20">
            <v>201.15</v>
          </cell>
          <cell r="D20">
            <v>201</v>
          </cell>
          <cell r="F20" t="str">
            <v>Remoción de obstáculos</v>
          </cell>
          <cell r="G20" t="str">
            <v>ml</v>
          </cell>
          <cell r="H20" t="str">
            <v>ml</v>
          </cell>
        </row>
        <row r="21">
          <cell r="C21">
            <v>201.16</v>
          </cell>
          <cell r="D21">
            <v>201</v>
          </cell>
          <cell r="E21" t="str">
            <v>201P</v>
          </cell>
          <cell r="F21" t="str">
            <v>Demolición de estructuras</v>
          </cell>
          <cell r="G21" t="str">
            <v>m3</v>
          </cell>
          <cell r="H21" t="str">
            <v>m3</v>
          </cell>
          <cell r="J21" t="str">
            <v>La unidad de pago es el m³</v>
          </cell>
        </row>
        <row r="22">
          <cell r="C22" t="str">
            <v>201P.1</v>
          </cell>
          <cell r="D22">
            <v>201</v>
          </cell>
          <cell r="E22" t="str">
            <v>201P.1</v>
          </cell>
          <cell r="F22" t="str">
            <v>Demolición total o parcial de estructuras de concreto</v>
          </cell>
          <cell r="G22" t="str">
            <v>m3</v>
          </cell>
          <cell r="H22">
            <v>28917</v>
          </cell>
        </row>
        <row r="23">
          <cell r="C23" t="str">
            <v>201P.3</v>
          </cell>
          <cell r="E23" t="str">
            <v>201P.3</v>
          </cell>
          <cell r="F23" t="str">
            <v>Revestimiento de gaviones incluye concreto, formaleta y limpieza</v>
          </cell>
          <cell r="G23" t="str">
            <v>m3</v>
          </cell>
          <cell r="H23">
            <v>393147</v>
          </cell>
        </row>
        <row r="24">
          <cell r="C24">
            <v>210.1</v>
          </cell>
          <cell r="D24">
            <v>210</v>
          </cell>
          <cell r="F24" t="str">
            <v>Excavación sin clasificar de la explanación, canales y préstamos</v>
          </cell>
          <cell r="G24" t="str">
            <v>m3</v>
          </cell>
          <cell r="H24">
            <v>4001</v>
          </cell>
          <cell r="J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cell r="H25">
            <v>22042</v>
          </cell>
        </row>
        <row r="26">
          <cell r="C26">
            <v>210.3</v>
          </cell>
          <cell r="D26">
            <v>210</v>
          </cell>
          <cell r="F26" t="str">
            <v>Excavación en material común  de la explanación, canales y préstamos</v>
          </cell>
          <cell r="G26" t="str">
            <v>m3</v>
          </cell>
          <cell r="H26" t="str">
            <v>m3</v>
          </cell>
        </row>
        <row r="27">
          <cell r="C27">
            <v>211</v>
          </cell>
          <cell r="D27">
            <v>211</v>
          </cell>
          <cell r="F27" t="str">
            <v>Remoción de derrumbes</v>
          </cell>
          <cell r="G27" t="str">
            <v>m3</v>
          </cell>
          <cell r="J27" t="str">
            <v>No incluye el transporte a distancias mayores a 100 ml</v>
          </cell>
        </row>
        <row r="28">
          <cell r="C28" t="str">
            <v>211P.1</v>
          </cell>
          <cell r="D28">
            <v>211</v>
          </cell>
          <cell r="E28" t="str">
            <v>211P.1</v>
          </cell>
          <cell r="F28" t="str">
            <v>Remoción de derrumbes</v>
          </cell>
          <cell r="G28" t="str">
            <v>m3</v>
          </cell>
          <cell r="H28">
            <v>6952</v>
          </cell>
        </row>
        <row r="29">
          <cell r="C29" t="str">
            <v>211P.2</v>
          </cell>
          <cell r="D29">
            <v>211</v>
          </cell>
          <cell r="E29" t="str">
            <v>211P.2</v>
          </cell>
          <cell r="F29" t="str">
            <v>Remoción de Material en Roca</v>
          </cell>
          <cell r="G29" t="str">
            <v>m3</v>
          </cell>
          <cell r="H29">
            <v>21182</v>
          </cell>
        </row>
        <row r="30">
          <cell r="C30">
            <v>220</v>
          </cell>
          <cell r="D30">
            <v>220</v>
          </cell>
          <cell r="F30" t="str">
            <v>Terraplenes</v>
          </cell>
          <cell r="G30" t="str">
            <v>m3</v>
          </cell>
          <cell r="H30" t="str">
            <v>m3</v>
          </cell>
          <cell r="J30" t="str">
            <v>No incluye el suministro de materiales y el transporte</v>
          </cell>
        </row>
        <row r="31">
          <cell r="C31">
            <v>220.1</v>
          </cell>
          <cell r="D31">
            <v>220</v>
          </cell>
          <cell r="E31" t="str">
            <v>220P</v>
          </cell>
          <cell r="F31" t="str">
            <v>Terraplenes</v>
          </cell>
          <cell r="G31" t="str">
            <v>m3</v>
          </cell>
          <cell r="H31" t="str">
            <v>m3</v>
          </cell>
          <cell r="J31" t="str">
            <v>Incluye el suministro y transporte de materiales</v>
          </cell>
        </row>
        <row r="32">
          <cell r="C32">
            <v>221.1</v>
          </cell>
          <cell r="D32">
            <v>221</v>
          </cell>
          <cell r="F32" t="str">
            <v>Pedraplén compacto</v>
          </cell>
          <cell r="G32" t="str">
            <v>m3</v>
          </cell>
          <cell r="H32" t="str">
            <v>m3</v>
          </cell>
          <cell r="J32" t="str">
            <v>No incluye la corona, el suministro de materiales y el transporte</v>
          </cell>
        </row>
        <row r="33">
          <cell r="C33">
            <v>221.2</v>
          </cell>
          <cell r="D33">
            <v>221</v>
          </cell>
          <cell r="F33" t="str">
            <v>Pedraplén suelto</v>
          </cell>
          <cell r="G33" t="str">
            <v>m3</v>
          </cell>
          <cell r="H33" t="str">
            <v>m3</v>
          </cell>
        </row>
        <row r="34">
          <cell r="C34">
            <v>230.1</v>
          </cell>
          <cell r="D34">
            <v>230</v>
          </cell>
          <cell r="F34" t="str">
            <v>Mejoramiento de la subrasante involucrando el suelo existente</v>
          </cell>
          <cell r="G34" t="str">
            <v>m2</v>
          </cell>
          <cell r="H34" t="str">
            <v>m2</v>
          </cell>
          <cell r="J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cell r="H35" t="str">
            <v>m3</v>
          </cell>
        </row>
        <row r="36">
          <cell r="C36">
            <v>310</v>
          </cell>
          <cell r="D36">
            <v>310</v>
          </cell>
          <cell r="F36" t="str">
            <v>Conformación de la calzada existente</v>
          </cell>
          <cell r="G36" t="str">
            <v>m2</v>
          </cell>
          <cell r="H36">
            <v>455</v>
          </cell>
          <cell r="J36" t="str">
            <v>No incluye suministro transporte y colocación de los materiales de afirmado y subbase.</v>
          </cell>
        </row>
        <row r="37">
          <cell r="C37">
            <v>311</v>
          </cell>
          <cell r="D37">
            <v>311</v>
          </cell>
          <cell r="F37" t="str">
            <v>Afirmado</v>
          </cell>
          <cell r="G37" t="str">
            <v>m3</v>
          </cell>
          <cell r="H37" t="str">
            <v>m3</v>
          </cell>
          <cell r="J37" t="str">
            <v>No incluye producto estabilizante</v>
          </cell>
        </row>
        <row r="38">
          <cell r="C38" t="str">
            <v>311P.5</v>
          </cell>
          <cell r="D38">
            <v>311</v>
          </cell>
          <cell r="E38" t="str">
            <v>311P.5</v>
          </cell>
          <cell r="F38" t="str">
            <v>Relleno con material de afirmado</v>
          </cell>
          <cell r="G38" t="str">
            <v>m3</v>
          </cell>
          <cell r="H38">
            <v>55436</v>
          </cell>
        </row>
        <row r="39">
          <cell r="C39">
            <v>312</v>
          </cell>
          <cell r="E39" t="str">
            <v>312P</v>
          </cell>
          <cell r="F39" t="str">
            <v>Relleno con material de afirmado para realce de cunetas</v>
          </cell>
          <cell r="G39" t="str">
            <v>m3</v>
          </cell>
          <cell r="H39">
            <v>28000</v>
          </cell>
        </row>
        <row r="40">
          <cell r="C40">
            <v>320.10000000000002</v>
          </cell>
          <cell r="D40">
            <v>320</v>
          </cell>
          <cell r="F40" t="str">
            <v>Subbase granular de C.B.R.&gt; 20%</v>
          </cell>
          <cell r="G40" t="str">
            <v>m3</v>
          </cell>
          <cell r="H40" t="str">
            <v>m3</v>
          </cell>
          <cell r="J40" t="str">
            <v>No incluye producto estabilizante</v>
          </cell>
        </row>
        <row r="41">
          <cell r="C41">
            <v>320.2</v>
          </cell>
          <cell r="D41">
            <v>320</v>
          </cell>
          <cell r="F41" t="str">
            <v>Subbase granular de C.B.R.&gt; 30%</v>
          </cell>
          <cell r="G41" t="str">
            <v>m3</v>
          </cell>
          <cell r="H41">
            <v>35462</v>
          </cell>
        </row>
        <row r="42">
          <cell r="C42">
            <v>320.3</v>
          </cell>
          <cell r="D42">
            <v>320</v>
          </cell>
          <cell r="F42" t="str">
            <v>Subbase granular de C.B.R.&gt; 40%</v>
          </cell>
          <cell r="G42" t="str">
            <v>m3</v>
          </cell>
          <cell r="H42" t="str">
            <v>m3</v>
          </cell>
        </row>
        <row r="43">
          <cell r="C43">
            <v>320.39999999999998</v>
          </cell>
          <cell r="D43">
            <v>320</v>
          </cell>
          <cell r="F43" t="str">
            <v>Subbase granular para bacheo</v>
          </cell>
          <cell r="G43" t="str">
            <v>m3</v>
          </cell>
          <cell r="H43" t="str">
            <v>m3</v>
          </cell>
        </row>
        <row r="44">
          <cell r="C44">
            <v>330.1</v>
          </cell>
          <cell r="D44">
            <v>330</v>
          </cell>
          <cell r="F44" t="str">
            <v>Base granular</v>
          </cell>
          <cell r="G44" t="str">
            <v>m3</v>
          </cell>
          <cell r="H44">
            <v>59602</v>
          </cell>
          <cell r="J44" t="str">
            <v>No incluye producto estabilizante</v>
          </cell>
        </row>
        <row r="45">
          <cell r="C45">
            <v>330.2</v>
          </cell>
          <cell r="D45">
            <v>330</v>
          </cell>
          <cell r="F45" t="str">
            <v>Base granular para bacheo</v>
          </cell>
          <cell r="G45" t="str">
            <v>m3</v>
          </cell>
          <cell r="H45" t="str">
            <v>m3</v>
          </cell>
        </row>
        <row r="46">
          <cell r="C46">
            <v>340.1</v>
          </cell>
          <cell r="D46">
            <v>340</v>
          </cell>
          <cell r="F46" t="str">
            <v>Base estabilizada con emulsión asfáltica tipo BEE-1</v>
          </cell>
          <cell r="G46" t="str">
            <v>m3</v>
          </cell>
          <cell r="H46" t="str">
            <v>m3</v>
          </cell>
          <cell r="J46" t="str">
            <v>No incluye la emulsión asfáltica</v>
          </cell>
        </row>
        <row r="47">
          <cell r="C47">
            <v>340.2</v>
          </cell>
          <cell r="D47">
            <v>340</v>
          </cell>
          <cell r="F47" t="str">
            <v>Base estabilizada con emulsión asfáltica tipo BEE-2</v>
          </cell>
          <cell r="G47" t="str">
            <v>m3</v>
          </cell>
          <cell r="H47" t="str">
            <v>m3</v>
          </cell>
        </row>
        <row r="48">
          <cell r="C48">
            <v>340.3</v>
          </cell>
          <cell r="D48">
            <v>340</v>
          </cell>
          <cell r="F48" t="str">
            <v>Base estabilizada con emulsión asfáltica tipo BEE-3</v>
          </cell>
          <cell r="G48" t="str">
            <v>m3</v>
          </cell>
          <cell r="H48" t="str">
            <v>m3</v>
          </cell>
        </row>
        <row r="49">
          <cell r="C49">
            <v>341.1</v>
          </cell>
          <cell r="D49">
            <v>341</v>
          </cell>
          <cell r="F49" t="str">
            <v>Base estabilizada con cemento</v>
          </cell>
          <cell r="G49" t="str">
            <v>m3</v>
          </cell>
          <cell r="H49" t="str">
            <v>m3</v>
          </cell>
        </row>
        <row r="50">
          <cell r="C50" t="str">
            <v>341P,1</v>
          </cell>
          <cell r="D50">
            <v>341</v>
          </cell>
          <cell r="E50" t="str">
            <v>341P.1</v>
          </cell>
          <cell r="F50" t="str">
            <v>Base estabilizada con cemento</v>
          </cell>
          <cell r="G50" t="str">
            <v>m3</v>
          </cell>
          <cell r="H50">
            <v>45878</v>
          </cell>
        </row>
        <row r="51">
          <cell r="C51">
            <v>341.2</v>
          </cell>
          <cell r="D51">
            <v>341</v>
          </cell>
          <cell r="F51" t="str">
            <v>Cemento</v>
          </cell>
          <cell r="G51" t="str">
            <v>Kg</v>
          </cell>
          <cell r="H51" t="str">
            <v>Kg</v>
          </cell>
        </row>
        <row r="52">
          <cell r="C52" t="str">
            <v>341P,2</v>
          </cell>
          <cell r="D52">
            <v>341</v>
          </cell>
          <cell r="E52" t="str">
            <v>341P.1</v>
          </cell>
          <cell r="F52" t="str">
            <v>Cemento</v>
          </cell>
          <cell r="G52" t="str">
            <v>Kg</v>
          </cell>
          <cell r="H52">
            <v>699</v>
          </cell>
        </row>
        <row r="53">
          <cell r="C53" t="str">
            <v>341P,3</v>
          </cell>
          <cell r="D53">
            <v>341</v>
          </cell>
          <cell r="E53" t="str">
            <v>341P.1</v>
          </cell>
          <cell r="F53" t="str">
            <v>Cemento para recalce de causes</v>
          </cell>
          <cell r="G53" t="str">
            <v>m3</v>
          </cell>
          <cell r="H53" t="str">
            <v>m3</v>
          </cell>
        </row>
        <row r="54">
          <cell r="C54">
            <v>342.1</v>
          </cell>
          <cell r="D54">
            <v>342</v>
          </cell>
          <cell r="F54" t="str">
            <v>Base estabilizada con compuestos multienzimáticos orgánicos tipo BEMO-1</v>
          </cell>
          <cell r="G54" t="str">
            <v>m3</v>
          </cell>
          <cell r="H54" t="str">
            <v>m3</v>
          </cell>
        </row>
        <row r="55">
          <cell r="C55">
            <v>342.2</v>
          </cell>
          <cell r="D55">
            <v>342</v>
          </cell>
          <cell r="F55" t="str">
            <v>Base estabilizada con compuestos multienzimáticos orgánicos tipo BEMO-2</v>
          </cell>
          <cell r="G55" t="str">
            <v>m3</v>
          </cell>
          <cell r="H55" t="str">
            <v>m3</v>
          </cell>
        </row>
        <row r="56">
          <cell r="C56">
            <v>342.3</v>
          </cell>
          <cell r="D56">
            <v>342</v>
          </cell>
          <cell r="F56" t="str">
            <v>Compuesto multienzimático orgánico</v>
          </cell>
          <cell r="G56" t="str">
            <v>Cl</v>
          </cell>
          <cell r="H56" t="str">
            <v>Cl</v>
          </cell>
        </row>
        <row r="57">
          <cell r="C57">
            <v>410</v>
          </cell>
          <cell r="D57">
            <v>410</v>
          </cell>
          <cell r="F57" t="str">
            <v>Cemento asfáltico</v>
          </cell>
          <cell r="G57" t="str">
            <v>Kg</v>
          </cell>
          <cell r="H57" t="str">
            <v>Kg</v>
          </cell>
        </row>
        <row r="58">
          <cell r="C58">
            <v>411.1</v>
          </cell>
          <cell r="D58">
            <v>411</v>
          </cell>
          <cell r="F58" t="str">
            <v>Emulsión asfáltica de rotura media CRM</v>
          </cell>
          <cell r="G58" t="str">
            <v>Lt</v>
          </cell>
          <cell r="H58" t="str">
            <v>Lt</v>
          </cell>
        </row>
        <row r="59">
          <cell r="C59">
            <v>411.2</v>
          </cell>
          <cell r="D59">
            <v>411</v>
          </cell>
          <cell r="F59" t="str">
            <v>Emulsión asfáltica de rotura lenta CRL-1</v>
          </cell>
          <cell r="G59" t="str">
            <v>Lt</v>
          </cell>
          <cell r="H59" t="str">
            <v>Lt</v>
          </cell>
        </row>
        <row r="60">
          <cell r="C60">
            <v>411.3</v>
          </cell>
          <cell r="D60">
            <v>411</v>
          </cell>
          <cell r="F60" t="str">
            <v>Emulsión asfáltica de rotura lenta CRL-1h</v>
          </cell>
          <cell r="G60" t="str">
            <v>Lt</v>
          </cell>
          <cell r="H60" t="str">
            <v>Lt</v>
          </cell>
        </row>
        <row r="61">
          <cell r="C61">
            <v>413</v>
          </cell>
          <cell r="D61">
            <v>413</v>
          </cell>
          <cell r="F61" t="str">
            <v>Excavación para reparación del pavimento existente</v>
          </cell>
          <cell r="G61" t="str">
            <v>m3</v>
          </cell>
          <cell r="H61">
            <v>34304</v>
          </cell>
        </row>
        <row r="62">
          <cell r="C62">
            <v>413.1</v>
          </cell>
          <cell r="D62">
            <v>413</v>
          </cell>
          <cell r="E62" t="str">
            <v>413P</v>
          </cell>
          <cell r="F62" t="str">
            <v>Excavación para reparación del pavimento existente</v>
          </cell>
          <cell r="G62" t="str">
            <v>m3</v>
          </cell>
          <cell r="H62" t="str">
            <v>m3</v>
          </cell>
          <cell r="J62" t="str">
            <v>Tiene en cuenta el programa PICO y PALA</v>
          </cell>
        </row>
        <row r="63">
          <cell r="C63">
            <v>420</v>
          </cell>
          <cell r="D63">
            <v>420</v>
          </cell>
          <cell r="F63" t="str">
            <v>Imprimación</v>
          </cell>
          <cell r="G63" t="str">
            <v>m2</v>
          </cell>
          <cell r="H63">
            <v>1614</v>
          </cell>
        </row>
        <row r="64">
          <cell r="C64">
            <v>421</v>
          </cell>
          <cell r="D64">
            <v>421</v>
          </cell>
          <cell r="F64" t="str">
            <v>Riego de liga</v>
          </cell>
          <cell r="G64" t="str">
            <v>m2</v>
          </cell>
          <cell r="H64" t="str">
            <v>m2</v>
          </cell>
        </row>
        <row r="65">
          <cell r="C65">
            <v>421.1</v>
          </cell>
          <cell r="D65">
            <v>421</v>
          </cell>
          <cell r="F65" t="str">
            <v>Riego de liga (cemento asfáltico)</v>
          </cell>
          <cell r="G65" t="str">
            <v>m2</v>
          </cell>
          <cell r="H65" t="str">
            <v>m2</v>
          </cell>
        </row>
        <row r="66">
          <cell r="C66">
            <v>421.2</v>
          </cell>
          <cell r="D66">
            <v>421</v>
          </cell>
          <cell r="F66" t="str">
            <v>Riego de liga (emulsión asfáltica)</v>
          </cell>
          <cell r="G66" t="str">
            <v>m2</v>
          </cell>
          <cell r="H66" t="str">
            <v>m2</v>
          </cell>
        </row>
        <row r="67">
          <cell r="C67">
            <v>430</v>
          </cell>
          <cell r="D67">
            <v>430</v>
          </cell>
          <cell r="F67" t="str">
            <v>Tratamiento superficial simple</v>
          </cell>
          <cell r="G67" t="str">
            <v>m2</v>
          </cell>
          <cell r="H67" t="str">
            <v>m2</v>
          </cell>
        </row>
        <row r="68">
          <cell r="C68" t="str">
            <v>430P</v>
          </cell>
          <cell r="E68" t="str">
            <v>430P</v>
          </cell>
          <cell r="F68" t="str">
            <v>Baranda metálica tubular para puentes</v>
          </cell>
          <cell r="G68" t="str">
            <v>ml</v>
          </cell>
          <cell r="H68" t="str">
            <v>ml</v>
          </cell>
        </row>
        <row r="69">
          <cell r="C69">
            <v>431</v>
          </cell>
          <cell r="D69">
            <v>431</v>
          </cell>
          <cell r="F69" t="str">
            <v>Tratamiento superficial doble</v>
          </cell>
          <cell r="G69" t="str">
            <v>m2</v>
          </cell>
          <cell r="H69" t="str">
            <v>m2</v>
          </cell>
        </row>
        <row r="70">
          <cell r="C70">
            <v>432</v>
          </cell>
          <cell r="D70">
            <v>432</v>
          </cell>
          <cell r="F70" t="str">
            <v>Sello de arena - asfalto</v>
          </cell>
          <cell r="G70" t="str">
            <v>m2</v>
          </cell>
          <cell r="H70" t="str">
            <v>m2</v>
          </cell>
        </row>
        <row r="71">
          <cell r="C71">
            <v>433</v>
          </cell>
          <cell r="D71">
            <v>433</v>
          </cell>
          <cell r="F71" t="str">
            <v>Lechada asfáltica</v>
          </cell>
          <cell r="G71" t="str">
            <v>m2</v>
          </cell>
          <cell r="H71" t="str">
            <v>m2</v>
          </cell>
        </row>
        <row r="72">
          <cell r="C72">
            <v>434</v>
          </cell>
          <cell r="E72" t="str">
            <v>434P</v>
          </cell>
          <cell r="F72" t="str">
            <v>Sello de grietas</v>
          </cell>
          <cell r="G72" t="str">
            <v>ml</v>
          </cell>
          <cell r="H72" t="str">
            <v>ml</v>
          </cell>
        </row>
        <row r="73">
          <cell r="C73" t="str">
            <v>434P.1</v>
          </cell>
          <cell r="E73" t="str">
            <v>434P</v>
          </cell>
          <cell r="F73" t="str">
            <v>Sello de grietas en concreto</v>
          </cell>
          <cell r="G73" t="str">
            <v>ml</v>
          </cell>
          <cell r="H73">
            <v>23935</v>
          </cell>
        </row>
        <row r="74">
          <cell r="C74">
            <v>435</v>
          </cell>
          <cell r="E74" t="str">
            <v>435P</v>
          </cell>
          <cell r="F74" t="str">
            <v>Sello de juntas de pavimento de concreto hidráulico</v>
          </cell>
          <cell r="G74" t="str">
            <v>ml</v>
          </cell>
          <cell r="H74" t="str">
            <v>ml</v>
          </cell>
        </row>
        <row r="75">
          <cell r="C75">
            <v>440.1</v>
          </cell>
          <cell r="D75">
            <v>440</v>
          </cell>
          <cell r="F75" t="str">
            <v>Mezcla densa en frío tipo MDF-1</v>
          </cell>
          <cell r="G75" t="str">
            <v>m3</v>
          </cell>
          <cell r="H75" t="str">
            <v>m3</v>
          </cell>
          <cell r="J75" t="str">
            <v>No incluye suministro y almacenamiento del cemento asfáltico</v>
          </cell>
        </row>
        <row r="76">
          <cell r="C76">
            <v>440.2</v>
          </cell>
          <cell r="D76">
            <v>440</v>
          </cell>
          <cell r="F76" t="str">
            <v>Mezcla densa en frío tipo MDF-2</v>
          </cell>
          <cell r="G76" t="str">
            <v>m3</v>
          </cell>
          <cell r="H76" t="str">
            <v>m3</v>
          </cell>
        </row>
        <row r="77">
          <cell r="C77">
            <v>440.3</v>
          </cell>
          <cell r="D77">
            <v>440</v>
          </cell>
          <cell r="F77" t="str">
            <v>Mezcla densa en frío tipo MDF-3</v>
          </cell>
          <cell r="G77" t="str">
            <v>m3</v>
          </cell>
          <cell r="H77" t="str">
            <v>m3</v>
          </cell>
        </row>
        <row r="78">
          <cell r="C78">
            <v>440.5</v>
          </cell>
          <cell r="D78">
            <v>440</v>
          </cell>
          <cell r="F78" t="str">
            <v>Mezcla densa en frío para bacheo</v>
          </cell>
          <cell r="G78" t="str">
            <v>m3</v>
          </cell>
          <cell r="H78" t="str">
            <v>m3</v>
          </cell>
        </row>
        <row r="79">
          <cell r="C79">
            <v>441.1</v>
          </cell>
          <cell r="D79">
            <v>441</v>
          </cell>
          <cell r="F79" t="str">
            <v>Mezcla abierta en frío tipo MAF-1</v>
          </cell>
          <cell r="G79" t="str">
            <v>m3</v>
          </cell>
          <cell r="H79" t="str">
            <v>m3</v>
          </cell>
          <cell r="J79" t="str">
            <v>No incluye suministro y almacenamiento del cemento asfáltico</v>
          </cell>
        </row>
        <row r="80">
          <cell r="C80">
            <v>441.2</v>
          </cell>
          <cell r="D80">
            <v>441</v>
          </cell>
          <cell r="F80" t="str">
            <v>Mezcla abierta en frío tipo MAF-2</v>
          </cell>
          <cell r="G80" t="str">
            <v>m3</v>
          </cell>
          <cell r="H80" t="str">
            <v>m3</v>
          </cell>
        </row>
        <row r="81">
          <cell r="C81">
            <v>441.3</v>
          </cell>
          <cell r="D81">
            <v>441</v>
          </cell>
          <cell r="F81" t="str">
            <v>Mezcla abierta en frío tipo MAF-3</v>
          </cell>
          <cell r="G81" t="str">
            <v>m3</v>
          </cell>
          <cell r="H81" t="str">
            <v>m3</v>
          </cell>
        </row>
        <row r="82">
          <cell r="C82">
            <v>441.4</v>
          </cell>
          <cell r="D82">
            <v>441</v>
          </cell>
          <cell r="F82" t="str">
            <v>Mezcla abierta en frío para bacheo</v>
          </cell>
          <cell r="G82" t="str">
            <v>m3</v>
          </cell>
          <cell r="H82" t="str">
            <v>m3</v>
          </cell>
        </row>
        <row r="83">
          <cell r="C83">
            <v>450.1</v>
          </cell>
          <cell r="D83">
            <v>450</v>
          </cell>
          <cell r="F83" t="str">
            <v>Mezcla densa en caliente tipo MDC-1</v>
          </cell>
          <cell r="G83" t="str">
            <v>m3</v>
          </cell>
          <cell r="H83" t="str">
            <v>m3</v>
          </cell>
          <cell r="J83" t="str">
            <v>No incluye suministro y almacenamiento del cemento asfáltico</v>
          </cell>
        </row>
        <row r="84">
          <cell r="C84">
            <v>450.2</v>
          </cell>
          <cell r="D84">
            <v>450</v>
          </cell>
          <cell r="F84" t="str">
            <v>Mezcla densa en caliente tipo MDC-2</v>
          </cell>
          <cell r="G84" t="str">
            <v>m3</v>
          </cell>
          <cell r="H84" t="str">
            <v>m3</v>
          </cell>
        </row>
        <row r="85">
          <cell r="C85">
            <v>450.3</v>
          </cell>
          <cell r="D85">
            <v>450</v>
          </cell>
          <cell r="F85" t="str">
            <v>Mezcla densa en caliente tipo MDC-3</v>
          </cell>
          <cell r="G85" t="str">
            <v>m3</v>
          </cell>
          <cell r="H85">
            <v>230745</v>
          </cell>
        </row>
        <row r="86">
          <cell r="C86">
            <v>450.4</v>
          </cell>
          <cell r="D86">
            <v>450</v>
          </cell>
          <cell r="F86" t="str">
            <v>Mezcla densa en caliente para bacheo</v>
          </cell>
          <cell r="G86" t="str">
            <v>m3</v>
          </cell>
          <cell r="H86" t="str">
            <v>m3</v>
          </cell>
        </row>
        <row r="87">
          <cell r="C87">
            <v>450.5</v>
          </cell>
          <cell r="D87">
            <v>450</v>
          </cell>
          <cell r="E87" t="str">
            <v>450P</v>
          </cell>
          <cell r="F87" t="str">
            <v>Parcheo con mezcla densa en caliente tipo MDC-2</v>
          </cell>
          <cell r="G87" t="str">
            <v>m3</v>
          </cell>
          <cell r="H87" t="str">
            <v>m3</v>
          </cell>
          <cell r="J87" t="str">
            <v>Incluye riego de liga, suministro y transporte del cemento asfáltico</v>
          </cell>
        </row>
        <row r="88">
          <cell r="C88">
            <v>450.6</v>
          </cell>
          <cell r="D88">
            <v>450</v>
          </cell>
          <cell r="E88" t="str">
            <v>450P-1</v>
          </cell>
          <cell r="F88" t="str">
            <v>Mezcla densa en caliente tipo MDC-2</v>
          </cell>
          <cell r="G88" t="str">
            <v>m3</v>
          </cell>
          <cell r="H88" t="str">
            <v>m3</v>
          </cell>
          <cell r="J88" t="str">
            <v>Incluye riego de liga, suministro y transporte del cemento asfáltico</v>
          </cell>
        </row>
        <row r="89">
          <cell r="C89">
            <v>450.7</v>
          </cell>
          <cell r="D89">
            <v>450</v>
          </cell>
          <cell r="E89" t="str">
            <v>450P-1</v>
          </cell>
          <cell r="F89" t="str">
            <v>Mezcla densa en caliente tipo MDC-1</v>
          </cell>
          <cell r="G89" t="str">
            <v>m3</v>
          </cell>
          <cell r="H89" t="str">
            <v>m3</v>
          </cell>
          <cell r="J89" t="str">
            <v>Incluye riego de liga, suministro y transporte del cemento asfáltico</v>
          </cell>
        </row>
        <row r="90">
          <cell r="C90">
            <v>450.8</v>
          </cell>
          <cell r="D90">
            <v>450</v>
          </cell>
          <cell r="E90" t="str">
            <v>450P-1</v>
          </cell>
          <cell r="F90" t="str">
            <v>Mezcla densa en caliente tipo MDC-3</v>
          </cell>
          <cell r="G90" t="str">
            <v>m3</v>
          </cell>
          <cell r="H90" t="str">
            <v>m3</v>
          </cell>
          <cell r="J90" t="str">
            <v>Incluye riego de liga, suministro y transporte del cemento asfáltico</v>
          </cell>
        </row>
        <row r="91">
          <cell r="C91">
            <v>450.9</v>
          </cell>
          <cell r="D91">
            <v>450</v>
          </cell>
          <cell r="E91" t="str">
            <v>450P-2</v>
          </cell>
          <cell r="F91" t="str">
            <v>Parcheo con fresado y mezcla densa en caliente tipo MDC-2</v>
          </cell>
          <cell r="G91" t="str">
            <v>m3</v>
          </cell>
          <cell r="H91">
            <v>318664</v>
          </cell>
        </row>
        <row r="92">
          <cell r="C92">
            <v>450.11</v>
          </cell>
          <cell r="D92">
            <v>450</v>
          </cell>
          <cell r="E92" t="str">
            <v>450P-3</v>
          </cell>
          <cell r="F92" t="str">
            <v>Mezcla densa en caliente tipo MDC-2 para bacheo</v>
          </cell>
          <cell r="G92" t="str">
            <v>m3</v>
          </cell>
          <cell r="H92" t="str">
            <v>m3</v>
          </cell>
          <cell r="J92" t="str">
            <v>Incluye suministro y transporte del cemento asfáltico</v>
          </cell>
        </row>
        <row r="93">
          <cell r="C93">
            <v>450.12</v>
          </cell>
          <cell r="D93">
            <v>450</v>
          </cell>
          <cell r="E93" t="str">
            <v>450P-3</v>
          </cell>
          <cell r="F93" t="str">
            <v>Mezcla densa en caliente tipo MDC-1 para bacheo</v>
          </cell>
          <cell r="G93" t="str">
            <v>m3</v>
          </cell>
          <cell r="H93" t="str">
            <v>m3</v>
          </cell>
        </row>
        <row r="94">
          <cell r="C94">
            <v>450.13</v>
          </cell>
          <cell r="D94">
            <v>450</v>
          </cell>
          <cell r="E94" t="str">
            <v>450P-1</v>
          </cell>
          <cell r="F94" t="str">
            <v>Mezcla densa en caliente tipo MDC-2</v>
          </cell>
          <cell r="G94" t="str">
            <v>m3</v>
          </cell>
          <cell r="H94" t="str">
            <v>m3</v>
          </cell>
        </row>
        <row r="95">
          <cell r="C95" t="str">
            <v>450P,1</v>
          </cell>
          <cell r="D95">
            <v>450</v>
          </cell>
          <cell r="E95" t="str">
            <v>450P-1</v>
          </cell>
          <cell r="F95" t="str">
            <v>Mezcla densa en caliente tipo MDC-2</v>
          </cell>
          <cell r="G95" t="str">
            <v>m3</v>
          </cell>
          <cell r="H95">
            <v>325244</v>
          </cell>
        </row>
        <row r="96">
          <cell r="C96" t="str">
            <v>450P,2</v>
          </cell>
          <cell r="D96">
            <v>450</v>
          </cell>
          <cell r="E96" t="str">
            <v>450P-2</v>
          </cell>
          <cell r="F96" t="str">
            <v>Parcheo con mezcla densa en caliente tipo MDC-2</v>
          </cell>
          <cell r="G96" t="str">
            <v>m3</v>
          </cell>
          <cell r="H96">
            <v>358746</v>
          </cell>
        </row>
        <row r="97">
          <cell r="C97">
            <v>451.1</v>
          </cell>
          <cell r="D97">
            <v>451</v>
          </cell>
          <cell r="F97" t="str">
            <v>Mezcla abierta en caliente tipo MAC-1</v>
          </cell>
          <cell r="G97" t="str">
            <v>m3</v>
          </cell>
          <cell r="H97" t="str">
            <v>m3</v>
          </cell>
        </row>
        <row r="98">
          <cell r="C98">
            <v>451.2</v>
          </cell>
          <cell r="D98">
            <v>451</v>
          </cell>
          <cell r="F98" t="str">
            <v>Mezcla abierta en caliente tipo MAC-2</v>
          </cell>
          <cell r="G98" t="str">
            <v>m3</v>
          </cell>
          <cell r="H98">
            <v>159158</v>
          </cell>
        </row>
        <row r="99">
          <cell r="C99">
            <v>451.3</v>
          </cell>
          <cell r="D99">
            <v>451</v>
          </cell>
          <cell r="F99" t="str">
            <v>Mezcla abierta en caliente tipo MAC-3</v>
          </cell>
          <cell r="G99" t="str">
            <v>m3</v>
          </cell>
          <cell r="H99" t="str">
            <v>m3</v>
          </cell>
        </row>
        <row r="100">
          <cell r="C100">
            <v>460</v>
          </cell>
          <cell r="D100">
            <v>460</v>
          </cell>
          <cell r="F100" t="str">
            <v>Fresado de pavimento asfáltico</v>
          </cell>
          <cell r="G100" t="str">
            <v>m3</v>
          </cell>
          <cell r="H100">
            <v>60691</v>
          </cell>
        </row>
        <row r="101">
          <cell r="C101">
            <v>461</v>
          </cell>
          <cell r="D101">
            <v>461</v>
          </cell>
          <cell r="F101" t="str">
            <v>Pavimento asfáltico reciclado en frío</v>
          </cell>
          <cell r="G101" t="str">
            <v>m3</v>
          </cell>
          <cell r="H101" t="str">
            <v>m3</v>
          </cell>
          <cell r="J101" t="str">
            <v>No incluye suministro y almacenamiento del cemento asfáltico o la emulsión.</v>
          </cell>
        </row>
        <row r="102">
          <cell r="C102">
            <v>461.1</v>
          </cell>
          <cell r="D102">
            <v>461</v>
          </cell>
          <cell r="E102" t="str">
            <v>461P</v>
          </cell>
          <cell r="F102" t="str">
            <v>Pavimento asfáltico reciclado en frío</v>
          </cell>
          <cell r="G102" t="str">
            <v>m3</v>
          </cell>
          <cell r="H102" t="str">
            <v>m3</v>
          </cell>
          <cell r="J102" t="str">
            <v>Incluye el cemento asfáltico o la emulsión asfáltica</v>
          </cell>
        </row>
        <row r="103">
          <cell r="C103">
            <v>462.1</v>
          </cell>
          <cell r="D103">
            <v>462</v>
          </cell>
          <cell r="F103" t="str">
            <v>Pavimento asfáltico reciclado en caliente tipo MDC-1</v>
          </cell>
          <cell r="G103" t="str">
            <v>m3</v>
          </cell>
          <cell r="H103" t="str">
            <v>m3</v>
          </cell>
          <cell r="J103" t="str">
            <v>No incluye suministro y almacenamiento del cemento asfáltico o la emulsión. Tampoco el agente rejuvenecedor</v>
          </cell>
        </row>
        <row r="104">
          <cell r="C104">
            <v>462.2</v>
          </cell>
          <cell r="D104">
            <v>462</v>
          </cell>
          <cell r="F104" t="str">
            <v>Pavimento asfáltico reciclado en caliente tipo MDC-2</v>
          </cell>
          <cell r="G104" t="str">
            <v>m3</v>
          </cell>
          <cell r="H104" t="str">
            <v>m3</v>
          </cell>
        </row>
        <row r="105">
          <cell r="C105">
            <v>462.3</v>
          </cell>
          <cell r="D105">
            <v>462</v>
          </cell>
          <cell r="F105" t="str">
            <v>Pavimento asfáltico reciclado en caliente tipo MDC-3</v>
          </cell>
          <cell r="G105" t="str">
            <v>m3</v>
          </cell>
          <cell r="H105" t="str">
            <v>m3</v>
          </cell>
        </row>
        <row r="106">
          <cell r="C106">
            <v>462.4</v>
          </cell>
          <cell r="D106">
            <v>462</v>
          </cell>
          <cell r="F106" t="str">
            <v>Pavimento asfáltico reciclado en caliente para bacheo</v>
          </cell>
          <cell r="G106" t="str">
            <v>m3</v>
          </cell>
          <cell r="H106" t="str">
            <v>m3</v>
          </cell>
        </row>
        <row r="107">
          <cell r="C107">
            <v>470</v>
          </cell>
          <cell r="E107" t="str">
            <v>470P</v>
          </cell>
          <cell r="F107" t="str">
            <v>Asfalto Natural (Asfaltita)</v>
          </cell>
          <cell r="G107" t="str">
            <v>m3</v>
          </cell>
          <cell r="H107" t="str">
            <v>m3</v>
          </cell>
        </row>
        <row r="108">
          <cell r="C108">
            <v>500</v>
          </cell>
          <cell r="D108">
            <v>500</v>
          </cell>
          <cell r="F108" t="str">
            <v>Pavimento de concreto hidráulico</v>
          </cell>
          <cell r="G108" t="str">
            <v>m3</v>
          </cell>
          <cell r="H108">
            <v>426121</v>
          </cell>
          <cell r="J108" t="str">
            <v>No incluye la preparación de la superficie existente</v>
          </cell>
        </row>
        <row r="109">
          <cell r="C109">
            <v>501</v>
          </cell>
          <cell r="E109" t="str">
            <v>501P</v>
          </cell>
          <cell r="F109" t="str">
            <v>Corte en losas de pavimento rígido</v>
          </cell>
          <cell r="G109" t="str">
            <v>ml</v>
          </cell>
          <cell r="H109">
            <v>4125</v>
          </cell>
        </row>
        <row r="110">
          <cell r="C110">
            <v>510</v>
          </cell>
          <cell r="D110">
            <v>510</v>
          </cell>
          <cell r="F110" t="str">
            <v>Pavimento de adoquines de concreto</v>
          </cell>
          <cell r="G110" t="str">
            <v>m2</v>
          </cell>
          <cell r="H110" t="str">
            <v>m2</v>
          </cell>
          <cell r="J110" t="str">
            <v>No incluye la preparación de la superficie existente. Tampoco las obras de confinamiento del pavimento.</v>
          </cell>
        </row>
        <row r="111">
          <cell r="C111">
            <v>600.1</v>
          </cell>
          <cell r="D111">
            <v>600</v>
          </cell>
          <cell r="F111" t="str">
            <v>Excavaciones varias sin clasificar</v>
          </cell>
          <cell r="G111" t="str">
            <v>m3</v>
          </cell>
          <cell r="H111">
            <v>9990</v>
          </cell>
        </row>
        <row r="112">
          <cell r="C112">
            <v>600.20000000000005</v>
          </cell>
          <cell r="D112">
            <v>600</v>
          </cell>
          <cell r="F112" t="str">
            <v>Excavaciones varias en roca en seco</v>
          </cell>
          <cell r="G112" t="str">
            <v>m3</v>
          </cell>
          <cell r="H112">
            <v>38000</v>
          </cell>
        </row>
        <row r="113">
          <cell r="C113">
            <v>600.29999999999995</v>
          </cell>
          <cell r="D113">
            <v>600</v>
          </cell>
          <cell r="F113" t="str">
            <v>Excavaciones varias en roca bajo agua</v>
          </cell>
          <cell r="G113" t="str">
            <v>m3</v>
          </cell>
          <cell r="H113" t="str">
            <v>m3</v>
          </cell>
        </row>
        <row r="114">
          <cell r="C114">
            <v>600.4</v>
          </cell>
          <cell r="D114">
            <v>600</v>
          </cell>
          <cell r="F114" t="str">
            <v>Excavaciones varias en material común en seco</v>
          </cell>
          <cell r="G114" t="str">
            <v>m3</v>
          </cell>
          <cell r="H114">
            <v>24253</v>
          </cell>
        </row>
        <row r="115">
          <cell r="C115">
            <v>600.5</v>
          </cell>
          <cell r="D115">
            <v>600</v>
          </cell>
          <cell r="F115" t="str">
            <v>Excavaciones varias en material común bajo agua</v>
          </cell>
          <cell r="G115" t="str">
            <v>m3</v>
          </cell>
          <cell r="H115">
            <v>29716</v>
          </cell>
        </row>
        <row r="116">
          <cell r="C116">
            <v>600.6</v>
          </cell>
          <cell r="D116">
            <v>600</v>
          </cell>
          <cell r="E116" t="str">
            <v>600P</v>
          </cell>
          <cell r="F116" t="str">
            <v>Excavaciones varias sin clasificar</v>
          </cell>
          <cell r="G116" t="str">
            <v>m3</v>
          </cell>
          <cell r="H116" t="str">
            <v>m3</v>
          </cell>
          <cell r="J116" t="str">
            <v>Tiene en cuenta el programa PICO y PALA</v>
          </cell>
        </row>
        <row r="117">
          <cell r="C117">
            <v>600.70000000000005</v>
          </cell>
          <cell r="D117">
            <v>600</v>
          </cell>
          <cell r="E117" t="str">
            <v>600P</v>
          </cell>
          <cell r="F117" t="str">
            <v>Excavaciones varias en material común en seco</v>
          </cell>
          <cell r="G117" t="str">
            <v>m3</v>
          </cell>
          <cell r="H117" t="str">
            <v>m3</v>
          </cell>
          <cell r="J117" t="str">
            <v>Tiene en cuenta el programa PICO y PALA</v>
          </cell>
        </row>
        <row r="118">
          <cell r="C118" t="str">
            <v>600P.1</v>
          </cell>
          <cell r="D118">
            <v>600</v>
          </cell>
          <cell r="E118" t="str">
            <v>600P.1</v>
          </cell>
          <cell r="F118" t="str">
            <v>Excavaciones manuales varias sin clasificar</v>
          </cell>
          <cell r="G118" t="str">
            <v>m3</v>
          </cell>
          <cell r="H118">
            <v>18224</v>
          </cell>
          <cell r="J118" t="str">
            <v>Tiene en cuenta el programa PICO y PALA</v>
          </cell>
        </row>
        <row r="119">
          <cell r="C119">
            <v>600.79999999999995</v>
          </cell>
          <cell r="D119">
            <v>600</v>
          </cell>
          <cell r="E119" t="str">
            <v>600P</v>
          </cell>
          <cell r="F119" t="str">
            <v>Excavaciones varias en material común bajo agua</v>
          </cell>
          <cell r="G119" t="str">
            <v>m3</v>
          </cell>
          <cell r="H119" t="str">
            <v>m3</v>
          </cell>
          <cell r="J119" t="str">
            <v>Tiene en cuenta el programa PICO y PALA</v>
          </cell>
        </row>
        <row r="120">
          <cell r="C120">
            <v>601.1</v>
          </cell>
          <cell r="D120">
            <v>601</v>
          </cell>
          <cell r="F120" t="str">
            <v>Excavaciones varias en roca en seco</v>
          </cell>
          <cell r="G120" t="str">
            <v>m3</v>
          </cell>
          <cell r="H120" t="str">
            <v>m3</v>
          </cell>
        </row>
        <row r="121">
          <cell r="C121">
            <v>601.20000000000005</v>
          </cell>
          <cell r="D121">
            <v>601</v>
          </cell>
          <cell r="F121" t="str">
            <v>Excavaciones varias en roca bajo agua</v>
          </cell>
          <cell r="G121" t="str">
            <v>m3</v>
          </cell>
          <cell r="H121" t="str">
            <v>m3</v>
          </cell>
        </row>
        <row r="122">
          <cell r="C122">
            <v>601.29999999999995</v>
          </cell>
          <cell r="D122">
            <v>601</v>
          </cell>
          <cell r="F122" t="str">
            <v>Excavaciones varias en material común en seco</v>
          </cell>
          <cell r="G122" t="str">
            <v>m3</v>
          </cell>
          <cell r="H122" t="str">
            <v>m3</v>
          </cell>
        </row>
        <row r="123">
          <cell r="C123">
            <v>601.4</v>
          </cell>
          <cell r="D123">
            <v>601</v>
          </cell>
          <cell r="F123" t="str">
            <v>Excavaciones varias en material común bajo agua</v>
          </cell>
          <cell r="G123" t="str">
            <v>m3</v>
          </cell>
          <cell r="H123" t="str">
            <v>m3</v>
          </cell>
        </row>
        <row r="124">
          <cell r="C124">
            <v>610.1</v>
          </cell>
          <cell r="D124">
            <v>610</v>
          </cell>
          <cell r="F124" t="str">
            <v>Rellenos para estructuras</v>
          </cell>
          <cell r="G124" t="str">
            <v>m3</v>
          </cell>
          <cell r="H124">
            <v>38345</v>
          </cell>
          <cell r="J124" t="str">
            <v>No incluye la preparación de la superficie sobre la que irá el relleno.</v>
          </cell>
        </row>
        <row r="125">
          <cell r="C125">
            <v>610.20000000000005</v>
          </cell>
          <cell r="D125">
            <v>610</v>
          </cell>
          <cell r="F125" t="str">
            <v>Material filtrante</v>
          </cell>
          <cell r="G125" t="str">
            <v>m3</v>
          </cell>
          <cell r="H125" t="str">
            <v>m3</v>
          </cell>
        </row>
        <row r="126">
          <cell r="C126">
            <v>612</v>
          </cell>
          <cell r="E126" t="str">
            <v>612P</v>
          </cell>
          <cell r="F126" t="str">
            <v>Geobloques</v>
          </cell>
          <cell r="G126" t="str">
            <v>m3</v>
          </cell>
          <cell r="H126" t="str">
            <v>m3</v>
          </cell>
        </row>
        <row r="127">
          <cell r="C127">
            <v>620.1</v>
          </cell>
          <cell r="D127">
            <v>620</v>
          </cell>
          <cell r="F127" t="str">
            <v>Pilotes prefabricados de concreto</v>
          </cell>
          <cell r="G127" t="str">
            <v>ml</v>
          </cell>
          <cell r="H127" t="str">
            <v>ml</v>
          </cell>
        </row>
        <row r="128">
          <cell r="C128">
            <v>620.20000000000005</v>
          </cell>
          <cell r="D128">
            <v>620</v>
          </cell>
          <cell r="F128" t="str">
            <v>Extensión de pilotes</v>
          </cell>
          <cell r="G128" t="str">
            <v>ml</v>
          </cell>
          <cell r="H128" t="str">
            <v>ml</v>
          </cell>
        </row>
        <row r="129">
          <cell r="C129">
            <v>620.29999999999995</v>
          </cell>
          <cell r="D129">
            <v>620</v>
          </cell>
          <cell r="F129" t="str">
            <v>Prueba de carga</v>
          </cell>
          <cell r="G129" t="str">
            <v>Un</v>
          </cell>
          <cell r="H129" t="str">
            <v>Un</v>
          </cell>
        </row>
        <row r="130">
          <cell r="C130">
            <v>621.1</v>
          </cell>
          <cell r="D130">
            <v>621</v>
          </cell>
          <cell r="F130" t="str">
            <v>Pilote de concreto fundido in-situ de diámetro____</v>
          </cell>
          <cell r="G130" t="str">
            <v>ml</v>
          </cell>
          <cell r="H130" t="str">
            <v>ml</v>
          </cell>
        </row>
        <row r="131">
          <cell r="C131">
            <v>621.20000000000005</v>
          </cell>
          <cell r="D131">
            <v>621</v>
          </cell>
          <cell r="F131" t="str">
            <v>Base acampanada</v>
          </cell>
          <cell r="G131" t="str">
            <v>m3</v>
          </cell>
          <cell r="H131" t="str">
            <v>m3</v>
          </cell>
        </row>
        <row r="132">
          <cell r="C132">
            <v>621.29999999999995</v>
          </cell>
          <cell r="D132">
            <v>621</v>
          </cell>
          <cell r="F132" t="str">
            <v>Pilote de prueba de diámetro ____</v>
          </cell>
          <cell r="G132" t="str">
            <v>ml</v>
          </cell>
          <cell r="H132" t="str">
            <v>ml</v>
          </cell>
        </row>
        <row r="133">
          <cell r="C133">
            <v>621.4</v>
          </cell>
          <cell r="D133">
            <v>621</v>
          </cell>
          <cell r="F133" t="str">
            <v>Base acampanada de prueba</v>
          </cell>
          <cell r="G133" t="str">
            <v>m3</v>
          </cell>
          <cell r="H133" t="str">
            <v>m3</v>
          </cell>
        </row>
        <row r="134">
          <cell r="C134">
            <v>621.5</v>
          </cell>
          <cell r="D134">
            <v>621</v>
          </cell>
          <cell r="F134" t="str">
            <v>Camisa permanente de diámetro exterior ____</v>
          </cell>
          <cell r="G134" t="str">
            <v>ml</v>
          </cell>
          <cell r="H134" t="str">
            <v>ml</v>
          </cell>
        </row>
        <row r="135">
          <cell r="C135">
            <v>621.6</v>
          </cell>
          <cell r="D135">
            <v>621</v>
          </cell>
          <cell r="F135" t="str">
            <v>Prueba de carga</v>
          </cell>
          <cell r="G135" t="str">
            <v>Un</v>
          </cell>
          <cell r="H135" t="str">
            <v>Un</v>
          </cell>
        </row>
        <row r="136">
          <cell r="C136">
            <v>622.1</v>
          </cell>
          <cell r="D136">
            <v>622</v>
          </cell>
          <cell r="F136" t="str">
            <v>Tablestacado de madera</v>
          </cell>
          <cell r="G136" t="str">
            <v>m2</v>
          </cell>
          <cell r="H136" t="str">
            <v>m2</v>
          </cell>
        </row>
        <row r="137">
          <cell r="C137">
            <v>622.20000000000005</v>
          </cell>
          <cell r="D137">
            <v>622</v>
          </cell>
          <cell r="F137" t="str">
            <v>Tablestacado metálico</v>
          </cell>
          <cell r="G137" t="str">
            <v>m2</v>
          </cell>
          <cell r="H137" t="str">
            <v>m2</v>
          </cell>
        </row>
        <row r="138">
          <cell r="C138">
            <v>622.29999999999995</v>
          </cell>
          <cell r="D138">
            <v>622</v>
          </cell>
          <cell r="F138" t="str">
            <v>Tablestacado de concreto reforzado</v>
          </cell>
          <cell r="G138" t="str">
            <v>m2</v>
          </cell>
          <cell r="H138" t="str">
            <v>m2</v>
          </cell>
        </row>
        <row r="139">
          <cell r="C139">
            <v>622.4</v>
          </cell>
          <cell r="D139">
            <v>622</v>
          </cell>
          <cell r="F139" t="str">
            <v>Tablestacado de concreto preesforzado</v>
          </cell>
          <cell r="G139" t="str">
            <v>m2</v>
          </cell>
          <cell r="H139" t="str">
            <v>m2</v>
          </cell>
        </row>
        <row r="140">
          <cell r="C140">
            <v>622.5</v>
          </cell>
          <cell r="D140">
            <v>622</v>
          </cell>
          <cell r="F140" t="str">
            <v>Corte del extremo superior del elemento</v>
          </cell>
          <cell r="G140" t="str">
            <v>ml</v>
          </cell>
          <cell r="H140" t="str">
            <v>ml</v>
          </cell>
        </row>
        <row r="141">
          <cell r="C141">
            <v>622.6</v>
          </cell>
          <cell r="D141">
            <v>622</v>
          </cell>
          <cell r="E141" t="str">
            <v>622P</v>
          </cell>
          <cell r="F141" t="str">
            <v>Tablestacado metálico</v>
          </cell>
          <cell r="G141" t="str">
            <v>ml</v>
          </cell>
          <cell r="H141" t="str">
            <v>ml</v>
          </cell>
          <cell r="J141" t="str">
            <v>La unidad de medida es el metro lineal</v>
          </cell>
        </row>
        <row r="142">
          <cell r="C142">
            <v>623.1</v>
          </cell>
          <cell r="E142" t="str">
            <v>623P</v>
          </cell>
          <cell r="F142" t="str">
            <v>Suministro e hincamiento de rieles</v>
          </cell>
          <cell r="G142" t="str">
            <v>ml</v>
          </cell>
          <cell r="H142">
            <v>92683</v>
          </cell>
        </row>
        <row r="143">
          <cell r="C143">
            <v>623.20000000000005</v>
          </cell>
          <cell r="E143" t="str">
            <v>623P</v>
          </cell>
          <cell r="F143" t="str">
            <v>Suministro e instalación de rieles</v>
          </cell>
          <cell r="G143" t="str">
            <v>ml</v>
          </cell>
          <cell r="H143">
            <v>76829</v>
          </cell>
        </row>
        <row r="144">
          <cell r="C144">
            <v>630.1</v>
          </cell>
          <cell r="D144">
            <v>630</v>
          </cell>
          <cell r="F144" t="str">
            <v>Concreto Clase A</v>
          </cell>
          <cell r="G144" t="str">
            <v>m3</v>
          </cell>
          <cell r="H144" t="str">
            <v>m3</v>
          </cell>
          <cell r="J144" t="str">
            <v>5000PSI</v>
          </cell>
        </row>
        <row r="145">
          <cell r="C145">
            <v>630.20000000000005</v>
          </cell>
          <cell r="D145">
            <v>630</v>
          </cell>
          <cell r="F145" t="str">
            <v>Concreto Clase B</v>
          </cell>
          <cell r="G145" t="str">
            <v>m3</v>
          </cell>
          <cell r="H145" t="str">
            <v>m3</v>
          </cell>
          <cell r="J145" t="str">
            <v>4000PSI</v>
          </cell>
        </row>
        <row r="146">
          <cell r="C146">
            <v>630.29999999999995</v>
          </cell>
          <cell r="D146">
            <v>630</v>
          </cell>
          <cell r="F146" t="str">
            <v>Concreto Clase C</v>
          </cell>
          <cell r="G146" t="str">
            <v>m3</v>
          </cell>
          <cell r="H146" t="str">
            <v>m3</v>
          </cell>
          <cell r="J146" t="str">
            <v>3000PSI</v>
          </cell>
        </row>
        <row r="147">
          <cell r="C147">
            <v>630.4</v>
          </cell>
          <cell r="D147">
            <v>630</v>
          </cell>
          <cell r="F147" t="str">
            <v>Concreto Clase D</v>
          </cell>
          <cell r="G147" t="str">
            <v>m3</v>
          </cell>
          <cell r="H147">
            <v>374399</v>
          </cell>
          <cell r="J147" t="str">
            <v>2000PSI</v>
          </cell>
        </row>
        <row r="148">
          <cell r="C148">
            <v>630.5</v>
          </cell>
          <cell r="D148">
            <v>630</v>
          </cell>
          <cell r="F148" t="str">
            <v>Concreto Clase E</v>
          </cell>
          <cell r="G148" t="str">
            <v>m3</v>
          </cell>
          <cell r="H148">
            <v>325680</v>
          </cell>
        </row>
        <row r="149">
          <cell r="C149">
            <v>630.6</v>
          </cell>
          <cell r="D149">
            <v>630</v>
          </cell>
          <cell r="F149" t="str">
            <v>Concreto Simple de 175 Kg/cm2</v>
          </cell>
          <cell r="G149" t="str">
            <v>m3</v>
          </cell>
          <cell r="H149">
            <v>326357</v>
          </cell>
        </row>
        <row r="150">
          <cell r="C150" t="str">
            <v>630P.7</v>
          </cell>
          <cell r="D150">
            <v>630</v>
          </cell>
          <cell r="F150" t="str">
            <v>Concreto ciplopeo de resistencia 211 Kg/cm2</v>
          </cell>
          <cell r="G150" t="str">
            <v>m3</v>
          </cell>
          <cell r="H150">
            <v>288781</v>
          </cell>
        </row>
        <row r="151">
          <cell r="C151">
            <v>630.70000000000005</v>
          </cell>
          <cell r="D151">
            <v>630</v>
          </cell>
          <cell r="F151" t="str">
            <v>Concreto Clase G</v>
          </cell>
          <cell r="G151" t="str">
            <v>m3</v>
          </cell>
          <cell r="H151">
            <v>282866</v>
          </cell>
        </row>
        <row r="152">
          <cell r="C152">
            <v>630.79999999999995</v>
          </cell>
          <cell r="D152">
            <v>630</v>
          </cell>
          <cell r="E152" t="str">
            <v>630P</v>
          </cell>
          <cell r="F152" t="str">
            <v>Concreto Clase A con aditivo</v>
          </cell>
          <cell r="G152" t="str">
            <v>m3</v>
          </cell>
          <cell r="H152" t="str">
            <v>m3</v>
          </cell>
        </row>
        <row r="153">
          <cell r="C153">
            <v>630.9</v>
          </cell>
          <cell r="D153">
            <v>630</v>
          </cell>
          <cell r="E153" t="str">
            <v>630P</v>
          </cell>
          <cell r="F153" t="str">
            <v>Concreto Clase D con aditivo</v>
          </cell>
          <cell r="G153" t="str">
            <v>m3</v>
          </cell>
          <cell r="H153" t="str">
            <v>m3</v>
          </cell>
        </row>
        <row r="154">
          <cell r="C154">
            <v>630.1</v>
          </cell>
          <cell r="D154">
            <v>630</v>
          </cell>
          <cell r="E154" t="str">
            <v>630P-1</v>
          </cell>
          <cell r="F154" t="str">
            <v>Realce de cabezotes de alcantarillas</v>
          </cell>
          <cell r="G154" t="str">
            <v>m3</v>
          </cell>
          <cell r="H154" t="str">
            <v>m3</v>
          </cell>
        </row>
        <row r="155">
          <cell r="C155">
            <v>630.11</v>
          </cell>
          <cell r="D155">
            <v>630</v>
          </cell>
          <cell r="E155" t="str">
            <v>630P-2</v>
          </cell>
          <cell r="F155" t="str">
            <v>Realce de bordillo de cunetas</v>
          </cell>
          <cell r="G155" t="str">
            <v>ml</v>
          </cell>
          <cell r="H155">
            <v>30840</v>
          </cell>
        </row>
        <row r="156">
          <cell r="C156">
            <v>630.12</v>
          </cell>
          <cell r="D156">
            <v>630</v>
          </cell>
          <cell r="E156" t="str">
            <v>630P-3</v>
          </cell>
          <cell r="F156" t="str">
            <v>Concreto Clase G para cimientos</v>
          </cell>
          <cell r="G156" t="str">
            <v>m3</v>
          </cell>
          <cell r="H156" t="str">
            <v>m3</v>
          </cell>
        </row>
        <row r="157">
          <cell r="C157">
            <v>630.13</v>
          </cell>
          <cell r="D157">
            <v>630</v>
          </cell>
          <cell r="E157" t="str">
            <v>630P-3</v>
          </cell>
          <cell r="F157" t="str">
            <v>Concreto Clase G para elevaciones</v>
          </cell>
          <cell r="G157" t="str">
            <v>m3</v>
          </cell>
          <cell r="H157" t="str">
            <v>m3</v>
          </cell>
        </row>
        <row r="158">
          <cell r="C158">
            <v>630.14</v>
          </cell>
          <cell r="D158">
            <v>630</v>
          </cell>
          <cell r="E158" t="str">
            <v>630P-4</v>
          </cell>
          <cell r="F158" t="str">
            <v>Recubrimiento con malla y mortero 1:4, e=5cm</v>
          </cell>
          <cell r="G158" t="str">
            <v>m2</v>
          </cell>
          <cell r="H158" t="str">
            <v>m2</v>
          </cell>
        </row>
        <row r="159">
          <cell r="C159">
            <v>630.15</v>
          </cell>
          <cell r="D159">
            <v>630</v>
          </cell>
          <cell r="E159" t="str">
            <v>630P-5</v>
          </cell>
          <cell r="F159" t="str">
            <v>Recalce de alcantarillas</v>
          </cell>
          <cell r="G159" t="str">
            <v>ml</v>
          </cell>
          <cell r="H159">
            <v>77402</v>
          </cell>
        </row>
        <row r="160">
          <cell r="C160">
            <v>632</v>
          </cell>
          <cell r="D160">
            <v>632</v>
          </cell>
          <cell r="F160" t="str">
            <v>Baranda de concreto</v>
          </cell>
          <cell r="G160" t="str">
            <v>ml</v>
          </cell>
          <cell r="H160" t="str">
            <v>ml</v>
          </cell>
          <cell r="J160" t="str">
            <v>No incluye el acero de refuerzo</v>
          </cell>
        </row>
        <row r="161">
          <cell r="C161">
            <v>632.1</v>
          </cell>
          <cell r="D161">
            <v>632</v>
          </cell>
          <cell r="E161" t="str">
            <v>632P</v>
          </cell>
          <cell r="F161" t="str">
            <v>Baranda metálica tubular</v>
          </cell>
          <cell r="G161" t="str">
            <v>ml</v>
          </cell>
          <cell r="H161" t="str">
            <v>ml</v>
          </cell>
        </row>
        <row r="162">
          <cell r="C162">
            <v>640.1</v>
          </cell>
          <cell r="D162">
            <v>640</v>
          </cell>
          <cell r="F162" t="str">
            <v>Acero de refuerzo Grado 37</v>
          </cell>
          <cell r="G162" t="str">
            <v>Kg</v>
          </cell>
          <cell r="H162" t="str">
            <v>Kg</v>
          </cell>
        </row>
        <row r="163">
          <cell r="C163">
            <v>640.20000000000005</v>
          </cell>
          <cell r="D163">
            <v>640</v>
          </cell>
          <cell r="F163" t="str">
            <v>Acero de refuerzo Grado 40</v>
          </cell>
          <cell r="G163" t="str">
            <v>Kg</v>
          </cell>
          <cell r="H163" t="str">
            <v>Kg</v>
          </cell>
        </row>
        <row r="164">
          <cell r="C164">
            <v>640.29999999999995</v>
          </cell>
          <cell r="D164">
            <v>640</v>
          </cell>
          <cell r="F164" t="str">
            <v>Acero de refuerzo Grado 60</v>
          </cell>
          <cell r="G164" t="str">
            <v>Kg</v>
          </cell>
          <cell r="H164">
            <v>2737</v>
          </cell>
        </row>
        <row r="165">
          <cell r="C165">
            <v>641</v>
          </cell>
          <cell r="D165">
            <v>641</v>
          </cell>
          <cell r="F165" t="str">
            <v>Acero de preesfuerzo</v>
          </cell>
          <cell r="G165" t="str">
            <v>t-m</v>
          </cell>
          <cell r="H165" t="str">
            <v>t-m</v>
          </cell>
        </row>
        <row r="166">
          <cell r="C166">
            <v>642.1</v>
          </cell>
          <cell r="D166">
            <v>642</v>
          </cell>
          <cell r="F166" t="str">
            <v>Apoyo elastomérico</v>
          </cell>
          <cell r="G166" t="str">
            <v>Un</v>
          </cell>
          <cell r="H166" t="str">
            <v>Un</v>
          </cell>
        </row>
        <row r="167">
          <cell r="C167">
            <v>642.20000000000005</v>
          </cell>
          <cell r="D167">
            <v>642</v>
          </cell>
          <cell r="F167" t="str">
            <v>Sello para juntas de puentes</v>
          </cell>
          <cell r="G167" t="str">
            <v>ml</v>
          </cell>
          <cell r="H167">
            <v>8342</v>
          </cell>
        </row>
        <row r="168">
          <cell r="C168">
            <v>643</v>
          </cell>
          <cell r="E168" t="str">
            <v>643P</v>
          </cell>
          <cell r="F168" t="str">
            <v>Suministro e instalación de juntas de dilatación</v>
          </cell>
          <cell r="G168" t="str">
            <v>ml</v>
          </cell>
          <cell r="H168" t="str">
            <v>ml</v>
          </cell>
        </row>
        <row r="169">
          <cell r="C169">
            <v>644</v>
          </cell>
          <cell r="E169" t="str">
            <v>644P</v>
          </cell>
          <cell r="F169" t="str">
            <v>Suministro e instalación de sellos para juntas de puentes</v>
          </cell>
          <cell r="G169" t="str">
            <v>ml</v>
          </cell>
          <cell r="H169">
            <v>8342</v>
          </cell>
        </row>
        <row r="170">
          <cell r="C170">
            <v>650.1</v>
          </cell>
          <cell r="D170">
            <v>650</v>
          </cell>
          <cell r="F170" t="str">
            <v>Diseño y fabricación de estructura metálica</v>
          </cell>
          <cell r="G170" t="str">
            <v>Kg</v>
          </cell>
          <cell r="H170" t="str">
            <v>Kg</v>
          </cell>
        </row>
        <row r="171">
          <cell r="C171">
            <v>650.20000000000005</v>
          </cell>
          <cell r="D171">
            <v>650</v>
          </cell>
          <cell r="F171" t="str">
            <v>Fabricación de la estructura metálica</v>
          </cell>
          <cell r="G171" t="str">
            <v>Kg</v>
          </cell>
          <cell r="H171" t="str">
            <v>Kg</v>
          </cell>
        </row>
        <row r="172">
          <cell r="C172">
            <v>650.29999999999995</v>
          </cell>
          <cell r="D172">
            <v>650</v>
          </cell>
          <cell r="F172" t="str">
            <v>Transporte de estructura metálica</v>
          </cell>
          <cell r="G172" t="str">
            <v>Kg</v>
          </cell>
          <cell r="H172" t="str">
            <v>Kg</v>
          </cell>
        </row>
        <row r="173">
          <cell r="C173">
            <v>650.4</v>
          </cell>
          <cell r="D173">
            <v>650</v>
          </cell>
          <cell r="F173" t="str">
            <v>Montaje y pintura de estructura metálica</v>
          </cell>
          <cell r="G173" t="str">
            <v>Kg</v>
          </cell>
          <cell r="H173" t="str">
            <v>Kg</v>
          </cell>
        </row>
        <row r="174">
          <cell r="C174">
            <v>660.1</v>
          </cell>
          <cell r="D174">
            <v>660</v>
          </cell>
          <cell r="F174" t="str">
            <v>Tubería de concreto simple de diámetro 450 mm</v>
          </cell>
          <cell r="G174" t="str">
            <v>ml</v>
          </cell>
          <cell r="H174" t="str">
            <v>ml</v>
          </cell>
        </row>
        <row r="175">
          <cell r="C175">
            <v>660.2</v>
          </cell>
          <cell r="D175">
            <v>660</v>
          </cell>
          <cell r="F175" t="str">
            <v>Tubería de concreto simple de diámetro 600 mm</v>
          </cell>
          <cell r="G175" t="str">
            <v>ml</v>
          </cell>
          <cell r="H175">
            <v>132715</v>
          </cell>
        </row>
        <row r="176">
          <cell r="C176">
            <v>660.3</v>
          </cell>
          <cell r="D176">
            <v>660</v>
          </cell>
          <cell r="F176" t="str">
            <v>Tubería de concreto simple de diámetro 750 mm</v>
          </cell>
          <cell r="G176" t="str">
            <v>ml</v>
          </cell>
          <cell r="H176" t="str">
            <v>ml</v>
          </cell>
        </row>
        <row r="177">
          <cell r="C177">
            <v>661</v>
          </cell>
          <cell r="D177">
            <v>661</v>
          </cell>
          <cell r="F177" t="str">
            <v>Tubería de concreto reforzado de 900 mm diámetro interior</v>
          </cell>
          <cell r="G177" t="str">
            <v>ml</v>
          </cell>
          <cell r="H177">
            <v>226838</v>
          </cell>
        </row>
        <row r="178">
          <cell r="C178">
            <v>662.1</v>
          </cell>
          <cell r="D178">
            <v>662</v>
          </cell>
          <cell r="F178" t="str">
            <v>Tubería corrugada de acero galvanizado de lámina calibre __ y diámetro __ mm</v>
          </cell>
          <cell r="G178" t="str">
            <v>ml</v>
          </cell>
          <cell r="H178" t="str">
            <v>ml</v>
          </cell>
        </row>
        <row r="179">
          <cell r="C179">
            <v>662.2</v>
          </cell>
          <cell r="D179">
            <v>662</v>
          </cell>
          <cell r="F179" t="str">
            <v>Tubería corrugada de acero con recubrimiento bituminoso de lámina calibre __ y diámetro __ mm</v>
          </cell>
          <cell r="G179" t="str">
            <v>ml</v>
          </cell>
          <cell r="H179" t="str">
            <v>ml</v>
          </cell>
        </row>
        <row r="180">
          <cell r="C180">
            <v>669.1</v>
          </cell>
          <cell r="E180" t="str">
            <v>669P</v>
          </cell>
          <cell r="F180" t="str">
            <v>Andenes de sección 2m de ancho x 0.12 m de espesor</v>
          </cell>
          <cell r="G180" t="str">
            <v>m2</v>
          </cell>
          <cell r="H180" t="str">
            <v>m2</v>
          </cell>
        </row>
        <row r="181">
          <cell r="C181">
            <v>670.1</v>
          </cell>
          <cell r="D181">
            <v>670</v>
          </cell>
          <cell r="F181" t="str">
            <v>Disipadores de energía y sedimentadores en gaviones</v>
          </cell>
          <cell r="G181" t="str">
            <v>m3</v>
          </cell>
          <cell r="H181" t="str">
            <v>m3</v>
          </cell>
        </row>
        <row r="182">
          <cell r="C182">
            <v>670.2</v>
          </cell>
          <cell r="D182">
            <v>670</v>
          </cell>
          <cell r="F182" t="str">
            <v>Disipadores de energía y sedimentadores en concreto ciclópeo</v>
          </cell>
          <cell r="G182" t="str">
            <v>m3</v>
          </cell>
          <cell r="H182" t="str">
            <v>m3</v>
          </cell>
        </row>
        <row r="183">
          <cell r="C183">
            <v>670.3</v>
          </cell>
          <cell r="D183">
            <v>670</v>
          </cell>
          <cell r="F183" t="str">
            <v>Disipadores de energía empotrado en muro</v>
          </cell>
          <cell r="G183" t="str">
            <v>Ml</v>
          </cell>
          <cell r="H183">
            <v>119719</v>
          </cell>
        </row>
        <row r="184">
          <cell r="C184">
            <v>671</v>
          </cell>
          <cell r="D184">
            <v>671</v>
          </cell>
          <cell r="F184" t="str">
            <v>Cunetas revestidas en concreto</v>
          </cell>
          <cell r="G184" t="str">
            <v>m3</v>
          </cell>
          <cell r="H184">
            <v>269566</v>
          </cell>
        </row>
        <row r="185">
          <cell r="C185" t="str">
            <v>671P.1</v>
          </cell>
          <cell r="D185">
            <v>671</v>
          </cell>
          <cell r="E185" t="str">
            <v>671P.1</v>
          </cell>
          <cell r="F185" t="str">
            <v>Cunetas revestidas en concreto</v>
          </cell>
          <cell r="G185" t="str">
            <v>m3</v>
          </cell>
          <cell r="H185">
            <v>343826</v>
          </cell>
        </row>
        <row r="186">
          <cell r="C186">
            <v>672</v>
          </cell>
          <cell r="D186">
            <v>672</v>
          </cell>
          <cell r="F186" t="str">
            <v>Bordillo</v>
          </cell>
          <cell r="G186" t="str">
            <v>ml</v>
          </cell>
          <cell r="H186" t="str">
            <v>ml</v>
          </cell>
        </row>
        <row r="187">
          <cell r="C187">
            <v>673</v>
          </cell>
          <cell r="D187">
            <v>673</v>
          </cell>
          <cell r="F187" t="str">
            <v>Material filtrante</v>
          </cell>
          <cell r="G187" t="str">
            <v>m3</v>
          </cell>
          <cell r="H187">
            <v>56507</v>
          </cell>
        </row>
        <row r="188">
          <cell r="C188">
            <v>673.1</v>
          </cell>
          <cell r="D188">
            <v>673</v>
          </cell>
          <cell r="E188" t="str">
            <v>673P</v>
          </cell>
          <cell r="F188" t="str">
            <v>Dren horizontal 0-10 m</v>
          </cell>
          <cell r="G188" t="str">
            <v>ml</v>
          </cell>
          <cell r="H188" t="str">
            <v>ml</v>
          </cell>
        </row>
        <row r="189">
          <cell r="C189">
            <v>673.2</v>
          </cell>
          <cell r="D189">
            <v>673</v>
          </cell>
          <cell r="E189" t="str">
            <v>673P</v>
          </cell>
          <cell r="F189" t="str">
            <v>Dren horizontal 0-30 m</v>
          </cell>
          <cell r="G189" t="str">
            <v>ml</v>
          </cell>
          <cell r="H189" t="str">
            <v>ml</v>
          </cell>
        </row>
        <row r="190">
          <cell r="C190">
            <v>673.3</v>
          </cell>
          <cell r="D190">
            <v>673</v>
          </cell>
          <cell r="E190" t="str">
            <v>673P-1</v>
          </cell>
          <cell r="F190" t="str">
            <v>Filtros geocompuestos Tipo Geodren o Pack drain</v>
          </cell>
          <cell r="G190" t="str">
            <v>ml</v>
          </cell>
          <cell r="H190" t="str">
            <v>ml</v>
          </cell>
        </row>
        <row r="191">
          <cell r="C191">
            <v>674.1</v>
          </cell>
          <cell r="E191" t="str">
            <v>674P</v>
          </cell>
          <cell r="F191" t="str">
            <v>Nivelación y reconstrucción de pozos de inspección</v>
          </cell>
          <cell r="G191" t="str">
            <v>Un</v>
          </cell>
          <cell r="H191" t="str">
            <v>Un</v>
          </cell>
        </row>
        <row r="192">
          <cell r="C192">
            <v>674.2</v>
          </cell>
          <cell r="E192" t="str">
            <v>674P</v>
          </cell>
          <cell r="F192" t="str">
            <v>Nivelación y reconstrucción de sumideros</v>
          </cell>
          <cell r="G192" t="str">
            <v>Un</v>
          </cell>
          <cell r="H192" t="str">
            <v>Un</v>
          </cell>
        </row>
        <row r="193">
          <cell r="C193">
            <v>674.3</v>
          </cell>
          <cell r="E193" t="str">
            <v>674P</v>
          </cell>
          <cell r="F193" t="str">
            <v>Nivelación y reconstrucción de cajas de válvulas de la E.A.A.B</v>
          </cell>
          <cell r="G193" t="str">
            <v>Un</v>
          </cell>
          <cell r="H193" t="str">
            <v>Un</v>
          </cell>
        </row>
        <row r="194">
          <cell r="C194">
            <v>674.4</v>
          </cell>
          <cell r="E194" t="str">
            <v>674P</v>
          </cell>
          <cell r="F194" t="str">
            <v>Nivelación y reconstrucción de cajas de energía de CODENSA</v>
          </cell>
          <cell r="G194" t="str">
            <v>Un</v>
          </cell>
          <cell r="H194" t="str">
            <v>Un</v>
          </cell>
        </row>
        <row r="195">
          <cell r="C195">
            <v>674.5</v>
          </cell>
          <cell r="E195" t="str">
            <v>674P</v>
          </cell>
          <cell r="F195" t="str">
            <v>Nivelación y reconstrucción de cajas de la ETB</v>
          </cell>
          <cell r="G195" t="str">
            <v>Un</v>
          </cell>
          <cell r="H195" t="str">
            <v>Un</v>
          </cell>
        </row>
        <row r="196">
          <cell r="C196">
            <v>675</v>
          </cell>
          <cell r="E196" t="str">
            <v>675P</v>
          </cell>
          <cell r="F196" t="str">
            <v>Caja de inspección para alumbrado público</v>
          </cell>
          <cell r="G196" t="str">
            <v>Un</v>
          </cell>
          <cell r="H196" t="str">
            <v>Un</v>
          </cell>
        </row>
        <row r="197">
          <cell r="C197">
            <v>678.1</v>
          </cell>
          <cell r="E197" t="str">
            <v>678P</v>
          </cell>
          <cell r="F197" t="str">
            <v>Suministro y colocación de ductos de PVC o similar</v>
          </cell>
          <cell r="G197" t="str">
            <v>ml</v>
          </cell>
          <cell r="H197">
            <v>24007</v>
          </cell>
        </row>
        <row r="198">
          <cell r="C198" t="str">
            <v>678P.1</v>
          </cell>
          <cell r="E198" t="str">
            <v>678P</v>
          </cell>
          <cell r="F198" t="str">
            <v>Suministro e instalación de drenes de PVC de 4" diam.</v>
          </cell>
          <cell r="G198" t="str">
            <v>Un</v>
          </cell>
          <cell r="H198">
            <v>32398</v>
          </cell>
        </row>
        <row r="199">
          <cell r="C199">
            <v>680.1</v>
          </cell>
          <cell r="D199">
            <v>680</v>
          </cell>
          <cell r="F199" t="str">
            <v>Escamas en concreto</v>
          </cell>
          <cell r="G199" t="str">
            <v>m2</v>
          </cell>
          <cell r="H199" t="str">
            <v>m2</v>
          </cell>
        </row>
        <row r="200">
          <cell r="C200">
            <v>680.2</v>
          </cell>
          <cell r="D200">
            <v>680</v>
          </cell>
          <cell r="F200" t="str">
            <v>Armadura galvanizada</v>
          </cell>
          <cell r="G200" t="str">
            <v>ml</v>
          </cell>
          <cell r="H200" t="str">
            <v>ml</v>
          </cell>
        </row>
        <row r="201">
          <cell r="C201">
            <v>680.3</v>
          </cell>
          <cell r="D201">
            <v>680</v>
          </cell>
          <cell r="F201" t="str">
            <v>Relleno granular para tierra armada</v>
          </cell>
          <cell r="G201" t="str">
            <v>m3</v>
          </cell>
          <cell r="H201" t="str">
            <v>m3</v>
          </cell>
        </row>
        <row r="202">
          <cell r="C202">
            <v>681.1</v>
          </cell>
          <cell r="D202">
            <v>681</v>
          </cell>
          <cell r="F202" t="str">
            <v>Gaviones</v>
          </cell>
          <cell r="G202" t="str">
            <v>m3</v>
          </cell>
          <cell r="H202">
            <v>83069</v>
          </cell>
        </row>
        <row r="203">
          <cell r="C203" t="str">
            <v>681.1</v>
          </cell>
          <cell r="D203">
            <v>681</v>
          </cell>
          <cell r="F203" t="str">
            <v>Gaviones incluye transporte especial.</v>
          </cell>
          <cell r="G203" t="str">
            <v>m3</v>
          </cell>
          <cell r="H203">
            <v>93816</v>
          </cell>
        </row>
        <row r="204">
          <cell r="C204">
            <v>682</v>
          </cell>
          <cell r="D204">
            <v>682</v>
          </cell>
          <cell r="F204" t="str">
            <v>Muro de contención de suelo reforzado con Geotextil</v>
          </cell>
          <cell r="G204" t="str">
            <v>m3</v>
          </cell>
          <cell r="H204" t="str">
            <v>m3</v>
          </cell>
          <cell r="J204" t="str">
            <v>No incluye Geotextil ni recubrimiento del muro</v>
          </cell>
        </row>
        <row r="205">
          <cell r="C205">
            <v>683</v>
          </cell>
          <cell r="E205" t="str">
            <v>683P</v>
          </cell>
          <cell r="F205" t="str">
            <v>Bolsacretos en concreto Clase F</v>
          </cell>
          <cell r="G205" t="str">
            <v>m3</v>
          </cell>
          <cell r="H205" t="str">
            <v>m3</v>
          </cell>
        </row>
        <row r="206">
          <cell r="C206">
            <v>683.1</v>
          </cell>
          <cell r="E206" t="str">
            <v>683P-1</v>
          </cell>
          <cell r="F206" t="str">
            <v>Bolsacretos en concreto Clase D</v>
          </cell>
          <cell r="G206" t="str">
            <v>Un</v>
          </cell>
        </row>
        <row r="207">
          <cell r="C207">
            <v>700.1</v>
          </cell>
          <cell r="E207" t="str">
            <v>700P.1</v>
          </cell>
          <cell r="F207" t="str">
            <v>Línea de demarcación acrilica</v>
          </cell>
          <cell r="G207" t="str">
            <v>ml</v>
          </cell>
          <cell r="H207">
            <v>720</v>
          </cell>
        </row>
        <row r="208">
          <cell r="C208">
            <v>700.1</v>
          </cell>
          <cell r="D208">
            <v>700</v>
          </cell>
          <cell r="E208" t="str">
            <v>700P.2</v>
          </cell>
          <cell r="F208" t="str">
            <v>Línea de demarcación termoplastica</v>
          </cell>
          <cell r="G208" t="str">
            <v>ml</v>
          </cell>
          <cell r="H208">
            <v>4060</v>
          </cell>
        </row>
        <row r="209">
          <cell r="C209">
            <v>700.2</v>
          </cell>
          <cell r="D209">
            <v>700</v>
          </cell>
          <cell r="E209" t="str">
            <v>700P.3</v>
          </cell>
          <cell r="F209" t="str">
            <v>Marca vial termoplastica</v>
          </cell>
          <cell r="G209" t="str">
            <v>m2</v>
          </cell>
          <cell r="H209">
            <v>40600</v>
          </cell>
        </row>
        <row r="210">
          <cell r="C210">
            <v>700.2</v>
          </cell>
          <cell r="E210" t="str">
            <v>700P.4</v>
          </cell>
          <cell r="F210" t="str">
            <v>Marca vial acrilica</v>
          </cell>
          <cell r="G210" t="str">
            <v>m2</v>
          </cell>
          <cell r="H210">
            <v>14800</v>
          </cell>
        </row>
        <row r="211">
          <cell r="C211">
            <v>700.3</v>
          </cell>
          <cell r="D211">
            <v>700</v>
          </cell>
          <cell r="E211" t="str">
            <v>700P</v>
          </cell>
          <cell r="F211" t="str">
            <v>Línea de demarcación sobre concreto rígido</v>
          </cell>
          <cell r="G211" t="str">
            <v>ml</v>
          </cell>
          <cell r="H211" t="str">
            <v>ml</v>
          </cell>
        </row>
        <row r="212">
          <cell r="C212">
            <v>701</v>
          </cell>
          <cell r="D212">
            <v>701</v>
          </cell>
          <cell r="F212" t="str">
            <v>Tacha reflectiva</v>
          </cell>
          <cell r="G212" t="str">
            <v>Un</v>
          </cell>
          <cell r="H212">
            <v>6982</v>
          </cell>
        </row>
        <row r="213">
          <cell r="C213">
            <v>710.1</v>
          </cell>
          <cell r="D213">
            <v>710</v>
          </cell>
          <cell r="F213" t="str">
            <v>Señal de tránsito grupo I</v>
          </cell>
          <cell r="G213" t="str">
            <v>Un</v>
          </cell>
          <cell r="H213">
            <v>167063</v>
          </cell>
        </row>
        <row r="214">
          <cell r="C214">
            <v>710.2</v>
          </cell>
          <cell r="D214">
            <v>710</v>
          </cell>
          <cell r="F214" t="str">
            <v>Señal de tránsito grupo II</v>
          </cell>
          <cell r="G214" t="str">
            <v>Un</v>
          </cell>
          <cell r="H214">
            <v>334126</v>
          </cell>
        </row>
        <row r="215">
          <cell r="C215">
            <v>710.3</v>
          </cell>
          <cell r="D215">
            <v>710</v>
          </cell>
          <cell r="F215" t="str">
            <v>Señal de tránsito grupo III</v>
          </cell>
          <cell r="G215" t="str">
            <v>Un</v>
          </cell>
          <cell r="H215" t="str">
            <v>Un</v>
          </cell>
        </row>
        <row r="216">
          <cell r="C216">
            <v>710.4</v>
          </cell>
          <cell r="D216">
            <v>710</v>
          </cell>
          <cell r="F216" t="str">
            <v>Señal de tránsito grupo IV</v>
          </cell>
          <cell r="G216" t="str">
            <v>Un</v>
          </cell>
          <cell r="H216" t="str">
            <v>Un</v>
          </cell>
        </row>
        <row r="217">
          <cell r="C217">
            <v>710.5</v>
          </cell>
          <cell r="D217">
            <v>710</v>
          </cell>
          <cell r="F217" t="str">
            <v>Señal de tránsito grupo V</v>
          </cell>
          <cell r="G217" t="str">
            <v>m2</v>
          </cell>
          <cell r="H217" t="str">
            <v>m2</v>
          </cell>
        </row>
        <row r="218">
          <cell r="C218">
            <v>710.6</v>
          </cell>
          <cell r="D218">
            <v>710</v>
          </cell>
          <cell r="E218" t="str">
            <v>710P</v>
          </cell>
          <cell r="F218" t="str">
            <v>Suministro e instalación de pasavías</v>
          </cell>
          <cell r="G218" t="str">
            <v>Un</v>
          </cell>
          <cell r="H218">
            <v>6000000</v>
          </cell>
        </row>
        <row r="219">
          <cell r="C219">
            <v>720</v>
          </cell>
          <cell r="D219">
            <v>720</v>
          </cell>
          <cell r="F219" t="str">
            <v>Poste de kilometraje</v>
          </cell>
          <cell r="G219" t="str">
            <v>Un</v>
          </cell>
          <cell r="H219">
            <v>161271</v>
          </cell>
        </row>
        <row r="220">
          <cell r="C220" t="str">
            <v>720P.1</v>
          </cell>
          <cell r="F220" t="str">
            <v>Mantenimiento postes de kilometraje</v>
          </cell>
          <cell r="G220" t="str">
            <v>Un</v>
          </cell>
          <cell r="H220">
            <v>26987</v>
          </cell>
        </row>
        <row r="221">
          <cell r="C221">
            <v>730.1</v>
          </cell>
          <cell r="D221">
            <v>730</v>
          </cell>
          <cell r="F221" t="str">
            <v>Defensa metálica</v>
          </cell>
          <cell r="G221" t="str">
            <v>ml</v>
          </cell>
          <cell r="H221">
            <v>67574</v>
          </cell>
        </row>
        <row r="222">
          <cell r="C222">
            <v>730.2</v>
          </cell>
          <cell r="D222">
            <v>730</v>
          </cell>
          <cell r="F222" t="str">
            <v>Sección final</v>
          </cell>
          <cell r="G222" t="str">
            <v>Un</v>
          </cell>
          <cell r="H222">
            <v>35959</v>
          </cell>
        </row>
        <row r="223">
          <cell r="C223">
            <v>730.3</v>
          </cell>
          <cell r="D223">
            <v>730</v>
          </cell>
          <cell r="F223" t="str">
            <v>Sección de tope</v>
          </cell>
          <cell r="G223" t="str">
            <v>Un</v>
          </cell>
          <cell r="H223" t="str">
            <v>Un</v>
          </cell>
        </row>
        <row r="224">
          <cell r="C224">
            <v>731</v>
          </cell>
          <cell r="E224" t="str">
            <v>731P</v>
          </cell>
          <cell r="F224" t="str">
            <v>Amortiguadores para defensa metálica</v>
          </cell>
          <cell r="G224" t="str">
            <v>Un</v>
          </cell>
          <cell r="H224">
            <v>3768</v>
          </cell>
        </row>
        <row r="225">
          <cell r="C225">
            <v>740</v>
          </cell>
          <cell r="D225">
            <v>740</v>
          </cell>
          <cell r="F225" t="str">
            <v>Captafaros</v>
          </cell>
          <cell r="G225" t="str">
            <v>Un</v>
          </cell>
          <cell r="H225">
            <v>6728</v>
          </cell>
        </row>
        <row r="226">
          <cell r="C226">
            <v>741</v>
          </cell>
          <cell r="E226" t="str">
            <v>741P</v>
          </cell>
          <cell r="F226" t="str">
            <v>Pintura de muros</v>
          </cell>
          <cell r="G226" t="str">
            <v>m2</v>
          </cell>
          <cell r="H226">
            <v>11341</v>
          </cell>
        </row>
        <row r="227">
          <cell r="C227">
            <v>741.1</v>
          </cell>
          <cell r="E227" t="str">
            <v>741P-1</v>
          </cell>
          <cell r="F227" t="str">
            <v>Pintura de muros</v>
          </cell>
          <cell r="G227" t="str">
            <v>m2</v>
          </cell>
          <cell r="H227" t="str">
            <v>m2</v>
          </cell>
        </row>
        <row r="228">
          <cell r="C228">
            <v>750</v>
          </cell>
          <cell r="E228" t="str">
            <v>750P</v>
          </cell>
          <cell r="F228" t="str">
            <v>Bandas sonoras reductoras de velocidad</v>
          </cell>
          <cell r="G228" t="str">
            <v>m2</v>
          </cell>
          <cell r="H228">
            <v>69121</v>
          </cell>
        </row>
        <row r="229">
          <cell r="C229">
            <v>800.1</v>
          </cell>
          <cell r="D229">
            <v>800</v>
          </cell>
          <cell r="F229" t="str">
            <v>Cerca de alambre de púas con postes de madera</v>
          </cell>
          <cell r="G229" t="str">
            <v>ml</v>
          </cell>
          <cell r="H229" t="str">
            <v>ml</v>
          </cell>
        </row>
        <row r="230">
          <cell r="C230">
            <v>800.2</v>
          </cell>
          <cell r="D230">
            <v>800</v>
          </cell>
          <cell r="F230" t="str">
            <v>Cerca de alambre de púas con postes de concreto</v>
          </cell>
          <cell r="G230" t="str">
            <v>ml</v>
          </cell>
          <cell r="H230" t="str">
            <v>ml</v>
          </cell>
        </row>
        <row r="231">
          <cell r="C231">
            <v>800.3</v>
          </cell>
          <cell r="D231">
            <v>800</v>
          </cell>
          <cell r="F231" t="str">
            <v>Cerca de malla con postes de madera</v>
          </cell>
          <cell r="G231" t="str">
            <v>ml</v>
          </cell>
          <cell r="H231" t="str">
            <v>ml</v>
          </cell>
        </row>
        <row r="232">
          <cell r="C232">
            <v>800.4</v>
          </cell>
          <cell r="D232">
            <v>800</v>
          </cell>
          <cell r="F232" t="str">
            <v>Cerca de malla con postes de concreto</v>
          </cell>
          <cell r="G232" t="str">
            <v>ml</v>
          </cell>
          <cell r="H232" t="str">
            <v>ml</v>
          </cell>
        </row>
        <row r="233">
          <cell r="C233">
            <v>810.1</v>
          </cell>
          <cell r="D233">
            <v>810</v>
          </cell>
          <cell r="F233" t="str">
            <v>Empradización de taludes con bloques de césped</v>
          </cell>
          <cell r="G233" t="str">
            <v>m2</v>
          </cell>
          <cell r="H233">
            <v>3561</v>
          </cell>
          <cell r="J233" t="str">
            <v>No incluye transporte de materiales</v>
          </cell>
        </row>
        <row r="234">
          <cell r="C234">
            <v>810.2</v>
          </cell>
          <cell r="D234">
            <v>810</v>
          </cell>
          <cell r="F234" t="str">
            <v>Empradización de taludes con tierra orgánica y semillas</v>
          </cell>
          <cell r="G234" t="str">
            <v>m2</v>
          </cell>
          <cell r="H234">
            <v>6600</v>
          </cell>
          <cell r="J234" t="str">
            <v>No incluye transporte de materiales</v>
          </cell>
        </row>
        <row r="235">
          <cell r="C235">
            <v>810.3</v>
          </cell>
          <cell r="D235">
            <v>810</v>
          </cell>
          <cell r="E235" t="str">
            <v>810P</v>
          </cell>
          <cell r="F235" t="str">
            <v>Empradización de taludes con bloques de césped</v>
          </cell>
          <cell r="G235" t="str">
            <v>m2</v>
          </cell>
          <cell r="H235" t="str">
            <v>m2</v>
          </cell>
          <cell r="J235" t="str">
            <v>Incluye transporte de materiales</v>
          </cell>
        </row>
        <row r="236">
          <cell r="C236">
            <v>810.4</v>
          </cell>
          <cell r="D236">
            <v>810</v>
          </cell>
          <cell r="E236" t="str">
            <v>810P</v>
          </cell>
          <cell r="F236" t="str">
            <v>Empradización de taludes con tierra orgánica y semillas</v>
          </cell>
          <cell r="G236" t="str">
            <v>m2</v>
          </cell>
          <cell r="H236" t="str">
            <v>m2</v>
          </cell>
          <cell r="J236" t="str">
            <v>Incluye transporte de materiales</v>
          </cell>
        </row>
        <row r="237">
          <cell r="C237">
            <v>810.5</v>
          </cell>
          <cell r="D237">
            <v>810</v>
          </cell>
          <cell r="F237" t="str">
            <v>Revegetalizacion de taludes con vetivert</v>
          </cell>
          <cell r="G237" t="str">
            <v>m2</v>
          </cell>
          <cell r="H237">
            <v>5600</v>
          </cell>
        </row>
        <row r="238">
          <cell r="C238">
            <v>820.1</v>
          </cell>
          <cell r="D238">
            <v>820</v>
          </cell>
          <cell r="F238" t="str">
            <v>Geotextil</v>
          </cell>
          <cell r="G238" t="str">
            <v>m2</v>
          </cell>
          <cell r="H238">
            <v>3590</v>
          </cell>
        </row>
        <row r="239">
          <cell r="C239">
            <v>820.2</v>
          </cell>
          <cell r="D239">
            <v>820</v>
          </cell>
          <cell r="F239" t="str">
            <v>Geotextil para refuerzo del pavimento</v>
          </cell>
          <cell r="G239" t="str">
            <v>m2</v>
          </cell>
          <cell r="H239" t="str">
            <v>m2</v>
          </cell>
        </row>
        <row r="240">
          <cell r="C240">
            <v>830</v>
          </cell>
          <cell r="E240" t="str">
            <v>830P</v>
          </cell>
          <cell r="F240" t="str">
            <v>Limpieza de bermas, incluye cargue y retiro del material sobrante</v>
          </cell>
          <cell r="G240" t="str">
            <v>m2</v>
          </cell>
          <cell r="H240" t="str">
            <v>m2</v>
          </cell>
        </row>
        <row r="241">
          <cell r="C241" t="str">
            <v>830P.1</v>
          </cell>
          <cell r="D241">
            <v>830</v>
          </cell>
          <cell r="E241" t="str">
            <v>830P.1</v>
          </cell>
          <cell r="F241" t="str">
            <v>Limpieza de cajon, incluye cargue y retiro del material.</v>
          </cell>
          <cell r="G241" t="str">
            <v>m3</v>
          </cell>
          <cell r="H241">
            <v>12831</v>
          </cell>
        </row>
        <row r="242">
          <cell r="C242">
            <v>900.1</v>
          </cell>
          <cell r="D242">
            <v>900</v>
          </cell>
          <cell r="F242" t="str">
            <v>Transporte de materiales provenientes de excavación de la explanación, canales y préstamos, entre 100m y 1000m</v>
          </cell>
          <cell r="G242" t="str">
            <v>m³-E</v>
          </cell>
          <cell r="H242" t="str">
            <v>m³-E</v>
          </cell>
        </row>
        <row r="243">
          <cell r="C243">
            <v>900.2</v>
          </cell>
          <cell r="D243">
            <v>900</v>
          </cell>
          <cell r="F243" t="str">
            <v>Transporte de materiales provenientes de la excavación de la explanación, canales y préstamos para distancias mayores de 1000m</v>
          </cell>
          <cell r="G243" t="str">
            <v>m³-km</v>
          </cell>
          <cell r="H243" t="str">
            <v>m³-km</v>
          </cell>
        </row>
        <row r="244">
          <cell r="C244">
            <v>900.3</v>
          </cell>
          <cell r="D244">
            <v>900</v>
          </cell>
          <cell r="F244" t="str">
            <v>Transporte de materiales provenientes de derrumbes</v>
          </cell>
          <cell r="G244" t="str">
            <v>m³-km</v>
          </cell>
          <cell r="H244" t="str">
            <v>m³-km</v>
          </cell>
        </row>
        <row r="245">
          <cell r="C245">
            <v>1000.1</v>
          </cell>
          <cell r="E245" t="str">
            <v>1000P</v>
          </cell>
          <cell r="F245" t="str">
            <v>Retroexcavadora sobre orugas de capacidad mínima 1.5 yardas cúbicas</v>
          </cell>
          <cell r="G245" t="str">
            <v>H-maq</v>
          </cell>
          <cell r="H245" t="str">
            <v>H-maq</v>
          </cell>
        </row>
        <row r="246">
          <cell r="C246">
            <v>1000.2</v>
          </cell>
          <cell r="E246" t="str">
            <v>1000P.2</v>
          </cell>
          <cell r="F246" t="str">
            <v>Desmonte programado de rocas y material de derrumbe</v>
          </cell>
          <cell r="G246" t="str">
            <v>m3</v>
          </cell>
          <cell r="H246">
            <v>17488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 val="Res-Accide-10"/>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sidades"/>
      <sheetName val="INDICE"/>
      <sheetName val="Materiales"/>
      <sheetName val="Equipo"/>
      <sheetName val="Otros"/>
      <sheetName val="200.2"/>
      <sheetName val="211.1"/>
      <sheetName val="310.1"/>
      <sheetName val="311.2P"/>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500.1"/>
      <sheetName val="501.1"/>
      <sheetName val="510.1"/>
      <sheetName val="600.1"/>
      <sheetName val="600.2"/>
      <sheetName val="600.3"/>
      <sheetName val="600.4"/>
      <sheetName val="600.5"/>
      <sheetName val="610.1"/>
      <sheetName val="610.2"/>
      <sheetName val="620.1"/>
      <sheetName val="620.2"/>
      <sheetName val="620.3"/>
      <sheetName val="621.1"/>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4"/>
      <sheetName val="630.5"/>
      <sheetName val="630.6"/>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
      <sheetName val="673.1 "/>
      <sheetName val="673.2 "/>
      <sheetName val="673.3"/>
      <sheetName val="674.1"/>
      <sheetName val="674.2"/>
      <sheetName val="680.1 "/>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AIU"/>
      <sheetName val="PRESTA"/>
      <sheetName val="PTAP"/>
      <sheetName val="APU PTAP"/>
      <sheetName val="TANQUE"/>
      <sheetName val="APU TANQUE"/>
      <sheetName val="RESUMEN OBRAS"/>
      <sheetName val="BASE"/>
      <sheetName val="BASE 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2">
          <cell r="D62">
            <v>1300</v>
          </cell>
        </row>
      </sheetData>
      <sheetData sheetId="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a"/>
      <sheetName val="INSUMOS"/>
      <sheetName val="CostosAdmin"/>
      <sheetName val="F.Prestacional J"/>
      <sheetName val="F.Prestacional"/>
      <sheetName val="INSUM CLASIF"/>
      <sheetName val="CRONOGRAMA"/>
      <sheetName val="CRONOGRAMA CAP"/>
      <sheetName val="RENDIMIENTOS"/>
      <sheetName val="FORMATOS"/>
      <sheetName val="Datos1"/>
      <sheetName val="PROGRAMACIÓN"/>
      <sheetName val="MATERIALES"/>
      <sheetName val="MATRIZ DE PRECIOS"/>
      <sheetName val="PRESUPUESTO OK"/>
      <sheetName val="CONCRETO 3500PASI"/>
      <sheetName val="CONCRETO 3000PSI"/>
      <sheetName val="MORTERO 1-3"/>
      <sheetName val="1.1"/>
      <sheetName val="1.2"/>
      <sheetName val="1.3"/>
      <sheetName val="2.1"/>
      <sheetName val="2.2"/>
      <sheetName val="2.3"/>
      <sheetName val="2.4"/>
      <sheetName val="2.5"/>
      <sheetName val="2.6"/>
      <sheetName val="2.7"/>
      <sheetName val="2.8"/>
      <sheetName val="3.1"/>
      <sheetName val="3.2"/>
      <sheetName val="3.3"/>
      <sheetName val="3.4"/>
      <sheetName val="3.5"/>
      <sheetName val="3.6"/>
      <sheetName val="3.7"/>
      <sheetName val="4.1"/>
      <sheetName val="4.2"/>
      <sheetName val="4,2"/>
      <sheetName val="4,3"/>
      <sheetName val="4,4"/>
      <sheetName val="4,5"/>
      <sheetName val="4,6"/>
      <sheetName val="4,8"/>
      <sheetName val="4.10"/>
      <sheetName val="4,10"/>
      <sheetName val="4,11"/>
      <sheetName val="5,1"/>
      <sheetName val="5,2"/>
      <sheetName val="5,4"/>
      <sheetName val="5,6"/>
      <sheetName val="5,7"/>
      <sheetName val="5,8"/>
      <sheetName val="5,9"/>
      <sheetName val="5,10"/>
      <sheetName val="5,12"/>
      <sheetName val="5,13"/>
      <sheetName val="5,14"/>
      <sheetName val="5.4"/>
      <sheetName val="6,2"/>
      <sheetName val="6,3"/>
      <sheetName val="6,4"/>
      <sheetName val="6,5"/>
      <sheetName val="6,6"/>
      <sheetName val="6,7"/>
      <sheetName val="6,8"/>
      <sheetName val="6,9"/>
      <sheetName val="7,2"/>
      <sheetName val="7,3"/>
      <sheetName val="7,4"/>
      <sheetName val="8,2"/>
      <sheetName val="8,3"/>
      <sheetName val="8,4"/>
      <sheetName val="8,5"/>
      <sheetName val="9,2"/>
      <sheetName val="10,2"/>
      <sheetName val="11,1"/>
      <sheetName val="12,2"/>
      <sheetName val="12,3"/>
      <sheetName val="12,4"/>
      <sheetName val="13,1"/>
      <sheetName val="13,2"/>
      <sheetName val="14,2"/>
      <sheetName val="14,4"/>
      <sheetName val="14,5"/>
      <sheetName val="14,6"/>
      <sheetName val="15,3"/>
      <sheetName val="15,4"/>
      <sheetName val="15,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G11" t="str">
            <v>ACEROS</v>
          </cell>
        </row>
        <row r="12">
          <cell r="G12" t="str">
            <v xml:space="preserve">KILO ALAMBRE NEGRO </v>
          </cell>
        </row>
        <row r="13">
          <cell r="G13" t="str">
            <v xml:space="preserve">TAPA ARO TIPO LIVIANO XA POZO DE INSPECCION </v>
          </cell>
        </row>
        <row r="14">
          <cell r="G14" t="str">
            <v xml:space="preserve">TAPA ARO TIPO PESADO XA POZO DE INSPECCION </v>
          </cell>
        </row>
        <row r="15">
          <cell r="G15" t="str">
            <v>ACERO CORRUGADO</v>
          </cell>
        </row>
        <row r="16">
          <cell r="G16" t="str">
            <v>ACERO LISO</v>
          </cell>
        </row>
        <row r="17">
          <cell r="G17" t="str">
            <v xml:space="preserve">PUNTILLAS </v>
          </cell>
        </row>
        <row r="18">
          <cell r="G18" t="str">
            <v>MALLA ELECTROSOLDADA DE 3mm cada 15 cm (18m*2.35m)</v>
          </cell>
        </row>
        <row r="19">
          <cell r="G19" t="str">
            <v>MALLA ELECTROSOLDADA DE 4mm cada 15 cm (6m*2.35m) (P=20.435KG)</v>
          </cell>
        </row>
        <row r="20">
          <cell r="G20" t="str">
            <v>MALLA ELECTROSOLDADA DE 5mm cada 15 cm (6m*2.35m) (P=30.65 KG)</v>
          </cell>
        </row>
        <row r="21">
          <cell r="G21" t="str">
            <v>BLOQUES, LADRILLOS Y ADOQUINES</v>
          </cell>
        </row>
        <row r="22">
          <cell r="G22" t="str">
            <v>ADOQUIN EN TRIANGULO 10*20*4CM</v>
          </cell>
        </row>
        <row r="23">
          <cell r="G23" t="str">
            <v>ADOQUIN EN I e=3cm</v>
          </cell>
        </row>
        <row r="24">
          <cell r="G24" t="str">
            <v>BLOQUE H 10 ROJO</v>
          </cell>
        </row>
        <row r="25">
          <cell r="G25" t="str">
            <v>BLOQUE H 12 ROJO</v>
          </cell>
        </row>
        <row r="26">
          <cell r="G26" t="str">
            <v>BLOQUE H 15 ROJO</v>
          </cell>
        </row>
        <row r="27">
          <cell r="G27" t="str">
            <v>LADRILLO A LA VISTA  FACHALETA</v>
          </cell>
        </row>
        <row r="28">
          <cell r="G28" t="str">
            <v>LADRILLO A LA VISTA  T1</v>
          </cell>
        </row>
        <row r="29">
          <cell r="G29" t="str">
            <v>LADRILLO TOLETE COMUN</v>
          </cell>
        </row>
        <row r="30">
          <cell r="G30" t="str">
            <v>AGREGADOS</v>
          </cell>
        </row>
        <row r="31">
          <cell r="G31" t="str">
            <v>AGUA</v>
          </cell>
        </row>
        <row r="32">
          <cell r="G32" t="str">
            <v>ARENA DE RIO</v>
          </cell>
        </row>
        <row r="33">
          <cell r="G33" t="str">
            <v xml:space="preserve">Casetón Ecológico </v>
          </cell>
        </row>
        <row r="34">
          <cell r="G34" t="str">
            <v>Malla electrosoldada M- 024</v>
          </cell>
        </row>
        <row r="35">
          <cell r="G35" t="str">
            <v>Alambre  negro N°. 18</v>
          </cell>
        </row>
        <row r="36">
          <cell r="G36" t="str">
            <v xml:space="preserve">Formaleta columnas </v>
          </cell>
        </row>
        <row r="37">
          <cell r="G37" t="str">
            <v>Formaleta losa E = 10 cm</v>
          </cell>
        </row>
        <row r="38">
          <cell r="G38" t="str">
            <v>Formaleta losa E = 40 cm</v>
          </cell>
        </row>
        <row r="39">
          <cell r="G39" t="str">
            <v>Formaleta losa E = 30 - 25</v>
          </cell>
        </row>
        <row r="40">
          <cell r="G40" t="str">
            <v xml:space="preserve">Formaleta placa maciza </v>
          </cell>
        </row>
        <row r="41">
          <cell r="G41" t="str">
            <v>Formaleta</v>
          </cell>
        </row>
        <row r="42">
          <cell r="G42" t="str">
            <v xml:space="preserve">Formaleta </v>
          </cell>
        </row>
        <row r="43">
          <cell r="G43" t="str">
            <v xml:space="preserve">Formaleta dintel </v>
          </cell>
        </row>
        <row r="44">
          <cell r="G44" t="str">
            <v xml:space="preserve">Formaleta </v>
          </cell>
        </row>
        <row r="45">
          <cell r="G45" t="str">
            <v>Certificado RETIE</v>
          </cell>
        </row>
        <row r="46">
          <cell r="G46" t="str">
            <v xml:space="preserve">INSTALACION ELECTRICA </v>
          </cell>
        </row>
        <row r="47">
          <cell r="G47" t="str">
            <v>Ducteria</v>
          </cell>
        </row>
        <row r="48">
          <cell r="G48" t="str">
            <v xml:space="preserve">Ducteria subacometida eléctrica </v>
          </cell>
        </row>
        <row r="49">
          <cell r="G49" t="str">
            <v xml:space="preserve">Cableado </v>
          </cell>
        </row>
        <row r="50">
          <cell r="G50" t="str">
            <v xml:space="preserve">Cableado subacometida eléctrica </v>
          </cell>
        </row>
        <row r="51">
          <cell r="G51" t="str">
            <v xml:space="preserve">Cinta </v>
          </cell>
        </row>
        <row r="52">
          <cell r="G52" t="str">
            <v xml:space="preserve">Cinta subacometida electrica </v>
          </cell>
        </row>
        <row r="53">
          <cell r="G53" t="str">
            <v>Accesoris eléctricos salida normal</v>
          </cell>
        </row>
        <row r="54">
          <cell r="G54" t="str">
            <v xml:space="preserve">Accesoris eléctricos salida tomacorriente doble </v>
          </cell>
        </row>
        <row r="55">
          <cell r="G55" t="str">
            <v xml:space="preserve">Tablero monofásico 8 puestos </v>
          </cell>
        </row>
        <row r="56">
          <cell r="G56" t="str">
            <v>Protección 1x15A</v>
          </cell>
        </row>
        <row r="57">
          <cell r="G57" t="str">
            <v>Lampara 2x48</v>
          </cell>
        </row>
        <row r="58">
          <cell r="G58" t="str">
            <v xml:space="preserve">Materiales varios </v>
          </cell>
        </row>
        <row r="59">
          <cell r="G59" t="str">
            <v xml:space="preserve">Tablero general de 18 circuitos </v>
          </cell>
        </row>
        <row r="60">
          <cell r="G60" t="str">
            <v xml:space="preserve">Refractor alogeno de 55w </v>
          </cell>
        </row>
        <row r="61">
          <cell r="G61" t="str">
            <v>Bombillo flourecente ahorrador de energía x 45 WATT</v>
          </cell>
        </row>
        <row r="62">
          <cell r="G62" t="str">
            <v xml:space="preserve">Lampara economica para bombillo ahorrador </v>
          </cell>
        </row>
        <row r="63">
          <cell r="G63" t="str">
            <v>tramites legalización ESSA</v>
          </cell>
        </row>
        <row r="64">
          <cell r="G64" t="str">
            <v xml:space="preserve">INSTALACIONES HIDROSANITARIAS </v>
          </cell>
        </row>
        <row r="65">
          <cell r="G65" t="str">
            <v>Accesorios, limpiador y soldadura Ф = 1.5"</v>
          </cell>
        </row>
        <row r="66">
          <cell r="G66" t="str">
            <v>Accesorios, limpiador y soldadura Ф = 2"</v>
          </cell>
        </row>
        <row r="67">
          <cell r="G67" t="str">
            <v>Accesorios, limpiador y soldadura Ф = 4"</v>
          </cell>
        </row>
        <row r="68">
          <cell r="G68" t="str">
            <v>Accesorios, limpiador y soldadura Ф = 3/4" RDE 11</v>
          </cell>
        </row>
        <row r="69">
          <cell r="G69" t="str">
            <v>Accesorios, limpiador y soldadura punto hidráulico PVC Ф = 1/2"</v>
          </cell>
        </row>
        <row r="70">
          <cell r="G70" t="str">
            <v>Tuberia PVC sanitaria Ф = 2"</v>
          </cell>
        </row>
        <row r="71">
          <cell r="G71" t="str">
            <v>Tuberia PVC sanitaria Ф = 4"</v>
          </cell>
        </row>
        <row r="72">
          <cell r="G72" t="str">
            <v xml:space="preserve">Tuberia PVC 1/2" RDE 9 (presión) </v>
          </cell>
        </row>
        <row r="73">
          <cell r="G73" t="str">
            <v>Tuberia PVC 3/4" RDE 11</v>
          </cell>
        </row>
        <row r="74">
          <cell r="G74" t="str">
            <v xml:space="preserve">Materiales conexión domiciliaria </v>
          </cell>
        </row>
        <row r="75">
          <cell r="G75" t="str">
            <v>Accesorios, limpiador y soldadura punto sanitario  Ф = 2"</v>
          </cell>
        </row>
        <row r="76">
          <cell r="G76" t="str">
            <v>Accesorios, limpiador y soldadura punto sanitario Ф = 4"</v>
          </cell>
        </row>
        <row r="77">
          <cell r="G77" t="str">
            <v xml:space="preserve">Materiales conexión pozos </v>
          </cell>
        </row>
        <row r="78">
          <cell r="G78" t="str">
            <v>Registro o contador de agua para servicio domiciliario</v>
          </cell>
        </row>
        <row r="79">
          <cell r="G79" t="str">
            <v>Tubería PVC 1"</v>
          </cell>
        </row>
        <row r="80">
          <cell r="G80" t="str">
            <v>Tubería PVC 1.5"</v>
          </cell>
        </row>
        <row r="81">
          <cell r="G81" t="str">
            <v>Accesorios, limpeador y soldadura Ф = 1"</v>
          </cell>
        </row>
        <row r="82">
          <cell r="G82" t="str">
            <v>Tubería PVC sanitria Ф 6"</v>
          </cell>
        </row>
        <row r="83">
          <cell r="G83" t="str">
            <v xml:space="preserve">Cemento gris </v>
          </cell>
        </row>
        <row r="84">
          <cell r="G84" t="str">
            <v xml:space="preserve">Cemento blanco </v>
          </cell>
        </row>
        <row r="85">
          <cell r="G85" t="str">
            <v xml:space="preserve">Consumo en obra </v>
          </cell>
        </row>
        <row r="86">
          <cell r="G86" t="str">
            <v xml:space="preserve">Arena </v>
          </cell>
        </row>
        <row r="87">
          <cell r="G87" t="str">
            <v xml:space="preserve">Triturado </v>
          </cell>
        </row>
        <row r="88">
          <cell r="G88" t="str">
            <v>Lija de agua N°. 100</v>
          </cell>
        </row>
        <row r="89">
          <cell r="G89" t="str">
            <v xml:space="preserve">Mortero 1:3 normal </v>
          </cell>
        </row>
        <row r="90">
          <cell r="G90" t="str">
            <v>Acero de refuerzo PDR 60</v>
          </cell>
        </row>
        <row r="91">
          <cell r="G91" t="str">
            <v>Hierro A-37 D = 3/8"</v>
          </cell>
        </row>
        <row r="92">
          <cell r="G92" t="str">
            <v>Concreto simple fc = 210 Kg/cm2</v>
          </cell>
        </row>
        <row r="93">
          <cell r="G93" t="str">
            <v>Concreto simple fc = 245Kg/cm2</v>
          </cell>
        </row>
        <row r="94">
          <cell r="G94" t="str">
            <v>Concreto simple fc = 175 Kg/cm2</v>
          </cell>
        </row>
        <row r="95">
          <cell r="G95" t="str">
            <v xml:space="preserve">Puntilla </v>
          </cell>
        </row>
        <row r="96">
          <cell r="G96" t="str">
            <v xml:space="preserve">Piedra rajón </v>
          </cell>
        </row>
        <row r="97">
          <cell r="G97" t="str">
            <v>DESPERDICIO (4%)</v>
          </cell>
        </row>
        <row r="98">
          <cell r="G98" t="str">
            <v xml:space="preserve">CARPINTERIA METALICA </v>
          </cell>
        </row>
        <row r="99">
          <cell r="G99" t="str">
            <v>Subcontrato puerta en lamina Cal. 20 (Inc marco en lamina cal. 20 y transporte a la obra  )</v>
          </cell>
        </row>
        <row r="100">
          <cell r="G100" t="str">
            <v xml:space="preserve">Mortero para embone </v>
          </cell>
        </row>
        <row r="101">
          <cell r="G101" t="str">
            <v>Ventana en lamina Cal. 20 (Inc transporte a la obra )</v>
          </cell>
        </row>
        <row r="102">
          <cell r="G102" t="str">
            <v>Subcontrato reja en varilla cuadrada en 1/2 (Inc instalacion)</v>
          </cell>
        </row>
        <row r="103">
          <cell r="G103" t="str">
            <v>Marco metálico lámina cal. 20 0.6x2.10 mts</v>
          </cell>
        </row>
        <row r="104">
          <cell r="G104" t="str">
            <v xml:space="preserve">Pasamanos en tubo galbanizado D = 11/2" </v>
          </cell>
        </row>
        <row r="105">
          <cell r="G105" t="str">
            <v xml:space="preserve">Soldadura </v>
          </cell>
        </row>
        <row r="106">
          <cell r="G106" t="str">
            <v xml:space="preserve">CERRADURA </v>
          </cell>
        </row>
        <row r="107">
          <cell r="G107" t="str">
            <v xml:space="preserve">Cerradura </v>
          </cell>
        </row>
        <row r="108">
          <cell r="G108" t="str">
            <v xml:space="preserve">Cerradura baño </v>
          </cell>
        </row>
        <row r="109">
          <cell r="G109" t="str">
            <v xml:space="preserve">PINTURA </v>
          </cell>
        </row>
        <row r="110">
          <cell r="G110" t="str">
            <v>Vinilo tipo 1 (viniltex)</v>
          </cell>
        </row>
        <row r="111">
          <cell r="G111" t="str">
            <v>Vinilo tipo 2 (intervinilo)</v>
          </cell>
        </row>
        <row r="112">
          <cell r="G112" t="str">
            <v xml:space="preserve">Estuco </v>
          </cell>
        </row>
        <row r="113">
          <cell r="G113" t="str">
            <v xml:space="preserve">Esmalte domestico </v>
          </cell>
        </row>
        <row r="114">
          <cell r="G114" t="str">
            <v>Anticorrosivo 505</v>
          </cell>
        </row>
        <row r="115">
          <cell r="G115" t="str">
            <v>Thinner</v>
          </cell>
        </row>
        <row r="116">
          <cell r="G116" t="str">
            <v xml:space="preserve">APARATOS SANITARIOS </v>
          </cell>
        </row>
        <row r="117">
          <cell r="G117" t="str">
            <v>sanitario acuacer sunset color esp</v>
          </cell>
        </row>
        <row r="118">
          <cell r="G118" t="str">
            <v xml:space="preserve">lavamanos acuacer 732 sunset color </v>
          </cell>
        </row>
        <row r="119">
          <cell r="G119" t="str">
            <v xml:space="preserve">orinal santa fe </v>
          </cell>
        </row>
        <row r="120">
          <cell r="G120" t="str">
            <v xml:space="preserve">llave terminal 1/2" cromada </v>
          </cell>
        </row>
        <row r="121">
          <cell r="G121" t="str">
            <v xml:space="preserve">accesorios de fijacion sanitaria </v>
          </cell>
        </row>
        <row r="122">
          <cell r="G122" t="str">
            <v xml:space="preserve">accesorios de fijacion lavamanos </v>
          </cell>
        </row>
        <row r="123">
          <cell r="G123" t="str">
            <v xml:space="preserve">accesorios hidraulicos sanitarios </v>
          </cell>
        </row>
        <row r="124">
          <cell r="G124" t="str">
            <v xml:space="preserve">accesorios hidraulicos lavamanos </v>
          </cell>
        </row>
        <row r="125">
          <cell r="G125" t="str">
            <v xml:space="preserve">accesorios hidraulicos llave terminal </v>
          </cell>
        </row>
        <row r="126">
          <cell r="G126" t="str">
            <v xml:space="preserve">accesorios hidraulicos tanque plastico 500 litros </v>
          </cell>
        </row>
        <row r="127">
          <cell r="G127" t="str">
            <v xml:space="preserve">accesorios hidraulicos tanque plastico 1000 litros </v>
          </cell>
        </row>
        <row r="128">
          <cell r="G128" t="str">
            <v xml:space="preserve">grifera </v>
          </cell>
        </row>
        <row r="129">
          <cell r="G129" t="str">
            <v>Tanque plastico 500 LTS C/T,C/CONX, grif 80640</v>
          </cell>
        </row>
        <row r="130">
          <cell r="G130" t="str">
            <v>Tanque plastico 1000 LTS C/T, CONX, grif 80640</v>
          </cell>
        </row>
        <row r="131">
          <cell r="G131" t="str">
            <v xml:space="preserve">juego de incrustaciones de 5 piezas acrilico cristal o humo </v>
          </cell>
        </row>
        <row r="132">
          <cell r="G132" t="str">
            <v xml:space="preserve">duchas sencillas picis </v>
          </cell>
        </row>
        <row r="133">
          <cell r="G133" t="str">
            <v xml:space="preserve">cubiculo metalico para baño </v>
          </cell>
        </row>
        <row r="134">
          <cell r="G134" t="str">
            <v xml:space="preserve">VARIOS - AMOBLAMIENTO </v>
          </cell>
        </row>
        <row r="135">
          <cell r="G135" t="str">
            <v xml:space="preserve">espejos 3 mm (biselado a los lados) subcontrato </v>
          </cell>
        </row>
        <row r="136">
          <cell r="G136" t="str">
            <v xml:space="preserve">vidrios 7mm y accesorios </v>
          </cell>
        </row>
        <row r="137">
          <cell r="G137" t="str">
            <v xml:space="preserve">masilla y silicona </v>
          </cell>
        </row>
        <row r="139">
          <cell r="G139" t="str">
            <v xml:space="preserve">MANPOSTERIA </v>
          </cell>
        </row>
        <row r="140">
          <cell r="G140" t="str">
            <v>Ladrillo H- 10</v>
          </cell>
        </row>
        <row r="141">
          <cell r="G141" t="str">
            <v xml:space="preserve">Ladrilo Holiman multiperforado </v>
          </cell>
        </row>
        <row r="142">
          <cell r="G142" t="str">
            <v xml:space="preserve">Ladrillo temosa </v>
          </cell>
        </row>
        <row r="143">
          <cell r="G143" t="str">
            <v>sika 1</v>
          </cell>
        </row>
        <row r="144">
          <cell r="G144" t="str">
            <v xml:space="preserve">Cerámica para piso trafico 5 </v>
          </cell>
        </row>
        <row r="145">
          <cell r="G145" t="str">
            <v xml:space="preserve">Cerámica 20x20 Monocolor </v>
          </cell>
        </row>
        <row r="146">
          <cell r="G146" t="str">
            <v>Puerto entamborado triplex Ocume 4mm 0,46x2,10 (con cerradura)</v>
          </cell>
        </row>
        <row r="147">
          <cell r="G147" t="str">
            <v>CAL HIDRATADA BOLSA*10KL</v>
          </cell>
        </row>
        <row r="148">
          <cell r="G148" t="str">
            <v xml:space="preserve">CEMENTO </v>
          </cell>
        </row>
        <row r="149">
          <cell r="G149" t="str">
            <v>CORDON DE RESPALDO DE 1/4 6mm (Rollo de 1700m)</v>
          </cell>
        </row>
        <row r="150">
          <cell r="G150" t="str">
            <v>CURADOR DE CONCRETO DE TOXEMENT * 200KG</v>
          </cell>
        </row>
        <row r="151">
          <cell r="G151" t="str">
            <v>IMPRESIÓN DE PLANO ALTIMETRICO Y PLANIMETRICO</v>
          </cell>
        </row>
        <row r="152">
          <cell r="G152" t="str">
            <v>SELLADOR VULKEM 45 SSL * 5GAL</v>
          </cell>
        </row>
        <row r="153">
          <cell r="G153" t="str">
            <v>SIKA - LATE IMPERMEABILIZANTE PARA CONCRETO * 1 GALON</v>
          </cell>
        </row>
        <row r="154">
          <cell r="G154" t="str">
            <v>SIKA SET - L ACELERANTE PARA CONCRETO * 1 GALON</v>
          </cell>
        </row>
        <row r="155">
          <cell r="G155" t="str">
            <v>SUB BASE</v>
          </cell>
        </row>
        <row r="156">
          <cell r="G156" t="str">
            <v>TRITURADO</v>
          </cell>
        </row>
        <row r="157">
          <cell r="G157" t="str">
            <v>PIEDRA RAJON</v>
          </cell>
        </row>
        <row r="158">
          <cell r="G158" t="str">
            <v>MORTEROS</v>
          </cell>
        </row>
        <row r="159">
          <cell r="G159" t="str">
            <v>MORTERO 1:3</v>
          </cell>
        </row>
        <row r="160">
          <cell r="G160" t="str">
            <v>MORTERO 1:3 IMPERBEABILIZADO</v>
          </cell>
        </row>
        <row r="161">
          <cell r="G161" t="str">
            <v>MORTERO 1:4</v>
          </cell>
        </row>
        <row r="162">
          <cell r="G162" t="str">
            <v>MORTERO 1:4 IMPERMEABILIZADO</v>
          </cell>
        </row>
        <row r="163">
          <cell r="G163" t="str">
            <v>MORTERO 1:5</v>
          </cell>
        </row>
        <row r="164">
          <cell r="G164" t="str">
            <v>MORTERO 1:5 IMPERMEABILIZADO</v>
          </cell>
        </row>
        <row r="165">
          <cell r="G165" t="str">
            <v>CONCRETOS</v>
          </cell>
        </row>
        <row r="166">
          <cell r="G166" t="str">
            <v>CONCRETO CLASE F</v>
          </cell>
        </row>
        <row r="167">
          <cell r="G167" t="str">
            <v>CONCRETO 2500PSI</v>
          </cell>
        </row>
        <row r="168">
          <cell r="G168" t="str">
            <v>CONCRETO 3000PSI</v>
          </cell>
        </row>
        <row r="169">
          <cell r="G169" t="str">
            <v>CONCRETO 3500PSI</v>
          </cell>
        </row>
        <row r="170">
          <cell r="G170" t="str">
            <v>CONCRETO 4000PSI</v>
          </cell>
        </row>
        <row r="171">
          <cell r="G171" t="str">
            <v>CONCRETO 5000PSI</v>
          </cell>
        </row>
        <row r="172">
          <cell r="G172" t="str">
            <v>ENCHAPES</v>
          </cell>
        </row>
        <row r="173">
          <cell r="G173" t="str">
            <v>BOLSA PEGACOR PEGAMASTER PARA ENCHAPE * 25K</v>
          </cell>
        </row>
        <row r="174">
          <cell r="G174" t="str">
            <v>BOQUILLA PEGAMASTER*2K</v>
          </cell>
        </row>
        <row r="175">
          <cell r="G175" t="str">
            <v>ENCHAPE ALFA PARA MURO BAÑO 20*20</v>
          </cell>
        </row>
        <row r="176">
          <cell r="G176" t="str">
            <v>ENCHAPE ALFA PARA MURO COCINA 20*20</v>
          </cell>
        </row>
        <row r="177">
          <cell r="G177" t="str">
            <v>ENCHAPE ALFA PARA PISO BAÑO NEVADA 20*20</v>
          </cell>
        </row>
        <row r="178">
          <cell r="G178" t="str">
            <v>ENCHAPE ALFA PARA PISO COCINA 45*45</v>
          </cell>
        </row>
        <row r="179">
          <cell r="G179" t="str">
            <v>TABLETA GRES ARBOLEDA 25*25CM (Casablanca)</v>
          </cell>
        </row>
        <row r="180">
          <cell r="G180" t="str">
            <v xml:space="preserve">ACUEDUCTO (PRESION) </v>
          </cell>
        </row>
        <row r="181">
          <cell r="G181" t="str">
            <v>ADAPTADOR HEMBRA DE PRESION DE 1 1/2"</v>
          </cell>
        </row>
        <row r="182">
          <cell r="G182" t="str">
            <v>ADAPTADOR HEMBRA DE PRESION DE 1 1/4"</v>
          </cell>
        </row>
        <row r="183">
          <cell r="G183" t="str">
            <v>ADAPTADOR HEMBRA DE PRESION DE 1"</v>
          </cell>
        </row>
        <row r="184">
          <cell r="G184" t="str">
            <v>ADAPTADOR HEMBRA DE PRESION DE 1/2"</v>
          </cell>
        </row>
        <row r="185">
          <cell r="G185" t="str">
            <v>ADAPTADOR HEMBRA DE PRESION DE 2 1/2"</v>
          </cell>
        </row>
        <row r="186">
          <cell r="G186" t="str">
            <v>ADAPTADOR HEMBRA DE PRESION DE 2"</v>
          </cell>
        </row>
        <row r="187">
          <cell r="G187" t="str">
            <v>ADAPTADOR HEMBRA DE PRESION DE 3"</v>
          </cell>
        </row>
        <row r="188">
          <cell r="G188" t="str">
            <v>ADAPTADOR HEMBRA DE PRESION DE 3/4"</v>
          </cell>
        </row>
        <row r="189">
          <cell r="G189" t="str">
            <v>ADAPTADOR MACHO DE PRESION DE 1 1/2"</v>
          </cell>
        </row>
        <row r="190">
          <cell r="G190" t="str">
            <v>ADAPTADOR MACHO DE PRESION DE 1 1/4"</v>
          </cell>
        </row>
        <row r="191">
          <cell r="G191" t="str">
            <v>ADAPTADOR MACHO DE PRESION DE 1"</v>
          </cell>
        </row>
        <row r="192">
          <cell r="G192" t="str">
            <v>ADAPTADOR MACHO DE PRESION DE 1/2"</v>
          </cell>
        </row>
        <row r="193">
          <cell r="G193" t="str">
            <v>ADAPTADOR MACHO DE PRESION DE 2 1/2"</v>
          </cell>
        </row>
        <row r="194">
          <cell r="G194" t="str">
            <v>ADAPTADOR MACHO DE PRESION DE 2"</v>
          </cell>
        </row>
        <row r="195">
          <cell r="G195" t="str">
            <v>ADAPTADOR MACHO DE PRESION DE 3"</v>
          </cell>
        </row>
        <row r="196">
          <cell r="G196" t="str">
            <v>ADAPTADOR MACHO DE PRESION DE 3/4"</v>
          </cell>
        </row>
        <row r="197">
          <cell r="G197" t="str">
            <v>CODO 45° DE PRESION DE 1"</v>
          </cell>
        </row>
        <row r="198">
          <cell r="G198" t="str">
            <v>CODO 45° DE PRESION DE 1/2"</v>
          </cell>
        </row>
        <row r="199">
          <cell r="G199" t="str">
            <v>CODO 90° DE PRESION DE 1"</v>
          </cell>
        </row>
        <row r="200">
          <cell r="G200" t="str">
            <v>CODO 90° DE PRESION DE 1/2"</v>
          </cell>
        </row>
        <row r="201">
          <cell r="G201" t="str">
            <v xml:space="preserve">FLOTADOR PLASTICO PARA TANQUE </v>
          </cell>
        </row>
        <row r="202">
          <cell r="G202" t="str">
            <v>LIMPIADOR DE TUBERIA  * 1/32 de Gal</v>
          </cell>
        </row>
        <row r="203">
          <cell r="G203" t="str">
            <v>PEGANTE DE TUBERIA * 1/32 de Gal</v>
          </cell>
        </row>
        <row r="204">
          <cell r="G204" t="str">
            <v>TANQUE PLASTICO CAPA SENCILLA *1000 LT</v>
          </cell>
        </row>
        <row r="205">
          <cell r="G205" t="str">
            <v>TANQUE PLASTICO DOBLE CAPA *1000 LT</v>
          </cell>
        </row>
        <row r="206">
          <cell r="G206" t="str">
            <v>TANQUE PLASTICO DOBLE CAPA *1000 LT</v>
          </cell>
        </row>
        <row r="207">
          <cell r="G207" t="str">
            <v>TANQUE PLASTICO CAPA SENCILLA *500 LT</v>
          </cell>
        </row>
        <row r="208">
          <cell r="G208" t="str">
            <v>TANQUE PLASTICO DOBLE CAPA *500 LT</v>
          </cell>
        </row>
        <row r="209">
          <cell r="G209" t="str">
            <v>TANQUE PLASTICO DOBLE CAPA *500 LT</v>
          </cell>
        </row>
        <row r="210">
          <cell r="G210" t="str">
            <v xml:space="preserve">Material seleccionado </v>
          </cell>
        </row>
        <row r="211">
          <cell r="G211" t="str">
            <v>TANQUE ANAEROBICO C/FALSO FONDO 1000LT</v>
          </cell>
        </row>
        <row r="212">
          <cell r="G212" t="str">
            <v>TANQUE SEPTICO DE 1000 LTS C/TAPA</v>
          </cell>
        </row>
        <row r="213">
          <cell r="G213" t="str">
            <v>GEOTEXTIL 1600S</v>
          </cell>
        </row>
        <row r="214">
          <cell r="G214" t="str">
            <v>Gravilla de 2-5 Cm</v>
          </cell>
        </row>
        <row r="216">
          <cell r="G216" t="str">
            <v>TANQUE PLASTICO CAPA SENCILLA *2000 LT</v>
          </cell>
        </row>
        <row r="217">
          <cell r="G217" t="str">
            <v>TANQUE PLASTICO DOBLE CAPA *2000 LT</v>
          </cell>
        </row>
        <row r="218">
          <cell r="G218" t="str">
            <v>TANQUE PLASTICO DOBLE CAPA *2000 LT</v>
          </cell>
        </row>
        <row r="219">
          <cell r="G219" t="str">
            <v>TANQUE PLASTICO DOBLE CAPA *5000 LT</v>
          </cell>
        </row>
        <row r="220">
          <cell r="G220" t="str">
            <v>TANQUE PLASTICO DOBLE CAPA *5000 LT</v>
          </cell>
        </row>
        <row r="221">
          <cell r="G221" t="str">
            <v>TAPON LISO DE PRESION DE 1"</v>
          </cell>
        </row>
        <row r="222">
          <cell r="G222" t="str">
            <v>TAPON LISO DE PRESION DE 1/2"</v>
          </cell>
        </row>
        <row r="223">
          <cell r="G223" t="str">
            <v>TAPON ROSCADO DE PRESION DE 1"</v>
          </cell>
        </row>
        <row r="224">
          <cell r="G224" t="str">
            <v>TAPON ROSCADO DE PRESION DE 1/2"</v>
          </cell>
        </row>
        <row r="225">
          <cell r="G225" t="str">
            <v>TEE PRESION PVC 1/2"</v>
          </cell>
        </row>
        <row r="226">
          <cell r="G226" t="str">
            <v>TUBO DE PRESION RDE 21 - D=1/2" * 6M</v>
          </cell>
        </row>
        <row r="227">
          <cell r="G227" t="str">
            <v>TUBO DE PRESION RDE 21 - D=1 1/2" * 6M</v>
          </cell>
        </row>
        <row r="228">
          <cell r="G228" t="str">
            <v>TUBO DE PRESION RDE 21 - D=1 1/4" * 6M</v>
          </cell>
        </row>
        <row r="229">
          <cell r="G229" t="str">
            <v>TUBO DE PRESION RDE 21 - D=1" * 6M</v>
          </cell>
        </row>
        <row r="230">
          <cell r="G230" t="str">
            <v>TUBO DE PRESION RDE 21 - D=2 1/2" * 6M</v>
          </cell>
        </row>
        <row r="231">
          <cell r="G231" t="str">
            <v>TUBO DE PRESION RDE 21 - D=2" * 6M</v>
          </cell>
        </row>
        <row r="232">
          <cell r="G232" t="str">
            <v>TUBO DE PRESION RDE 21 - D=3" * 6M</v>
          </cell>
        </row>
        <row r="233">
          <cell r="G233" t="str">
            <v>TUBO DE PRESION RDE 21 - D=3/4" * 6M</v>
          </cell>
        </row>
        <row r="234">
          <cell r="G234" t="str">
            <v>UNION DE PRESION DE 1 1/2"</v>
          </cell>
        </row>
        <row r="235">
          <cell r="G235" t="str">
            <v>UNION DE PRESION DE 1 1/4"</v>
          </cell>
        </row>
        <row r="236">
          <cell r="G236" t="str">
            <v>UNION DE PRESION DE 1"</v>
          </cell>
        </row>
        <row r="237">
          <cell r="G237" t="str">
            <v>UNION DE PRESION DE 1/2"</v>
          </cell>
        </row>
        <row r="238">
          <cell r="G238" t="str">
            <v>UNION DE PRESION DE 2 1/2"</v>
          </cell>
        </row>
        <row r="239">
          <cell r="G239" t="str">
            <v>UNION DE PRESION DE 2"</v>
          </cell>
        </row>
        <row r="240">
          <cell r="G240" t="str">
            <v>UNION DE PRESION DE 3"</v>
          </cell>
        </row>
        <row r="241">
          <cell r="G241" t="str">
            <v>UNION DE PRESION DE 3/4"</v>
          </cell>
        </row>
        <row r="242">
          <cell r="G242" t="str">
            <v>VALVULA BOLA DE 1/2"</v>
          </cell>
        </row>
        <row r="243">
          <cell r="G243" t="str">
            <v>VALVULA BOLA DE 1"</v>
          </cell>
        </row>
        <row r="244">
          <cell r="G244" t="str">
            <v>PVC SANITARIOS</v>
          </cell>
        </row>
        <row r="245">
          <cell r="G245" t="str">
            <v>CODO 90° SANITARIO DE 2"</v>
          </cell>
        </row>
        <row r="246">
          <cell r="G246" t="str">
            <v>CODO 90° SANITARIO DE 3"</v>
          </cell>
        </row>
        <row r="247">
          <cell r="G247" t="str">
            <v>CODO 90° SANITARIO DE 4"</v>
          </cell>
        </row>
        <row r="248">
          <cell r="G248" t="str">
            <v>REJILLA PLASTICA DE 3*2 SIFON</v>
          </cell>
        </row>
        <row r="249">
          <cell r="G249" t="str">
            <v>TEE SANITARIA DE 2" SEN</v>
          </cell>
        </row>
        <row r="250">
          <cell r="G250" t="str">
            <v>TEE SANITARIA DE 4" SEN</v>
          </cell>
        </row>
        <row r="251">
          <cell r="G251" t="str">
            <v>TUBERIA SANITARIA DE 2" * 6M</v>
          </cell>
        </row>
        <row r="252">
          <cell r="G252" t="str">
            <v>TUBERIA SANITARIA DE 3" * 6M</v>
          </cell>
        </row>
        <row r="253">
          <cell r="G253" t="str">
            <v>TUBERIA SANITARIA DE 4" * 6M</v>
          </cell>
        </row>
        <row r="254">
          <cell r="G254" t="str">
            <v>TUBERIA SANITARIA DE 6" * 6M</v>
          </cell>
        </row>
        <row r="255">
          <cell r="G255" t="str">
            <v>TUBERIA PVC 1/2 RD 9 * 6M</v>
          </cell>
        </row>
        <row r="256">
          <cell r="G256" t="str">
            <v>TUBERIA PVC 3/4 RD 11 * 6M</v>
          </cell>
        </row>
        <row r="257">
          <cell r="G257" t="str">
            <v>TUBERIA PVC 1 RD 13.5 * 6M</v>
          </cell>
        </row>
        <row r="258">
          <cell r="G258" t="str">
            <v>UNION SANITARIA DE 2"</v>
          </cell>
        </row>
        <row r="259">
          <cell r="G259" t="str">
            <v>UNION SANITARIA DE 3"</v>
          </cell>
        </row>
        <row r="260">
          <cell r="G260" t="str">
            <v>UNION SANITARIA DE 4"</v>
          </cell>
        </row>
        <row r="261">
          <cell r="G261" t="str">
            <v>ELECTRICOS</v>
          </cell>
        </row>
        <row r="262">
          <cell r="G262" t="str">
            <v>CONTADOR DE LUZ  Monofasico Electrico</v>
          </cell>
        </row>
        <row r="263">
          <cell r="G263" t="str">
            <v>CONTADOR DE LUZ  Monofasico de Disco</v>
          </cell>
        </row>
        <row r="264">
          <cell r="G264" t="str">
            <v>VARILLA DE POLO 1.50 m A TIERRA con conector</v>
          </cell>
        </row>
        <row r="265">
          <cell r="G265" t="str">
            <v>VARILLA DE POLO 1.20 m A TIERRA con conector</v>
          </cell>
        </row>
        <row r="266">
          <cell r="G266" t="str">
            <v>TABLERO ELECTRICO DE DOS CIRCUITOS</v>
          </cell>
        </row>
        <row r="267">
          <cell r="G267" t="str">
            <v>CABLE PARA LUZ N 12 COBRE rollo *100</v>
          </cell>
        </row>
        <row r="268">
          <cell r="G268" t="str">
            <v>CABLE PARA LUZ N 14 COBRE rollo *100</v>
          </cell>
        </row>
        <row r="269">
          <cell r="G269" t="str">
            <v>CAJA ELECTRICA GANICA</v>
          </cell>
        </row>
        <row r="270">
          <cell r="G270" t="str">
            <v>TOMAS ELECTRICOS GANICA</v>
          </cell>
        </row>
        <row r="271">
          <cell r="G271" t="str">
            <v>PLAFON  EXE</v>
          </cell>
        </row>
        <row r="272">
          <cell r="G272" t="str">
            <v>CAJA PARA CONTADOR MONOFASICO</v>
          </cell>
        </row>
        <row r="273">
          <cell r="G273" t="str">
            <v>ADAPTADOR TERMINAL ELEC. 1 1/2"</v>
          </cell>
        </row>
        <row r="274">
          <cell r="G274" t="str">
            <v>ADAPTADOR TERMINAL ELEC. 1 1/4"</v>
          </cell>
        </row>
        <row r="275">
          <cell r="G275" t="str">
            <v>ADAPTADOR TERMINAL ELEC. 1"</v>
          </cell>
        </row>
        <row r="276">
          <cell r="G276" t="str">
            <v>ADAPTADOR TERMINAL ELEC. 1/2"</v>
          </cell>
        </row>
        <row r="277">
          <cell r="G277" t="str">
            <v>ADAPTADOR TERMINAL ELEC. 2"</v>
          </cell>
        </row>
        <row r="278">
          <cell r="G278" t="str">
            <v>ADAPTADOR TERMINAL ELEC. 3"</v>
          </cell>
        </row>
        <row r="279">
          <cell r="G279" t="str">
            <v>ADAPTADOR TERMINAL ELEC. 3/4"</v>
          </cell>
        </row>
        <row r="280">
          <cell r="G280" t="str">
            <v>CAJA DOBLE ELEC. (107*107*48mm)</v>
          </cell>
        </row>
        <row r="281">
          <cell r="G281" t="str">
            <v>CAJA OCTAGONAL ELEC. (100*100*47mm)</v>
          </cell>
        </row>
        <row r="282">
          <cell r="G282" t="str">
            <v>CAJA SENCILLA ELEC. (103*60*45mm)</v>
          </cell>
        </row>
        <row r="283">
          <cell r="G283" t="str">
            <v>CONDUFLEX VERDE SIN CABLE GUIA 1 1/4"</v>
          </cell>
        </row>
        <row r="284">
          <cell r="G284" t="str">
            <v>CONDUFLEX VERDE SIN CABLE GUIA 1"</v>
          </cell>
        </row>
        <row r="285">
          <cell r="G285" t="str">
            <v>CONDUFLEX VERDE SIN CABLE GUIA 1/2"</v>
          </cell>
        </row>
        <row r="286">
          <cell r="G286" t="str">
            <v>CONDUFLEX VERDE SIN CABLE GUIA 3/4"</v>
          </cell>
        </row>
        <row r="287">
          <cell r="G287" t="str">
            <v>CURVAS 90° ELECTRICA DE 1 1/2"</v>
          </cell>
        </row>
        <row r="288">
          <cell r="G288" t="str">
            <v>CURVAS 90° ELECTRICA DE 1 1/4"</v>
          </cell>
        </row>
        <row r="289">
          <cell r="G289" t="str">
            <v>CURVAS 90° ELECTRICA DE 1"</v>
          </cell>
        </row>
        <row r="290">
          <cell r="G290" t="str">
            <v>CURVAS 90° ELECTRICA DE 1/2"</v>
          </cell>
        </row>
        <row r="291">
          <cell r="G291" t="str">
            <v>CURVAS 90° ELECTRICA DE 2"</v>
          </cell>
        </row>
        <row r="292">
          <cell r="G292" t="str">
            <v>CURVAS 90° ELECTRICA DE 3/4"</v>
          </cell>
        </row>
        <row r="293">
          <cell r="G293" t="str">
            <v>SUPLEMENTO ELEC. (107*107mm)</v>
          </cell>
        </row>
        <row r="294">
          <cell r="G294" t="str">
            <v>TAPA DOBLE ELEC. (107*107mm)</v>
          </cell>
        </row>
        <row r="295">
          <cell r="G295" t="str">
            <v>TUBERIA ELECTRICA PARA PLACA D= 1 1/2" * 3M</v>
          </cell>
        </row>
        <row r="296">
          <cell r="G296" t="str">
            <v>TUBERIA ELECTRICA PARA PLACA D= 1 1/4" * 3M</v>
          </cell>
        </row>
        <row r="297">
          <cell r="G297" t="str">
            <v>TUBERIA ELECTRICA PARA PLACA D= 1" * 3M</v>
          </cell>
        </row>
        <row r="298">
          <cell r="G298" t="str">
            <v>TUBERIA ELECTRICA PARA PLACA D= 1/2" * 3M</v>
          </cell>
        </row>
        <row r="299">
          <cell r="G299" t="str">
            <v>TUBERIA ELECTRICA PARA PLACA D= 2" * 3M</v>
          </cell>
        </row>
        <row r="300">
          <cell r="G300" t="str">
            <v>TUBERIA ELECTRICA PARA PLACA D= 3/4" * 3M</v>
          </cell>
        </row>
        <row r="301">
          <cell r="G301" t="str">
            <v>UNION ELECTRICA DE 1"</v>
          </cell>
        </row>
        <row r="302">
          <cell r="G302" t="str">
            <v>UNION ELECTRICA DE 1/2"</v>
          </cell>
        </row>
        <row r="303">
          <cell r="G303" t="str">
            <v>UNION ELECTRICA DE 3/4"</v>
          </cell>
        </row>
        <row r="304">
          <cell r="G304" t="str">
            <v xml:space="preserve">GRIFERIA Y OTROS CONSTRUCCION </v>
          </cell>
        </row>
        <row r="305">
          <cell r="G305" t="str">
            <v>CINTA SELLANTE PREMIUM PARA ROSCAS 12mm*12m</v>
          </cell>
        </row>
        <row r="306">
          <cell r="G306" t="str">
            <v>CINTA SELLANTE PREMIUM PARA ROSCAS 18mm*20m</v>
          </cell>
        </row>
        <row r="307">
          <cell r="G307" t="str">
            <v>COMBO SANITARIO BLANCO</v>
          </cell>
        </row>
        <row r="308">
          <cell r="G308" t="str">
            <v>DUCHA (Blanco)</v>
          </cell>
        </row>
        <row r="309">
          <cell r="G309" t="str">
            <v>DUCHA CON LLAVE</v>
          </cell>
        </row>
        <row r="310">
          <cell r="G310" t="str">
            <v>GRIFO ALTO COCINA (Blanco)</v>
          </cell>
        </row>
        <row r="311">
          <cell r="G311" t="str">
            <v>GRIFO ALTO COCINA (Cierre Ceramico)</v>
          </cell>
        </row>
        <row r="312">
          <cell r="G312" t="str">
            <v>GRIFO ALTO COCINA (Cromo)</v>
          </cell>
        </row>
        <row r="313">
          <cell r="G313" t="str">
            <v>GRIFO ALTO LAVAMANOS (Blanco)</v>
          </cell>
        </row>
        <row r="314">
          <cell r="G314" t="str">
            <v>GRIFO ALTO LAVAMANOS (Cromo Cierre Ceramico)</v>
          </cell>
        </row>
        <row r="315">
          <cell r="G315" t="str">
            <v>GRIFO BAJO LAVAMANOS (Blanco)</v>
          </cell>
        </row>
        <row r="316">
          <cell r="G316" t="str">
            <v>GRIFO LAVADERO (Blanco)</v>
          </cell>
        </row>
        <row r="317">
          <cell r="G317" t="str">
            <v>LAVAPLATOS EN ACERO 60*40 CON LLAVE TERMINAL</v>
          </cell>
        </row>
        <row r="318">
          <cell r="G318" t="str">
            <v>LLAVE DE PASO</v>
          </cell>
        </row>
        <row r="319">
          <cell r="G319" t="str">
            <v>LLAVE TERMINAL</v>
          </cell>
        </row>
        <row r="320">
          <cell r="G320" t="str">
            <v xml:space="preserve">ACABADOS CONSTRUCCION </v>
          </cell>
        </row>
        <row r="321">
          <cell r="G321" t="str">
            <v>CUÑETE ESTUCO PLASTICO</v>
          </cell>
        </row>
        <row r="322">
          <cell r="G322" t="str">
            <v>CUÑETE PINTURA VINILTEX TIPO 1</v>
          </cell>
        </row>
        <row r="323">
          <cell r="G323" t="str">
            <v xml:space="preserve">PERFIL DE ALUMINIO </v>
          </cell>
        </row>
        <row r="324">
          <cell r="G324" t="str">
            <v>VIDRIOS DE 4MM - CORRUGADO CLARO</v>
          </cell>
        </row>
        <row r="325">
          <cell r="G325" t="str">
            <v>VIDRIOS DE 4MM - TRANSPARENTE LISO</v>
          </cell>
        </row>
        <row r="326">
          <cell r="G326" t="str">
            <v>ANTICORROSIVO NEGRO BLER</v>
          </cell>
        </row>
        <row r="327">
          <cell r="G327" t="str">
            <v>ANTICORROSIVO NEGRO</v>
          </cell>
        </row>
        <row r="328">
          <cell r="G328" t="str">
            <v>PINTURA PARA EXTERIORES Corasa * 4.1 Galon</v>
          </cell>
        </row>
        <row r="329">
          <cell r="G329" t="str">
            <v>TUBERIAS NOVAFORT ALCANTARILLADO</v>
          </cell>
        </row>
        <row r="330">
          <cell r="G330" t="str">
            <v xml:space="preserve">TUBO NOVAFORT DE 4" (110mm) * 6M </v>
          </cell>
        </row>
        <row r="331">
          <cell r="G331" t="str">
            <v>TUBO NOVAFORT DE 6" (160mm) * 6M</v>
          </cell>
        </row>
        <row r="332">
          <cell r="G332" t="str">
            <v>TUBO NOVAFORT DE 8" (2000mm) * 6M</v>
          </cell>
        </row>
        <row r="333">
          <cell r="G333" t="str">
            <v>TUBO NOVAFORT DE 10" (250mm) * 6M</v>
          </cell>
        </row>
        <row r="334">
          <cell r="G334" t="str">
            <v>TUBO NOVAFORT DE 12" (315mm) * 6M</v>
          </cell>
        </row>
        <row r="335">
          <cell r="G335" t="str">
            <v>TUBO NOVAFORT DE 14" (355mm) * 6M</v>
          </cell>
        </row>
        <row r="336">
          <cell r="G336" t="str">
            <v>TUBO NOVAFORT DE 16" (400 mm) * 6M</v>
          </cell>
        </row>
        <row r="337">
          <cell r="G337" t="str">
            <v>TUBO NOVAFORT DE 18" (450mm) * 6M</v>
          </cell>
        </row>
        <row r="338">
          <cell r="G338" t="str">
            <v>TUBO NOVAFORT DE 20" (500mm)* 6M</v>
          </cell>
        </row>
        <row r="339">
          <cell r="G339" t="str">
            <v>TUBO NOVAFORT DE 24" * 6.5M</v>
          </cell>
        </row>
        <row r="340">
          <cell r="G340" t="str">
            <v>TUBO NOVAFORT DE 27" * 6.5M</v>
          </cell>
        </row>
        <row r="341">
          <cell r="G341" t="str">
            <v>TUBO NOVAFORT DE 30" * 6.5M</v>
          </cell>
        </row>
        <row r="342">
          <cell r="G342" t="str">
            <v>TUBO NOVAFORT DE 33" * 6.5M</v>
          </cell>
        </row>
        <row r="343">
          <cell r="G343" t="str">
            <v>TUBO NOVAFORT DE 36" * 6.5M</v>
          </cell>
        </row>
        <row r="344">
          <cell r="G344" t="str">
            <v>TUBO NOVAFORT DE 39" * 6.5M</v>
          </cell>
        </row>
        <row r="345">
          <cell r="G345" t="str">
            <v>TUBO NOVAFORT DE 42" * 6.5M</v>
          </cell>
        </row>
        <row r="346">
          <cell r="G346" t="str">
            <v>ACCESORIOS PARA TUBERIA NOVAFORT ALC</v>
          </cell>
        </row>
        <row r="347">
          <cell r="G347" t="str">
            <v>CODOS  45° NOVAFORT 110mm</v>
          </cell>
        </row>
        <row r="348">
          <cell r="G348" t="str">
            <v>CODOS  45° NOVAFORT 160mm</v>
          </cell>
        </row>
        <row r="349">
          <cell r="G349" t="str">
            <v>CODOS  45° NOVAFORT 200mm</v>
          </cell>
        </row>
        <row r="350">
          <cell r="G350" t="str">
            <v>CODOS  45° NOVAFORT 250mm</v>
          </cell>
        </row>
        <row r="351">
          <cell r="G351" t="str">
            <v>CODOS  45° NOVAFORT 315mm</v>
          </cell>
        </row>
        <row r="352">
          <cell r="G352" t="str">
            <v>CODOS  90° NOVAFORT 110mm</v>
          </cell>
        </row>
        <row r="353">
          <cell r="G353" t="str">
            <v>CODOS  90° NOVAFORT 160mm</v>
          </cell>
        </row>
        <row r="354">
          <cell r="G354" t="str">
            <v>CODOS  90° NOVAFORT 200mm</v>
          </cell>
        </row>
        <row r="355">
          <cell r="G355" t="str">
            <v>CODOS  90° NOVAFORT 250mm</v>
          </cell>
        </row>
        <row r="356">
          <cell r="G356" t="str">
            <v>CODOS  90° NOVAFORT 315mm</v>
          </cell>
        </row>
        <row r="357">
          <cell r="G357" t="str">
            <v>CODOS  90° NOVAFORT 355mm</v>
          </cell>
        </row>
        <row r="358">
          <cell r="G358" t="str">
            <v>CODOS  90° NOVAFORT 400mm</v>
          </cell>
        </row>
        <row r="359">
          <cell r="G359" t="str">
            <v>CODOS  90° NOVAFORT 450mm</v>
          </cell>
        </row>
        <row r="360">
          <cell r="G360" t="str">
            <v>CODOS  90° NOVAFORT 500mm</v>
          </cell>
        </row>
        <row r="361">
          <cell r="G361" t="str">
            <v>CONEXIONES 110mm</v>
          </cell>
        </row>
        <row r="362">
          <cell r="G362" t="str">
            <v>CONEXIONES 160mm</v>
          </cell>
        </row>
        <row r="363">
          <cell r="G363" t="str">
            <v>CONEXIONES 200mm</v>
          </cell>
        </row>
        <row r="364">
          <cell r="G364" t="str">
            <v>CONEXIONES 24"</v>
          </cell>
        </row>
        <row r="365">
          <cell r="G365" t="str">
            <v>CONEXIONES 250mm</v>
          </cell>
        </row>
        <row r="366">
          <cell r="G366" t="str">
            <v>CONEXIONES 27"</v>
          </cell>
        </row>
        <row r="367">
          <cell r="G367" t="str">
            <v>CONEXIONES 30"</v>
          </cell>
        </row>
        <row r="368">
          <cell r="G368" t="str">
            <v>CONEXIONES 315mm</v>
          </cell>
        </row>
        <row r="369">
          <cell r="G369" t="str">
            <v>CONEXIONES 33"</v>
          </cell>
        </row>
        <row r="370">
          <cell r="G370" t="str">
            <v>CONEXIONES 355mm</v>
          </cell>
        </row>
        <row r="371">
          <cell r="G371" t="str">
            <v>CONEXIONES 36"</v>
          </cell>
        </row>
        <row r="372">
          <cell r="G372" t="str">
            <v>CONEXIONES 39"</v>
          </cell>
        </row>
        <row r="373">
          <cell r="G373" t="str">
            <v>CONEXIONES 400mm</v>
          </cell>
        </row>
        <row r="374">
          <cell r="G374" t="str">
            <v>CONEXIONES 42"</v>
          </cell>
        </row>
        <row r="375">
          <cell r="G375" t="str">
            <v>CONEXIONES 450mm</v>
          </cell>
        </row>
        <row r="376">
          <cell r="G376" t="str">
            <v>CONEXIONES 500mm</v>
          </cell>
        </row>
        <row r="377">
          <cell r="G377" t="str">
            <v>HIDROSELLO TUB. NOV. 110mm</v>
          </cell>
        </row>
        <row r="378">
          <cell r="G378" t="str">
            <v>HIDROSELLO TUB. NOV. 160mm</v>
          </cell>
        </row>
        <row r="379">
          <cell r="G379" t="str">
            <v>HIDROSELLO TUB. NOV. 200mm</v>
          </cell>
        </row>
        <row r="380">
          <cell r="G380" t="str">
            <v>HIDROSELLO TUB. NOV. 24"</v>
          </cell>
        </row>
        <row r="381">
          <cell r="G381" t="str">
            <v>HIDROSELLO TUB. NOV. 250mm</v>
          </cell>
        </row>
        <row r="382">
          <cell r="G382" t="str">
            <v>HIDROSELLO TUB. NOV. 27"</v>
          </cell>
        </row>
        <row r="383">
          <cell r="G383" t="str">
            <v>HIDROSELLO TUB. NOV. 30"</v>
          </cell>
        </row>
        <row r="384">
          <cell r="G384" t="str">
            <v>HIDROSELLO TUB. NOV. 315mm</v>
          </cell>
        </row>
        <row r="385">
          <cell r="G385" t="str">
            <v>HIDROSELLO TUB. NOV. 33"</v>
          </cell>
        </row>
        <row r="386">
          <cell r="G386" t="str">
            <v>HIDROSELLO TUB. NOV. 355mm</v>
          </cell>
        </row>
        <row r="387">
          <cell r="G387" t="str">
            <v>HIDROSELLO TUB. NOV. 36"</v>
          </cell>
        </row>
        <row r="388">
          <cell r="G388" t="str">
            <v>HIDROSELLO TUB. NOV. 39"</v>
          </cell>
        </row>
        <row r="389">
          <cell r="G389" t="str">
            <v>HIDROSELLO TUB. NOV. 400mm</v>
          </cell>
        </row>
        <row r="390">
          <cell r="G390" t="str">
            <v>HIDROSELLO TUB. NOV. 42"</v>
          </cell>
        </row>
        <row r="391">
          <cell r="G391" t="str">
            <v>HIDROSELLO TUB. NOV. 450mm</v>
          </cell>
        </row>
        <row r="392">
          <cell r="G392" t="str">
            <v>HIDROSELLO TUB. NOV. 500mm</v>
          </cell>
        </row>
        <row r="393">
          <cell r="G393" t="str">
            <v>LUBRICANTE TUBO * 500G</v>
          </cell>
        </row>
        <row r="394">
          <cell r="G394" t="str">
            <v>ACCESORIOS NOVAFORT CONEXIÓN DOMICILIARIA ALC</v>
          </cell>
        </row>
        <row r="395">
          <cell r="G395" t="str">
            <v>ABRAZADERA INOX PARA SILLA YEE ó TEE 160mm</v>
          </cell>
        </row>
        <row r="396">
          <cell r="G396" t="str">
            <v>ABRAZADERA INOX PARA SILLA YEE ó TEE 200mm</v>
          </cell>
        </row>
        <row r="397">
          <cell r="G397" t="str">
            <v>ABRAZADERA INOX PARA SILLA YEE ó TEE 250mm</v>
          </cell>
        </row>
        <row r="398">
          <cell r="G398" t="str">
            <v>ABRAZADERA INOX PARA SILLA YEE ó TEE 315mm</v>
          </cell>
        </row>
        <row r="399">
          <cell r="G399" t="str">
            <v>HIDROSELLO SILLA YEE O TEE 160*110mm</v>
          </cell>
        </row>
        <row r="400">
          <cell r="G400" t="str">
            <v>HIDROSELLO SILLA YEE O TEE 200*110mm</v>
          </cell>
        </row>
        <row r="401">
          <cell r="G401" t="str">
            <v>HIDROSELLO SILLA YEE O TEE 200*160mm</v>
          </cell>
        </row>
        <row r="402">
          <cell r="G402" t="str">
            <v>HIDROSELLO SILLA YEE O TEE 250*110mm</v>
          </cell>
        </row>
        <row r="403">
          <cell r="G403" t="str">
            <v>HIDROSELLO SILLA YEE O TEE 250*160mm</v>
          </cell>
        </row>
        <row r="404">
          <cell r="G404" t="str">
            <v>HIDROSELLO SILLA YEE O TEE 315*110mm</v>
          </cell>
        </row>
        <row r="405">
          <cell r="G405" t="str">
            <v>HIDROSELLO SILLA YEE O TEE 315*160mm</v>
          </cell>
        </row>
        <row r="406">
          <cell r="G406" t="str">
            <v>KIT SILLA YEE ó TEE 160*110mm (Incluye Silla, 2 Zunchos y 1 Hidrosello)</v>
          </cell>
        </row>
        <row r="407">
          <cell r="G407" t="str">
            <v>KIT SILLA YEE ó TEE 200*110mm (Incluye Silla, 2 Zunchos y 1 Hidrosello)</v>
          </cell>
        </row>
        <row r="408">
          <cell r="G408" t="str">
            <v>KIT SILLA YEE ó TEE 200*160mm (Incluye Silla, 2 Zunchos y 1 Hidrosello)</v>
          </cell>
        </row>
        <row r="409">
          <cell r="G409" t="str">
            <v>KIT SILLA YEE ó TEE 250*110mm (Incluye Silla, 2 Zunchos y 1 Hidrosello)</v>
          </cell>
        </row>
        <row r="410">
          <cell r="G410" t="str">
            <v>KIT SILLA YEE ó TEE 250*160mm (Incluye Silla, 2 Zunchos y 1 Hidrosello)</v>
          </cell>
        </row>
        <row r="411">
          <cell r="G411" t="str">
            <v>KIT SILLA YEE ó TEE 315*110mm (Incluye Silla, 2 Zunchos y 1 Hidrosello)</v>
          </cell>
        </row>
        <row r="412">
          <cell r="G412" t="str">
            <v>KIT SILLA YEE ó TEE 315*160mm (Incluye Silla, 2 Zunchos y 1 Hidrosello)</v>
          </cell>
        </row>
        <row r="413">
          <cell r="G413" t="str">
            <v>SIKAFLEX 2-21 (Blanco ó Negro) *300g</v>
          </cell>
        </row>
        <row r="414">
          <cell r="G414" t="str">
            <v>SILLA TEE 160*160mm</v>
          </cell>
        </row>
        <row r="415">
          <cell r="G415" t="str">
            <v>SILLA TEE 24"*160mm</v>
          </cell>
        </row>
        <row r="416">
          <cell r="G416" t="str">
            <v>SILLA TEE 400*160mm</v>
          </cell>
        </row>
        <row r="417">
          <cell r="G417" t="str">
            <v>SILLA TEE ó YEE 200*160mm</v>
          </cell>
        </row>
        <row r="418">
          <cell r="G418" t="str">
            <v>SILLA TEE ó YEE 250*160mm</v>
          </cell>
        </row>
        <row r="419">
          <cell r="G419" t="str">
            <v>SILLA TEE ó YEE 315*160mm</v>
          </cell>
        </row>
        <row r="420">
          <cell r="G420" t="str">
            <v>SILLA TEE ó YEE 355*160mm</v>
          </cell>
        </row>
        <row r="421">
          <cell r="G421" t="str">
            <v>SILLA TEE ó YEE 450*160mm</v>
          </cell>
        </row>
        <row r="422">
          <cell r="G422" t="str">
            <v>SILLA TEE ó YEE 500*160mm</v>
          </cell>
        </row>
        <row r="423">
          <cell r="G423" t="str">
            <v>SILLA YEE 24"*160mm</v>
          </cell>
        </row>
        <row r="424">
          <cell r="G424" t="str">
            <v>SILLA YEE 27"*160mm</v>
          </cell>
        </row>
        <row r="425">
          <cell r="G425" t="str">
            <v>SILLA YEE 30"*160mm</v>
          </cell>
        </row>
        <row r="426">
          <cell r="G426" t="str">
            <v>SILLA YEE 33"*160mm</v>
          </cell>
        </row>
        <row r="427">
          <cell r="G427" t="str">
            <v>SILLA YEE 36"*160mm</v>
          </cell>
        </row>
        <row r="428">
          <cell r="G428" t="str">
            <v>SILLA YEE 400*160mm</v>
          </cell>
        </row>
        <row r="429">
          <cell r="G429" t="str">
            <v>MADERAS</v>
          </cell>
        </row>
        <row r="430">
          <cell r="G430" t="str">
            <v>TABLA DE 1M * 3M DE LARGO_ORDINARIA</v>
          </cell>
        </row>
        <row r="431">
          <cell r="G431" t="str">
            <v>TABLA DE 1M * 3M DE LARGO_SAPAN</v>
          </cell>
        </row>
        <row r="432">
          <cell r="G432" t="str">
            <v>TABLA DE 1M * 3M DE LARGO_MOCRO</v>
          </cell>
        </row>
        <row r="433">
          <cell r="G433" t="str">
            <v>TABLA DE A:10CM * L:3M ORDINARIA</v>
          </cell>
        </row>
        <row r="434">
          <cell r="G434" t="str">
            <v>TABLA DE A:10CM * L:3M SAPAN</v>
          </cell>
        </row>
        <row r="435">
          <cell r="G435" t="str">
            <v>TABLA DE A:10CM * L:3M MONCRO</v>
          </cell>
        </row>
        <row r="436">
          <cell r="G436" t="str">
            <v>TABLA DE A:15CM * L:3M ORDINARIA</v>
          </cell>
        </row>
        <row r="437">
          <cell r="G437" t="str">
            <v>TABLA DE A:15CM * L:3M SAPAN</v>
          </cell>
        </row>
        <row r="438">
          <cell r="G438" t="str">
            <v>TABLA DE A:15CM * L:3M MONCRO</v>
          </cell>
        </row>
        <row r="439">
          <cell r="G439" t="str">
            <v>TABLA DE A:20CM * L:3M ORDINARIA</v>
          </cell>
        </row>
        <row r="440">
          <cell r="G440" t="str">
            <v>TABLA DE A:20CM * L:3M SAPAN</v>
          </cell>
        </row>
        <row r="441">
          <cell r="G441" t="str">
            <v>TABLA DE A:20CM * L:3M MONCRO</v>
          </cell>
        </row>
        <row r="442">
          <cell r="G442" t="str">
            <v>TABLA DE A:25CM * L:3M ORDINARIA</v>
          </cell>
        </row>
        <row r="443">
          <cell r="G443" t="str">
            <v>TABLA DE A:25CM * L:3M SAPAN</v>
          </cell>
        </row>
        <row r="444">
          <cell r="G444" t="str">
            <v>TABLA DE A:25CM * L:3M MONCRO</v>
          </cell>
        </row>
        <row r="445">
          <cell r="G445" t="str">
            <v>TABLA DE A:30CM * L:3M ORDINARIA</v>
          </cell>
        </row>
        <row r="446">
          <cell r="G446" t="str">
            <v>TABLA DE A:30CM * L:3M SAPAN</v>
          </cell>
        </row>
        <row r="447">
          <cell r="G447" t="str">
            <v>TABLA DE A:30CM * L:3M MONCRO</v>
          </cell>
        </row>
        <row r="448">
          <cell r="G448" t="str">
            <v>VIGA DE 9*15*6M SAPAN</v>
          </cell>
        </row>
        <row r="449">
          <cell r="G449" t="str">
            <v>TABLA DE 3M*20 CM MONCRO</v>
          </cell>
        </row>
        <row r="450">
          <cell r="G450" t="str">
            <v>TABLA DE 3M*20 CM ORDINARIA</v>
          </cell>
        </row>
        <row r="451">
          <cell r="G451" t="str">
            <v>TABLA DE 3M*20 CM SAPAN</v>
          </cell>
        </row>
        <row r="452">
          <cell r="G452" t="str">
            <v>VARETA 9*5- SAPAN DE 3M</v>
          </cell>
        </row>
        <row r="453">
          <cell r="G453" t="str">
            <v>VIGA 12X1X2 - 3 MTS</v>
          </cell>
        </row>
        <row r="454">
          <cell r="G454" t="str">
            <v>VIGA 6 MTS 9X18 - ZAPAN</v>
          </cell>
        </row>
        <row r="455">
          <cell r="G455" t="str">
            <v>VIGA EN MADERA 15*15*3M sapan</v>
          </cell>
        </row>
        <row r="456">
          <cell r="G456" t="str">
            <v>VIGA EN MADERA 15*15*3M pino</v>
          </cell>
        </row>
        <row r="457">
          <cell r="G457" t="str">
            <v>COLUMNA EN MADERA 15*15*3m SAPAN</v>
          </cell>
        </row>
        <row r="458">
          <cell r="G458" t="str">
            <v>COLUMNA EN MADERA 15*15*3m PINO</v>
          </cell>
        </row>
        <row r="459">
          <cell r="G459" t="str">
            <v>CUBIERTAS</v>
          </cell>
        </row>
        <row r="460">
          <cell r="G460" t="str">
            <v>LACA</v>
          </cell>
        </row>
        <row r="461">
          <cell r="G461" t="str">
            <v>MACHIMBRE DE PINO</v>
          </cell>
        </row>
        <row r="462">
          <cell r="G462" t="str">
            <v>MACHIMBRE DE SAPAN</v>
          </cell>
        </row>
        <row r="463">
          <cell r="G463" t="str">
            <v>TEJA DE BARRO ESPAÑOLETA</v>
          </cell>
        </row>
        <row r="464">
          <cell r="G464" t="str">
            <v>TEJA DE BARRO GUAYABAL</v>
          </cell>
        </row>
        <row r="465">
          <cell r="G465" t="str">
            <v>TEJA DE ETERNIT 4 (1.20M)</v>
          </cell>
        </row>
        <row r="466">
          <cell r="G466" t="str">
            <v>TEJA DE ETERNIT 5 (1.50M)</v>
          </cell>
        </row>
        <row r="467">
          <cell r="G467" t="str">
            <v>TEJA DE ETERNIT 6 (1.80M)</v>
          </cell>
        </row>
        <row r="468">
          <cell r="G468" t="str">
            <v>TEJA DE ETERNIT 8 (2.40M)</v>
          </cell>
        </row>
        <row r="469">
          <cell r="G469" t="str">
            <v>TEJA DE ETERNIT 10 (3M)</v>
          </cell>
        </row>
        <row r="470">
          <cell r="G470" t="str">
            <v>TEJA M.T THERMOACUSTICA</v>
          </cell>
        </row>
        <row r="471">
          <cell r="G471" t="str">
            <v>TELA ASFALTICA CON ADH ROLLO * 20 MTS * 1M</v>
          </cell>
        </row>
        <row r="472">
          <cell r="G472" t="str">
            <v xml:space="preserve">ORNAMENTACION </v>
          </cell>
        </row>
        <row r="473">
          <cell r="G473" t="str">
            <v>PUERTA METALICA DE 1*2M CON MARCO CAL 20</v>
          </cell>
        </row>
        <row r="474">
          <cell r="G474" t="str">
            <v>PUERTA METALICA DE 0.8*2M CON MARCO CAL 20</v>
          </cell>
        </row>
        <row r="475">
          <cell r="G475" t="str">
            <v>PUERTA METALICA DE 0.7*2M CON MARCO CAL 20</v>
          </cell>
        </row>
        <row r="476">
          <cell r="G476" t="str">
            <v>PUERTA METALICA DE 1*2M CON MARCO CAL 18</v>
          </cell>
        </row>
        <row r="477">
          <cell r="G477" t="str">
            <v>PUERTA METALICA DE 0.8*2M CON MARCO CAL 18</v>
          </cell>
        </row>
        <row r="478">
          <cell r="G478" t="str">
            <v>PUERTA METALICA DE 0.7*2M CON MARCO CAL 18</v>
          </cell>
        </row>
        <row r="479">
          <cell r="G479" t="str">
            <v>VENTANA METALICA DE 1*1M SIN VIDRIO CAL 20 sin reja</v>
          </cell>
        </row>
        <row r="480">
          <cell r="G480" t="str">
            <v>VENTANA METALICA DE 1*1M SIN VIDRIO CAL 20 con reja</v>
          </cell>
        </row>
        <row r="481">
          <cell r="G481" t="str">
            <v>VENTANA METALICA DE 0.6*0.4M SIN VIDRIO CAL 20</v>
          </cell>
        </row>
        <row r="482">
          <cell r="G482" t="str">
            <v>LAMINA METALICA CALIBRE 20 (2*1M)</v>
          </cell>
        </row>
        <row r="483">
          <cell r="G483" t="str">
            <v>LAMINA METALICA CALIBRE 18 (2*1)</v>
          </cell>
        </row>
        <row r="484">
          <cell r="G484" t="str">
            <v xml:space="preserve">LAMINA METALICA 4*8 CALIBRE 18 (1.22*2.44M) </v>
          </cell>
        </row>
        <row r="485">
          <cell r="G485" t="str">
            <v>CANAL METALICO CAL 20 * 50 CM DE DESARROLLO CON ANTICORROSIVO</v>
          </cell>
        </row>
        <row r="486">
          <cell r="G486" t="str">
            <v>CANAL METALICO CON ANTICORROSIVO</v>
          </cell>
        </row>
        <row r="487">
          <cell r="G487" t="str">
            <v>BAJANTE METALICO CON ANTICORROSIVO</v>
          </cell>
        </row>
        <row r="488">
          <cell r="G488" t="str">
            <v>BAJANTE PLASTICO CUADRADO *3 M</v>
          </cell>
        </row>
        <row r="489">
          <cell r="G489" t="str">
            <v>BISAGRA DE 3" * 3"</v>
          </cell>
        </row>
        <row r="490">
          <cell r="G490" t="str">
            <v>----</v>
          </cell>
        </row>
        <row r="526">
          <cell r="G526" t="str">
            <v>MANO DE OBRA</v>
          </cell>
        </row>
        <row r="527">
          <cell r="G527" t="str">
            <v xml:space="preserve">AYUDANTES </v>
          </cell>
        </row>
        <row r="528">
          <cell r="G528" t="str">
            <v>CADENEROS</v>
          </cell>
        </row>
        <row r="529">
          <cell r="G529" t="str">
            <v>OFICIALES</v>
          </cell>
        </row>
        <row r="530">
          <cell r="G530" t="str">
            <v>TOPOGRAFOS</v>
          </cell>
        </row>
        <row r="531">
          <cell r="G531" t="str">
            <v xml:space="preserve">Ayudante </v>
          </cell>
        </row>
        <row r="532">
          <cell r="G532" t="str">
            <v>Oficial</v>
          </cell>
        </row>
        <row r="533">
          <cell r="G533" t="str">
            <v>Cuadrilla A</v>
          </cell>
        </row>
        <row r="534">
          <cell r="G534" t="str">
            <v>(1 ayud)</v>
          </cell>
        </row>
        <row r="535">
          <cell r="G535" t="str">
            <v>Cuadrilla B</v>
          </cell>
        </row>
        <row r="536">
          <cell r="G536" t="str">
            <v>(1 Ayud + 1 Of)</v>
          </cell>
        </row>
        <row r="537">
          <cell r="G537" t="str">
            <v>Cuadrilla C</v>
          </cell>
        </row>
        <row r="538">
          <cell r="G538" t="str">
            <v>(1 Ayud + 1 Of + 1 M)</v>
          </cell>
        </row>
        <row r="539">
          <cell r="G539" t="str">
            <v xml:space="preserve">Maestro </v>
          </cell>
        </row>
        <row r="540">
          <cell r="G540" t="str">
            <v>----</v>
          </cell>
        </row>
        <row r="545">
          <cell r="G545" t="str">
            <v>TRANSPORTES</v>
          </cell>
        </row>
        <row r="546">
          <cell r="G546" t="str">
            <v>ACERO</v>
          </cell>
        </row>
        <row r="547">
          <cell r="G547" t="str">
            <v>ARENA DE RIO</v>
          </cell>
        </row>
        <row r="548">
          <cell r="G548" t="str">
            <v>BLOQUE</v>
          </cell>
        </row>
        <row r="549">
          <cell r="G549" t="str">
            <v>CARROTANQUE DE AGUA</v>
          </cell>
        </row>
        <row r="550">
          <cell r="G550" t="str">
            <v>CEMENTO</v>
          </cell>
        </row>
        <row r="551">
          <cell r="G551" t="str">
            <v xml:space="preserve">MATERIAL SOBRANTE EN EXCAVACION </v>
          </cell>
        </row>
        <row r="552">
          <cell r="G552" t="str">
            <v>SUB BASE</v>
          </cell>
        </row>
        <row r="553">
          <cell r="G553" t="str">
            <v xml:space="preserve">Transporte </v>
          </cell>
        </row>
        <row r="554">
          <cell r="G554" t="str">
            <v xml:space="preserve">Transporte vidrios 7mm y accesorios </v>
          </cell>
        </row>
        <row r="555">
          <cell r="G555" t="str">
            <v xml:space="preserve">Transporte </v>
          </cell>
        </row>
        <row r="556">
          <cell r="G556" t="str">
            <v>Transporte modulo terminado</v>
          </cell>
        </row>
        <row r="557">
          <cell r="G557" t="str">
            <v>TRITURADO</v>
          </cell>
        </row>
        <row r="558">
          <cell r="G558" t="str">
            <v xml:space="preserve">PIEDRA RAJON </v>
          </cell>
        </row>
        <row r="559">
          <cell r="G559" t="str">
            <v>TUBERIA ALCANTARILLADO</v>
          </cell>
        </row>
        <row r="560">
          <cell r="G560" t="str">
            <v>----</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Resumen"/>
      <sheetName val="TORTA"/>
      <sheetName val="Resum_Pav"/>
      <sheetName val="INVENT.ALC-CUNETAS 90BLB"/>
      <sheetName val="PUENTES Y PONTONES"/>
      <sheetName val="SEÑAL VERTICAL90BLB"/>
      <sheetName val="SEÑAL HORIZONTAL90BLB"/>
      <sheetName val="Tabla"/>
    </sheetNames>
    <sheetDataSet>
      <sheetData sheetId="0"/>
      <sheetData sheetId="1"/>
      <sheetData sheetId="2"/>
      <sheetData sheetId="3"/>
      <sheetData sheetId="4"/>
      <sheetData sheetId="5"/>
      <sheetData sheetId="6"/>
      <sheetData sheetId="7"/>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Gráfica-Apartada"/>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G (2)"/>
      <sheetName val="CAJA"/>
      <sheetName val="Adm-Ag04 a Feb05"/>
      <sheetName val="Prog. Meta"/>
      <sheetName val="Avance Capitulos"/>
      <sheetName val="Seguimiento"/>
      <sheetName val="Prog. Int."/>
      <sheetName val="CAP_S"/>
      <sheetName val="Gastos Jun a Jul-05"/>
      <sheetName val="Resumen general"/>
      <sheetName val="PYG"/>
      <sheetName val="Hoja10"/>
      <sheetName val="PROGRAMACION"/>
      <sheetName val="Base general"/>
      <sheetName val="Avance Activ_"/>
      <sheetName val="Atrasos"/>
      <sheetName val="Produccion"/>
      <sheetName val="BASE"/>
    </sheetNames>
    <sheetDataSet>
      <sheetData sheetId="0" refreshError="1"/>
      <sheetData sheetId="1">
        <row r="8">
          <cell r="AB8" t="str">
            <v>JULIO</v>
          </cell>
        </row>
      </sheetData>
      <sheetData sheetId="2"/>
      <sheetData sheetId="3"/>
      <sheetData sheetId="4" refreshError="1"/>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sheetData sheetId="15"/>
      <sheetData sheetId="16" refreshError="1"/>
      <sheetData sheetId="1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DE OBRA "/>
      <sheetName val="PRESUPUEST0"/>
      <sheetName val="INDICE"/>
      <sheetName val="Equipo"/>
      <sheetName val="materiales"/>
      <sheetName val="otros"/>
      <sheetName val="200.1"/>
      <sheetName val="200.2"/>
      <sheetName val="201.3"/>
      <sheetName val="201.4"/>
      <sheetName val="201.7"/>
      <sheetName val="201.8"/>
      <sheetName val="201.9"/>
      <sheetName val="201.10"/>
      <sheetName val="201.11"/>
      <sheetName val="201.12"/>
      <sheetName val="201.15"/>
      <sheetName val="201.16"/>
      <sheetName val="210.1.1"/>
      <sheetName val="210.1.2"/>
      <sheetName val="210.2.1"/>
      <sheetName val="210.2.2"/>
      <sheetName val="210.2.3"/>
      <sheetName val="210.2.4"/>
      <sheetName val="211.1"/>
      <sheetName val="211.1.P1"/>
      <sheetName val="220"/>
      <sheetName val="221.1"/>
      <sheetName val="221.2"/>
      <sheetName val="230.1"/>
      <sheetName val="230.2"/>
      <sheetName val="231.1"/>
      <sheetName val="232.1"/>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343.P"/>
      <sheetName val="410.1"/>
      <sheetName val="410.2"/>
      <sheetName val="411.1"/>
      <sheetName val="411.2"/>
      <sheetName val="411.3"/>
      <sheetName val="414.1"/>
      <sheetName val="414.2"/>
      <sheetName val="414.3"/>
      <sheetName val="414.4"/>
      <sheetName val="414.5"/>
      <sheetName val="415"/>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
      <sheetName val="441.2"/>
      <sheetName val="441.3"/>
      <sheetName val="441.4"/>
      <sheetName val="450.1"/>
      <sheetName val="450.2 COMPRADA"/>
      <sheetName val="450.3 COMPRADA"/>
      <sheetName val="450.9"/>
      <sheetName val="450.9P"/>
      <sheetName val="450.1.1 COMPRADA"/>
      <sheetName val="450.1.2 COMPRADA"/>
      <sheetName val="451.1 COMPRADA"/>
      <sheetName val="451.2 COMPRADA "/>
      <sheetName val="451.3 COMPRADA  "/>
      <sheetName val="451.4 "/>
      <sheetName val="452.1 COMPRADA"/>
      <sheetName val="452.2 COMPRADA"/>
      <sheetName val="452.3 COMPRADA"/>
      <sheetName val="452.4 COMPRADA"/>
      <sheetName val="453.1"/>
      <sheetName val="460.1"/>
      <sheetName val="461.1"/>
      <sheetName val="461.2"/>
      <sheetName val="462.1.1"/>
      <sheetName val="462.1.2"/>
      <sheetName val="464.1 "/>
      <sheetName val="464.1P"/>
      <sheetName val="464.2"/>
      <sheetName val="464.3"/>
      <sheetName val="464.4"/>
      <sheetName val="465.1"/>
      <sheetName val="466.1"/>
      <sheetName val="466.2"/>
      <sheetName val="500"/>
      <sheetName val="510"/>
      <sheetName val="600.1"/>
      <sheetName val="600.2"/>
      <sheetName val="600.3"/>
      <sheetName val="600.4"/>
      <sheetName val="600.5"/>
      <sheetName val="610.1"/>
      <sheetName val="610.2"/>
      <sheetName val="620.1"/>
      <sheetName val="620.2"/>
      <sheetName val="621.1"/>
      <sheetName val="621.2"/>
      <sheetName val="622.1"/>
      <sheetName val="622.5"/>
      <sheetName val="623.1"/>
      <sheetName val="623.2"/>
      <sheetName val="630.1"/>
      <sheetName val="630.2"/>
      <sheetName val="630.3"/>
      <sheetName val="630.4"/>
      <sheetName val="630.5"/>
      <sheetName val="630.6"/>
      <sheetName val="630.7"/>
      <sheetName val="631P BOLSACRETO"/>
      <sheetName val="632.1"/>
      <sheetName val="640.1"/>
      <sheetName val="640.2"/>
      <sheetName val="641.1"/>
      <sheetName val="642.1"/>
      <sheetName val="642.2"/>
      <sheetName val="650.1"/>
      <sheetName val="650.2"/>
      <sheetName val="650.3"/>
      <sheetName val="650.4"/>
      <sheetName val="660.1"/>
      <sheetName val="660.2"/>
      <sheetName val="660.3"/>
      <sheetName val="661 TIPO 1"/>
      <sheetName val="661 TIPO 2"/>
      <sheetName val="661 OTRO"/>
      <sheetName val="662.1"/>
      <sheetName val="670.1"/>
      <sheetName val="670.2"/>
      <sheetName val="671.1"/>
      <sheetName val="672.1"/>
      <sheetName val="673.1"/>
      <sheetName val="673.2"/>
      <sheetName val="673.3"/>
      <sheetName val="673.4P"/>
      <sheetName val="674.1"/>
      <sheetName val="674.2"/>
      <sheetName val="680.1"/>
      <sheetName val="680.2"/>
      <sheetName val="680.3"/>
      <sheetName val="681.1"/>
      <sheetName val="682"/>
      <sheetName val="682.1"/>
      <sheetName val="690.1"/>
      <sheetName val="700.1"/>
      <sheetName val="700.2"/>
      <sheetName val="700.3"/>
      <sheetName val="700.4"/>
      <sheetName val="701.1"/>
      <sheetName val="701 P"/>
      <sheetName val="710.1.1"/>
      <sheetName val="710.1.1 (2)"/>
      <sheetName val="710.2"/>
      <sheetName val="710.1.3"/>
      <sheetName val="710.1.4"/>
      <sheetName val="710.1.5"/>
      <sheetName val="720"/>
      <sheetName val="730.1"/>
      <sheetName val="730.2"/>
      <sheetName val="730.3"/>
      <sheetName val="740.1"/>
      <sheetName val="800.1"/>
      <sheetName val="800.2"/>
      <sheetName val="800.3"/>
      <sheetName val="800.4"/>
      <sheetName val="801.1"/>
      <sheetName val="801.2"/>
      <sheetName val="801.3"/>
      <sheetName val="801.4"/>
      <sheetName val="801.5"/>
      <sheetName val="801.6"/>
      <sheetName val="801.7"/>
      <sheetName val="810.1"/>
      <sheetName val="810.2"/>
      <sheetName val="810.3"/>
      <sheetName val="820P1"/>
      <sheetName val="900.1"/>
      <sheetName val="900.2"/>
      <sheetName val="900.3"/>
    </sheetNames>
    <sheetDataSet>
      <sheetData sheetId="0" refreshError="1"/>
      <sheetData sheetId="1" refreshError="1"/>
      <sheetData sheetId="2" refreshError="1">
        <row r="9">
          <cell r="A9">
            <v>200.1</v>
          </cell>
          <cell r="B9" t="str">
            <v>200-07</v>
          </cell>
          <cell r="D9" t="str">
            <v>DESMONTE Y LIMPIEZA: Desmonte y limpieza en bosque</v>
          </cell>
          <cell r="E9" t="str">
            <v>3.6.1.2.1</v>
          </cell>
          <cell r="F9" t="str">
            <v xml:space="preserve"> HA</v>
          </cell>
          <cell r="G9">
            <v>2599578</v>
          </cell>
        </row>
        <row r="10">
          <cell r="A10">
            <v>200.2</v>
          </cell>
          <cell r="B10" t="str">
            <v>200-07</v>
          </cell>
          <cell r="D10" t="str">
            <v>DESMONTE Y LIMPIEZA:Desmonte y limpieza en zonas no boscosas</v>
          </cell>
          <cell r="E10" t="str">
            <v>3.6.1.2.3</v>
          </cell>
          <cell r="F10" t="str">
            <v xml:space="preserve"> HA</v>
          </cell>
          <cell r="G10">
            <v>839232.66666666674</v>
          </cell>
        </row>
        <row r="11">
          <cell r="A11" t="str">
            <v>ARTICULO 201 - DEMOLICIÓN Y REMOCIÓN</v>
          </cell>
        </row>
        <row r="12">
          <cell r="A12">
            <v>201.3</v>
          </cell>
          <cell r="B12" t="str">
            <v>201-07</v>
          </cell>
          <cell r="D12" t="str">
            <v>DEMOLICIÓN Y REMOCIÓN:Demolicion de pavimentos rígidos, pisos, andenes y bordillos de concreto.</v>
          </cell>
          <cell r="E12" t="str">
            <v>3.6.1.3.33</v>
          </cell>
          <cell r="F12" t="str">
            <v>GL</v>
          </cell>
          <cell r="G12">
            <v>36133</v>
          </cell>
        </row>
        <row r="13">
          <cell r="A13">
            <v>201.4</v>
          </cell>
          <cell r="B13">
            <v>201.07</v>
          </cell>
          <cell r="D13" t="str">
            <v>DEMOLICIÓN Y REMOCIÓN:Demolicion de obstáculos</v>
          </cell>
          <cell r="F13" t="str">
            <v>GL</v>
          </cell>
          <cell r="G13">
            <v>65224</v>
          </cell>
        </row>
        <row r="14">
          <cell r="A14">
            <v>201.7</v>
          </cell>
          <cell r="B14" t="str">
            <v>201-07</v>
          </cell>
          <cell r="D14" t="str">
            <v>DEMOLICIÓN Y REMOCIÓN: Demolición de estructuras</v>
          </cell>
          <cell r="E14" t="str">
            <v xml:space="preserve">3.6.1.3.13  </v>
          </cell>
          <cell r="F14" t="str">
            <v>M³</v>
          </cell>
          <cell r="G14">
            <v>45567</v>
          </cell>
        </row>
        <row r="15">
          <cell r="A15" t="str">
            <v>201.8</v>
          </cell>
          <cell r="B15" t="str">
            <v>201-07</v>
          </cell>
          <cell r="D15" t="str">
            <v>DEMOLICIÓN Y REMOCIÓN: Demolición de pavimentos rígidos</v>
          </cell>
          <cell r="E15" t="str">
            <v>3.6.1.3.15</v>
          </cell>
          <cell r="F15" t="str">
            <v>M2</v>
          </cell>
          <cell r="G15">
            <v>15666</v>
          </cell>
        </row>
        <row r="16">
          <cell r="A16">
            <v>201.9</v>
          </cell>
          <cell r="B16" t="str">
            <v>201-07</v>
          </cell>
          <cell r="D16" t="str">
            <v>DEMOLICIÓN Y REMOCIÓN: Demolición de pisos y andenes de concreto</v>
          </cell>
          <cell r="E16" t="str">
            <v>3.6.1.3.33</v>
          </cell>
          <cell r="F16" t="str">
            <v>M²</v>
          </cell>
          <cell r="G16">
            <v>13941</v>
          </cell>
        </row>
        <row r="17">
          <cell r="A17" t="str">
            <v>201.10</v>
          </cell>
          <cell r="B17" t="str">
            <v>201.07</v>
          </cell>
          <cell r="D17" t="str">
            <v>DEMOLICIÓN Y REMOCIÓN:Demolicion de bordillos de concreto</v>
          </cell>
          <cell r="E17" t="str">
            <v>3.6.1.3.35</v>
          </cell>
          <cell r="F17" t="str">
            <v>M</v>
          </cell>
          <cell r="G17">
            <v>16059</v>
          </cell>
        </row>
        <row r="18">
          <cell r="A18" t="str">
            <v>201.11</v>
          </cell>
          <cell r="B18" t="str">
            <v>201-07</v>
          </cell>
          <cell r="D18" t="str">
            <v xml:space="preserve">DEMOLICIÓN Y REMOCIÓN:Desmontaje y traslado de estructuras metálicas. </v>
          </cell>
          <cell r="F18" t="str">
            <v>KG</v>
          </cell>
          <cell r="G18">
            <v>312</v>
          </cell>
        </row>
        <row r="19">
          <cell r="A19" t="str">
            <v>201.12</v>
          </cell>
          <cell r="B19" t="str">
            <v>201-07</v>
          </cell>
          <cell r="D19" t="str">
            <v xml:space="preserve">DEMOLICIÓN Y REMOCIÓN:Remocion de especies vegetales  </v>
          </cell>
          <cell r="E19" t="str">
            <v>3.6.1.3.47</v>
          </cell>
          <cell r="F19" t="str">
            <v>U</v>
          </cell>
          <cell r="G19">
            <v>388005</v>
          </cell>
        </row>
        <row r="20">
          <cell r="A20" t="str">
            <v>201.15</v>
          </cell>
          <cell r="B20" t="str">
            <v>201-07</v>
          </cell>
          <cell r="D20" t="str">
            <v>DEMOLICIÓN Y REMOCIÓN:Remocion de alcantarillas</v>
          </cell>
          <cell r="E20" t="str">
            <v>3.6.1.3</v>
          </cell>
          <cell r="F20" t="str">
            <v>ML</v>
          </cell>
          <cell r="G20">
            <v>33344</v>
          </cell>
        </row>
        <row r="21">
          <cell r="A21" t="str">
            <v>201.16</v>
          </cell>
          <cell r="B21" t="str">
            <v>201-07</v>
          </cell>
          <cell r="D21" t="str">
            <v xml:space="preserve">DEMOLICIÓN Y REMOCIÓN:Remocion de cercas de alambre   </v>
          </cell>
          <cell r="F21" t="str">
            <v>ML</v>
          </cell>
          <cell r="G21">
            <v>2866</v>
          </cell>
        </row>
        <row r="22">
          <cell r="A22" t="str">
            <v xml:space="preserve">ARTICULO 210 - EXCAVACIÓN DE LA EXPLANACIÓN, CANALES Y PRÉSTAMOS </v>
          </cell>
        </row>
        <row r="23">
          <cell r="A23" t="str">
            <v>210.1.1</v>
          </cell>
          <cell r="B23" t="str">
            <v>210-07</v>
          </cell>
          <cell r="D23" t="str">
            <v>EXCAVACIÓN  DE LA EXPLANACIÓN, CANALES Y PRÉSTAMOS: Excavación sin clasificar de la explanación y canales</v>
          </cell>
          <cell r="E23" t="str">
            <v xml:space="preserve">3.6.2.1.1 </v>
          </cell>
          <cell r="F23" t="str">
            <v>M³</v>
          </cell>
          <cell r="G23">
            <v>4781</v>
          </cell>
        </row>
        <row r="24">
          <cell r="A24" t="str">
            <v>210.1,2</v>
          </cell>
          <cell r="B24" t="str">
            <v>210-07</v>
          </cell>
          <cell r="D24" t="str">
            <v>EXCAVACIÓN DE LA EXPLANACIÓN, CANALES Y PRÉSTAMOS :Excavación sin clasificar de prestamos</v>
          </cell>
          <cell r="F24" t="str">
            <v>M³</v>
          </cell>
          <cell r="G24">
            <v>4929</v>
          </cell>
        </row>
        <row r="25">
          <cell r="A25" t="str">
            <v>210.2.1</v>
          </cell>
          <cell r="B25" t="str">
            <v>210-07</v>
          </cell>
          <cell r="D25" t="str">
            <v>EXCAVACIÓN  DE LA EXPLANACIÓN, CANALES Y PRÉSTAMOS: Excavación en roca de la explanación y canales</v>
          </cell>
          <cell r="E25" t="str">
            <v>3.6.2.1.3</v>
          </cell>
          <cell r="F25" t="str">
            <v>M³</v>
          </cell>
          <cell r="G25">
            <v>27032</v>
          </cell>
        </row>
        <row r="26">
          <cell r="A26" t="str">
            <v>210.2.2</v>
          </cell>
          <cell r="B26" t="str">
            <v>210-07</v>
          </cell>
          <cell r="D26" t="str">
            <v>EXCAVACIÓN DE LA EXPLANACIÓN, CANALES Y PRÉSTAMOS :Excavación en material común de la explanación y canales</v>
          </cell>
          <cell r="E26" t="str">
            <v>3.6.2.1.5</v>
          </cell>
          <cell r="F26" t="str">
            <v>M³</v>
          </cell>
          <cell r="G26">
            <v>4334</v>
          </cell>
        </row>
        <row r="27">
          <cell r="A27" t="str">
            <v>210.2.3</v>
          </cell>
          <cell r="B27" t="str">
            <v>210-07</v>
          </cell>
          <cell r="D27" t="str">
            <v>EXCAVACIÓN DE LA EXPLANACIÓN, CANALES Y PRÉSTAMOS :Excavación en roca de prestamos</v>
          </cell>
          <cell r="F27" t="str">
            <v>M³</v>
          </cell>
          <cell r="G27">
            <v>27032</v>
          </cell>
        </row>
        <row r="28">
          <cell r="A28" t="str">
            <v>210.2.4</v>
          </cell>
          <cell r="B28" t="str">
            <v>210-07</v>
          </cell>
          <cell r="D28" t="str">
            <v>EXCAVACIÓN DE LA EXPLANACIÓN, CANALES Y PRÉSTAMOS :Excavación en material común de prestamos</v>
          </cell>
          <cell r="F28" t="str">
            <v>M³</v>
          </cell>
          <cell r="G28">
            <v>4334</v>
          </cell>
        </row>
        <row r="29">
          <cell r="A29" t="str">
            <v xml:space="preserve">ARTICULO 211 - REMOCIÓN DE DERRUMBES </v>
          </cell>
        </row>
        <row r="30">
          <cell r="A30">
            <v>211.1</v>
          </cell>
          <cell r="B30" t="str">
            <v>211-07</v>
          </cell>
          <cell r="D30" t="str">
            <v>REMOCIÓN DE DERRUMBES:Remocion de derrumbes</v>
          </cell>
          <cell r="E30" t="str">
            <v xml:space="preserve">3.6.2.2.1  </v>
          </cell>
          <cell r="F30" t="str">
            <v>M³</v>
          </cell>
          <cell r="G30">
            <v>6594</v>
          </cell>
        </row>
        <row r="31">
          <cell r="A31" t="str">
            <v xml:space="preserve">ARTICULO 220 - TERRAPLENES </v>
          </cell>
        </row>
        <row r="32">
          <cell r="A32" t="str">
            <v>220.1</v>
          </cell>
          <cell r="B32" t="str">
            <v>220-07</v>
          </cell>
          <cell r="D32" t="str">
            <v>TERRAPLENES :Terraplenes</v>
          </cell>
          <cell r="E32" t="str">
            <v>3.6.2.3.1</v>
          </cell>
          <cell r="F32" t="str">
            <v>M³</v>
          </cell>
          <cell r="G32">
            <v>10446</v>
          </cell>
        </row>
        <row r="33">
          <cell r="A33" t="str">
            <v>ARTICULO 221 - PEDRAPLENES</v>
          </cell>
        </row>
        <row r="34">
          <cell r="A34" t="str">
            <v>221.1</v>
          </cell>
          <cell r="B34" t="str">
            <v>221-07</v>
          </cell>
          <cell r="D34" t="str">
            <v>PEDRAPLENES:Pedraplen compacto</v>
          </cell>
          <cell r="E34" t="str">
            <v>3.6.2.4.2</v>
          </cell>
          <cell r="F34" t="str">
            <v>M³</v>
          </cell>
          <cell r="G34">
            <v>13241</v>
          </cell>
        </row>
        <row r="35">
          <cell r="A35" t="str">
            <v>221.2</v>
          </cell>
          <cell r="B35" t="str">
            <v>221-07</v>
          </cell>
          <cell r="D35" t="str">
            <v>PEDRAPLENES:Pedraplen suelto</v>
          </cell>
          <cell r="E35" t="str">
            <v>3.6.2.4.1</v>
          </cell>
          <cell r="F35" t="str">
            <v>M³</v>
          </cell>
          <cell r="G35">
            <v>9530</v>
          </cell>
        </row>
        <row r="36">
          <cell r="A36" t="str">
            <v>ARTICULO 230 - MEJORAMIENTO DE LA SUBRASANTE</v>
          </cell>
        </row>
        <row r="37">
          <cell r="A37" t="str">
            <v>230.1</v>
          </cell>
          <cell r="B37" t="str">
            <v>230-07</v>
          </cell>
          <cell r="D37" t="str">
            <v>MEJORAMIENTO DE LA SUBRASANTE:Mejoramiento de la subrasante involucrando suelo existente</v>
          </cell>
          <cell r="E37" t="str">
            <v>3.6.2.5.1</v>
          </cell>
          <cell r="F37" t="str">
            <v>M²</v>
          </cell>
          <cell r="G37">
            <v>538</v>
          </cell>
        </row>
        <row r="38">
          <cell r="A38" t="str">
            <v>230.2</v>
          </cell>
          <cell r="B38" t="str">
            <v>230-07</v>
          </cell>
          <cell r="D38" t="str">
            <v>MEJORAMIENTO DE LA SUBRASANTE:Mejoramiento de la subrasante empleando únicamente material adicionado</v>
          </cell>
          <cell r="E38" t="str">
            <v>3.6.2.5.2</v>
          </cell>
          <cell r="F38" t="str">
            <v>M³</v>
          </cell>
          <cell r="G38">
            <v>12508</v>
          </cell>
        </row>
        <row r="39">
          <cell r="A39" t="str">
            <v>ARTICULO 231 - SEPARACIÓN DE SUELOS DE SUBRASANTE Y  CAPAS GRANULARES CON GEOTEXTIL</v>
          </cell>
        </row>
        <row r="40">
          <cell r="A40" t="str">
            <v xml:space="preserve">231.1 </v>
          </cell>
          <cell r="B40" t="str">
            <v>231-07</v>
          </cell>
          <cell r="D40" t="str">
            <v>SEPARACIÓN DE SUELOS DE SUBRASANTE Y  CAPAS GRANULARES CON GEOTEXTIL:Geotextil para separación de suelo de subrasante y capas granulares</v>
          </cell>
          <cell r="F40" t="str">
            <v>M²</v>
          </cell>
          <cell r="G40">
            <v>7088</v>
          </cell>
        </row>
        <row r="41">
          <cell r="A41" t="str">
            <v>ARTICULO 232 - ESTABILIZACIÓN DE SUELOS DE SUBRASANTE Y CAPAS GRANULARES CON GEOTEXTIL</v>
          </cell>
        </row>
        <row r="42">
          <cell r="A42" t="str">
            <v>232-1</v>
          </cell>
          <cell r="B42" t="str">
            <v>232-07</v>
          </cell>
          <cell r="D42" t="str">
            <v>ESTABILIZACIÓN DE SUELOS DE SUBRASANTE Y CAPAS GRANULARES CON GEOTEXTIL:Geotextil para estabilización de suelos de subrasante y capas granulares</v>
          </cell>
          <cell r="F42" t="str">
            <v>M²</v>
          </cell>
          <cell r="G42">
            <v>6084</v>
          </cell>
        </row>
        <row r="43">
          <cell r="A43" t="str">
            <v>ARTICULO 310 - CONFORMACIÓN DE LA CALZADA EXISTENTE</v>
          </cell>
        </row>
        <row r="44">
          <cell r="A44">
            <v>310.10000000000002</v>
          </cell>
          <cell r="B44" t="str">
            <v>310-07</v>
          </cell>
          <cell r="D44" t="str">
            <v>CONFORMACIÓN DE LA CALZADA EXISTENTE:Conformacion de la calzada existente</v>
          </cell>
          <cell r="E44" t="str">
            <v xml:space="preserve">3.6.3.1.1 </v>
          </cell>
          <cell r="F44" t="str">
            <v>M²</v>
          </cell>
          <cell r="G44">
            <v>630</v>
          </cell>
        </row>
        <row r="45">
          <cell r="A45" t="str">
            <v xml:space="preserve">ARTICULO 311 - AFIRMADO </v>
          </cell>
        </row>
        <row r="46">
          <cell r="A46">
            <v>311.10000000000002</v>
          </cell>
          <cell r="B46" t="str">
            <v>311-07</v>
          </cell>
          <cell r="D46" t="str">
            <v xml:space="preserve"> AFIRMADO:Afirmado</v>
          </cell>
          <cell r="E46" t="str">
            <v>3.6.3.2.1</v>
          </cell>
          <cell r="F46" t="str">
            <v>M³</v>
          </cell>
          <cell r="G46">
            <v>92533</v>
          </cell>
        </row>
        <row r="47">
          <cell r="A47" t="str">
            <v>ARTICULO 312 - TRATAMIENTO PALIATIVO DEL POLVO EN AFIRMADOS</v>
          </cell>
        </row>
        <row r="48">
          <cell r="A48" t="str">
            <v xml:space="preserve">312.1 </v>
          </cell>
          <cell r="B48" t="str">
            <v>312-07</v>
          </cell>
          <cell r="D48" t="str">
            <v>TRATAMIENTO PALIATIVO DEL POLVO EN AFIRMADOS:Tratamiento paliativo de polvo aplicado en forma sólida en hojuelas</v>
          </cell>
          <cell r="F48" t="str">
            <v>KG</v>
          </cell>
          <cell r="G48">
            <v>24443</v>
          </cell>
        </row>
        <row r="49">
          <cell r="A49" t="str">
            <v xml:space="preserve">312.2 </v>
          </cell>
          <cell r="B49" t="str">
            <v>312-07</v>
          </cell>
          <cell r="D49" t="str">
            <v>TRATAMIENTO PALIATIVO DEL POLVO EN AFIRMADOS:Tratamiento paliativo de polvo aplicado en forma sólida en esferas</v>
          </cell>
          <cell r="F49" t="str">
            <v>KG</v>
          </cell>
          <cell r="G49">
            <v>39361</v>
          </cell>
        </row>
        <row r="50">
          <cell r="A50" t="str">
            <v>312.3</v>
          </cell>
          <cell r="B50" t="str">
            <v>312-07</v>
          </cell>
          <cell r="D50" t="str">
            <v>TRATAMIENTO PALIATIVO DEL POLVO EN AFIRMADOS:Tratamiento paliativo de polvo aplicado en forma liquida</v>
          </cell>
          <cell r="F50" t="str">
            <v>LT</v>
          </cell>
          <cell r="G50">
            <v>39361</v>
          </cell>
        </row>
        <row r="51">
          <cell r="A51" t="str">
            <v>312.4</v>
          </cell>
          <cell r="B51" t="str">
            <v>312-07</v>
          </cell>
          <cell r="D51" t="str">
            <v>TRATAMIENTO PALIATIVO DEL POLVO EN AFIRMADOS:Material granular de adición</v>
          </cell>
          <cell r="F51" t="str">
            <v>M³</v>
          </cell>
          <cell r="G51">
            <v>46990</v>
          </cell>
        </row>
        <row r="52">
          <cell r="A52" t="str">
            <v>ARTICULO 320 - SUBBASE GRANULAR</v>
          </cell>
        </row>
        <row r="53">
          <cell r="A53" t="str">
            <v>320.1</v>
          </cell>
          <cell r="B53" t="str">
            <v>320-07</v>
          </cell>
          <cell r="D53" t="str">
            <v>SUBBASE GRANULAR:Subase granular</v>
          </cell>
          <cell r="E53" t="str">
            <v>3.6.3.4.4</v>
          </cell>
          <cell r="F53" t="str">
            <v>M³</v>
          </cell>
          <cell r="G53">
            <v>127036</v>
          </cell>
        </row>
        <row r="54">
          <cell r="A54" t="str">
            <v>320.2</v>
          </cell>
          <cell r="B54" t="str">
            <v>320-07</v>
          </cell>
          <cell r="D54" t="str">
            <v>SUBBASE GRANULAR:Subbase granular para bacheo</v>
          </cell>
          <cell r="E54" t="str">
            <v>3.6.3.4.4</v>
          </cell>
          <cell r="F54" t="str">
            <v>M³</v>
          </cell>
          <cell r="G54">
            <v>144144</v>
          </cell>
        </row>
        <row r="55">
          <cell r="A55" t="str">
            <v>ARTICULO 330 - BASE GRANULAR</v>
          </cell>
        </row>
        <row r="56">
          <cell r="A56" t="str">
            <v>330.1</v>
          </cell>
          <cell r="B56" t="str">
            <v>330-07</v>
          </cell>
          <cell r="D56" t="str">
            <v>BASE GRANULAR:Base granular</v>
          </cell>
          <cell r="E56" t="str">
            <v>3.6.3.6.2</v>
          </cell>
          <cell r="F56" t="str">
            <v>M³</v>
          </cell>
          <cell r="G56">
            <v>156457</v>
          </cell>
        </row>
        <row r="57">
          <cell r="A57" t="str">
            <v>330.2</v>
          </cell>
          <cell r="B57" t="str">
            <v>330-07</v>
          </cell>
          <cell r="D57" t="str">
            <v>BASE GRANULAR:Base granular para bacheo</v>
          </cell>
          <cell r="E57" t="str">
            <v>3.6.3.6.3</v>
          </cell>
          <cell r="F57" t="str">
            <v>M³</v>
          </cell>
          <cell r="G57">
            <v>158847</v>
          </cell>
        </row>
        <row r="58">
          <cell r="A58" t="str">
            <v>ARTICULO 340 - BASE ESTABILIZADA CON EMULSIÓN ASFÁLTICA</v>
          </cell>
        </row>
        <row r="59">
          <cell r="A59">
            <v>340.1</v>
          </cell>
          <cell r="B59" t="str">
            <v>340-07</v>
          </cell>
          <cell r="D59" t="str">
            <v>BASE ESTABILIZADA CON EMULSIÓN ASFÁLTICA:Base estabilizada con emulsión asfáltica BEE-1</v>
          </cell>
          <cell r="E59" t="str">
            <v>3.6.3.7.1</v>
          </cell>
          <cell r="F59" t="str">
            <v>M³</v>
          </cell>
          <cell r="G59">
            <v>156333</v>
          </cell>
        </row>
        <row r="60">
          <cell r="A60">
            <v>340.2</v>
          </cell>
          <cell r="B60" t="str">
            <v>340-07</v>
          </cell>
          <cell r="D60" t="str">
            <v>BASE ESTABILIZADA CON EMULSIÓN ASFÁLTICA:Base estabilizada con emulsión asfáltica BEE-2</v>
          </cell>
          <cell r="E60" t="str">
            <v>3.6.3.7.3</v>
          </cell>
          <cell r="F60" t="str">
            <v>M³</v>
          </cell>
          <cell r="G60">
            <v>156333</v>
          </cell>
        </row>
        <row r="61">
          <cell r="A61">
            <v>340.3</v>
          </cell>
          <cell r="B61" t="str">
            <v>340-07</v>
          </cell>
          <cell r="D61" t="str">
            <v>BASE ESTABILIZADA CON EMULSIÓN ASFÁLTICA:Base estabilizada con emulsión asfáltica BEE-3</v>
          </cell>
          <cell r="E61" t="str">
            <v>3.6.3.7.5</v>
          </cell>
          <cell r="F61" t="str">
            <v>M³</v>
          </cell>
          <cell r="G61">
            <v>156333</v>
          </cell>
        </row>
        <row r="62">
          <cell r="A62" t="str">
            <v>ARTICULO 341 - BASE ESTABILIZADA CON CEMENTO</v>
          </cell>
        </row>
        <row r="63">
          <cell r="A63">
            <v>341.1</v>
          </cell>
          <cell r="B63" t="str">
            <v>341-07</v>
          </cell>
          <cell r="D63" t="str">
            <v>BASE ESTABILIZADA CON CEMENTO:Base estabilizada con cemento</v>
          </cell>
          <cell r="E63" t="str">
            <v>3.6.3.7</v>
          </cell>
          <cell r="F63" t="str">
            <v>M³</v>
          </cell>
          <cell r="G63">
            <v>168562</v>
          </cell>
        </row>
        <row r="64">
          <cell r="A64">
            <v>341.2</v>
          </cell>
          <cell r="B64" t="str">
            <v>341-07</v>
          </cell>
          <cell r="D64" t="str">
            <v>BASE ESTABILIZADA CON CEMENTO:Cemento para estabilización de base</v>
          </cell>
          <cell r="E64" t="str">
            <v>3.6.3.7</v>
          </cell>
          <cell r="F64" t="str">
            <v>KG</v>
          </cell>
          <cell r="G64">
            <v>548</v>
          </cell>
        </row>
        <row r="65">
          <cell r="A65" t="str">
            <v>ARTICULO 342 - BASE DE CONCRETO HIDRÁULICO</v>
          </cell>
        </row>
        <row r="66">
          <cell r="A66" t="str">
            <v>342-1</v>
          </cell>
          <cell r="B66" t="str">
            <v>342-07</v>
          </cell>
          <cell r="D66" t="str">
            <v>BASE DE CONCRETO HIDRÁULICO:Base de concreto hidráulico</v>
          </cell>
          <cell r="F66" t="str">
            <v>M³</v>
          </cell>
          <cell r="G66">
            <v>360401</v>
          </cell>
        </row>
        <row r="67">
          <cell r="A67" t="str">
            <v>ARTICULO 410 - SUMINISTRO DE CEMENTO ASFÁLTICO</v>
          </cell>
        </row>
        <row r="68">
          <cell r="A68">
            <v>410.1</v>
          </cell>
          <cell r="B68" t="str">
            <v>410-07</v>
          </cell>
          <cell r="D68" t="str">
            <v>SUMINISTRO DE CEMENTO ASFÁLTICO:Cemento asfáltico de penetración 60-70</v>
          </cell>
          <cell r="E68" t="str">
            <v>3.6.4.1.1</v>
          </cell>
          <cell r="F68" t="str">
            <v>KG</v>
          </cell>
          <cell r="G68">
            <v>1081</v>
          </cell>
        </row>
        <row r="69">
          <cell r="A69">
            <v>410.2</v>
          </cell>
          <cell r="B69" t="str">
            <v>410-07</v>
          </cell>
          <cell r="D69" t="str">
            <v>SUMINISTRO DE CEMENTO ASFÁLTICO:Cemento asfáltico de penetración 80-100</v>
          </cell>
          <cell r="E69" t="str">
            <v>3.6.4.1.2</v>
          </cell>
          <cell r="F69" t="str">
            <v>KG</v>
          </cell>
          <cell r="G69">
            <v>1081</v>
          </cell>
        </row>
        <row r="70">
          <cell r="A70" t="str">
            <v>ARTICULO 411 - SUMINISTRO DE EMULSIÓN ASFÁLTICA</v>
          </cell>
        </row>
        <row r="71">
          <cell r="A71" t="str">
            <v>411.1</v>
          </cell>
          <cell r="B71" t="str">
            <v>411-07</v>
          </cell>
          <cell r="D71" t="str">
            <v>SUMINISTRO DE EMULSIÓN ASFÁLTICA:Emulsion asfáltica de rotura media CRM</v>
          </cell>
          <cell r="E71" t="str">
            <v>3.6.4.2.1</v>
          </cell>
          <cell r="F71" t="str">
            <v>LT</v>
          </cell>
          <cell r="G71">
            <v>1043</v>
          </cell>
        </row>
        <row r="72">
          <cell r="A72">
            <v>411.2</v>
          </cell>
          <cell r="B72" t="str">
            <v>411-07</v>
          </cell>
          <cell r="D72" t="str">
            <v>SUMINISTRO DE EMULSIÓN ASFÁLTICA:Emulsion asfáltica de rotura lenta CRL</v>
          </cell>
          <cell r="E72" t="str">
            <v>3.6.4.2.2</v>
          </cell>
          <cell r="F72" t="str">
            <v>LT</v>
          </cell>
          <cell r="G72">
            <v>1956</v>
          </cell>
        </row>
        <row r="73">
          <cell r="A73">
            <v>411.3</v>
          </cell>
          <cell r="B73" t="str">
            <v>411-07</v>
          </cell>
          <cell r="D73" t="str">
            <v>SUMINISTRO DE EMULSIÓN ASFÁLTICA:Emulsion asfáltica de rotura lenta CRL-1H</v>
          </cell>
          <cell r="E73" t="str">
            <v>3.6.4.2.3</v>
          </cell>
          <cell r="F73" t="str">
            <v>LT</v>
          </cell>
          <cell r="G73">
            <v>2478</v>
          </cell>
        </row>
        <row r="74">
          <cell r="A74" t="str">
            <v xml:space="preserve">ARTICULO 414 - SUMINISTRO DE CEMENTO ASFÁLTICO  MODIFICADO CON POLÍMEROS </v>
          </cell>
        </row>
        <row r="75">
          <cell r="A75" t="str">
            <v>414.1</v>
          </cell>
          <cell r="B75" t="str">
            <v>414-07</v>
          </cell>
          <cell r="D75" t="str">
            <v>SUMINISTRO DE CEMENTO ASFÁLTICO  MODIFICADO CON POLÍMEROS:Cemento asfáltico modificado con polímeros tipo 1</v>
          </cell>
          <cell r="E75" t="str">
            <v>3.6.4.1.3</v>
          </cell>
          <cell r="F75" t="str">
            <v>KG</v>
          </cell>
          <cell r="G75">
            <v>2079</v>
          </cell>
        </row>
        <row r="76">
          <cell r="A76" t="str">
            <v>414.2</v>
          </cell>
          <cell r="B76" t="str">
            <v>414-07</v>
          </cell>
          <cell r="D76" t="str">
            <v>SUMINISTRO DE CEMENTO ASFÁLTICO  MODIFICADO CON POLÍMEROS:Cemento asfáltico modificado con polímeros tipo 2</v>
          </cell>
          <cell r="E76" t="str">
            <v>3.6.4.1.4</v>
          </cell>
          <cell r="F76" t="str">
            <v>KG</v>
          </cell>
          <cell r="G76">
            <v>2363</v>
          </cell>
        </row>
        <row r="77">
          <cell r="A77" t="str">
            <v>414.3</v>
          </cell>
          <cell r="B77" t="str">
            <v>414-07</v>
          </cell>
          <cell r="D77" t="str">
            <v>SUMINISTRO DE CEMENTO ASFÁLTICO  MODIFICADO CON POLÍMEROS:Cemento asfáltico modificado con polímeros tipo 3</v>
          </cell>
          <cell r="E77" t="str">
            <v>3.6.4.1.5</v>
          </cell>
          <cell r="F77" t="str">
            <v>KG</v>
          </cell>
          <cell r="G77">
            <v>2163</v>
          </cell>
        </row>
        <row r="78">
          <cell r="A78" t="str">
            <v>414.4</v>
          </cell>
          <cell r="B78" t="str">
            <v>414-07</v>
          </cell>
          <cell r="D78" t="str">
            <v>SUMINISTRO DE CEMENTO ASFÁLTICO  MODIFICADO CON POLÍMEROS:Cemento asfáltico modificado con polímeros tipo 4</v>
          </cell>
          <cell r="E78" t="str">
            <v>3.6.4.1.6</v>
          </cell>
          <cell r="F78" t="str">
            <v>KG</v>
          </cell>
          <cell r="G78">
            <v>2244</v>
          </cell>
        </row>
        <row r="79">
          <cell r="A79" t="str">
            <v>414.5</v>
          </cell>
          <cell r="B79" t="str">
            <v>414-07</v>
          </cell>
          <cell r="D79" t="str">
            <v>SUMINISTRO DE CEMENTO ASFÁLTICO  MODIFICADO CON POLÍMEROS:Cemento asfáltico modificado con polímeros tipo 5</v>
          </cell>
          <cell r="F79" t="str">
            <v>KG</v>
          </cell>
          <cell r="G79">
            <v>2377</v>
          </cell>
        </row>
        <row r="80">
          <cell r="A80" t="str">
            <v xml:space="preserve">ARTICULO 415 - SUMINISTRO  DE  EMULSIÓN  ASFÁLTICA MODIFICADA  CON POLÍMEROS </v>
          </cell>
        </row>
        <row r="81">
          <cell r="A81" t="str">
            <v>415.1</v>
          </cell>
          <cell r="B81" t="str">
            <v>415-07</v>
          </cell>
          <cell r="D81" t="str">
            <v>SUMINISTRO  DE  EMULSIÓN  ASFÁLTICA MODIFICADA  CON POLÍMEROS:Emulsion asfáltica de rotura media modificada con polímeros CRMm</v>
          </cell>
          <cell r="E81" t="str">
            <v>3.6.4.2.5</v>
          </cell>
          <cell r="F81" t="str">
            <v>LT</v>
          </cell>
          <cell r="G81">
            <v>2660</v>
          </cell>
        </row>
        <row r="82">
          <cell r="A82" t="str">
            <v xml:space="preserve">ARTICULO 420 - RIEGO  DE  IMPRIMACIÓN </v>
          </cell>
        </row>
        <row r="83">
          <cell r="A83">
            <v>420.1</v>
          </cell>
          <cell r="B83" t="str">
            <v>420-07</v>
          </cell>
          <cell r="D83" t="str">
            <v>RIEGO DE IMPRIMACIÓN: Riego de imprimación con emulsión asfáltica</v>
          </cell>
          <cell r="E83" t="str">
            <v xml:space="preserve">3.6.4.3.1 </v>
          </cell>
          <cell r="F83" t="str">
            <v>M²</v>
          </cell>
          <cell r="G83">
            <v>2049</v>
          </cell>
        </row>
        <row r="84">
          <cell r="A84">
            <v>420.2</v>
          </cell>
          <cell r="B84" t="str">
            <v>420-07</v>
          </cell>
          <cell r="D84" t="str">
            <v>RIEGO DE IMPRIMACIÓN: Riego de imprimación con asfalto liquido</v>
          </cell>
          <cell r="E84" t="str">
            <v>3.6.4.3.2</v>
          </cell>
          <cell r="F84" t="str">
            <v>M²</v>
          </cell>
          <cell r="G84">
            <v>3061</v>
          </cell>
        </row>
        <row r="85">
          <cell r="A85" t="str">
            <v>ARTICULO 421 - RIEGO DE LIGA</v>
          </cell>
        </row>
        <row r="86">
          <cell r="A86">
            <v>421.1</v>
          </cell>
          <cell r="B86" t="str">
            <v>421-07</v>
          </cell>
          <cell r="D86" t="str">
            <v>RIEGO DE LIGA:  Riego de liga con emulsión asfáltica  CRR-1</v>
          </cell>
          <cell r="E86" t="str">
            <v>3.6.4.4.2</v>
          </cell>
          <cell r="F86" t="str">
            <v>M²</v>
          </cell>
          <cell r="G86">
            <v>1096</v>
          </cell>
        </row>
        <row r="87">
          <cell r="A87" t="str">
            <v>421.2</v>
          </cell>
          <cell r="B87" t="str">
            <v>421-07</v>
          </cell>
          <cell r="D87" t="str">
            <v xml:space="preserve"> RIEGO DE LIGA:Riego de liga con emulsión asfáltica CRR-2</v>
          </cell>
          <cell r="E87" t="str">
            <v>3.6.4.4.3</v>
          </cell>
          <cell r="F87" t="str">
            <v>M²</v>
          </cell>
          <cell r="G87">
            <v>1148</v>
          </cell>
        </row>
        <row r="88">
          <cell r="A88" t="str">
            <v>421.3</v>
          </cell>
          <cell r="B88" t="str">
            <v>421-07</v>
          </cell>
          <cell r="D88" t="str">
            <v xml:space="preserve"> RIEGO DE LIGA:Riego de liga con emulsión modificada con polímeros CRR-1M</v>
          </cell>
          <cell r="E88" t="str">
            <v>3.6.4.4.4</v>
          </cell>
          <cell r="F88" t="str">
            <v>M²</v>
          </cell>
          <cell r="G88">
            <v>1488</v>
          </cell>
        </row>
        <row r="89">
          <cell r="A89" t="str">
            <v>421.4</v>
          </cell>
          <cell r="B89" t="str">
            <v>421-07</v>
          </cell>
          <cell r="D89" t="str">
            <v xml:space="preserve"> RIEGO DE LIGA:Riego de liga con emulsión modificada con polímeros CRR-2M</v>
          </cell>
          <cell r="E89" t="str">
            <v>3.6.4.4.5</v>
          </cell>
          <cell r="F89" t="str">
            <v>M²</v>
          </cell>
          <cell r="G89">
            <v>1488</v>
          </cell>
        </row>
        <row r="90">
          <cell r="A90" t="str">
            <v xml:space="preserve">ARTICULO 430 - TRATAMIENTO SUPERFICIAL SIMPLE </v>
          </cell>
        </row>
        <row r="91">
          <cell r="A91" t="str">
            <v>430.1</v>
          </cell>
          <cell r="B91" t="str">
            <v>430-07</v>
          </cell>
          <cell r="D91" t="str">
            <v>TRATAMIENTO SUPERFICIAL SIMPLE :Tratamiento superficial simple con emulsión CRR-2</v>
          </cell>
          <cell r="E91" t="str">
            <v>3.6.4.5.1</v>
          </cell>
          <cell r="F91" t="str">
            <v>M²</v>
          </cell>
          <cell r="G91">
            <v>4784</v>
          </cell>
        </row>
        <row r="92">
          <cell r="A92" t="str">
            <v>430.2</v>
          </cell>
          <cell r="B92" t="str">
            <v>430-07</v>
          </cell>
          <cell r="D92" t="str">
            <v>TRATAMIENTO SUPERFICIAL SIMPLE :Tratamiento superficial simple con emulsión CRR-2M</v>
          </cell>
          <cell r="E92" t="str">
            <v>3.6.4.5.2</v>
          </cell>
          <cell r="F92" t="str">
            <v>M²</v>
          </cell>
          <cell r="G92">
            <v>5370</v>
          </cell>
        </row>
        <row r="93">
          <cell r="A93" t="str">
            <v>ARTICULO 431 - TRATAMIENTO SUPERFICIAL DOBLE</v>
          </cell>
        </row>
        <row r="94">
          <cell r="A94" t="str">
            <v>431.1</v>
          </cell>
          <cell r="B94" t="str">
            <v>431-07</v>
          </cell>
          <cell r="D94" t="str">
            <v>TRATAMIENTO SUPERFICIAL DOBLE:Tratamiento superficial doble con emulsión  CRR-2</v>
          </cell>
          <cell r="E94" t="str">
            <v>3.6.4.6.1</v>
          </cell>
          <cell r="F94" t="str">
            <v>M²</v>
          </cell>
          <cell r="G94">
            <v>9844</v>
          </cell>
        </row>
        <row r="95">
          <cell r="A95" t="str">
            <v>431.2</v>
          </cell>
          <cell r="B95" t="str">
            <v>431-07</v>
          </cell>
          <cell r="D95" t="str">
            <v>TRATAMIENTO SUPERFICIAL DOBLE:Tratamiento superficial doble con emulsión CRR-2M</v>
          </cell>
          <cell r="E95" t="str">
            <v>3.6.4.6.2</v>
          </cell>
          <cell r="F95" t="str">
            <v>M²</v>
          </cell>
          <cell r="G95">
            <v>10483</v>
          </cell>
        </row>
        <row r="96">
          <cell r="A96" t="str">
            <v xml:space="preserve">ARTICULO 432 - SELLO DE ARENA - ASFALTO </v>
          </cell>
        </row>
        <row r="97">
          <cell r="A97" t="str">
            <v>432.1</v>
          </cell>
          <cell r="B97" t="str">
            <v>432-07</v>
          </cell>
          <cell r="D97" t="str">
            <v>SELLO DE ARENA - ASFALTO :Sello de arena-asfalto con emulsión  CRR-2</v>
          </cell>
          <cell r="E97" t="str">
            <v>3.6.4.7.1</v>
          </cell>
          <cell r="F97" t="str">
            <v>M²</v>
          </cell>
          <cell r="G97">
            <v>3509</v>
          </cell>
        </row>
        <row r="98">
          <cell r="A98" t="str">
            <v>432.2</v>
          </cell>
          <cell r="B98" t="str">
            <v>432-07</v>
          </cell>
          <cell r="D98" t="str">
            <v>SELLO DE ARENA - ASFALTO :Sello de arna -asfalto con emulsión CRR-2m</v>
          </cell>
          <cell r="E98" t="str">
            <v>3.6.4.7.1</v>
          </cell>
          <cell r="F98" t="str">
            <v>M²</v>
          </cell>
          <cell r="G98">
            <v>5572</v>
          </cell>
        </row>
        <row r="99">
          <cell r="A99" t="str">
            <v>ARTICULO 433- LECHADA ASFÁLTICA</v>
          </cell>
        </row>
        <row r="100">
          <cell r="A100" t="str">
            <v>433.1</v>
          </cell>
          <cell r="B100" t="str">
            <v>433-07</v>
          </cell>
          <cell r="D100" t="str">
            <v>LECHADA ASFÁLTICA : Lechada asfáltica con emulsión CRL-1H LA-1</v>
          </cell>
          <cell r="E100" t="str">
            <v>3.6.4.8.1</v>
          </cell>
          <cell r="F100" t="str">
            <v>M²</v>
          </cell>
          <cell r="G100">
            <v>4540</v>
          </cell>
        </row>
        <row r="101">
          <cell r="A101" t="str">
            <v>433.2</v>
          </cell>
          <cell r="B101" t="str">
            <v>433-07</v>
          </cell>
          <cell r="D101" t="str">
            <v>LECHADA ASFÁLTICA : Lechada asfáltica con emulsión CRL-1H LA-2</v>
          </cell>
          <cell r="E101" t="str">
            <v>3.6.4.8.2</v>
          </cell>
          <cell r="F101" t="str">
            <v>M²</v>
          </cell>
          <cell r="G101">
            <v>7045</v>
          </cell>
        </row>
        <row r="102">
          <cell r="A102" t="str">
            <v>433.3</v>
          </cell>
          <cell r="B102" t="str">
            <v>433-07</v>
          </cell>
          <cell r="D102" t="str">
            <v>LECHADA ASFÁLTICA : Lechada asfáltica con emulsión CRL-1H LA-3</v>
          </cell>
          <cell r="E102" t="str">
            <v>3.6.4.8.3</v>
          </cell>
          <cell r="F102" t="str">
            <v>M²</v>
          </cell>
          <cell r="G102">
            <v>7553</v>
          </cell>
        </row>
        <row r="103">
          <cell r="A103" t="str">
            <v>433.4</v>
          </cell>
          <cell r="B103" t="str">
            <v>433-07</v>
          </cell>
          <cell r="D103" t="str">
            <v>LECHADA ASFÁLTICA : Lechada asfáltica con emulsión CRL-1H LA-4</v>
          </cell>
          <cell r="E103" t="str">
            <v>3.6.4.8.4</v>
          </cell>
          <cell r="F103" t="str">
            <v>M²</v>
          </cell>
          <cell r="G103">
            <v>8570</v>
          </cell>
        </row>
        <row r="104">
          <cell r="A104" t="str">
            <v>433.5</v>
          </cell>
          <cell r="B104" t="str">
            <v>433-07</v>
          </cell>
          <cell r="D104" t="str">
            <v>LECHADA ASFÁLTICA : Lechada asfáltica con emulsión CRL-1HM LA-1</v>
          </cell>
          <cell r="E104" t="str">
            <v>3.6.4.8.5</v>
          </cell>
          <cell r="F104" t="str">
            <v>M²</v>
          </cell>
          <cell r="G104">
            <v>5443</v>
          </cell>
        </row>
        <row r="105">
          <cell r="A105" t="str">
            <v>433.6</v>
          </cell>
          <cell r="B105" t="str">
            <v>433-07</v>
          </cell>
          <cell r="D105" t="str">
            <v>LECHADA ASFÁLTICA : Lechada asfáltica con emulsión CRL-1HM LA-2</v>
          </cell>
          <cell r="E105" t="str">
            <v>3.6.4.8.6</v>
          </cell>
          <cell r="F105" t="str">
            <v>M²</v>
          </cell>
          <cell r="G105">
            <v>8594</v>
          </cell>
        </row>
        <row r="106">
          <cell r="A106" t="str">
            <v>433.7</v>
          </cell>
          <cell r="B106" t="str">
            <v>433-07</v>
          </cell>
          <cell r="D106" t="str">
            <v>LECHADA ASFÁLTICA : Lechada asfáltica con emulsión CRL-1HM LA-3</v>
          </cell>
          <cell r="E106" t="str">
            <v>3.6.4.8.7</v>
          </cell>
          <cell r="F106" t="str">
            <v>M²</v>
          </cell>
          <cell r="G106">
            <v>9232</v>
          </cell>
        </row>
        <row r="107">
          <cell r="A107" t="str">
            <v>433.8</v>
          </cell>
          <cell r="B107" t="str">
            <v>433-07</v>
          </cell>
          <cell r="D107" t="str">
            <v>LECHADA ASFÁLTICA : Lechada asfáltica con emulsión CRL-1HM LA-4</v>
          </cell>
          <cell r="E107" t="str">
            <v>3.6.4.8.8</v>
          </cell>
          <cell r="F107" t="str">
            <v>M²</v>
          </cell>
          <cell r="G107">
            <v>10506</v>
          </cell>
        </row>
        <row r="108">
          <cell r="A108" t="str">
            <v>ARTICULO 440 - MEZCLA DENSA EN FRÍO</v>
          </cell>
        </row>
        <row r="109">
          <cell r="A109" t="str">
            <v>440.1</v>
          </cell>
          <cell r="B109" t="str">
            <v>440-07</v>
          </cell>
          <cell r="D109" t="str">
            <v>MEZCLA DENSA EN FRÍO.Mezcla densa en frío tipo MDF- 1</v>
          </cell>
          <cell r="E109" t="str">
            <v>3.6.4.9.1</v>
          </cell>
          <cell r="F109" t="str">
            <v>M³</v>
          </cell>
          <cell r="G109">
            <v>532231</v>
          </cell>
        </row>
        <row r="110">
          <cell r="A110" t="str">
            <v>440.2</v>
          </cell>
          <cell r="B110" t="str">
            <v>440-07</v>
          </cell>
          <cell r="D110" t="str">
            <v>MEZCLA DENSA EN FRÍO:Mezcla densa en frío tipo MDF- 2</v>
          </cell>
          <cell r="E110" t="str">
            <v>3.6.4.9.2</v>
          </cell>
          <cell r="F110" t="str">
            <v>M³</v>
          </cell>
          <cell r="G110">
            <v>540969</v>
          </cell>
        </row>
        <row r="111">
          <cell r="A111" t="str">
            <v>440.3</v>
          </cell>
          <cell r="B111" t="str">
            <v>440-07</v>
          </cell>
          <cell r="D111" t="str">
            <v>MEZCLA DENSA EN FRÍO:Mezcla densa en frío tipo MDF- 3</v>
          </cell>
          <cell r="E111" t="str">
            <v>3.6.4.9.3</v>
          </cell>
          <cell r="F111" t="str">
            <v>M³</v>
          </cell>
          <cell r="G111">
            <v>549882</v>
          </cell>
        </row>
        <row r="112">
          <cell r="A112" t="str">
            <v>440.4</v>
          </cell>
          <cell r="B112" t="str">
            <v>440-07</v>
          </cell>
          <cell r="D112" t="str">
            <v>MEZCLA DENSA EN FRÍO:Mezcla densa en frío para bacheo</v>
          </cell>
          <cell r="E112" t="str">
            <v>3.6.4.9.4</v>
          </cell>
          <cell r="F112" t="str">
            <v>M³</v>
          </cell>
          <cell r="G112">
            <v>541886</v>
          </cell>
        </row>
        <row r="113">
          <cell r="A113" t="str">
            <v>ARTICULO 441 - MEZCLA ABIERTA EN FRÍO</v>
          </cell>
        </row>
        <row r="114">
          <cell r="A114">
            <v>441.1</v>
          </cell>
          <cell r="B114" t="str">
            <v>441-07</v>
          </cell>
          <cell r="D114" t="str">
            <v xml:space="preserve"> MEZCLA ABIERTA EN FRÍO: Mezcla abierta en frío tipo MAF-1</v>
          </cell>
          <cell r="E114" t="str">
            <v>3.6.4.10.1</v>
          </cell>
          <cell r="F114" t="str">
            <v>M³</v>
          </cell>
          <cell r="G114">
            <v>488024</v>
          </cell>
        </row>
        <row r="115">
          <cell r="A115">
            <v>441.2</v>
          </cell>
          <cell r="B115" t="str">
            <v>441-07</v>
          </cell>
          <cell r="D115" t="str">
            <v>MEZCLA ABIERTA EN FRÍO: Mezcla abierta en frío tipo MAF-2</v>
          </cell>
          <cell r="E115" t="str">
            <v>3.6.4.10.2</v>
          </cell>
          <cell r="F115" t="str">
            <v>M³</v>
          </cell>
          <cell r="G115">
            <v>487391</v>
          </cell>
        </row>
        <row r="116">
          <cell r="A116">
            <v>441.3</v>
          </cell>
          <cell r="B116" t="str">
            <v>441-07</v>
          </cell>
          <cell r="D116" t="str">
            <v>MEZCLA ABIERTA EN FRÍO: Mezcla abierta en frío tipo MAF-3</v>
          </cell>
          <cell r="E116" t="str">
            <v>3.6.4.10.3</v>
          </cell>
          <cell r="F116" t="str">
            <v>M³</v>
          </cell>
          <cell r="G116">
            <v>487391</v>
          </cell>
        </row>
        <row r="117">
          <cell r="A117" t="str">
            <v>441.4</v>
          </cell>
          <cell r="B117" t="str">
            <v>441-07</v>
          </cell>
          <cell r="D117" t="str">
            <v>MEZCLA ABIERTA EN FRÍO: Mezcla abierta en frío para bacheo</v>
          </cell>
          <cell r="E117" t="str">
            <v>3.6.4.10.4</v>
          </cell>
          <cell r="F117" t="str">
            <v>M³</v>
          </cell>
          <cell r="G117">
            <v>502591</v>
          </cell>
        </row>
        <row r="118">
          <cell r="A118" t="str">
            <v xml:space="preserve">ARTICULO 450 - MEZCLAS ASFÁLTICAS EN CALIENTE (CONCRETO ASFÁLTICO Y MEZCLA DE ALTO MÓDULO) </v>
          </cell>
        </row>
        <row r="119">
          <cell r="A119">
            <v>450.1</v>
          </cell>
          <cell r="B119" t="str">
            <v>450-07</v>
          </cell>
          <cell r="D119" t="str">
            <v>MEZCLA ASFÁLTICA EN CALIENTE: Mezcla densa en caliente tipo MDC-1</v>
          </cell>
          <cell r="E119" t="str">
            <v>3.6.4.11.2</v>
          </cell>
          <cell r="F119" t="str">
            <v>M³</v>
          </cell>
          <cell r="G119">
            <v>603161</v>
          </cell>
        </row>
        <row r="120">
          <cell r="A120">
            <v>450.2</v>
          </cell>
          <cell r="B120" t="str">
            <v>450-07</v>
          </cell>
          <cell r="D120" t="str">
            <v>MEZCLA ASFÁLTICA EN CALIENTE: Mezcla densa en caliente tipo MDC-2</v>
          </cell>
          <cell r="E120" t="str">
            <v>3.6.4.11.3</v>
          </cell>
          <cell r="F120" t="str">
            <v>M³</v>
          </cell>
          <cell r="G120">
            <v>572191</v>
          </cell>
        </row>
        <row r="121">
          <cell r="A121">
            <v>450.3</v>
          </cell>
          <cell r="B121" t="str">
            <v>450-07</v>
          </cell>
          <cell r="D121" t="str">
            <v>MEZCLA ASFÁLTICA EN CALIENTE: Mezcla densa en caliente tipo MDC-3</v>
          </cell>
          <cell r="E121" t="str">
            <v>3.6.4.11.4</v>
          </cell>
          <cell r="F121" t="str">
            <v>M³</v>
          </cell>
          <cell r="G121">
            <v>572191</v>
          </cell>
        </row>
        <row r="122">
          <cell r="A122">
            <v>450.9</v>
          </cell>
          <cell r="B122" t="str">
            <v>450-07</v>
          </cell>
          <cell r="D122" t="str">
            <v>MEZCLA ASFÁLTICA EN CALIENTE:Mezcla densa en caliente para bacheo</v>
          </cell>
          <cell r="E122" t="str">
            <v>3.6.4.11.5</v>
          </cell>
          <cell r="F122" t="str">
            <v>M³</v>
          </cell>
          <cell r="G122">
            <v>637204.55737333326</v>
          </cell>
        </row>
        <row r="123">
          <cell r="A123" t="str">
            <v>450.1.1</v>
          </cell>
          <cell r="B123" t="str">
            <v>450-07</v>
          </cell>
          <cell r="D123" t="str">
            <v>MEZCLAS ASFÁLTICAS EN CALIENTE:Mezcla densa en caliente tipo MDC-1 para capa de rodadura</v>
          </cell>
          <cell r="F123" t="str">
            <v>M³</v>
          </cell>
          <cell r="G123">
            <v>599349</v>
          </cell>
        </row>
        <row r="124">
          <cell r="A124" t="str">
            <v>450.1.2</v>
          </cell>
          <cell r="B124" t="str">
            <v>450-07</v>
          </cell>
          <cell r="D124" t="str">
            <v>MEZCLAS ASFÁLTICAS EN CALIENTE:Mezcla densa en caliente tipo MDC-1 para capa intermedia</v>
          </cell>
          <cell r="F124" t="str">
            <v>M³</v>
          </cell>
          <cell r="G124">
            <v>591906</v>
          </cell>
        </row>
        <row r="125">
          <cell r="A125" t="str">
            <v>ARTICULO 451 - MEZCLA ABIERTA EN CALIENTE</v>
          </cell>
        </row>
        <row r="126">
          <cell r="A126">
            <v>451.1</v>
          </cell>
          <cell r="B126" t="str">
            <v>451-07</v>
          </cell>
          <cell r="D126" t="str">
            <v xml:space="preserve"> MEZCLA ABIERTA EN CALIENTE: Mezcla abierta en caliente tipo  MAC-1</v>
          </cell>
          <cell r="E126" t="str">
            <v>3.6.4.12.1</v>
          </cell>
          <cell r="F126" t="str">
            <v>M³</v>
          </cell>
          <cell r="G126">
            <v>553719</v>
          </cell>
        </row>
        <row r="127">
          <cell r="A127">
            <v>451.2</v>
          </cell>
          <cell r="B127" t="str">
            <v>451-07</v>
          </cell>
          <cell r="D127" t="str">
            <v xml:space="preserve"> MEZCLA ABIERTA EN CALIENTE:Mezcla abierta en caliente tipo MAC-2</v>
          </cell>
          <cell r="E127" t="str">
            <v>3.6.4.12.2</v>
          </cell>
          <cell r="F127" t="str">
            <v>M³</v>
          </cell>
          <cell r="G127">
            <v>563244</v>
          </cell>
        </row>
        <row r="128">
          <cell r="A128">
            <v>451.3</v>
          </cell>
          <cell r="B128" t="str">
            <v>451-07</v>
          </cell>
          <cell r="D128" t="str">
            <v xml:space="preserve"> MEZCLA ABIERTA EN CALIENTE:Mezcla abierta en caliente tipo  MAC-3</v>
          </cell>
          <cell r="E128" t="str">
            <v>3.6.4.12.3</v>
          </cell>
          <cell r="F128" t="str">
            <v>M³</v>
          </cell>
          <cell r="G128">
            <v>572960</v>
          </cell>
        </row>
        <row r="129">
          <cell r="A129" t="str">
            <v>451.4</v>
          </cell>
          <cell r="B129" t="str">
            <v>451-07</v>
          </cell>
          <cell r="D129" t="str">
            <v xml:space="preserve"> MEZCLA ABIERTA EN CALIENTE:Mezcla abierta en caliente tipo MAC-3 para bacheo</v>
          </cell>
          <cell r="F129" t="str">
            <v>M³</v>
          </cell>
          <cell r="G129">
            <v>599469</v>
          </cell>
        </row>
        <row r="130">
          <cell r="A130" t="str">
            <v xml:space="preserve">ARTICULO 452 - MEZCLA DISCONTINUA EN CALIENTE PARA CAPA DE RODADURA (MICROAGLOMERADO EN CALIENTE) </v>
          </cell>
        </row>
        <row r="131">
          <cell r="A131">
            <v>452.1</v>
          </cell>
          <cell r="B131" t="str">
            <v>452-07</v>
          </cell>
          <cell r="D131" t="str">
            <v>MEZCLA DISCONTINUA EN CALIENTE PARA CAPA DE RODADURA: Mezcla discontinua en caliente tipo M-1</v>
          </cell>
          <cell r="E131" t="str">
            <v>3.6.4.13.1</v>
          </cell>
          <cell r="F131" t="str">
            <v>M³</v>
          </cell>
          <cell r="G131">
            <v>327957</v>
          </cell>
        </row>
        <row r="132">
          <cell r="A132">
            <v>452.2</v>
          </cell>
          <cell r="B132" t="str">
            <v>452-07</v>
          </cell>
          <cell r="D132" t="str">
            <v>MEZCLA DISCONTINUA EN CALIENTE PARA CAPA DE RODADURA:Mezcla discontinua en caliente tipo M-2</v>
          </cell>
          <cell r="E132" t="str">
            <v>3.6.4.13.2</v>
          </cell>
          <cell r="F132" t="str">
            <v>M³</v>
          </cell>
          <cell r="G132">
            <v>327957</v>
          </cell>
        </row>
        <row r="133">
          <cell r="A133">
            <v>452.3</v>
          </cell>
          <cell r="B133" t="str">
            <v>452-07</v>
          </cell>
          <cell r="D133" t="str">
            <v>MEZCLA DISCONTINUA EN CALIENTE PARA CAPA DE RODADURA:Mezcla discontinua en caliente tipo F-1</v>
          </cell>
          <cell r="E133" t="str">
            <v>3.6.4.13.7</v>
          </cell>
          <cell r="F133" t="str">
            <v>M³</v>
          </cell>
          <cell r="G133">
            <v>330911</v>
          </cell>
        </row>
        <row r="134">
          <cell r="A134">
            <v>452.4</v>
          </cell>
          <cell r="B134" t="str">
            <v>452-07</v>
          </cell>
          <cell r="D134" t="str">
            <v>MEZCLA DISCONTINUA EN CALIENTE PARA CAPA DE RODADURA:Mezcla discontinua en caliente tipo F-2</v>
          </cell>
          <cell r="E134" t="str">
            <v>3.6.4.13.8</v>
          </cell>
          <cell r="F134" t="str">
            <v>M³</v>
          </cell>
          <cell r="G134">
            <v>330911</v>
          </cell>
        </row>
        <row r="135">
          <cell r="A135" t="str">
            <v>ARTICULO 453 - MEZCLA DRENANTE</v>
          </cell>
        </row>
        <row r="136">
          <cell r="A136" t="str">
            <v>453.1</v>
          </cell>
          <cell r="B136" t="str">
            <v>453-07</v>
          </cell>
          <cell r="D136" t="str">
            <v>MEZCLA DRENANTE:Mezcla drenante</v>
          </cell>
          <cell r="F136" t="str">
            <v>M³</v>
          </cell>
          <cell r="G136">
            <v>223727</v>
          </cell>
        </row>
        <row r="137">
          <cell r="A137" t="str">
            <v xml:space="preserve">ARTICULO 460 - FRESADO DE PAVIMENTO ASFÁLTICO </v>
          </cell>
        </row>
        <row r="138">
          <cell r="A138">
            <v>460.1</v>
          </cell>
          <cell r="B138" t="str">
            <v>460-07</v>
          </cell>
          <cell r="D138" t="str">
            <v>FRESADO DE PAVIMENTO ASFÁLTICO: Fresado de pavimento asfáltico en espesor de 10cm.</v>
          </cell>
          <cell r="E138" t="str">
            <v>3.6.4.15.2</v>
          </cell>
          <cell r="F138" t="str">
            <v>M²</v>
          </cell>
          <cell r="G138">
            <v>3191</v>
          </cell>
        </row>
        <row r="139">
          <cell r="A139" t="str">
            <v>ARTICULO 461 - RECICLADO DE PAVIMENTO ASFÁLTICO EN FRÍO EN EL LUGAR EMPLEANDO LIGANTES BITUMINOSOS</v>
          </cell>
        </row>
        <row r="140">
          <cell r="A140" t="str">
            <v>461.1</v>
          </cell>
          <cell r="B140" t="str">
            <v>461-07</v>
          </cell>
          <cell r="D140" t="str">
            <v>RECICLADO DE PAVIMENTO ASFÁLTICO:Pavimento asfáltico reciclado en frío en el lugar con emulsión asfáltica</v>
          </cell>
          <cell r="E140" t="str">
            <v>3.6.4.16.1</v>
          </cell>
          <cell r="F140" t="str">
            <v>M³</v>
          </cell>
          <cell r="G140">
            <v>214405</v>
          </cell>
        </row>
        <row r="141">
          <cell r="A141" t="str">
            <v>461.2</v>
          </cell>
          <cell r="B141" t="str">
            <v>461-07</v>
          </cell>
          <cell r="D141" t="str">
            <v>RECICLADO DE PAVIMENTO ASFÁLTICO:Pavimento asfáltico reciclado en frío en el lugar con cemento asfáltico espumado</v>
          </cell>
          <cell r="E141" t="str">
            <v>3.6.4.16.2</v>
          </cell>
          <cell r="F141" t="str">
            <v>M³</v>
          </cell>
          <cell r="G141">
            <v>89813</v>
          </cell>
        </row>
        <row r="142">
          <cell r="A142" t="str">
            <v xml:space="preserve">ARTICULO 462 - RECICLADO DE PAVIMENTO ASFÁLTICO EN PLANTA Y EN CALIENTE </v>
          </cell>
        </row>
        <row r="143">
          <cell r="A143" t="str">
            <v>462.1.1</v>
          </cell>
          <cell r="B143" t="str">
            <v>462-07</v>
          </cell>
          <cell r="D143" t="str">
            <v>RECICLADO DE PAVIMENTO ASFÁLTICO EN PLANTA Y EN CALIENTE :Mezcla asfáltica reciclada en caliente del tipo MDC-2</v>
          </cell>
          <cell r="E143" t="str">
            <v>3.6.4.17.3</v>
          </cell>
          <cell r="F143" t="str">
            <v>M³</v>
          </cell>
          <cell r="G143">
            <v>107785</v>
          </cell>
        </row>
        <row r="144">
          <cell r="A144" t="str">
            <v>462.1.2</v>
          </cell>
          <cell r="B144" t="str">
            <v>462-07</v>
          </cell>
          <cell r="D144" t="str">
            <v>RECICLADO DE PAVIMENTO ASFÁLTICO EN PLANTA Y EN CALIENTE :Mezcla asfáltica reciclada en caliente del tipo para bacheo</v>
          </cell>
          <cell r="E144" t="str">
            <v>3.6.4.17.4</v>
          </cell>
          <cell r="F144" t="str">
            <v>M³</v>
          </cell>
          <cell r="G144">
            <v>122759</v>
          </cell>
        </row>
        <row r="145">
          <cell r="A145" t="str">
            <v>ARTICULO 464 - REHABILITACIÓN DE PAVIMENTOS ASFÁLTICOS CON GEOTEXTILES</v>
          </cell>
        </row>
        <row r="146">
          <cell r="A146">
            <v>464.1</v>
          </cell>
          <cell r="B146" t="str">
            <v>464-07</v>
          </cell>
          <cell r="D146" t="str">
            <v>REHABILITACIÓN DE PAVIMENTOS ASFÁLTICOS CON GEOTEXTL:Geotextil  para rehabilitación de pavimentos asfálticos</v>
          </cell>
          <cell r="F146" t="str">
            <v>M²</v>
          </cell>
          <cell r="G146">
            <v>6199</v>
          </cell>
        </row>
        <row r="147">
          <cell r="A147" t="str">
            <v>464.2</v>
          </cell>
          <cell r="B147" t="str">
            <v>464-07</v>
          </cell>
          <cell r="D147" t="str">
            <v>REHABILITACIÓN DE PAVIMENTOS ASFÁLTICOS CON GEOTEXTILES:Suministro de cemento asfáltico</v>
          </cell>
          <cell r="F147" t="str">
            <v>Kg</v>
          </cell>
          <cell r="G147">
            <v>2904</v>
          </cell>
        </row>
        <row r="148">
          <cell r="A148" t="str">
            <v>464.3</v>
          </cell>
          <cell r="B148" t="str">
            <v>464-07</v>
          </cell>
          <cell r="D148" t="str">
            <v>REHABILITACIÓN DE PAVIMENTOS ASFÁLTICOS CON GEOTEXTILES:Suministro de emulsión asfáltica convencional</v>
          </cell>
          <cell r="F148" t="str">
            <v>LT</v>
          </cell>
          <cell r="G148">
            <v>3443</v>
          </cell>
        </row>
        <row r="149">
          <cell r="A149" t="str">
            <v>464.4</v>
          </cell>
          <cell r="B149" t="str">
            <v>464-07</v>
          </cell>
          <cell r="D149" t="str">
            <v>REHABILITACIÓN DE PAVIMENTOS ASFÁLTICOS CON GEOTEXTILES:Suministro de emulsión asfáltica modificada con polimeros</v>
          </cell>
          <cell r="F149" t="str">
            <v>LT</v>
          </cell>
          <cell r="G149">
            <v>4547</v>
          </cell>
        </row>
        <row r="150">
          <cell r="A150" t="str">
            <v>ARTICULO 465 - EXCAVACIÓN PARA REPARACIÓN DE PAVIMENTO ASFÁLTICO EXISTENTE</v>
          </cell>
        </row>
        <row r="151">
          <cell r="A151">
            <v>465.1</v>
          </cell>
          <cell r="B151" t="str">
            <v>465-07</v>
          </cell>
          <cell r="D151" t="str">
            <v>EXCAVACIÓN PARA REPARACIÓN DE PAVIMENTO ASFÁLTICO EXISTENTE:Excavaciones para reparación de pavimento asfáltico existente</v>
          </cell>
          <cell r="E151" t="str">
            <v>3.6.2.1</v>
          </cell>
          <cell r="F151" t="str">
            <v>M³</v>
          </cell>
          <cell r="G151">
            <v>50845</v>
          </cell>
        </row>
        <row r="152">
          <cell r="A152" t="str">
            <v>ARTICULO 466 - SELLO DE GRIETAS EN PAVIMENTOS ASFALTICOS</v>
          </cell>
        </row>
        <row r="153">
          <cell r="A153">
            <v>466.1</v>
          </cell>
          <cell r="B153" t="str">
            <v>466-07</v>
          </cell>
          <cell r="D153" t="str">
            <v>SELLO DE GRIETAS EN PAVIMENTOS ASFALTICOS: sello de grietas en pavimentos asfalticos sin ruteo</v>
          </cell>
          <cell r="F153" t="str">
            <v>ML</v>
          </cell>
          <cell r="G153">
            <v>2186</v>
          </cell>
        </row>
        <row r="154">
          <cell r="A154">
            <v>466.2</v>
          </cell>
          <cell r="B154" t="str">
            <v>466-07</v>
          </cell>
          <cell r="D154" t="str">
            <v>SELLO DE GRIETAS EN PAVIMENTOS ASFALTICOS: sello de grietas en pavimentos asfalticos con ruteo</v>
          </cell>
          <cell r="F154" t="str">
            <v>ML</v>
          </cell>
          <cell r="G154">
            <v>2618</v>
          </cell>
        </row>
        <row r="155">
          <cell r="A155" t="str">
            <v>ARTICULO 500 - PAVIMENTO DE CONCRETO HIDRÁULICO</v>
          </cell>
        </row>
        <row r="156">
          <cell r="A156" t="str">
            <v>500.1</v>
          </cell>
          <cell r="B156" t="str">
            <v>500-07</v>
          </cell>
          <cell r="D156" t="str">
            <v>PAVIMENTO DE CONCRETO HIDRÁULICO:Pavimento de concreto hidráulico</v>
          </cell>
          <cell r="E156" t="str">
            <v>3.6.5.1</v>
          </cell>
          <cell r="F156" t="str">
            <v>M³</v>
          </cell>
          <cell r="G156">
            <v>657825</v>
          </cell>
        </row>
        <row r="157">
          <cell r="A157" t="str">
            <v>ARTICULO 510 - PAVIMENTO DE ADOQUINES DE CONCRETO</v>
          </cell>
        </row>
        <row r="158">
          <cell r="A158" t="str">
            <v>510.1</v>
          </cell>
          <cell r="B158" t="str">
            <v>510-07</v>
          </cell>
          <cell r="D158" t="str">
            <v>PAVIMENTO DE ADOQUINES DE CONCRETO:Pavimento de adoquines de concreto</v>
          </cell>
          <cell r="E158" t="str">
            <v>3.6.5.2</v>
          </cell>
          <cell r="F158" t="str">
            <v>M²</v>
          </cell>
          <cell r="G158">
            <v>73929</v>
          </cell>
        </row>
        <row r="159">
          <cell r="A159" t="str">
            <v>ARTICULO 600 - EXCAVACIONES  VARIAS</v>
          </cell>
        </row>
        <row r="160">
          <cell r="A160">
            <v>600.1</v>
          </cell>
          <cell r="B160" t="str">
            <v>600-07</v>
          </cell>
          <cell r="D160" t="str">
            <v>EXCAVACIONES VARIAS: Excavaciones varias sin clasificar</v>
          </cell>
          <cell r="E160" t="str">
            <v>3.6.6.1.9</v>
          </cell>
          <cell r="F160" t="str">
            <v>M³</v>
          </cell>
          <cell r="G160">
            <v>11308</v>
          </cell>
        </row>
        <row r="161">
          <cell r="A161">
            <v>600.20000000000005</v>
          </cell>
          <cell r="B161" t="str">
            <v>600-07</v>
          </cell>
          <cell r="D161" t="str">
            <v>EXCAVACIONES VARIAS: Excavaciones varias en roca en seco</v>
          </cell>
          <cell r="E161" t="str">
            <v>3.6.6.1.9</v>
          </cell>
          <cell r="F161" t="str">
            <v>M³</v>
          </cell>
          <cell r="G161">
            <v>85711</v>
          </cell>
        </row>
        <row r="162">
          <cell r="A162">
            <v>600.29999999999995</v>
          </cell>
          <cell r="B162" t="str">
            <v>600-07</v>
          </cell>
          <cell r="D162" t="str">
            <v>EXCAVACIONES VARIAS: Excavaciones varias en roca bajo agua</v>
          </cell>
          <cell r="E162" t="str">
            <v>3.6.6.1.9</v>
          </cell>
          <cell r="F162" t="str">
            <v>M³</v>
          </cell>
          <cell r="G162">
            <v>89629</v>
          </cell>
        </row>
        <row r="163">
          <cell r="A163">
            <v>600.4</v>
          </cell>
          <cell r="B163" t="str">
            <v>600-07</v>
          </cell>
          <cell r="D163" t="str">
            <v>EXCAVACIONES VARIAS: Excavaciones varias en material común en seco</v>
          </cell>
          <cell r="E163" t="str">
            <v xml:space="preserve">3.6.6.1.10  </v>
          </cell>
          <cell r="F163" t="str">
            <v>M³</v>
          </cell>
          <cell r="G163">
            <v>10449</v>
          </cell>
        </row>
        <row r="164">
          <cell r="A164">
            <v>600.5</v>
          </cell>
          <cell r="B164" t="str">
            <v>600-07</v>
          </cell>
          <cell r="D164" t="str">
            <v>EXCAVACIONES VARIAS: Excavaciones varias en material común bajo agua</v>
          </cell>
          <cell r="E164" t="str">
            <v>3.6.6.1.11</v>
          </cell>
          <cell r="F164" t="str">
            <v>M³</v>
          </cell>
          <cell r="G164">
            <v>15769</v>
          </cell>
        </row>
        <row r="165">
          <cell r="A165" t="str">
            <v>ARTICULO 610 - RELLENOS PARA ESTRUCTURAS</v>
          </cell>
        </row>
        <row r="166">
          <cell r="A166">
            <v>610.1</v>
          </cell>
          <cell r="B166" t="str">
            <v>610-07</v>
          </cell>
          <cell r="D166" t="str">
            <v>RELLENO PARA ESTRUCTURAS : Rellenos para estructuras</v>
          </cell>
          <cell r="E166" t="str">
            <v xml:space="preserve">3.6.6.2.1   </v>
          </cell>
          <cell r="F166" t="str">
            <v>M³</v>
          </cell>
          <cell r="G166">
            <v>46191</v>
          </cell>
        </row>
        <row r="167">
          <cell r="A167">
            <v>610.20000000000005</v>
          </cell>
          <cell r="B167" t="str">
            <v>610-07</v>
          </cell>
          <cell r="D167" t="str">
            <v>RELLENO PARA ESTRUCTURAS : Rellenos con material filtrante</v>
          </cell>
          <cell r="E167" t="str">
            <v>3.6.6.19.2</v>
          </cell>
          <cell r="F167" t="str">
            <v>M³</v>
          </cell>
          <cell r="G167">
            <v>110095</v>
          </cell>
        </row>
        <row r="168">
          <cell r="A168" t="str">
            <v>ARTICULO 620 - PILOTES PREFABRICADOS DE CONCRETO</v>
          </cell>
        </row>
        <row r="169">
          <cell r="A169" t="str">
            <v>620.1</v>
          </cell>
          <cell r="B169" t="str">
            <v>620-07</v>
          </cell>
          <cell r="D169" t="str">
            <v>PILOTES PREFABRICADOS DE CONCRETO:Pilotes prefabricados de concreto</v>
          </cell>
          <cell r="E169" t="str">
            <v>3.6.6.3.1</v>
          </cell>
          <cell r="F169" t="str">
            <v>M</v>
          </cell>
          <cell r="G169">
            <v>278688</v>
          </cell>
        </row>
        <row r="170">
          <cell r="A170" t="str">
            <v>620.2</v>
          </cell>
          <cell r="B170" t="str">
            <v>620-07</v>
          </cell>
          <cell r="D170" t="str">
            <v>PILOTES PREFABRICADOS DE CONCRETO:Extencion de pilotes prefabricados</v>
          </cell>
          <cell r="E170" t="str">
            <v>3.6.6.3.2</v>
          </cell>
          <cell r="F170" t="str">
            <v>M</v>
          </cell>
          <cell r="G170">
            <v>0</v>
          </cell>
        </row>
        <row r="171">
          <cell r="A171" t="str">
            <v>ARTICULO 621 - PILOTES  PREEXCAVADOS</v>
          </cell>
        </row>
        <row r="172">
          <cell r="A172" t="str">
            <v>621.1</v>
          </cell>
          <cell r="B172" t="str">
            <v>621-07</v>
          </cell>
          <cell r="D172" t="str">
            <v>PILOTES PREEXCAVADOS : Pilote de concreto fundido en situ, de diámetro 1,2m</v>
          </cell>
          <cell r="E172" t="str">
            <v>3.6.6.4.1</v>
          </cell>
          <cell r="F172" t="str">
            <v>ML</v>
          </cell>
          <cell r="G172">
            <v>1675283</v>
          </cell>
        </row>
        <row r="173">
          <cell r="A173" t="str">
            <v>621.2</v>
          </cell>
          <cell r="B173" t="str">
            <v>621-07</v>
          </cell>
          <cell r="D173" t="str">
            <v>PILOTES  PREEXCAVADOS:Base acampanada</v>
          </cell>
          <cell r="E173" t="str">
            <v>3.6.6.4.2</v>
          </cell>
          <cell r="F173" t="str">
            <v>M³</v>
          </cell>
          <cell r="G173">
            <v>1128819</v>
          </cell>
        </row>
        <row r="174">
          <cell r="A174" t="str">
            <v xml:space="preserve">ARTICULO 622 - TABLESTACADOS </v>
          </cell>
        </row>
        <row r="175">
          <cell r="A175" t="str">
            <v>622.1</v>
          </cell>
          <cell r="B175" t="str">
            <v>622-07</v>
          </cell>
          <cell r="D175" t="str">
            <v>TABLESTACADOS :Tablestacado de madera</v>
          </cell>
          <cell r="E175" t="str">
            <v>3.6.6.5.1</v>
          </cell>
          <cell r="F175" t="str">
            <v>M²</v>
          </cell>
          <cell r="G175">
            <v>68975</v>
          </cell>
        </row>
        <row r="176">
          <cell r="A176" t="str">
            <v>622.5</v>
          </cell>
          <cell r="B176" t="str">
            <v>622-07</v>
          </cell>
          <cell r="D176" t="str">
            <v>TABLESTACADOS :Corte del extremo superior del elemento</v>
          </cell>
          <cell r="E176" t="str">
            <v>3.6.6.5.5</v>
          </cell>
          <cell r="F176" t="str">
            <v>ML</v>
          </cell>
          <cell r="G176">
            <v>49989.436876156193</v>
          </cell>
        </row>
        <row r="177">
          <cell r="A177" t="str">
            <v xml:space="preserve">ARTICULO 623 - ANCLAJES </v>
          </cell>
        </row>
        <row r="178">
          <cell r="A178" t="str">
            <v>623.1</v>
          </cell>
          <cell r="B178" t="str">
            <v>623-07</v>
          </cell>
          <cell r="D178" t="str">
            <v>ANCLAJES :Anclaje tipo</v>
          </cell>
          <cell r="F178" t="str">
            <v>ML</v>
          </cell>
          <cell r="G178">
            <v>379806</v>
          </cell>
        </row>
        <row r="179">
          <cell r="A179" t="str">
            <v>623.2</v>
          </cell>
          <cell r="B179" t="str">
            <v>621-07</v>
          </cell>
          <cell r="D179" t="str">
            <v>ANCLAJES :Prueba de carga</v>
          </cell>
          <cell r="F179" t="str">
            <v>U</v>
          </cell>
          <cell r="G179">
            <v>107185701</v>
          </cell>
        </row>
        <row r="180">
          <cell r="A180" t="str">
            <v>ARTICULO 630 - CONCRETO ESTRUCTURAL</v>
          </cell>
        </row>
        <row r="181">
          <cell r="A181">
            <v>630.1</v>
          </cell>
          <cell r="B181" t="str">
            <v>630-07</v>
          </cell>
          <cell r="D181" t="str">
            <v>CONCRETO ESTRUCTURAL: Concreto clase A</v>
          </cell>
          <cell r="E181" t="str">
            <v>3.6.6.6.8</v>
          </cell>
          <cell r="F181" t="str">
            <v>M³</v>
          </cell>
          <cell r="G181">
            <v>931059</v>
          </cell>
        </row>
        <row r="182">
          <cell r="A182">
            <v>630.20000000000005</v>
          </cell>
          <cell r="B182" t="str">
            <v>630-07</v>
          </cell>
          <cell r="D182" t="str">
            <v>CONCRETO ESTRUCTURAL: Concreto clase B</v>
          </cell>
          <cell r="E182" t="str">
            <v>3.6.6.6.17</v>
          </cell>
          <cell r="F182" t="str">
            <v>M³</v>
          </cell>
          <cell r="G182">
            <v>898410</v>
          </cell>
        </row>
        <row r="183">
          <cell r="A183">
            <v>630.29999999999995</v>
          </cell>
          <cell r="B183" t="str">
            <v>630-07</v>
          </cell>
          <cell r="D183" t="str">
            <v>CONCRETO ESTRUCTURAL: Concreto clase C</v>
          </cell>
          <cell r="E183" t="str">
            <v xml:space="preserve"> 3.6.6.6.26</v>
          </cell>
          <cell r="F183" t="str">
            <v>M³</v>
          </cell>
          <cell r="G183">
            <v>568198</v>
          </cell>
        </row>
        <row r="184">
          <cell r="A184">
            <v>630.4</v>
          </cell>
          <cell r="B184" t="str">
            <v>630-07</v>
          </cell>
          <cell r="D184" t="str">
            <v>CONCRETO ESTRUCTURAL: Concreto clase  D</v>
          </cell>
          <cell r="E184" t="str">
            <v xml:space="preserve">3.6.6.6.35 </v>
          </cell>
          <cell r="F184" t="str">
            <v>M³</v>
          </cell>
          <cell r="G184">
            <v>512519</v>
          </cell>
        </row>
        <row r="185">
          <cell r="A185">
            <v>630.5</v>
          </cell>
          <cell r="B185" t="str">
            <v>630-07</v>
          </cell>
          <cell r="D185" t="str">
            <v>CONCRETO ESTRUCTURAL: Concreto clase E</v>
          </cell>
          <cell r="E185" t="str">
            <v>3.6.6.6.44</v>
          </cell>
          <cell r="F185" t="str">
            <v>M³</v>
          </cell>
          <cell r="G185">
            <v>499741</v>
          </cell>
        </row>
        <row r="186">
          <cell r="A186">
            <v>630.6</v>
          </cell>
          <cell r="B186" t="str">
            <v>630-07</v>
          </cell>
          <cell r="D186" t="str">
            <v>CONCRETO ESTRUCTURAL: Concreto clase  F</v>
          </cell>
          <cell r="E186" t="str">
            <v>3.6.6.6.46</v>
          </cell>
          <cell r="F186" t="str">
            <v>M³</v>
          </cell>
          <cell r="G186">
            <v>392927</v>
          </cell>
        </row>
        <row r="187">
          <cell r="A187">
            <v>630.70000000000005</v>
          </cell>
          <cell r="B187" t="str">
            <v>630-07</v>
          </cell>
          <cell r="D187" t="str">
            <v>CONCRETO ESTRUCTURAL: Concreto clase  G</v>
          </cell>
          <cell r="E187" t="str">
            <v>3.6.6.6.47</v>
          </cell>
          <cell r="F187" t="str">
            <v>M³</v>
          </cell>
          <cell r="G187">
            <v>387944</v>
          </cell>
        </row>
        <row r="188">
          <cell r="A188" t="str">
            <v xml:space="preserve">ARTICULO 631 - BARANDAS DE CONCRETO </v>
          </cell>
        </row>
        <row r="189">
          <cell r="A189" t="str">
            <v>632.1</v>
          </cell>
          <cell r="B189" t="str">
            <v>632-07</v>
          </cell>
          <cell r="D189" t="str">
            <v xml:space="preserve"> BARANDAS DE CONCRETO :Baranda de concreto</v>
          </cell>
          <cell r="F189" t="str">
            <v>ML</v>
          </cell>
          <cell r="G189">
            <v>260304</v>
          </cell>
        </row>
        <row r="190">
          <cell r="A190" t="str">
            <v xml:space="preserve">ARTICULO 640 - ACERO DE REFUERZO </v>
          </cell>
        </row>
        <row r="191">
          <cell r="A191">
            <v>640.1</v>
          </cell>
          <cell r="B191" t="str">
            <v>640-07</v>
          </cell>
          <cell r="D191" t="str">
            <v>ACERO DE REFUERZO : Acero de refuerzo  Fy 4200</v>
          </cell>
          <cell r="E191" t="str">
            <v xml:space="preserve">3.6.6.8.3 </v>
          </cell>
          <cell r="F191" t="str">
            <v>KG</v>
          </cell>
          <cell r="G191">
            <v>3608</v>
          </cell>
        </row>
        <row r="192">
          <cell r="A192">
            <v>640.20000000000005</v>
          </cell>
          <cell r="B192" t="str">
            <v>640-07</v>
          </cell>
          <cell r="D192" t="str">
            <v xml:space="preserve">ACERO DE REFUERZO:Malla de refuerzo  fy 4200 MPA  </v>
          </cell>
          <cell r="F192" t="str">
            <v>KG</v>
          </cell>
          <cell r="G192">
            <v>3781</v>
          </cell>
        </row>
        <row r="193">
          <cell r="A193" t="str">
            <v>ARTICULO 641 - ACERO DE PREESFUERZO</v>
          </cell>
        </row>
        <row r="194">
          <cell r="A194" t="str">
            <v>641.1</v>
          </cell>
          <cell r="B194" t="str">
            <v>641-07</v>
          </cell>
          <cell r="D194" t="str">
            <v>ACERO DE PREESFUERZO:Acero de preesfuerzo</v>
          </cell>
          <cell r="E194" t="str">
            <v>3.6.6.9.1</v>
          </cell>
          <cell r="F194" t="str">
            <v>TON-M</v>
          </cell>
          <cell r="G194">
            <v>1343</v>
          </cell>
        </row>
        <row r="195">
          <cell r="A195" t="str">
            <v xml:space="preserve">ARTICULO 642 - APOYOS Y SELLOS PARA JUNTAS DE PUENTES </v>
          </cell>
        </row>
        <row r="196">
          <cell r="A196">
            <v>642.1</v>
          </cell>
          <cell r="B196" t="str">
            <v>642-07</v>
          </cell>
          <cell r="D196" t="str">
            <v>APOYOS Y SELLOS PARA JUNTAS DE PUENTES :Apoyo elastomerico</v>
          </cell>
          <cell r="E196" t="str">
            <v>3.6.6.10.1</v>
          </cell>
          <cell r="F196" t="str">
            <v>U (DM3)</v>
          </cell>
          <cell r="G196">
            <v>347329</v>
          </cell>
        </row>
        <row r="197">
          <cell r="A197">
            <v>642.20000000000005</v>
          </cell>
          <cell r="B197" t="str">
            <v>642-07</v>
          </cell>
          <cell r="D197" t="str">
            <v>APOYOS Y SELLOS PARA JUNTAS DE PUENTES :Sello para juntas de puentes</v>
          </cell>
          <cell r="E197" t="str">
            <v>3.6.6.10.2</v>
          </cell>
          <cell r="F197" t="str">
            <v>ML</v>
          </cell>
          <cell r="G197">
            <v>42741</v>
          </cell>
        </row>
        <row r="198">
          <cell r="A198" t="str">
            <v>ARTICULO 650 - ESTRUCTURAS DE ACERO</v>
          </cell>
        </row>
        <row r="199">
          <cell r="A199" t="str">
            <v>650.1</v>
          </cell>
          <cell r="B199" t="str">
            <v>650-07</v>
          </cell>
          <cell r="D199" t="str">
            <v>ESTRUCTURAS DE ACERO: Diseño y fabricación de estructura metálica</v>
          </cell>
          <cell r="E199" t="str">
            <v>3.6.6.11.1</v>
          </cell>
          <cell r="F199" t="str">
            <v>KG</v>
          </cell>
          <cell r="G199">
            <v>0</v>
          </cell>
        </row>
        <row r="200">
          <cell r="A200" t="str">
            <v>650.2</v>
          </cell>
          <cell r="B200" t="str">
            <v>650-07</v>
          </cell>
          <cell r="D200" t="str">
            <v>ESTRUCTURAS DE ACERO: Fabricación de la estructura metálica</v>
          </cell>
          <cell r="E200" t="str">
            <v>3.6.6.11.2</v>
          </cell>
          <cell r="F200" t="str">
            <v>KG</v>
          </cell>
          <cell r="G200">
            <v>8324</v>
          </cell>
        </row>
        <row r="201">
          <cell r="A201" t="str">
            <v>650.3</v>
          </cell>
          <cell r="B201" t="str">
            <v>650-07</v>
          </cell>
          <cell r="D201" t="str">
            <v>ESTRUCTURAS DE ACERO: Transporte de la estructura metálica</v>
          </cell>
          <cell r="E201" t="str">
            <v>3.6.6.11.7</v>
          </cell>
          <cell r="F201" t="str">
            <v>KG</v>
          </cell>
          <cell r="G201">
            <v>261</v>
          </cell>
        </row>
        <row r="202">
          <cell r="A202">
            <v>650.4</v>
          </cell>
          <cell r="B202" t="str">
            <v>650-07</v>
          </cell>
          <cell r="D202" t="str">
            <v>ESTRUCTURAS DE ACERO: Montaje y pintura de estructura metálica</v>
          </cell>
          <cell r="E202" t="str">
            <v>3.6.6.11.6</v>
          </cell>
          <cell r="F202" t="str">
            <v>KG</v>
          </cell>
          <cell r="G202">
            <v>1403</v>
          </cell>
        </row>
        <row r="203">
          <cell r="A203" t="str">
            <v xml:space="preserve">ARTICULO 660 - TUBERÍA DE CONCRETO SIMPLE </v>
          </cell>
        </row>
        <row r="204">
          <cell r="A204" t="str">
            <v>660.1</v>
          </cell>
          <cell r="B204" t="str">
            <v>660-07</v>
          </cell>
          <cell r="D204" t="str">
            <v>TUBERÍA DE CONCRETO SIMPLE: Tubería de concreto simple de diámetro 450mm</v>
          </cell>
          <cell r="E204" t="str">
            <v>3.6.6.12.7</v>
          </cell>
          <cell r="F204" t="str">
            <v>ML</v>
          </cell>
          <cell r="G204">
            <v>262966</v>
          </cell>
        </row>
        <row r="205">
          <cell r="A205" t="str">
            <v>660.2</v>
          </cell>
          <cell r="B205" t="str">
            <v>660-07</v>
          </cell>
          <cell r="D205" t="str">
            <v>TUBERÍA DE CONCRETO SIMPLE: Tubería de concreto simple de diámetro 500mm</v>
          </cell>
          <cell r="E205" t="str">
            <v>3.6.6.12.8</v>
          </cell>
          <cell r="F205" t="str">
            <v>ML</v>
          </cell>
          <cell r="G205">
            <v>402215</v>
          </cell>
        </row>
        <row r="206">
          <cell r="A206" t="str">
            <v>660.3</v>
          </cell>
          <cell r="B206" t="str">
            <v>660-07</v>
          </cell>
          <cell r="D206" t="str">
            <v>TUBERÍA DE CONCRETO SIMPLE: Tubería de concreto simple de diámetro 600mm</v>
          </cell>
          <cell r="E206" t="str">
            <v>3.6.6.12.9</v>
          </cell>
          <cell r="F206" t="str">
            <v>ML</v>
          </cell>
          <cell r="G206">
            <v>343397</v>
          </cell>
        </row>
        <row r="207">
          <cell r="A207" t="str">
            <v xml:space="preserve">ARTICULO 661 - TUBERÍA DE CONCRETO REFORZADO </v>
          </cell>
        </row>
        <row r="208">
          <cell r="A208">
            <v>661.1</v>
          </cell>
          <cell r="B208" t="str">
            <v>661-07</v>
          </cell>
          <cell r="D208" t="str">
            <v>TUBERÍA DE CONCRETO REFORZADO:Tuberia de concreto reforzado de 900mm de diámetro interior</v>
          </cell>
          <cell r="E208" t="str">
            <v>3.6.6.13.1</v>
          </cell>
          <cell r="F208" t="str">
            <v>ML</v>
          </cell>
          <cell r="G208">
            <v>586823</v>
          </cell>
        </row>
        <row r="209">
          <cell r="A209" t="str">
            <v>661,1,1</v>
          </cell>
          <cell r="B209" t="str">
            <v>661-07</v>
          </cell>
          <cell r="D209" t="str">
            <v>TUBERÍA DE CONCRETO REFORZADO:Tuberia de concreto reforzado de 900mm de diámetro interior ( TIPO 2)</v>
          </cell>
          <cell r="F209" t="str">
            <v>ML</v>
          </cell>
          <cell r="G209">
            <v>481120</v>
          </cell>
        </row>
        <row r="210">
          <cell r="A210" t="str">
            <v>661,1,2</v>
          </cell>
          <cell r="B210" t="str">
            <v>661-07</v>
          </cell>
          <cell r="D210" t="str">
            <v>TUBERÍA DE CONCRETO REFORZADO:Tuberia de concreto reforzado de 900mm de diámetro interior (HECHO EN OBRA)</v>
          </cell>
          <cell r="F210" t="str">
            <v>ML</v>
          </cell>
          <cell r="G210">
            <v>299285</v>
          </cell>
        </row>
        <row r="211">
          <cell r="A211" t="str">
            <v>ARTICULO 662 - TUBERÍA METÁLICA CORRUGADA</v>
          </cell>
        </row>
        <row r="212">
          <cell r="A212" t="str">
            <v>662.1</v>
          </cell>
          <cell r="B212" t="str">
            <v>662-07</v>
          </cell>
          <cell r="D212" t="str">
            <v>TUBERÍA METÁLICA CORRUGADA:Tuberia corrugada de acero galvanizado</v>
          </cell>
          <cell r="E212" t="str">
            <v>3.3.14.19.1</v>
          </cell>
          <cell r="F212" t="str">
            <v>ML</v>
          </cell>
          <cell r="G212">
            <v>474613</v>
          </cell>
        </row>
        <row r="213">
          <cell r="A213" t="str">
            <v>ARTICULO 670 - DISIPADORES DE ENERGÍA Y SEDIMENTADORES</v>
          </cell>
        </row>
        <row r="214">
          <cell r="A214">
            <v>670.1</v>
          </cell>
          <cell r="B214" t="str">
            <v>670-07</v>
          </cell>
          <cell r="D214" t="str">
            <v>DISIPADORES DE ENERGIA Y SEDIMENTADORES :En gaviones</v>
          </cell>
          <cell r="E214" t="str">
            <v>3.6.6.15.2</v>
          </cell>
          <cell r="F214" t="str">
            <v>M³</v>
          </cell>
          <cell r="G214">
            <v>290629</v>
          </cell>
        </row>
        <row r="215">
          <cell r="A215">
            <v>670.2</v>
          </cell>
          <cell r="B215" t="str">
            <v>670-07</v>
          </cell>
          <cell r="D215" t="str">
            <v>DISIPADORES DE ENERGÍA Y SEDIMENTADORES : En concreto ciclópeo</v>
          </cell>
          <cell r="E215" t="str">
            <v>3.6.6.15.2</v>
          </cell>
          <cell r="F215" t="str">
            <v>M³</v>
          </cell>
          <cell r="G215">
            <v>409912</v>
          </cell>
        </row>
        <row r="216">
          <cell r="A216" t="str">
            <v xml:space="preserve">ARTICULO 671 - CUNETAS REVESTIDAS EN CONCRETO </v>
          </cell>
        </row>
        <row r="217">
          <cell r="A217">
            <v>671.1</v>
          </cell>
          <cell r="B217" t="str">
            <v>671-07</v>
          </cell>
          <cell r="D217" t="str">
            <v>CUNETAS REVESTIDAS EN CONCRETO: Cuneta de concreto fundida en el lugar</v>
          </cell>
          <cell r="E217" t="str">
            <v>3.6.6.16.1</v>
          </cell>
          <cell r="F217" t="str">
            <v>M³</v>
          </cell>
          <cell r="G217">
            <v>491375</v>
          </cell>
        </row>
        <row r="218">
          <cell r="A218" t="str">
            <v xml:space="preserve">ARTICULO 672 - BORDILLOS DE CONCRETO </v>
          </cell>
        </row>
        <row r="219">
          <cell r="A219">
            <v>672.1</v>
          </cell>
          <cell r="B219">
            <v>672.07</v>
          </cell>
          <cell r="D219" t="str">
            <v>BORDILLOS DE CONCRETO :Bordillos</v>
          </cell>
          <cell r="E219" t="str">
            <v>3.6.6.17</v>
          </cell>
          <cell r="F219" t="str">
            <v>ML</v>
          </cell>
          <cell r="G219">
            <v>66752</v>
          </cell>
        </row>
        <row r="220">
          <cell r="A220" t="str">
            <v>ARTICULO 673 - SUBDRENES CON GEOTEXTIL Y MATERIAL GRANULAR</v>
          </cell>
        </row>
        <row r="221">
          <cell r="A221">
            <v>673.1</v>
          </cell>
          <cell r="B221" t="str">
            <v>673-07</v>
          </cell>
          <cell r="D221" t="str">
            <v>SUBDRENES CON GEOTEXTIL Y MATERIAL GRANULAR: Material granular filtrante</v>
          </cell>
          <cell r="E221" t="str">
            <v>3.6.6.19.2</v>
          </cell>
          <cell r="F221" t="str">
            <v>M³</v>
          </cell>
          <cell r="G221">
            <v>94084</v>
          </cell>
        </row>
        <row r="222">
          <cell r="A222">
            <v>673.2</v>
          </cell>
          <cell r="B222" t="str">
            <v>673-07</v>
          </cell>
          <cell r="D222" t="str">
            <v>SUBDRENES CON GEOTEXTIL Y MATERIAL GRANULAR: Geotextil</v>
          </cell>
          <cell r="E222" t="str">
            <v>3.6.8.1.2</v>
          </cell>
          <cell r="F222" t="str">
            <v>M²</v>
          </cell>
          <cell r="G222">
            <v>7920</v>
          </cell>
        </row>
        <row r="223">
          <cell r="A223">
            <v>673.3</v>
          </cell>
          <cell r="B223" t="str">
            <v>673-07</v>
          </cell>
          <cell r="D223" t="str">
            <v>SUBDRENES CON GEOTEXTIL Y MATERIAL GRANULAR: Material de cobertura</v>
          </cell>
          <cell r="E223" t="str">
            <v>3.6.8.1.2</v>
          </cell>
          <cell r="F223" t="str">
            <v>M³</v>
          </cell>
          <cell r="G223">
            <v>35322</v>
          </cell>
        </row>
        <row r="224">
          <cell r="A224" t="str">
            <v>ARTICULO 674 - DRENES HORIZONTALES EN TALUDES</v>
          </cell>
        </row>
        <row r="225">
          <cell r="A225">
            <v>674.1</v>
          </cell>
          <cell r="B225" t="str">
            <v>674-07</v>
          </cell>
          <cell r="D225" t="str">
            <v>DRENES HORIZONTALES EN TALUDES.Dren horizontal de longitud menor o igual a diez (10) metros</v>
          </cell>
          <cell r="F225" t="str">
            <v>ML</v>
          </cell>
          <cell r="G225">
            <v>140384</v>
          </cell>
        </row>
        <row r="226">
          <cell r="A226" t="str">
            <v>674.2</v>
          </cell>
          <cell r="B226" t="str">
            <v>674-07</v>
          </cell>
          <cell r="D226" t="str">
            <v>DRENES HORIZONTALES EN TALUDES:Dren horizontal de longitud mayor a diez (10) metros</v>
          </cell>
          <cell r="F226" t="str">
            <v>ML</v>
          </cell>
          <cell r="G226">
            <v>140384</v>
          </cell>
        </row>
        <row r="227">
          <cell r="A227" t="str">
            <v>ARTICULO 680 - TIERRA ARMADA</v>
          </cell>
        </row>
        <row r="228">
          <cell r="A228" t="str">
            <v>680.1</v>
          </cell>
          <cell r="B228" t="str">
            <v>680-07</v>
          </cell>
          <cell r="D228" t="str">
            <v>TIERRA ARMADA:Escamas en concreto</v>
          </cell>
          <cell r="E228" t="str">
            <v>3.6.6.20.1</v>
          </cell>
          <cell r="F228" t="str">
            <v>M²</v>
          </cell>
          <cell r="G228">
            <v>223540</v>
          </cell>
        </row>
        <row r="229">
          <cell r="A229" t="str">
            <v>680.2</v>
          </cell>
          <cell r="B229" t="str">
            <v>680-07</v>
          </cell>
          <cell r="D229" t="str">
            <v>TIERRA ARMADA:Armadura galvanizada</v>
          </cell>
          <cell r="E229" t="str">
            <v>3.6.6.20.2</v>
          </cell>
          <cell r="F229" t="str">
            <v>ML</v>
          </cell>
        </row>
        <row r="230">
          <cell r="A230" t="str">
            <v>680.3</v>
          </cell>
          <cell r="B230" t="str">
            <v>680-07</v>
          </cell>
          <cell r="D230" t="str">
            <v>TIERRA ARMADA:Relleno granular para tierra armada</v>
          </cell>
          <cell r="E230" t="str">
            <v>3.6.6.20.3</v>
          </cell>
          <cell r="F230" t="str">
            <v>M³</v>
          </cell>
          <cell r="G230">
            <v>144323</v>
          </cell>
        </row>
        <row r="231">
          <cell r="A231" t="str">
            <v>ARTICULO 681 - GAVIÓN</v>
          </cell>
        </row>
        <row r="232">
          <cell r="A232">
            <v>681.1</v>
          </cell>
          <cell r="B232" t="str">
            <v>681-07</v>
          </cell>
          <cell r="D232" t="str">
            <v>GAVIÓN:Gaviones</v>
          </cell>
          <cell r="E232" t="str">
            <v xml:space="preserve">3.6.6.21.1  </v>
          </cell>
          <cell r="F232" t="str">
            <v>M³</v>
          </cell>
          <cell r="G232">
            <v>208653</v>
          </cell>
        </row>
        <row r="233">
          <cell r="A233" t="str">
            <v>ARTICULO 682 - COLCHOGAVIONES</v>
          </cell>
        </row>
        <row r="234">
          <cell r="A234" t="str">
            <v>682.1</v>
          </cell>
          <cell r="B234" t="str">
            <v>682-07</v>
          </cell>
          <cell r="D234" t="str">
            <v>COLCHOGAVIONES:Colchogavion</v>
          </cell>
          <cell r="E234" t="str">
            <v>3.2.7.5.3</v>
          </cell>
          <cell r="F234" t="str">
            <v>M³</v>
          </cell>
          <cell r="G234">
            <v>228901</v>
          </cell>
        </row>
        <row r="235">
          <cell r="A235" t="str">
            <v>ARTICULO 690 - IMPERMEABILIZACIÓN DE ESTRUCTURAS</v>
          </cell>
        </row>
        <row r="236">
          <cell r="A236" t="str">
            <v>690.1</v>
          </cell>
          <cell r="B236" t="str">
            <v>690-07</v>
          </cell>
          <cell r="D236" t="str">
            <v xml:space="preserve"> IMPERMEABILIZACIÓN DE ESTRUCTURAS:Impermeabilizacion de estructuras</v>
          </cell>
          <cell r="F236" t="str">
            <v>M²</v>
          </cell>
          <cell r="G236">
            <v>18654</v>
          </cell>
        </row>
        <row r="237">
          <cell r="A237" t="str">
            <v>ARTICULO 700 - LÍNEAS DE DEMARCACIÓN Y MARCAS VIALES</v>
          </cell>
        </row>
        <row r="238">
          <cell r="A238">
            <v>700.1</v>
          </cell>
          <cell r="B238" t="str">
            <v>700-07</v>
          </cell>
          <cell r="D238" t="str">
            <v>LÍNEA DE DEMARCACIÓN Y MARCAS VIALES: Línea de demarcación con pintura en frío</v>
          </cell>
          <cell r="E238" t="str">
            <v>3.6.7.1.1</v>
          </cell>
          <cell r="F238" t="str">
            <v>ML</v>
          </cell>
          <cell r="G238">
            <v>1537</v>
          </cell>
        </row>
        <row r="239">
          <cell r="A239">
            <v>700.2</v>
          </cell>
          <cell r="B239" t="str">
            <v>700-07</v>
          </cell>
          <cell r="D239" t="str">
            <v>LÍNEA DE DEMARCACIÓN Y MARCAS VIALES: Línea de demarcación con resina termoplastica</v>
          </cell>
          <cell r="E239" t="str">
            <v>3.6.7.1</v>
          </cell>
          <cell r="F239" t="str">
            <v>ML</v>
          </cell>
          <cell r="G239">
            <v>4092</v>
          </cell>
        </row>
        <row r="240">
          <cell r="A240">
            <v>700.3</v>
          </cell>
          <cell r="B240" t="str">
            <v>700-07</v>
          </cell>
          <cell r="D240" t="str">
            <v>LÍNEA DE DEMARCACIÓN Y MARCAS VIALES: Marca vial con pintura en frío</v>
          </cell>
          <cell r="F240" t="str">
            <v>M²</v>
          </cell>
          <cell r="G240">
            <v>25329</v>
          </cell>
        </row>
        <row r="241">
          <cell r="A241">
            <v>700.4</v>
          </cell>
          <cell r="B241" t="str">
            <v>700-07</v>
          </cell>
          <cell r="D241" t="str">
            <v>LÍNEA DE DEMARCACIÓN Y MARCAS VIALES: Marca vial con resina termoplastica</v>
          </cell>
          <cell r="E241" t="str">
            <v>3.6.7.1.6</v>
          </cell>
          <cell r="F241" t="str">
            <v>M²</v>
          </cell>
          <cell r="G241">
            <v>40035</v>
          </cell>
        </row>
        <row r="242">
          <cell r="A242" t="str">
            <v xml:space="preserve">ARTICULO 701 - TACHAS REFLECTIVAS </v>
          </cell>
        </row>
        <row r="243">
          <cell r="A243">
            <v>701.1</v>
          </cell>
          <cell r="B243" t="str">
            <v>701-07</v>
          </cell>
          <cell r="D243" t="str">
            <v>TACHAS REFLECTIVAS :Tachas reflectivas</v>
          </cell>
          <cell r="E243" t="str">
            <v>3.6.7.2.1</v>
          </cell>
          <cell r="F243" t="str">
            <v>U</v>
          </cell>
          <cell r="G243">
            <v>11681</v>
          </cell>
        </row>
        <row r="244">
          <cell r="A244" t="str">
            <v>701P</v>
          </cell>
          <cell r="D244" t="str">
            <v>ESTOPEROLES</v>
          </cell>
          <cell r="F244" t="str">
            <v>U</v>
          </cell>
          <cell r="G244">
            <v>6726</v>
          </cell>
        </row>
        <row r="245">
          <cell r="A245" t="str">
            <v>ARTICULO 710 - SEÑALES VERTICALES DE TRÁNSITO</v>
          </cell>
        </row>
        <row r="246">
          <cell r="A246" t="str">
            <v>710.1</v>
          </cell>
          <cell r="B246" t="str">
            <v>710-07</v>
          </cell>
          <cell r="D246" t="str">
            <v>SEÑALES VERTICALES DE TRÁNSITO:Señal vertical de transito tipo 1(0.75x0.75 m)</v>
          </cell>
          <cell r="E246" t="str">
            <v>3.6.7.3.13</v>
          </cell>
          <cell r="F246" t="str">
            <v>UN</v>
          </cell>
          <cell r="G246">
            <v>314582</v>
          </cell>
        </row>
        <row r="247">
          <cell r="A247" t="str">
            <v>710.1.1</v>
          </cell>
          <cell r="B247" t="str">
            <v>710-07</v>
          </cell>
          <cell r="D247" t="str">
            <v>SEÑALES VERTICALES DE TRANSITO :Señal vertical de transito tipo 1 (0,9*0,9 m)</v>
          </cell>
          <cell r="E247" t="str">
            <v>3.6.7.3.39</v>
          </cell>
          <cell r="F247" t="str">
            <v>UN</v>
          </cell>
          <cell r="G247">
            <v>342673</v>
          </cell>
        </row>
        <row r="248">
          <cell r="A248" t="str">
            <v>710.2</v>
          </cell>
          <cell r="B248" t="str">
            <v>710-07</v>
          </cell>
          <cell r="D248" t="str">
            <v>SEÑALES VERTICALES DE TRÁNSITO:Señal vertical de transito tipo 2 (1.20x0.40 m)</v>
          </cell>
          <cell r="E248" t="str">
            <v>3.6.7.3</v>
          </cell>
          <cell r="F248" t="str">
            <v>M²</v>
          </cell>
          <cell r="G248">
            <v>304280</v>
          </cell>
        </row>
        <row r="249">
          <cell r="A249" t="str">
            <v>710.1.3</v>
          </cell>
          <cell r="B249" t="str">
            <v>710-07</v>
          </cell>
          <cell r="D249" t="str">
            <v>SEÑALES VERTICALES DE TRÁNSITO:Señal vertical de transito grupo 3 (2.40*0.30 m)</v>
          </cell>
          <cell r="F249" t="str">
            <v>UN</v>
          </cell>
          <cell r="G249">
            <v>368734</v>
          </cell>
        </row>
        <row r="250">
          <cell r="A250" t="str">
            <v>710.1.4</v>
          </cell>
          <cell r="B250" t="str">
            <v>710-07</v>
          </cell>
          <cell r="D250" t="str">
            <v>SEÑALES VERTICALES DE TRÁNSITO:Señal vertical de transito grupo 4 (Delineadores de curva)</v>
          </cell>
          <cell r="F250" t="str">
            <v>UN</v>
          </cell>
          <cell r="G250">
            <v>251734</v>
          </cell>
        </row>
        <row r="251">
          <cell r="A251" t="str">
            <v>710.1.5</v>
          </cell>
          <cell r="B251" t="str">
            <v>710-07</v>
          </cell>
          <cell r="D251" t="str">
            <v>SEÑALES VERTICALES DE TRÁNSITO:Señal vertical de transito grupo 5 (Informativas)</v>
          </cell>
          <cell r="F251" t="str">
            <v>UN</v>
          </cell>
          <cell r="G251">
            <v>578127</v>
          </cell>
        </row>
        <row r="252">
          <cell r="A252" t="str">
            <v xml:space="preserve">ARTICULO 720 - POSTES DE REFERENCIA </v>
          </cell>
        </row>
        <row r="253">
          <cell r="A253" t="str">
            <v>720.1</v>
          </cell>
          <cell r="B253" t="str">
            <v>720-07</v>
          </cell>
          <cell r="D253" t="str">
            <v>POSTES DE REFERENCIA :Postes de kilometraje</v>
          </cell>
          <cell r="E253" t="str">
            <v>3.6.7.4.1</v>
          </cell>
          <cell r="F253" t="str">
            <v>U</v>
          </cell>
          <cell r="G253">
            <v>130297</v>
          </cell>
        </row>
        <row r="254">
          <cell r="A254" t="str">
            <v>ARTICULO 730 - DEFENSAS METÁLICAS</v>
          </cell>
        </row>
        <row r="255">
          <cell r="A255" t="str">
            <v>730.1</v>
          </cell>
          <cell r="B255" t="str">
            <v>730-07</v>
          </cell>
          <cell r="D255" t="str">
            <v>DEFENSAS METÁLICAS:Defensas metálicas</v>
          </cell>
          <cell r="E255" t="str">
            <v>3.6.7.5.1</v>
          </cell>
          <cell r="F255" t="str">
            <v>ML</v>
          </cell>
          <cell r="G255">
            <v>117810</v>
          </cell>
        </row>
        <row r="256">
          <cell r="A256" t="str">
            <v>730.2</v>
          </cell>
          <cell r="B256" t="str">
            <v>730-07</v>
          </cell>
          <cell r="D256" t="str">
            <v>DEFENSAS METÁLICAS:Seccion final</v>
          </cell>
          <cell r="E256" t="str">
            <v>3.6.7.5.2</v>
          </cell>
          <cell r="F256" t="str">
            <v>UN</v>
          </cell>
          <cell r="G256">
            <v>54105</v>
          </cell>
        </row>
        <row r="257">
          <cell r="A257" t="str">
            <v>730.3</v>
          </cell>
          <cell r="B257" t="str">
            <v>730-07</v>
          </cell>
          <cell r="D257" t="str">
            <v>DEFENSAS METÁLICAS:Seccion de tope</v>
          </cell>
          <cell r="E257" t="str">
            <v>3.6.7.5.3</v>
          </cell>
          <cell r="F257" t="str">
            <v>UN</v>
          </cell>
          <cell r="G257">
            <v>54105</v>
          </cell>
        </row>
        <row r="258">
          <cell r="A258" t="str">
            <v>ARTICULO 740 - CAPTAFAROS</v>
          </cell>
        </row>
        <row r="259">
          <cell r="A259">
            <v>740.1</v>
          </cell>
          <cell r="B259" t="str">
            <v>740-07</v>
          </cell>
          <cell r="D259" t="str">
            <v>CAPTAFAROS:Captafaros</v>
          </cell>
          <cell r="E259" t="str">
            <v>3.6.7.6.1</v>
          </cell>
          <cell r="F259" t="str">
            <v>U</v>
          </cell>
          <cell r="G259">
            <v>14432</v>
          </cell>
        </row>
        <row r="260">
          <cell r="A260" t="str">
            <v xml:space="preserve">ARTICULO 800 - CERCAS DE ALAMBRE </v>
          </cell>
        </row>
        <row r="261">
          <cell r="A261" t="str">
            <v>800.1</v>
          </cell>
          <cell r="B261" t="str">
            <v>800-07</v>
          </cell>
          <cell r="D261" t="str">
            <v>CERCAS DE ALAMBRE : Cerca de alambre de púas con postes de madera</v>
          </cell>
          <cell r="E261" t="str">
            <v>3.6.9.1.4</v>
          </cell>
          <cell r="F261" t="str">
            <v>ML</v>
          </cell>
          <cell r="G261">
            <v>10941</v>
          </cell>
        </row>
        <row r="262">
          <cell r="A262" t="str">
            <v>800.2</v>
          </cell>
          <cell r="B262" t="str">
            <v>800-07</v>
          </cell>
          <cell r="D262" t="str">
            <v>CERCAS DE ALAMBRE : Cerca de alambre de púas con postes de concreto</v>
          </cell>
          <cell r="E262" t="str">
            <v>3.6.9.1.10</v>
          </cell>
          <cell r="F262" t="str">
            <v>ML</v>
          </cell>
          <cell r="G262">
            <v>18165</v>
          </cell>
        </row>
        <row r="263">
          <cell r="A263" t="str">
            <v>800.3</v>
          </cell>
          <cell r="B263" t="str">
            <v>800-07</v>
          </cell>
          <cell r="D263" t="str">
            <v>CERCAS DE ALAMBRE : Cercas de malla con postes de madera</v>
          </cell>
          <cell r="E263" t="str">
            <v>3.6.9.1.6</v>
          </cell>
          <cell r="F263" t="str">
            <v>ML</v>
          </cell>
          <cell r="G263">
            <v>39568</v>
          </cell>
        </row>
        <row r="264">
          <cell r="A264" t="str">
            <v>800.4</v>
          </cell>
          <cell r="B264" t="str">
            <v>800-07</v>
          </cell>
          <cell r="D264" t="str">
            <v>CERCAS DE ALAMBRE : Cercas de malla con postes de concreto</v>
          </cell>
          <cell r="E264" t="str">
            <v>3.6.9.1.13</v>
          </cell>
          <cell r="F264" t="str">
            <v>ML</v>
          </cell>
          <cell r="G264">
            <v>48500</v>
          </cell>
        </row>
        <row r="265">
          <cell r="A265" t="str">
            <v xml:space="preserve">ARTICULO 801 - MANTENIMIENTO  RUTINARIO DE VÍAS </v>
          </cell>
        </row>
        <row r="266">
          <cell r="A266" t="str">
            <v>801.1</v>
          </cell>
          <cell r="B266" t="str">
            <v>801-07</v>
          </cell>
          <cell r="D266" t="str">
            <v>MANTENIMIENTO  RUTINARIO DE VÍAS : Roceria</v>
          </cell>
          <cell r="F266" t="str">
            <v>Ha</v>
          </cell>
          <cell r="G266">
            <v>347733.33333333337</v>
          </cell>
        </row>
        <row r="267">
          <cell r="A267" t="str">
            <v>801.2</v>
          </cell>
          <cell r="B267" t="str">
            <v>801-07</v>
          </cell>
          <cell r="D267" t="str">
            <v>MANTENIMIENTO  RUTINARIO DE VÍAS :Limpieza de bermas</v>
          </cell>
          <cell r="F267" t="str">
            <v>M²</v>
          </cell>
          <cell r="G267">
            <v>758.18285714285719</v>
          </cell>
        </row>
        <row r="268">
          <cell r="A268" t="str">
            <v>801.3</v>
          </cell>
          <cell r="B268" t="str">
            <v>801-07</v>
          </cell>
          <cell r="D268" t="str">
            <v>MANTENIMIENTO  RUTINARIO DE VÍAS :Limpieza a mano de cunetas en tierra</v>
          </cell>
          <cell r="E268" t="str">
            <v>3.6.9.4.12</v>
          </cell>
          <cell r="F268" t="str">
            <v>ML</v>
          </cell>
          <cell r="G268">
            <v>1769.0933333333332</v>
          </cell>
        </row>
        <row r="269">
          <cell r="A269" t="str">
            <v>801.4</v>
          </cell>
          <cell r="B269" t="str">
            <v>801-07</v>
          </cell>
          <cell r="D269" t="str">
            <v>MANTENIMIENTO  RUTINARIO DE VÍAS :Limpieza a mano de cunetas en concreto</v>
          </cell>
          <cell r="E269" t="str">
            <v>3.6.9.4.12</v>
          </cell>
          <cell r="F269" t="str">
            <v>ML</v>
          </cell>
          <cell r="G269">
            <v>1061.4560000000001</v>
          </cell>
        </row>
        <row r="270">
          <cell r="A270" t="str">
            <v>801.5</v>
          </cell>
          <cell r="B270" t="str">
            <v>801-07</v>
          </cell>
          <cell r="D270" t="str">
            <v xml:space="preserve">MANTENIMIENTO  RUTINARIO DE VÍAS :Limpieza a mano de encoles y descoles  </v>
          </cell>
          <cell r="E270" t="str">
            <v>3.6.9.4.8</v>
          </cell>
          <cell r="F270" t="str">
            <v>ML</v>
          </cell>
          <cell r="G270">
            <v>2122.9120000000003</v>
          </cell>
        </row>
        <row r="271">
          <cell r="A271" t="str">
            <v>801.6</v>
          </cell>
          <cell r="B271" t="str">
            <v>801-07</v>
          </cell>
          <cell r="D271" t="str">
            <v>MANTENIMIENTO  RUTINARIO DE VÍAS :Limpieza a mano de alcantarillas de tubo de 600 o 900 mm</v>
          </cell>
          <cell r="E271" t="str">
            <v>3.6.9.4.10</v>
          </cell>
          <cell r="F271" t="str">
            <v>UN</v>
          </cell>
          <cell r="G271">
            <v>4824.8</v>
          </cell>
        </row>
        <row r="272">
          <cell r="A272" t="str">
            <v>801.7</v>
          </cell>
          <cell r="B272" t="str">
            <v>801-07</v>
          </cell>
          <cell r="D272" t="str">
            <v>MANTENIMIENTO  RUTINARIO DE VÍAS :Limpieza a mano de pontones y puentes</v>
          </cell>
          <cell r="F272" t="str">
            <v>ML</v>
          </cell>
          <cell r="G272">
            <v>10614.560000000001</v>
          </cell>
        </row>
        <row r="273">
          <cell r="A273" t="str">
            <v xml:space="preserve">ARTICULO 810 - PROTECCIÓN VEGETAL DE TALUDES </v>
          </cell>
        </row>
        <row r="274">
          <cell r="A274">
            <v>810.1</v>
          </cell>
          <cell r="B274" t="str">
            <v>810-07</v>
          </cell>
          <cell r="D274" t="str">
            <v>PROTECCIÓN VEGETAL DE TALUDES: Protección de taludes con bloque de césped</v>
          </cell>
          <cell r="E274" t="str">
            <v>3.6.9.2.1</v>
          </cell>
          <cell r="F274" t="str">
            <v>M²</v>
          </cell>
          <cell r="G274">
            <v>9024</v>
          </cell>
        </row>
        <row r="275">
          <cell r="A275">
            <v>810.2</v>
          </cell>
          <cell r="B275" t="str">
            <v>810-07</v>
          </cell>
          <cell r="D275" t="str">
            <v>PROTECCIÓN VEGETAL DE TALUDES: Protección de taludes con tierra orgánica</v>
          </cell>
          <cell r="E275" t="str">
            <v>3.6.9.2.2</v>
          </cell>
          <cell r="F275" t="str">
            <v>M²</v>
          </cell>
          <cell r="G275">
            <v>12330</v>
          </cell>
        </row>
        <row r="276">
          <cell r="A276">
            <v>810.3</v>
          </cell>
          <cell r="B276" t="str">
            <v>810-07</v>
          </cell>
          <cell r="D276" t="str">
            <v>PROTECCIÓN VEGETAL DE TALUDES: Protección de taludes con hidrosiembra controlada</v>
          </cell>
          <cell r="E276" t="str">
            <v>3.2.9.1.1</v>
          </cell>
          <cell r="F276" t="str">
            <v>M²</v>
          </cell>
          <cell r="G276">
            <v>12330</v>
          </cell>
        </row>
        <row r="277">
          <cell r="A277" t="str">
            <v xml:space="preserve">ARTICULO 900 - TRANSPORTE DE MATERIALES PROVENIENTES DE EXCAVACIONES Y DERRUMBES </v>
          </cell>
        </row>
        <row r="278">
          <cell r="A278">
            <v>900.1</v>
          </cell>
          <cell r="B278" t="str">
            <v>900-07</v>
          </cell>
          <cell r="D278" t="str">
            <v>TRANSPORTE DE MATERIAL PROVENIENTE DE EXCAVACIONES Y DERRUMBES: Transporte de materiales provenientes de la excavación de la explanación, canales y prestamos, entre cien metros (100m) y mil metros (1000m) de distancia</v>
          </cell>
          <cell r="E278" t="str">
            <v xml:space="preserve">3.6.9.3.1   </v>
          </cell>
          <cell r="F278" t="str">
            <v>M³-KM</v>
          </cell>
          <cell r="G278">
            <v>260.57142857142861</v>
          </cell>
        </row>
        <row r="279">
          <cell r="A279">
            <v>900.2</v>
          </cell>
          <cell r="B279" t="str">
            <v>900-07</v>
          </cell>
          <cell r="D279" t="str">
            <v>TRANSPORTE DE MATERIAL PROVENIENTE DE EXCAVACIONES Y DERRUMBES: Transporte de materiales provenientes de la excavación de la explanación, canales y prestamos para distancias mayores a mil metros (1000m)</v>
          </cell>
          <cell r="E279" t="str">
            <v xml:space="preserve">3.6.9.3.1   </v>
          </cell>
          <cell r="F279" t="str">
            <v>M³-KM</v>
          </cell>
          <cell r="G279">
            <v>1118</v>
          </cell>
        </row>
        <row r="280">
          <cell r="A280">
            <v>900.3</v>
          </cell>
          <cell r="B280" t="str">
            <v>900-07</v>
          </cell>
          <cell r="D280" t="str">
            <v>TRANSPORTE DE MATERIAL PROVENIENTE DE EXCAVACIONES Y DERRUMBES: Transporte de materiales provenientes de derrumbes</v>
          </cell>
          <cell r="E280" t="str">
            <v xml:space="preserve">3.6.9.3.1   </v>
          </cell>
          <cell r="F280" t="str">
            <v>M³-KM</v>
          </cell>
          <cell r="G280">
            <v>1118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_Cantidades"/>
      <sheetName val="CO_Acero "/>
      <sheetName val="CO-Obra"/>
    </sheetNames>
    <sheetDataSet>
      <sheetData sheetId="0"/>
      <sheetData sheetId="1"/>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36-2002"/>
      <sheetName val="CAJA"/>
    </sheetNames>
    <sheetDataSet>
      <sheetData sheetId="0" refreshError="1"/>
      <sheetData sheetId="1" refreshError="1"/>
      <sheetData sheetId="2" refreshError="1"/>
      <sheetData sheetId="3" refreshError="1"/>
      <sheetData sheetId="4" refreshError="1">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24904</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cell r="L13">
            <v>5340</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cell r="L18">
            <v>35004</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42134</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51242</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341.1</v>
          </cell>
          <cell r="B25" t="str">
            <v>Base estabilidasa con cemento</v>
          </cell>
          <cell r="C25" t="str">
            <v>m3</v>
          </cell>
          <cell r="L25">
            <v>45878</v>
          </cell>
        </row>
        <row r="26">
          <cell r="A26">
            <v>341.2</v>
          </cell>
          <cell r="B26" t="str">
            <v>Cemento</v>
          </cell>
          <cell r="C26" t="str">
            <v>kg</v>
          </cell>
          <cell r="L26">
            <v>699</v>
          </cell>
        </row>
        <row r="27">
          <cell r="A27">
            <v>341.3</v>
          </cell>
          <cell r="B27" t="str">
            <v>BASE ESTAB. FRES-CEM(3%) BASE GRANULAR(10%)</v>
          </cell>
          <cell r="C27" t="str">
            <v>M3</v>
          </cell>
          <cell r="D27">
            <v>57558</v>
          </cell>
          <cell r="E27">
            <v>60524</v>
          </cell>
          <cell r="F27">
            <v>79127</v>
          </cell>
          <cell r="G27">
            <v>87039.700000000012</v>
          </cell>
          <cell r="H27">
            <v>73164</v>
          </cell>
          <cell r="I27">
            <v>51061</v>
          </cell>
          <cell r="J27">
            <v>63752</v>
          </cell>
          <cell r="K27">
            <v>47808</v>
          </cell>
        </row>
        <row r="28">
          <cell r="A28">
            <v>411.2</v>
          </cell>
          <cell r="B28" t="str">
            <v>EMULSION ASFALTICA DE ROTURA LENTA CRL-1</v>
          </cell>
          <cell r="C28" t="str">
            <v>LT</v>
          </cell>
          <cell r="F28">
            <v>0</v>
          </cell>
          <cell r="G28">
            <v>0</v>
          </cell>
          <cell r="J28">
            <v>420</v>
          </cell>
        </row>
        <row r="29">
          <cell r="A29">
            <v>413.1</v>
          </cell>
          <cell r="B29" t="str">
            <v>EXCAVACION PARA REPARACION PAV. EXISTEN.</v>
          </cell>
          <cell r="C29" t="str">
            <v>M3</v>
          </cell>
          <cell r="D29">
            <v>19965</v>
          </cell>
          <cell r="E29">
            <v>20613</v>
          </cell>
          <cell r="F29">
            <v>20078.3</v>
          </cell>
          <cell r="G29">
            <v>22086.13</v>
          </cell>
          <cell r="H29">
            <v>20657</v>
          </cell>
          <cell r="I29">
            <v>16873</v>
          </cell>
          <cell r="J29">
            <v>19954</v>
          </cell>
          <cell r="K29">
            <v>19906</v>
          </cell>
          <cell r="L29">
            <v>23732</v>
          </cell>
        </row>
        <row r="30">
          <cell r="A30">
            <v>420</v>
          </cell>
          <cell r="B30" t="str">
            <v>IMPRIMACION (EMULSION)</v>
          </cell>
          <cell r="C30" t="str">
            <v>M2</v>
          </cell>
          <cell r="D30">
            <v>646</v>
          </cell>
          <cell r="E30">
            <v>1222</v>
          </cell>
          <cell r="F30">
            <v>887.7</v>
          </cell>
          <cell r="G30">
            <v>976.47000000000014</v>
          </cell>
          <cell r="H30">
            <v>580</v>
          </cell>
          <cell r="I30">
            <v>473</v>
          </cell>
          <cell r="J30">
            <v>560</v>
          </cell>
          <cell r="K30">
            <v>477</v>
          </cell>
          <cell r="L30">
            <v>466</v>
          </cell>
        </row>
        <row r="31">
          <cell r="A31">
            <v>421</v>
          </cell>
          <cell r="B31" t="str">
            <v>RIEGO DE LIGA</v>
          </cell>
          <cell r="C31" t="str">
            <v>M2</v>
          </cell>
          <cell r="D31">
            <v>332</v>
          </cell>
          <cell r="E31">
            <v>426</v>
          </cell>
          <cell r="F31">
            <v>314.60000000000002</v>
          </cell>
          <cell r="G31">
            <v>346.06000000000006</v>
          </cell>
          <cell r="H31">
            <v>377</v>
          </cell>
          <cell r="I31">
            <v>475</v>
          </cell>
          <cell r="J31">
            <v>381</v>
          </cell>
          <cell r="K31">
            <v>242</v>
          </cell>
          <cell r="L31">
            <v>875</v>
          </cell>
          <cell r="M31">
            <v>570</v>
          </cell>
        </row>
        <row r="32">
          <cell r="A32">
            <v>421.1</v>
          </cell>
          <cell r="B32" t="str">
            <v>RIEGO DE LIGA (CEMENTO ASFALTICO)</v>
          </cell>
          <cell r="C32" t="str">
            <v>M2</v>
          </cell>
          <cell r="D32">
            <v>332</v>
          </cell>
          <cell r="E32">
            <v>426</v>
          </cell>
          <cell r="F32">
            <v>314.60000000000002</v>
          </cell>
          <cell r="G32">
            <v>346.06000000000006</v>
          </cell>
          <cell r="H32">
            <v>377</v>
          </cell>
          <cell r="I32">
            <v>475</v>
          </cell>
          <cell r="J32">
            <v>381</v>
          </cell>
          <cell r="K32">
            <v>242</v>
          </cell>
        </row>
        <row r="33">
          <cell r="A33">
            <v>421.2</v>
          </cell>
          <cell r="B33" t="str">
            <v>RIEGO DE LIGA (EMULSION)</v>
          </cell>
          <cell r="C33" t="str">
            <v>M2</v>
          </cell>
          <cell r="D33">
            <v>430</v>
          </cell>
          <cell r="E33">
            <v>758</v>
          </cell>
          <cell r="F33">
            <v>565.4</v>
          </cell>
          <cell r="G33">
            <v>621.94000000000005</v>
          </cell>
          <cell r="H33">
            <v>397</v>
          </cell>
          <cell r="I33">
            <v>341</v>
          </cell>
          <cell r="J33">
            <v>400</v>
          </cell>
          <cell r="K33">
            <v>346</v>
          </cell>
        </row>
        <row r="34">
          <cell r="A34">
            <v>430</v>
          </cell>
          <cell r="B34" t="str">
            <v>TRATAMIENTO SUPERFICIAL SIMPLE</v>
          </cell>
          <cell r="C34" t="str">
            <v>M2</v>
          </cell>
          <cell r="D34">
            <v>2947</v>
          </cell>
          <cell r="E34">
            <v>3903</v>
          </cell>
          <cell r="F34">
            <v>3339.6</v>
          </cell>
          <cell r="G34">
            <v>3673.5600000000004</v>
          </cell>
          <cell r="H34">
            <v>2661</v>
          </cell>
          <cell r="I34">
            <v>2467</v>
          </cell>
          <cell r="J34">
            <v>2626</v>
          </cell>
          <cell r="K34">
            <v>2262</v>
          </cell>
        </row>
        <row r="35">
          <cell r="A35">
            <v>431</v>
          </cell>
          <cell r="B35" t="str">
            <v>TRATAMIENTO SUPERFICIAL DOBLE</v>
          </cell>
          <cell r="C35" t="str">
            <v>M2</v>
          </cell>
          <cell r="D35">
            <v>4729</v>
          </cell>
          <cell r="E35">
            <v>6887</v>
          </cell>
          <cell r="F35">
            <v>5562.7</v>
          </cell>
          <cell r="G35">
            <v>6118.97</v>
          </cell>
          <cell r="H35">
            <v>4141</v>
          </cell>
          <cell r="I35">
            <v>3778</v>
          </cell>
          <cell r="J35">
            <v>4047</v>
          </cell>
          <cell r="K35">
            <v>3345</v>
          </cell>
        </row>
        <row r="36">
          <cell r="A36">
            <v>432</v>
          </cell>
          <cell r="B36" t="str">
            <v>SELLO ARENA - EMULSION</v>
          </cell>
          <cell r="C36" t="str">
            <v>M2</v>
          </cell>
          <cell r="D36">
            <v>1834</v>
          </cell>
          <cell r="E36">
            <v>2133</v>
          </cell>
          <cell r="F36">
            <v>1920.6</v>
          </cell>
          <cell r="G36">
            <v>2112.66</v>
          </cell>
          <cell r="H36">
            <v>1507</v>
          </cell>
          <cell r="I36">
            <v>1360</v>
          </cell>
          <cell r="J36">
            <v>1620</v>
          </cell>
          <cell r="K36">
            <v>1364</v>
          </cell>
        </row>
        <row r="37">
          <cell r="A37">
            <v>432.1</v>
          </cell>
          <cell r="B37" t="str">
            <v>SELLO EMULSION CRML, rompimiento lento</v>
          </cell>
          <cell r="C37" t="str">
            <v>M2</v>
          </cell>
          <cell r="D37">
            <v>1834</v>
          </cell>
          <cell r="E37">
            <v>2133</v>
          </cell>
          <cell r="F37">
            <v>1920.6</v>
          </cell>
          <cell r="G37">
            <v>2112.66</v>
          </cell>
          <cell r="H37">
            <v>1507</v>
          </cell>
          <cell r="I37">
            <v>1360</v>
          </cell>
          <cell r="J37">
            <v>1620</v>
          </cell>
          <cell r="K37">
            <v>1364</v>
          </cell>
        </row>
        <row r="38">
          <cell r="A38">
            <v>433</v>
          </cell>
          <cell r="B38" t="str">
            <v>LECHADA ASFALTICA</v>
          </cell>
          <cell r="C38" t="str">
            <v>M2</v>
          </cell>
          <cell r="D38">
            <v>6299</v>
          </cell>
          <cell r="E38">
            <v>6634</v>
          </cell>
          <cell r="F38">
            <v>6972.9</v>
          </cell>
          <cell r="G38">
            <v>7670.1900000000005</v>
          </cell>
          <cell r="H38">
            <v>5708</v>
          </cell>
          <cell r="I38">
            <v>5428</v>
          </cell>
          <cell r="J38">
            <v>5517</v>
          </cell>
          <cell r="K38">
            <v>4134</v>
          </cell>
        </row>
        <row r="39">
          <cell r="A39">
            <v>440.1</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440.2</v>
          </cell>
          <cell r="B40" t="str">
            <v>MEZCLA DENSA EN FRIO</v>
          </cell>
          <cell r="C40" t="str">
            <v>M3</v>
          </cell>
          <cell r="D40">
            <v>176355</v>
          </cell>
          <cell r="E40">
            <v>200444</v>
          </cell>
          <cell r="F40">
            <v>202221.8</v>
          </cell>
          <cell r="G40">
            <v>222443.98</v>
          </cell>
          <cell r="H40">
            <v>199896</v>
          </cell>
          <cell r="I40">
            <v>199779</v>
          </cell>
          <cell r="J40">
            <v>208671</v>
          </cell>
          <cell r="K40">
            <v>143585</v>
          </cell>
        </row>
        <row r="41">
          <cell r="A41">
            <v>440.3</v>
          </cell>
          <cell r="B41" t="str">
            <v>MEZCLA DENSA EN FRIO</v>
          </cell>
          <cell r="C41" t="str">
            <v>M3</v>
          </cell>
          <cell r="D41">
            <v>176355</v>
          </cell>
          <cell r="E41">
            <v>200444</v>
          </cell>
          <cell r="F41">
            <v>202221.8</v>
          </cell>
          <cell r="G41">
            <v>222443.98</v>
          </cell>
          <cell r="H41">
            <v>199896</v>
          </cell>
          <cell r="I41">
            <v>199779</v>
          </cell>
          <cell r="J41">
            <v>208671</v>
          </cell>
          <cell r="K41">
            <v>143585</v>
          </cell>
        </row>
        <row r="42">
          <cell r="A42">
            <v>440.5</v>
          </cell>
          <cell r="B42" t="str">
            <v>MEZCLA DENSA EN FRIO PARA BACHEO</v>
          </cell>
          <cell r="C42" t="str">
            <v>M3</v>
          </cell>
          <cell r="D42">
            <v>180881</v>
          </cell>
          <cell r="E42">
            <v>204166</v>
          </cell>
          <cell r="F42">
            <v>206720.8</v>
          </cell>
          <cell r="G42">
            <v>227392.88</v>
          </cell>
          <cell r="H42">
            <v>203841</v>
          </cell>
          <cell r="I42">
            <v>202683</v>
          </cell>
          <cell r="J42">
            <v>213759</v>
          </cell>
          <cell r="K42">
            <v>147358</v>
          </cell>
        </row>
        <row r="43">
          <cell r="A43">
            <v>450.5</v>
          </cell>
          <cell r="B43" t="str">
            <v>PARCHEO CON MEZCLA DENSA EN CALIENTE</v>
          </cell>
          <cell r="C43" t="str">
            <v>M3</v>
          </cell>
          <cell r="D43">
            <v>192930</v>
          </cell>
          <cell r="E43">
            <v>200444</v>
          </cell>
          <cell r="F43">
            <v>211516.79999999999</v>
          </cell>
          <cell r="G43">
            <v>232668.48</v>
          </cell>
          <cell r="H43">
            <v>207696</v>
          </cell>
          <cell r="I43">
            <v>242679</v>
          </cell>
          <cell r="J43">
            <v>231746</v>
          </cell>
          <cell r="K43">
            <v>145860</v>
          </cell>
        </row>
        <row r="44">
          <cell r="A44">
            <v>450.6</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cell r="M44">
            <v>209300</v>
          </cell>
        </row>
        <row r="45">
          <cell r="A45">
            <v>450.7</v>
          </cell>
          <cell r="B45" t="str">
            <v>MEZCLA DENSA EN CALIENTE</v>
          </cell>
          <cell r="C45" t="str">
            <v>M3</v>
          </cell>
          <cell r="D45">
            <v>192930</v>
          </cell>
          <cell r="E45">
            <v>200444</v>
          </cell>
          <cell r="F45">
            <v>211516.79999999999</v>
          </cell>
          <cell r="G45">
            <v>232668.48</v>
          </cell>
          <cell r="H45">
            <v>207696</v>
          </cell>
          <cell r="I45">
            <v>242679</v>
          </cell>
          <cell r="J45">
            <v>231746</v>
          </cell>
          <cell r="K45">
            <v>145860</v>
          </cell>
          <cell r="M45">
            <v>205600</v>
          </cell>
        </row>
        <row r="46">
          <cell r="A46">
            <v>450.8</v>
          </cell>
          <cell r="B46" t="str">
            <v>MEZCLA DENSA EN CALIENTE</v>
          </cell>
          <cell r="C46" t="str">
            <v>M3</v>
          </cell>
          <cell r="D46">
            <v>192930</v>
          </cell>
          <cell r="E46">
            <v>200444</v>
          </cell>
          <cell r="F46">
            <v>211516.79999999999</v>
          </cell>
          <cell r="G46">
            <v>232668.48</v>
          </cell>
          <cell r="H46">
            <v>207696</v>
          </cell>
          <cell r="I46">
            <v>242679</v>
          </cell>
          <cell r="J46">
            <v>231746</v>
          </cell>
          <cell r="K46">
            <v>145860</v>
          </cell>
        </row>
        <row r="47">
          <cell r="A47">
            <v>450.11</v>
          </cell>
          <cell r="B47" t="str">
            <v>MEZCLA DENSA EN CALIENTE PARA BACHEO</v>
          </cell>
          <cell r="C47" t="str">
            <v>M3</v>
          </cell>
          <cell r="D47">
            <v>198283</v>
          </cell>
          <cell r="E47">
            <v>206058</v>
          </cell>
          <cell r="F47">
            <v>217730.7</v>
          </cell>
          <cell r="G47">
            <v>239503.77000000002</v>
          </cell>
          <cell r="H47">
            <v>214079</v>
          </cell>
          <cell r="I47">
            <v>250271</v>
          </cell>
          <cell r="J47">
            <v>239028</v>
          </cell>
          <cell r="K47">
            <v>149205</v>
          </cell>
        </row>
        <row r="48">
          <cell r="A48">
            <v>450.12</v>
          </cell>
          <cell r="B48" t="str">
            <v>MEZCLA DENSA EN CALIENTE PARA BACHEO</v>
          </cell>
          <cell r="C48" t="str">
            <v>M3</v>
          </cell>
          <cell r="D48">
            <v>198283</v>
          </cell>
          <cell r="E48">
            <v>206058</v>
          </cell>
          <cell r="F48">
            <v>217730.7</v>
          </cell>
          <cell r="G48">
            <v>239503.77000000002</v>
          </cell>
          <cell r="H48">
            <v>214079</v>
          </cell>
          <cell r="I48">
            <v>250271</v>
          </cell>
          <cell r="J48">
            <v>239028</v>
          </cell>
          <cell r="K48">
            <v>149205</v>
          </cell>
        </row>
        <row r="49">
          <cell r="A49">
            <v>450.13</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row>
        <row r="50">
          <cell r="A50">
            <v>450.14</v>
          </cell>
          <cell r="B50" t="str">
            <v>MEZCLA DENSA EN CALIENTE</v>
          </cell>
          <cell r="C50" t="str">
            <v>M3</v>
          </cell>
          <cell r="D50">
            <v>192930</v>
          </cell>
          <cell r="E50">
            <v>200444</v>
          </cell>
          <cell r="F50">
            <v>211516.79999999999</v>
          </cell>
          <cell r="G50">
            <v>232668.48</v>
          </cell>
          <cell r="H50">
            <v>207696</v>
          </cell>
          <cell r="I50">
            <v>242679</v>
          </cell>
          <cell r="J50">
            <v>231746</v>
          </cell>
          <cell r="K50">
            <v>145860</v>
          </cell>
        </row>
        <row r="51">
          <cell r="A51">
            <v>450.15</v>
          </cell>
          <cell r="B51" t="str">
            <v>MEZCLA DENSA EN CALIENTE</v>
          </cell>
          <cell r="C51" t="str">
            <v>M3</v>
          </cell>
          <cell r="D51">
            <v>192930</v>
          </cell>
          <cell r="E51">
            <v>200444</v>
          </cell>
          <cell r="F51">
            <v>211516.79999999999</v>
          </cell>
          <cell r="G51">
            <v>232668.48</v>
          </cell>
          <cell r="H51">
            <v>207696</v>
          </cell>
          <cell r="I51">
            <v>242679</v>
          </cell>
          <cell r="J51">
            <v>231746</v>
          </cell>
          <cell r="K51">
            <v>145860</v>
          </cell>
        </row>
        <row r="52">
          <cell r="A52">
            <v>450.16</v>
          </cell>
          <cell r="B52" t="str">
            <v>PARCHEO CON MEZCLA DENSA EN CALIENTE</v>
          </cell>
          <cell r="C52" t="str">
            <v>M3</v>
          </cell>
          <cell r="D52">
            <v>192930</v>
          </cell>
          <cell r="E52">
            <v>200444</v>
          </cell>
          <cell r="F52">
            <v>211516.79999999999</v>
          </cell>
          <cell r="G52">
            <v>232668.48</v>
          </cell>
          <cell r="H52">
            <v>207696</v>
          </cell>
          <cell r="I52">
            <v>242679</v>
          </cell>
          <cell r="J52">
            <v>231746</v>
          </cell>
          <cell r="K52">
            <v>145860</v>
          </cell>
        </row>
        <row r="53">
          <cell r="A53">
            <v>450.17</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cell r="L53">
            <v>256491</v>
          </cell>
        </row>
        <row r="54">
          <cell r="A54">
            <v>450.18</v>
          </cell>
          <cell r="B54" t="str">
            <v>MEZCLA DENSA EN CALIENTE MDC-2</v>
          </cell>
          <cell r="C54" t="str">
            <v>M3</v>
          </cell>
          <cell r="D54">
            <v>192930</v>
          </cell>
          <cell r="E54">
            <v>200444</v>
          </cell>
          <cell r="F54">
            <v>211516.79999999999</v>
          </cell>
          <cell r="G54">
            <v>232668.48</v>
          </cell>
          <cell r="H54">
            <v>207696</v>
          </cell>
          <cell r="I54">
            <v>242679</v>
          </cell>
          <cell r="J54">
            <v>231746</v>
          </cell>
          <cell r="K54">
            <v>145860</v>
          </cell>
        </row>
        <row r="55">
          <cell r="A55">
            <v>450.19</v>
          </cell>
          <cell r="B55" t="str">
            <v>MEZCLA DENSA EN CALIENTE MDC-2</v>
          </cell>
          <cell r="C55" t="str">
            <v>M3</v>
          </cell>
          <cell r="D55">
            <v>192930</v>
          </cell>
          <cell r="E55">
            <v>200444</v>
          </cell>
          <cell r="F55">
            <v>211516.79999999999</v>
          </cell>
          <cell r="G55">
            <v>232668.48</v>
          </cell>
          <cell r="H55">
            <v>207696</v>
          </cell>
          <cell r="I55">
            <v>242679</v>
          </cell>
          <cell r="J55">
            <v>231746</v>
          </cell>
          <cell r="K55">
            <v>145860</v>
          </cell>
        </row>
        <row r="56">
          <cell r="A56">
            <v>450.21</v>
          </cell>
          <cell r="B56" t="str">
            <v>MEZCLA DENSA EN CALIENTE MDC-3</v>
          </cell>
          <cell r="C56" t="str">
            <v>M3</v>
          </cell>
          <cell r="D56">
            <v>192930</v>
          </cell>
          <cell r="E56">
            <v>200444</v>
          </cell>
          <cell r="F56">
            <v>211516.79999999999</v>
          </cell>
          <cell r="G56">
            <v>232668.48</v>
          </cell>
          <cell r="H56">
            <v>207696</v>
          </cell>
          <cell r="I56">
            <v>242679</v>
          </cell>
          <cell r="J56">
            <v>231746</v>
          </cell>
          <cell r="K56">
            <v>145860</v>
          </cell>
        </row>
        <row r="57">
          <cell r="A57">
            <v>450.22</v>
          </cell>
          <cell r="B57" t="str">
            <v>PARCHEO CON MEZCLA DENSA EN CALIENTE</v>
          </cell>
          <cell r="C57" t="str">
            <v>M3</v>
          </cell>
          <cell r="D57">
            <v>192930</v>
          </cell>
          <cell r="E57">
            <v>200444</v>
          </cell>
          <cell r="F57">
            <v>211516.79999999999</v>
          </cell>
          <cell r="G57">
            <v>232668.48</v>
          </cell>
          <cell r="H57">
            <v>207696</v>
          </cell>
          <cell r="I57">
            <v>242679</v>
          </cell>
          <cell r="J57">
            <v>231746</v>
          </cell>
          <cell r="K57">
            <v>145860</v>
          </cell>
        </row>
        <row r="58">
          <cell r="A58">
            <v>450.23</v>
          </cell>
          <cell r="B58" t="str">
            <v>MEZCLA DENSA EN CALIENTE MDC-1</v>
          </cell>
          <cell r="C58" t="str">
            <v>M3</v>
          </cell>
          <cell r="D58">
            <v>192930</v>
          </cell>
          <cell r="E58">
            <v>200444</v>
          </cell>
          <cell r="F58">
            <v>211516.79999999999</v>
          </cell>
          <cell r="G58">
            <v>232668.48</v>
          </cell>
          <cell r="H58">
            <v>207696</v>
          </cell>
          <cell r="I58">
            <v>242679</v>
          </cell>
          <cell r="J58">
            <v>231746</v>
          </cell>
          <cell r="K58">
            <v>145860</v>
          </cell>
          <cell r="L58">
            <v>296364</v>
          </cell>
        </row>
        <row r="59">
          <cell r="A59">
            <v>450.24</v>
          </cell>
          <cell r="B59" t="str">
            <v>MEZCLA DENSA EN CALIENTE MDC-2</v>
          </cell>
          <cell r="C59" t="str">
            <v>M3</v>
          </cell>
          <cell r="D59">
            <v>192930</v>
          </cell>
          <cell r="E59">
            <v>200444</v>
          </cell>
          <cell r="F59">
            <v>211516.79999999999</v>
          </cell>
          <cell r="G59">
            <v>232668.48</v>
          </cell>
          <cell r="H59">
            <v>207696</v>
          </cell>
          <cell r="I59">
            <v>242679</v>
          </cell>
          <cell r="J59">
            <v>231746</v>
          </cell>
          <cell r="K59">
            <v>145860</v>
          </cell>
          <cell r="L59">
            <v>299613</v>
          </cell>
        </row>
        <row r="60">
          <cell r="A60">
            <v>450.25</v>
          </cell>
          <cell r="B60" t="str">
            <v>PARCHEO CON MEZCLA DENSA EN CALIENTE MDC-2</v>
          </cell>
          <cell r="L60">
            <v>273731</v>
          </cell>
        </row>
        <row r="61">
          <cell r="A61">
            <v>450.26</v>
          </cell>
          <cell r="B61" t="str">
            <v>MEZCLA DENSA EN CALIENTE MDC-2 PARA BACHEO</v>
          </cell>
          <cell r="C61" t="str">
            <v>M3</v>
          </cell>
          <cell r="D61">
            <v>192930</v>
          </cell>
          <cell r="E61">
            <v>200444</v>
          </cell>
          <cell r="F61">
            <v>211516.79999999999</v>
          </cell>
          <cell r="G61">
            <v>232668.48</v>
          </cell>
          <cell r="H61">
            <v>207696</v>
          </cell>
          <cell r="I61">
            <v>242679</v>
          </cell>
          <cell r="J61">
            <v>231746</v>
          </cell>
          <cell r="K61">
            <v>145860</v>
          </cell>
        </row>
        <row r="62">
          <cell r="A62">
            <v>450.27</v>
          </cell>
          <cell r="B62" t="str">
            <v>MEZCLA DENSA EN CALIENTE MDC-1</v>
          </cell>
          <cell r="C62" t="str">
            <v>M3</v>
          </cell>
          <cell r="D62">
            <v>192930</v>
          </cell>
          <cell r="E62">
            <v>200444</v>
          </cell>
          <cell r="F62">
            <v>211516.79999999999</v>
          </cell>
          <cell r="G62">
            <v>232668.48</v>
          </cell>
          <cell r="H62">
            <v>207696</v>
          </cell>
          <cell r="I62">
            <v>242679</v>
          </cell>
          <cell r="J62">
            <v>231746</v>
          </cell>
          <cell r="K62">
            <v>145860</v>
          </cell>
        </row>
        <row r="63">
          <cell r="A63">
            <v>450.28</v>
          </cell>
          <cell r="B63" t="str">
            <v>MEZCLA DENSA EN CALIENTE MDC-3</v>
          </cell>
          <cell r="L63">
            <v>299900</v>
          </cell>
        </row>
        <row r="64">
          <cell r="A64">
            <v>460</v>
          </cell>
          <cell r="B64" t="str">
            <v>FRESADO DE PAVIMENTO ASFALTICO (H= 0.20)</v>
          </cell>
          <cell r="C64" t="str">
            <v>M2</v>
          </cell>
          <cell r="D64">
            <v>6760</v>
          </cell>
          <cell r="E64">
            <v>8250</v>
          </cell>
          <cell r="F64">
            <v>9000.2000000000007</v>
          </cell>
          <cell r="G64">
            <v>9900.2200000000012</v>
          </cell>
          <cell r="H64">
            <v>8139</v>
          </cell>
          <cell r="I64">
            <v>7774</v>
          </cell>
          <cell r="J64">
            <v>8152</v>
          </cell>
          <cell r="K64">
            <v>7892</v>
          </cell>
          <cell r="M64">
            <v>2950</v>
          </cell>
        </row>
        <row r="65">
          <cell r="A65">
            <v>460.1</v>
          </cell>
          <cell r="B65" t="str">
            <v>FRESADO DE PAVIMENTO ASFALTICO (H= 0.20)</v>
          </cell>
          <cell r="C65" t="str">
            <v>M3</v>
          </cell>
          <cell r="D65">
            <v>33800</v>
          </cell>
          <cell r="E65">
            <v>41250</v>
          </cell>
          <cell r="F65">
            <v>45001</v>
          </cell>
          <cell r="G65">
            <v>49501.100000000006</v>
          </cell>
          <cell r="H65">
            <v>40695</v>
          </cell>
          <cell r="I65">
            <v>38870</v>
          </cell>
          <cell r="J65">
            <v>40760</v>
          </cell>
          <cell r="K65">
            <v>39460</v>
          </cell>
          <cell r="L65">
            <v>42413</v>
          </cell>
        </row>
        <row r="66">
          <cell r="A66">
            <v>460.3</v>
          </cell>
          <cell r="B66" t="str">
            <v>FRESADO DE PAVIMENTO ASFALTICO, M3 CON TRANS</v>
          </cell>
          <cell r="C66" t="str">
            <v>M3</v>
          </cell>
          <cell r="D66">
            <v>6760</v>
          </cell>
          <cell r="E66">
            <v>8250</v>
          </cell>
          <cell r="F66">
            <v>9000.2000000000007</v>
          </cell>
          <cell r="G66">
            <v>9900.2200000000012</v>
          </cell>
          <cell r="H66">
            <v>8139</v>
          </cell>
          <cell r="I66">
            <v>7774</v>
          </cell>
          <cell r="J66">
            <v>8152</v>
          </cell>
          <cell r="K66">
            <v>7892</v>
          </cell>
          <cell r="L66">
            <v>0</v>
          </cell>
        </row>
        <row r="67">
          <cell r="A67">
            <v>460.2</v>
          </cell>
          <cell r="B67" t="str">
            <v>FRESADO DE PAVIMENTO ASFALTICO, M3 SIN TRANS</v>
          </cell>
          <cell r="C67" t="str">
            <v>M3</v>
          </cell>
          <cell r="D67">
            <v>6760</v>
          </cell>
          <cell r="E67">
            <v>8250</v>
          </cell>
          <cell r="F67">
            <v>9000.2000000000007</v>
          </cell>
          <cell r="G67">
            <v>9900.2200000000012</v>
          </cell>
          <cell r="H67">
            <v>8139</v>
          </cell>
          <cell r="I67">
            <v>7774</v>
          </cell>
          <cell r="J67">
            <v>8152</v>
          </cell>
          <cell r="K67">
            <v>7892</v>
          </cell>
        </row>
        <row r="68">
          <cell r="A68">
            <v>461.1</v>
          </cell>
          <cell r="B68" t="str">
            <v>PAVIMENTO ASFALTICO RECICLADO EN FRIO</v>
          </cell>
          <cell r="C68" t="str">
            <v>M3</v>
          </cell>
          <cell r="D68">
            <v>41246</v>
          </cell>
          <cell r="E68">
            <v>42740</v>
          </cell>
          <cell r="F68">
            <v>43111.199999999997</v>
          </cell>
          <cell r="G68">
            <v>47422.32</v>
          </cell>
          <cell r="H68">
            <v>38775</v>
          </cell>
          <cell r="I68">
            <v>40002</v>
          </cell>
          <cell r="J68">
            <v>42089</v>
          </cell>
          <cell r="K68">
            <v>37835</v>
          </cell>
        </row>
        <row r="69">
          <cell r="A69">
            <v>461.2</v>
          </cell>
          <cell r="B69" t="str">
            <v>PAVIMENTO ASFALTICO RECICLADO EN FRIO</v>
          </cell>
          <cell r="C69" t="str">
            <v>M3</v>
          </cell>
          <cell r="D69">
            <v>41246</v>
          </cell>
          <cell r="E69">
            <v>42740</v>
          </cell>
          <cell r="F69">
            <v>43111.199999999997</v>
          </cell>
          <cell r="G69">
            <v>47422.32</v>
          </cell>
          <cell r="H69">
            <v>38775</v>
          </cell>
          <cell r="I69">
            <v>40002</v>
          </cell>
          <cell r="J69">
            <v>42089</v>
          </cell>
          <cell r="K69">
            <v>37835</v>
          </cell>
        </row>
        <row r="70">
          <cell r="A70">
            <v>461.3</v>
          </cell>
          <cell r="B70" t="str">
            <v>PAVIMENTO ASFALTICO RECICLADO EN FRIO</v>
          </cell>
          <cell r="C70" t="str">
            <v>M3</v>
          </cell>
          <cell r="D70">
            <v>41246</v>
          </cell>
          <cell r="E70">
            <v>42740</v>
          </cell>
          <cell r="F70">
            <v>43111.199999999997</v>
          </cell>
          <cell r="G70">
            <v>47422.32</v>
          </cell>
          <cell r="H70">
            <v>38775</v>
          </cell>
          <cell r="I70">
            <v>40002</v>
          </cell>
          <cell r="J70">
            <v>42089</v>
          </cell>
          <cell r="K70">
            <v>37835</v>
          </cell>
        </row>
        <row r="71">
          <cell r="A71">
            <v>462.1</v>
          </cell>
          <cell r="B71" t="str">
            <v>PAVIM ASF RECICLADO EN CALIENT</v>
          </cell>
          <cell r="C71" t="str">
            <v>M3</v>
          </cell>
          <cell r="D71">
            <v>51974</v>
          </cell>
          <cell r="E71">
            <v>54317</v>
          </cell>
          <cell r="F71">
            <v>57229.7</v>
          </cell>
          <cell r="G71">
            <v>62952.67</v>
          </cell>
          <cell r="H71">
            <v>54688</v>
          </cell>
          <cell r="I71">
            <v>59810</v>
          </cell>
          <cell r="J71">
            <v>59686</v>
          </cell>
          <cell r="K71">
            <v>44898</v>
          </cell>
        </row>
        <row r="72">
          <cell r="A72">
            <v>462.2</v>
          </cell>
          <cell r="B72" t="str">
            <v>PAVIM ASF RECICLADO EN CALIENT</v>
          </cell>
          <cell r="C72" t="str">
            <v>M3</v>
          </cell>
          <cell r="D72">
            <v>51974</v>
          </cell>
          <cell r="E72">
            <v>54317</v>
          </cell>
          <cell r="F72">
            <v>57229.7</v>
          </cell>
          <cell r="G72">
            <v>62952.67</v>
          </cell>
          <cell r="H72">
            <v>54688</v>
          </cell>
          <cell r="I72">
            <v>59810</v>
          </cell>
          <cell r="J72">
            <v>59686</v>
          </cell>
          <cell r="K72">
            <v>44898</v>
          </cell>
        </row>
        <row r="73">
          <cell r="A73">
            <v>462.3</v>
          </cell>
          <cell r="B73" t="str">
            <v>PAVIM ASF RECICLADO EN CALIENT</v>
          </cell>
          <cell r="C73" t="str">
            <v>M3</v>
          </cell>
          <cell r="D73">
            <v>51974</v>
          </cell>
          <cell r="E73">
            <v>54317</v>
          </cell>
          <cell r="F73">
            <v>57229.7</v>
          </cell>
          <cell r="G73">
            <v>62952.67</v>
          </cell>
          <cell r="H73">
            <v>54688</v>
          </cell>
          <cell r="I73">
            <v>59810</v>
          </cell>
          <cell r="J73">
            <v>59686</v>
          </cell>
          <cell r="K73">
            <v>44898</v>
          </cell>
        </row>
        <row r="74">
          <cell r="A74">
            <v>462.4</v>
          </cell>
          <cell r="B74" t="str">
            <v>PAVIM ASFALT RECICL. EN CALIENTE/BACHEO</v>
          </cell>
          <cell r="C74" t="str">
            <v>M3</v>
          </cell>
          <cell r="D74">
            <v>59712</v>
          </cell>
          <cell r="E74">
            <v>63531</v>
          </cell>
          <cell r="F74">
            <v>67435.5</v>
          </cell>
          <cell r="G74">
            <v>74179.05</v>
          </cell>
          <cell r="H74">
            <v>64121</v>
          </cell>
          <cell r="I74">
            <v>67941</v>
          </cell>
          <cell r="J74">
            <v>69250</v>
          </cell>
          <cell r="K74">
            <v>53307</v>
          </cell>
        </row>
        <row r="75">
          <cell r="A75">
            <v>600.20000000000005</v>
          </cell>
          <cell r="B75" t="str">
            <v>EXCAVACION VARIAS EN ROCA EN SECO</v>
          </cell>
          <cell r="C75" t="str">
            <v>M3</v>
          </cell>
          <cell r="D75">
            <v>26299</v>
          </cell>
          <cell r="E75">
            <v>24249</v>
          </cell>
          <cell r="F75">
            <v>24152.7</v>
          </cell>
          <cell r="G75">
            <v>26567.97</v>
          </cell>
          <cell r="H75">
            <v>26614</v>
          </cell>
          <cell r="I75">
            <v>23163</v>
          </cell>
          <cell r="J75">
            <v>27920</v>
          </cell>
          <cell r="K75">
            <v>23839</v>
          </cell>
        </row>
        <row r="76">
          <cell r="A76">
            <v>600.29999999999995</v>
          </cell>
          <cell r="B76" t="str">
            <v>EXCAVACION VARIAS EN ROCA BAJO AGUA</v>
          </cell>
          <cell r="C76" t="str">
            <v>M3</v>
          </cell>
          <cell r="D76">
            <v>32559</v>
          </cell>
          <cell r="E76">
            <v>31815</v>
          </cell>
          <cell r="F76">
            <v>32217.9</v>
          </cell>
          <cell r="G76">
            <v>35439.69</v>
          </cell>
          <cell r="H76">
            <v>34535</v>
          </cell>
          <cell r="I76">
            <v>27959</v>
          </cell>
          <cell r="J76">
            <v>34077</v>
          </cell>
          <cell r="K76">
            <v>32598</v>
          </cell>
        </row>
        <row r="77">
          <cell r="A77">
            <v>600.6</v>
          </cell>
          <cell r="B77" t="str">
            <v>EXCAVACION VARIAS SIN CLASIFICAR</v>
          </cell>
          <cell r="C77" t="str">
            <v>M3</v>
          </cell>
          <cell r="D77">
            <v>24079</v>
          </cell>
          <cell r="E77">
            <v>32998</v>
          </cell>
          <cell r="F77">
            <v>29815.5</v>
          </cell>
          <cell r="G77">
            <v>32797.050000000003</v>
          </cell>
          <cell r="H77">
            <v>25041</v>
          </cell>
          <cell r="I77">
            <v>21146</v>
          </cell>
          <cell r="J77">
            <v>24588</v>
          </cell>
          <cell r="K77">
            <v>22877</v>
          </cell>
          <cell r="L77">
            <v>15236</v>
          </cell>
        </row>
        <row r="78">
          <cell r="A78">
            <v>600.70000000000005</v>
          </cell>
          <cell r="B78" t="str">
            <v>EXCAVACION VARIAS MATERIAL COMUN EN SECO</v>
          </cell>
          <cell r="C78" t="str">
            <v>M3</v>
          </cell>
          <cell r="D78">
            <v>20506</v>
          </cell>
          <cell r="E78">
            <v>27959</v>
          </cell>
          <cell r="F78">
            <v>25264.799999999999</v>
          </cell>
          <cell r="G78">
            <v>27791.280000000002</v>
          </cell>
          <cell r="H78">
            <v>21311</v>
          </cell>
          <cell r="I78">
            <v>17988</v>
          </cell>
          <cell r="J78">
            <v>20890</v>
          </cell>
          <cell r="K78">
            <v>19430</v>
          </cell>
        </row>
        <row r="79">
          <cell r="A79">
            <v>600.79999999999995</v>
          </cell>
          <cell r="B79" t="str">
            <v>EXCAVACION VARIAS MAT. COMUN BAJO AGUA</v>
          </cell>
          <cell r="C79" t="str">
            <v>M3</v>
          </cell>
          <cell r="D79">
            <v>26161</v>
          </cell>
          <cell r="E79">
            <v>35331</v>
          </cell>
          <cell r="F79">
            <v>33086.9</v>
          </cell>
          <cell r="G79">
            <v>36395.590000000004</v>
          </cell>
          <cell r="H79">
            <v>27617</v>
          </cell>
          <cell r="I79">
            <v>24050</v>
          </cell>
          <cell r="J79">
            <v>26875</v>
          </cell>
          <cell r="K79">
            <v>23622</v>
          </cell>
        </row>
        <row r="80">
          <cell r="A80">
            <v>600.9</v>
          </cell>
          <cell r="B80" t="str">
            <v>EXCAVACIONES VARIAS EN ROCA BAJO AGUA</v>
          </cell>
          <cell r="C80" t="str">
            <v>M3</v>
          </cell>
          <cell r="D80">
            <v>32559</v>
          </cell>
          <cell r="E80">
            <v>31815</v>
          </cell>
          <cell r="F80">
            <v>32217.9</v>
          </cell>
          <cell r="G80">
            <v>35439.69</v>
          </cell>
          <cell r="H80">
            <v>34535</v>
          </cell>
          <cell r="I80">
            <v>27959</v>
          </cell>
          <cell r="J80">
            <v>34077</v>
          </cell>
          <cell r="K80">
            <v>32598</v>
          </cell>
        </row>
        <row r="81">
          <cell r="A81">
            <v>610.1</v>
          </cell>
          <cell r="B81" t="str">
            <v>RELLENO PARA ESTRUCTURAS</v>
          </cell>
          <cell r="C81" t="str">
            <v>M3</v>
          </cell>
          <cell r="D81">
            <v>19312</v>
          </cell>
          <cell r="E81">
            <v>17272</v>
          </cell>
          <cell r="F81">
            <v>21201.4</v>
          </cell>
          <cell r="G81">
            <v>23321.540000000005</v>
          </cell>
          <cell r="H81">
            <v>24786</v>
          </cell>
          <cell r="I81">
            <v>31143</v>
          </cell>
          <cell r="J81">
            <v>17365</v>
          </cell>
          <cell r="K81">
            <v>19312</v>
          </cell>
          <cell r="L81">
            <v>32409</v>
          </cell>
        </row>
        <row r="82">
          <cell r="A82">
            <v>623.1</v>
          </cell>
          <cell r="B82" t="str">
            <v>SUMINISTRO E HINCAMIENTO DE RIELES</v>
          </cell>
          <cell r="C82" t="str">
            <v>M3</v>
          </cell>
          <cell r="D82">
            <v>59266</v>
          </cell>
          <cell r="E82">
            <v>59266</v>
          </cell>
          <cell r="F82">
            <v>65192.6</v>
          </cell>
          <cell r="G82">
            <v>71711.86</v>
          </cell>
          <cell r="H82">
            <v>59266</v>
          </cell>
          <cell r="I82">
            <v>59266</v>
          </cell>
          <cell r="J82">
            <v>59266</v>
          </cell>
          <cell r="K82">
            <v>59266</v>
          </cell>
        </row>
        <row r="83">
          <cell r="A83">
            <v>623.20000000000005</v>
          </cell>
          <cell r="B83" t="str">
            <v>SUMINISTRO E INSTALACION DE RIELES</v>
          </cell>
          <cell r="C83" t="str">
            <v>M3</v>
          </cell>
          <cell r="D83">
            <v>49871</v>
          </cell>
          <cell r="E83">
            <v>49871</v>
          </cell>
          <cell r="F83">
            <v>54858.1</v>
          </cell>
          <cell r="G83">
            <v>60343.91</v>
          </cell>
          <cell r="H83">
            <v>49871</v>
          </cell>
          <cell r="I83">
            <v>49871</v>
          </cell>
          <cell r="J83">
            <v>49871</v>
          </cell>
          <cell r="K83">
            <v>49871</v>
          </cell>
        </row>
        <row r="84">
          <cell r="A84">
            <v>630.29999999999995</v>
          </cell>
          <cell r="B84" t="str">
            <v>CONCRETO CLASE C</v>
          </cell>
          <cell r="C84" t="str">
            <v>M3</v>
          </cell>
          <cell r="D84">
            <v>279236</v>
          </cell>
          <cell r="E84">
            <v>294531</v>
          </cell>
          <cell r="F84">
            <v>289946.8</v>
          </cell>
          <cell r="G84">
            <v>318941.48000000004</v>
          </cell>
          <cell r="H84">
            <v>285754</v>
          </cell>
          <cell r="I84">
            <v>267211</v>
          </cell>
          <cell r="J84">
            <v>270488</v>
          </cell>
          <cell r="K84">
            <v>213438</v>
          </cell>
        </row>
        <row r="85">
          <cell r="A85">
            <v>630.4</v>
          </cell>
          <cell r="B85" t="str">
            <v>CONCRETO CLASE D</v>
          </cell>
          <cell r="C85" t="str">
            <v>M3</v>
          </cell>
          <cell r="D85">
            <v>261647</v>
          </cell>
          <cell r="E85">
            <v>281102</v>
          </cell>
          <cell r="F85">
            <v>268925.8</v>
          </cell>
          <cell r="G85">
            <v>295818.38</v>
          </cell>
          <cell r="H85">
            <v>265299</v>
          </cell>
          <cell r="I85">
            <v>250493</v>
          </cell>
          <cell r="J85">
            <v>252334</v>
          </cell>
          <cell r="K85">
            <v>197162</v>
          </cell>
          <cell r="L85">
            <v>355438</v>
          </cell>
        </row>
        <row r="86">
          <cell r="A86">
            <v>630.5</v>
          </cell>
          <cell r="B86" t="str">
            <v>CONCRETO CLASE E</v>
          </cell>
          <cell r="C86" t="str">
            <v>M3</v>
          </cell>
          <cell r="D86">
            <v>239651</v>
          </cell>
          <cell r="E86">
            <v>260692</v>
          </cell>
          <cell r="F86">
            <v>242756.8</v>
          </cell>
          <cell r="G86">
            <v>267032.48</v>
          </cell>
          <cell r="H86">
            <v>237037</v>
          </cell>
          <cell r="I86">
            <v>229927</v>
          </cell>
          <cell r="J86">
            <v>227491</v>
          </cell>
          <cell r="K86">
            <v>175738</v>
          </cell>
        </row>
        <row r="87">
          <cell r="A87">
            <v>630.6</v>
          </cell>
          <cell r="B87" t="str">
            <v>CONCRETO CLASE F</v>
          </cell>
          <cell r="C87" t="str">
            <v>M3</v>
          </cell>
          <cell r="D87">
            <v>214526</v>
          </cell>
          <cell r="E87">
            <v>219476</v>
          </cell>
          <cell r="F87">
            <v>218079.4</v>
          </cell>
          <cell r="G87">
            <v>239887.34000000003</v>
          </cell>
          <cell r="H87">
            <v>213901</v>
          </cell>
          <cell r="I87">
            <v>200318</v>
          </cell>
          <cell r="J87">
            <v>202628</v>
          </cell>
          <cell r="K87">
            <v>155789</v>
          </cell>
        </row>
        <row r="88">
          <cell r="A88">
            <v>630.70000000000005</v>
          </cell>
          <cell r="B88" t="str">
            <v xml:space="preserve">CONCRETO CLASE G </v>
          </cell>
          <cell r="C88" t="str">
            <v>M3</v>
          </cell>
          <cell r="D88">
            <v>203415</v>
          </cell>
          <cell r="E88">
            <v>232154</v>
          </cell>
          <cell r="F88">
            <v>207572.2</v>
          </cell>
          <cell r="G88">
            <v>228329.42000000004</v>
          </cell>
          <cell r="H88">
            <v>191391</v>
          </cell>
          <cell r="I88">
            <v>202790</v>
          </cell>
          <cell r="J88">
            <v>186902</v>
          </cell>
          <cell r="K88">
            <v>137452</v>
          </cell>
        </row>
        <row r="89">
          <cell r="A89">
            <v>630.12</v>
          </cell>
          <cell r="B89" t="str">
            <v>CONCRETO CLASE G (BASES)</v>
          </cell>
          <cell r="C89" t="str">
            <v>M3</v>
          </cell>
          <cell r="D89">
            <v>190278</v>
          </cell>
          <cell r="E89">
            <v>213015</v>
          </cell>
          <cell r="F89">
            <v>194562.5</v>
          </cell>
          <cell r="G89">
            <v>214018.75000000003</v>
          </cell>
          <cell r="H89">
            <v>180440</v>
          </cell>
          <cell r="I89">
            <v>188474</v>
          </cell>
          <cell r="J89">
            <v>175647</v>
          </cell>
          <cell r="K89">
            <v>130090</v>
          </cell>
        </row>
        <row r="90">
          <cell r="A90">
            <v>630.13</v>
          </cell>
          <cell r="B90" t="str">
            <v>CONCRETO CLASE G (ELEVACIONES)</v>
          </cell>
          <cell r="C90" t="str">
            <v>M3</v>
          </cell>
          <cell r="D90">
            <v>203415</v>
          </cell>
          <cell r="E90">
            <v>232154</v>
          </cell>
          <cell r="F90">
            <v>207572.2</v>
          </cell>
          <cell r="G90">
            <v>228329.42000000004</v>
          </cell>
          <cell r="H90">
            <v>191391</v>
          </cell>
          <cell r="I90">
            <v>202790</v>
          </cell>
          <cell r="J90">
            <v>186902</v>
          </cell>
          <cell r="K90">
            <v>137452</v>
          </cell>
        </row>
        <row r="91">
          <cell r="A91">
            <v>630.15</v>
          </cell>
          <cell r="B91" t="str">
            <v>Sum y coloc bolsacretos clase E y hierro 1/2</v>
          </cell>
          <cell r="C91" t="str">
            <v>M3</v>
          </cell>
          <cell r="D91">
            <v>203415</v>
          </cell>
          <cell r="E91">
            <v>232154</v>
          </cell>
          <cell r="F91">
            <v>207572.2</v>
          </cell>
          <cell r="G91">
            <v>228329.42000000004</v>
          </cell>
          <cell r="H91">
            <v>191391</v>
          </cell>
          <cell r="I91">
            <v>202790</v>
          </cell>
          <cell r="J91">
            <v>186902</v>
          </cell>
          <cell r="K91">
            <v>137452</v>
          </cell>
        </row>
        <row r="92">
          <cell r="A92">
            <v>630.16</v>
          </cell>
          <cell r="B92" t="str">
            <v>Sum y coloc pentápodos clase E</v>
          </cell>
          <cell r="C92" t="str">
            <v>M3</v>
          </cell>
          <cell r="D92">
            <v>203415</v>
          </cell>
          <cell r="E92">
            <v>232154</v>
          </cell>
          <cell r="F92">
            <v>207572.2</v>
          </cell>
          <cell r="G92">
            <v>228329.42000000004</v>
          </cell>
          <cell r="H92">
            <v>191391</v>
          </cell>
          <cell r="I92">
            <v>202790</v>
          </cell>
          <cell r="J92">
            <v>186902</v>
          </cell>
          <cell r="K92">
            <v>137452</v>
          </cell>
        </row>
        <row r="93">
          <cell r="A93">
            <v>632</v>
          </cell>
          <cell r="B93" t="str">
            <v>BARANDA EN CONCRETO</v>
          </cell>
          <cell r="C93" t="str">
            <v>ML</v>
          </cell>
          <cell r="D93">
            <v>149763</v>
          </cell>
          <cell r="F93">
            <v>0</v>
          </cell>
          <cell r="G93">
            <v>0</v>
          </cell>
        </row>
        <row r="94">
          <cell r="A94">
            <v>632.20000000000005</v>
          </cell>
          <cell r="B94" t="str">
            <v>Desisntalación BARANDA EN CONCRETO</v>
          </cell>
          <cell r="C94" t="str">
            <v>ML</v>
          </cell>
          <cell r="D94">
            <v>149763</v>
          </cell>
          <cell r="F94">
            <v>0</v>
          </cell>
          <cell r="G94">
            <v>0</v>
          </cell>
        </row>
        <row r="95">
          <cell r="A95">
            <v>640.1</v>
          </cell>
          <cell r="B95" t="str">
            <v>ACERO DE REFUERZO GRADO 37</v>
          </cell>
          <cell r="C95" t="str">
            <v>KG</v>
          </cell>
          <cell r="D95">
            <v>2449</v>
          </cell>
          <cell r="E95">
            <v>1517</v>
          </cell>
          <cell r="F95">
            <v>1977.8</v>
          </cell>
          <cell r="G95">
            <v>2175.58</v>
          </cell>
          <cell r="H95">
            <v>1717</v>
          </cell>
          <cell r="I95">
            <v>2006</v>
          </cell>
          <cell r="J95">
            <v>2261</v>
          </cell>
          <cell r="K95">
            <v>1461</v>
          </cell>
        </row>
        <row r="96">
          <cell r="A96">
            <v>640.29999999999995</v>
          </cell>
          <cell r="B96" t="str">
            <v>ACERO DE REFUERZO GRADO 60</v>
          </cell>
          <cell r="C96" t="str">
            <v>KG</v>
          </cell>
          <cell r="D96">
            <v>2586</v>
          </cell>
          <cell r="E96">
            <v>1517</v>
          </cell>
          <cell r="F96">
            <v>2427.6999999999998</v>
          </cell>
          <cell r="G96">
            <v>2670.47</v>
          </cell>
          <cell r="H96">
            <v>1957</v>
          </cell>
          <cell r="I96">
            <v>2142</v>
          </cell>
          <cell r="J96">
            <v>2534</v>
          </cell>
          <cell r="K96">
            <v>1461</v>
          </cell>
          <cell r="L96">
            <v>2829</v>
          </cell>
        </row>
        <row r="97">
          <cell r="A97">
            <v>646</v>
          </cell>
          <cell r="B97" t="str">
            <v>ANCLAJES O TIEBACKS</v>
          </cell>
          <cell r="C97" t="str">
            <v>ML</v>
          </cell>
          <cell r="D97">
            <v>170000</v>
          </cell>
          <cell r="E97">
            <v>170000</v>
          </cell>
          <cell r="F97">
            <v>187000</v>
          </cell>
          <cell r="G97">
            <v>205700.00000000003</v>
          </cell>
          <cell r="H97">
            <v>170000</v>
          </cell>
          <cell r="I97">
            <v>170000</v>
          </cell>
          <cell r="J97">
            <v>170000</v>
          </cell>
          <cell r="K97">
            <v>170000</v>
          </cell>
        </row>
        <row r="98">
          <cell r="A98">
            <v>660.2</v>
          </cell>
          <cell r="B98" t="str">
            <v>TUBERIA DE CONCRETO SIMPLE DIAM = 600 mm</v>
          </cell>
          <cell r="C98" t="str">
            <v>M</v>
          </cell>
          <cell r="D98">
            <v>128505</v>
          </cell>
          <cell r="E98">
            <v>167497</v>
          </cell>
          <cell r="F98">
            <v>182777.1</v>
          </cell>
          <cell r="G98">
            <v>201054.81000000003</v>
          </cell>
          <cell r="H98">
            <v>176424</v>
          </cell>
          <cell r="I98">
            <v>171799</v>
          </cell>
          <cell r="J98">
            <v>153108</v>
          </cell>
          <cell r="K98">
            <v>112584</v>
          </cell>
        </row>
        <row r="99">
          <cell r="A99">
            <v>661</v>
          </cell>
          <cell r="B99" t="str">
            <v>TUBERIA CONCRETO REFORZADO DIAM = 900 mm</v>
          </cell>
          <cell r="C99" t="str">
            <v>M</v>
          </cell>
          <cell r="D99">
            <v>146874</v>
          </cell>
          <cell r="E99">
            <v>172251</v>
          </cell>
          <cell r="F99">
            <v>190800.5</v>
          </cell>
          <cell r="G99">
            <v>209880.55000000002</v>
          </cell>
          <cell r="H99">
            <v>190497</v>
          </cell>
          <cell r="I99">
            <v>219374</v>
          </cell>
          <cell r="J99">
            <v>233284</v>
          </cell>
          <cell r="K99">
            <v>150657</v>
          </cell>
        </row>
        <row r="100">
          <cell r="A100">
            <v>670.2</v>
          </cell>
          <cell r="B100" t="str">
            <v>DISIPADORES DE ENERGIA EN CONCRETO CICLP</v>
          </cell>
          <cell r="C100" t="str">
            <v>M3</v>
          </cell>
          <cell r="D100">
            <v>214496</v>
          </cell>
          <cell r="E100">
            <v>245929</v>
          </cell>
          <cell r="F100">
            <v>223802.7</v>
          </cell>
          <cell r="G100">
            <v>246182.97000000003</v>
          </cell>
          <cell r="H100">
            <v>201408</v>
          </cell>
          <cell r="I100">
            <v>206788</v>
          </cell>
          <cell r="J100">
            <v>189996</v>
          </cell>
          <cell r="K100">
            <v>154080</v>
          </cell>
        </row>
        <row r="101">
          <cell r="A101">
            <v>671</v>
          </cell>
          <cell r="B101" t="str">
            <v>CUNETAS REVESTIDAS EN EN CONCRETO</v>
          </cell>
          <cell r="C101" t="str">
            <v>M3</v>
          </cell>
          <cell r="D101">
            <v>237792</v>
          </cell>
          <cell r="E101">
            <v>251430</v>
          </cell>
          <cell r="F101">
            <v>253119.9</v>
          </cell>
          <cell r="G101">
            <v>278431.89</v>
          </cell>
          <cell r="H101">
            <v>239418</v>
          </cell>
          <cell r="I101">
            <v>218622</v>
          </cell>
          <cell r="J101">
            <v>229263</v>
          </cell>
          <cell r="K101">
            <v>183771</v>
          </cell>
          <cell r="L101">
            <v>301555</v>
          </cell>
        </row>
        <row r="102">
          <cell r="A102">
            <v>672</v>
          </cell>
          <cell r="B102" t="str">
            <v>BORDILLOS (H=0.40 m)</v>
          </cell>
          <cell r="C102" t="str">
            <v>M</v>
          </cell>
          <cell r="D102">
            <v>19432</v>
          </cell>
          <cell r="E102">
            <v>20543</v>
          </cell>
          <cell r="F102">
            <v>19295.099999999999</v>
          </cell>
          <cell r="G102">
            <v>21224.61</v>
          </cell>
          <cell r="H102">
            <v>18902</v>
          </cell>
          <cell r="I102">
            <v>18426</v>
          </cell>
          <cell r="J102">
            <v>17502</v>
          </cell>
          <cell r="K102">
            <v>13841</v>
          </cell>
        </row>
        <row r="103">
          <cell r="A103">
            <v>673</v>
          </cell>
          <cell r="B103" t="str">
            <v>MATERIAL FILTRANTE</v>
          </cell>
          <cell r="C103" t="str">
            <v>M3</v>
          </cell>
          <cell r="D103">
            <v>53643</v>
          </cell>
          <cell r="E103">
            <v>28752</v>
          </cell>
          <cell r="F103">
            <v>45012</v>
          </cell>
          <cell r="G103">
            <v>49513.200000000004</v>
          </cell>
          <cell r="H103">
            <v>47076</v>
          </cell>
          <cell r="I103">
            <v>42042</v>
          </cell>
          <cell r="J103">
            <v>44295</v>
          </cell>
          <cell r="K103">
            <v>26138</v>
          </cell>
          <cell r="L103">
            <v>52137</v>
          </cell>
        </row>
        <row r="104">
          <cell r="A104">
            <v>673.1</v>
          </cell>
          <cell r="B104" t="str">
            <v>DREN HORIZONTAL DE 1 A 10 M</v>
          </cell>
          <cell r="C104" t="str">
            <v>ML</v>
          </cell>
          <cell r="D104">
            <v>10100</v>
          </cell>
          <cell r="E104">
            <v>10100</v>
          </cell>
          <cell r="F104">
            <v>11110</v>
          </cell>
          <cell r="G104">
            <v>12221.000000000002</v>
          </cell>
          <cell r="H104">
            <v>10100</v>
          </cell>
          <cell r="I104">
            <v>10100</v>
          </cell>
          <cell r="J104">
            <v>10100</v>
          </cell>
          <cell r="K104">
            <v>10100</v>
          </cell>
        </row>
        <row r="105">
          <cell r="A105">
            <v>674.1</v>
          </cell>
          <cell r="B105" t="str">
            <v>Nivelación y reconstrucción de pozos de inspección</v>
          </cell>
          <cell r="C105" t="str">
            <v>U</v>
          </cell>
          <cell r="G105">
            <v>0</v>
          </cell>
          <cell r="K105">
            <v>0</v>
          </cell>
        </row>
        <row r="106">
          <cell r="A106">
            <v>674.2</v>
          </cell>
          <cell r="B106" t="str">
            <v>Nivelación y reconstrucción de sumideros</v>
          </cell>
          <cell r="C106" t="str">
            <v>U</v>
          </cell>
          <cell r="G106">
            <v>0</v>
          </cell>
          <cell r="K106">
            <v>0</v>
          </cell>
        </row>
        <row r="107">
          <cell r="A107">
            <v>674.3</v>
          </cell>
          <cell r="B107" t="str">
            <v>Nivelación y reconstrucción de cajas de válvulas de la EAAB</v>
          </cell>
          <cell r="C107" t="str">
            <v>U</v>
          </cell>
          <cell r="G107">
            <v>0</v>
          </cell>
          <cell r="K107">
            <v>0</v>
          </cell>
        </row>
        <row r="108">
          <cell r="A108">
            <v>674.4</v>
          </cell>
          <cell r="B108" t="str">
            <v>Nivelación y reconstrucción de cajas de energía de CODENSA</v>
          </cell>
          <cell r="C108" t="str">
            <v>U</v>
          </cell>
          <cell r="G108">
            <v>0</v>
          </cell>
          <cell r="K108">
            <v>0</v>
          </cell>
        </row>
        <row r="109">
          <cell r="A109">
            <v>674.5</v>
          </cell>
          <cell r="B109" t="str">
            <v>Nivelación y reconstrucción de cajas de la ETB</v>
          </cell>
          <cell r="C109" t="str">
            <v>U</v>
          </cell>
          <cell r="G109">
            <v>0</v>
          </cell>
          <cell r="K109">
            <v>0</v>
          </cell>
        </row>
        <row r="110">
          <cell r="A110">
            <v>674.6</v>
          </cell>
          <cell r="B110" t="str">
            <v>Reubicación de postes de CODENSA</v>
          </cell>
          <cell r="C110" t="str">
            <v>U</v>
          </cell>
          <cell r="G110">
            <v>0</v>
          </cell>
        </row>
        <row r="111">
          <cell r="A111">
            <v>681.1</v>
          </cell>
          <cell r="B111" t="str">
            <v>GAVIONES</v>
          </cell>
          <cell r="C111" t="str">
            <v>M3</v>
          </cell>
          <cell r="D111">
            <v>64592</v>
          </cell>
          <cell r="E111">
            <v>62409</v>
          </cell>
          <cell r="F111">
            <v>64017.8</v>
          </cell>
          <cell r="G111">
            <v>70419.58</v>
          </cell>
          <cell r="H111">
            <v>59158</v>
          </cell>
          <cell r="I111">
            <v>59474</v>
          </cell>
          <cell r="J111">
            <v>61987</v>
          </cell>
          <cell r="K111">
            <v>56797</v>
          </cell>
          <cell r="L111">
            <v>69159</v>
          </cell>
        </row>
        <row r="112">
          <cell r="A112">
            <v>681.2</v>
          </cell>
          <cell r="B112" t="str">
            <v>GAVIONES malla calibre 12</v>
          </cell>
          <cell r="C112" t="str">
            <v>M3</v>
          </cell>
          <cell r="D112">
            <v>64592</v>
          </cell>
          <cell r="E112">
            <v>62409</v>
          </cell>
          <cell r="F112">
            <v>64017.8</v>
          </cell>
          <cell r="G112">
            <v>70419.58</v>
          </cell>
          <cell r="H112">
            <v>59158</v>
          </cell>
          <cell r="I112">
            <v>59474</v>
          </cell>
          <cell r="J112">
            <v>61987</v>
          </cell>
          <cell r="K112">
            <v>56797</v>
          </cell>
          <cell r="L112">
            <v>99500</v>
          </cell>
        </row>
        <row r="113">
          <cell r="A113">
            <v>681.3</v>
          </cell>
          <cell r="B113" t="str">
            <v>Retiro de gaviones fallados</v>
          </cell>
          <cell r="C113" t="str">
            <v>m3</v>
          </cell>
          <cell r="L113">
            <v>8707</v>
          </cell>
        </row>
        <row r="114">
          <cell r="A114">
            <v>683</v>
          </cell>
          <cell r="B114" t="str">
            <v>Bolsacretos</v>
          </cell>
          <cell r="C114" t="str">
            <v>M3</v>
          </cell>
          <cell r="D114">
            <v>64592</v>
          </cell>
          <cell r="E114">
            <v>62409</v>
          </cell>
          <cell r="F114">
            <v>64017.8</v>
          </cell>
          <cell r="G114">
            <v>70419.58</v>
          </cell>
          <cell r="H114">
            <v>59158</v>
          </cell>
          <cell r="I114">
            <v>59474</v>
          </cell>
          <cell r="J114">
            <v>61987</v>
          </cell>
          <cell r="K114">
            <v>56797</v>
          </cell>
          <cell r="L114">
            <v>270212</v>
          </cell>
        </row>
        <row r="115">
          <cell r="A115">
            <v>683.2</v>
          </cell>
          <cell r="B115" t="str">
            <v>Bolsacretos Clase E</v>
          </cell>
          <cell r="C115" t="str">
            <v>M3</v>
          </cell>
          <cell r="D115">
            <v>64592</v>
          </cell>
          <cell r="E115">
            <v>62409</v>
          </cell>
          <cell r="F115">
            <v>64017.8</v>
          </cell>
          <cell r="G115">
            <v>70419.58</v>
          </cell>
          <cell r="H115">
            <v>59158</v>
          </cell>
          <cell r="I115">
            <v>59474</v>
          </cell>
          <cell r="J115">
            <v>61987</v>
          </cell>
          <cell r="K115">
            <v>56797</v>
          </cell>
        </row>
        <row r="116">
          <cell r="A116">
            <v>700.1</v>
          </cell>
          <cell r="B116" t="str">
            <v>LINEA DE DEMARCACION</v>
          </cell>
          <cell r="C116" t="str">
            <v>M</v>
          </cell>
          <cell r="D116">
            <v>620</v>
          </cell>
          <cell r="E116">
            <v>758</v>
          </cell>
          <cell r="F116">
            <v>629.20000000000005</v>
          </cell>
          <cell r="G116">
            <v>692.12000000000012</v>
          </cell>
          <cell r="H116">
            <v>688</v>
          </cell>
          <cell r="I116">
            <v>650</v>
          </cell>
          <cell r="J116">
            <v>706</v>
          </cell>
          <cell r="K116">
            <v>797</v>
          </cell>
        </row>
        <row r="117">
          <cell r="A117">
            <v>700.2</v>
          </cell>
          <cell r="B117" t="str">
            <v>MARCA VIAL</v>
          </cell>
          <cell r="C117" t="str">
            <v>M2</v>
          </cell>
          <cell r="D117">
            <v>10602</v>
          </cell>
          <cell r="E117">
            <v>13055</v>
          </cell>
          <cell r="F117">
            <v>11539</v>
          </cell>
          <cell r="G117">
            <v>12692.900000000001</v>
          </cell>
          <cell r="H117">
            <v>10656</v>
          </cell>
          <cell r="I117">
            <v>9929</v>
          </cell>
          <cell r="J117">
            <v>11011</v>
          </cell>
          <cell r="K117">
            <v>11092</v>
          </cell>
        </row>
        <row r="118">
          <cell r="A118">
            <v>701</v>
          </cell>
          <cell r="B118" t="str">
            <v>TACHA REFLECTIVA</v>
          </cell>
          <cell r="C118" t="str">
            <v>U</v>
          </cell>
          <cell r="D118">
            <v>10871</v>
          </cell>
          <cell r="E118">
            <v>10214</v>
          </cell>
          <cell r="F118">
            <v>9696.5</v>
          </cell>
          <cell r="G118">
            <v>10666.150000000001</v>
          </cell>
          <cell r="H118">
            <v>8087</v>
          </cell>
          <cell r="I118">
            <v>8758</v>
          </cell>
          <cell r="J118">
            <v>9450</v>
          </cell>
          <cell r="K118">
            <v>10274</v>
          </cell>
        </row>
        <row r="119">
          <cell r="A119">
            <v>710.1</v>
          </cell>
          <cell r="B119" t="str">
            <v>SEÑAL DE TRANSITO</v>
          </cell>
          <cell r="C119" t="str">
            <v>U</v>
          </cell>
          <cell r="D119">
            <v>136206</v>
          </cell>
          <cell r="E119">
            <v>108973</v>
          </cell>
          <cell r="F119">
            <v>90410.1</v>
          </cell>
          <cell r="G119">
            <v>99451.110000000015</v>
          </cell>
          <cell r="H119">
            <v>115436</v>
          </cell>
          <cell r="I119">
            <v>135715</v>
          </cell>
          <cell r="J119">
            <v>116936</v>
          </cell>
          <cell r="K119">
            <v>121453</v>
          </cell>
        </row>
        <row r="120">
          <cell r="A120">
            <v>720</v>
          </cell>
          <cell r="B120" t="str">
            <v>POSTE DE KILOMETRAJE (MOJON)</v>
          </cell>
          <cell r="C120" t="str">
            <v>U</v>
          </cell>
          <cell r="D120">
            <v>67523</v>
          </cell>
          <cell r="E120">
            <v>71059</v>
          </cell>
          <cell r="F120">
            <v>58834.6</v>
          </cell>
          <cell r="G120">
            <v>64718.060000000005</v>
          </cell>
          <cell r="H120">
            <v>55920</v>
          </cell>
          <cell r="I120">
            <v>56476</v>
          </cell>
          <cell r="J120">
            <v>55156</v>
          </cell>
          <cell r="K120">
            <v>53075</v>
          </cell>
        </row>
        <row r="121">
          <cell r="A121">
            <v>730.1</v>
          </cell>
          <cell r="B121" t="str">
            <v>DEFENSA METALICA - CORREA SIMPLE</v>
          </cell>
          <cell r="C121" t="str">
            <v>M</v>
          </cell>
          <cell r="D121">
            <v>115865</v>
          </cell>
          <cell r="E121">
            <v>89369</v>
          </cell>
          <cell r="F121">
            <v>81757.5</v>
          </cell>
          <cell r="G121">
            <v>89933.25</v>
          </cell>
          <cell r="H121">
            <v>104683</v>
          </cell>
          <cell r="I121">
            <v>101349</v>
          </cell>
          <cell r="J121">
            <v>81770</v>
          </cell>
          <cell r="K121">
            <v>102996</v>
          </cell>
          <cell r="L121">
            <v>88000</v>
          </cell>
        </row>
        <row r="122">
          <cell r="A122">
            <v>730.2</v>
          </cell>
          <cell r="B122" t="str">
            <v>SECCION FINAL - DEFENSA METALICA</v>
          </cell>
          <cell r="C122" t="str">
            <v>U</v>
          </cell>
          <cell r="D122">
            <v>54925</v>
          </cell>
          <cell r="E122">
            <v>37375</v>
          </cell>
          <cell r="F122">
            <v>52731.8</v>
          </cell>
          <cell r="G122">
            <v>58004.98000000001</v>
          </cell>
          <cell r="H122">
            <v>36238</v>
          </cell>
          <cell r="I122">
            <v>37375</v>
          </cell>
          <cell r="J122">
            <v>36400</v>
          </cell>
          <cell r="K122">
            <v>30550</v>
          </cell>
        </row>
        <row r="123">
          <cell r="A123">
            <v>740</v>
          </cell>
          <cell r="B123" t="str">
            <v>CAPTAFAROS</v>
          </cell>
          <cell r="C123" t="str">
            <v>U</v>
          </cell>
          <cell r="D123">
            <v>9672</v>
          </cell>
          <cell r="E123">
            <v>9491</v>
          </cell>
          <cell r="F123">
            <v>7003.7</v>
          </cell>
          <cell r="G123">
            <v>7704.0700000000006</v>
          </cell>
          <cell r="H123">
            <v>6062</v>
          </cell>
          <cell r="I123">
            <v>7374</v>
          </cell>
          <cell r="J123">
            <v>8657</v>
          </cell>
          <cell r="K123">
            <v>7202</v>
          </cell>
        </row>
        <row r="124">
          <cell r="A124">
            <v>741</v>
          </cell>
          <cell r="B124" t="str">
            <v>PINTURA DE MUROS</v>
          </cell>
          <cell r="C124" t="str">
            <v>M2</v>
          </cell>
          <cell r="F124">
            <v>0</v>
          </cell>
          <cell r="G124">
            <v>0</v>
          </cell>
        </row>
        <row r="125">
          <cell r="A125">
            <v>810.3</v>
          </cell>
          <cell r="B125" t="str">
            <v>EMPRADIZACION CON BLOQUES DE CESPED</v>
          </cell>
          <cell r="C125" t="str">
            <v>M2</v>
          </cell>
          <cell r="D125">
            <v>4758</v>
          </cell>
          <cell r="E125">
            <v>6691</v>
          </cell>
          <cell r="F125">
            <v>6091.8</v>
          </cell>
          <cell r="G125">
            <v>6700.9800000000005</v>
          </cell>
          <cell r="H125">
            <v>6703</v>
          </cell>
          <cell r="I125">
            <v>7365</v>
          </cell>
          <cell r="J125">
            <v>6507</v>
          </cell>
          <cell r="K125">
            <v>5300</v>
          </cell>
        </row>
        <row r="126">
          <cell r="A126">
            <v>810.4</v>
          </cell>
          <cell r="B126" t="str">
            <v>EMPRADIZACION CON TIERRA ORG Y SEMILLAS</v>
          </cell>
          <cell r="C126" t="str">
            <v>M2</v>
          </cell>
          <cell r="D126">
            <v>6176</v>
          </cell>
          <cell r="E126">
            <v>6592</v>
          </cell>
          <cell r="F126">
            <v>6978.4</v>
          </cell>
          <cell r="G126">
            <v>7676.24</v>
          </cell>
          <cell r="H126">
            <v>6553</v>
          </cell>
          <cell r="I126">
            <v>4957</v>
          </cell>
          <cell r="J126">
            <v>7748</v>
          </cell>
          <cell r="K126">
            <v>11570</v>
          </cell>
        </row>
        <row r="127">
          <cell r="A127">
            <v>820.1</v>
          </cell>
          <cell r="B127" t="str">
            <v>GEOTEXTIL PARA FILTROS</v>
          </cell>
          <cell r="C127" t="str">
            <v>M2</v>
          </cell>
          <cell r="D127">
            <v>3799</v>
          </cell>
          <cell r="E127">
            <v>1863</v>
          </cell>
          <cell r="F127">
            <v>3935.8</v>
          </cell>
          <cell r="G127">
            <v>4329.38</v>
          </cell>
          <cell r="H127">
            <v>2656</v>
          </cell>
          <cell r="I127">
            <v>2596</v>
          </cell>
          <cell r="J127">
            <v>3578</v>
          </cell>
          <cell r="K127">
            <v>1963</v>
          </cell>
          <cell r="L127">
            <v>4312</v>
          </cell>
        </row>
        <row r="128">
          <cell r="A128">
            <v>820.3</v>
          </cell>
          <cell r="B128" t="str">
            <v>GEOMALLA BX 1100</v>
          </cell>
          <cell r="L128">
            <v>16264</v>
          </cell>
        </row>
        <row r="129">
          <cell r="A129">
            <v>900.1</v>
          </cell>
          <cell r="B129" t="str">
            <v>TRANS MAT - EXPLAN (100 - 1000M)</v>
          </cell>
          <cell r="C129" t="str">
            <v>M3xES</v>
          </cell>
          <cell r="D129">
            <v>650</v>
          </cell>
          <cell r="E129">
            <v>628</v>
          </cell>
          <cell r="F129">
            <v>572</v>
          </cell>
          <cell r="G129">
            <v>629.20000000000005</v>
          </cell>
          <cell r="H129">
            <v>650</v>
          </cell>
          <cell r="I129">
            <v>533</v>
          </cell>
          <cell r="J129">
            <v>572</v>
          </cell>
          <cell r="K129">
            <v>520</v>
          </cell>
        </row>
        <row r="130">
          <cell r="A130">
            <v>900.2</v>
          </cell>
          <cell r="B130" t="str">
            <v>TRANS MAT - EXPLAN (MAS DE - 1000M)</v>
          </cell>
          <cell r="C130" t="str">
            <v>M3xKM</v>
          </cell>
          <cell r="D130">
            <v>723</v>
          </cell>
          <cell r="E130">
            <v>698</v>
          </cell>
          <cell r="F130">
            <v>634.70000000000005</v>
          </cell>
          <cell r="G130">
            <v>698.17000000000007</v>
          </cell>
          <cell r="H130">
            <v>723</v>
          </cell>
          <cell r="I130">
            <v>593</v>
          </cell>
          <cell r="J130">
            <v>636</v>
          </cell>
          <cell r="K130">
            <v>577</v>
          </cell>
          <cell r="L130">
            <v>756</v>
          </cell>
        </row>
        <row r="131">
          <cell r="A131">
            <v>900.3</v>
          </cell>
          <cell r="B131" t="str">
            <v>TRANS MATERIALES PROV. DE DERRUMBES</v>
          </cell>
          <cell r="C131" t="str">
            <v>M3xKM</v>
          </cell>
          <cell r="D131">
            <v>723</v>
          </cell>
          <cell r="E131">
            <v>698</v>
          </cell>
          <cell r="F131">
            <v>634.70000000000005</v>
          </cell>
          <cell r="G131">
            <v>698.17000000000007</v>
          </cell>
          <cell r="H131">
            <v>723</v>
          </cell>
          <cell r="I131">
            <v>593</v>
          </cell>
          <cell r="J131">
            <v>636</v>
          </cell>
          <cell r="K131">
            <v>577</v>
          </cell>
          <cell r="L131">
            <v>813</v>
          </cell>
        </row>
        <row r="132">
          <cell r="F132">
            <v>0</v>
          </cell>
          <cell r="G132">
            <v>0</v>
          </cell>
        </row>
        <row r="133">
          <cell r="A133">
            <v>2000</v>
          </cell>
          <cell r="B133" t="str">
            <v>LIMPIEZA CALZADA EXISTENTE</v>
          </cell>
          <cell r="C133" t="str">
            <v>HA</v>
          </cell>
          <cell r="D133">
            <v>32468</v>
          </cell>
          <cell r="E133">
            <v>37271</v>
          </cell>
          <cell r="F133">
            <v>38209.599999999999</v>
          </cell>
          <cell r="G133">
            <v>42030.560000000005</v>
          </cell>
          <cell r="H133">
            <v>35556</v>
          </cell>
          <cell r="I133">
            <v>28812</v>
          </cell>
          <cell r="J133">
            <v>31985</v>
          </cell>
          <cell r="K133">
            <v>35718</v>
          </cell>
        </row>
        <row r="134">
          <cell r="A134">
            <v>2021</v>
          </cell>
          <cell r="B134" t="str">
            <v>DEMOLICIONES CONCRETO CICLOPEO</v>
          </cell>
          <cell r="C134" t="str">
            <v>M3</v>
          </cell>
          <cell r="D134">
            <v>18834</v>
          </cell>
          <cell r="E134">
            <v>16485</v>
          </cell>
          <cell r="F134">
            <v>16424.099999999999</v>
          </cell>
          <cell r="G134">
            <v>18066.509999999998</v>
          </cell>
          <cell r="H134">
            <v>19404</v>
          </cell>
          <cell r="I134">
            <v>15544</v>
          </cell>
          <cell r="J134">
            <v>18268</v>
          </cell>
          <cell r="K134">
            <v>17859</v>
          </cell>
        </row>
        <row r="135">
          <cell r="A135">
            <v>2022</v>
          </cell>
          <cell r="B135" t="str">
            <v>DEMOLICIONES DE MAMPOSTERIA</v>
          </cell>
          <cell r="C135" t="str">
            <v>M3</v>
          </cell>
          <cell r="D135">
            <v>18287</v>
          </cell>
          <cell r="E135">
            <v>24322</v>
          </cell>
          <cell r="F135">
            <v>21754.7</v>
          </cell>
          <cell r="G135">
            <v>23930.170000000002</v>
          </cell>
          <cell r="H135">
            <v>17644</v>
          </cell>
          <cell r="I135">
            <v>15690</v>
          </cell>
          <cell r="J135">
            <v>15707</v>
          </cell>
          <cell r="K135">
            <v>17203</v>
          </cell>
        </row>
        <row r="136">
          <cell r="A136">
            <v>2490</v>
          </cell>
          <cell r="B136" t="str">
            <v>EXT. COMP. CAPA ROD. - ASFALTO NATURAL</v>
          </cell>
          <cell r="C136" t="str">
            <v>M3</v>
          </cell>
          <cell r="D136">
            <v>128184</v>
          </cell>
          <cell r="F136">
            <v>123653.2</v>
          </cell>
          <cell r="G136">
            <v>136018.52000000002</v>
          </cell>
          <cell r="I136">
            <v>186061</v>
          </cell>
          <cell r="J136">
            <v>97000</v>
          </cell>
        </row>
        <row r="137">
          <cell r="A137">
            <v>2600</v>
          </cell>
          <cell r="B137" t="str">
            <v>RIEGO DE SELLO - ASFALTO LIQUIDO</v>
          </cell>
          <cell r="C137" t="str">
            <v>M2</v>
          </cell>
          <cell r="D137">
            <v>954</v>
          </cell>
          <cell r="E137">
            <v>878</v>
          </cell>
          <cell r="F137">
            <v>742.5</v>
          </cell>
          <cell r="G137">
            <v>816.75000000000011</v>
          </cell>
          <cell r="H137">
            <v>758</v>
          </cell>
          <cell r="I137">
            <v>698</v>
          </cell>
          <cell r="J137">
            <v>883</v>
          </cell>
          <cell r="K137">
            <v>655</v>
          </cell>
        </row>
        <row r="138">
          <cell r="A138">
            <v>2610</v>
          </cell>
          <cell r="B138" t="str">
            <v>RIEGO SELLO - EMULSION</v>
          </cell>
          <cell r="C138" t="str">
            <v>M2</v>
          </cell>
          <cell r="D138">
            <v>1119</v>
          </cell>
          <cell r="E138">
            <v>1573</v>
          </cell>
          <cell r="F138">
            <v>1312.3</v>
          </cell>
          <cell r="G138">
            <v>1443.53</v>
          </cell>
          <cell r="H138">
            <v>907</v>
          </cell>
          <cell r="I138">
            <v>776</v>
          </cell>
          <cell r="J138">
            <v>844</v>
          </cell>
          <cell r="K138">
            <v>680</v>
          </cell>
        </row>
        <row r="139">
          <cell r="A139">
            <v>2630</v>
          </cell>
          <cell r="B139" t="str">
            <v>SELLO FISURAS &gt; 3MM - EMULSION Y ARENA</v>
          </cell>
          <cell r="C139" t="str">
            <v>M</v>
          </cell>
          <cell r="D139">
            <v>153</v>
          </cell>
          <cell r="E139">
            <v>120</v>
          </cell>
          <cell r="F139">
            <v>143</v>
          </cell>
          <cell r="G139">
            <v>157.30000000000001</v>
          </cell>
          <cell r="H139">
            <v>113</v>
          </cell>
          <cell r="I139">
            <v>104</v>
          </cell>
          <cell r="J139">
            <v>96</v>
          </cell>
          <cell r="K139">
            <v>81</v>
          </cell>
        </row>
        <row r="140">
          <cell r="A140">
            <v>2640</v>
          </cell>
          <cell r="B140" t="str">
            <v>SELLO FISURAS &gt;3MM - EMULSION ASFALTIC</v>
          </cell>
          <cell r="C140" t="str">
            <v>M</v>
          </cell>
          <cell r="D140">
            <v>117</v>
          </cell>
          <cell r="E140">
            <v>181</v>
          </cell>
          <cell r="F140">
            <v>154</v>
          </cell>
          <cell r="G140">
            <v>169.4</v>
          </cell>
          <cell r="H140">
            <v>111</v>
          </cell>
          <cell r="I140">
            <v>98</v>
          </cell>
          <cell r="J140">
            <v>99</v>
          </cell>
          <cell r="K140">
            <v>111</v>
          </cell>
        </row>
        <row r="141">
          <cell r="A141">
            <v>3111</v>
          </cell>
          <cell r="B141" t="str">
            <v>BACHEO - CARRETERAS EN AFIRMADO</v>
          </cell>
          <cell r="C141" t="str">
            <v>M3</v>
          </cell>
          <cell r="D141">
            <v>28373</v>
          </cell>
          <cell r="E141">
            <v>50981</v>
          </cell>
          <cell r="F141">
            <v>41206</v>
          </cell>
          <cell r="G141">
            <v>45326.600000000006</v>
          </cell>
          <cell r="H141">
            <v>50801</v>
          </cell>
          <cell r="I141">
            <v>44896</v>
          </cell>
          <cell r="J141">
            <v>31470</v>
          </cell>
          <cell r="K141">
            <v>33248</v>
          </cell>
        </row>
        <row r="142">
          <cell r="A142">
            <v>3340</v>
          </cell>
          <cell r="B142" t="str">
            <v>SELLO FISURAS &lt; 3MM - EMULSION ASFALTIC</v>
          </cell>
          <cell r="C142" t="str">
            <v>M</v>
          </cell>
          <cell r="D142">
            <v>75</v>
          </cell>
          <cell r="E142">
            <v>94</v>
          </cell>
          <cell r="F142">
            <v>82.5</v>
          </cell>
          <cell r="G142">
            <v>90.750000000000014</v>
          </cell>
          <cell r="H142">
            <v>74</v>
          </cell>
          <cell r="I142">
            <v>60</v>
          </cell>
          <cell r="J142">
            <v>72</v>
          </cell>
          <cell r="K142">
            <v>72</v>
          </cell>
        </row>
        <row r="143">
          <cell r="A143">
            <v>4180</v>
          </cell>
          <cell r="B143" t="str">
            <v>CONFORMACION MANUAL CUNETAS</v>
          </cell>
          <cell r="C143" t="str">
            <v>M</v>
          </cell>
          <cell r="D143">
            <v>515</v>
          </cell>
          <cell r="E143">
            <v>763</v>
          </cell>
          <cell r="F143">
            <v>679.8</v>
          </cell>
          <cell r="G143">
            <v>747.78</v>
          </cell>
          <cell r="H143">
            <v>489</v>
          </cell>
          <cell r="I143">
            <v>450</v>
          </cell>
          <cell r="J143">
            <v>438</v>
          </cell>
          <cell r="K143">
            <v>515</v>
          </cell>
        </row>
        <row r="144">
          <cell r="A144">
            <v>4260</v>
          </cell>
          <cell r="B144" t="str">
            <v>LIMPIEZA CUNETA CON MOTONIVELADORA</v>
          </cell>
          <cell r="C144" t="str">
            <v>M</v>
          </cell>
          <cell r="D144">
            <v>98</v>
          </cell>
          <cell r="E144">
            <v>108</v>
          </cell>
          <cell r="F144">
            <v>113.3</v>
          </cell>
          <cell r="G144">
            <v>124.63000000000001</v>
          </cell>
          <cell r="H144">
            <v>108</v>
          </cell>
          <cell r="I144">
            <v>87</v>
          </cell>
          <cell r="J144">
            <v>98</v>
          </cell>
          <cell r="K144">
            <v>108</v>
          </cell>
        </row>
        <row r="145">
          <cell r="A145">
            <v>4300</v>
          </cell>
          <cell r="B145" t="str">
            <v>ZANJAS CORONACION EN CONCRETO</v>
          </cell>
          <cell r="C145" t="str">
            <v>M3</v>
          </cell>
          <cell r="D145">
            <v>209346</v>
          </cell>
          <cell r="E145">
            <v>212238</v>
          </cell>
          <cell r="F145">
            <v>221831.5</v>
          </cell>
          <cell r="G145">
            <v>244014.65000000002</v>
          </cell>
          <cell r="H145">
            <v>213935</v>
          </cell>
          <cell r="I145">
            <v>187175</v>
          </cell>
          <cell r="J145">
            <v>196443</v>
          </cell>
          <cell r="K145">
            <v>169120</v>
          </cell>
        </row>
        <row r="146">
          <cell r="A146">
            <v>4310</v>
          </cell>
          <cell r="B146" t="str">
            <v>ZANJAS DE CORONACION EN MAMPOSTERIA</v>
          </cell>
          <cell r="C146" t="str">
            <v>M3</v>
          </cell>
          <cell r="D146">
            <v>123666</v>
          </cell>
          <cell r="E146">
            <v>121546</v>
          </cell>
          <cell r="F146">
            <v>144047.20000000001</v>
          </cell>
          <cell r="G146">
            <v>158451.92000000001</v>
          </cell>
          <cell r="H146">
            <v>125529</v>
          </cell>
          <cell r="I146">
            <v>111691</v>
          </cell>
          <cell r="J146">
            <v>117728</v>
          </cell>
          <cell r="K146">
            <v>102892</v>
          </cell>
        </row>
        <row r="147">
          <cell r="A147">
            <v>4360</v>
          </cell>
          <cell r="B147" t="str">
            <v>LIMPIEZA CANALES EN TIERRA</v>
          </cell>
          <cell r="C147" t="str">
            <v>M</v>
          </cell>
          <cell r="D147">
            <v>1030</v>
          </cell>
          <cell r="E147">
            <v>1528</v>
          </cell>
          <cell r="F147">
            <v>1358.5</v>
          </cell>
          <cell r="G147">
            <v>1494.3500000000001</v>
          </cell>
          <cell r="H147">
            <v>978</v>
          </cell>
          <cell r="I147">
            <v>900</v>
          </cell>
          <cell r="J147">
            <v>875</v>
          </cell>
          <cell r="K147">
            <v>1030</v>
          </cell>
        </row>
        <row r="148">
          <cell r="A148">
            <v>4560</v>
          </cell>
          <cell r="B148" t="str">
            <v>DRENES HORIZONTALES TUBERIA 2"</v>
          </cell>
          <cell r="C148" t="str">
            <v>M</v>
          </cell>
          <cell r="D148">
            <v>63144</v>
          </cell>
          <cell r="E148">
            <v>66400</v>
          </cell>
          <cell r="F148">
            <v>73068.600000000006</v>
          </cell>
          <cell r="G148">
            <v>80375.460000000006</v>
          </cell>
          <cell r="H148">
            <v>67144</v>
          </cell>
          <cell r="I148">
            <v>64475</v>
          </cell>
          <cell r="J148">
            <v>63826</v>
          </cell>
          <cell r="K148">
            <v>62975</v>
          </cell>
        </row>
        <row r="149">
          <cell r="A149">
            <v>4860</v>
          </cell>
          <cell r="B149" t="str">
            <v>SUPERESTRUCTURAS PONTONES</v>
          </cell>
          <cell r="C149" t="str">
            <v>M3</v>
          </cell>
          <cell r="D149">
            <v>538616</v>
          </cell>
          <cell r="E149">
            <v>608491</v>
          </cell>
          <cell r="F149">
            <v>580783.5</v>
          </cell>
          <cell r="G149">
            <v>638861.85000000009</v>
          </cell>
          <cell r="H149">
            <v>503646</v>
          </cell>
          <cell r="I149">
            <v>685118</v>
          </cell>
          <cell r="J149">
            <v>511905</v>
          </cell>
          <cell r="K149">
            <v>335221</v>
          </cell>
        </row>
        <row r="150">
          <cell r="A150">
            <v>4880</v>
          </cell>
          <cell r="B150" t="str">
            <v>ALCANTARILLA DE CAJON</v>
          </cell>
          <cell r="C150" t="str">
            <v>M3</v>
          </cell>
          <cell r="D150">
            <v>318682</v>
          </cell>
          <cell r="E150">
            <v>364536</v>
          </cell>
          <cell r="F150">
            <v>321745.59999999998</v>
          </cell>
          <cell r="G150">
            <v>353920.16</v>
          </cell>
          <cell r="H150">
            <v>310804</v>
          </cell>
          <cell r="I150">
            <v>314379</v>
          </cell>
          <cell r="J150">
            <v>298178</v>
          </cell>
          <cell r="K150">
            <v>227071</v>
          </cell>
        </row>
        <row r="151">
          <cell r="A151">
            <v>4960</v>
          </cell>
          <cell r="B151" t="str">
            <v>LIMPIEZA OBRAS AREA &lt; = 0.62 M2</v>
          </cell>
          <cell r="C151" t="str">
            <v>M</v>
          </cell>
          <cell r="D151">
            <v>3432</v>
          </cell>
          <cell r="E151">
            <v>5090</v>
          </cell>
          <cell r="F151">
            <v>4529.8</v>
          </cell>
          <cell r="G151">
            <v>4982.7800000000007</v>
          </cell>
          <cell r="H151">
            <v>3260</v>
          </cell>
          <cell r="I151">
            <v>2999</v>
          </cell>
          <cell r="J151">
            <v>2917</v>
          </cell>
          <cell r="K151">
            <v>3432</v>
          </cell>
        </row>
        <row r="152">
          <cell r="A152">
            <v>4970</v>
          </cell>
          <cell r="B152" t="str">
            <v>LIMPIEZA OBRAS AREA &gt; 0.60 M2</v>
          </cell>
          <cell r="C152" t="str">
            <v>M3</v>
          </cell>
          <cell r="D152">
            <v>5148</v>
          </cell>
          <cell r="E152">
            <v>7635</v>
          </cell>
          <cell r="F152">
            <v>6795.8</v>
          </cell>
          <cell r="G152">
            <v>7475.380000000001</v>
          </cell>
          <cell r="H152">
            <v>4891</v>
          </cell>
          <cell r="I152">
            <v>4499</v>
          </cell>
          <cell r="J152">
            <v>4376</v>
          </cell>
          <cell r="K152">
            <v>5148</v>
          </cell>
        </row>
        <row r="153">
          <cell r="A153">
            <v>6006</v>
          </cell>
          <cell r="B153" t="str">
            <v>EXCAVACION MECANICA DESCOLES</v>
          </cell>
          <cell r="C153" t="str">
            <v>M3</v>
          </cell>
          <cell r="D153">
            <v>2470</v>
          </cell>
          <cell r="E153">
            <v>2275</v>
          </cell>
          <cell r="F153">
            <v>2502.5</v>
          </cell>
          <cell r="G153">
            <v>2752.75</v>
          </cell>
          <cell r="H153">
            <v>2275</v>
          </cell>
          <cell r="I153">
            <v>2275</v>
          </cell>
          <cell r="J153">
            <v>2275</v>
          </cell>
          <cell r="K153">
            <v>2925</v>
          </cell>
        </row>
        <row r="154">
          <cell r="A154">
            <v>7108</v>
          </cell>
          <cell r="B154" t="str">
            <v>SEÑALIZACION TEMPORAL</v>
          </cell>
          <cell r="C154" t="str">
            <v>SEÑAL</v>
          </cell>
          <cell r="D154">
            <v>108388</v>
          </cell>
          <cell r="E154">
            <v>98043</v>
          </cell>
          <cell r="F154">
            <v>90412.3</v>
          </cell>
          <cell r="G154">
            <v>99453.530000000013</v>
          </cell>
          <cell r="H154">
            <v>102627</v>
          </cell>
          <cell r="I154">
            <v>105278</v>
          </cell>
          <cell r="J154">
            <v>148143</v>
          </cell>
          <cell r="K154">
            <v>128213</v>
          </cell>
        </row>
        <row r="155">
          <cell r="A155">
            <v>7150</v>
          </cell>
          <cell r="B155" t="str">
            <v>CORTE TALUDES PARA AMPLIACION</v>
          </cell>
          <cell r="C155" t="str">
            <v>M3</v>
          </cell>
          <cell r="D155">
            <v>1268</v>
          </cell>
          <cell r="E155">
            <v>1754</v>
          </cell>
          <cell r="F155">
            <v>1844.7</v>
          </cell>
          <cell r="G155">
            <v>2029.1700000000003</v>
          </cell>
          <cell r="H155">
            <v>1522</v>
          </cell>
          <cell r="I155">
            <v>1451</v>
          </cell>
          <cell r="J155">
            <v>1643</v>
          </cell>
          <cell r="K155">
            <v>1658</v>
          </cell>
        </row>
        <row r="156">
          <cell r="A156">
            <v>7210</v>
          </cell>
          <cell r="B156" t="str">
            <v>RELLENO DE SOCAVACIONES EN TERRAPLENES</v>
          </cell>
          <cell r="C156" t="str">
            <v>M3</v>
          </cell>
          <cell r="D156">
            <v>20549</v>
          </cell>
          <cell r="E156">
            <v>18870</v>
          </cell>
          <cell r="F156">
            <v>22547.8</v>
          </cell>
          <cell r="G156">
            <v>24802.58</v>
          </cell>
          <cell r="H156">
            <v>25871</v>
          </cell>
          <cell r="I156">
            <v>32163</v>
          </cell>
          <cell r="J156">
            <v>18474</v>
          </cell>
          <cell r="K156">
            <v>20549</v>
          </cell>
        </row>
        <row r="157">
          <cell r="A157">
            <v>7304</v>
          </cell>
          <cell r="B157" t="str">
            <v>DEFENSA METALICA - CORREA DOBLE</v>
          </cell>
          <cell r="C157" t="str">
            <v>M</v>
          </cell>
          <cell r="D157">
            <v>203941</v>
          </cell>
          <cell r="E157">
            <v>153282</v>
          </cell>
          <cell r="F157">
            <v>132926.20000000001</v>
          </cell>
          <cell r="G157">
            <v>146218.82000000004</v>
          </cell>
          <cell r="H157">
            <v>186820</v>
          </cell>
          <cell r="I157">
            <v>179382</v>
          </cell>
          <cell r="J157">
            <v>144516</v>
          </cell>
          <cell r="K157">
            <v>184660</v>
          </cell>
        </row>
        <row r="158">
          <cell r="A158">
            <v>7360</v>
          </cell>
          <cell r="B158" t="str">
            <v>ROCERIA Y DESMONTE MANUAL</v>
          </cell>
          <cell r="C158" t="str">
            <v>Ha</v>
          </cell>
          <cell r="D158">
            <v>233188</v>
          </cell>
          <cell r="E158">
            <v>305418</v>
          </cell>
          <cell r="F158">
            <v>286608.3</v>
          </cell>
          <cell r="G158">
            <v>315269.13</v>
          </cell>
          <cell r="H158">
            <v>229151</v>
          </cell>
          <cell r="I158">
            <v>203055</v>
          </cell>
          <cell r="J158">
            <v>225388</v>
          </cell>
          <cell r="K158">
            <v>213460</v>
          </cell>
        </row>
        <row r="159">
          <cell r="A159">
            <v>7370</v>
          </cell>
          <cell r="B159" t="str">
            <v>ROCERIA Y DESMONTE MECANICO</v>
          </cell>
          <cell r="C159" t="str">
            <v>Ha</v>
          </cell>
          <cell r="D159">
            <v>175500</v>
          </cell>
          <cell r="E159">
            <v>170658</v>
          </cell>
          <cell r="F159">
            <v>163735</v>
          </cell>
          <cell r="G159">
            <v>180108.5</v>
          </cell>
          <cell r="H159">
            <v>174038</v>
          </cell>
          <cell r="I159">
            <v>139315</v>
          </cell>
          <cell r="J159">
            <v>151613</v>
          </cell>
          <cell r="K159">
            <v>143000</v>
          </cell>
        </row>
        <row r="160">
          <cell r="A160">
            <v>7390</v>
          </cell>
          <cell r="B160" t="str">
            <v>PODA,CORTE,RETIRO DE ARBOLES</v>
          </cell>
          <cell r="C160" t="str">
            <v>U</v>
          </cell>
          <cell r="D160">
            <v>17537</v>
          </cell>
          <cell r="E160">
            <v>17615</v>
          </cell>
          <cell r="F160">
            <v>15998.4</v>
          </cell>
          <cell r="G160">
            <v>17598.240000000002</v>
          </cell>
          <cell r="H160">
            <v>17473</v>
          </cell>
          <cell r="I160">
            <v>14450</v>
          </cell>
          <cell r="J160">
            <v>15395</v>
          </cell>
          <cell r="K160">
            <v>14287</v>
          </cell>
        </row>
        <row r="161">
          <cell r="A161">
            <v>7700</v>
          </cell>
          <cell r="B161" t="str">
            <v>INDICADORES ALINEAMINETO</v>
          </cell>
          <cell r="C161" t="str">
            <v>U</v>
          </cell>
          <cell r="D161">
            <v>85053</v>
          </cell>
          <cell r="E161">
            <v>110063</v>
          </cell>
          <cell r="F161">
            <v>100381.6</v>
          </cell>
          <cell r="G161">
            <v>110419.76000000001</v>
          </cell>
          <cell r="H161">
            <v>119113</v>
          </cell>
          <cell r="I161">
            <v>125761</v>
          </cell>
          <cell r="J161">
            <v>118613</v>
          </cell>
          <cell r="K161">
            <v>117410</v>
          </cell>
        </row>
        <row r="162">
          <cell r="A162">
            <v>7750</v>
          </cell>
          <cell r="B162" t="str">
            <v>PINTURA - RENOVACION INDICACIONES MOJON</v>
          </cell>
          <cell r="C162" t="str">
            <v>U</v>
          </cell>
          <cell r="D162">
            <v>7076</v>
          </cell>
          <cell r="E162">
            <v>9991</v>
          </cell>
          <cell r="F162">
            <v>6774.9</v>
          </cell>
          <cell r="G162">
            <v>7452.39</v>
          </cell>
          <cell r="H162">
            <v>8524</v>
          </cell>
          <cell r="I162">
            <v>9902</v>
          </cell>
          <cell r="J162">
            <v>9442</v>
          </cell>
          <cell r="K162">
            <v>7398</v>
          </cell>
        </row>
        <row r="163">
          <cell r="A163">
            <v>7780</v>
          </cell>
          <cell r="B163" t="str">
            <v>LIMPIEZA DE SEÑALES Y MOJONES</v>
          </cell>
          <cell r="C163" t="str">
            <v>U</v>
          </cell>
          <cell r="D163">
            <v>4585</v>
          </cell>
          <cell r="E163">
            <v>6665</v>
          </cell>
          <cell r="F163">
            <v>5041.3</v>
          </cell>
          <cell r="G163">
            <v>5545.43</v>
          </cell>
          <cell r="H163">
            <v>4913</v>
          </cell>
          <cell r="I163">
            <v>5273</v>
          </cell>
          <cell r="J163">
            <v>3825</v>
          </cell>
          <cell r="K163">
            <v>4623</v>
          </cell>
        </row>
        <row r="164">
          <cell r="A164">
            <v>7860</v>
          </cell>
          <cell r="B164" t="str">
            <v>LIMPIEZA DEFENSA METALICA</v>
          </cell>
          <cell r="C164" t="str">
            <v>M</v>
          </cell>
          <cell r="D164">
            <v>2188</v>
          </cell>
          <cell r="E164">
            <v>1875</v>
          </cell>
          <cell r="F164">
            <v>1552.1</v>
          </cell>
          <cell r="G164">
            <v>1707.31</v>
          </cell>
          <cell r="H164">
            <v>1538</v>
          </cell>
          <cell r="I164">
            <v>1663</v>
          </cell>
          <cell r="J164">
            <v>1183</v>
          </cell>
          <cell r="K164">
            <v>1752</v>
          </cell>
        </row>
        <row r="165">
          <cell r="A165">
            <v>7900</v>
          </cell>
          <cell r="B165" t="str">
            <v>RETIRO CERCAS - ZONAS LATERALES</v>
          </cell>
          <cell r="C165" t="str">
            <v>M</v>
          </cell>
          <cell r="D165">
            <v>772</v>
          </cell>
          <cell r="E165">
            <v>1145</v>
          </cell>
          <cell r="F165">
            <v>1019.7</v>
          </cell>
          <cell r="G165">
            <v>1121.67</v>
          </cell>
          <cell r="H165">
            <v>733</v>
          </cell>
          <cell r="I165">
            <v>675</v>
          </cell>
          <cell r="J165">
            <v>657</v>
          </cell>
          <cell r="K165">
            <v>772</v>
          </cell>
        </row>
        <row r="166">
          <cell r="A166">
            <v>8150</v>
          </cell>
          <cell r="B166" t="str">
            <v>ARBORIZACION</v>
          </cell>
          <cell r="C166" t="str">
            <v>U</v>
          </cell>
          <cell r="D166">
            <v>10644</v>
          </cell>
          <cell r="E166">
            <v>12715</v>
          </cell>
          <cell r="F166">
            <v>13470.6</v>
          </cell>
          <cell r="G166">
            <v>14817.660000000002</v>
          </cell>
          <cell r="H166">
            <v>10158</v>
          </cell>
          <cell r="I166">
            <v>8702</v>
          </cell>
          <cell r="J166">
            <v>10568</v>
          </cell>
          <cell r="K166">
            <v>8288</v>
          </cell>
        </row>
        <row r="167">
          <cell r="A167">
            <v>9400</v>
          </cell>
          <cell r="B167" t="str">
            <v>INSPECCION VISUAL CARRETERAS</v>
          </cell>
          <cell r="C167" t="str">
            <v>KM</v>
          </cell>
          <cell r="D167">
            <v>33735</v>
          </cell>
          <cell r="E167">
            <v>29205</v>
          </cell>
          <cell r="F167">
            <v>22951.5</v>
          </cell>
          <cell r="G167">
            <v>25246.65</v>
          </cell>
          <cell r="H167">
            <v>21970</v>
          </cell>
          <cell r="I167">
            <v>24912</v>
          </cell>
          <cell r="J167">
            <v>32825</v>
          </cell>
          <cell r="K167">
            <v>19825</v>
          </cell>
        </row>
      </sheetData>
      <sheetData sheetId="5" refreshError="1"/>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AIU"/>
      <sheetName val="PRESTACIONES"/>
      <sheetName val="BASE"/>
      <sheetName val="BASE_Concretos"/>
      <sheetName val="PTAR(1,5LPS)"/>
      <sheetName val="APU_PTAR1,5LPS"/>
    </sheetNames>
    <sheetDataSet>
      <sheetData sheetId="0"/>
      <sheetData sheetId="1"/>
      <sheetData sheetId="2">
        <row r="8">
          <cell r="D8">
            <v>0.66280000000000017</v>
          </cell>
        </row>
      </sheetData>
      <sheetData sheetId="3"/>
      <sheetData sheetId="4"/>
      <sheetData sheetId="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em"/>
      <sheetName val="1.1.1"/>
      <sheetName val="1.4.3"/>
      <sheetName val="2.1.1"/>
      <sheetName val="2.2.1"/>
      <sheetName val="2.2.2"/>
      <sheetName val="2.2.3"/>
      <sheetName val="2.2.4"/>
      <sheetName val="2.2.5"/>
      <sheetName val="2.2.6"/>
      <sheetName val="2.2.7"/>
      <sheetName val="2.2.8"/>
      <sheetName val="2.2.9"/>
      <sheetName val="2.2.12"/>
      <sheetName val="2.2.16"/>
      <sheetName val="2.2.17"/>
      <sheetName val="2.2.18"/>
      <sheetName val="2.2.19"/>
      <sheetName val="2.3.1"/>
      <sheetName val="2.3.3"/>
      <sheetName val="2.3.4"/>
      <sheetName val="2.3.6"/>
      <sheetName val="2.3.17"/>
      <sheetName val="2.4.1"/>
      <sheetName val="2.4.3"/>
      <sheetName val="2.4.4"/>
      <sheetName val="2.4.5"/>
      <sheetName val="3.1.1"/>
      <sheetName val="3.1.2"/>
      <sheetName val="4.1.1"/>
      <sheetName val="4.1.2"/>
      <sheetName val="4.1.3"/>
      <sheetName val="4.3.4"/>
      <sheetName val="4.3.6"/>
      <sheetName val="4.7.4"/>
      <sheetName val="5.1.1"/>
      <sheetName val="5.1.2"/>
      <sheetName val="5.1.3"/>
      <sheetName val="5.1.4"/>
      <sheetName val="5.1.5"/>
      <sheetName val="5.2.1"/>
      <sheetName val="5.2.2"/>
      <sheetName val="5.2.3"/>
      <sheetName val="5.2.4"/>
      <sheetName val="5.2.5"/>
      <sheetName val="5.2.7"/>
      <sheetName val="5.6.1"/>
      <sheetName val="5.6.2"/>
      <sheetName val="5.6.3"/>
      <sheetName val="5.6.4"/>
      <sheetName val="5.6.5"/>
      <sheetName val="5.6.6"/>
      <sheetName val="5.6.7"/>
      <sheetName val="5.6.8"/>
      <sheetName val="5.6.9"/>
      <sheetName val="5.6.10"/>
      <sheetName val="5.6.11"/>
      <sheetName val="5.6.12"/>
      <sheetName val="5.6.13"/>
      <sheetName val="5.6.14"/>
      <sheetName val="5.6.15"/>
      <sheetName val="5.6.16"/>
      <sheetName val="5.6.17"/>
      <sheetName val="5.6.18"/>
      <sheetName val="5.6.19"/>
      <sheetName val="5.6.20"/>
      <sheetName val="5.6.21"/>
      <sheetName val="5.6.22"/>
      <sheetName val="5.6.23"/>
      <sheetName val="5.6.24"/>
      <sheetName val="5.6.34"/>
      <sheetName val="5.6.35"/>
      <sheetName val="5.7.1"/>
      <sheetName val="5.7.3"/>
      <sheetName val="5.9.1"/>
      <sheetName val="5.10.1"/>
      <sheetName val="5.10.3"/>
      <sheetName val="5.11.1"/>
      <sheetName val="5.14.1"/>
      <sheetName val="5.14.2"/>
      <sheetName val="5.14.3"/>
      <sheetName val="5.14.4"/>
      <sheetName val="5.16.1"/>
      <sheetName val="5.17.1"/>
      <sheetName val="6.1.1"/>
      <sheetName val="6.1.2"/>
      <sheetName val="6.2.1"/>
      <sheetName val="6.2.2"/>
      <sheetName val="6.2.3"/>
      <sheetName val="6.2.4"/>
      <sheetName val="6.3.1"/>
      <sheetName val="6.4.1"/>
      <sheetName val="6.4.2"/>
      <sheetName val="6.6.1"/>
      <sheetName val="6.6.2"/>
      <sheetName val="6.6.3"/>
      <sheetName val="6.6.4"/>
      <sheetName val="6.6.5"/>
      <sheetName val="6.6.6"/>
      <sheetName val="6.6.7"/>
      <sheetName val="6.6.8"/>
      <sheetName val="6.6.9"/>
      <sheetName val="6.6.10"/>
      <sheetName val="6.7.1"/>
      <sheetName val="6.7.2"/>
      <sheetName val="6.7.3"/>
      <sheetName val="6.8.1"/>
      <sheetName val="6.8.2"/>
      <sheetName val="6.8.3"/>
      <sheetName val="6.10.1"/>
      <sheetName val="6.10.3"/>
      <sheetName val="6.10.6"/>
      <sheetName val="7.1.1"/>
      <sheetName val="7.5.1"/>
      <sheetName val="7.5.2"/>
      <sheetName val="7.5.6"/>
      <sheetName val="8.1.1"/>
    </sheetNames>
    <sheetDataSet>
      <sheetData sheetId="0">
        <row r="1">
          <cell r="B1">
            <v>39600</v>
          </cell>
        </row>
        <row r="14">
          <cell r="B14">
            <v>1.8634999999999999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17" Type="http://schemas.openxmlformats.org/officeDocument/2006/relationships/hyperlink" Target="https://www.homecenter.com.co/homecenter-co/product/86539/tubo-cerramiento-negro-2pg-x-25mm-x-6m/86539/?queryId=86539744-fc2b-44b4-864e-5b4acc32fab3" TargetMode="External"/><Relationship Id="rId21" Type="http://schemas.openxmlformats.org/officeDocument/2006/relationships/hyperlink" Target="https://www.homecenter.com.co/homecenter-co/product/425390/?cid=494566&amp;=INTERNA" TargetMode="External"/><Relationship Id="rId42" Type="http://schemas.openxmlformats.org/officeDocument/2006/relationships/hyperlink" Target="https://www.homecenter.com.co/homecenter-co/product/124214/Sifon-tipo-botella-Gris-Grival/124214" TargetMode="External"/><Relationship Id="rId63" Type="http://schemas.openxmlformats.org/officeDocument/2006/relationships/hyperlink" Target="https://www.homecenter.com.co/homecenter-co/product/115508/Disolvente-Hexion-x-1000-cc/115508" TargetMode="External"/><Relationship Id="rId84" Type="http://schemas.openxmlformats.org/officeDocument/2006/relationships/hyperlink" Target="https://www.homecenter.com.co/homecenter-co/product/48812/silicona-transparente-antihongos-280-ml-supercryl" TargetMode="External"/><Relationship Id="rId138" Type="http://schemas.openxmlformats.org/officeDocument/2006/relationships/hyperlink" Target="https://tiendacasaandina.com/cb/inicio/9724-omega-cal-26-x-244-mts-con-reborde.html" TargetMode="External"/><Relationship Id="rId159" Type="http://schemas.openxmlformats.org/officeDocument/2006/relationships/hyperlink" Target="https://corona.co/productos/sanitarios/sanitario-infantil-kiddy/p/501111001" TargetMode="External"/><Relationship Id="rId107" Type="http://schemas.openxmlformats.org/officeDocument/2006/relationships/hyperlink" Target="https://www.homecenter.com.co/homecenter-co/product/47729/Bloque-cemento-15-x-20-x-40-cm-125u-m2-10-mpa/47729" TargetMode="External"/><Relationship Id="rId11" Type="http://schemas.openxmlformats.org/officeDocument/2006/relationships/hyperlink" Target="https://www.homecenter.com.co/homecenter-co/product/557061/ventana-10x10m-alum-pint-marron-vid-4-mm/557061/?kid=bnnext1031755&amp;shop=googleShopping&amp;gclid=CjwKCAjwj42UBhAAEiwACIhADr4rTAKVrr1du6AIQEWG-TgGxe4B-HWRLsemFlqc1KFAlNndzEbMJBoCXtYQAvD_BwE" TargetMode="External"/><Relationship Id="rId32" Type="http://schemas.openxmlformats.org/officeDocument/2006/relationships/hyperlink" Target="https://www.homecenter.com.co/homecenter-co/product/61522/tornillo-panel-drywall-pta-aguda-6x1-100un" TargetMode="External"/><Relationship Id="rId53" Type="http://schemas.openxmlformats.org/officeDocument/2006/relationships/hyperlink" Target="https://www.homecenter.com.co/homecenter-co/product/93236/estacon-250-metros-x-10-cm-aproximadamente-inmunizar" TargetMode="External"/><Relationship Id="rId74" Type="http://schemas.openxmlformats.org/officeDocument/2006/relationships/hyperlink" Target="https://www.homecenter.com.co/homecenter-co/product/314671/llave-manguera-pesada-metal-cromo" TargetMode="External"/><Relationship Id="rId128" Type="http://schemas.openxmlformats.org/officeDocument/2006/relationships/hyperlink" Target="https://www.homecenter.com.co/homecenter-co/product/499508/estopa-de-1000-gr/499508/?kid=bnnext1031765&amp;shop=googleShopping&amp;gclid=Cj0KCQjwspKUBhCvARIsAB2IYutyv_OyDVuSNglhshsWM8fBUdzpD_xr9kue1cETJF_Qb0yDomwwntIaAsWIEALw_wcB" TargetMode="External"/><Relationship Id="rId149" Type="http://schemas.openxmlformats.org/officeDocument/2006/relationships/hyperlink" Target="https://www.homecenter.com.co/homecenter-co/product/07507/sikadur-32-primer-puente-adherencia-concreto-fresco-a-endurecido-1kg/07507/?kid=bnnext1031758&amp;shop=googleShopping&amp;gclid=CjwKCAjw4ayUBhA4EiwATWyBrpdQEMq6IXn8VtyzzpZAkC2m6x7eG62cqpqWqAKvLX3mG-4wAhvuGhoC_EkQAvD_BwE" TargetMode="External"/><Relationship Id="rId5" Type="http://schemas.openxmlformats.org/officeDocument/2006/relationships/hyperlink" Target="https://corona.co/productos/griferias/griferias-institucionales/ducha-antivandalica-regadera-tubular/p/754000001" TargetMode="External"/><Relationship Id="rId95" Type="http://schemas.openxmlformats.org/officeDocument/2006/relationships/hyperlink" Target="https://www.homecenter.com.co/homecenter-co/product/298821/formaleta-19-mm-dimensionada-028x244m" TargetMode="External"/><Relationship Id="rId160" Type="http://schemas.openxmlformats.org/officeDocument/2006/relationships/hyperlink" Target="https://corona.co/productos/sanitarios/combos-sanitarios/kit-orinal-mediano-con-valvula-tipo-push/p/O88641001" TargetMode="External"/><Relationship Id="rId22" Type="http://schemas.openxmlformats.org/officeDocument/2006/relationships/hyperlink" Target="https://www.easy.com.co/c/pisos-y-paredes/esquineros/" TargetMode="External"/><Relationship Id="rId43" Type="http://schemas.openxmlformats.org/officeDocument/2006/relationships/hyperlink" Target="https://corona.co/productos/pegantes/pegacor-ceramico/p/pegacor-ceramico-blanco" TargetMode="External"/><Relationship Id="rId64" Type="http://schemas.openxmlformats.org/officeDocument/2006/relationships/hyperlink" Target="https://www.homecenter.com.co/homecenter-co/product/83655/primer-sellador-1-galon-bulls-eye-1-2-3" TargetMode="External"/><Relationship Id="rId118" Type="http://schemas.openxmlformats.org/officeDocument/2006/relationships/hyperlink" Target="https://corona.co/productos/lavamanos/lavamanos-milano/p/O14111001?gclid=Cj0KCQjw1tGUBhDXARIsAIJx01nEgELxGUMAJMcLpWmRBMZ3_Ft7j3e6ygXGVyldoPJYKDDHKYoxZ1AaAsqIEALw_wcB" TargetMode="External"/><Relationship Id="rId139" Type="http://schemas.openxmlformats.org/officeDocument/2006/relationships/hyperlink" Target="https://www.homecenter.com.co/homecenter-co/product/356765/pintulux-aluminio-brillante-1-galon/356765/?queryId=9745a052-1dc0-47ab-928c-23c2aee30805" TargetMode="External"/><Relationship Id="rId85" Type="http://schemas.openxmlformats.org/officeDocument/2006/relationships/hyperlink" Target="https://www.homecenter.com.co/homecenter-co/product/31937/disco-abrasivo-corte-metal-4-1-2-x-1-8-ref-dw44820" TargetMode="External"/><Relationship Id="rId150" Type="http://schemas.openxmlformats.org/officeDocument/2006/relationships/hyperlink" Target="https://www.homecenter.com.co/homecenter-co/product/323655/antisol-blanco-20k/323655/" TargetMode="External"/><Relationship Id="rId12" Type="http://schemas.openxmlformats.org/officeDocument/2006/relationships/hyperlink" Target="https://www.homecenter.com.co/homecenter-co/product/287622/plastico-negro-150x3m-ancho-cal35" TargetMode="External"/><Relationship Id="rId17" Type="http://schemas.openxmlformats.org/officeDocument/2006/relationships/hyperlink" Target="https://www.homecenter.com.co/homecenter-co/product/70909/Pino-1X2-Pulgadas-32-mts-Cepillado-19X41-cm/70909" TargetMode="External"/><Relationship Id="rId33" Type="http://schemas.openxmlformats.org/officeDocument/2006/relationships/hyperlink" Target="https://www.homecenter.com.co/homecenter-co/product/51755/masilla-supermastick-plus-45gal-28kg" TargetMode="External"/><Relationship Id="rId38" Type="http://schemas.openxmlformats.org/officeDocument/2006/relationships/hyperlink" Target="https://www.homecenter.com.co/homecenter-co/product/283695/disco-diamantado-segmentado-7-pulgadas-ref-dw47702hp" TargetMode="External"/><Relationship Id="rId59" Type="http://schemas.openxmlformats.org/officeDocument/2006/relationships/hyperlink" Target="https://www.homecenter.com.co/homecenter-co/product/150418/dilatacion-u-305-m" TargetMode="External"/><Relationship Id="rId103" Type="http://schemas.openxmlformats.org/officeDocument/2006/relationships/hyperlink" Target="http://www.colombia.generadordeprecios.info/espacios_urbanos/calculaprecio.asp?Valor=2|0_1|1|MPP030|mpp_030:_0_0_0_50_0_0_0_0_0" TargetMode="External"/><Relationship Id="rId108" Type="http://schemas.openxmlformats.org/officeDocument/2006/relationships/hyperlink" Target="https://www.homecenter.com.co/homecenter-co/product/312660/vigueta-1-1-2-x-3-4-pulg-x-038mm-x-244m" TargetMode="External"/><Relationship Id="rId124" Type="http://schemas.openxmlformats.org/officeDocument/2006/relationships/hyperlink" Target="https://www.homecenter.com.co/homecenter-co/product/298820/formaleta-dimensionada-025x244m/298820/?queryId=0d750d3d-382e-4c48-a569-ac662bab3522" TargetMode="External"/><Relationship Id="rId129" Type="http://schemas.openxmlformats.org/officeDocument/2006/relationships/hyperlink" Target="https://www.homecenter.com.co/homecenter-co/product/329949/yumbolon-10mm-x122x15-blanco-183m2/329949/" TargetMode="External"/><Relationship Id="rId54" Type="http://schemas.openxmlformats.org/officeDocument/2006/relationships/hyperlink" Target="https://www.homecenter.com.co/homecenter-co/product/378786/desmoldante-dma-1000-co-x-4kilos" TargetMode="External"/><Relationship Id="rId70" Type="http://schemas.openxmlformats.org/officeDocument/2006/relationships/hyperlink" Target="https://www.homecenter.com.co/homecenter-co/product/209914/?cid=494566&amp;=INTERNA" TargetMode="External"/><Relationship Id="rId75" Type="http://schemas.openxmlformats.org/officeDocument/2006/relationships/hyperlink" Target="https://www.homecenter.com.co/homecenter-co/product/67210/Lavaderos-80-x-60-x-25-cm-Granito-Pulido/67210" TargetMode="External"/><Relationship Id="rId91" Type="http://schemas.openxmlformats.org/officeDocument/2006/relationships/hyperlink" Target="https://www.homecenter.com.co/homecenter-co/product/61524/tornillo-panel-drywall-pta-broca-6x1-100un" TargetMode="External"/><Relationship Id="rId96" Type="http://schemas.openxmlformats.org/officeDocument/2006/relationships/hyperlink" Target="https://www.homecenter.com.co/homecenter-co/product/463603/Set-de-Fijacion-Teja-Maxter-Azul-x-10-Pares-Mathiesen/463603" TargetMode="External"/><Relationship Id="rId140" Type="http://schemas.openxmlformats.org/officeDocument/2006/relationships/hyperlink" Target="https://www.acecomaderas.com/teja-azul-blanca-upvc-forte-de-2mm-por-59-x-094-metros?utm_source=js-google-shopping-app&amp;utm_medium=js-google-shopping-app&amp;gclid=Cj0KCQjw1ZeUBhDyARIsAOzAqQK5Z71iqh7f4eaTkUxpUAJNrgQTP5fzJY8G8Ud2SN9cJq9t5fqR38YaAh3qEALw_wcB" TargetMode="External"/><Relationship Id="rId145" Type="http://schemas.openxmlformats.org/officeDocument/2006/relationships/hyperlink" Target="https://www.homecenter.com.co/homecenter-co/product/434880/piso-deck-wpc-en-madera-espesor-25cm-caja-039-m2-teka/434880/" TargetMode="External"/><Relationship Id="rId161" Type="http://schemas.openxmlformats.org/officeDocument/2006/relationships/hyperlink" Target="https://www.homecenter.com.co/homecenter-co/product/186218/desague-sifon-lavamanos-orinal-grv-lt/186218/?kid=bnnext1031759&amp;shop=googleShopping&amp;gclid=EAIaIQobChMI7b2v7JmU-AIVRdWzCh1N-woREAQYAiABEgIGxfD_BwE" TargetMode="External"/><Relationship Id="rId166" Type="http://schemas.openxmlformats.org/officeDocument/2006/relationships/drawing" Target="../drawings/drawing19.xml"/><Relationship Id="rId1" Type="http://schemas.openxmlformats.org/officeDocument/2006/relationships/hyperlink" Target="http://www.colombia.generadordeprecios.info/obra_nueva/Revestimientos/Suelos_y_pavimentos/Ceramicos_gres/Perfil_para_junta_estructural_0_1_1_0_0_0_0_0_1.html" TargetMode="External"/><Relationship Id="rId6" Type="http://schemas.openxmlformats.org/officeDocument/2006/relationships/hyperlink" Target="https://www.homecenter.com.co/homecenter-co/product/487334/Dispensador-de-Jabon-1000ml/487334" TargetMode="External"/><Relationship Id="rId23" Type="http://schemas.openxmlformats.org/officeDocument/2006/relationships/hyperlink" Target="https://www.homecenter.com.co/homecenter-co/product/297066/arena-lavada-40-kg/297066/?queryId=f7c65491-b2f1-4015-b9f5-66185849d519" TargetMode="External"/><Relationship Id="rId28" Type="http://schemas.openxmlformats.org/officeDocument/2006/relationships/hyperlink" Target="https://www.homecenter.com.co/homecenter-co/product/93236/estacon-250-metros-x-10-cm-aproximadamente-inmunizar" TargetMode="External"/><Relationship Id="rId49" Type="http://schemas.openxmlformats.org/officeDocument/2006/relationships/hyperlink" Target="https://www.homecenter.com.co/homecenter-co/product/305265/Media-cana-coextruida-6-x-300-cm/305265?id=305265&amp;name=Media-cana-coextruida-6-x-300-cm&amp;defaultVariant=305265&amp;currentpage=1" TargetMode="External"/><Relationship Id="rId114" Type="http://schemas.openxmlformats.org/officeDocument/2006/relationships/hyperlink" Target="https://pinturasyyesos.com/catalogo/sistem-drywall/perfil-angulo-perimetral-cielo-modular/" TargetMode="External"/><Relationship Id="rId119" Type="http://schemas.openxmlformats.org/officeDocument/2006/relationships/hyperlink" Target="http://www.colombia.generadordeprecios.info/espacios_urbanos/Estructuras/Concretos__aceros_y_encofrados/Aceros/Malla_electrosoldada.html" TargetMode="External"/><Relationship Id="rId44" Type="http://schemas.openxmlformats.org/officeDocument/2006/relationships/hyperlink" Target="https://corona.co/productos/pegantes/pegacor-ceramico/p/pegacor-ceramico-blanco" TargetMode="External"/><Relationship Id="rId60" Type="http://schemas.openxmlformats.org/officeDocument/2006/relationships/hyperlink" Target="https://www.easy.com.co/p/acido-nitrico-x750-cm3/" TargetMode="External"/><Relationship Id="rId65" Type="http://schemas.openxmlformats.org/officeDocument/2006/relationships/hyperlink" Target="https://www.homecenter.com.co/homecenter-co/product/236818?kid=bnnext1022605&amp;gclid=Cj0KCQjwna2FBhDPARIsACAEc_WSsX-lrWk9SyCXW3NyliQvjltApYgF2H0OlCjO3T_Jk7CKutEOQy8aAvaSEALw_wcB" TargetMode="External"/><Relationship Id="rId81" Type="http://schemas.openxmlformats.org/officeDocument/2006/relationships/hyperlink" Target="http://www.colombia.generadordeprecios.info/obra_nueva/Revestimientos/Pisos/De_madera/Tarima_de_madera_para_interior.html" TargetMode="External"/><Relationship Id="rId86" Type="http://schemas.openxmlformats.org/officeDocument/2006/relationships/hyperlink" Target="https://www.homecenter.com.co/homecenter-co/product/135322/cinta-teflon-ptfe-basica-3-4-pulgada-x-50-mts?id=135322&amp;name=cinta-teflon-ptfe-basica-3-4-pulgada-x-50-mts&amp;currentpage=1" TargetMode="External"/><Relationship Id="rId130" Type="http://schemas.openxmlformats.org/officeDocument/2006/relationships/hyperlink" Target="https://www.homecenter.com.co/homecenter-co/product/13846/cemento-argos-gris-50kg/13846/?kid=bnnext1034178&amp;nbrd=googleSearch&amp;ef_id=CjwKCAjwq5-WBhB7EiwAl-HEkppy9MWO623XoWWMmq3pCbH358CV_7lAIxZJ_8kiR9DPno8ZEM59tRoC0pUQAvD_BwE:G:s&amp;s_kwcid=AL!868!3!492992987759!!!g!!&amp;gclsrc=aw.ds&amp;gclid=CjwKCAjwq5-WBhB7EiwAl-HEkppy9MWO623XoWWMmq3pCbH358CV_7lAIxZJ_8kiR9DPno8ZEM59tRoC0pUQAvD_BwE" TargetMode="External"/><Relationship Id="rId135" Type="http://schemas.openxmlformats.org/officeDocument/2006/relationships/hyperlink" Target="https://www.homecenter.com.co/homecenter-co/product/544786/dispensador-de-papel-higienico-acero-inoxidable-304/544786/?kid=bnnext1031773&amp;shop=googleShopping&amp;gclid=EAIaIQobChMIgc36veWT-AIVociUCR33kgAkEAQYBCABEgITC_D_BwE" TargetMode="External"/><Relationship Id="rId151" Type="http://schemas.openxmlformats.org/officeDocument/2006/relationships/hyperlink" Target="https://www.homecenter.com.co/homecenter-co/product/323655/antisol-blanco-20k/323655/" TargetMode="External"/><Relationship Id="rId156" Type="http://schemas.openxmlformats.org/officeDocument/2006/relationships/hyperlink" Target="https://www.homecenter.com.co/homecenter-co/product/159397/cal-hidratada-10-kilos-corona/159397/?kid=bnnext1031758&amp;shop=googleShopping&amp;gclid=CjwKCAjw7cGUBhA9EiwArBAvolvgPOSVwB4Hj8McHVbRhMW4jZPTeifQgjjABPY28C4OdyKtcF8yChoCc2YQAvD_BwE" TargetMode="External"/><Relationship Id="rId13" Type="http://schemas.openxmlformats.org/officeDocument/2006/relationships/hyperlink" Target="https://www.homecenter.com.co/homecenter-co/product/267914/Toma-Doble-P-T-Blanca-Primmus/267914" TargetMode="External"/><Relationship Id="rId18" Type="http://schemas.openxmlformats.org/officeDocument/2006/relationships/hyperlink" Target="https://www.homecenter.com.co/homecenter-co/product/90443/Clavo-Acero-Concreto-1-1-2-500g/90443" TargetMode="External"/><Relationship Id="rId39" Type="http://schemas.openxmlformats.org/officeDocument/2006/relationships/hyperlink" Target="https://corona.co/productos/pinturas/pinturas-para-especialidades/esmalte-epoxy-pisos/p/esmalte-epoxy-pisos" TargetMode="External"/><Relationship Id="rId109" Type="http://schemas.openxmlformats.org/officeDocument/2006/relationships/hyperlink" Target="https://www.homecenter.com.co/homecenter-co/product/214193/malla-gallinero-1-1-4pulgadas-120-x-30-metros/214193/?kid=bnnext1031757&amp;shop=googleShopping&amp;gclid=Cj0KCQjwhLKUBhDiARIsAMaTLnGzktV1f1yePKLeoJD0vGYV9qoMUV3cuWC7s0IdWlxbqdfp-FvBI_MaAjc9EALw_wcB" TargetMode="External"/><Relationship Id="rId34" Type="http://schemas.openxmlformats.org/officeDocument/2006/relationships/hyperlink" Target="https://www.homecenter.com.co/homecenter-co/product/70909/Pino-1X2-Pulgadas-32-mts-Cepillado-19X41-cm/70909" TargetMode="External"/><Relationship Id="rId50" Type="http://schemas.openxmlformats.org/officeDocument/2006/relationships/hyperlink" Target="https://corona.co/productos/obra-gris/sellos/sismoflex/p/407411921" TargetMode="External"/><Relationship Id="rId55" Type="http://schemas.openxmlformats.org/officeDocument/2006/relationships/hyperlink" Target="https://www.homecenter.com.co/homecenter-co/product/93240/madera-aserrada-4-x-85-cm-x-30-m-aproximadamente" TargetMode="External"/><Relationship Id="rId76" Type="http://schemas.openxmlformats.org/officeDocument/2006/relationships/hyperlink" Target="https://www.homecenter.com.co/homecenter-co/product/206847/cinta-de-enmascarar-48-mm-x-40-metros" TargetMode="External"/><Relationship Id="rId97" Type="http://schemas.openxmlformats.org/officeDocument/2006/relationships/hyperlink" Target="https://www.homecenter.com.co/homecenter-co/product/416534/Caja-x-800-Tornillo-Autoperforante-Hexagonal-Flenge-12x3/416534" TargetMode="External"/><Relationship Id="rId104" Type="http://schemas.openxmlformats.org/officeDocument/2006/relationships/hyperlink" Target="https://www.homecenter.com.co/homecenter-co/product/144469/Tierra-Jarditec-10-Kg/144469" TargetMode="External"/><Relationship Id="rId120" Type="http://schemas.openxmlformats.org/officeDocument/2006/relationships/hyperlink" Target="https://www.construvirtual.com/malla-electrosoldada-m-188-6-mm-15x15" TargetMode="External"/><Relationship Id="rId125" Type="http://schemas.openxmlformats.org/officeDocument/2006/relationships/hyperlink" Target="https://www.homecenter.com.co/homecenter-co/product/298820/formaleta-dimensionada-025x244m/298820/?queryId=0d750d3d-382e-4c48-a569-ac662bab3522" TargetMode="External"/><Relationship Id="rId141" Type="http://schemas.openxmlformats.org/officeDocument/2006/relationships/hyperlink" Target="https://tienda.fajobe.com.co/producto/tubo-estructural-cuadrado-100x100-mm-x-4-0-mm-x-6m/" TargetMode="External"/><Relationship Id="rId146" Type="http://schemas.openxmlformats.org/officeDocument/2006/relationships/hyperlink" Target="https://www.homecenter.com.co/homecenter-co/product/434880/piso-deck-wpc-en-madera-espesor-25cm-caja-039-m2-teka/434880/" TargetMode="External"/><Relationship Id="rId7" Type="http://schemas.openxmlformats.org/officeDocument/2006/relationships/hyperlink" Target="https://ferropaz.com/index.php?id_product=7&amp;controller=product" TargetMode="External"/><Relationship Id="rId71" Type="http://schemas.openxmlformats.org/officeDocument/2006/relationships/hyperlink" Target="https://coval.com.co/pdfs/listasprecios/ult_gerfor_tubosistemas.pdf" TargetMode="External"/><Relationship Id="rId92" Type="http://schemas.openxmlformats.org/officeDocument/2006/relationships/hyperlink" Target="https://www.homecenter.com.co/homecenter-co/product/15746/lija-de-agua-220" TargetMode="External"/><Relationship Id="rId162" Type="http://schemas.openxmlformats.org/officeDocument/2006/relationships/hyperlink" Target="https://www.socoda.com.co/meson-120cmx52cm-2-gas/p" TargetMode="External"/><Relationship Id="rId2" Type="http://schemas.openxmlformats.org/officeDocument/2006/relationships/hyperlink" Target="https://guinovart.com.co/lavamanos-tipo-quirurgico-50x45x50-cm/" TargetMode="External"/><Relationship Id="rId29" Type="http://schemas.openxmlformats.org/officeDocument/2006/relationships/hyperlink" Target="https://www.homecenter.com.co/homecenter-co/product/39312/yumbolon-3-8-pulg-x-25mt-gris" TargetMode="External"/><Relationship Id="rId24" Type="http://schemas.openxmlformats.org/officeDocument/2006/relationships/hyperlink" Target="https://www.easy.com.co/p/acido-nitrico-x750-cm3/" TargetMode="External"/><Relationship Id="rId40" Type="http://schemas.openxmlformats.org/officeDocument/2006/relationships/hyperlink" Target="http://madelistas.blogspot.com/p/medidas-largueros-alfardas-351-mt-8.html" TargetMode="External"/><Relationship Id="rId45" Type="http://schemas.openxmlformats.org/officeDocument/2006/relationships/hyperlink" Target="https://corona.co/productos/boquillas/concolor-junta-estrecha/p/903051011?gclid=EAIaIQobChMI86WFweS38AIVrMiUCR27WQ_VEAQYASABEgJR1PD_BwE" TargetMode="External"/><Relationship Id="rId66" Type="http://schemas.openxmlformats.org/officeDocument/2006/relationships/hyperlink" Target="https://www.homecenter.com.co/homecenter-co/product/254235/Adhesivo-Pisos-Flexibles-Rollo-Arquitectonico-1-Galon/254235" TargetMode="External"/><Relationship Id="rId87" Type="http://schemas.openxmlformats.org/officeDocument/2006/relationships/hyperlink" Target="https://www.homecenter.com.co/homecenter-co/product/117692/Soldadura-PVC-1-4-Galon/117692" TargetMode="External"/><Relationship Id="rId110" Type="http://schemas.openxmlformats.org/officeDocument/2006/relationships/hyperlink" Target="https://www.homecenter.com.co/homecenter-co/product/214193/malla-gallinero-1-1-4pulgadas-120-x-30-metros/214193/?kid=bnnext1031757&amp;shop=googleShopping&amp;gclid=Cj0KCQjwhLKUBhDiARIsAMaTLnGzktV1f1yePKLeoJD0vGYV9qoMUV3cuWC7s0IdWlxbqdfp-FvBI_MaAjc9EALw_wcB" TargetMode="External"/><Relationship Id="rId115" Type="http://schemas.openxmlformats.org/officeDocument/2006/relationships/hyperlink" Target="https://elpalustre.com.co/index.php?route=product/product&amp;product_id=4214" TargetMode="External"/><Relationship Id="rId131" Type="http://schemas.openxmlformats.org/officeDocument/2006/relationships/hyperlink" Target="https://www.alfa.com.co/baldosa-payande-grano-1-225017462-x/p?idsku=1345&amp;gclid=Cj0KCQjw-daUBhCIARIsALbkjSYOS9aOKhFcO4rlJPU-OD6UiaEpJSYiHFTNsRhGZ6ghIwTg0BwnlOAaAgiCEALw_wcB" TargetMode="External"/><Relationship Id="rId136" Type="http://schemas.openxmlformats.org/officeDocument/2006/relationships/hyperlink" Target="https://www.homecenter.com.co/homecenter-co/product/12198/placa-fibrocemento-8mm-244x122cm-3196kg-aprox/12198/?kid=bnnext1034178&amp;nbrd=googleSearch&amp;ef_id=Cj0KCQjw1tGUBhDXARIsAIJx01m6XouGYp_lsRkVg8pLPgkYl4LUhmDhixhqgKmw_7iUV2o8rCdH0LYaAox2EALw_wcB:G:s&amp;s_kwcid=AL!868!3!492992987759!!!g!!&amp;gclsrc=aw.ds&amp;gclid=Cj0KCQjw1tGUBhDXARIsAIJx01m6XouGYp_lsRkVg8pLPgkYl4LUhmDhixhqgKmw_7iUV2o8rCdH0LYaAox2EALw_wcB" TargetMode="External"/><Relationship Id="rId157" Type="http://schemas.openxmlformats.org/officeDocument/2006/relationships/hyperlink" Target="https://corona.co/productos/lavamanos/lavamanos-marsella/p/O13011031?gclid=CjwKCAjwv-GUBhAzEiwASUMm4oElUl0fZGy4924SSMW30q45vfuQS-FYgcS9ABzqU1AqFAn15CnuDhoC0dAQAvD_BwE" TargetMode="External"/><Relationship Id="rId61" Type="http://schemas.openxmlformats.org/officeDocument/2006/relationships/hyperlink" Target="https://www.homecenter.com.co/homecenter-co/product/15753/lija-de-agua-400" TargetMode="External"/><Relationship Id="rId82" Type="http://schemas.openxmlformats.org/officeDocument/2006/relationships/hyperlink" Target="https://www.homecenter.com.co/homecenter-co/product/483100/piso-baldosa-granito-de-marmol-blanco-huila-30x30cm-caja-x-24m2" TargetMode="External"/><Relationship Id="rId152" Type="http://schemas.openxmlformats.org/officeDocument/2006/relationships/hyperlink" Target="https://www.homecenter.com.co/homecenter-co/product/458344/cornisa-de-pvc-290mt-color-avalon-beige/458344/?kid=bnnext1031757&amp;shop=googleShopping&amp;gclid=Cj0KCQjwhLKUBhDiARIsAMaTLnFVTItI_1Oz_UzGcjLJl7MbEkkr0yGT02nJI_4opSgax-1VWXe4X8caAso4EALw_wcB" TargetMode="External"/><Relationship Id="rId19" Type="http://schemas.openxmlformats.org/officeDocument/2006/relationships/hyperlink" Target="https://www.homecenter.com.co/homecenter-co/product/241309/pintura-demarcacion-amarillo-1-galon" TargetMode="External"/><Relationship Id="rId14" Type="http://schemas.openxmlformats.org/officeDocument/2006/relationships/hyperlink" Target="https://www.easy.com.co/p/cable-no.12-cobre-verde-x100m/" TargetMode="External"/><Relationship Id="rId30" Type="http://schemas.openxmlformats.org/officeDocument/2006/relationships/hyperlink" Target="https://www.homecenter.com.co/homecenter-co/product/116644/Placa-de-Yeso-3-8pg-122x244m-95mm-Knauf/116644" TargetMode="External"/><Relationship Id="rId35" Type="http://schemas.openxmlformats.org/officeDocument/2006/relationships/hyperlink" Target="https://www.homecenter.com.co/homecenter-co/product/93240/madera-aserrada-4-x-85-cm-x-30-m-aproximadamente" TargetMode="External"/><Relationship Id="rId56" Type="http://schemas.openxmlformats.org/officeDocument/2006/relationships/hyperlink" Target="https://www.homecenter.com.co/homecenter-co/product/279364/triturado-3-4-pulgada-50kg" TargetMode="External"/><Relationship Id="rId77" Type="http://schemas.openxmlformats.org/officeDocument/2006/relationships/hyperlink" Target="https://www.homecenter.com.co/homecenter-co/product/319302/Esmalte-Anticorrosivo-Epoxico-Blanco-1-Galon-Cat/319302" TargetMode="External"/><Relationship Id="rId100" Type="http://schemas.openxmlformats.org/officeDocument/2006/relationships/hyperlink" Target="https://www.homecenter.com.co/homecenter-co/product/351891/piso-caucho-espesor-3cm-de-llanta-reciclada-x10m2-verde-instalado" TargetMode="External"/><Relationship Id="rId105" Type="http://schemas.openxmlformats.org/officeDocument/2006/relationships/hyperlink" Target="http://www.colombia.generadordeprecios.info/obra_nueva/Urbanizacion_interior_del_terreno/Jardineria/Tepes_y_cespedes/Tepe.html" TargetMode="External"/><Relationship Id="rId126" Type="http://schemas.openxmlformats.org/officeDocument/2006/relationships/hyperlink" Target="https://www.homecenter.com.co/homecenter-co/product/268150/disco-diamantado-segmentado-14-pulgada-2608602621/268150/?kid=bnnext1031762&amp;shop=googleShopping&amp;gclid=CjwKCAjw4ayUBhA4EiwATWyBrknHYwWy68eSio80IQeP3D9D4ujlDstiIfwlmohsfOWk8ntIGkIBiRoCqv8QAvD_BwE" TargetMode="External"/><Relationship Id="rId147" Type="http://schemas.openxmlformats.org/officeDocument/2006/relationships/hyperlink" Target="https://corona.co/productos/pegantes/pegacor-flex/p/901191501?gclid=Cj0KCQjw1ZeUBhDyARIsAOzAqQLO8PFdklMw-SRcR-u7FlPw1uXTvAK8J7vIM5Oj9-FUoXEncLA8gOIaAudfEALw_wcB" TargetMode="External"/><Relationship Id="rId8" Type="http://schemas.openxmlformats.org/officeDocument/2006/relationships/hyperlink" Target="https://www.homecenter.com.co/homecenter-co/product/00423/Sika-1-Aditivo-impermeabilizante-para-morteros-4kg/00423" TargetMode="External"/><Relationship Id="rId51" Type="http://schemas.openxmlformats.org/officeDocument/2006/relationships/hyperlink" Target="http://www.colombia.generadordeprecios.info/espacios_urbanos/Estructuras/Concretos__aceros_y_encofrados/Aceros/Malla_electrosoldada.html" TargetMode="External"/><Relationship Id="rId72" Type="http://schemas.openxmlformats.org/officeDocument/2006/relationships/hyperlink" Target="https://www.homecenter.com.co/homecenter-co/product/305264/media-cana-coextruida-9-x-300-cm" TargetMode="External"/><Relationship Id="rId93" Type="http://schemas.openxmlformats.org/officeDocument/2006/relationships/hyperlink" Target="https://www.homecenter.com.co/homecenter-co/product/110483/cinta-20-metros-x-50-mm-fibra-de-vidrio" TargetMode="External"/><Relationship Id="rId98" Type="http://schemas.openxmlformats.org/officeDocument/2006/relationships/hyperlink" Target="https://www.homecenter.com.co/homecenter-co/product/416534/Caja-x-800-Tornillo-Autoperforante-Hexagonal-Flenge-12x3/416534" TargetMode="External"/><Relationship Id="rId121" Type="http://schemas.openxmlformats.org/officeDocument/2006/relationships/hyperlink" Target="https://corona.co/productos/plomeria/valvula-reguladora-12-pulgada-plastica-sanitarios/p/967350001?gclid=EAIaIQobChMI6MjMqO2T-AIVJ8qUCR0ZJQGjEAQYAiABEgKFvfD_BwE" TargetMode="External"/><Relationship Id="rId142" Type="http://schemas.openxmlformats.org/officeDocument/2006/relationships/hyperlink" Target="https://www.homecenter.com.co/homecenter-co/product/13302/tubo-rectangular-80-x-40-x-25mm-x-6m-estructural-hr50/13302/" TargetMode="External"/><Relationship Id="rId163" Type="http://schemas.openxmlformats.org/officeDocument/2006/relationships/hyperlink" Target="https://corona.co/productos/griferias/griferia-grival-para-lavaplatos-sencilla-nogal-lt/p/455940001?gclid=Cj0KCQjwheyUBhD-ARIsAHJNM-Nx8cgdMOMgse1E7GdaG5VxpsJf30CegCKX-OJcjaYUtgSpoImu3BoaAjMTEALw_wcB" TargetMode="External"/><Relationship Id="rId3" Type="http://schemas.openxmlformats.org/officeDocument/2006/relationships/hyperlink" Target="https://www.easy.com.co/p/esmalte-domestico-acabado-superior-mate-negro-x1-gal/" TargetMode="External"/><Relationship Id="rId25" Type="http://schemas.openxmlformats.org/officeDocument/2006/relationships/hyperlink" Target="https://www.tiendargos.com.co/concreto-premezclado-multiproposito-de-3-000-psi/p" TargetMode="External"/><Relationship Id="rId46" Type="http://schemas.openxmlformats.org/officeDocument/2006/relationships/hyperlink" Target="https://www.homecenter.com.co/homecenter-co/product/176141/esquinero-plastico-240-metros" TargetMode="External"/><Relationship Id="rId67" Type="http://schemas.openxmlformats.org/officeDocument/2006/relationships/hyperlink" Target="https://www.homecenter.com.co/homecenter-co/product/483100/piso-baldosa-granito-de-marmol-blanco-huila-30x30cm-caja-x-24m2" TargetMode="External"/><Relationship Id="rId116" Type="http://schemas.openxmlformats.org/officeDocument/2006/relationships/hyperlink" Target="https://www.homecenter.com.co/homecenter-co/product/86539/tubo-cerramiento-negro-2pg-x-25mm-x-6m/86539/?queryId=86539744-fc2b-44b4-864e-5b4acc32fab3" TargetMode="External"/><Relationship Id="rId137" Type="http://schemas.openxmlformats.org/officeDocument/2006/relationships/hyperlink" Target="https://www.homecenter.com.co/homecenter-co/product/298821/formaleta-19-mm-dimensionada-028x244m" TargetMode="External"/><Relationship Id="rId158" Type="http://schemas.openxmlformats.org/officeDocument/2006/relationships/hyperlink" Target="https://www.homecenter.com.co/homecenter-co/product/455629/sanitario-montecarlo-advance/455629/?cid=UpProductPDPdy" TargetMode="External"/><Relationship Id="rId20" Type="http://schemas.openxmlformats.org/officeDocument/2006/relationships/hyperlink" Target="https://www.homecenter.com.co/homecenter-co/product/97446/Nylon-1-mm-x-100-metros-Araty/97446" TargetMode="External"/><Relationship Id="rId41" Type="http://schemas.openxmlformats.org/officeDocument/2006/relationships/hyperlink" Target="https://www.homecenter.com.co/homecenter-co/product/236671/Griferia-Lavamanos-Sencilla-Dalia/236671" TargetMode="External"/><Relationship Id="rId62" Type="http://schemas.openxmlformats.org/officeDocument/2006/relationships/hyperlink" Target="https://www.homecenter.com.co/homecenter-co/product/348402?kid=bnnext1022605&amp;gclid=Cj0KCQjwna2FBhDPARIsACAEc_Uk3TPF4BKf4dYDuaQPGLL5-6Ic2JrS743wWXAQzRKoU2-R9mGLImgaAqUHEALw_wcB" TargetMode="External"/><Relationship Id="rId83" Type="http://schemas.openxmlformats.org/officeDocument/2006/relationships/hyperlink" Target="https://www.homecenter.com.co/homecenter-co/product/287622/plastico-negro-150x3m-ancho-cal35" TargetMode="External"/><Relationship Id="rId88" Type="http://schemas.openxmlformats.org/officeDocument/2006/relationships/hyperlink" Target="https://www.homecenter.com.co/homecenter-co/product/117579/Adaptador-Macho-1-2-Presion/117579" TargetMode="External"/><Relationship Id="rId111" Type="http://schemas.openxmlformats.org/officeDocument/2006/relationships/hyperlink" Target="https://www.homecenter.com.co/homecenter-co/product/297065/arena-de-pena-40kg/297065/?queryId=f40afbda-0f70-4dd5-9ec7-2b940657ad2e" TargetMode="External"/><Relationship Id="rId132" Type="http://schemas.openxmlformats.org/officeDocument/2006/relationships/hyperlink" Target="https://corona.co/productos/plomeria/acople-12-x-12-de-40cm-en-acero-para-lavamanos-y-lavaplatos/p/O22930001" TargetMode="External"/><Relationship Id="rId153" Type="http://schemas.openxmlformats.org/officeDocument/2006/relationships/hyperlink" Target="https://www.homecenter.com.co/homecenter-co/product/458344/cornisa-de-pvc-290mt-color-avalon-beige/458344/?kid=bnnext1031757&amp;shop=googleShopping&amp;gclid=Cj0KCQjwhLKUBhDiARIsAMaTLnFVTItI_1Oz_UzGcjLJl7MbEkkr0yGT02nJI_4opSgax-1VWXe4X8caAso4EALw_wcB" TargetMode="External"/><Relationship Id="rId15" Type="http://schemas.openxmlformats.org/officeDocument/2006/relationships/hyperlink" Target="https://www.homecenter.com.co/homecenter-co/product/93240/Madera-aserrada-4-x-85-cm-x-30-m-aproximadamente/93240" TargetMode="External"/><Relationship Id="rId36" Type="http://schemas.openxmlformats.org/officeDocument/2006/relationships/hyperlink" Target="https://www.homecenter.com.co/homecenter-co/search?Ntt=larguero%20madera&amp;sTerm=largue&amp;sType=suggest&amp;sScenario=BTP_SUG_larguero%20madera" TargetMode="External"/><Relationship Id="rId57" Type="http://schemas.openxmlformats.org/officeDocument/2006/relationships/hyperlink" Target="https://www.construvirtual.com/malla-electrosoldada-m-188-6-mm-15x15" TargetMode="External"/><Relationship Id="rId106" Type="http://schemas.openxmlformats.org/officeDocument/2006/relationships/hyperlink" Target="https://www.homecenter.com.co/homecenter-co/product/101542/Pino-2X8-Pulgadas-3962-mts-Cepillado-41X185-cm/101542" TargetMode="External"/><Relationship Id="rId127" Type="http://schemas.openxmlformats.org/officeDocument/2006/relationships/hyperlink" Target="https://corona.co/productos/boquillas/concolor-junta-estrecha/p/903051011?gclid=EAIaIQobChMI86WFweS38AIVrMiUCR27WQ_VEAQYASABEgJR1PD_BwE" TargetMode="External"/><Relationship Id="rId10" Type="http://schemas.openxmlformats.org/officeDocument/2006/relationships/hyperlink" Target="https://www.homecenter.com.co/homecenter-co/product/294633/Combo-Sanitario-Acuaplus-Ultra-sin-pedestal-Blanco/294633?id=294633&amp;name=Combo-Sanitario-Acuaplus-Ultra-sin-pedestal-Blanco&amp;defaultVariant=294633&amp;currentpage=1" TargetMode="External"/><Relationship Id="rId31" Type="http://schemas.openxmlformats.org/officeDocument/2006/relationships/hyperlink" Target="https://www.easy.com.co/p/tornillo-7-mm-x-7~16%22-rosca-fina-drywall-x1000und/" TargetMode="External"/><Relationship Id="rId52" Type="http://schemas.openxmlformats.org/officeDocument/2006/relationships/hyperlink" Target="https://www.homecenter.com.co/homecenter-co/product/425390/?cid=494566&amp;=INTERNA" TargetMode="External"/><Relationship Id="rId73" Type="http://schemas.openxmlformats.org/officeDocument/2006/relationships/hyperlink" Target="https://www.homecenter.com.co/homecenter-co/product/38220/cemento-argos-blanco-40kg" TargetMode="External"/><Relationship Id="rId78" Type="http://schemas.openxmlformats.org/officeDocument/2006/relationships/hyperlink" Target="https://ferropaz.com/index.php?id_product=7&amp;controller=product" TargetMode="External"/><Relationship Id="rId94" Type="http://schemas.openxmlformats.org/officeDocument/2006/relationships/hyperlink" Target="https://www.homecenter.com.co/homecenter-co/product/110485/cinta-fibra-de-vidrio-90mt-x-50mm-75g-m2" TargetMode="External"/><Relationship Id="rId99" Type="http://schemas.openxmlformats.org/officeDocument/2006/relationships/hyperlink" Target="https://www.homecenter.com.co/homecenter-co/product/463603/Set-de-Fijacion-Teja-Maxter-Azul-x-10-Pares-Mathiesen/463603" TargetMode="External"/><Relationship Id="rId101" Type="http://schemas.openxmlformats.org/officeDocument/2006/relationships/hyperlink" Target="https://www.homecenter.com.co/homecenter-co/product/66860?kid=bnnext1022605&amp;gclid=EAIaIQobChMIoLObsIuG8QIV9QFMCh2d8QBvEAQYASABEgLxEPD_BwE" TargetMode="External"/><Relationship Id="rId122" Type="http://schemas.openxmlformats.org/officeDocument/2006/relationships/hyperlink" Target="https://www.homecenter.com.co/homecenter-co/product/73639/varilla-corrugada-g60-w-6-3-4-pulg-x-6m/73639/?cid=UpProductPDPdy" TargetMode="External"/><Relationship Id="rId143" Type="http://schemas.openxmlformats.org/officeDocument/2006/relationships/hyperlink" Target="https://www.homecenter.com.co/homecenter-co/product/351891/piso-caucho-espesor-3cm-de-llanta-reciclada-x10m2-verde-instalado" TargetMode="External"/><Relationship Id="rId148" Type="http://schemas.openxmlformats.org/officeDocument/2006/relationships/hyperlink" Target="https://articulo.mercadolibre.com.co/MCO-580686754-carretilla-bellota-antipinchazo-35-tolva-metalica-65-lt-_JM?matt_tool=70147493&amp;matt_word=&amp;matt_source=google&amp;matt_campaign_id=14633851809&amp;matt_ad_group_id=122277564930&amp;matt_match_type=&amp;matt_network=g&amp;matt_device=c&amp;matt_creative=545410559217&amp;matt_keyword=&amp;matt_ad_position=&amp;matt_ad_type=pla&amp;matt_merchant_id=533436408&amp;matt_product_id=MCO580686754&amp;matt_product_partition_id=1403869200214&amp;matt_target_id=aud-978928010071:pla-1403869200214&amp;gclid=CjwKCAjw4ayUBhA4EiwATWyBrigml7CN1WlssZ2MCvSoncVb2mCr1LbFOBBpwqoPxdQzDLhFVbUQrxoC92QQAvD_BwE" TargetMode="External"/><Relationship Id="rId164" Type="http://schemas.openxmlformats.org/officeDocument/2006/relationships/hyperlink" Target="https://www.homecenter.com.co/homecenter-co/product/271595/alambre-negro-recocido-25k-calibre-17/271595/?queryId=8e388c8b-f4ff-4165-ae79-7c368404cd6c" TargetMode="External"/><Relationship Id="rId4" Type="http://schemas.openxmlformats.org/officeDocument/2006/relationships/hyperlink" Target="https://www.easy.com.co/p/puntilla-lisa-3.7-mm-x-3%22con-cabeza-hierro-x500g/" TargetMode="External"/><Relationship Id="rId9" Type="http://schemas.openxmlformats.org/officeDocument/2006/relationships/hyperlink" Target="http://madelistas.blogspot.com/p/medidas-largueros-alfardas-351-mt-8.html" TargetMode="External"/><Relationship Id="rId26" Type="http://schemas.openxmlformats.org/officeDocument/2006/relationships/hyperlink" Target="https://www.homecenter.com.co/homecenter-co/product/66921/sikalisto-piso-50-kilos" TargetMode="External"/><Relationship Id="rId47" Type="http://schemas.openxmlformats.org/officeDocument/2006/relationships/hyperlink" Target="https://corona.co/productos/revestimientos/paredes/pared-estructurada-eco-blanco-cara-unica-30x60/p/609919001" TargetMode="External"/><Relationship Id="rId68" Type="http://schemas.openxmlformats.org/officeDocument/2006/relationships/hyperlink" Target="https://www.homecenter.com.co/homecenter-co/product/69130/Estucor-Estuco-Plastico-6-Kilos/69130" TargetMode="External"/><Relationship Id="rId89" Type="http://schemas.openxmlformats.org/officeDocument/2006/relationships/hyperlink" Target="https://www.homecenter.com.co/homecenter-co/product/319299/kit-esmalte-poliuretano-blanco-1-galon-catalizador" TargetMode="External"/><Relationship Id="rId112" Type="http://schemas.openxmlformats.org/officeDocument/2006/relationships/hyperlink" Target="https://www.homecenter.com.co/homecenter-co/product/297065/arena-de-pena-40kg/297065/?queryId=f40afbda-0f70-4dd5-9ec7-2b940657ad2e" TargetMode="External"/><Relationship Id="rId133" Type="http://schemas.openxmlformats.org/officeDocument/2006/relationships/hyperlink" Target="https://www.homecenter.com.co/homecenter-co/product/364541/valvula-de-regulacion-metalica-1-2-hm-acople-acero-1-2-40cm/364541/?kid=bnnext1031759&amp;shop=googleShopping&amp;gclid=Cj0KCQjwspKUBhCvARIsAB2IYutQDmOq7fG7P6FbUobv87WdfXdekY4ZrbNM_ffD3hBA0MPK7ajJNwgaAt7_EALw_wcB" TargetMode="External"/><Relationship Id="rId154" Type="http://schemas.openxmlformats.org/officeDocument/2006/relationships/hyperlink" Target="https://www.easy.com.co/p/arena-para-pega-argos-x-40-kg/" TargetMode="External"/><Relationship Id="rId16" Type="http://schemas.openxmlformats.org/officeDocument/2006/relationships/hyperlink" Target="https://www.homecenter.com.co/homecenter-co/product/208185/SUPERBOARD-MAD-6mm-244x122cm-2472kg-aprox/208185" TargetMode="External"/><Relationship Id="rId37" Type="http://schemas.openxmlformats.org/officeDocument/2006/relationships/hyperlink" Target="https://www.homecenter.com.co/homecenter-co/search?Ntt=larguero%20madera&amp;sTerm=largue&amp;sType=suggest&amp;sScenario=BTP_SUG_larguero%20madera" TargetMode="External"/><Relationship Id="rId58" Type="http://schemas.openxmlformats.org/officeDocument/2006/relationships/hyperlink" Target="https://www.homecenter.com.co/homecenter-co/product/279366/Arena-Lavada-Concreto-50kg/279366" TargetMode="External"/><Relationship Id="rId79" Type="http://schemas.openxmlformats.org/officeDocument/2006/relationships/hyperlink" Target="http://www.colombia.generadordeprecios.info/obra_nueva/Revestimientos/Pisos/De_madera/Tarima_de_madera_para_interior.html" TargetMode="External"/><Relationship Id="rId102" Type="http://schemas.openxmlformats.org/officeDocument/2006/relationships/hyperlink" Target="https://www.homecenter.com.co/homecenter-co/product/297066/Arena-Lavada-40-Kg/297066?id=297066&amp;name=Arena-Lavada-40-Kg&amp;defaultVariant=297066&amp;currentpage=1" TargetMode="External"/><Relationship Id="rId123" Type="http://schemas.openxmlformats.org/officeDocument/2006/relationships/hyperlink" Target="https://www.homecenter.com.co/homecenter-co/product/47748/lagrimal-50-cm-x-25-cm-7-kilos-2-u-m2-muro-de-15/47748/" TargetMode="External"/><Relationship Id="rId144" Type="http://schemas.openxmlformats.org/officeDocument/2006/relationships/hyperlink" Target="https://www.homecenter.com.co/homecenter-co/product/66860?kid=bnnext1022605&amp;gclid=EAIaIQobChMIoLObsIuG8QIV9QFMCh2d8QBvEAQYASABEgLxEPD_BwE" TargetMode="External"/><Relationship Id="rId90" Type="http://schemas.openxmlformats.org/officeDocument/2006/relationships/hyperlink" Target="https://www.homecenter.com.co/homecenter-co/product/23792/Sikaflex-1A-Plus-Blanco-300ml/23792" TargetMode="External"/><Relationship Id="rId165" Type="http://schemas.openxmlformats.org/officeDocument/2006/relationships/printerSettings" Target="../printerSettings/printerSettings18.bin"/><Relationship Id="rId27" Type="http://schemas.openxmlformats.org/officeDocument/2006/relationships/hyperlink" Target="https://www.homecenter.com.co/homecenter-co/product/378786/desmoldante-dma-1000-co-x-4kilos" TargetMode="External"/><Relationship Id="rId48" Type="http://schemas.openxmlformats.org/officeDocument/2006/relationships/hyperlink" Target="https://www.homecenter.com.co/homecenter-co/product/73411/Adobe-Coco-10x20x40cm-55kg-125u-m2/73411" TargetMode="External"/><Relationship Id="rId69" Type="http://schemas.openxmlformats.org/officeDocument/2006/relationships/hyperlink" Target="http://www.colombia.generadordeprecios.info/rehabilitacion/Revestimentos/Suelos_y_pisos/Reparaciones/Rejuntado_de_piso_ceramico.html?mradio_00001D21=on&amp;mradio_00001D22=on" TargetMode="External"/><Relationship Id="rId113" Type="http://schemas.openxmlformats.org/officeDocument/2006/relationships/hyperlink" Target="https://pinturasyyesos.com/catalogo/sistem-drywall/perfil-angulo-perimetral-cielo-modular/" TargetMode="External"/><Relationship Id="rId134" Type="http://schemas.openxmlformats.org/officeDocument/2006/relationships/hyperlink" Target="https://www.homecenter.com.co/homecenter-co/product/258493/lavaplatos-para-empotrar-1-poceta-53x43-cm-acero-inoxidable/258493/" TargetMode="External"/><Relationship Id="rId80" Type="http://schemas.openxmlformats.org/officeDocument/2006/relationships/hyperlink" Target="http://www.colombia.generadordeprecios.info/obra_nueva/Revestimientos/Pisos/De_madera/Tarima_de_madera_para_interior.html" TargetMode="External"/><Relationship Id="rId155" Type="http://schemas.openxmlformats.org/officeDocument/2006/relationships/hyperlink" Target="https://www.homecenter.com.co/homecenter-co/product/159397/cal-hidratada-10-kilos-corona/159397/?kid=bnnext1031758&amp;shop=googleShopping&amp;gclid=CjwKCAjw7cGUBhA9EiwArBAvolvgPOSVwB4Hj8McHVbRhMW4jZPTeifQgjjABPY28C4OdyKtcF8yChoCc2YQAvD_BwE"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homecenter.com.co/homecenter-co/product/335593/ups-online-6kva-6000va-5400vatios-bifasica/335593/?kid=bnnext1031760&amp;shop=googleShopping&amp;gclid=CjwKCAiArY2fBhB9EiwAWqHK6sKDgqZ4xSug1ZrtJk-k449zVFxoMF6DOlgnfrcEq0wFj5Xn08EcKRoCtcgQAvD_BwE" TargetMode="External"/><Relationship Id="rId3" Type="http://schemas.openxmlformats.org/officeDocument/2006/relationships/hyperlink" Target="https://www.homecenter.com.co/homecenter-co/product/293052/curva-emt-3-4/293052/?kid=bnnext1031760&amp;shop=googleShopping&amp;gclid=CjwKCAiArY2fBhB9EiwAWqHK6sxIeb6RCU7fchhnJTYzGZlpgwf5fdqLY0vAXVS6K22R_UfwL1NQTRoCZR4QAvD_BwE" TargetMode="External"/><Relationship Id="rId7" Type="http://schemas.openxmlformats.org/officeDocument/2006/relationships/hyperlink" Target="https://interelectricas.com.co/transformadores/4187-transformador-de-corriente-barra-400-5-amp-clase-0-5s.html" TargetMode="External"/><Relationship Id="rId2" Type="http://schemas.openxmlformats.org/officeDocument/2006/relationships/hyperlink" Target="https://www.homecenter.com.co/homecenter-co/product/358310/organizador-de-cables-horizontal-para-rack-2u/358310/?kid=bnnext1031764&amp;shop=googleShopping&amp;gclid=Cj0KCQjw4uaUBhC8ARIsANUuDjU8RIsQ6JexfXreKawHRZoaNc6VoBAjhaB9eq6jly9AmThDZ89fSzgaAn0gEALw_wcB" TargetMode="External"/><Relationship Id="rId1" Type="http://schemas.openxmlformats.org/officeDocument/2006/relationships/hyperlink" Target="https://www.homecenter.com.co/homecenter-co/product/76337/anclaje-concreto-cuna-1-2x2-1-4-2un/76337/?kid=bnnext1031763&amp;shop=googleShopping&amp;gclid=Cj0KCQjw4uaUBhC8ARIsANUuDjXw01G3Eyi2It-2_assbunFWdn6ZjbIArHaZmrFaiUG9MiMFcymJ6QaArGbEALw_wcB" TargetMode="External"/><Relationship Id="rId6" Type="http://schemas.openxmlformats.org/officeDocument/2006/relationships/hyperlink" Target="http://www.ferrometalicassuperior.com/tornilleria/chazo-expansion-1-4-x-2-1-4/" TargetMode="External"/><Relationship Id="rId11" Type="http://schemas.openxmlformats.org/officeDocument/2006/relationships/drawing" Target="../drawings/drawing20.xml"/><Relationship Id="rId5" Type="http://schemas.openxmlformats.org/officeDocument/2006/relationships/hyperlink" Target="https://www.offer-fleeting.com/MCO-1205344171-organizador-cables-velcro-1m-negro-_JM?variation=176421192957&amp;gclid=CjwKCAiArY2fBhB9EiwAWqHK6mQjE_yLt1yY3Phfgeu1fpb6Z8OKsUEQR-12rBB-xNzTsw1g2Tj0LBoCKkkQAvD_BwE" TargetMode="External"/><Relationship Id="rId10" Type="http://schemas.openxmlformats.org/officeDocument/2006/relationships/printerSettings" Target="../printerSettings/printerSettings19.bin"/><Relationship Id="rId4" Type="http://schemas.openxmlformats.org/officeDocument/2006/relationships/hyperlink" Target="https://www.acecomaderas.com/varilla-copperweld-240-metros-1" TargetMode="External"/><Relationship Id="rId9" Type="http://schemas.openxmlformats.org/officeDocument/2006/relationships/hyperlink" Target="https://interelectricas.com.co/tuberia-metalica-y-pvc/1509-capacete-roscado-en-aluminio-para-tuberia-imc-de-3.html"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homecenter.com.co/homecenter-co/product/305265/Media-cana-coextruida-6-x-300-cm/305265" TargetMode="External"/><Relationship Id="rId1" Type="http://schemas.openxmlformats.org/officeDocument/2006/relationships/hyperlink" Target="https://articulo.mercadolibre.com.co/MCO-495464712-alquiler-y-venta-de-andamio-certificado-_JM" TargetMode="Externa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XCJ663"/>
  <sheetViews>
    <sheetView tabSelected="1" view="pageBreakPreview" topLeftCell="A653" zoomScale="90" zoomScaleNormal="90" zoomScaleSheetLayoutView="90" workbookViewId="0">
      <selection activeCell="H667" sqref="H667"/>
    </sheetView>
  </sheetViews>
  <sheetFormatPr baseColWidth="10" defaultColWidth="10.6640625" defaultRowHeight="14.4"/>
  <cols>
    <col min="1" max="1" width="10.6640625" style="709"/>
    <col min="2" max="2" width="47.44140625" style="712" bestFit="1" customWidth="1"/>
    <col min="3" max="3" width="10.6640625" style="709" customWidth="1"/>
    <col min="4" max="4" width="10" style="709" customWidth="1"/>
    <col min="5" max="5" width="23" style="713" customWidth="1"/>
    <col min="6" max="6" width="20.109375" style="713" bestFit="1" customWidth="1"/>
    <col min="7" max="7" width="10.6640625" style="709" customWidth="1"/>
    <col min="8" max="8" width="21.5546875" style="709" customWidth="1"/>
    <col min="9" max="9" width="25" style="709" customWidth="1"/>
    <col min="10" max="10" width="20.109375" style="709" bestFit="1" customWidth="1"/>
    <col min="11" max="16311" width="10.6640625" style="709"/>
    <col min="16312" max="16312" width="15.5546875" style="709" bestFit="1" customWidth="1"/>
    <col min="16313" max="16384" width="10.6640625" style="709"/>
  </cols>
  <sheetData>
    <row r="1" spans="1:10" ht="33.75" customHeight="1">
      <c r="A1" s="802" t="s">
        <v>2382</v>
      </c>
      <c r="B1" s="803"/>
      <c r="C1" s="803"/>
      <c r="D1" s="803"/>
      <c r="E1" s="804"/>
      <c r="F1" s="805"/>
      <c r="G1" s="805"/>
      <c r="H1" s="805"/>
      <c r="I1" s="805"/>
      <c r="J1" s="806"/>
    </row>
    <row r="2" spans="1:10" ht="30" customHeight="1">
      <c r="A2" s="824" t="s">
        <v>2887</v>
      </c>
      <c r="B2" s="825"/>
      <c r="C2" s="825"/>
      <c r="D2" s="825"/>
      <c r="E2" s="826"/>
      <c r="F2" s="807"/>
      <c r="G2" s="807"/>
      <c r="H2" s="807"/>
      <c r="I2" s="807"/>
      <c r="J2" s="808"/>
    </row>
    <row r="3" spans="1:10" ht="15.6">
      <c r="A3" s="821"/>
      <c r="B3" s="822"/>
      <c r="C3" s="822"/>
      <c r="D3" s="822"/>
      <c r="E3" s="823"/>
      <c r="F3" s="807"/>
      <c r="G3" s="807"/>
      <c r="H3" s="807"/>
      <c r="I3" s="807"/>
      <c r="J3" s="808"/>
    </row>
    <row r="4" spans="1:10" ht="15.75" customHeight="1">
      <c r="A4" s="821" t="s">
        <v>2383</v>
      </c>
      <c r="B4" s="822"/>
      <c r="C4" s="822"/>
      <c r="D4" s="822"/>
      <c r="E4" s="823"/>
      <c r="F4" s="807"/>
      <c r="G4" s="807"/>
      <c r="H4" s="807"/>
      <c r="I4" s="807"/>
      <c r="J4" s="808"/>
    </row>
    <row r="5" spans="1:10" ht="16.2" thickBot="1">
      <c r="A5" s="818" t="s">
        <v>2384</v>
      </c>
      <c r="B5" s="819"/>
      <c r="C5" s="819"/>
      <c r="D5" s="819"/>
      <c r="E5" s="820"/>
      <c r="F5" s="809"/>
      <c r="G5" s="809"/>
      <c r="H5" s="809"/>
      <c r="I5" s="809"/>
      <c r="J5" s="810"/>
    </row>
    <row r="6" spans="1:10" ht="15.75" customHeight="1" thickBot="1">
      <c r="A6" s="813" t="s">
        <v>2373</v>
      </c>
      <c r="B6" s="811" t="s">
        <v>2374</v>
      </c>
      <c r="C6" s="815" t="s">
        <v>998</v>
      </c>
      <c r="D6" s="837" t="s">
        <v>2883</v>
      </c>
      <c r="E6" s="838"/>
      <c r="F6" s="839"/>
      <c r="G6" s="840" t="s">
        <v>2886</v>
      </c>
      <c r="H6" s="838"/>
      <c r="I6" s="839"/>
      <c r="J6" s="855" t="s">
        <v>2884</v>
      </c>
    </row>
    <row r="7" spans="1:10" s="710" customFormat="1" ht="15" customHeight="1" thickBot="1">
      <c r="A7" s="814"/>
      <c r="B7" s="812"/>
      <c r="C7" s="816"/>
      <c r="D7" s="841" t="s">
        <v>2375</v>
      </c>
      <c r="E7" s="844" t="s">
        <v>2376</v>
      </c>
      <c r="F7" s="847" t="s">
        <v>2377</v>
      </c>
      <c r="G7" s="858" t="s">
        <v>2375</v>
      </c>
      <c r="H7" s="861" t="s">
        <v>2376</v>
      </c>
      <c r="I7" s="847" t="s">
        <v>2377</v>
      </c>
      <c r="J7" s="856"/>
    </row>
    <row r="8" spans="1:10" ht="15">
      <c r="A8" s="761">
        <v>1</v>
      </c>
      <c r="B8" s="794" t="s">
        <v>1767</v>
      </c>
      <c r="C8" s="816"/>
      <c r="D8" s="842"/>
      <c r="E8" s="845"/>
      <c r="F8" s="848"/>
      <c r="G8" s="859"/>
      <c r="H8" s="862"/>
      <c r="I8" s="848"/>
      <c r="J8" s="856"/>
    </row>
    <row r="9" spans="1:10" ht="15" customHeight="1" thickBot="1">
      <c r="A9" s="751">
        <v>1.1000000000000001</v>
      </c>
      <c r="B9" s="786" t="s">
        <v>1768</v>
      </c>
      <c r="C9" s="817"/>
      <c r="D9" s="843"/>
      <c r="E9" s="846"/>
      <c r="F9" s="849"/>
      <c r="G9" s="860"/>
      <c r="H9" s="863"/>
      <c r="I9" s="849"/>
      <c r="J9" s="857"/>
    </row>
    <row r="10" spans="1:10" ht="60">
      <c r="A10" s="749" t="s">
        <v>1769</v>
      </c>
      <c r="B10" s="792" t="s">
        <v>1770</v>
      </c>
      <c r="C10" s="793" t="s">
        <v>37</v>
      </c>
      <c r="D10" s="788">
        <v>9336.4701000000005</v>
      </c>
      <c r="E10" s="789">
        <v>1990.4791</v>
      </c>
      <c r="F10" s="790">
        <f>E10*D10</f>
        <v>18584048.601824909</v>
      </c>
      <c r="G10" s="788">
        <v>9336.4701000000005</v>
      </c>
      <c r="H10" s="789">
        <v>1826.4420500000001</v>
      </c>
      <c r="I10" s="791">
        <f>+H10*G10</f>
        <v>17052521.589207705</v>
      </c>
      <c r="J10" s="787">
        <f>+F10-I10</f>
        <v>1531527.0126172043</v>
      </c>
    </row>
    <row r="11" spans="1:10" ht="60">
      <c r="A11" s="749" t="s">
        <v>26</v>
      </c>
      <c r="B11" s="714" t="s">
        <v>1771</v>
      </c>
      <c r="C11" s="738" t="s">
        <v>28</v>
      </c>
      <c r="D11" s="749">
        <v>1</v>
      </c>
      <c r="E11" s="703">
        <v>10420582.029787233</v>
      </c>
      <c r="F11" s="750">
        <f t="shared" ref="F11:F12" si="0">E11*D11</f>
        <v>10420582.029787233</v>
      </c>
      <c r="G11" s="749">
        <v>1</v>
      </c>
      <c r="H11" s="703">
        <v>9725967.4836879428</v>
      </c>
      <c r="I11" s="768">
        <f t="shared" ref="I11:I74" si="1">+H11*G11</f>
        <v>9725967.4836879428</v>
      </c>
      <c r="J11" s="775">
        <f t="shared" ref="J11:J74" si="2">+F11-I11</f>
        <v>694614.54609929025</v>
      </c>
    </row>
    <row r="12" spans="1:10" ht="60">
      <c r="A12" s="749" t="s">
        <v>48</v>
      </c>
      <c r="B12" s="714" t="s">
        <v>49</v>
      </c>
      <c r="C12" s="738" t="s">
        <v>45</v>
      </c>
      <c r="D12" s="749">
        <v>424.14</v>
      </c>
      <c r="E12" s="703">
        <v>17656.613250000002</v>
      </c>
      <c r="F12" s="750">
        <f t="shared" si="0"/>
        <v>7488875.9438550007</v>
      </c>
      <c r="G12" s="749">
        <v>424.14</v>
      </c>
      <c r="H12" s="703">
        <v>16708.409879999999</v>
      </c>
      <c r="I12" s="768">
        <f t="shared" si="1"/>
        <v>7086704.9665031992</v>
      </c>
      <c r="J12" s="775">
        <f t="shared" si="2"/>
        <v>402170.97735180147</v>
      </c>
    </row>
    <row r="13" spans="1:10" ht="15">
      <c r="A13" s="751">
        <v>3</v>
      </c>
      <c r="B13" s="737" t="s">
        <v>1772</v>
      </c>
      <c r="C13" s="739"/>
      <c r="D13" s="751"/>
      <c r="E13" s="649"/>
      <c r="F13" s="752"/>
      <c r="G13" s="751"/>
      <c r="H13" s="649"/>
      <c r="I13" s="769"/>
      <c r="J13" s="776">
        <f t="shared" si="2"/>
        <v>0</v>
      </c>
    </row>
    <row r="14" spans="1:10" ht="15">
      <c r="A14" s="751" t="s">
        <v>1773</v>
      </c>
      <c r="B14" s="737" t="s">
        <v>1774</v>
      </c>
      <c r="C14" s="739"/>
      <c r="D14" s="751"/>
      <c r="E14" s="649"/>
      <c r="F14" s="752"/>
      <c r="G14" s="751"/>
      <c r="H14" s="649"/>
      <c r="I14" s="769"/>
      <c r="J14" s="776">
        <f t="shared" si="2"/>
        <v>0</v>
      </c>
    </row>
    <row r="15" spans="1:10" ht="45">
      <c r="A15" s="749" t="s">
        <v>56</v>
      </c>
      <c r="B15" s="714" t="s">
        <v>1775</v>
      </c>
      <c r="C15" s="740" t="s">
        <v>37</v>
      </c>
      <c r="D15" s="749">
        <v>54</v>
      </c>
      <c r="E15" s="704">
        <v>274074.80524506496</v>
      </c>
      <c r="F15" s="753">
        <f>ROUND(E15*D15,1)</f>
        <v>14800039.5</v>
      </c>
      <c r="G15" s="749">
        <v>54</v>
      </c>
      <c r="H15" s="704">
        <v>226131.99344361454</v>
      </c>
      <c r="I15" s="770">
        <f t="shared" si="1"/>
        <v>12211127.645955184</v>
      </c>
      <c r="J15" s="777">
        <f t="shared" si="2"/>
        <v>2588911.8540448155</v>
      </c>
    </row>
    <row r="16" spans="1:10" ht="15">
      <c r="A16" s="751" t="s">
        <v>1776</v>
      </c>
      <c r="B16" s="737" t="s">
        <v>1777</v>
      </c>
      <c r="C16" s="739"/>
      <c r="D16" s="751"/>
      <c r="E16" s="649"/>
      <c r="F16" s="752"/>
      <c r="G16" s="751"/>
      <c r="H16" s="649"/>
      <c r="I16" s="769"/>
      <c r="J16" s="776">
        <f t="shared" si="2"/>
        <v>0</v>
      </c>
    </row>
    <row r="17" spans="1:10" ht="195">
      <c r="A17" s="749" t="s">
        <v>69</v>
      </c>
      <c r="B17" s="714" t="s">
        <v>70</v>
      </c>
      <c r="C17" s="738" t="s">
        <v>28</v>
      </c>
      <c r="D17" s="749">
        <v>1</v>
      </c>
      <c r="E17" s="703">
        <v>646607.97875000001</v>
      </c>
      <c r="F17" s="753">
        <f t="shared" ref="F17:F80" si="3">ROUND(E17*D17,1)</f>
        <v>646608</v>
      </c>
      <c r="G17" s="749">
        <v>1</v>
      </c>
      <c r="H17" s="703">
        <v>531256.85250000004</v>
      </c>
      <c r="I17" s="770">
        <f t="shared" si="1"/>
        <v>531256.85250000004</v>
      </c>
      <c r="J17" s="777">
        <f t="shared" si="2"/>
        <v>115351.14749999996</v>
      </c>
    </row>
    <row r="18" spans="1:10" ht="15">
      <c r="A18" s="751" t="s">
        <v>1778</v>
      </c>
      <c r="B18" s="737" t="s">
        <v>1779</v>
      </c>
      <c r="C18" s="739"/>
      <c r="D18" s="751"/>
      <c r="E18" s="649"/>
      <c r="F18" s="752"/>
      <c r="G18" s="751"/>
      <c r="H18" s="649"/>
      <c r="I18" s="769"/>
      <c r="J18" s="776">
        <f t="shared" si="2"/>
        <v>0</v>
      </c>
    </row>
    <row r="19" spans="1:10" ht="75">
      <c r="A19" s="749" t="s">
        <v>79</v>
      </c>
      <c r="B19" s="714" t="s">
        <v>1509</v>
      </c>
      <c r="C19" s="738" t="s">
        <v>37</v>
      </c>
      <c r="D19" s="749">
        <v>21.1</v>
      </c>
      <c r="E19" s="703">
        <v>491351.27699540742</v>
      </c>
      <c r="F19" s="753">
        <f t="shared" si="3"/>
        <v>10367511.9</v>
      </c>
      <c r="G19" s="749">
        <v>21.1</v>
      </c>
      <c r="H19" s="703">
        <v>346993.81038819999</v>
      </c>
      <c r="I19" s="770">
        <f t="shared" si="1"/>
        <v>7321569.3991910201</v>
      </c>
      <c r="J19" s="777">
        <f t="shared" si="2"/>
        <v>3045942.5008089803</v>
      </c>
    </row>
    <row r="20" spans="1:10" ht="90">
      <c r="A20" s="749" t="s">
        <v>86</v>
      </c>
      <c r="B20" s="714" t="s">
        <v>1780</v>
      </c>
      <c r="C20" s="738" t="s">
        <v>37</v>
      </c>
      <c r="D20" s="749">
        <v>13.8245</v>
      </c>
      <c r="E20" s="703">
        <v>204812.93058284058</v>
      </c>
      <c r="F20" s="753">
        <f t="shared" si="3"/>
        <v>2831436.4</v>
      </c>
      <c r="G20" s="749">
        <v>13.8245</v>
      </c>
      <c r="H20" s="703">
        <v>155840.36771284018</v>
      </c>
      <c r="I20" s="770">
        <f t="shared" si="1"/>
        <v>2154415.1634461591</v>
      </c>
      <c r="J20" s="777">
        <f t="shared" si="2"/>
        <v>677021.2365538408</v>
      </c>
    </row>
    <row r="21" spans="1:10" ht="15">
      <c r="A21" s="751" t="s">
        <v>1781</v>
      </c>
      <c r="B21" s="737" t="s">
        <v>1782</v>
      </c>
      <c r="C21" s="739"/>
      <c r="D21" s="751"/>
      <c r="E21" s="649"/>
      <c r="F21" s="752"/>
      <c r="G21" s="751"/>
      <c r="H21" s="649"/>
      <c r="I21" s="769"/>
      <c r="J21" s="776">
        <f t="shared" si="2"/>
        <v>0</v>
      </c>
    </row>
    <row r="22" spans="1:10" ht="90">
      <c r="A22" s="749" t="s">
        <v>88</v>
      </c>
      <c r="B22" s="714" t="s">
        <v>1511</v>
      </c>
      <c r="C22" s="738" t="s">
        <v>37</v>
      </c>
      <c r="D22" s="749">
        <v>52.21</v>
      </c>
      <c r="E22" s="703">
        <v>174617.65054093272</v>
      </c>
      <c r="F22" s="753">
        <f t="shared" si="3"/>
        <v>9116787.5</v>
      </c>
      <c r="G22" s="749">
        <v>52.21</v>
      </c>
      <c r="H22" s="703">
        <v>150695.85386007727</v>
      </c>
      <c r="I22" s="770">
        <f t="shared" si="1"/>
        <v>7867830.5300346343</v>
      </c>
      <c r="J22" s="777">
        <f t="shared" si="2"/>
        <v>1248956.9699653657</v>
      </c>
    </row>
    <row r="23" spans="1:10" ht="15">
      <c r="A23" s="751">
        <v>3.4</v>
      </c>
      <c r="B23" s="737" t="s">
        <v>1783</v>
      </c>
      <c r="C23" s="739"/>
      <c r="D23" s="751"/>
      <c r="E23" s="649"/>
      <c r="F23" s="752"/>
      <c r="G23" s="751"/>
      <c r="H23" s="649"/>
      <c r="I23" s="769"/>
      <c r="J23" s="776">
        <f t="shared" si="2"/>
        <v>0</v>
      </c>
    </row>
    <row r="24" spans="1:10" ht="135">
      <c r="A24" s="749" t="s">
        <v>92</v>
      </c>
      <c r="B24" s="714" t="s">
        <v>1526</v>
      </c>
      <c r="C24" s="738" t="s">
        <v>37</v>
      </c>
      <c r="D24" s="749">
        <v>46.35</v>
      </c>
      <c r="E24" s="703">
        <v>320136.23355314892</v>
      </c>
      <c r="F24" s="753">
        <f t="shared" si="3"/>
        <v>14838314.4</v>
      </c>
      <c r="G24" s="749">
        <v>46.35</v>
      </c>
      <c r="H24" s="703">
        <v>275299.20694628509</v>
      </c>
      <c r="I24" s="770">
        <f t="shared" si="1"/>
        <v>12760118.241960315</v>
      </c>
      <c r="J24" s="777">
        <f t="shared" si="2"/>
        <v>2078196.1580396853</v>
      </c>
    </row>
    <row r="25" spans="1:10" ht="15">
      <c r="A25" s="751">
        <v>3.5</v>
      </c>
      <c r="B25" s="737" t="s">
        <v>1784</v>
      </c>
      <c r="C25" s="739"/>
      <c r="D25" s="751"/>
      <c r="E25" s="649"/>
      <c r="F25" s="752"/>
      <c r="G25" s="751"/>
      <c r="H25" s="649"/>
      <c r="I25" s="769"/>
      <c r="J25" s="776">
        <f t="shared" si="2"/>
        <v>0</v>
      </c>
    </row>
    <row r="26" spans="1:10" ht="135">
      <c r="A26" s="749" t="s">
        <v>99</v>
      </c>
      <c r="B26" s="714" t="s">
        <v>1527</v>
      </c>
      <c r="C26" s="738" t="s">
        <v>100</v>
      </c>
      <c r="D26" s="749">
        <v>27.503999999999998</v>
      </c>
      <c r="E26" s="703">
        <v>123163.07903752127</v>
      </c>
      <c r="F26" s="753">
        <f t="shared" si="3"/>
        <v>3387477.3</v>
      </c>
      <c r="G26" s="749">
        <v>27.503999999999998</v>
      </c>
      <c r="H26" s="703">
        <v>109542.99990787129</v>
      </c>
      <c r="I26" s="770">
        <f t="shared" si="1"/>
        <v>3012870.6694660918</v>
      </c>
      <c r="J26" s="777">
        <f t="shared" si="2"/>
        <v>374606.63053390803</v>
      </c>
    </row>
    <row r="27" spans="1:10" ht="120">
      <c r="A27" s="749" t="s">
        <v>105</v>
      </c>
      <c r="B27" s="714" t="s">
        <v>1528</v>
      </c>
      <c r="C27" s="738" t="s">
        <v>100</v>
      </c>
      <c r="D27" s="749">
        <v>80.739599999999996</v>
      </c>
      <c r="E27" s="703">
        <v>99565.346709935082</v>
      </c>
      <c r="F27" s="753">
        <f t="shared" si="3"/>
        <v>8038866.2999999998</v>
      </c>
      <c r="G27" s="749">
        <v>80.739599999999996</v>
      </c>
      <c r="H27" s="703">
        <v>88653.041718216104</v>
      </c>
      <c r="I27" s="770">
        <f t="shared" si="1"/>
        <v>7157811.1271120803</v>
      </c>
      <c r="J27" s="777">
        <f t="shared" si="2"/>
        <v>881055.17288791947</v>
      </c>
    </row>
    <row r="28" spans="1:10" ht="15">
      <c r="A28" s="751">
        <v>3.6</v>
      </c>
      <c r="B28" s="737" t="s">
        <v>1785</v>
      </c>
      <c r="C28" s="739"/>
      <c r="D28" s="751"/>
      <c r="E28" s="649"/>
      <c r="F28" s="752"/>
      <c r="G28" s="751"/>
      <c r="H28" s="649"/>
      <c r="I28" s="769">
        <f t="shared" si="1"/>
        <v>0</v>
      </c>
      <c r="J28" s="776">
        <f t="shared" si="2"/>
        <v>0</v>
      </c>
    </row>
    <row r="29" spans="1:10" ht="105">
      <c r="A29" s="749" t="s">
        <v>106</v>
      </c>
      <c r="B29" s="714" t="s">
        <v>1529</v>
      </c>
      <c r="C29" s="738" t="s">
        <v>37</v>
      </c>
      <c r="D29" s="749">
        <v>0.86240000000000017</v>
      </c>
      <c r="E29" s="703">
        <v>242591.39465541649</v>
      </c>
      <c r="F29" s="753">
        <f t="shared" si="3"/>
        <v>209210.8</v>
      </c>
      <c r="G29" s="749">
        <v>0.86240000000000017</v>
      </c>
      <c r="H29" s="703">
        <v>181723.60075984561</v>
      </c>
      <c r="I29" s="770">
        <f t="shared" si="1"/>
        <v>156718.43329529089</v>
      </c>
      <c r="J29" s="777">
        <f t="shared" si="2"/>
        <v>52492.3667047091</v>
      </c>
    </row>
    <row r="30" spans="1:10" ht="15">
      <c r="A30" s="751">
        <v>3.7</v>
      </c>
      <c r="B30" s="737" t="s">
        <v>1786</v>
      </c>
      <c r="C30" s="739"/>
      <c r="D30" s="751"/>
      <c r="E30" s="649"/>
      <c r="F30" s="752"/>
      <c r="G30" s="751"/>
      <c r="H30" s="649"/>
      <c r="I30" s="769">
        <f t="shared" si="1"/>
        <v>0</v>
      </c>
      <c r="J30" s="776">
        <f t="shared" si="2"/>
        <v>0</v>
      </c>
    </row>
    <row r="31" spans="1:10" ht="135">
      <c r="A31" s="749" t="s">
        <v>108</v>
      </c>
      <c r="B31" s="714" t="s">
        <v>1530</v>
      </c>
      <c r="C31" s="738" t="s">
        <v>37</v>
      </c>
      <c r="D31" s="749">
        <v>47.69</v>
      </c>
      <c r="E31" s="705">
        <v>160299.57100875</v>
      </c>
      <c r="F31" s="753">
        <f t="shared" si="3"/>
        <v>7644686.5</v>
      </c>
      <c r="G31" s="749">
        <v>47.69</v>
      </c>
      <c r="H31" s="705">
        <v>150424.83571500002</v>
      </c>
      <c r="I31" s="770">
        <f t="shared" si="1"/>
        <v>7173760.4152483512</v>
      </c>
      <c r="J31" s="777">
        <f t="shared" si="2"/>
        <v>470926.08475164883</v>
      </c>
    </row>
    <row r="32" spans="1:10" ht="15">
      <c r="A32" s="751">
        <v>5</v>
      </c>
      <c r="B32" s="737" t="s">
        <v>1787</v>
      </c>
      <c r="C32" s="739"/>
      <c r="D32" s="751"/>
      <c r="E32" s="649"/>
      <c r="F32" s="752"/>
      <c r="G32" s="751"/>
      <c r="H32" s="649"/>
      <c r="I32" s="769">
        <f t="shared" si="1"/>
        <v>0</v>
      </c>
      <c r="J32" s="776">
        <f t="shared" si="2"/>
        <v>0</v>
      </c>
    </row>
    <row r="33" spans="1:10 16307:16312" ht="15">
      <c r="A33" s="751" t="s">
        <v>1788</v>
      </c>
      <c r="B33" s="737" t="s">
        <v>1789</v>
      </c>
      <c r="C33" s="739"/>
      <c r="D33" s="751"/>
      <c r="E33" s="649"/>
      <c r="F33" s="752"/>
      <c r="G33" s="751"/>
      <c r="H33" s="649"/>
      <c r="I33" s="769">
        <f t="shared" si="1"/>
        <v>0</v>
      </c>
      <c r="J33" s="776">
        <f t="shared" si="2"/>
        <v>0</v>
      </c>
    </row>
    <row r="34" spans="1:10 16307:16312" ht="105">
      <c r="A34" s="749" t="s">
        <v>1790</v>
      </c>
      <c r="B34" s="714" t="s">
        <v>1791</v>
      </c>
      <c r="C34" s="738" t="s">
        <v>39</v>
      </c>
      <c r="D34" s="754">
        <v>5.6896213428000006</v>
      </c>
      <c r="E34" s="703">
        <v>597468.02856875001</v>
      </c>
      <c r="F34" s="753">
        <f t="shared" si="3"/>
        <v>3399366.8</v>
      </c>
      <c r="G34" s="754">
        <v>5.6896213428000006</v>
      </c>
      <c r="H34" s="703">
        <v>456175.86335000006</v>
      </c>
      <c r="I34" s="770">
        <f t="shared" si="1"/>
        <v>2595467.928186377</v>
      </c>
      <c r="J34" s="777">
        <f t="shared" si="2"/>
        <v>803898.87181362277</v>
      </c>
    </row>
    <row r="35" spans="1:10 16307:16312" ht="15">
      <c r="A35" s="751" t="s">
        <v>1792</v>
      </c>
      <c r="B35" s="737" t="s">
        <v>1793</v>
      </c>
      <c r="C35" s="739"/>
      <c r="D35" s="751"/>
      <c r="E35" s="649"/>
      <c r="F35" s="752"/>
      <c r="G35" s="751"/>
      <c r="H35" s="649"/>
      <c r="I35" s="769">
        <f t="shared" si="1"/>
        <v>0</v>
      </c>
      <c r="J35" s="776">
        <f t="shared" si="2"/>
        <v>0</v>
      </c>
    </row>
    <row r="36" spans="1:10 16307:16312" ht="15">
      <c r="A36" s="751" t="s">
        <v>1794</v>
      </c>
      <c r="B36" s="737" t="s">
        <v>1795</v>
      </c>
      <c r="C36" s="739"/>
      <c r="D36" s="751"/>
      <c r="E36" s="649"/>
      <c r="F36" s="752"/>
      <c r="G36" s="751"/>
      <c r="H36" s="649"/>
      <c r="I36" s="769">
        <f t="shared" si="1"/>
        <v>0</v>
      </c>
      <c r="J36" s="776">
        <f t="shared" si="2"/>
        <v>0</v>
      </c>
    </row>
    <row r="37" spans="1:10 16307:16312" ht="225">
      <c r="A37" s="749" t="s">
        <v>110</v>
      </c>
      <c r="B37" s="714" t="s">
        <v>111</v>
      </c>
      <c r="C37" s="738" t="s">
        <v>37</v>
      </c>
      <c r="D37" s="749">
        <v>48.91</v>
      </c>
      <c r="E37" s="703">
        <v>120592.15996624999</v>
      </c>
      <c r="F37" s="753">
        <f t="shared" si="3"/>
        <v>5898162.5</v>
      </c>
      <c r="G37" s="749">
        <v>48.91</v>
      </c>
      <c r="H37" s="703">
        <v>88025.526035000003</v>
      </c>
      <c r="I37" s="770">
        <f t="shared" si="1"/>
        <v>4305328.4783718502</v>
      </c>
      <c r="J37" s="777">
        <f t="shared" si="2"/>
        <v>1592834.0216281498</v>
      </c>
    </row>
    <row r="38" spans="1:10 16307:16312" ht="225">
      <c r="A38" s="749" t="s">
        <v>116</v>
      </c>
      <c r="B38" s="714" t="s">
        <v>117</v>
      </c>
      <c r="C38" s="738" t="s">
        <v>37</v>
      </c>
      <c r="D38" s="749">
        <v>4.0999999999999996</v>
      </c>
      <c r="E38" s="703">
        <v>125891.1892525</v>
      </c>
      <c r="F38" s="753">
        <f t="shared" si="3"/>
        <v>516153.9</v>
      </c>
      <c r="G38" s="749">
        <v>4.0999999999999996</v>
      </c>
      <c r="H38" s="703">
        <v>82752.900789999985</v>
      </c>
      <c r="I38" s="770">
        <f t="shared" si="1"/>
        <v>339286.89323899988</v>
      </c>
      <c r="J38" s="777">
        <f t="shared" si="2"/>
        <v>176867.00676100014</v>
      </c>
    </row>
    <row r="39" spans="1:10 16307:16312" ht="15">
      <c r="A39" s="751" t="s">
        <v>1796</v>
      </c>
      <c r="B39" s="737" t="s">
        <v>1797</v>
      </c>
      <c r="C39" s="739"/>
      <c r="D39" s="751"/>
      <c r="E39" s="649"/>
      <c r="F39" s="752"/>
      <c r="G39" s="751"/>
      <c r="H39" s="649"/>
      <c r="I39" s="769">
        <f t="shared" si="1"/>
        <v>0</v>
      </c>
      <c r="J39" s="776">
        <f t="shared" si="2"/>
        <v>0</v>
      </c>
    </row>
    <row r="40" spans="1:10 16307:16312" ht="90">
      <c r="A40" s="749" t="s">
        <v>120</v>
      </c>
      <c r="B40" s="714" t="s">
        <v>121</v>
      </c>
      <c r="C40" s="738" t="s">
        <v>37</v>
      </c>
      <c r="D40" s="749">
        <v>83.42</v>
      </c>
      <c r="E40" s="705">
        <v>96956.66932500001</v>
      </c>
      <c r="F40" s="753">
        <f t="shared" si="3"/>
        <v>8088125.4000000004</v>
      </c>
      <c r="G40" s="749">
        <v>83.42</v>
      </c>
      <c r="H40" s="705">
        <v>78990.549825000009</v>
      </c>
      <c r="I40" s="770">
        <f t="shared" si="1"/>
        <v>6589391.6664015008</v>
      </c>
      <c r="J40" s="777">
        <f t="shared" si="2"/>
        <v>1498733.7335984996</v>
      </c>
    </row>
    <row r="41" spans="1:10 16307:16312" ht="90">
      <c r="A41" s="766" t="s">
        <v>128</v>
      </c>
      <c r="B41" s="714" t="s">
        <v>129</v>
      </c>
      <c r="C41" s="738" t="s">
        <v>37</v>
      </c>
      <c r="D41" s="749">
        <v>38.370000000000005</v>
      </c>
      <c r="E41" s="705">
        <v>126256.85341375001</v>
      </c>
      <c r="F41" s="753">
        <f t="shared" si="3"/>
        <v>4844475.5</v>
      </c>
      <c r="G41" s="749">
        <v>38.370000000000005</v>
      </c>
      <c r="H41" s="705">
        <v>110007.96637000001</v>
      </c>
      <c r="I41" s="770">
        <f t="shared" si="1"/>
        <v>4221005.6696169013</v>
      </c>
      <c r="J41" s="777">
        <f t="shared" si="2"/>
        <v>623469.83038309868</v>
      </c>
    </row>
    <row r="42" spans="1:10 16307:16312" ht="225">
      <c r="A42" s="749" t="s">
        <v>132</v>
      </c>
      <c r="B42" s="714" t="s">
        <v>133</v>
      </c>
      <c r="C42" s="738" t="s">
        <v>37</v>
      </c>
      <c r="D42" s="749">
        <v>29.335999999999999</v>
      </c>
      <c r="E42" s="705">
        <v>129303.23925249999</v>
      </c>
      <c r="F42" s="753">
        <f t="shared" si="3"/>
        <v>3793239.8</v>
      </c>
      <c r="G42" s="749">
        <v>29.335999999999999</v>
      </c>
      <c r="H42" s="705">
        <v>85957.950789999988</v>
      </c>
      <c r="I42" s="770">
        <f t="shared" si="1"/>
        <v>2521662.4443754395</v>
      </c>
      <c r="J42" s="777">
        <f t="shared" si="2"/>
        <v>1271577.3556245603</v>
      </c>
    </row>
    <row r="43" spans="1:10 16307:16312" ht="225">
      <c r="A43" s="749" t="s">
        <v>135</v>
      </c>
      <c r="B43" s="714" t="s">
        <v>136</v>
      </c>
      <c r="C43" s="738" t="s">
        <v>37</v>
      </c>
      <c r="D43" s="749">
        <v>42.861700000000006</v>
      </c>
      <c r="E43" s="705">
        <v>129595.14030249999</v>
      </c>
      <c r="F43" s="753">
        <f t="shared" si="3"/>
        <v>5554668</v>
      </c>
      <c r="G43" s="749">
        <v>42.861700000000006</v>
      </c>
      <c r="H43" s="705">
        <v>86126.68683999998</v>
      </c>
      <c r="I43" s="770">
        <f t="shared" si="1"/>
        <v>3691536.2133300276</v>
      </c>
      <c r="J43" s="777">
        <f t="shared" si="2"/>
        <v>1863131.7866699724</v>
      </c>
    </row>
    <row r="44" spans="1:10 16307:16312" ht="225">
      <c r="A44" s="749" t="s">
        <v>138</v>
      </c>
      <c r="B44" s="714" t="s">
        <v>139</v>
      </c>
      <c r="C44" s="738" t="s">
        <v>37</v>
      </c>
      <c r="D44" s="749">
        <v>74.142399999999981</v>
      </c>
      <c r="E44" s="705">
        <v>120592.15996624999</v>
      </c>
      <c r="F44" s="753">
        <f t="shared" si="3"/>
        <v>8940992.1999999993</v>
      </c>
      <c r="G44" s="749">
        <v>74.142399999999981</v>
      </c>
      <c r="H44" s="705">
        <v>88025.526035000003</v>
      </c>
      <c r="I44" s="770">
        <f t="shared" si="1"/>
        <v>6526423.7614973821</v>
      </c>
      <c r="J44" s="777">
        <f t="shared" si="2"/>
        <v>2414568.4385026172</v>
      </c>
    </row>
    <row r="45" spans="1:10 16307:16312" ht="225">
      <c r="A45" s="749" t="s">
        <v>141</v>
      </c>
      <c r="B45" s="714" t="s">
        <v>142</v>
      </c>
      <c r="C45" s="738" t="s">
        <v>37</v>
      </c>
      <c r="D45" s="749">
        <v>41.01700000000001</v>
      </c>
      <c r="E45" s="705">
        <v>128989.12790375001</v>
      </c>
      <c r="F45" s="753">
        <f t="shared" si="3"/>
        <v>5290747.0999999996</v>
      </c>
      <c r="G45" s="749">
        <v>41.01700000000001</v>
      </c>
      <c r="H45" s="705">
        <v>89620.991472499998</v>
      </c>
      <c r="I45" s="770">
        <f t="shared" si="1"/>
        <v>3675984.2072275332</v>
      </c>
      <c r="J45" s="777">
        <f t="shared" si="2"/>
        <v>1614762.8927724664</v>
      </c>
    </row>
    <row r="46" spans="1:10 16307:16312" ht="225">
      <c r="A46" s="749" t="s">
        <v>143</v>
      </c>
      <c r="B46" s="714" t="s">
        <v>144</v>
      </c>
      <c r="C46" s="738" t="s">
        <v>37</v>
      </c>
      <c r="D46" s="749">
        <v>5.384500000000001</v>
      </c>
      <c r="E46" s="705">
        <v>120592.15996624999</v>
      </c>
      <c r="F46" s="753">
        <f t="shared" si="3"/>
        <v>649328.5</v>
      </c>
      <c r="G46" s="749">
        <v>5.384500000000001</v>
      </c>
      <c r="H46" s="705">
        <v>81233.338535000003</v>
      </c>
      <c r="I46" s="770">
        <f t="shared" si="1"/>
        <v>437400.91134170757</v>
      </c>
      <c r="J46" s="777">
        <f t="shared" si="2"/>
        <v>211927.58865829243</v>
      </c>
    </row>
    <row r="47" spans="1:10 16307:16312" ht="150">
      <c r="A47" s="749" t="s">
        <v>146</v>
      </c>
      <c r="B47" s="714" t="s">
        <v>147</v>
      </c>
      <c r="C47" s="738" t="s">
        <v>28</v>
      </c>
      <c r="D47" s="749">
        <v>1</v>
      </c>
      <c r="E47" s="705">
        <v>37237364</v>
      </c>
      <c r="F47" s="753">
        <f t="shared" si="3"/>
        <v>37237364</v>
      </c>
      <c r="G47" s="749">
        <v>1</v>
      </c>
      <c r="H47" s="705">
        <v>30073128</v>
      </c>
      <c r="I47" s="770">
        <f t="shared" si="1"/>
        <v>30073128</v>
      </c>
      <c r="J47" s="777">
        <f t="shared" si="2"/>
        <v>7164236</v>
      </c>
      <c r="XCE47" s="709" t="s">
        <v>2455</v>
      </c>
      <c r="XCJ47" s="711"/>
    </row>
    <row r="48" spans="1:10 16307:16312" ht="165">
      <c r="A48" s="749" t="s">
        <v>148</v>
      </c>
      <c r="B48" s="714" t="s">
        <v>149</v>
      </c>
      <c r="C48" s="738" t="s">
        <v>28</v>
      </c>
      <c r="D48" s="749">
        <v>1</v>
      </c>
      <c r="E48" s="705">
        <v>6663884</v>
      </c>
      <c r="F48" s="753">
        <f t="shared" si="3"/>
        <v>6663884</v>
      </c>
      <c r="G48" s="749">
        <v>1</v>
      </c>
      <c r="H48" s="705">
        <v>6639648</v>
      </c>
      <c r="I48" s="770">
        <f t="shared" si="1"/>
        <v>6639648</v>
      </c>
      <c r="J48" s="777">
        <f t="shared" si="2"/>
        <v>24236</v>
      </c>
    </row>
    <row r="49" spans="1:10" ht="135">
      <c r="A49" s="749" t="s">
        <v>151</v>
      </c>
      <c r="B49" s="714" t="s">
        <v>152</v>
      </c>
      <c r="C49" s="738" t="s">
        <v>28</v>
      </c>
      <c r="D49" s="749">
        <v>1</v>
      </c>
      <c r="E49" s="705">
        <v>3845964</v>
      </c>
      <c r="F49" s="753">
        <f t="shared" si="3"/>
        <v>3845964</v>
      </c>
      <c r="G49" s="749">
        <v>1</v>
      </c>
      <c r="H49" s="705">
        <v>3583728</v>
      </c>
      <c r="I49" s="770">
        <f t="shared" si="1"/>
        <v>3583728</v>
      </c>
      <c r="J49" s="777">
        <f t="shared" si="2"/>
        <v>262236</v>
      </c>
    </row>
    <row r="50" spans="1:10" ht="135">
      <c r="A50" s="749" t="s">
        <v>154</v>
      </c>
      <c r="B50" s="714" t="s">
        <v>155</v>
      </c>
      <c r="C50" s="738" t="s">
        <v>28</v>
      </c>
      <c r="D50" s="749">
        <v>1</v>
      </c>
      <c r="E50" s="705">
        <v>2596464</v>
      </c>
      <c r="F50" s="753">
        <f t="shared" si="3"/>
        <v>2596464</v>
      </c>
      <c r="G50" s="749">
        <v>1</v>
      </c>
      <c r="H50" s="705">
        <v>2334228</v>
      </c>
      <c r="I50" s="770">
        <f t="shared" si="1"/>
        <v>2334228</v>
      </c>
      <c r="J50" s="777">
        <f t="shared" si="2"/>
        <v>262236</v>
      </c>
    </row>
    <row r="51" spans="1:10" ht="135">
      <c r="A51" s="749" t="s">
        <v>157</v>
      </c>
      <c r="B51" s="714" t="s">
        <v>158</v>
      </c>
      <c r="C51" s="738" t="s">
        <v>28</v>
      </c>
      <c r="D51" s="749">
        <v>1</v>
      </c>
      <c r="E51" s="705">
        <v>4839614</v>
      </c>
      <c r="F51" s="753">
        <f t="shared" si="3"/>
        <v>4839614</v>
      </c>
      <c r="G51" s="749">
        <v>1</v>
      </c>
      <c r="H51" s="705">
        <v>4458378</v>
      </c>
      <c r="I51" s="770">
        <f t="shared" si="1"/>
        <v>4458378</v>
      </c>
      <c r="J51" s="777">
        <f t="shared" si="2"/>
        <v>381236</v>
      </c>
    </row>
    <row r="52" spans="1:10" ht="165">
      <c r="A52" s="749" t="s">
        <v>160</v>
      </c>
      <c r="B52" s="714" t="s">
        <v>161</v>
      </c>
      <c r="C52" s="738" t="s">
        <v>100</v>
      </c>
      <c r="D52" s="749">
        <v>12.49</v>
      </c>
      <c r="E52" s="705">
        <v>1003301.3318654924</v>
      </c>
      <c r="F52" s="753">
        <f t="shared" si="3"/>
        <v>12531233.6</v>
      </c>
      <c r="G52" s="749">
        <v>12.49</v>
      </c>
      <c r="H52" s="705">
        <v>975157.58767013613</v>
      </c>
      <c r="I52" s="770">
        <f t="shared" si="1"/>
        <v>12179718.27</v>
      </c>
      <c r="J52" s="777">
        <f t="shared" si="2"/>
        <v>351515.33000000007</v>
      </c>
    </row>
    <row r="53" spans="1:10" ht="120">
      <c r="A53" s="749" t="s">
        <v>163</v>
      </c>
      <c r="B53" s="714" t="s">
        <v>164</v>
      </c>
      <c r="C53" s="738" t="s">
        <v>37</v>
      </c>
      <c r="D53" s="749">
        <v>29.37</v>
      </c>
      <c r="E53" s="705">
        <v>1061011.5</v>
      </c>
      <c r="F53" s="753">
        <f t="shared" si="3"/>
        <v>31161907.800000001</v>
      </c>
      <c r="G53" s="749">
        <v>29.37</v>
      </c>
      <c r="H53" s="705">
        <v>731923</v>
      </c>
      <c r="I53" s="770">
        <f t="shared" si="1"/>
        <v>21496578.510000002</v>
      </c>
      <c r="J53" s="777">
        <f t="shared" si="2"/>
        <v>9665329.2899999991</v>
      </c>
    </row>
    <row r="54" spans="1:10" ht="75">
      <c r="A54" s="749" t="s">
        <v>165</v>
      </c>
      <c r="B54" s="714" t="s">
        <v>166</v>
      </c>
      <c r="C54" s="738" t="s">
        <v>100</v>
      </c>
      <c r="D54" s="749">
        <v>7.2</v>
      </c>
      <c r="E54" s="703">
        <v>47260.207365803566</v>
      </c>
      <c r="F54" s="753">
        <f t="shared" si="3"/>
        <v>340273.5</v>
      </c>
      <c r="G54" s="749">
        <v>7.2</v>
      </c>
      <c r="H54" s="703">
        <v>37385.493611785714</v>
      </c>
      <c r="I54" s="770">
        <f t="shared" si="1"/>
        <v>269175.55400485714</v>
      </c>
      <c r="J54" s="777">
        <f t="shared" si="2"/>
        <v>71097.945995142858</v>
      </c>
    </row>
    <row r="55" spans="1:10" ht="165">
      <c r="A55" s="749" t="s">
        <v>174</v>
      </c>
      <c r="B55" s="714" t="s">
        <v>175</v>
      </c>
      <c r="C55" s="738" t="s">
        <v>100</v>
      </c>
      <c r="D55" s="749">
        <v>199.50000000000003</v>
      </c>
      <c r="E55" s="703">
        <v>64692.948502499996</v>
      </c>
      <c r="F55" s="753">
        <f t="shared" si="3"/>
        <v>12906243.199999999</v>
      </c>
      <c r="G55" s="749">
        <v>199.50000000000003</v>
      </c>
      <c r="H55" s="703">
        <v>51554.998364999999</v>
      </c>
      <c r="I55" s="770">
        <f t="shared" si="1"/>
        <v>10285222.1738175</v>
      </c>
      <c r="J55" s="777">
        <f t="shared" si="2"/>
        <v>2621021.0261824988</v>
      </c>
    </row>
    <row r="56" spans="1:10" ht="195">
      <c r="A56" s="749" t="s">
        <v>178</v>
      </c>
      <c r="B56" s="714" t="s">
        <v>1798</v>
      </c>
      <c r="C56" s="738" t="s">
        <v>100</v>
      </c>
      <c r="D56" s="749">
        <v>1024.4199999999992</v>
      </c>
      <c r="E56" s="703">
        <v>33641.532500000001</v>
      </c>
      <c r="F56" s="753">
        <f t="shared" si="3"/>
        <v>34463058.700000003</v>
      </c>
      <c r="G56" s="749">
        <v>1024.4199999999992</v>
      </c>
      <c r="H56" s="703">
        <v>27395.147499999999</v>
      </c>
      <c r="I56" s="770">
        <f t="shared" si="1"/>
        <v>28064137.001949977</v>
      </c>
      <c r="J56" s="777">
        <f t="shared" si="2"/>
        <v>6398921.6980500259</v>
      </c>
    </row>
    <row r="57" spans="1:10" ht="75">
      <c r="A57" s="749" t="s">
        <v>181</v>
      </c>
      <c r="B57" s="714" t="s">
        <v>182</v>
      </c>
      <c r="C57" s="738" t="s">
        <v>37</v>
      </c>
      <c r="D57" s="754">
        <v>6.0584999999999996</v>
      </c>
      <c r="E57" s="705">
        <v>193497.11825733332</v>
      </c>
      <c r="F57" s="753">
        <f t="shared" si="3"/>
        <v>1172302.3</v>
      </c>
      <c r="G57" s="754">
        <v>6.0584999999999996</v>
      </c>
      <c r="H57" s="705">
        <v>150152.90154066664</v>
      </c>
      <c r="I57" s="770">
        <f t="shared" si="1"/>
        <v>909701.3539841288</v>
      </c>
      <c r="J57" s="777">
        <f t="shared" si="2"/>
        <v>262600.94601587125</v>
      </c>
    </row>
    <row r="58" spans="1:10" ht="60">
      <c r="A58" s="749" t="s">
        <v>184</v>
      </c>
      <c r="B58" s="714" t="s">
        <v>185</v>
      </c>
      <c r="C58" s="738" t="s">
        <v>100</v>
      </c>
      <c r="D58" s="749">
        <v>135.27000000000001</v>
      </c>
      <c r="E58" s="703">
        <v>35864.605035187502</v>
      </c>
      <c r="F58" s="753">
        <f t="shared" si="3"/>
        <v>4851405.0999999996</v>
      </c>
      <c r="G58" s="749">
        <v>135.27000000000001</v>
      </c>
      <c r="H58" s="703">
        <v>34343.473366124999</v>
      </c>
      <c r="I58" s="770">
        <f t="shared" si="1"/>
        <v>4645641.6422357289</v>
      </c>
      <c r="J58" s="777">
        <f t="shared" si="2"/>
        <v>205763.45776427072</v>
      </c>
    </row>
    <row r="59" spans="1:10" ht="15">
      <c r="A59" s="751" t="s">
        <v>1799</v>
      </c>
      <c r="B59" s="737" t="s">
        <v>1800</v>
      </c>
      <c r="C59" s="739"/>
      <c r="D59" s="751"/>
      <c r="E59" s="649"/>
      <c r="F59" s="752"/>
      <c r="G59" s="751"/>
      <c r="H59" s="649"/>
      <c r="I59" s="769">
        <f t="shared" si="1"/>
        <v>0</v>
      </c>
      <c r="J59" s="776">
        <f t="shared" si="2"/>
        <v>0</v>
      </c>
    </row>
    <row r="60" spans="1:10" ht="90">
      <c r="A60" s="749" t="s">
        <v>192</v>
      </c>
      <c r="B60" s="714" t="s">
        <v>193</v>
      </c>
      <c r="C60" s="738" t="s">
        <v>37</v>
      </c>
      <c r="D60" s="749">
        <v>56.872</v>
      </c>
      <c r="E60" s="705">
        <v>126256.85341375001</v>
      </c>
      <c r="F60" s="753">
        <f t="shared" si="3"/>
        <v>7180479.7999999998</v>
      </c>
      <c r="G60" s="749">
        <v>56.872</v>
      </c>
      <c r="H60" s="705">
        <v>110007.96637000001</v>
      </c>
      <c r="I60" s="770">
        <f t="shared" si="1"/>
        <v>6256373.0633946406</v>
      </c>
      <c r="J60" s="777">
        <f t="shared" si="2"/>
        <v>924106.73660535924</v>
      </c>
    </row>
    <row r="61" spans="1:10" ht="90">
      <c r="A61" s="749" t="s">
        <v>194</v>
      </c>
      <c r="B61" s="714" t="s">
        <v>121</v>
      </c>
      <c r="C61" s="738" t="s">
        <v>37</v>
      </c>
      <c r="D61" s="755">
        <v>79.265999999999991</v>
      </c>
      <c r="E61" s="705">
        <v>96956.66932500001</v>
      </c>
      <c r="F61" s="753">
        <f t="shared" si="3"/>
        <v>7685367.4000000004</v>
      </c>
      <c r="G61" s="755">
        <v>79.265999999999991</v>
      </c>
      <c r="H61" s="705">
        <v>78990.549825000009</v>
      </c>
      <c r="I61" s="770">
        <f t="shared" si="1"/>
        <v>6261264.9224284496</v>
      </c>
      <c r="J61" s="777">
        <f t="shared" si="2"/>
        <v>1424102.4775715508</v>
      </c>
    </row>
    <row r="62" spans="1:10" ht="75">
      <c r="A62" s="749" t="s">
        <v>195</v>
      </c>
      <c r="B62" s="714" t="s">
        <v>196</v>
      </c>
      <c r="C62" s="738" t="s">
        <v>37</v>
      </c>
      <c r="D62" s="754">
        <v>6.2968999999999999</v>
      </c>
      <c r="E62" s="705">
        <v>78225.326527500001</v>
      </c>
      <c r="F62" s="753">
        <f t="shared" si="3"/>
        <v>492577.1</v>
      </c>
      <c r="G62" s="754">
        <v>6.2968999999999999</v>
      </c>
      <c r="H62" s="705">
        <v>66297.943889999995</v>
      </c>
      <c r="I62" s="770">
        <f t="shared" si="1"/>
        <v>417471.52288094099</v>
      </c>
      <c r="J62" s="777">
        <f t="shared" si="2"/>
        <v>75105.577119058988</v>
      </c>
    </row>
    <row r="63" spans="1:10" ht="225">
      <c r="A63" s="749" t="s">
        <v>198</v>
      </c>
      <c r="B63" s="714" t="s">
        <v>199</v>
      </c>
      <c r="C63" s="738" t="s">
        <v>37</v>
      </c>
      <c r="D63" s="754">
        <v>6.5869999999999997</v>
      </c>
      <c r="E63" s="705">
        <v>132844.28300250001</v>
      </c>
      <c r="F63" s="753">
        <f t="shared" si="3"/>
        <v>875045.3</v>
      </c>
      <c r="G63" s="754">
        <v>6.5869999999999997</v>
      </c>
      <c r="H63" s="705">
        <v>88772.977364999999</v>
      </c>
      <c r="I63" s="770">
        <f t="shared" si="1"/>
        <v>584747.60190325498</v>
      </c>
      <c r="J63" s="777">
        <f t="shared" si="2"/>
        <v>290297.69809674507</v>
      </c>
    </row>
    <row r="64" spans="1:10" ht="225">
      <c r="A64" s="749" t="s">
        <v>200</v>
      </c>
      <c r="B64" s="714" t="s">
        <v>201</v>
      </c>
      <c r="C64" s="738" t="s">
        <v>37</v>
      </c>
      <c r="D64" s="749">
        <v>175.34300000000005</v>
      </c>
      <c r="E64" s="705">
        <v>132844.28300250001</v>
      </c>
      <c r="F64" s="753">
        <f t="shared" si="3"/>
        <v>23293315.100000001</v>
      </c>
      <c r="G64" s="749">
        <v>175.34300000000005</v>
      </c>
      <c r="H64" s="705">
        <v>88772.977364999999</v>
      </c>
      <c r="I64" s="770">
        <f t="shared" si="1"/>
        <v>15565720.170111198</v>
      </c>
      <c r="J64" s="777">
        <f t="shared" si="2"/>
        <v>7727594.9298888035</v>
      </c>
    </row>
    <row r="65" spans="1:10" ht="225">
      <c r="A65" s="749" t="s">
        <v>202</v>
      </c>
      <c r="B65" s="714" t="s">
        <v>139</v>
      </c>
      <c r="C65" s="738" t="s">
        <v>37</v>
      </c>
      <c r="D65" s="754">
        <v>148.87230000000005</v>
      </c>
      <c r="E65" s="705">
        <v>120592.15996624999</v>
      </c>
      <c r="F65" s="753">
        <f t="shared" si="3"/>
        <v>17952832.199999999</v>
      </c>
      <c r="G65" s="754">
        <v>148.87230000000005</v>
      </c>
      <c r="H65" s="705">
        <v>88025.526035000003</v>
      </c>
      <c r="I65" s="770">
        <f t="shared" si="1"/>
        <v>13104562.519540336</v>
      </c>
      <c r="J65" s="777">
        <f t="shared" si="2"/>
        <v>4848269.6804596633</v>
      </c>
    </row>
    <row r="66" spans="1:10" ht="225">
      <c r="A66" s="749" t="s">
        <v>203</v>
      </c>
      <c r="B66" s="714" t="s">
        <v>142</v>
      </c>
      <c r="C66" s="738" t="s">
        <v>37</v>
      </c>
      <c r="D66" s="754">
        <v>15.4389</v>
      </c>
      <c r="E66" s="705">
        <v>128989.12790375001</v>
      </c>
      <c r="F66" s="753">
        <f t="shared" si="3"/>
        <v>1991450.2</v>
      </c>
      <c r="G66" s="754">
        <v>15.4389</v>
      </c>
      <c r="H66" s="705">
        <v>89620.991472499998</v>
      </c>
      <c r="I66" s="770">
        <f t="shared" si="1"/>
        <v>1383649.5252447804</v>
      </c>
      <c r="J66" s="777">
        <f t="shared" si="2"/>
        <v>607800.6747552196</v>
      </c>
    </row>
    <row r="67" spans="1:10" ht="165">
      <c r="A67" s="749" t="s">
        <v>204</v>
      </c>
      <c r="B67" s="714" t="s">
        <v>175</v>
      </c>
      <c r="C67" s="738" t="s">
        <v>100</v>
      </c>
      <c r="D67" s="754">
        <v>45.599999999999987</v>
      </c>
      <c r="E67" s="703">
        <v>64692.948502499996</v>
      </c>
      <c r="F67" s="753">
        <f t="shared" si="3"/>
        <v>2949998.5</v>
      </c>
      <c r="G67" s="754">
        <v>45.599999999999987</v>
      </c>
      <c r="H67" s="703">
        <v>51554.998364999999</v>
      </c>
      <c r="I67" s="770">
        <f t="shared" si="1"/>
        <v>2350907.9254439995</v>
      </c>
      <c r="J67" s="777">
        <f t="shared" si="2"/>
        <v>599090.57455600053</v>
      </c>
    </row>
    <row r="68" spans="1:10" ht="195">
      <c r="A68" s="749" t="s">
        <v>205</v>
      </c>
      <c r="B68" s="714" t="s">
        <v>206</v>
      </c>
      <c r="C68" s="738" t="s">
        <v>100</v>
      </c>
      <c r="D68" s="754">
        <v>980.40000000000032</v>
      </c>
      <c r="E68" s="703">
        <v>33641.532500000001</v>
      </c>
      <c r="F68" s="753">
        <f t="shared" si="3"/>
        <v>32982158.5</v>
      </c>
      <c r="G68" s="754">
        <v>980.40000000000032</v>
      </c>
      <c r="H68" s="703">
        <v>27395.147499999999</v>
      </c>
      <c r="I68" s="770">
        <f t="shared" si="1"/>
        <v>26858202.609000009</v>
      </c>
      <c r="J68" s="777">
        <f t="shared" si="2"/>
        <v>6123955.8909999914</v>
      </c>
    </row>
    <row r="69" spans="1:10" ht="75">
      <c r="A69" s="749" t="s">
        <v>207</v>
      </c>
      <c r="B69" s="714" t="s">
        <v>182</v>
      </c>
      <c r="C69" s="738" t="s">
        <v>37</v>
      </c>
      <c r="D69" s="754">
        <v>0.6</v>
      </c>
      <c r="E69" s="705">
        <v>193497.11825733332</v>
      </c>
      <c r="F69" s="753">
        <f t="shared" si="3"/>
        <v>116098.3</v>
      </c>
      <c r="G69" s="754">
        <v>0.6</v>
      </c>
      <c r="H69" s="705">
        <v>150152.90154066664</v>
      </c>
      <c r="I69" s="770">
        <f t="shared" si="1"/>
        <v>90091.740924399986</v>
      </c>
      <c r="J69" s="777">
        <f t="shared" si="2"/>
        <v>26006.559075600017</v>
      </c>
    </row>
    <row r="70" spans="1:10" ht="60">
      <c r="A70" s="749" t="s">
        <v>208</v>
      </c>
      <c r="B70" s="714" t="s">
        <v>209</v>
      </c>
      <c r="C70" s="738" t="s">
        <v>100</v>
      </c>
      <c r="D70" s="754">
        <v>111.52</v>
      </c>
      <c r="E70" s="703">
        <v>35864.605035187502</v>
      </c>
      <c r="F70" s="753">
        <f t="shared" si="3"/>
        <v>3999620.8</v>
      </c>
      <c r="G70" s="754">
        <v>111.52</v>
      </c>
      <c r="H70" s="703">
        <v>34343.473366124999</v>
      </c>
      <c r="I70" s="770">
        <f t="shared" si="1"/>
        <v>3829984.14979026</v>
      </c>
      <c r="J70" s="777">
        <f t="shared" si="2"/>
        <v>169636.6502097398</v>
      </c>
    </row>
    <row r="71" spans="1:10" ht="15">
      <c r="A71" s="751" t="s">
        <v>1801</v>
      </c>
      <c r="B71" s="737" t="s">
        <v>1802</v>
      </c>
      <c r="C71" s="739"/>
      <c r="D71" s="751"/>
      <c r="E71" s="649"/>
      <c r="F71" s="752"/>
      <c r="G71" s="751"/>
      <c r="H71" s="649"/>
      <c r="I71" s="769">
        <f t="shared" si="1"/>
        <v>0</v>
      </c>
      <c r="J71" s="776">
        <f t="shared" si="2"/>
        <v>0</v>
      </c>
    </row>
    <row r="72" spans="1:10" ht="225">
      <c r="A72" s="749" t="s">
        <v>210</v>
      </c>
      <c r="B72" s="714" t="s">
        <v>201</v>
      </c>
      <c r="C72" s="738" t="s">
        <v>37</v>
      </c>
      <c r="D72" s="754">
        <v>212.99</v>
      </c>
      <c r="E72" s="703">
        <v>132844.28300250001</v>
      </c>
      <c r="F72" s="753">
        <f t="shared" si="3"/>
        <v>28294503.800000001</v>
      </c>
      <c r="G72" s="754">
        <v>212.99</v>
      </c>
      <c r="H72" s="703">
        <v>88772.977364999999</v>
      </c>
      <c r="I72" s="770">
        <f t="shared" si="1"/>
        <v>18907756.44897135</v>
      </c>
      <c r="J72" s="777">
        <f t="shared" si="2"/>
        <v>9386747.351028651</v>
      </c>
    </row>
    <row r="73" spans="1:10" ht="225">
      <c r="A73" s="749" t="s">
        <v>212</v>
      </c>
      <c r="B73" s="714" t="s">
        <v>139</v>
      </c>
      <c r="C73" s="738" t="s">
        <v>37</v>
      </c>
      <c r="D73" s="754">
        <v>168.95950000000002</v>
      </c>
      <c r="E73" s="703">
        <v>120592.15996624999</v>
      </c>
      <c r="F73" s="753">
        <f t="shared" si="3"/>
        <v>20375191.100000001</v>
      </c>
      <c r="G73" s="754">
        <v>168.95950000000002</v>
      </c>
      <c r="H73" s="703">
        <v>88025.526035000003</v>
      </c>
      <c r="I73" s="770">
        <f t="shared" si="1"/>
        <v>14872748.866110584</v>
      </c>
      <c r="J73" s="777">
        <f t="shared" si="2"/>
        <v>5502442.2338894177</v>
      </c>
    </row>
    <row r="74" spans="1:10" ht="225">
      <c r="A74" s="749" t="s">
        <v>213</v>
      </c>
      <c r="B74" s="714" t="s">
        <v>142</v>
      </c>
      <c r="C74" s="738" t="s">
        <v>37</v>
      </c>
      <c r="D74" s="754">
        <v>5.77</v>
      </c>
      <c r="E74" s="703">
        <v>128989.12790375001</v>
      </c>
      <c r="F74" s="753">
        <f t="shared" si="3"/>
        <v>744267.3</v>
      </c>
      <c r="G74" s="754">
        <v>5.77</v>
      </c>
      <c r="H74" s="703">
        <v>89620.991472499998</v>
      </c>
      <c r="I74" s="770">
        <f t="shared" si="1"/>
        <v>517113.12079632498</v>
      </c>
      <c r="J74" s="777">
        <f t="shared" si="2"/>
        <v>227154.17920367507</v>
      </c>
    </row>
    <row r="75" spans="1:10" ht="225">
      <c r="A75" s="749" t="s">
        <v>214</v>
      </c>
      <c r="B75" s="714" t="s">
        <v>215</v>
      </c>
      <c r="C75" s="738" t="s">
        <v>37</v>
      </c>
      <c r="D75" s="754">
        <v>1.1040000000000001</v>
      </c>
      <c r="E75" s="703">
        <v>120592.15996624999</v>
      </c>
      <c r="F75" s="753">
        <f t="shared" si="3"/>
        <v>133133.70000000001</v>
      </c>
      <c r="G75" s="754">
        <v>1.1040000000000001</v>
      </c>
      <c r="H75" s="703">
        <v>81233.338535000003</v>
      </c>
      <c r="I75" s="770">
        <f t="shared" ref="I75:I138" si="4">+H75*G75</f>
        <v>89681.605742640008</v>
      </c>
      <c r="J75" s="777">
        <f t="shared" ref="J75:J138" si="5">+F75-I75</f>
        <v>43452.094257360004</v>
      </c>
    </row>
    <row r="76" spans="1:10" ht="90">
      <c r="A76" s="749" t="s">
        <v>216</v>
      </c>
      <c r="B76" s="714" t="s">
        <v>121</v>
      </c>
      <c r="C76" s="738" t="s">
        <v>37</v>
      </c>
      <c r="D76" s="754">
        <v>275.96600000000007</v>
      </c>
      <c r="E76" s="703">
        <v>96956.66932500001</v>
      </c>
      <c r="F76" s="753">
        <f t="shared" si="3"/>
        <v>26756744.199999999</v>
      </c>
      <c r="G76" s="754">
        <v>275.96600000000007</v>
      </c>
      <c r="H76" s="703">
        <v>78990.549825000009</v>
      </c>
      <c r="I76" s="770">
        <f t="shared" si="4"/>
        <v>21798706.073005959</v>
      </c>
      <c r="J76" s="777">
        <f t="shared" si="5"/>
        <v>4958038.1269940399</v>
      </c>
    </row>
    <row r="77" spans="1:10" ht="90">
      <c r="A77" s="749" t="s">
        <v>217</v>
      </c>
      <c r="B77" s="714" t="s">
        <v>129</v>
      </c>
      <c r="C77" s="738" t="s">
        <v>37</v>
      </c>
      <c r="D77" s="754">
        <v>96.317999999999998</v>
      </c>
      <c r="E77" s="703">
        <v>126256.85341375001</v>
      </c>
      <c r="F77" s="753">
        <f t="shared" si="3"/>
        <v>12160807.6</v>
      </c>
      <c r="G77" s="754">
        <v>96.317999999999998</v>
      </c>
      <c r="H77" s="703">
        <v>110007.96637000001</v>
      </c>
      <c r="I77" s="770">
        <f t="shared" si="4"/>
        <v>10595747.30482566</v>
      </c>
      <c r="J77" s="777">
        <f t="shared" si="5"/>
        <v>1565060.2951743398</v>
      </c>
    </row>
    <row r="78" spans="1:10" ht="60">
      <c r="A78" s="749" t="s">
        <v>218</v>
      </c>
      <c r="B78" s="714" t="s">
        <v>219</v>
      </c>
      <c r="C78" s="738" t="s">
        <v>37</v>
      </c>
      <c r="D78" s="754">
        <v>13.760000000000002</v>
      </c>
      <c r="E78" s="703">
        <v>165762.02075</v>
      </c>
      <c r="F78" s="753">
        <f t="shared" si="3"/>
        <v>2280885.4</v>
      </c>
      <c r="G78" s="754">
        <v>13.760000000000002</v>
      </c>
      <c r="H78" s="703">
        <v>128295.42924999999</v>
      </c>
      <c r="I78" s="770">
        <f t="shared" si="4"/>
        <v>1765345.1064800001</v>
      </c>
      <c r="J78" s="777">
        <f t="shared" si="5"/>
        <v>515540.29351999983</v>
      </c>
    </row>
    <row r="79" spans="1:10" ht="165">
      <c r="A79" s="749" t="s">
        <v>220</v>
      </c>
      <c r="B79" s="714" t="s">
        <v>175</v>
      </c>
      <c r="C79" s="738" t="s">
        <v>100</v>
      </c>
      <c r="D79" s="754">
        <v>208.54000000000002</v>
      </c>
      <c r="E79" s="703">
        <v>64692.948502499996</v>
      </c>
      <c r="F79" s="753">
        <f t="shared" si="3"/>
        <v>13491067.5</v>
      </c>
      <c r="G79" s="754">
        <v>208.54000000000002</v>
      </c>
      <c r="H79" s="703">
        <v>51554.998364999999</v>
      </c>
      <c r="I79" s="770">
        <f t="shared" si="4"/>
        <v>10751279.359037101</v>
      </c>
      <c r="J79" s="777">
        <f t="shared" si="5"/>
        <v>2739788.1409628987</v>
      </c>
    </row>
    <row r="80" spans="1:10" ht="195">
      <c r="A80" s="749" t="s">
        <v>221</v>
      </c>
      <c r="B80" s="714" t="s">
        <v>206</v>
      </c>
      <c r="C80" s="738" t="s">
        <v>100</v>
      </c>
      <c r="D80" s="754">
        <v>1860.9400000000044</v>
      </c>
      <c r="E80" s="703">
        <v>33641.532500000001</v>
      </c>
      <c r="F80" s="753">
        <f t="shared" si="3"/>
        <v>62604873.5</v>
      </c>
      <c r="G80" s="754">
        <v>1860.9400000000044</v>
      </c>
      <c r="H80" s="703">
        <v>27395.147499999999</v>
      </c>
      <c r="I80" s="770">
        <f t="shared" si="4"/>
        <v>50980725.788650118</v>
      </c>
      <c r="J80" s="777">
        <f t="shared" si="5"/>
        <v>11624147.711349882</v>
      </c>
    </row>
    <row r="81" spans="1:10" ht="60">
      <c r="A81" s="749" t="s">
        <v>222</v>
      </c>
      <c r="B81" s="714" t="s">
        <v>223</v>
      </c>
      <c r="C81" s="738" t="s">
        <v>100</v>
      </c>
      <c r="D81" s="754">
        <v>128.72999999999999</v>
      </c>
      <c r="E81" s="703">
        <v>35864.605035187502</v>
      </c>
      <c r="F81" s="753">
        <f t="shared" ref="F81:F144" si="6">ROUND(E81*D81,1)</f>
        <v>4616850.5999999996</v>
      </c>
      <c r="G81" s="754">
        <v>128.72999999999999</v>
      </c>
      <c r="H81" s="703">
        <v>34343.473366124999</v>
      </c>
      <c r="I81" s="770">
        <f t="shared" si="4"/>
        <v>4421035.3264212711</v>
      </c>
      <c r="J81" s="777">
        <f t="shared" si="5"/>
        <v>195815.27357872855</v>
      </c>
    </row>
    <row r="82" spans="1:10" ht="15">
      <c r="A82" s="795" t="s">
        <v>1803</v>
      </c>
      <c r="B82" s="737" t="s">
        <v>1777</v>
      </c>
      <c r="C82" s="739"/>
      <c r="D82" s="751"/>
      <c r="E82" s="649"/>
      <c r="F82" s="752"/>
      <c r="G82" s="751">
        <v>1</v>
      </c>
      <c r="H82" s="649"/>
      <c r="I82" s="769">
        <f t="shared" si="4"/>
        <v>0</v>
      </c>
      <c r="J82" s="776">
        <f t="shared" si="5"/>
        <v>0</v>
      </c>
    </row>
    <row r="83" spans="1:10" ht="90">
      <c r="A83" s="749" t="s">
        <v>224</v>
      </c>
      <c r="B83" s="714" t="s">
        <v>121</v>
      </c>
      <c r="C83" s="738" t="s">
        <v>37</v>
      </c>
      <c r="D83" s="754">
        <v>40.650000000000006</v>
      </c>
      <c r="E83" s="703">
        <v>96956.66932500001</v>
      </c>
      <c r="F83" s="753">
        <f t="shared" si="6"/>
        <v>3941288.6</v>
      </c>
      <c r="G83" s="754">
        <v>40.650000000000006</v>
      </c>
      <c r="H83" s="703">
        <v>78990.549825000009</v>
      </c>
      <c r="I83" s="770">
        <f t="shared" si="4"/>
        <v>3210965.8503862508</v>
      </c>
      <c r="J83" s="777">
        <f t="shared" si="5"/>
        <v>730322.74961374933</v>
      </c>
    </row>
    <row r="84" spans="1:10" ht="90">
      <c r="A84" s="749" t="s">
        <v>226</v>
      </c>
      <c r="B84" s="714" t="s">
        <v>129</v>
      </c>
      <c r="C84" s="738" t="s">
        <v>37</v>
      </c>
      <c r="D84" s="754">
        <v>259.93</v>
      </c>
      <c r="E84" s="703">
        <v>126256.85341375001</v>
      </c>
      <c r="F84" s="753">
        <f t="shared" si="6"/>
        <v>32817943.899999999</v>
      </c>
      <c r="G84" s="754">
        <v>259.93</v>
      </c>
      <c r="H84" s="703">
        <v>110007.96637000001</v>
      </c>
      <c r="I84" s="770">
        <f t="shared" si="4"/>
        <v>28594370.698554102</v>
      </c>
      <c r="J84" s="777">
        <f t="shared" si="5"/>
        <v>4223573.2014458962</v>
      </c>
    </row>
    <row r="85" spans="1:10" ht="75">
      <c r="A85" s="749" t="s">
        <v>228</v>
      </c>
      <c r="B85" s="714" t="s">
        <v>196</v>
      </c>
      <c r="C85" s="738" t="s">
        <v>37</v>
      </c>
      <c r="D85" s="754">
        <v>14.103999999999999</v>
      </c>
      <c r="E85" s="703">
        <v>78225.326527500001</v>
      </c>
      <c r="F85" s="753">
        <f t="shared" si="6"/>
        <v>1103290</v>
      </c>
      <c r="G85" s="754">
        <v>14.103999999999999</v>
      </c>
      <c r="H85" s="703">
        <v>66297.943889999995</v>
      </c>
      <c r="I85" s="770">
        <f t="shared" si="4"/>
        <v>935066.20062455989</v>
      </c>
      <c r="J85" s="777">
        <f t="shared" si="5"/>
        <v>168223.79937544011</v>
      </c>
    </row>
    <row r="86" spans="1:10" ht="225">
      <c r="A86" s="749" t="s">
        <v>229</v>
      </c>
      <c r="B86" s="714" t="s">
        <v>199</v>
      </c>
      <c r="C86" s="738" t="s">
        <v>37</v>
      </c>
      <c r="D86" s="754">
        <v>4.7479999999999993</v>
      </c>
      <c r="E86" s="703">
        <v>132844.28300250001</v>
      </c>
      <c r="F86" s="753">
        <f t="shared" si="6"/>
        <v>630744.69999999995</v>
      </c>
      <c r="G86" s="754">
        <v>4.7479999999999993</v>
      </c>
      <c r="H86" s="703">
        <v>88772.977364999999</v>
      </c>
      <c r="I86" s="770">
        <f t="shared" si="4"/>
        <v>421494.09652901994</v>
      </c>
      <c r="J86" s="777">
        <f t="shared" si="5"/>
        <v>209250.60347098002</v>
      </c>
    </row>
    <row r="87" spans="1:10" ht="225">
      <c r="A87" s="749" t="s">
        <v>230</v>
      </c>
      <c r="B87" s="714" t="s">
        <v>231</v>
      </c>
      <c r="C87" s="738" t="s">
        <v>37</v>
      </c>
      <c r="D87" s="754">
        <v>8.0211000000000006</v>
      </c>
      <c r="E87" s="703">
        <v>132844.28300250001</v>
      </c>
      <c r="F87" s="753">
        <f t="shared" si="6"/>
        <v>1065557.3</v>
      </c>
      <c r="G87" s="754">
        <v>8.0211000000000006</v>
      </c>
      <c r="H87" s="703">
        <v>88772.977364999999</v>
      </c>
      <c r="I87" s="770">
        <f t="shared" si="4"/>
        <v>712056.92874240153</v>
      </c>
      <c r="J87" s="777">
        <f t="shared" si="5"/>
        <v>353500.37125759851</v>
      </c>
    </row>
    <row r="88" spans="1:10" ht="225">
      <c r="A88" s="749" t="s">
        <v>232</v>
      </c>
      <c r="B88" s="717" t="s">
        <v>142</v>
      </c>
      <c r="C88" s="738" t="s">
        <v>37</v>
      </c>
      <c r="D88" s="754">
        <v>2.9094000000000002</v>
      </c>
      <c r="E88" s="703">
        <v>128989.12790375001</v>
      </c>
      <c r="F88" s="753">
        <f t="shared" si="6"/>
        <v>375281</v>
      </c>
      <c r="G88" s="754">
        <v>2.9094000000000002</v>
      </c>
      <c r="H88" s="703">
        <v>89620.991472499998</v>
      </c>
      <c r="I88" s="770">
        <f t="shared" si="4"/>
        <v>260743.31259009152</v>
      </c>
      <c r="J88" s="777">
        <f t="shared" si="5"/>
        <v>114537.68740990848</v>
      </c>
    </row>
    <row r="89" spans="1:10" ht="225">
      <c r="A89" s="749" t="s">
        <v>233</v>
      </c>
      <c r="B89" s="717" t="s">
        <v>234</v>
      </c>
      <c r="C89" s="738" t="s">
        <v>37</v>
      </c>
      <c r="D89" s="754">
        <v>10.959999999999999</v>
      </c>
      <c r="E89" s="703">
        <v>128989.12790375001</v>
      </c>
      <c r="F89" s="753">
        <f t="shared" si="6"/>
        <v>1413720.8</v>
      </c>
      <c r="G89" s="754">
        <v>10.959999999999999</v>
      </c>
      <c r="H89" s="703">
        <v>96413.178972499998</v>
      </c>
      <c r="I89" s="770">
        <f t="shared" si="4"/>
        <v>1056688.4415385998</v>
      </c>
      <c r="J89" s="777">
        <f t="shared" si="5"/>
        <v>357032.35846140026</v>
      </c>
    </row>
    <row r="90" spans="1:10" ht="225">
      <c r="A90" s="749" t="s">
        <v>236</v>
      </c>
      <c r="B90" s="714" t="s">
        <v>215</v>
      </c>
      <c r="C90" s="738" t="s">
        <v>37</v>
      </c>
      <c r="D90" s="754">
        <v>1.1499999999999999</v>
      </c>
      <c r="E90" s="703">
        <v>120592.15996624999</v>
      </c>
      <c r="F90" s="753">
        <f t="shared" si="6"/>
        <v>138681</v>
      </c>
      <c r="G90" s="754">
        <v>1.1499999999999999</v>
      </c>
      <c r="H90" s="703">
        <v>81233.338535000003</v>
      </c>
      <c r="I90" s="770">
        <f t="shared" si="4"/>
        <v>93418.339315249992</v>
      </c>
      <c r="J90" s="777">
        <f t="shared" si="5"/>
        <v>45262.660684750008</v>
      </c>
    </row>
    <row r="91" spans="1:10" ht="75">
      <c r="A91" s="749" t="s">
        <v>237</v>
      </c>
      <c r="B91" s="714" t="s">
        <v>166</v>
      </c>
      <c r="C91" s="738" t="s">
        <v>100</v>
      </c>
      <c r="D91" s="754">
        <v>79.78</v>
      </c>
      <c r="E91" s="703">
        <v>47260.207365803566</v>
      </c>
      <c r="F91" s="753">
        <f t="shared" si="6"/>
        <v>3770419.3</v>
      </c>
      <c r="G91" s="754">
        <v>79.78</v>
      </c>
      <c r="H91" s="703">
        <v>37385.493611785714</v>
      </c>
      <c r="I91" s="770">
        <f t="shared" si="4"/>
        <v>2982614.6803482645</v>
      </c>
      <c r="J91" s="777">
        <f t="shared" si="5"/>
        <v>787804.61965173529</v>
      </c>
    </row>
    <row r="92" spans="1:10" ht="165">
      <c r="A92" s="749" t="s">
        <v>241</v>
      </c>
      <c r="B92" s="714" t="s">
        <v>175</v>
      </c>
      <c r="C92" s="738" t="s">
        <v>100</v>
      </c>
      <c r="D92" s="754">
        <v>118.68000000000002</v>
      </c>
      <c r="E92" s="703">
        <v>64692.948502499996</v>
      </c>
      <c r="F92" s="753">
        <f t="shared" si="6"/>
        <v>7677759.0999999996</v>
      </c>
      <c r="G92" s="754">
        <v>118.68000000000002</v>
      </c>
      <c r="H92" s="703">
        <v>51554.998364999999</v>
      </c>
      <c r="I92" s="770">
        <f t="shared" si="4"/>
        <v>6118547.2059582006</v>
      </c>
      <c r="J92" s="777">
        <f t="shared" si="5"/>
        <v>1559211.894041799</v>
      </c>
    </row>
    <row r="93" spans="1:10" ht="195">
      <c r="A93" s="749" t="s">
        <v>242</v>
      </c>
      <c r="B93" s="714" t="s">
        <v>206</v>
      </c>
      <c r="C93" s="738" t="s">
        <v>100</v>
      </c>
      <c r="D93" s="754">
        <v>534.04</v>
      </c>
      <c r="E93" s="703">
        <v>33641.532500000001</v>
      </c>
      <c r="F93" s="753">
        <f t="shared" si="6"/>
        <v>17965924</v>
      </c>
      <c r="G93" s="754">
        <v>534.04</v>
      </c>
      <c r="H93" s="703">
        <v>27395.147499999999</v>
      </c>
      <c r="I93" s="770">
        <f t="shared" si="4"/>
        <v>14630104.570899999</v>
      </c>
      <c r="J93" s="777">
        <f t="shared" si="5"/>
        <v>3335819.4291000012</v>
      </c>
    </row>
    <row r="94" spans="1:10" ht="135">
      <c r="A94" s="749" t="s">
        <v>243</v>
      </c>
      <c r="B94" s="714" t="s">
        <v>244</v>
      </c>
      <c r="C94" s="738" t="s">
        <v>37</v>
      </c>
      <c r="D94" s="754">
        <v>34.632000000000005</v>
      </c>
      <c r="E94" s="703">
        <v>153725.60749690782</v>
      </c>
      <c r="F94" s="753">
        <f t="shared" si="6"/>
        <v>5323825.2</v>
      </c>
      <c r="G94" s="754">
        <v>34.632000000000005</v>
      </c>
      <c r="H94" s="703">
        <v>134471.25999690781</v>
      </c>
      <c r="I94" s="770">
        <f t="shared" si="4"/>
        <v>4657008.6762129124</v>
      </c>
      <c r="J94" s="777">
        <f t="shared" si="5"/>
        <v>666816.52378708776</v>
      </c>
    </row>
    <row r="95" spans="1:10" ht="60">
      <c r="A95" s="749" t="s">
        <v>252</v>
      </c>
      <c r="B95" s="714" t="s">
        <v>253</v>
      </c>
      <c r="C95" s="738" t="s">
        <v>37</v>
      </c>
      <c r="D95" s="754">
        <v>1.7999999999999998</v>
      </c>
      <c r="E95" s="703">
        <v>158341.44435714284</v>
      </c>
      <c r="F95" s="753">
        <f t="shared" si="6"/>
        <v>285014.59999999998</v>
      </c>
      <c r="G95" s="754">
        <v>1.7999999999999998</v>
      </c>
      <c r="H95" s="703">
        <v>142440.42185714285</v>
      </c>
      <c r="I95" s="770">
        <f t="shared" si="4"/>
        <v>256392.75934285711</v>
      </c>
      <c r="J95" s="777">
        <f t="shared" si="5"/>
        <v>28621.840657142864</v>
      </c>
    </row>
    <row r="96" spans="1:10" ht="60">
      <c r="A96" s="749" t="s">
        <v>257</v>
      </c>
      <c r="B96" s="714" t="s">
        <v>258</v>
      </c>
      <c r="C96" s="738" t="s">
        <v>100</v>
      </c>
      <c r="D96" s="754">
        <v>77.8</v>
      </c>
      <c r="E96" s="703">
        <v>35864.605035187502</v>
      </c>
      <c r="F96" s="753">
        <f t="shared" si="6"/>
        <v>2790266.3</v>
      </c>
      <c r="G96" s="754">
        <v>77.8</v>
      </c>
      <c r="H96" s="703">
        <v>34343.473366124999</v>
      </c>
      <c r="I96" s="770">
        <f t="shared" si="4"/>
        <v>2671922.227884525</v>
      </c>
      <c r="J96" s="777">
        <f t="shared" si="5"/>
        <v>118344.07211547485</v>
      </c>
    </row>
    <row r="97" spans="1:10" ht="15">
      <c r="A97" s="751" t="s">
        <v>1804</v>
      </c>
      <c r="B97" s="737" t="s">
        <v>1805</v>
      </c>
      <c r="C97" s="739"/>
      <c r="D97" s="751"/>
      <c r="E97" s="649"/>
      <c r="F97" s="752"/>
      <c r="G97" s="751"/>
      <c r="H97" s="649"/>
      <c r="I97" s="769">
        <f t="shared" si="4"/>
        <v>0</v>
      </c>
      <c r="J97" s="776">
        <f t="shared" si="5"/>
        <v>0</v>
      </c>
    </row>
    <row r="98" spans="1:10" ht="231.6" customHeight="1">
      <c r="A98" s="749" t="s">
        <v>259</v>
      </c>
      <c r="B98" s="714" t="s">
        <v>142</v>
      </c>
      <c r="C98" s="738" t="s">
        <v>37</v>
      </c>
      <c r="D98" s="749">
        <v>23.81</v>
      </c>
      <c r="E98" s="703">
        <v>128989.12790375001</v>
      </c>
      <c r="F98" s="753">
        <f t="shared" si="6"/>
        <v>3071231.1</v>
      </c>
      <c r="G98" s="749">
        <v>23.81</v>
      </c>
      <c r="H98" s="703">
        <v>89620.991472499998</v>
      </c>
      <c r="I98" s="770">
        <f t="shared" si="4"/>
        <v>2133875.8069602246</v>
      </c>
      <c r="J98" s="777">
        <f t="shared" si="5"/>
        <v>937355.29303977545</v>
      </c>
    </row>
    <row r="99" spans="1:10" ht="169.95" customHeight="1">
      <c r="A99" s="749" t="s">
        <v>260</v>
      </c>
      <c r="B99" s="714" t="s">
        <v>1806</v>
      </c>
      <c r="C99" s="738" t="s">
        <v>37</v>
      </c>
      <c r="D99" s="749">
        <v>55.529999999999994</v>
      </c>
      <c r="E99" s="703">
        <v>473346.56889714283</v>
      </c>
      <c r="F99" s="753">
        <f t="shared" si="6"/>
        <v>26284935</v>
      </c>
      <c r="G99" s="749">
        <v>55.529999999999994</v>
      </c>
      <c r="H99" s="703">
        <v>387745.78549714282</v>
      </c>
      <c r="I99" s="770">
        <f t="shared" si="4"/>
        <v>21531523.468656339</v>
      </c>
      <c r="J99" s="777">
        <f t="shared" si="5"/>
        <v>4753411.5313436612</v>
      </c>
    </row>
    <row r="100" spans="1:10" ht="15">
      <c r="A100" s="751" t="s">
        <v>1807</v>
      </c>
      <c r="B100" s="737" t="s">
        <v>1808</v>
      </c>
      <c r="C100" s="739"/>
      <c r="D100" s="751"/>
      <c r="E100" s="649"/>
      <c r="F100" s="752"/>
      <c r="G100" s="751"/>
      <c r="H100" s="649"/>
      <c r="I100" s="769">
        <f t="shared" si="4"/>
        <v>0</v>
      </c>
      <c r="J100" s="776">
        <f t="shared" si="5"/>
        <v>0</v>
      </c>
    </row>
    <row r="101" spans="1:10" ht="232.95" customHeight="1">
      <c r="A101" s="749" t="s">
        <v>266</v>
      </c>
      <c r="B101" s="718" t="s">
        <v>142</v>
      </c>
      <c r="C101" s="741" t="s">
        <v>37</v>
      </c>
      <c r="D101" s="756">
        <v>25.4</v>
      </c>
      <c r="E101" s="719">
        <v>128989.12790375001</v>
      </c>
      <c r="F101" s="757">
        <f t="shared" si="6"/>
        <v>3276323.8</v>
      </c>
      <c r="G101" s="756">
        <v>25.4</v>
      </c>
      <c r="H101" s="719">
        <v>89620.991472499998</v>
      </c>
      <c r="I101" s="771">
        <f t="shared" si="4"/>
        <v>2276373.1834014999</v>
      </c>
      <c r="J101" s="778">
        <f t="shared" si="5"/>
        <v>999950.61659849994</v>
      </c>
    </row>
    <row r="102" spans="1:10" ht="30" customHeight="1">
      <c r="A102" s="751">
        <v>6</v>
      </c>
      <c r="B102" s="737" t="s">
        <v>1809</v>
      </c>
      <c r="C102" s="739"/>
      <c r="D102" s="751"/>
      <c r="E102" s="649"/>
      <c r="F102" s="752"/>
      <c r="G102" s="751"/>
      <c r="H102" s="649"/>
      <c r="I102" s="769">
        <f t="shared" si="4"/>
        <v>0</v>
      </c>
      <c r="J102" s="776">
        <f t="shared" si="5"/>
        <v>0</v>
      </c>
    </row>
    <row r="103" spans="1:10" ht="60">
      <c r="A103" s="749">
        <v>6.1</v>
      </c>
      <c r="B103" s="714" t="s">
        <v>267</v>
      </c>
      <c r="C103" s="738" t="s">
        <v>37</v>
      </c>
      <c r="D103" s="754">
        <v>4312.7</v>
      </c>
      <c r="E103" s="703">
        <v>23745.526375000001</v>
      </c>
      <c r="F103" s="753">
        <f t="shared" si="6"/>
        <v>102407331.59999999</v>
      </c>
      <c r="G103" s="754">
        <v>4312.7</v>
      </c>
      <c r="H103" s="703">
        <v>18361.732325000001</v>
      </c>
      <c r="I103" s="770">
        <f t="shared" si="4"/>
        <v>79188642.998027503</v>
      </c>
      <c r="J103" s="777">
        <f t="shared" si="5"/>
        <v>23218688.601972491</v>
      </c>
    </row>
    <row r="104" spans="1:10" ht="75">
      <c r="A104" s="749">
        <v>6.2</v>
      </c>
      <c r="B104" s="714" t="s">
        <v>270</v>
      </c>
      <c r="C104" s="738" t="s">
        <v>37</v>
      </c>
      <c r="D104" s="754">
        <v>4783</v>
      </c>
      <c r="E104" s="703">
        <v>30852.29435</v>
      </c>
      <c r="F104" s="753">
        <f t="shared" si="6"/>
        <v>147566523.90000001</v>
      </c>
      <c r="G104" s="754">
        <v>4256.380000000001</v>
      </c>
      <c r="H104" s="703">
        <v>23038.993750000001</v>
      </c>
      <c r="I104" s="770">
        <f t="shared" si="4"/>
        <v>98062712.217625037</v>
      </c>
      <c r="J104" s="777">
        <f t="shared" si="5"/>
        <v>49503811.682374969</v>
      </c>
    </row>
    <row r="105" spans="1:10" ht="30" customHeight="1">
      <c r="A105" s="751">
        <v>7</v>
      </c>
      <c r="B105" s="737" t="s">
        <v>1810</v>
      </c>
      <c r="C105" s="739"/>
      <c r="D105" s="751"/>
      <c r="E105" s="649"/>
      <c r="F105" s="752"/>
      <c r="G105" s="751"/>
      <c r="H105" s="649"/>
      <c r="I105" s="769">
        <f t="shared" si="4"/>
        <v>0</v>
      </c>
      <c r="J105" s="776">
        <f t="shared" si="5"/>
        <v>0</v>
      </c>
    </row>
    <row r="106" spans="1:10" ht="15">
      <c r="A106" s="751">
        <v>7.1</v>
      </c>
      <c r="B106" s="737" t="s">
        <v>1797</v>
      </c>
      <c r="C106" s="739"/>
      <c r="D106" s="751"/>
      <c r="E106" s="649"/>
      <c r="F106" s="752"/>
      <c r="G106" s="751"/>
      <c r="H106" s="649"/>
      <c r="I106" s="769">
        <f t="shared" si="4"/>
        <v>0</v>
      </c>
      <c r="J106" s="776">
        <f t="shared" si="5"/>
        <v>0</v>
      </c>
    </row>
    <row r="107" spans="1:10" ht="15">
      <c r="A107" s="751" t="s">
        <v>1811</v>
      </c>
      <c r="B107" s="737" t="s">
        <v>1812</v>
      </c>
      <c r="C107" s="739"/>
      <c r="D107" s="751"/>
      <c r="E107" s="649"/>
      <c r="F107" s="752"/>
      <c r="G107" s="751"/>
      <c r="H107" s="649"/>
      <c r="I107" s="769">
        <f t="shared" si="4"/>
        <v>0</v>
      </c>
      <c r="J107" s="776">
        <f t="shared" si="5"/>
        <v>0</v>
      </c>
    </row>
    <row r="108" spans="1:10" ht="60">
      <c r="A108" s="749" t="s">
        <v>272</v>
      </c>
      <c r="B108" s="714" t="s">
        <v>273</v>
      </c>
      <c r="C108" s="738" t="s">
        <v>37</v>
      </c>
      <c r="D108" s="754">
        <v>290.11599999999999</v>
      </c>
      <c r="E108" s="703">
        <v>32055.561552499999</v>
      </c>
      <c r="F108" s="753">
        <f t="shared" si="6"/>
        <v>9299831.3000000007</v>
      </c>
      <c r="G108" s="754">
        <v>190.11600000000001</v>
      </c>
      <c r="H108" s="703">
        <v>25692.722540000002</v>
      </c>
      <c r="I108" s="770">
        <f t="shared" si="4"/>
        <v>4884597.6384146409</v>
      </c>
      <c r="J108" s="777">
        <f t="shared" si="5"/>
        <v>4415233.6615853598</v>
      </c>
    </row>
    <row r="109" spans="1:10" ht="15">
      <c r="A109" s="751" t="s">
        <v>1813</v>
      </c>
      <c r="B109" s="737" t="s">
        <v>1814</v>
      </c>
      <c r="C109" s="739"/>
      <c r="D109" s="751"/>
      <c r="E109" s="649"/>
      <c r="F109" s="752"/>
      <c r="G109" s="751"/>
      <c r="H109" s="649"/>
      <c r="I109" s="769">
        <f t="shared" si="4"/>
        <v>0</v>
      </c>
      <c r="J109" s="776">
        <f t="shared" si="5"/>
        <v>0</v>
      </c>
    </row>
    <row r="110" spans="1:10" ht="75">
      <c r="A110" s="749" t="s">
        <v>275</v>
      </c>
      <c r="B110" s="714" t="s">
        <v>276</v>
      </c>
      <c r="C110" s="738" t="s">
        <v>37</v>
      </c>
      <c r="D110" s="754">
        <v>153.96600000000001</v>
      </c>
      <c r="E110" s="703">
        <v>25725.740125</v>
      </c>
      <c r="F110" s="753">
        <f t="shared" si="6"/>
        <v>3960889.3</v>
      </c>
      <c r="G110" s="754">
        <v>153.96600000000001</v>
      </c>
      <c r="H110" s="703">
        <v>19530.764824999998</v>
      </c>
      <c r="I110" s="770">
        <f t="shared" si="4"/>
        <v>3007073.7370459498</v>
      </c>
      <c r="J110" s="777">
        <f t="shared" si="5"/>
        <v>953815.56295405002</v>
      </c>
    </row>
    <row r="111" spans="1:10" ht="15">
      <c r="A111" s="751" t="s">
        <v>1815</v>
      </c>
      <c r="B111" s="737" t="s">
        <v>1816</v>
      </c>
      <c r="C111" s="739" t="s">
        <v>2378</v>
      </c>
      <c r="D111" s="751"/>
      <c r="E111" s="649"/>
      <c r="F111" s="752"/>
      <c r="G111" s="751"/>
      <c r="H111" s="649"/>
      <c r="I111" s="769">
        <f t="shared" si="4"/>
        <v>0</v>
      </c>
      <c r="J111" s="776">
        <f t="shared" si="5"/>
        <v>0</v>
      </c>
    </row>
    <row r="112" spans="1:10" ht="124.95" customHeight="1">
      <c r="A112" s="749" t="s">
        <v>279</v>
      </c>
      <c r="B112" s="714" t="s">
        <v>280</v>
      </c>
      <c r="C112" s="738" t="s">
        <v>37</v>
      </c>
      <c r="D112" s="754">
        <v>153.96600000000001</v>
      </c>
      <c r="E112" s="703">
        <v>27734.200142857142</v>
      </c>
      <c r="F112" s="753">
        <f t="shared" si="6"/>
        <v>4270123.9000000004</v>
      </c>
      <c r="G112" s="754">
        <v>153.96600000000001</v>
      </c>
      <c r="H112" s="703">
        <v>21318.478353571427</v>
      </c>
      <c r="I112" s="770">
        <f t="shared" si="4"/>
        <v>3282320.8381859786</v>
      </c>
      <c r="J112" s="777">
        <f t="shared" si="5"/>
        <v>987803.06181402178</v>
      </c>
    </row>
    <row r="113" spans="1:10" ht="15">
      <c r="A113" s="751">
        <v>7.2</v>
      </c>
      <c r="B113" s="737" t="s">
        <v>1800</v>
      </c>
      <c r="C113" s="739"/>
      <c r="D113" s="751"/>
      <c r="E113" s="649"/>
      <c r="F113" s="752"/>
      <c r="G113" s="751"/>
      <c r="H113" s="649"/>
      <c r="I113" s="769">
        <f t="shared" si="4"/>
        <v>0</v>
      </c>
      <c r="J113" s="776">
        <f t="shared" si="5"/>
        <v>0</v>
      </c>
    </row>
    <row r="114" spans="1:10" ht="15">
      <c r="A114" s="751" t="s">
        <v>1817</v>
      </c>
      <c r="B114" s="737" t="s">
        <v>1812</v>
      </c>
      <c r="C114" s="739" t="s">
        <v>2378</v>
      </c>
      <c r="D114" s="751"/>
      <c r="E114" s="649"/>
      <c r="F114" s="752"/>
      <c r="G114" s="751"/>
      <c r="H114" s="649"/>
      <c r="I114" s="769">
        <f t="shared" si="4"/>
        <v>0</v>
      </c>
      <c r="J114" s="776">
        <f t="shared" si="5"/>
        <v>0</v>
      </c>
    </row>
    <row r="115" spans="1:10" ht="60">
      <c r="A115" s="749" t="s">
        <v>282</v>
      </c>
      <c r="B115" s="714" t="s">
        <v>273</v>
      </c>
      <c r="C115" s="738" t="s">
        <v>37</v>
      </c>
      <c r="D115" s="754">
        <v>257.37299999999999</v>
      </c>
      <c r="E115" s="703">
        <v>32055.561552499999</v>
      </c>
      <c r="F115" s="753">
        <f t="shared" si="6"/>
        <v>8250236</v>
      </c>
      <c r="G115" s="754">
        <v>157.37300000000002</v>
      </c>
      <c r="H115" s="703">
        <v>25692.722540000002</v>
      </c>
      <c r="I115" s="770">
        <f t="shared" si="4"/>
        <v>4043340.8242874211</v>
      </c>
      <c r="J115" s="777">
        <f t="shared" si="5"/>
        <v>4206895.1757125789</v>
      </c>
    </row>
    <row r="116" spans="1:10" ht="15">
      <c r="A116" s="751" t="s">
        <v>1818</v>
      </c>
      <c r="B116" s="737" t="s">
        <v>1814</v>
      </c>
      <c r="C116" s="739"/>
      <c r="D116" s="751"/>
      <c r="E116" s="649"/>
      <c r="F116" s="752"/>
      <c r="G116" s="751"/>
      <c r="H116" s="649"/>
      <c r="I116" s="769">
        <f t="shared" si="4"/>
        <v>0</v>
      </c>
      <c r="J116" s="776">
        <f t="shared" si="5"/>
        <v>0</v>
      </c>
    </row>
    <row r="117" spans="1:10" ht="75">
      <c r="A117" s="749" t="s">
        <v>285</v>
      </c>
      <c r="B117" s="714" t="s">
        <v>276</v>
      </c>
      <c r="C117" s="738" t="s">
        <v>37</v>
      </c>
      <c r="D117" s="754">
        <v>94.305000000000007</v>
      </c>
      <c r="E117" s="703">
        <v>25725.740125</v>
      </c>
      <c r="F117" s="753">
        <f t="shared" si="6"/>
        <v>2426065.9</v>
      </c>
      <c r="G117" s="754">
        <v>94.305000000000007</v>
      </c>
      <c r="H117" s="703">
        <v>19530.764824999998</v>
      </c>
      <c r="I117" s="770">
        <f t="shared" si="4"/>
        <v>1841848.776821625</v>
      </c>
      <c r="J117" s="777">
        <f t="shared" si="5"/>
        <v>584217.12317837495</v>
      </c>
    </row>
    <row r="118" spans="1:10" ht="15">
      <c r="A118" s="751" t="s">
        <v>1819</v>
      </c>
      <c r="B118" s="737" t="s">
        <v>1820</v>
      </c>
      <c r="C118" s="739" t="s">
        <v>2378</v>
      </c>
      <c r="D118" s="751"/>
      <c r="E118" s="649"/>
      <c r="F118" s="752"/>
      <c r="G118" s="751"/>
      <c r="H118" s="649"/>
      <c r="I118" s="769">
        <f t="shared" si="4"/>
        <v>0</v>
      </c>
      <c r="J118" s="776">
        <f t="shared" si="5"/>
        <v>0</v>
      </c>
    </row>
    <row r="119" spans="1:10" ht="120">
      <c r="A119" s="749" t="s">
        <v>286</v>
      </c>
      <c r="B119" s="714" t="s">
        <v>280</v>
      </c>
      <c r="C119" s="738" t="s">
        <v>37</v>
      </c>
      <c r="D119" s="754">
        <v>94.305000000000007</v>
      </c>
      <c r="E119" s="703">
        <v>27734.200142857142</v>
      </c>
      <c r="F119" s="753">
        <f t="shared" si="6"/>
        <v>2615473.7000000002</v>
      </c>
      <c r="G119" s="754">
        <v>94.305000000000007</v>
      </c>
      <c r="H119" s="703">
        <v>21318.478353571427</v>
      </c>
      <c r="I119" s="770">
        <f t="shared" si="4"/>
        <v>2010439.1011335535</v>
      </c>
      <c r="J119" s="777">
        <f t="shared" si="5"/>
        <v>605034.59886644664</v>
      </c>
    </row>
    <row r="120" spans="1:10" ht="120">
      <c r="A120" s="749" t="s">
        <v>287</v>
      </c>
      <c r="B120" s="714" t="s">
        <v>288</v>
      </c>
      <c r="C120" s="738" t="s">
        <v>18</v>
      </c>
      <c r="D120" s="754">
        <v>1</v>
      </c>
      <c r="E120" s="703">
        <v>479168.02150000003</v>
      </c>
      <c r="F120" s="753">
        <f t="shared" si="6"/>
        <v>479168</v>
      </c>
      <c r="G120" s="754">
        <v>1</v>
      </c>
      <c r="H120" s="703">
        <v>412956.299</v>
      </c>
      <c r="I120" s="770">
        <f t="shared" si="4"/>
        <v>412956.299</v>
      </c>
      <c r="J120" s="777">
        <f t="shared" si="5"/>
        <v>66211.701000000001</v>
      </c>
    </row>
    <row r="121" spans="1:10" ht="15">
      <c r="A121" s="751">
        <v>7.3</v>
      </c>
      <c r="B121" s="737" t="s">
        <v>1802</v>
      </c>
      <c r="C121" s="739"/>
      <c r="D121" s="751"/>
      <c r="E121" s="649"/>
      <c r="F121" s="752"/>
      <c r="G121" s="751"/>
      <c r="H121" s="649"/>
      <c r="I121" s="769">
        <f t="shared" si="4"/>
        <v>0</v>
      </c>
      <c r="J121" s="776">
        <f t="shared" si="5"/>
        <v>0</v>
      </c>
    </row>
    <row r="122" spans="1:10" ht="15">
      <c r="A122" s="751" t="s">
        <v>1821</v>
      </c>
      <c r="B122" s="737" t="s">
        <v>1812</v>
      </c>
      <c r="C122" s="739"/>
      <c r="D122" s="751"/>
      <c r="E122" s="649"/>
      <c r="F122" s="752"/>
      <c r="G122" s="751"/>
      <c r="H122" s="649"/>
      <c r="I122" s="769">
        <f t="shared" si="4"/>
        <v>0</v>
      </c>
      <c r="J122" s="776">
        <f t="shared" si="5"/>
        <v>0</v>
      </c>
    </row>
    <row r="123" spans="1:10" ht="60">
      <c r="A123" s="749" t="s">
        <v>290</v>
      </c>
      <c r="B123" s="714" t="s">
        <v>273</v>
      </c>
      <c r="C123" s="738" t="s">
        <v>37</v>
      </c>
      <c r="D123" s="754">
        <v>507.34649999999999</v>
      </c>
      <c r="E123" s="703">
        <v>32055.561552499999</v>
      </c>
      <c r="F123" s="753">
        <f t="shared" si="6"/>
        <v>16263277</v>
      </c>
      <c r="G123" s="754">
        <v>407.34650000000005</v>
      </c>
      <c r="H123" s="703">
        <v>25692.722540000002</v>
      </c>
      <c r="I123" s="770">
        <f t="shared" si="4"/>
        <v>10465840.602140112</v>
      </c>
      <c r="J123" s="777">
        <f t="shared" si="5"/>
        <v>5797436.3978598882</v>
      </c>
    </row>
    <row r="124" spans="1:10" ht="15">
      <c r="A124" s="751" t="s">
        <v>1822</v>
      </c>
      <c r="B124" s="737" t="s">
        <v>1814</v>
      </c>
      <c r="C124" s="739"/>
      <c r="D124" s="751"/>
      <c r="E124" s="649"/>
      <c r="F124" s="752"/>
      <c r="G124" s="751"/>
      <c r="H124" s="649"/>
      <c r="I124" s="769">
        <f t="shared" si="4"/>
        <v>0</v>
      </c>
      <c r="J124" s="776">
        <f t="shared" si="5"/>
        <v>0</v>
      </c>
    </row>
    <row r="125" spans="1:10" ht="75">
      <c r="A125" s="749" t="s">
        <v>291</v>
      </c>
      <c r="B125" s="714" t="s">
        <v>276</v>
      </c>
      <c r="C125" s="738" t="s">
        <v>37</v>
      </c>
      <c r="D125" s="754">
        <v>187.83449999999996</v>
      </c>
      <c r="E125" s="703">
        <v>25725.740125</v>
      </c>
      <c r="F125" s="753">
        <f t="shared" si="6"/>
        <v>4832181.5</v>
      </c>
      <c r="G125" s="754">
        <v>187.83449999999996</v>
      </c>
      <c r="H125" s="703">
        <v>19530.764824999998</v>
      </c>
      <c r="I125" s="770">
        <f t="shared" si="4"/>
        <v>3668551.4455214613</v>
      </c>
      <c r="J125" s="777">
        <f t="shared" si="5"/>
        <v>1163630.0544785387</v>
      </c>
    </row>
    <row r="126" spans="1:10" ht="15">
      <c r="A126" s="751" t="s">
        <v>1823</v>
      </c>
      <c r="B126" s="737" t="s">
        <v>1820</v>
      </c>
      <c r="C126" s="739" t="s">
        <v>2378</v>
      </c>
      <c r="D126" s="751"/>
      <c r="E126" s="649"/>
      <c r="F126" s="752"/>
      <c r="G126" s="751"/>
      <c r="H126" s="649"/>
      <c r="I126" s="769">
        <f t="shared" si="4"/>
        <v>0</v>
      </c>
      <c r="J126" s="776">
        <f t="shared" si="5"/>
        <v>0</v>
      </c>
    </row>
    <row r="127" spans="1:10" ht="120">
      <c r="A127" s="749" t="s">
        <v>292</v>
      </c>
      <c r="B127" s="714" t="s">
        <v>280</v>
      </c>
      <c r="C127" s="738" t="s">
        <v>37</v>
      </c>
      <c r="D127" s="754">
        <v>187.83449999999996</v>
      </c>
      <c r="E127" s="703">
        <v>27734.200142857142</v>
      </c>
      <c r="F127" s="753">
        <f t="shared" si="6"/>
        <v>5209439.5999999996</v>
      </c>
      <c r="G127" s="754">
        <v>187.83449999999996</v>
      </c>
      <c r="H127" s="703">
        <v>21318.478353571427</v>
      </c>
      <c r="I127" s="770">
        <f t="shared" si="4"/>
        <v>4004345.7223039116</v>
      </c>
      <c r="J127" s="777">
        <f t="shared" si="5"/>
        <v>1205093.877696088</v>
      </c>
    </row>
    <row r="128" spans="1:10" ht="15">
      <c r="A128" s="751">
        <v>7.4</v>
      </c>
      <c r="B128" s="737" t="s">
        <v>1824</v>
      </c>
      <c r="C128" s="739"/>
      <c r="D128" s="751"/>
      <c r="E128" s="649"/>
      <c r="F128" s="752"/>
      <c r="G128" s="751"/>
      <c r="H128" s="649"/>
      <c r="I128" s="769">
        <f t="shared" si="4"/>
        <v>0</v>
      </c>
      <c r="J128" s="776">
        <f t="shared" si="5"/>
        <v>0</v>
      </c>
    </row>
    <row r="129" spans="1:10" ht="90">
      <c r="A129" s="749" t="s">
        <v>293</v>
      </c>
      <c r="B129" s="714" t="s">
        <v>294</v>
      </c>
      <c r="C129" s="738" t="s">
        <v>37</v>
      </c>
      <c r="D129" s="754">
        <v>38.950800000000001</v>
      </c>
      <c r="E129" s="703">
        <v>76414.460374999995</v>
      </c>
      <c r="F129" s="753">
        <f t="shared" si="6"/>
        <v>2976404.4</v>
      </c>
      <c r="G129" s="754">
        <v>38.950800000000001</v>
      </c>
      <c r="H129" s="703">
        <v>64366.366614999999</v>
      </c>
      <c r="I129" s="770">
        <f t="shared" si="4"/>
        <v>2507121.472747542</v>
      </c>
      <c r="J129" s="777">
        <f t="shared" si="5"/>
        <v>469282.92725245794</v>
      </c>
    </row>
    <row r="130" spans="1:10" ht="15">
      <c r="A130" s="751">
        <v>7.5</v>
      </c>
      <c r="B130" s="737" t="s">
        <v>1777</v>
      </c>
      <c r="C130" s="739"/>
      <c r="D130" s="751"/>
      <c r="E130" s="649"/>
      <c r="F130" s="752"/>
      <c r="G130" s="751"/>
      <c r="H130" s="649"/>
      <c r="I130" s="769">
        <f t="shared" si="4"/>
        <v>0</v>
      </c>
      <c r="J130" s="776">
        <f t="shared" si="5"/>
        <v>0</v>
      </c>
    </row>
    <row r="131" spans="1:10" ht="15">
      <c r="A131" s="751" t="s">
        <v>1825</v>
      </c>
      <c r="B131" s="737" t="s">
        <v>1812</v>
      </c>
      <c r="C131" s="739"/>
      <c r="D131" s="751"/>
      <c r="E131" s="649"/>
      <c r="F131" s="752"/>
      <c r="G131" s="751"/>
      <c r="H131" s="649"/>
      <c r="I131" s="769">
        <f t="shared" si="4"/>
        <v>0</v>
      </c>
      <c r="J131" s="776">
        <f t="shared" si="5"/>
        <v>0</v>
      </c>
    </row>
    <row r="132" spans="1:10" ht="60">
      <c r="A132" s="749" t="s">
        <v>299</v>
      </c>
      <c r="B132" s="714" t="s">
        <v>273</v>
      </c>
      <c r="C132" s="738" t="s">
        <v>37</v>
      </c>
      <c r="D132" s="754">
        <v>400.58</v>
      </c>
      <c r="E132" s="703">
        <v>32055.561552499999</v>
      </c>
      <c r="F132" s="753">
        <f t="shared" si="6"/>
        <v>12840816.800000001</v>
      </c>
      <c r="G132" s="754">
        <v>300.58000000000004</v>
      </c>
      <c r="H132" s="703">
        <v>25692.722540000002</v>
      </c>
      <c r="I132" s="770">
        <f t="shared" si="4"/>
        <v>7722718.5410732022</v>
      </c>
      <c r="J132" s="777">
        <f t="shared" si="5"/>
        <v>5118098.2589267986</v>
      </c>
    </row>
    <row r="133" spans="1:10" ht="15">
      <c r="A133" s="751" t="s">
        <v>1826</v>
      </c>
      <c r="B133" s="737" t="s">
        <v>1814</v>
      </c>
      <c r="C133" s="739"/>
      <c r="D133" s="751"/>
      <c r="E133" s="649"/>
      <c r="F133" s="752"/>
      <c r="G133" s="751"/>
      <c r="H133" s="649"/>
      <c r="I133" s="769">
        <f t="shared" si="4"/>
        <v>0</v>
      </c>
      <c r="J133" s="776">
        <f t="shared" si="5"/>
        <v>0</v>
      </c>
    </row>
    <row r="134" spans="1:10" ht="75">
      <c r="A134" s="749" t="s">
        <v>300</v>
      </c>
      <c r="B134" s="702" t="s">
        <v>276</v>
      </c>
      <c r="C134" s="738" t="s">
        <v>37</v>
      </c>
      <c r="D134" s="754">
        <v>96.919999999999987</v>
      </c>
      <c r="E134" s="703">
        <v>25725.740125</v>
      </c>
      <c r="F134" s="753">
        <f t="shared" si="6"/>
        <v>2493338.7000000002</v>
      </c>
      <c r="G134" s="754">
        <v>96.919999999999987</v>
      </c>
      <c r="H134" s="703">
        <v>19530.764824999998</v>
      </c>
      <c r="I134" s="770">
        <f t="shared" si="4"/>
        <v>1892921.7268389997</v>
      </c>
      <c r="J134" s="777">
        <f t="shared" si="5"/>
        <v>600416.97316100053</v>
      </c>
    </row>
    <row r="135" spans="1:10" ht="15">
      <c r="A135" s="751" t="s">
        <v>1827</v>
      </c>
      <c r="B135" s="737" t="s">
        <v>1820</v>
      </c>
      <c r="C135" s="739" t="s">
        <v>2378</v>
      </c>
      <c r="D135" s="751"/>
      <c r="E135" s="649"/>
      <c r="F135" s="752"/>
      <c r="G135" s="751"/>
      <c r="H135" s="649"/>
      <c r="I135" s="769">
        <f t="shared" si="4"/>
        <v>0</v>
      </c>
      <c r="J135" s="776">
        <f t="shared" si="5"/>
        <v>0</v>
      </c>
    </row>
    <row r="136" spans="1:10" ht="120">
      <c r="A136" s="749" t="s">
        <v>301</v>
      </c>
      <c r="B136" s="714" t="s">
        <v>280</v>
      </c>
      <c r="C136" s="738" t="s">
        <v>37</v>
      </c>
      <c r="D136" s="754">
        <v>96.919999999999987</v>
      </c>
      <c r="E136" s="703">
        <v>27734.200142857142</v>
      </c>
      <c r="F136" s="753">
        <f t="shared" si="6"/>
        <v>2687998.7</v>
      </c>
      <c r="G136" s="754">
        <v>96.919999999999987</v>
      </c>
      <c r="H136" s="703">
        <v>21318.478353571427</v>
      </c>
      <c r="I136" s="770">
        <f t="shared" si="4"/>
        <v>2066186.9220281425</v>
      </c>
      <c r="J136" s="777">
        <f t="shared" si="5"/>
        <v>621811.77797185769</v>
      </c>
    </row>
    <row r="137" spans="1:10" ht="120">
      <c r="A137" s="749" t="s">
        <v>302</v>
      </c>
      <c r="B137" s="714" t="s">
        <v>288</v>
      </c>
      <c r="C137" s="738" t="s">
        <v>18</v>
      </c>
      <c r="D137" s="754">
        <v>1</v>
      </c>
      <c r="E137" s="703">
        <v>479168.02150000003</v>
      </c>
      <c r="F137" s="753">
        <f t="shared" si="6"/>
        <v>479168</v>
      </c>
      <c r="G137" s="754">
        <v>1</v>
      </c>
      <c r="H137" s="703">
        <v>412956.299</v>
      </c>
      <c r="I137" s="770">
        <f t="shared" si="4"/>
        <v>412956.299</v>
      </c>
      <c r="J137" s="777">
        <f t="shared" si="5"/>
        <v>66211.701000000001</v>
      </c>
    </row>
    <row r="138" spans="1:10" ht="15">
      <c r="A138" s="751">
        <v>8</v>
      </c>
      <c r="B138" s="737" t="s">
        <v>1828</v>
      </c>
      <c r="C138" s="739" t="s">
        <v>2378</v>
      </c>
      <c r="D138" s="751"/>
      <c r="E138" s="649"/>
      <c r="F138" s="752"/>
      <c r="G138" s="751"/>
      <c r="H138" s="649"/>
      <c r="I138" s="769">
        <f t="shared" si="4"/>
        <v>0</v>
      </c>
      <c r="J138" s="776">
        <f t="shared" si="5"/>
        <v>0</v>
      </c>
    </row>
    <row r="139" spans="1:10" ht="15">
      <c r="A139" s="751" t="s">
        <v>1829</v>
      </c>
      <c r="B139" s="737" t="s">
        <v>1830</v>
      </c>
      <c r="C139" s="739" t="s">
        <v>2378</v>
      </c>
      <c r="D139" s="751"/>
      <c r="E139" s="649"/>
      <c r="F139" s="752"/>
      <c r="G139" s="751"/>
      <c r="H139" s="649"/>
      <c r="I139" s="769">
        <f t="shared" ref="I139:I208" si="7">+H139*G139</f>
        <v>0</v>
      </c>
      <c r="J139" s="776">
        <f t="shared" ref="J139:J208" si="8">+F139-I139</f>
        <v>0</v>
      </c>
    </row>
    <row r="140" spans="1:10" ht="15">
      <c r="A140" s="751" t="s">
        <v>1831</v>
      </c>
      <c r="B140" s="737" t="s">
        <v>1797</v>
      </c>
      <c r="C140" s="739"/>
      <c r="D140" s="751"/>
      <c r="E140" s="649"/>
      <c r="F140" s="752"/>
      <c r="G140" s="751"/>
      <c r="H140" s="649"/>
      <c r="I140" s="769">
        <f t="shared" si="7"/>
        <v>0</v>
      </c>
      <c r="J140" s="776">
        <f t="shared" si="8"/>
        <v>0</v>
      </c>
    </row>
    <row r="141" spans="1:10" ht="150">
      <c r="A141" s="749" t="s">
        <v>303</v>
      </c>
      <c r="B141" s="714" t="s">
        <v>304</v>
      </c>
      <c r="C141" s="738" t="s">
        <v>37</v>
      </c>
      <c r="D141" s="754">
        <v>79.067599999999985</v>
      </c>
      <c r="E141" s="703">
        <v>274164.58410533809</v>
      </c>
      <c r="F141" s="753">
        <f t="shared" si="6"/>
        <v>21677535.699999999</v>
      </c>
      <c r="G141" s="754">
        <v>79.067599999999985</v>
      </c>
      <c r="H141" s="703">
        <v>223590.33189155604</v>
      </c>
      <c r="I141" s="770">
        <f t="shared" si="7"/>
        <v>17678750.925868794</v>
      </c>
      <c r="J141" s="777">
        <f t="shared" si="8"/>
        <v>3998784.7741312049</v>
      </c>
    </row>
    <row r="142" spans="1:10" ht="75">
      <c r="A142" s="749" t="s">
        <v>312</v>
      </c>
      <c r="B142" s="714" t="s">
        <v>313</v>
      </c>
      <c r="C142" s="738" t="s">
        <v>100</v>
      </c>
      <c r="D142" s="754">
        <v>47.51</v>
      </c>
      <c r="E142" s="703">
        <v>40378.511635375005</v>
      </c>
      <c r="F142" s="753">
        <f t="shared" si="6"/>
        <v>1918383.1</v>
      </c>
      <c r="G142" s="754">
        <v>47.51</v>
      </c>
      <c r="H142" s="703">
        <v>31565.089509999998</v>
      </c>
      <c r="I142" s="770">
        <f t="shared" si="7"/>
        <v>1499657.4026201</v>
      </c>
      <c r="J142" s="777">
        <f t="shared" si="8"/>
        <v>418725.69737990014</v>
      </c>
    </row>
    <row r="143" spans="1:10" ht="75">
      <c r="A143" s="749" t="s">
        <v>314</v>
      </c>
      <c r="B143" s="714" t="s">
        <v>1832</v>
      </c>
      <c r="C143" s="738" t="s">
        <v>100</v>
      </c>
      <c r="D143" s="754">
        <v>142.75500000000002</v>
      </c>
      <c r="E143" s="703">
        <v>64215.057255369036</v>
      </c>
      <c r="F143" s="753">
        <f t="shared" si="6"/>
        <v>9167020.5</v>
      </c>
      <c r="G143" s="754">
        <v>142.75500000000002</v>
      </c>
      <c r="H143" s="703">
        <v>34353.839725994032</v>
      </c>
      <c r="I143" s="770">
        <f t="shared" si="7"/>
        <v>4904182.3900842788</v>
      </c>
      <c r="J143" s="777">
        <f t="shared" si="8"/>
        <v>4262838.1099157212</v>
      </c>
    </row>
    <row r="144" spans="1:10" ht="45">
      <c r="A144" s="749" t="s">
        <v>322</v>
      </c>
      <c r="B144" s="714" t="s">
        <v>323</v>
      </c>
      <c r="C144" s="738" t="s">
        <v>100</v>
      </c>
      <c r="D144" s="754">
        <v>54.89</v>
      </c>
      <c r="E144" s="703">
        <v>48973.409300000007</v>
      </c>
      <c r="F144" s="753">
        <f t="shared" si="6"/>
        <v>2688150.4</v>
      </c>
      <c r="G144" s="754">
        <v>54.89</v>
      </c>
      <c r="H144" s="703">
        <v>48365.235650000002</v>
      </c>
      <c r="I144" s="770">
        <f t="shared" si="7"/>
        <v>2654767.7848285004</v>
      </c>
      <c r="J144" s="777">
        <f t="shared" si="8"/>
        <v>33382.61517149955</v>
      </c>
    </row>
    <row r="145" spans="1:10" ht="105">
      <c r="A145" s="749" t="s">
        <v>326</v>
      </c>
      <c r="B145" s="714" t="s">
        <v>327</v>
      </c>
      <c r="C145" s="738" t="s">
        <v>37</v>
      </c>
      <c r="D145" s="754">
        <v>68</v>
      </c>
      <c r="E145" s="703">
        <v>178841.3322303009</v>
      </c>
      <c r="F145" s="753">
        <f t="shared" ref="F145:F214" si="9">ROUND(E145*D145,1)</f>
        <v>12161210.6</v>
      </c>
      <c r="G145" s="754">
        <v>68</v>
      </c>
      <c r="H145" s="703">
        <v>171099.70232768758</v>
      </c>
      <c r="I145" s="770">
        <f t="shared" si="7"/>
        <v>11634779.758282756</v>
      </c>
      <c r="J145" s="777">
        <f t="shared" si="8"/>
        <v>526430.84171724319</v>
      </c>
    </row>
    <row r="146" spans="1:10" ht="15">
      <c r="A146" s="751" t="s">
        <v>1833</v>
      </c>
      <c r="B146" s="737" t="s">
        <v>1800</v>
      </c>
      <c r="C146" s="739"/>
      <c r="D146" s="751"/>
      <c r="E146" s="649"/>
      <c r="F146" s="752"/>
      <c r="G146" s="751"/>
      <c r="H146" s="649"/>
      <c r="I146" s="769">
        <f t="shared" si="7"/>
        <v>0</v>
      </c>
      <c r="J146" s="776">
        <f t="shared" si="8"/>
        <v>0</v>
      </c>
    </row>
    <row r="147" spans="1:10" ht="120">
      <c r="A147" s="749" t="s">
        <v>336</v>
      </c>
      <c r="B147" s="714" t="s">
        <v>337</v>
      </c>
      <c r="C147" s="738" t="s">
        <v>37</v>
      </c>
      <c r="D147" s="754">
        <v>342.09100000000001</v>
      </c>
      <c r="E147" s="703">
        <v>113475.35026790807</v>
      </c>
      <c r="F147" s="753">
        <f t="shared" si="9"/>
        <v>38818896</v>
      </c>
      <c r="G147" s="754">
        <v>242.09100000000001</v>
      </c>
      <c r="H147" s="703">
        <v>95137.926764209391</v>
      </c>
      <c r="I147" s="770">
        <f t="shared" si="7"/>
        <v>23032035.828274217</v>
      </c>
      <c r="J147" s="777">
        <f t="shared" si="8"/>
        <v>15786860.171725783</v>
      </c>
    </row>
    <row r="148" spans="1:10" ht="75">
      <c r="A148" s="749" t="s">
        <v>343</v>
      </c>
      <c r="B148" s="714" t="s">
        <v>313</v>
      </c>
      <c r="C148" s="738" t="s">
        <v>100</v>
      </c>
      <c r="D148" s="754">
        <v>72.44</v>
      </c>
      <c r="E148" s="703">
        <v>40378.511635375005</v>
      </c>
      <c r="F148" s="753">
        <f t="shared" si="9"/>
        <v>2925019.4</v>
      </c>
      <c r="G148" s="754">
        <v>72.44</v>
      </c>
      <c r="H148" s="703">
        <v>31565.089509999998</v>
      </c>
      <c r="I148" s="770">
        <f t="shared" si="7"/>
        <v>2286575.0841043997</v>
      </c>
      <c r="J148" s="777">
        <f t="shared" si="8"/>
        <v>638444.31589560024</v>
      </c>
    </row>
    <row r="149" spans="1:10" ht="45">
      <c r="A149" s="749" t="s">
        <v>344</v>
      </c>
      <c r="B149" s="714" t="s">
        <v>323</v>
      </c>
      <c r="C149" s="738" t="s">
        <v>100</v>
      </c>
      <c r="D149" s="754">
        <v>4.9000000000000004</v>
      </c>
      <c r="E149" s="703">
        <v>48099.983512500003</v>
      </c>
      <c r="F149" s="753">
        <f t="shared" si="9"/>
        <v>235689.9</v>
      </c>
      <c r="G149" s="754">
        <v>4.9000000000000004</v>
      </c>
      <c r="H149" s="703">
        <v>47758.744012499999</v>
      </c>
      <c r="I149" s="770">
        <f t="shared" si="7"/>
        <v>234017.84566125</v>
      </c>
      <c r="J149" s="777">
        <f t="shared" si="8"/>
        <v>1672.0543387499929</v>
      </c>
    </row>
    <row r="150" spans="1:10" ht="15">
      <c r="A150" s="751" t="s">
        <v>1834</v>
      </c>
      <c r="B150" s="737" t="s">
        <v>1802</v>
      </c>
      <c r="C150" s="739"/>
      <c r="D150" s="751"/>
      <c r="E150" s="649"/>
      <c r="F150" s="752"/>
      <c r="G150" s="751"/>
      <c r="H150" s="649"/>
      <c r="I150" s="769">
        <f t="shared" si="7"/>
        <v>0</v>
      </c>
      <c r="J150" s="776">
        <f t="shared" si="8"/>
        <v>0</v>
      </c>
    </row>
    <row r="151" spans="1:10" ht="90">
      <c r="A151" s="749" t="s">
        <v>345</v>
      </c>
      <c r="B151" s="714" t="s">
        <v>1835</v>
      </c>
      <c r="C151" s="738" t="s">
        <v>37</v>
      </c>
      <c r="D151" s="754">
        <v>77.72</v>
      </c>
      <c r="E151" s="703">
        <v>254701.78308104508</v>
      </c>
      <c r="F151" s="753">
        <f t="shared" si="9"/>
        <v>19795422.600000001</v>
      </c>
      <c r="G151" s="754">
        <v>77.72</v>
      </c>
      <c r="H151" s="703">
        <v>251246.42911229507</v>
      </c>
      <c r="I151" s="770">
        <f t="shared" si="7"/>
        <v>19526872.470607571</v>
      </c>
      <c r="J151" s="777">
        <f t="shared" si="8"/>
        <v>268550.12939243019</v>
      </c>
    </row>
    <row r="152" spans="1:10" ht="180">
      <c r="A152" s="749" t="s">
        <v>351</v>
      </c>
      <c r="B152" s="714" t="s">
        <v>352</v>
      </c>
      <c r="C152" s="738" t="s">
        <v>37</v>
      </c>
      <c r="D152" s="754">
        <v>22.528400000000001</v>
      </c>
      <c r="E152" s="703">
        <v>159631.46436035002</v>
      </c>
      <c r="F152" s="753">
        <f t="shared" si="9"/>
        <v>3596241.5</v>
      </c>
      <c r="G152" s="754">
        <v>22.528400000000001</v>
      </c>
      <c r="H152" s="703">
        <v>124138.47756035</v>
      </c>
      <c r="I152" s="770">
        <f t="shared" si="7"/>
        <v>2796641.2778705889</v>
      </c>
      <c r="J152" s="777">
        <f t="shared" si="8"/>
        <v>799600.22212941106</v>
      </c>
    </row>
    <row r="153" spans="1:10" ht="150">
      <c r="A153" s="749" t="s">
        <v>354</v>
      </c>
      <c r="B153" s="714" t="s">
        <v>355</v>
      </c>
      <c r="C153" s="738" t="s">
        <v>37</v>
      </c>
      <c r="D153" s="754">
        <v>692.6425999999999</v>
      </c>
      <c r="E153" s="703">
        <v>274164.58410533809</v>
      </c>
      <c r="F153" s="753">
        <f t="shared" si="9"/>
        <v>189898070.40000001</v>
      </c>
      <c r="G153" s="754">
        <v>692.6425999999999</v>
      </c>
      <c r="H153" s="703">
        <v>223590.33189155604</v>
      </c>
      <c r="I153" s="770">
        <f t="shared" si="7"/>
        <v>154868188.81623027</v>
      </c>
      <c r="J153" s="777">
        <f t="shared" si="8"/>
        <v>35029881.583769739</v>
      </c>
    </row>
    <row r="154" spans="1:10" ht="60">
      <c r="A154" s="749" t="s">
        <v>357</v>
      </c>
      <c r="B154" s="714" t="s">
        <v>1836</v>
      </c>
      <c r="C154" s="738" t="s">
        <v>37</v>
      </c>
      <c r="D154" s="754">
        <v>9.5808</v>
      </c>
      <c r="E154" s="703">
        <v>1896818.1541022717</v>
      </c>
      <c r="F154" s="753">
        <f t="shared" si="9"/>
        <v>18173035.399999999</v>
      </c>
      <c r="G154" s="754">
        <v>9.5808</v>
      </c>
      <c r="H154" s="703">
        <v>1843808.0955572184</v>
      </c>
      <c r="I154" s="770">
        <f t="shared" si="7"/>
        <v>17665156.6019146</v>
      </c>
      <c r="J154" s="777">
        <f t="shared" si="8"/>
        <v>507878.79808539897</v>
      </c>
    </row>
    <row r="155" spans="1:10" ht="75">
      <c r="A155" s="749" t="s">
        <v>362</v>
      </c>
      <c r="B155" s="714" t="s">
        <v>313</v>
      </c>
      <c r="C155" s="738" t="s">
        <v>100</v>
      </c>
      <c r="D155" s="754">
        <v>205.30000000000004</v>
      </c>
      <c r="E155" s="703">
        <v>40378.511635375005</v>
      </c>
      <c r="F155" s="753">
        <f t="shared" si="9"/>
        <v>8289708.4000000004</v>
      </c>
      <c r="G155" s="754">
        <v>205.30000000000004</v>
      </c>
      <c r="H155" s="703">
        <v>31565.089509999998</v>
      </c>
      <c r="I155" s="770">
        <f t="shared" si="7"/>
        <v>6480312.8764030011</v>
      </c>
      <c r="J155" s="777">
        <f t="shared" si="8"/>
        <v>1809395.5235969992</v>
      </c>
    </row>
    <row r="156" spans="1:10" ht="15">
      <c r="A156" s="751" t="s">
        <v>1837</v>
      </c>
      <c r="B156" s="737" t="s">
        <v>1777</v>
      </c>
      <c r="C156" s="739"/>
      <c r="D156" s="751"/>
      <c r="E156" s="649"/>
      <c r="F156" s="752"/>
      <c r="G156" s="751"/>
      <c r="H156" s="649"/>
      <c r="I156" s="769">
        <f t="shared" si="7"/>
        <v>0</v>
      </c>
      <c r="J156" s="776">
        <f t="shared" si="8"/>
        <v>0</v>
      </c>
    </row>
    <row r="157" spans="1:10" ht="180">
      <c r="A157" s="749" t="s">
        <v>363</v>
      </c>
      <c r="B157" s="714" t="s">
        <v>352</v>
      </c>
      <c r="C157" s="738" t="s">
        <v>37</v>
      </c>
      <c r="D157" s="754">
        <v>108.37984999999999</v>
      </c>
      <c r="E157" s="703">
        <v>159631.46436035002</v>
      </c>
      <c r="F157" s="753">
        <f t="shared" si="9"/>
        <v>17300834.199999999</v>
      </c>
      <c r="G157" s="754">
        <v>108.37984999999999</v>
      </c>
      <c r="H157" s="703">
        <v>124138.47756035</v>
      </c>
      <c r="I157" s="770">
        <f t="shared" si="7"/>
        <v>13454109.577219099</v>
      </c>
      <c r="J157" s="777">
        <f t="shared" si="8"/>
        <v>3846724.6227809004</v>
      </c>
    </row>
    <row r="158" spans="1:10" ht="150">
      <c r="A158" s="749" t="s">
        <v>364</v>
      </c>
      <c r="B158" s="714" t="s">
        <v>304</v>
      </c>
      <c r="C158" s="738" t="s">
        <v>37</v>
      </c>
      <c r="D158" s="754">
        <v>16.996000000000002</v>
      </c>
      <c r="E158" s="703">
        <v>274164.58410533809</v>
      </c>
      <c r="F158" s="753">
        <f t="shared" si="9"/>
        <v>4659701.3</v>
      </c>
      <c r="G158" s="754">
        <v>16.996000000000002</v>
      </c>
      <c r="H158" s="703">
        <v>223590.33189155604</v>
      </c>
      <c r="I158" s="770">
        <f t="shared" si="7"/>
        <v>3800141.2808288871</v>
      </c>
      <c r="J158" s="777">
        <f t="shared" si="8"/>
        <v>859560.01917111268</v>
      </c>
    </row>
    <row r="159" spans="1:10" ht="60">
      <c r="A159" s="749" t="s">
        <v>365</v>
      </c>
      <c r="B159" s="714" t="s">
        <v>366</v>
      </c>
      <c r="C159" s="738" t="s">
        <v>37</v>
      </c>
      <c r="D159" s="754">
        <v>30.527999999999999</v>
      </c>
      <c r="E159" s="703">
        <v>123441.988125</v>
      </c>
      <c r="F159" s="753">
        <f t="shared" si="9"/>
        <v>3768437</v>
      </c>
      <c r="G159" s="754">
        <v>30.527999999999999</v>
      </c>
      <c r="H159" s="703">
        <v>89517.410625000004</v>
      </c>
      <c r="I159" s="770">
        <f t="shared" si="7"/>
        <v>2732787.51156</v>
      </c>
      <c r="J159" s="777">
        <f t="shared" si="8"/>
        <v>1035649.48844</v>
      </c>
    </row>
    <row r="160" spans="1:10" ht="75">
      <c r="A160" s="749" t="s">
        <v>370</v>
      </c>
      <c r="B160" s="714" t="s">
        <v>1838</v>
      </c>
      <c r="C160" s="738" t="s">
        <v>100</v>
      </c>
      <c r="D160" s="754">
        <v>7.67</v>
      </c>
      <c r="E160" s="703">
        <v>25854.943124999998</v>
      </c>
      <c r="F160" s="753">
        <f t="shared" si="9"/>
        <v>198307.4</v>
      </c>
      <c r="G160" s="754">
        <v>7.67</v>
      </c>
      <c r="H160" s="703">
        <v>20888.423624999999</v>
      </c>
      <c r="I160" s="770">
        <f t="shared" si="7"/>
        <v>160214.20920374998</v>
      </c>
      <c r="J160" s="777">
        <f t="shared" si="8"/>
        <v>38093.190796250012</v>
      </c>
    </row>
    <row r="161" spans="1:10" ht="60">
      <c r="A161" s="749" t="s">
        <v>375</v>
      </c>
      <c r="B161" s="714" t="s">
        <v>1839</v>
      </c>
      <c r="C161" s="738" t="s">
        <v>100</v>
      </c>
      <c r="D161" s="754">
        <v>21.92</v>
      </c>
      <c r="E161" s="703">
        <v>25208.068124999998</v>
      </c>
      <c r="F161" s="753">
        <f t="shared" si="9"/>
        <v>552560.9</v>
      </c>
      <c r="G161" s="754">
        <v>21.92</v>
      </c>
      <c r="H161" s="703">
        <v>20241.548624999999</v>
      </c>
      <c r="I161" s="770">
        <f t="shared" si="7"/>
        <v>443694.74586000002</v>
      </c>
      <c r="J161" s="777">
        <f t="shared" si="8"/>
        <v>108866.15414</v>
      </c>
    </row>
    <row r="162" spans="1:10" ht="75">
      <c r="A162" s="749" t="s">
        <v>377</v>
      </c>
      <c r="B162" s="714" t="s">
        <v>313</v>
      </c>
      <c r="C162" s="738" t="s">
        <v>100</v>
      </c>
      <c r="D162" s="754">
        <v>118.31299999999999</v>
      </c>
      <c r="E162" s="703">
        <v>40378.511635375005</v>
      </c>
      <c r="F162" s="753">
        <f t="shared" si="9"/>
        <v>4777302.8</v>
      </c>
      <c r="G162" s="754">
        <v>118.31299999999999</v>
      </c>
      <c r="H162" s="703">
        <v>31565.089509999998</v>
      </c>
      <c r="I162" s="770">
        <f t="shared" si="7"/>
        <v>3734560.4351966293</v>
      </c>
      <c r="J162" s="777">
        <f t="shared" si="8"/>
        <v>1042742.3648033706</v>
      </c>
    </row>
    <row r="163" spans="1:10" ht="90">
      <c r="A163" s="749" t="s">
        <v>2821</v>
      </c>
      <c r="B163" s="714" t="s">
        <v>2827</v>
      </c>
      <c r="C163" s="738" t="s">
        <v>100</v>
      </c>
      <c r="D163" s="754">
        <v>270</v>
      </c>
      <c r="E163" s="703">
        <v>48100</v>
      </c>
      <c r="F163" s="753">
        <v>12987000</v>
      </c>
      <c r="G163" s="754"/>
      <c r="H163" s="703"/>
      <c r="I163" s="770"/>
      <c r="J163" s="777">
        <v>12987000</v>
      </c>
    </row>
    <row r="164" spans="1:10" ht="15">
      <c r="A164" s="749" t="s">
        <v>2822</v>
      </c>
      <c r="B164" s="714" t="s">
        <v>2828</v>
      </c>
      <c r="C164" s="738" t="s">
        <v>37</v>
      </c>
      <c r="D164" s="754">
        <v>90</v>
      </c>
      <c r="E164" s="703">
        <v>43000</v>
      </c>
      <c r="F164" s="753">
        <v>3870000</v>
      </c>
      <c r="G164" s="754"/>
      <c r="H164" s="703"/>
      <c r="I164" s="770"/>
      <c r="J164" s="777">
        <v>3870000</v>
      </c>
    </row>
    <row r="165" spans="1:10" ht="45">
      <c r="A165" s="749" t="s">
        <v>2823</v>
      </c>
      <c r="B165" s="714" t="s">
        <v>2829</v>
      </c>
      <c r="C165" s="738" t="s">
        <v>37</v>
      </c>
      <c r="D165" s="754">
        <v>500</v>
      </c>
      <c r="E165" s="703">
        <v>25000</v>
      </c>
      <c r="F165" s="753">
        <v>12500000</v>
      </c>
      <c r="G165" s="754"/>
      <c r="H165" s="703"/>
      <c r="I165" s="770"/>
      <c r="J165" s="777">
        <v>12500000</v>
      </c>
    </row>
    <row r="166" spans="1:10" ht="90">
      <c r="A166" s="749" t="s">
        <v>2824</v>
      </c>
      <c r="B166" s="714" t="s">
        <v>2830</v>
      </c>
      <c r="C166" s="738" t="s">
        <v>37</v>
      </c>
      <c r="D166" s="754">
        <v>200</v>
      </c>
      <c r="E166" s="703">
        <v>12500</v>
      </c>
      <c r="F166" s="753">
        <v>2500000</v>
      </c>
      <c r="G166" s="754"/>
      <c r="H166" s="703"/>
      <c r="I166" s="770"/>
      <c r="J166" s="777">
        <v>2500000</v>
      </c>
    </row>
    <row r="167" spans="1:10" ht="105">
      <c r="A167" s="749" t="s">
        <v>2825</v>
      </c>
      <c r="B167" s="714" t="s">
        <v>2831</v>
      </c>
      <c r="C167" s="738" t="s">
        <v>39</v>
      </c>
      <c r="D167" s="754">
        <v>30</v>
      </c>
      <c r="E167" s="703">
        <v>220000</v>
      </c>
      <c r="F167" s="753">
        <v>6600000</v>
      </c>
      <c r="G167" s="754"/>
      <c r="H167" s="703"/>
      <c r="I167" s="770"/>
      <c r="J167" s="777">
        <v>6600000</v>
      </c>
    </row>
    <row r="168" spans="1:10" ht="15">
      <c r="A168" s="749" t="s">
        <v>2826</v>
      </c>
      <c r="B168" s="714" t="s">
        <v>2832</v>
      </c>
      <c r="C168" s="738" t="s">
        <v>1620</v>
      </c>
      <c r="D168" s="754">
        <v>1</v>
      </c>
      <c r="E168" s="703">
        <v>570000</v>
      </c>
      <c r="F168" s="753">
        <v>570000</v>
      </c>
      <c r="G168" s="754"/>
      <c r="H168" s="703"/>
      <c r="I168" s="770"/>
      <c r="J168" s="777">
        <v>570000</v>
      </c>
    </row>
    <row r="169" spans="1:10" ht="45" customHeight="1">
      <c r="A169" s="751">
        <v>10</v>
      </c>
      <c r="B169" s="737" t="s">
        <v>1840</v>
      </c>
      <c r="C169" s="739" t="s">
        <v>2378</v>
      </c>
      <c r="D169" s="751"/>
      <c r="E169" s="649"/>
      <c r="F169" s="752"/>
      <c r="G169" s="751"/>
      <c r="H169" s="649"/>
      <c r="I169" s="769">
        <f t="shared" si="7"/>
        <v>0</v>
      </c>
      <c r="J169" s="776">
        <f t="shared" si="8"/>
        <v>0</v>
      </c>
    </row>
    <row r="170" spans="1:10" ht="15">
      <c r="A170" s="751">
        <v>10.1</v>
      </c>
      <c r="B170" s="737" t="s">
        <v>1841</v>
      </c>
      <c r="C170" s="739" t="s">
        <v>2378</v>
      </c>
      <c r="D170" s="751"/>
      <c r="E170" s="649"/>
      <c r="F170" s="752"/>
      <c r="G170" s="751"/>
      <c r="H170" s="649"/>
      <c r="I170" s="769">
        <f t="shared" si="7"/>
        <v>0</v>
      </c>
      <c r="J170" s="776">
        <f t="shared" si="8"/>
        <v>0</v>
      </c>
    </row>
    <row r="171" spans="1:10" ht="105">
      <c r="A171" s="749" t="s">
        <v>1842</v>
      </c>
      <c r="B171" s="714" t="s">
        <v>1843</v>
      </c>
      <c r="C171" s="738" t="s">
        <v>28</v>
      </c>
      <c r="D171" s="754">
        <v>25</v>
      </c>
      <c r="E171" s="705">
        <v>731734.80537500011</v>
      </c>
      <c r="F171" s="753">
        <f t="shared" si="9"/>
        <v>18293370.100000001</v>
      </c>
      <c r="G171" s="754">
        <v>25</v>
      </c>
      <c r="H171" s="705">
        <v>665415.31087500008</v>
      </c>
      <c r="I171" s="770">
        <f t="shared" si="7"/>
        <v>16635382.771875001</v>
      </c>
      <c r="J171" s="777">
        <f t="shared" si="8"/>
        <v>1657987.328125</v>
      </c>
    </row>
    <row r="172" spans="1:10" ht="120">
      <c r="A172" s="749" t="s">
        <v>1844</v>
      </c>
      <c r="B172" s="714" t="s">
        <v>1845</v>
      </c>
      <c r="C172" s="738" t="s">
        <v>28</v>
      </c>
      <c r="D172" s="754">
        <v>9</v>
      </c>
      <c r="E172" s="705">
        <v>731734.80537500011</v>
      </c>
      <c r="F172" s="753">
        <f t="shared" si="9"/>
        <v>6585613.2000000002</v>
      </c>
      <c r="G172" s="754">
        <v>9</v>
      </c>
      <c r="H172" s="705">
        <v>665415.31087500008</v>
      </c>
      <c r="I172" s="770">
        <f t="shared" si="7"/>
        <v>5988737.7978750011</v>
      </c>
      <c r="J172" s="777">
        <f t="shared" si="8"/>
        <v>596875.40212499909</v>
      </c>
    </row>
    <row r="173" spans="1:10" ht="120">
      <c r="A173" s="749" t="s">
        <v>1846</v>
      </c>
      <c r="B173" s="714" t="s">
        <v>1847</v>
      </c>
      <c r="C173" s="738" t="s">
        <v>28</v>
      </c>
      <c r="D173" s="754">
        <v>3</v>
      </c>
      <c r="E173" s="705">
        <v>639412.80537500011</v>
      </c>
      <c r="F173" s="753">
        <f t="shared" si="9"/>
        <v>1918238.4</v>
      </c>
      <c r="G173" s="754">
        <v>3</v>
      </c>
      <c r="H173" s="705">
        <v>602797.81087500008</v>
      </c>
      <c r="I173" s="770">
        <f t="shared" si="7"/>
        <v>1808393.4326250004</v>
      </c>
      <c r="J173" s="777">
        <f t="shared" si="8"/>
        <v>109844.96737499954</v>
      </c>
    </row>
    <row r="174" spans="1:10" ht="75">
      <c r="A174" s="749" t="s">
        <v>1848</v>
      </c>
      <c r="B174" s="714" t="s">
        <v>1849</v>
      </c>
      <c r="C174" s="738" t="s">
        <v>28</v>
      </c>
      <c r="D174" s="754">
        <v>11</v>
      </c>
      <c r="E174" s="705">
        <v>583212.30537500011</v>
      </c>
      <c r="F174" s="753">
        <f t="shared" si="9"/>
        <v>6415335.4000000004</v>
      </c>
      <c r="G174" s="754">
        <v>11</v>
      </c>
      <c r="H174" s="705">
        <v>502713.31087499997</v>
      </c>
      <c r="I174" s="770">
        <f t="shared" si="7"/>
        <v>5529846.4196249992</v>
      </c>
      <c r="J174" s="777">
        <f t="shared" si="8"/>
        <v>885488.98037500121</v>
      </c>
    </row>
    <row r="175" spans="1:10" ht="15">
      <c r="A175" s="751">
        <v>10.199999999999999</v>
      </c>
      <c r="B175" s="737" t="s">
        <v>1850</v>
      </c>
      <c r="C175" s="739" t="s">
        <v>2378</v>
      </c>
      <c r="D175" s="751"/>
      <c r="E175" s="649"/>
      <c r="F175" s="752"/>
      <c r="G175" s="751"/>
      <c r="H175" s="649"/>
      <c r="I175" s="769">
        <f t="shared" si="7"/>
        <v>0</v>
      </c>
      <c r="J175" s="776">
        <f t="shared" si="8"/>
        <v>0</v>
      </c>
    </row>
    <row r="176" spans="1:10" ht="60">
      <c r="A176" s="749" t="s">
        <v>378</v>
      </c>
      <c r="B176" s="714" t="s">
        <v>379</v>
      </c>
      <c r="C176" s="738" t="s">
        <v>28</v>
      </c>
      <c r="D176" s="749">
        <v>11</v>
      </c>
      <c r="E176" s="705">
        <v>232702.64674999999</v>
      </c>
      <c r="F176" s="753">
        <f t="shared" si="9"/>
        <v>2559729.1</v>
      </c>
      <c r="G176" s="749">
        <v>11</v>
      </c>
      <c r="H176" s="705">
        <v>202007.59350000002</v>
      </c>
      <c r="I176" s="770">
        <f t="shared" si="7"/>
        <v>2222083.5285</v>
      </c>
      <c r="J176" s="777">
        <f t="shared" si="8"/>
        <v>337645.57150000008</v>
      </c>
    </row>
    <row r="177" spans="1:10" ht="60">
      <c r="A177" s="749" t="s">
        <v>385</v>
      </c>
      <c r="B177" s="714" t="s">
        <v>386</v>
      </c>
      <c r="C177" s="738" t="s">
        <v>28</v>
      </c>
      <c r="D177" s="754">
        <v>12</v>
      </c>
      <c r="E177" s="703">
        <v>1281675.1467500001</v>
      </c>
      <c r="F177" s="753">
        <f t="shared" si="9"/>
        <v>15380101.800000001</v>
      </c>
      <c r="G177" s="754">
        <v>12</v>
      </c>
      <c r="H177" s="703">
        <v>1260709.0935000002</v>
      </c>
      <c r="I177" s="770">
        <f t="shared" si="7"/>
        <v>15128509.122000001</v>
      </c>
      <c r="J177" s="777">
        <f t="shared" si="8"/>
        <v>251592.67799999937</v>
      </c>
    </row>
    <row r="178" spans="1:10" ht="45">
      <c r="A178" s="749" t="s">
        <v>389</v>
      </c>
      <c r="B178" s="714" t="s">
        <v>390</v>
      </c>
      <c r="C178" s="738" t="s">
        <v>28</v>
      </c>
      <c r="D178" s="754">
        <v>1</v>
      </c>
      <c r="E178" s="703">
        <v>164392.64674999999</v>
      </c>
      <c r="F178" s="753">
        <f t="shared" si="9"/>
        <v>164392.6</v>
      </c>
      <c r="G178" s="754">
        <v>1</v>
      </c>
      <c r="H178" s="703">
        <v>158020.09350000002</v>
      </c>
      <c r="I178" s="770">
        <f t="shared" si="7"/>
        <v>158020.09350000002</v>
      </c>
      <c r="J178" s="777">
        <f t="shared" si="8"/>
        <v>6372.5064999999886</v>
      </c>
    </row>
    <row r="179" spans="1:10" ht="45">
      <c r="A179" s="749" t="s">
        <v>393</v>
      </c>
      <c r="B179" s="714" t="s">
        <v>394</v>
      </c>
      <c r="C179" s="738" t="s">
        <v>28</v>
      </c>
      <c r="D179" s="754">
        <v>9</v>
      </c>
      <c r="E179" s="703">
        <v>376178.61625000002</v>
      </c>
      <c r="F179" s="753">
        <f t="shared" si="9"/>
        <v>3385607.5</v>
      </c>
      <c r="G179" s="754">
        <v>9</v>
      </c>
      <c r="H179" s="703">
        <v>363433.50975000003</v>
      </c>
      <c r="I179" s="770">
        <f t="shared" si="7"/>
        <v>3270901.5877500004</v>
      </c>
      <c r="J179" s="777">
        <f t="shared" si="8"/>
        <v>114705.91224999959</v>
      </c>
    </row>
    <row r="180" spans="1:10" ht="75">
      <c r="A180" s="749" t="s">
        <v>398</v>
      </c>
      <c r="B180" s="714" t="s">
        <v>399</v>
      </c>
      <c r="C180" s="738" t="s">
        <v>28</v>
      </c>
      <c r="D180" s="754">
        <v>27</v>
      </c>
      <c r="E180" s="703">
        <v>437694.74674999999</v>
      </c>
      <c r="F180" s="753">
        <f t="shared" si="9"/>
        <v>11817758.199999999</v>
      </c>
      <c r="G180" s="754">
        <v>27</v>
      </c>
      <c r="H180" s="703">
        <v>362391.19349999999</v>
      </c>
      <c r="I180" s="770">
        <f t="shared" si="7"/>
        <v>9784562.2245000005</v>
      </c>
      <c r="J180" s="777">
        <f t="shared" si="8"/>
        <v>2033195.9754999988</v>
      </c>
    </row>
    <row r="181" spans="1:10" ht="15">
      <c r="A181" s="751">
        <v>10.3</v>
      </c>
      <c r="B181" s="737" t="s">
        <v>1851</v>
      </c>
      <c r="C181" s="739" t="s">
        <v>2378</v>
      </c>
      <c r="D181" s="751"/>
      <c r="E181" s="649"/>
      <c r="F181" s="752"/>
      <c r="G181" s="751"/>
      <c r="H181" s="649"/>
      <c r="I181" s="769">
        <f t="shared" si="7"/>
        <v>0</v>
      </c>
      <c r="J181" s="776">
        <f t="shared" si="8"/>
        <v>0</v>
      </c>
    </row>
    <row r="182" spans="1:10" ht="75">
      <c r="A182" s="749" t="s">
        <v>1852</v>
      </c>
      <c r="B182" s="714" t="s">
        <v>1853</v>
      </c>
      <c r="C182" s="738" t="s">
        <v>45</v>
      </c>
      <c r="D182" s="755">
        <v>5</v>
      </c>
      <c r="E182" s="705">
        <v>829817.03008875006</v>
      </c>
      <c r="F182" s="753">
        <f t="shared" si="9"/>
        <v>4149085.2</v>
      </c>
      <c r="G182" s="755">
        <v>5</v>
      </c>
      <c r="H182" s="705">
        <v>814821.83329500002</v>
      </c>
      <c r="I182" s="770">
        <f t="shared" si="7"/>
        <v>4074109.1664749999</v>
      </c>
      <c r="J182" s="777">
        <f t="shared" si="8"/>
        <v>74976.033525000326</v>
      </c>
    </row>
    <row r="183" spans="1:10" ht="75">
      <c r="A183" s="749" t="s">
        <v>402</v>
      </c>
      <c r="B183" s="714" t="s">
        <v>403</v>
      </c>
      <c r="C183" s="738" t="s">
        <v>28</v>
      </c>
      <c r="D183" s="749">
        <v>1</v>
      </c>
      <c r="E183" s="705">
        <v>215008.05</v>
      </c>
      <c r="F183" s="753">
        <f t="shared" si="9"/>
        <v>215008.1</v>
      </c>
      <c r="G183" s="749">
        <v>1</v>
      </c>
      <c r="H183" s="705">
        <v>1109096.1000000001</v>
      </c>
      <c r="I183" s="770">
        <f t="shared" si="7"/>
        <v>1109096.1000000001</v>
      </c>
      <c r="J183" s="777">
        <f t="shared" si="8"/>
        <v>-894088.00000000012</v>
      </c>
    </row>
    <row r="184" spans="1:10" ht="75">
      <c r="A184" s="749" t="s">
        <v>404</v>
      </c>
      <c r="B184" s="714" t="s">
        <v>405</v>
      </c>
      <c r="C184" s="738" t="s">
        <v>28</v>
      </c>
      <c r="D184" s="749">
        <v>1</v>
      </c>
      <c r="E184" s="705">
        <v>3149233.05</v>
      </c>
      <c r="F184" s="753">
        <f t="shared" si="9"/>
        <v>3149233.1</v>
      </c>
      <c r="G184" s="749">
        <v>1</v>
      </c>
      <c r="H184" s="705">
        <v>2739221.1</v>
      </c>
      <c r="I184" s="770">
        <f t="shared" si="7"/>
        <v>2739221.1</v>
      </c>
      <c r="J184" s="777">
        <f t="shared" si="8"/>
        <v>410012</v>
      </c>
    </row>
    <row r="185" spans="1:10" ht="60">
      <c r="A185" s="749" t="s">
        <v>406</v>
      </c>
      <c r="B185" s="714" t="s">
        <v>407</v>
      </c>
      <c r="C185" s="738" t="s">
        <v>28</v>
      </c>
      <c r="D185" s="749">
        <v>1</v>
      </c>
      <c r="E185" s="705">
        <v>4530958.05</v>
      </c>
      <c r="F185" s="753">
        <f t="shared" si="9"/>
        <v>4530958.0999999996</v>
      </c>
      <c r="G185" s="749">
        <v>1</v>
      </c>
      <c r="H185" s="705">
        <v>3282596.1</v>
      </c>
      <c r="I185" s="770">
        <f t="shared" si="7"/>
        <v>3282596.1</v>
      </c>
      <c r="J185" s="777">
        <f t="shared" si="8"/>
        <v>1248361.9999999995</v>
      </c>
    </row>
    <row r="186" spans="1:10" ht="75">
      <c r="A186" s="749" t="s">
        <v>408</v>
      </c>
      <c r="B186" s="714" t="s">
        <v>409</v>
      </c>
      <c r="C186" s="738" t="s">
        <v>28</v>
      </c>
      <c r="D186" s="749">
        <v>1</v>
      </c>
      <c r="E186" s="705">
        <v>3832333.05</v>
      </c>
      <c r="F186" s="753">
        <f t="shared" si="9"/>
        <v>3832333.1</v>
      </c>
      <c r="G186" s="749">
        <v>1</v>
      </c>
      <c r="H186" s="705">
        <v>2739221.1</v>
      </c>
      <c r="I186" s="770">
        <f t="shared" si="7"/>
        <v>2739221.1</v>
      </c>
      <c r="J186" s="777">
        <f t="shared" si="8"/>
        <v>1093112</v>
      </c>
    </row>
    <row r="187" spans="1:10" ht="45">
      <c r="A187" s="749" t="s">
        <v>410</v>
      </c>
      <c r="B187" s="714" t="s">
        <v>411</v>
      </c>
      <c r="C187" s="738" t="s">
        <v>28</v>
      </c>
      <c r="D187" s="749">
        <v>1</v>
      </c>
      <c r="E187" s="705">
        <v>3677083.05</v>
      </c>
      <c r="F187" s="753">
        <f t="shared" si="9"/>
        <v>3677083.1</v>
      </c>
      <c r="G187" s="749">
        <v>1</v>
      </c>
      <c r="H187" s="705">
        <v>2739221.1</v>
      </c>
      <c r="I187" s="770">
        <f t="shared" si="7"/>
        <v>2739221.1</v>
      </c>
      <c r="J187" s="777">
        <f t="shared" si="8"/>
        <v>937862</v>
      </c>
    </row>
    <row r="188" spans="1:10" ht="45">
      <c r="A188" s="749" t="s">
        <v>412</v>
      </c>
      <c r="B188" s="714" t="s">
        <v>413</v>
      </c>
      <c r="C188" s="738" t="s">
        <v>28</v>
      </c>
      <c r="D188" s="749">
        <v>1</v>
      </c>
      <c r="E188" s="705">
        <v>4950133.05</v>
      </c>
      <c r="F188" s="753">
        <f t="shared" si="9"/>
        <v>4950133.0999999996</v>
      </c>
      <c r="G188" s="749">
        <v>1</v>
      </c>
      <c r="H188" s="705">
        <v>4369346.0999999996</v>
      </c>
      <c r="I188" s="770">
        <f t="shared" si="7"/>
        <v>4369346.0999999996</v>
      </c>
      <c r="J188" s="777">
        <f t="shared" si="8"/>
        <v>580787</v>
      </c>
    </row>
    <row r="189" spans="1:10" ht="60">
      <c r="A189" s="749" t="s">
        <v>414</v>
      </c>
      <c r="B189" s="714" t="s">
        <v>415</v>
      </c>
      <c r="C189" s="738" t="s">
        <v>28</v>
      </c>
      <c r="D189" s="749">
        <v>1</v>
      </c>
      <c r="E189" s="705">
        <v>3056083.05</v>
      </c>
      <c r="F189" s="753">
        <f t="shared" si="9"/>
        <v>3056083.1</v>
      </c>
      <c r="G189" s="749">
        <v>1</v>
      </c>
      <c r="H189" s="705">
        <v>2195846.1</v>
      </c>
      <c r="I189" s="770">
        <f t="shared" si="7"/>
        <v>2195846.1</v>
      </c>
      <c r="J189" s="777">
        <f t="shared" si="8"/>
        <v>860237</v>
      </c>
    </row>
    <row r="190" spans="1:10" ht="45">
      <c r="A190" s="749" t="s">
        <v>416</v>
      </c>
      <c r="B190" s="714" t="s">
        <v>417</v>
      </c>
      <c r="C190" s="738" t="s">
        <v>28</v>
      </c>
      <c r="D190" s="749">
        <v>1</v>
      </c>
      <c r="E190" s="705">
        <v>3863383.05</v>
      </c>
      <c r="F190" s="753">
        <f t="shared" si="9"/>
        <v>3863383.1</v>
      </c>
      <c r="G190" s="749">
        <v>1</v>
      </c>
      <c r="H190" s="705">
        <v>2739221.1</v>
      </c>
      <c r="I190" s="770">
        <f t="shared" si="7"/>
        <v>2739221.1</v>
      </c>
      <c r="J190" s="777">
        <f t="shared" si="8"/>
        <v>1124162</v>
      </c>
    </row>
    <row r="191" spans="1:10" ht="60">
      <c r="A191" s="749" t="s">
        <v>418</v>
      </c>
      <c r="B191" s="714" t="s">
        <v>1144</v>
      </c>
      <c r="C191" s="738" t="s">
        <v>28</v>
      </c>
      <c r="D191" s="749">
        <v>2</v>
      </c>
      <c r="E191" s="705">
        <v>3180283.05</v>
      </c>
      <c r="F191" s="753">
        <f t="shared" si="9"/>
        <v>6360566.0999999996</v>
      </c>
      <c r="G191" s="749">
        <v>2</v>
      </c>
      <c r="H191" s="705">
        <v>2195846.1</v>
      </c>
      <c r="I191" s="770">
        <f t="shared" si="7"/>
        <v>4391692.2</v>
      </c>
      <c r="J191" s="777">
        <f t="shared" si="8"/>
        <v>1968873.8999999994</v>
      </c>
    </row>
    <row r="192" spans="1:10" ht="30">
      <c r="A192" s="749" t="s">
        <v>420</v>
      </c>
      <c r="B192" s="714" t="s">
        <v>1854</v>
      </c>
      <c r="C192" s="738" t="s">
        <v>100</v>
      </c>
      <c r="D192" s="749">
        <v>24.650000000000002</v>
      </c>
      <c r="E192" s="705">
        <v>1998442.425</v>
      </c>
      <c r="F192" s="753">
        <f t="shared" si="9"/>
        <v>49261605.799999997</v>
      </c>
      <c r="G192" s="749">
        <v>24.650000000000002</v>
      </c>
      <c r="H192" s="705">
        <v>1380783.6</v>
      </c>
      <c r="I192" s="770">
        <f t="shared" si="7"/>
        <v>34036315.740000002</v>
      </c>
      <c r="J192" s="777">
        <f t="shared" si="8"/>
        <v>15225290.059999995</v>
      </c>
    </row>
    <row r="193" spans="1:10" ht="15">
      <c r="A193" s="749" t="s">
        <v>423</v>
      </c>
      <c r="B193" s="714" t="s">
        <v>1855</v>
      </c>
      <c r="C193" s="738" t="s">
        <v>100</v>
      </c>
      <c r="D193" s="749">
        <v>22.22</v>
      </c>
      <c r="E193" s="705">
        <v>1998442.425</v>
      </c>
      <c r="F193" s="753">
        <f t="shared" si="9"/>
        <v>44405390.700000003</v>
      </c>
      <c r="G193" s="749">
        <v>22.22</v>
      </c>
      <c r="H193" s="705">
        <v>1380783.6</v>
      </c>
      <c r="I193" s="770">
        <f t="shared" si="7"/>
        <v>30681011.592</v>
      </c>
      <c r="J193" s="777">
        <f t="shared" si="8"/>
        <v>13724379.108000003</v>
      </c>
    </row>
    <row r="194" spans="1:10" ht="30">
      <c r="A194" s="749" t="s">
        <v>425</v>
      </c>
      <c r="B194" s="714" t="s">
        <v>426</v>
      </c>
      <c r="C194" s="738" t="s">
        <v>2379</v>
      </c>
      <c r="D194" s="749">
        <v>2.68</v>
      </c>
      <c r="E194" s="705">
        <v>1375468.8473421927</v>
      </c>
      <c r="F194" s="753">
        <f t="shared" si="9"/>
        <v>3686256.5</v>
      </c>
      <c r="G194" s="749">
        <v>2.68</v>
      </c>
      <c r="H194" s="705">
        <v>1025253.076744186</v>
      </c>
      <c r="I194" s="770">
        <f t="shared" si="7"/>
        <v>2747678.2456744188</v>
      </c>
      <c r="J194" s="777">
        <f t="shared" si="8"/>
        <v>938578.25432558125</v>
      </c>
    </row>
    <row r="195" spans="1:10" ht="15">
      <c r="A195" s="751">
        <v>10.4</v>
      </c>
      <c r="B195" s="737" t="s">
        <v>1856</v>
      </c>
      <c r="C195" s="739" t="s">
        <v>2378</v>
      </c>
      <c r="D195" s="751"/>
      <c r="E195" s="649"/>
      <c r="F195" s="752"/>
      <c r="G195" s="751"/>
      <c r="H195" s="649"/>
      <c r="I195" s="769">
        <f t="shared" si="7"/>
        <v>0</v>
      </c>
      <c r="J195" s="776">
        <f t="shared" si="8"/>
        <v>0</v>
      </c>
    </row>
    <row r="196" spans="1:10" ht="15">
      <c r="A196" s="758" t="s">
        <v>428</v>
      </c>
      <c r="B196" s="717" t="s">
        <v>429</v>
      </c>
      <c r="C196" s="742" t="s">
        <v>100</v>
      </c>
      <c r="D196" s="758">
        <v>38.11</v>
      </c>
      <c r="E196" s="706">
        <v>2122513.0499999998</v>
      </c>
      <c r="F196" s="753">
        <f t="shared" si="9"/>
        <v>80888972.299999997</v>
      </c>
      <c r="G196" s="758">
        <v>38.11</v>
      </c>
      <c r="H196" s="706">
        <v>1623491.1</v>
      </c>
      <c r="I196" s="770">
        <f t="shared" si="7"/>
        <v>61871245.821000002</v>
      </c>
      <c r="J196" s="777">
        <f t="shared" si="8"/>
        <v>19017726.478999995</v>
      </c>
    </row>
    <row r="197" spans="1:10" ht="15">
      <c r="A197" s="758" t="s">
        <v>430</v>
      </c>
      <c r="B197" s="717" t="s">
        <v>431</v>
      </c>
      <c r="C197" s="742" t="s">
        <v>28</v>
      </c>
      <c r="D197" s="758">
        <v>7</v>
      </c>
      <c r="E197" s="706">
        <v>681482.55</v>
      </c>
      <c r="F197" s="753">
        <f t="shared" si="9"/>
        <v>4770377.9000000004</v>
      </c>
      <c r="G197" s="758">
        <v>7</v>
      </c>
      <c r="H197" s="706">
        <v>515006.1</v>
      </c>
      <c r="I197" s="770">
        <f t="shared" si="7"/>
        <v>3605042.6999999997</v>
      </c>
      <c r="J197" s="777">
        <f t="shared" si="8"/>
        <v>1165335.2000000007</v>
      </c>
    </row>
    <row r="198" spans="1:10" ht="15">
      <c r="A198" s="758" t="s">
        <v>432</v>
      </c>
      <c r="B198" s="717" t="s">
        <v>433</v>
      </c>
      <c r="C198" s="742" t="s">
        <v>28</v>
      </c>
      <c r="D198" s="758">
        <v>25</v>
      </c>
      <c r="E198" s="706">
        <v>1753018.05</v>
      </c>
      <c r="F198" s="753">
        <f t="shared" si="9"/>
        <v>43825451.299999997</v>
      </c>
      <c r="G198" s="758">
        <v>25</v>
      </c>
      <c r="H198" s="706">
        <v>1352528.1</v>
      </c>
      <c r="I198" s="770">
        <f t="shared" si="7"/>
        <v>33813202.5</v>
      </c>
      <c r="J198" s="777">
        <f t="shared" si="8"/>
        <v>10012248.799999997</v>
      </c>
    </row>
    <row r="199" spans="1:10" ht="15">
      <c r="A199" s="751">
        <v>10.5</v>
      </c>
      <c r="B199" s="737" t="s">
        <v>1857</v>
      </c>
      <c r="C199" s="739" t="s">
        <v>2378</v>
      </c>
      <c r="D199" s="751"/>
      <c r="E199" s="649"/>
      <c r="F199" s="752"/>
      <c r="G199" s="751"/>
      <c r="H199" s="649"/>
      <c r="I199" s="769">
        <f t="shared" si="7"/>
        <v>0</v>
      </c>
      <c r="J199" s="776">
        <f t="shared" si="8"/>
        <v>0</v>
      </c>
    </row>
    <row r="200" spans="1:10" ht="45">
      <c r="A200" s="758" t="s">
        <v>434</v>
      </c>
      <c r="B200" s="717" t="s">
        <v>435</v>
      </c>
      <c r="C200" s="742" t="s">
        <v>28</v>
      </c>
      <c r="D200" s="758">
        <v>7</v>
      </c>
      <c r="E200" s="706">
        <v>490400.85</v>
      </c>
      <c r="F200" s="753">
        <f t="shared" si="9"/>
        <v>3432806</v>
      </c>
      <c r="G200" s="758">
        <v>7</v>
      </c>
      <c r="H200" s="706">
        <v>434203.64999999997</v>
      </c>
      <c r="I200" s="770">
        <f t="shared" si="7"/>
        <v>3039425.55</v>
      </c>
      <c r="J200" s="777">
        <f t="shared" si="8"/>
        <v>393380.45000000019</v>
      </c>
    </row>
    <row r="201" spans="1:10" ht="60">
      <c r="A201" s="758" t="s">
        <v>438</v>
      </c>
      <c r="B201" s="717" t="s">
        <v>439</v>
      </c>
      <c r="C201" s="742" t="s">
        <v>28</v>
      </c>
      <c r="D201" s="758">
        <v>2</v>
      </c>
      <c r="E201" s="706">
        <v>222745.71</v>
      </c>
      <c r="F201" s="753">
        <f t="shared" si="9"/>
        <v>445491.4</v>
      </c>
      <c r="G201" s="758">
        <v>2</v>
      </c>
      <c r="H201" s="706">
        <v>191523.06</v>
      </c>
      <c r="I201" s="770">
        <f t="shared" si="7"/>
        <v>383046.12</v>
      </c>
      <c r="J201" s="777">
        <f t="shared" si="8"/>
        <v>62445.280000000028</v>
      </c>
    </row>
    <row r="202" spans="1:10" ht="60">
      <c r="A202" s="758" t="s">
        <v>440</v>
      </c>
      <c r="B202" s="717" t="s">
        <v>441</v>
      </c>
      <c r="C202" s="742" t="s">
        <v>28</v>
      </c>
      <c r="D202" s="758">
        <v>20</v>
      </c>
      <c r="E202" s="706">
        <v>75179.55</v>
      </c>
      <c r="F202" s="753">
        <f t="shared" si="9"/>
        <v>1503591</v>
      </c>
      <c r="G202" s="758">
        <v>20</v>
      </c>
      <c r="H202" s="706">
        <v>68817.600000000006</v>
      </c>
      <c r="I202" s="770">
        <f t="shared" si="7"/>
        <v>1376352</v>
      </c>
      <c r="J202" s="777">
        <f t="shared" si="8"/>
        <v>127239</v>
      </c>
    </row>
    <row r="203" spans="1:10" ht="60">
      <c r="A203" s="758" t="s">
        <v>443</v>
      </c>
      <c r="B203" s="717" t="s">
        <v>444</v>
      </c>
      <c r="C203" s="742" t="s">
        <v>28</v>
      </c>
      <c r="D203" s="758">
        <v>25</v>
      </c>
      <c r="E203" s="706">
        <v>226551.72099999999</v>
      </c>
      <c r="F203" s="753">
        <f t="shared" si="9"/>
        <v>5663793</v>
      </c>
      <c r="G203" s="758">
        <v>25</v>
      </c>
      <c r="H203" s="706">
        <v>168344.91075000001</v>
      </c>
      <c r="I203" s="770">
        <f t="shared" si="7"/>
        <v>4208622.7687499998</v>
      </c>
      <c r="J203" s="777">
        <f t="shared" si="8"/>
        <v>1455170.2312500002</v>
      </c>
    </row>
    <row r="204" spans="1:10" ht="15">
      <c r="A204" s="751">
        <v>10.6</v>
      </c>
      <c r="B204" s="722" t="s">
        <v>1858</v>
      </c>
      <c r="C204" s="743" t="s">
        <v>2378</v>
      </c>
      <c r="D204" s="759"/>
      <c r="E204" s="723"/>
      <c r="F204" s="760"/>
      <c r="G204" s="759"/>
      <c r="H204" s="723"/>
      <c r="I204" s="772">
        <f t="shared" si="7"/>
        <v>0</v>
      </c>
      <c r="J204" s="779">
        <f t="shared" si="8"/>
        <v>0</v>
      </c>
    </row>
    <row r="205" spans="1:10" ht="60">
      <c r="A205" s="758" t="s">
        <v>447</v>
      </c>
      <c r="B205" s="717" t="s">
        <v>448</v>
      </c>
      <c r="C205" s="742" t="s">
        <v>28</v>
      </c>
      <c r="D205" s="758">
        <v>1</v>
      </c>
      <c r="E205" s="706">
        <v>651808.38099999994</v>
      </c>
      <c r="F205" s="753">
        <f t="shared" si="9"/>
        <v>651808.4</v>
      </c>
      <c r="G205" s="758">
        <v>1</v>
      </c>
      <c r="H205" s="706">
        <v>533012.67074999993</v>
      </c>
      <c r="I205" s="770">
        <f t="shared" si="7"/>
        <v>533012.67074999993</v>
      </c>
      <c r="J205" s="777">
        <f t="shared" si="8"/>
        <v>118795.72925000009</v>
      </c>
    </row>
    <row r="206" spans="1:10" ht="60">
      <c r="A206" s="758" t="s">
        <v>453</v>
      </c>
      <c r="B206" s="717" t="s">
        <v>454</v>
      </c>
      <c r="C206" s="742" t="s">
        <v>28</v>
      </c>
      <c r="D206" s="758">
        <v>3</v>
      </c>
      <c r="E206" s="706">
        <v>2429652.7209999999</v>
      </c>
      <c r="F206" s="753">
        <f t="shared" si="9"/>
        <v>7288958.2000000002</v>
      </c>
      <c r="G206" s="758">
        <v>3</v>
      </c>
      <c r="H206" s="706">
        <v>2114248.4107500003</v>
      </c>
      <c r="I206" s="770">
        <f t="shared" si="7"/>
        <v>6342745.2322500013</v>
      </c>
      <c r="J206" s="777">
        <f t="shared" si="8"/>
        <v>946212.9677499989</v>
      </c>
    </row>
    <row r="207" spans="1:10" ht="15" customHeight="1">
      <c r="A207" s="751">
        <v>11</v>
      </c>
      <c r="B207" s="737" t="s">
        <v>1859</v>
      </c>
      <c r="C207" s="739" t="s">
        <v>2378</v>
      </c>
      <c r="D207" s="751"/>
      <c r="E207" s="649"/>
      <c r="F207" s="752"/>
      <c r="G207" s="751"/>
      <c r="H207" s="649"/>
      <c r="I207" s="769">
        <f t="shared" si="7"/>
        <v>0</v>
      </c>
      <c r="J207" s="776">
        <f t="shared" si="8"/>
        <v>0</v>
      </c>
    </row>
    <row r="208" spans="1:10" ht="15">
      <c r="A208" s="751" t="s">
        <v>1860</v>
      </c>
      <c r="B208" s="737" t="s">
        <v>1861</v>
      </c>
      <c r="C208" s="739" t="s">
        <v>2378</v>
      </c>
      <c r="D208" s="751"/>
      <c r="E208" s="649"/>
      <c r="F208" s="752"/>
      <c r="G208" s="751"/>
      <c r="H208" s="649"/>
      <c r="I208" s="769">
        <f t="shared" si="7"/>
        <v>0</v>
      </c>
      <c r="J208" s="776">
        <f t="shared" si="8"/>
        <v>0</v>
      </c>
    </row>
    <row r="209" spans="1:10" ht="150">
      <c r="A209" s="749" t="s">
        <v>456</v>
      </c>
      <c r="B209" s="714" t="s">
        <v>457</v>
      </c>
      <c r="C209" s="738" t="s">
        <v>28</v>
      </c>
      <c r="D209" s="749">
        <v>8</v>
      </c>
      <c r="E209" s="703">
        <v>2926708.05</v>
      </c>
      <c r="F209" s="753">
        <f t="shared" si="9"/>
        <v>23413664.399999999</v>
      </c>
      <c r="G209" s="749">
        <v>8</v>
      </c>
      <c r="H209" s="703">
        <v>1623491.1</v>
      </c>
      <c r="I209" s="770">
        <f t="shared" ref="I209:I272" si="10">+H209*G209</f>
        <v>12987928.800000001</v>
      </c>
      <c r="J209" s="777">
        <f t="shared" ref="J209:J272" si="11">+F209-I209</f>
        <v>10425735.599999998</v>
      </c>
    </row>
    <row r="210" spans="1:10" ht="150">
      <c r="A210" s="749" t="s">
        <v>459</v>
      </c>
      <c r="B210" s="714" t="s">
        <v>460</v>
      </c>
      <c r="C210" s="738" t="s">
        <v>28</v>
      </c>
      <c r="D210" s="749">
        <v>2</v>
      </c>
      <c r="E210" s="703">
        <v>2305708.0499999998</v>
      </c>
      <c r="F210" s="753">
        <f t="shared" si="9"/>
        <v>4611416.0999999996</v>
      </c>
      <c r="G210" s="749">
        <v>2</v>
      </c>
      <c r="H210" s="703">
        <v>1623491.1</v>
      </c>
      <c r="I210" s="770">
        <f t="shared" si="10"/>
        <v>3246982.2</v>
      </c>
      <c r="J210" s="777">
        <f t="shared" si="11"/>
        <v>1364433.8999999994</v>
      </c>
    </row>
    <row r="211" spans="1:10" ht="150">
      <c r="A211" s="749" t="s">
        <v>461</v>
      </c>
      <c r="B211" s="714" t="s">
        <v>462</v>
      </c>
      <c r="C211" s="738" t="s">
        <v>28</v>
      </c>
      <c r="D211" s="749">
        <v>1</v>
      </c>
      <c r="E211" s="703">
        <v>2616208.0499999998</v>
      </c>
      <c r="F211" s="753">
        <f t="shared" si="9"/>
        <v>2616208.1</v>
      </c>
      <c r="G211" s="749">
        <v>1</v>
      </c>
      <c r="H211" s="703">
        <v>1253996.1000000001</v>
      </c>
      <c r="I211" s="770">
        <f t="shared" si="10"/>
        <v>1253996.1000000001</v>
      </c>
      <c r="J211" s="777">
        <f t="shared" si="11"/>
        <v>1362212</v>
      </c>
    </row>
    <row r="212" spans="1:10" ht="150">
      <c r="A212" s="749" t="s">
        <v>463</v>
      </c>
      <c r="B212" s="714" t="s">
        <v>464</v>
      </c>
      <c r="C212" s="738" t="s">
        <v>28</v>
      </c>
      <c r="D212" s="749">
        <v>10</v>
      </c>
      <c r="E212" s="703">
        <v>3237208.05</v>
      </c>
      <c r="F212" s="753">
        <f t="shared" si="9"/>
        <v>32372080.5</v>
      </c>
      <c r="G212" s="749">
        <v>10</v>
      </c>
      <c r="H212" s="703">
        <v>1253996.1000000001</v>
      </c>
      <c r="I212" s="770">
        <f t="shared" si="10"/>
        <v>12539961</v>
      </c>
      <c r="J212" s="777">
        <f t="shared" si="11"/>
        <v>19832119.5</v>
      </c>
    </row>
    <row r="213" spans="1:10" ht="150">
      <c r="A213" s="749" t="s">
        <v>465</v>
      </c>
      <c r="B213" s="714" t="s">
        <v>466</v>
      </c>
      <c r="C213" s="738" t="s">
        <v>28</v>
      </c>
      <c r="D213" s="749">
        <v>2</v>
      </c>
      <c r="E213" s="703">
        <v>4065208.05</v>
      </c>
      <c r="F213" s="753">
        <f t="shared" si="9"/>
        <v>8130416.0999999996</v>
      </c>
      <c r="G213" s="749">
        <v>2</v>
      </c>
      <c r="H213" s="703">
        <v>2239316.1</v>
      </c>
      <c r="I213" s="770">
        <f t="shared" si="10"/>
        <v>4478632.2</v>
      </c>
      <c r="J213" s="777">
        <f t="shared" si="11"/>
        <v>3651783.8999999994</v>
      </c>
    </row>
    <row r="214" spans="1:10" ht="150">
      <c r="A214" s="749" t="s">
        <v>467</v>
      </c>
      <c r="B214" s="714" t="s">
        <v>468</v>
      </c>
      <c r="C214" s="738" t="s">
        <v>28</v>
      </c>
      <c r="D214" s="749">
        <v>2</v>
      </c>
      <c r="E214" s="703">
        <v>4168708.05</v>
      </c>
      <c r="F214" s="753">
        <f t="shared" si="9"/>
        <v>8337416.0999999996</v>
      </c>
      <c r="G214" s="749">
        <v>2</v>
      </c>
      <c r="H214" s="703">
        <v>2239316.1</v>
      </c>
      <c r="I214" s="770">
        <f t="shared" si="10"/>
        <v>4478632.2</v>
      </c>
      <c r="J214" s="777">
        <f t="shared" si="11"/>
        <v>3858783.8999999994</v>
      </c>
    </row>
    <row r="215" spans="1:10" ht="150">
      <c r="A215" s="749" t="s">
        <v>469</v>
      </c>
      <c r="B215" s="714" t="s">
        <v>470</v>
      </c>
      <c r="C215" s="738" t="s">
        <v>28</v>
      </c>
      <c r="D215" s="749">
        <v>3</v>
      </c>
      <c r="E215" s="703">
        <v>3351058.05</v>
      </c>
      <c r="F215" s="753">
        <f t="shared" ref="F215:F278" si="12">ROUND(E215*D215,1)</f>
        <v>10053174.199999999</v>
      </c>
      <c r="G215" s="749">
        <v>3</v>
      </c>
      <c r="H215" s="703">
        <v>1992986.1</v>
      </c>
      <c r="I215" s="770">
        <f t="shared" si="10"/>
        <v>5978958.3000000007</v>
      </c>
      <c r="J215" s="777">
        <f t="shared" si="11"/>
        <v>4074215.8999999985</v>
      </c>
    </row>
    <row r="216" spans="1:10" ht="120">
      <c r="A216" s="749" t="s">
        <v>471</v>
      </c>
      <c r="B216" s="714" t="s">
        <v>472</v>
      </c>
      <c r="C216" s="738" t="s">
        <v>28</v>
      </c>
      <c r="D216" s="749">
        <v>29</v>
      </c>
      <c r="E216" s="703">
        <v>2409208.0499999998</v>
      </c>
      <c r="F216" s="753">
        <f t="shared" si="12"/>
        <v>69867033.5</v>
      </c>
      <c r="G216" s="749">
        <v>29</v>
      </c>
      <c r="H216" s="703">
        <v>1253996.1000000001</v>
      </c>
      <c r="I216" s="770">
        <f t="shared" si="10"/>
        <v>36365886.900000006</v>
      </c>
      <c r="J216" s="777">
        <f t="shared" si="11"/>
        <v>33501146.599999994</v>
      </c>
    </row>
    <row r="217" spans="1:10" ht="120">
      <c r="A217" s="749" t="s">
        <v>473</v>
      </c>
      <c r="B217" s="714" t="s">
        <v>474</v>
      </c>
      <c r="C217" s="738" t="s">
        <v>28</v>
      </c>
      <c r="D217" s="749">
        <v>1</v>
      </c>
      <c r="E217" s="703">
        <v>2616208.0499999998</v>
      </c>
      <c r="F217" s="753">
        <f t="shared" si="12"/>
        <v>2616208.1</v>
      </c>
      <c r="G217" s="749">
        <v>1</v>
      </c>
      <c r="H217" s="703">
        <v>1253996.1000000001</v>
      </c>
      <c r="I217" s="770">
        <f t="shared" si="10"/>
        <v>1253996.1000000001</v>
      </c>
      <c r="J217" s="777">
        <f t="shared" si="11"/>
        <v>1362212</v>
      </c>
    </row>
    <row r="218" spans="1:10" ht="120">
      <c r="A218" s="749" t="s">
        <v>475</v>
      </c>
      <c r="B218" s="714" t="s">
        <v>476</v>
      </c>
      <c r="C218" s="738" t="s">
        <v>28</v>
      </c>
      <c r="D218" s="749">
        <v>18</v>
      </c>
      <c r="E218" s="703">
        <v>2616208.0499999998</v>
      </c>
      <c r="F218" s="753">
        <f t="shared" si="12"/>
        <v>47091744.899999999</v>
      </c>
      <c r="G218" s="749">
        <v>18</v>
      </c>
      <c r="H218" s="703">
        <v>1253996.1000000001</v>
      </c>
      <c r="I218" s="770">
        <f t="shared" si="10"/>
        <v>22571929.800000001</v>
      </c>
      <c r="J218" s="777">
        <f t="shared" si="11"/>
        <v>24519815.099999998</v>
      </c>
    </row>
    <row r="219" spans="1:10" ht="120">
      <c r="A219" s="749" t="s">
        <v>477</v>
      </c>
      <c r="B219" s="714" t="s">
        <v>478</v>
      </c>
      <c r="C219" s="738" t="s">
        <v>28</v>
      </c>
      <c r="D219" s="749">
        <v>1</v>
      </c>
      <c r="E219" s="703">
        <v>2305708.0499999998</v>
      </c>
      <c r="F219" s="753">
        <f t="shared" si="12"/>
        <v>2305708.1</v>
      </c>
      <c r="G219" s="749">
        <v>1</v>
      </c>
      <c r="H219" s="703">
        <v>1867357.8</v>
      </c>
      <c r="I219" s="770">
        <f t="shared" si="10"/>
        <v>1867357.8</v>
      </c>
      <c r="J219" s="777">
        <f t="shared" si="11"/>
        <v>438350.30000000005</v>
      </c>
    </row>
    <row r="220" spans="1:10" ht="120">
      <c r="A220" s="749" t="s">
        <v>479</v>
      </c>
      <c r="B220" s="714" t="s">
        <v>480</v>
      </c>
      <c r="C220" s="738" t="s">
        <v>28</v>
      </c>
      <c r="D220" s="749">
        <v>2</v>
      </c>
      <c r="E220" s="703">
        <v>4065208.05</v>
      </c>
      <c r="F220" s="753">
        <f t="shared" si="12"/>
        <v>8130416.0999999996</v>
      </c>
      <c r="G220" s="749">
        <v>2</v>
      </c>
      <c r="H220" s="703">
        <v>3840461.1</v>
      </c>
      <c r="I220" s="770">
        <f t="shared" si="10"/>
        <v>7680922.2000000002</v>
      </c>
      <c r="J220" s="777">
        <f t="shared" si="11"/>
        <v>449493.89999999944</v>
      </c>
    </row>
    <row r="221" spans="1:10" ht="120">
      <c r="A221" s="749" t="s">
        <v>481</v>
      </c>
      <c r="B221" s="714" t="s">
        <v>482</v>
      </c>
      <c r="C221" s="738" t="s">
        <v>28</v>
      </c>
      <c r="D221" s="749">
        <v>1</v>
      </c>
      <c r="E221" s="703">
        <v>2409208.0499999998</v>
      </c>
      <c r="F221" s="753">
        <f t="shared" si="12"/>
        <v>2409208.1</v>
      </c>
      <c r="G221" s="749">
        <v>1</v>
      </c>
      <c r="H221" s="703">
        <v>1869821.1</v>
      </c>
      <c r="I221" s="770">
        <f t="shared" si="10"/>
        <v>1869821.1</v>
      </c>
      <c r="J221" s="777">
        <f t="shared" si="11"/>
        <v>539387</v>
      </c>
    </row>
    <row r="222" spans="1:10" ht="135">
      <c r="A222" s="749" t="s">
        <v>483</v>
      </c>
      <c r="B222" s="714" t="s">
        <v>484</v>
      </c>
      <c r="C222" s="738" t="s">
        <v>28</v>
      </c>
      <c r="D222" s="749">
        <v>1</v>
      </c>
      <c r="E222" s="703">
        <v>2512708.0499999998</v>
      </c>
      <c r="F222" s="753">
        <f t="shared" si="12"/>
        <v>2512708.1</v>
      </c>
      <c r="G222" s="749">
        <v>1</v>
      </c>
      <c r="H222" s="703">
        <v>1869821.1</v>
      </c>
      <c r="I222" s="770">
        <f t="shared" si="10"/>
        <v>1869821.1</v>
      </c>
      <c r="J222" s="777">
        <f t="shared" si="11"/>
        <v>642887</v>
      </c>
    </row>
    <row r="223" spans="1:10" ht="135">
      <c r="A223" s="749" t="s">
        <v>485</v>
      </c>
      <c r="B223" s="714" t="s">
        <v>486</v>
      </c>
      <c r="C223" s="738" t="s">
        <v>28</v>
      </c>
      <c r="D223" s="749">
        <v>2</v>
      </c>
      <c r="E223" s="703">
        <v>2616208.0499999998</v>
      </c>
      <c r="F223" s="753">
        <f t="shared" si="12"/>
        <v>5232416.0999999996</v>
      </c>
      <c r="G223" s="749">
        <v>2</v>
      </c>
      <c r="H223" s="703">
        <v>2113687.8000000003</v>
      </c>
      <c r="I223" s="770">
        <f t="shared" si="10"/>
        <v>4227375.6000000006</v>
      </c>
      <c r="J223" s="777">
        <f t="shared" si="11"/>
        <v>1005040.4999999991</v>
      </c>
    </row>
    <row r="224" spans="1:10" ht="120">
      <c r="A224" s="749" t="s">
        <v>487</v>
      </c>
      <c r="B224" s="714" t="s">
        <v>488</v>
      </c>
      <c r="C224" s="738" t="s">
        <v>28</v>
      </c>
      <c r="D224" s="749">
        <v>3</v>
      </c>
      <c r="E224" s="703">
        <v>2616208.0499999998</v>
      </c>
      <c r="F224" s="753">
        <f t="shared" si="12"/>
        <v>7848624.2000000002</v>
      </c>
      <c r="G224" s="749">
        <v>3</v>
      </c>
      <c r="H224" s="703">
        <v>2027472.3</v>
      </c>
      <c r="I224" s="770">
        <f t="shared" si="10"/>
        <v>6082416.9000000004</v>
      </c>
      <c r="J224" s="777">
        <f t="shared" si="11"/>
        <v>1766207.2999999998</v>
      </c>
    </row>
    <row r="225" spans="1:10" ht="150">
      <c r="A225" s="749" t="s">
        <v>489</v>
      </c>
      <c r="B225" s="714" t="s">
        <v>1862</v>
      </c>
      <c r="C225" s="738" t="s">
        <v>37</v>
      </c>
      <c r="D225" s="749">
        <v>7.4249999999999998</v>
      </c>
      <c r="E225" s="705">
        <v>1581208.05</v>
      </c>
      <c r="F225" s="753">
        <f t="shared" si="12"/>
        <v>11740469.800000001</v>
      </c>
      <c r="G225" s="749">
        <v>7.4249999999999998</v>
      </c>
      <c r="H225" s="705">
        <v>734695.96666666667</v>
      </c>
      <c r="I225" s="770">
        <f t="shared" si="10"/>
        <v>5455117.5525000002</v>
      </c>
      <c r="J225" s="777">
        <f t="shared" si="11"/>
        <v>6285352.2475000005</v>
      </c>
    </row>
    <row r="226" spans="1:10" ht="150">
      <c r="A226" s="749" t="s">
        <v>491</v>
      </c>
      <c r="B226" s="714" t="s">
        <v>492</v>
      </c>
      <c r="C226" s="738" t="s">
        <v>37</v>
      </c>
      <c r="D226" s="749">
        <v>53.297999999999995</v>
      </c>
      <c r="E226" s="705">
        <v>1891708.05</v>
      </c>
      <c r="F226" s="753">
        <f t="shared" si="12"/>
        <v>100824255.59999999</v>
      </c>
      <c r="G226" s="749">
        <v>53.297999999999995</v>
      </c>
      <c r="H226" s="705">
        <v>808820.26413373859</v>
      </c>
      <c r="I226" s="770">
        <f t="shared" si="10"/>
        <v>43108502.437799998</v>
      </c>
      <c r="J226" s="777">
        <f t="shared" si="11"/>
        <v>57715753.162199996</v>
      </c>
    </row>
    <row r="227" spans="1:10" ht="60">
      <c r="A227" s="749" t="s">
        <v>493</v>
      </c>
      <c r="B227" s="714" t="s">
        <v>494</v>
      </c>
      <c r="C227" s="738" t="s">
        <v>28</v>
      </c>
      <c r="D227" s="749">
        <v>3</v>
      </c>
      <c r="E227" s="703">
        <v>3547708.05</v>
      </c>
      <c r="F227" s="753">
        <f t="shared" si="12"/>
        <v>10643124.199999999</v>
      </c>
      <c r="G227" s="749">
        <v>3</v>
      </c>
      <c r="H227" s="703">
        <v>2239316.1</v>
      </c>
      <c r="I227" s="770">
        <f t="shared" si="10"/>
        <v>6717948.3000000007</v>
      </c>
      <c r="J227" s="777">
        <f t="shared" si="11"/>
        <v>3925175.8999999985</v>
      </c>
    </row>
    <row r="228" spans="1:10" ht="60">
      <c r="A228" s="749" t="s">
        <v>495</v>
      </c>
      <c r="B228" s="714" t="s">
        <v>496</v>
      </c>
      <c r="C228" s="738" t="s">
        <v>28</v>
      </c>
      <c r="D228" s="749">
        <v>1</v>
      </c>
      <c r="E228" s="703">
        <v>2512708.0499999998</v>
      </c>
      <c r="F228" s="753">
        <f t="shared" si="12"/>
        <v>2512708.1</v>
      </c>
      <c r="G228" s="749">
        <v>1</v>
      </c>
      <c r="H228" s="703">
        <v>1315578.6000000001</v>
      </c>
      <c r="I228" s="770">
        <f t="shared" si="10"/>
        <v>1315578.6000000001</v>
      </c>
      <c r="J228" s="777">
        <f t="shared" si="11"/>
        <v>1197129.5</v>
      </c>
    </row>
    <row r="229" spans="1:10" ht="60">
      <c r="A229" s="749" t="s">
        <v>497</v>
      </c>
      <c r="B229" s="714" t="s">
        <v>498</v>
      </c>
      <c r="C229" s="738" t="s">
        <v>100</v>
      </c>
      <c r="D229" s="749">
        <v>6.4</v>
      </c>
      <c r="E229" s="703">
        <v>1016000</v>
      </c>
      <c r="F229" s="753">
        <f t="shared" si="12"/>
        <v>6502400</v>
      </c>
      <c r="G229" s="749">
        <v>6.4</v>
      </c>
      <c r="H229" s="703">
        <v>271938.204669</v>
      </c>
      <c r="I229" s="770">
        <f t="shared" si="10"/>
        <v>1740404.5098816</v>
      </c>
      <c r="J229" s="777">
        <f t="shared" si="11"/>
        <v>4761995.4901184002</v>
      </c>
    </row>
    <row r="230" spans="1:10" ht="210" customHeight="1">
      <c r="A230" s="749" t="s">
        <v>503</v>
      </c>
      <c r="B230" s="714" t="s">
        <v>504</v>
      </c>
      <c r="C230" s="738" t="s">
        <v>100</v>
      </c>
      <c r="D230" s="749">
        <v>318.17</v>
      </c>
      <c r="E230" s="705">
        <v>902300</v>
      </c>
      <c r="F230" s="753">
        <f t="shared" si="12"/>
        <v>287084791</v>
      </c>
      <c r="G230" s="749">
        <v>318.17</v>
      </c>
      <c r="H230" s="705">
        <v>505589.454669</v>
      </c>
      <c r="I230" s="770">
        <f t="shared" si="10"/>
        <v>160863396.79203573</v>
      </c>
      <c r="J230" s="777">
        <f t="shared" si="11"/>
        <v>126221394.20796427</v>
      </c>
    </row>
    <row r="231" spans="1:10" ht="15">
      <c r="A231" s="751" t="s">
        <v>1863</v>
      </c>
      <c r="B231" s="737" t="s">
        <v>1864</v>
      </c>
      <c r="C231" s="739" t="s">
        <v>2378</v>
      </c>
      <c r="D231" s="751"/>
      <c r="E231" s="649"/>
      <c r="F231" s="752"/>
      <c r="G231" s="751"/>
      <c r="H231" s="649"/>
      <c r="I231" s="769">
        <f t="shared" si="10"/>
        <v>0</v>
      </c>
      <c r="J231" s="776">
        <f t="shared" si="11"/>
        <v>0</v>
      </c>
    </row>
    <row r="232" spans="1:10" ht="150" customHeight="1">
      <c r="A232" s="749" t="s">
        <v>505</v>
      </c>
      <c r="B232" s="714" t="s">
        <v>506</v>
      </c>
      <c r="C232" s="738" t="s">
        <v>2379</v>
      </c>
      <c r="D232" s="749">
        <v>67.872</v>
      </c>
      <c r="E232" s="703">
        <v>1581208.05</v>
      </c>
      <c r="F232" s="753">
        <f t="shared" si="12"/>
        <v>107319752.8</v>
      </c>
      <c r="G232" s="749">
        <v>67.872</v>
      </c>
      <c r="H232" s="703">
        <v>766213.92178217822</v>
      </c>
      <c r="I232" s="770">
        <f t="shared" si="10"/>
        <v>52004471.299199998</v>
      </c>
      <c r="J232" s="777">
        <f t="shared" si="11"/>
        <v>55315281.500799999</v>
      </c>
    </row>
    <row r="233" spans="1:10" ht="105">
      <c r="A233" s="749" t="s">
        <v>507</v>
      </c>
      <c r="B233" s="714" t="s">
        <v>508</v>
      </c>
      <c r="C233" s="738" t="s">
        <v>2379</v>
      </c>
      <c r="D233" s="749">
        <v>13.950000000000001</v>
      </c>
      <c r="E233" s="703">
        <v>1030000</v>
      </c>
      <c r="F233" s="753">
        <f t="shared" si="12"/>
        <v>14368500</v>
      </c>
      <c r="G233" s="749">
        <v>13.950000000000001</v>
      </c>
      <c r="H233" s="703">
        <v>777758.1</v>
      </c>
      <c r="I233" s="770">
        <f t="shared" si="10"/>
        <v>10849725.495000001</v>
      </c>
      <c r="J233" s="777">
        <f t="shared" si="11"/>
        <v>3518774.504999999</v>
      </c>
    </row>
    <row r="234" spans="1:10" ht="105">
      <c r="A234" s="749" t="s">
        <v>509</v>
      </c>
      <c r="B234" s="714" t="s">
        <v>510</v>
      </c>
      <c r="C234" s="738" t="s">
        <v>2379</v>
      </c>
      <c r="D234" s="749">
        <v>37.760000000000005</v>
      </c>
      <c r="E234" s="703">
        <v>1042000</v>
      </c>
      <c r="F234" s="753">
        <f t="shared" si="12"/>
        <v>39345920</v>
      </c>
      <c r="G234" s="749">
        <v>37.760000000000005</v>
      </c>
      <c r="H234" s="703">
        <v>761336.09999999986</v>
      </c>
      <c r="I234" s="770">
        <f t="shared" si="10"/>
        <v>28748051.136</v>
      </c>
      <c r="J234" s="777">
        <f t="shared" si="11"/>
        <v>10597868.864</v>
      </c>
    </row>
    <row r="235" spans="1:10" ht="105">
      <c r="A235" s="749" t="s">
        <v>511</v>
      </c>
      <c r="B235" s="714" t="s">
        <v>512</v>
      </c>
      <c r="C235" s="738" t="s">
        <v>2379</v>
      </c>
      <c r="D235" s="749">
        <v>22.591999999999999</v>
      </c>
      <c r="E235" s="703">
        <v>1042000</v>
      </c>
      <c r="F235" s="753">
        <f t="shared" si="12"/>
        <v>23540864</v>
      </c>
      <c r="G235" s="749">
        <v>22.591999999999999</v>
      </c>
      <c r="H235" s="703">
        <v>765523.01218130311</v>
      </c>
      <c r="I235" s="770">
        <f t="shared" si="10"/>
        <v>17294695.891199999</v>
      </c>
      <c r="J235" s="777">
        <f t="shared" si="11"/>
        <v>6246168.1088000014</v>
      </c>
    </row>
    <row r="236" spans="1:10" ht="150" customHeight="1">
      <c r="A236" s="749" t="s">
        <v>513</v>
      </c>
      <c r="B236" s="714" t="s">
        <v>514</v>
      </c>
      <c r="C236" s="738" t="s">
        <v>2379</v>
      </c>
      <c r="D236" s="749">
        <v>18.399999999999999</v>
      </c>
      <c r="E236" s="703">
        <v>1056900</v>
      </c>
      <c r="F236" s="753">
        <f t="shared" si="12"/>
        <v>19446960</v>
      </c>
      <c r="G236" s="749">
        <v>18.399999999999999</v>
      </c>
      <c r="H236" s="703">
        <v>777758.10000000009</v>
      </c>
      <c r="I236" s="770">
        <f t="shared" si="10"/>
        <v>14310749.040000001</v>
      </c>
      <c r="J236" s="777">
        <f t="shared" si="11"/>
        <v>5136210.959999999</v>
      </c>
    </row>
    <row r="237" spans="1:10" ht="105">
      <c r="A237" s="749" t="s">
        <v>515</v>
      </c>
      <c r="B237" s="714" t="s">
        <v>1865</v>
      </c>
      <c r="C237" s="738" t="s">
        <v>2379</v>
      </c>
      <c r="D237" s="749">
        <v>40.120000000000005</v>
      </c>
      <c r="E237" s="703">
        <v>1042000</v>
      </c>
      <c r="F237" s="753">
        <f t="shared" si="12"/>
        <v>41805040</v>
      </c>
      <c r="G237" s="749">
        <v>40.120000000000005</v>
      </c>
      <c r="H237" s="703">
        <v>761336.09999999986</v>
      </c>
      <c r="I237" s="770">
        <f t="shared" si="10"/>
        <v>30544804.331999999</v>
      </c>
      <c r="J237" s="777">
        <f t="shared" si="11"/>
        <v>11260235.668000001</v>
      </c>
    </row>
    <row r="238" spans="1:10" ht="105">
      <c r="A238" s="749" t="s">
        <v>517</v>
      </c>
      <c r="B238" s="714" t="s">
        <v>518</v>
      </c>
      <c r="C238" s="738" t="s">
        <v>2379</v>
      </c>
      <c r="D238" s="749">
        <v>11.040000000000001</v>
      </c>
      <c r="E238" s="703">
        <v>1200000</v>
      </c>
      <c r="F238" s="753">
        <f t="shared" si="12"/>
        <v>13248000</v>
      </c>
      <c r="G238" s="749">
        <v>11.040000000000001</v>
      </c>
      <c r="H238" s="703">
        <v>761336.09999999986</v>
      </c>
      <c r="I238" s="770">
        <f t="shared" si="10"/>
        <v>8405150.5439999998</v>
      </c>
      <c r="J238" s="777">
        <f t="shared" si="11"/>
        <v>4842849.4560000002</v>
      </c>
    </row>
    <row r="239" spans="1:10" ht="105">
      <c r="A239" s="749" t="s">
        <v>519</v>
      </c>
      <c r="B239" s="714" t="s">
        <v>520</v>
      </c>
      <c r="C239" s="738" t="s">
        <v>2379</v>
      </c>
      <c r="D239" s="749">
        <v>9.66</v>
      </c>
      <c r="E239" s="703">
        <v>1200000</v>
      </c>
      <c r="F239" s="753">
        <f t="shared" si="12"/>
        <v>11592000</v>
      </c>
      <c r="G239" s="749">
        <v>9.66</v>
      </c>
      <c r="H239" s="703">
        <v>761336.1</v>
      </c>
      <c r="I239" s="770">
        <f t="shared" si="10"/>
        <v>7354506.7259999998</v>
      </c>
      <c r="J239" s="777">
        <f t="shared" si="11"/>
        <v>4237493.2740000002</v>
      </c>
    </row>
    <row r="240" spans="1:10" ht="105">
      <c r="A240" s="749" t="s">
        <v>521</v>
      </c>
      <c r="B240" s="714" t="s">
        <v>522</v>
      </c>
      <c r="C240" s="738" t="s">
        <v>2379</v>
      </c>
      <c r="D240" s="749">
        <v>7.2</v>
      </c>
      <c r="E240" s="703">
        <v>1200000</v>
      </c>
      <c r="F240" s="753">
        <f t="shared" si="12"/>
        <v>8640000</v>
      </c>
      <c r="G240" s="749">
        <v>7.2</v>
      </c>
      <c r="H240" s="703">
        <v>777758.1</v>
      </c>
      <c r="I240" s="770">
        <f t="shared" si="10"/>
        <v>5599858.3200000003</v>
      </c>
      <c r="J240" s="777">
        <f t="shared" si="11"/>
        <v>3040141.6799999997</v>
      </c>
    </row>
    <row r="241" spans="1:10" ht="105">
      <c r="A241" s="749" t="s">
        <v>523</v>
      </c>
      <c r="B241" s="714" t="s">
        <v>524</v>
      </c>
      <c r="C241" s="738" t="s">
        <v>2379</v>
      </c>
      <c r="D241" s="749">
        <v>10.302</v>
      </c>
      <c r="E241" s="703">
        <v>1350000</v>
      </c>
      <c r="F241" s="753">
        <f t="shared" si="12"/>
        <v>13907700</v>
      </c>
      <c r="G241" s="749">
        <v>10.302</v>
      </c>
      <c r="H241" s="703">
        <v>766213.92178217822</v>
      </c>
      <c r="I241" s="770">
        <f t="shared" si="10"/>
        <v>7893535.8221999994</v>
      </c>
      <c r="J241" s="777">
        <f t="shared" si="11"/>
        <v>6014164.1778000006</v>
      </c>
    </row>
    <row r="242" spans="1:10" ht="105">
      <c r="A242" s="749" t="s">
        <v>525</v>
      </c>
      <c r="B242" s="714" t="s">
        <v>524</v>
      </c>
      <c r="C242" s="738" t="s">
        <v>2379</v>
      </c>
      <c r="D242" s="749">
        <v>6.8</v>
      </c>
      <c r="E242" s="703">
        <v>1300000</v>
      </c>
      <c r="F242" s="753">
        <f t="shared" si="12"/>
        <v>8840000</v>
      </c>
      <c r="G242" s="749">
        <v>6.8</v>
      </c>
      <c r="H242" s="703">
        <v>766213.92178217822</v>
      </c>
      <c r="I242" s="770">
        <f t="shared" si="10"/>
        <v>5210254.6681188121</v>
      </c>
      <c r="J242" s="777">
        <f t="shared" si="11"/>
        <v>3629745.3318811879</v>
      </c>
    </row>
    <row r="243" spans="1:10" ht="120">
      <c r="A243" s="749" t="s">
        <v>526</v>
      </c>
      <c r="B243" s="714" t="s">
        <v>1866</v>
      </c>
      <c r="C243" s="738" t="s">
        <v>2379</v>
      </c>
      <c r="D243" s="749">
        <v>7.6</v>
      </c>
      <c r="E243" s="703">
        <v>1200000</v>
      </c>
      <c r="F243" s="753">
        <f t="shared" si="12"/>
        <v>9120000</v>
      </c>
      <c r="G243" s="749">
        <v>7.6</v>
      </c>
      <c r="H243" s="703">
        <v>761336.1</v>
      </c>
      <c r="I243" s="770">
        <f t="shared" si="10"/>
        <v>5786154.3599999994</v>
      </c>
      <c r="J243" s="777">
        <f t="shared" si="11"/>
        <v>3333845.6400000006</v>
      </c>
    </row>
    <row r="244" spans="1:10" ht="120">
      <c r="A244" s="749" t="s">
        <v>528</v>
      </c>
      <c r="B244" s="714" t="s">
        <v>1867</v>
      </c>
      <c r="C244" s="738" t="s">
        <v>2379</v>
      </c>
      <c r="D244" s="749">
        <v>18.928000000000001</v>
      </c>
      <c r="E244" s="703">
        <v>1100000</v>
      </c>
      <c r="F244" s="753">
        <f t="shared" si="12"/>
        <v>20820800</v>
      </c>
      <c r="G244" s="749">
        <v>18.928000000000001</v>
      </c>
      <c r="H244" s="703">
        <v>535749.6789473684</v>
      </c>
      <c r="I244" s="770">
        <f t="shared" si="10"/>
        <v>10140669.92311579</v>
      </c>
      <c r="J244" s="777">
        <f t="shared" si="11"/>
        <v>10680130.07688421</v>
      </c>
    </row>
    <row r="245" spans="1:10" ht="120">
      <c r="A245" s="749" t="s">
        <v>530</v>
      </c>
      <c r="B245" s="714" t="s">
        <v>1868</v>
      </c>
      <c r="C245" s="738" t="s">
        <v>2379</v>
      </c>
      <c r="D245" s="749">
        <v>26.400000000000002</v>
      </c>
      <c r="E245" s="703">
        <v>950000</v>
      </c>
      <c r="F245" s="753">
        <f t="shared" si="12"/>
        <v>25080000</v>
      </c>
      <c r="G245" s="749">
        <v>26.400000000000002</v>
      </c>
      <c r="H245" s="703">
        <v>564272.1</v>
      </c>
      <c r="I245" s="770">
        <f t="shared" si="10"/>
        <v>14896783.440000001</v>
      </c>
      <c r="J245" s="777">
        <f t="shared" si="11"/>
        <v>10183216.559999999</v>
      </c>
    </row>
    <row r="246" spans="1:10" ht="120">
      <c r="A246" s="749" t="s">
        <v>532</v>
      </c>
      <c r="B246" s="714" t="s">
        <v>1869</v>
      </c>
      <c r="C246" s="738" t="s">
        <v>2379</v>
      </c>
      <c r="D246" s="749">
        <v>10.720000000000002</v>
      </c>
      <c r="E246" s="703">
        <v>1291457.2124999997</v>
      </c>
      <c r="F246" s="753">
        <f t="shared" si="12"/>
        <v>13844421.300000001</v>
      </c>
      <c r="G246" s="749">
        <v>10.720000000000002</v>
      </c>
      <c r="H246" s="703">
        <v>1177017.9749999999</v>
      </c>
      <c r="I246" s="770">
        <f t="shared" si="10"/>
        <v>12617632.692000002</v>
      </c>
      <c r="J246" s="777">
        <f t="shared" si="11"/>
        <v>1226788.6079999991</v>
      </c>
    </row>
    <row r="247" spans="1:10" ht="120">
      <c r="A247" s="749" t="s">
        <v>534</v>
      </c>
      <c r="B247" s="714" t="s">
        <v>1870</v>
      </c>
      <c r="C247" s="738" t="s">
        <v>2379</v>
      </c>
      <c r="D247" s="749">
        <v>7.8100000000000005</v>
      </c>
      <c r="E247" s="703">
        <v>1056700</v>
      </c>
      <c r="F247" s="753">
        <f t="shared" si="12"/>
        <v>8252827</v>
      </c>
      <c r="G247" s="749">
        <v>7.8100000000000005</v>
      </c>
      <c r="H247" s="703">
        <v>761336.09999999986</v>
      </c>
      <c r="I247" s="770">
        <f t="shared" si="10"/>
        <v>5946034.9409999996</v>
      </c>
      <c r="J247" s="777">
        <f t="shared" si="11"/>
        <v>2306792.0590000004</v>
      </c>
    </row>
    <row r="248" spans="1:10" ht="90">
      <c r="A248" s="749" t="s">
        <v>536</v>
      </c>
      <c r="B248" s="714" t="s">
        <v>1871</v>
      </c>
      <c r="C248" s="738" t="s">
        <v>2379</v>
      </c>
      <c r="D248" s="749">
        <v>3</v>
      </c>
      <c r="E248" s="703">
        <v>950000</v>
      </c>
      <c r="F248" s="753">
        <f t="shared" si="12"/>
        <v>2850000</v>
      </c>
      <c r="G248" s="749">
        <v>3</v>
      </c>
      <c r="H248" s="703">
        <v>761336.1</v>
      </c>
      <c r="I248" s="770">
        <f t="shared" si="10"/>
        <v>2284008.2999999998</v>
      </c>
      <c r="J248" s="777">
        <f t="shared" si="11"/>
        <v>565991.70000000019</v>
      </c>
    </row>
    <row r="249" spans="1:10" ht="90">
      <c r="A249" s="749" t="s">
        <v>538</v>
      </c>
      <c r="B249" s="714" t="s">
        <v>539</v>
      </c>
      <c r="C249" s="738" t="s">
        <v>2379</v>
      </c>
      <c r="D249" s="749">
        <v>5.76</v>
      </c>
      <c r="E249" s="703">
        <v>950000</v>
      </c>
      <c r="F249" s="753">
        <f t="shared" si="12"/>
        <v>5472000</v>
      </c>
      <c r="G249" s="749">
        <v>5.76</v>
      </c>
      <c r="H249" s="703">
        <v>761336.1</v>
      </c>
      <c r="I249" s="770">
        <f t="shared" si="10"/>
        <v>4385295.9359999998</v>
      </c>
      <c r="J249" s="777">
        <f t="shared" si="11"/>
        <v>1086704.0640000002</v>
      </c>
    </row>
    <row r="250" spans="1:10" ht="135">
      <c r="A250" s="749" t="s">
        <v>540</v>
      </c>
      <c r="B250" s="714" t="s">
        <v>541</v>
      </c>
      <c r="C250" s="738" t="s">
        <v>2379</v>
      </c>
      <c r="D250" s="749">
        <v>3.8080000000000003</v>
      </c>
      <c r="E250" s="703">
        <v>1100000</v>
      </c>
      <c r="F250" s="753">
        <f t="shared" si="12"/>
        <v>4188800</v>
      </c>
      <c r="G250" s="749">
        <v>3.8080000000000003</v>
      </c>
      <c r="H250" s="703">
        <v>761336.1</v>
      </c>
      <c r="I250" s="770">
        <f t="shared" si="10"/>
        <v>2899167.8688000003</v>
      </c>
      <c r="J250" s="777">
        <f t="shared" si="11"/>
        <v>1289632.1311999997</v>
      </c>
    </row>
    <row r="251" spans="1:10" ht="195" customHeight="1">
      <c r="A251" s="749" t="s">
        <v>542</v>
      </c>
      <c r="B251" s="714" t="s">
        <v>543</v>
      </c>
      <c r="C251" s="738" t="s">
        <v>2379</v>
      </c>
      <c r="D251" s="749">
        <v>6.8169999999999993</v>
      </c>
      <c r="E251" s="703">
        <v>1150000</v>
      </c>
      <c r="F251" s="753">
        <f t="shared" si="12"/>
        <v>7839550</v>
      </c>
      <c r="G251" s="749">
        <v>6.8169999999999993</v>
      </c>
      <c r="H251" s="703">
        <v>761336.1</v>
      </c>
      <c r="I251" s="770">
        <f t="shared" si="10"/>
        <v>5190028.1936999997</v>
      </c>
      <c r="J251" s="777">
        <f t="shared" si="11"/>
        <v>2649521.8063000003</v>
      </c>
    </row>
    <row r="252" spans="1:10" ht="75">
      <c r="A252" s="749" t="s">
        <v>544</v>
      </c>
      <c r="B252" s="714" t="s">
        <v>545</v>
      </c>
      <c r="C252" s="738" t="s">
        <v>2379</v>
      </c>
      <c r="D252" s="749">
        <v>5</v>
      </c>
      <c r="E252" s="703">
        <v>1350000</v>
      </c>
      <c r="F252" s="753">
        <f t="shared" si="12"/>
        <v>6750000</v>
      </c>
      <c r="G252" s="749">
        <v>5</v>
      </c>
      <c r="H252" s="703">
        <v>790895.7</v>
      </c>
      <c r="I252" s="770">
        <f t="shared" si="10"/>
        <v>3954478.5</v>
      </c>
      <c r="J252" s="777">
        <f t="shared" si="11"/>
        <v>2795521.5</v>
      </c>
    </row>
    <row r="253" spans="1:10" ht="75">
      <c r="A253" s="749" t="s">
        <v>546</v>
      </c>
      <c r="B253" s="714" t="s">
        <v>547</v>
      </c>
      <c r="C253" s="738" t="s">
        <v>2379</v>
      </c>
      <c r="D253" s="749">
        <v>1</v>
      </c>
      <c r="E253" s="703">
        <v>1032457.125</v>
      </c>
      <c r="F253" s="753">
        <f t="shared" si="12"/>
        <v>1032457.1</v>
      </c>
      <c r="G253" s="749">
        <v>1</v>
      </c>
      <c r="H253" s="703">
        <v>1016552.25</v>
      </c>
      <c r="I253" s="770">
        <f t="shared" si="10"/>
        <v>1016552.25</v>
      </c>
      <c r="J253" s="777">
        <f t="shared" si="11"/>
        <v>15904.849999999977</v>
      </c>
    </row>
    <row r="254" spans="1:10" ht="105">
      <c r="A254" s="749" t="s">
        <v>548</v>
      </c>
      <c r="B254" s="714" t="s">
        <v>1872</v>
      </c>
      <c r="C254" s="738" t="s">
        <v>2379</v>
      </c>
      <c r="D254" s="749">
        <v>17.765999999999998</v>
      </c>
      <c r="E254" s="703">
        <v>950000</v>
      </c>
      <c r="F254" s="753">
        <f t="shared" si="12"/>
        <v>16877700</v>
      </c>
      <c r="G254" s="749">
        <v>17.765999999999998</v>
      </c>
      <c r="H254" s="703">
        <v>516426.64711246203</v>
      </c>
      <c r="I254" s="770">
        <f t="shared" si="10"/>
        <v>9174835.8125999998</v>
      </c>
      <c r="J254" s="777">
        <f t="shared" si="11"/>
        <v>7702864.1874000002</v>
      </c>
    </row>
    <row r="255" spans="1:10" ht="60">
      <c r="A255" s="749" t="s">
        <v>550</v>
      </c>
      <c r="B255" s="714" t="s">
        <v>551</v>
      </c>
      <c r="C255" s="738" t="s">
        <v>2379</v>
      </c>
      <c r="D255" s="749">
        <v>6.8159999999999998</v>
      </c>
      <c r="E255" s="703">
        <v>800100</v>
      </c>
      <c r="F255" s="753">
        <f t="shared" si="12"/>
        <v>5453481.5999999996</v>
      </c>
      <c r="G255" s="749">
        <v>6.8159999999999998</v>
      </c>
      <c r="H255" s="703">
        <v>768274.97323943663</v>
      </c>
      <c r="I255" s="770">
        <f t="shared" si="10"/>
        <v>5236562.2176000001</v>
      </c>
      <c r="J255" s="777">
        <f t="shared" si="11"/>
        <v>216919.38239999954</v>
      </c>
    </row>
    <row r="256" spans="1:10" ht="90">
      <c r="A256" s="749" t="s">
        <v>552</v>
      </c>
      <c r="B256" s="714" t="s">
        <v>553</v>
      </c>
      <c r="C256" s="738" t="s">
        <v>2379</v>
      </c>
      <c r="D256" s="749">
        <v>1.7999999999999998</v>
      </c>
      <c r="E256" s="703">
        <v>840000</v>
      </c>
      <c r="F256" s="753">
        <f t="shared" si="12"/>
        <v>1512000</v>
      </c>
      <c r="G256" s="749">
        <v>1.7999999999999998</v>
      </c>
      <c r="H256" s="703">
        <v>207093.6</v>
      </c>
      <c r="I256" s="770">
        <f t="shared" si="10"/>
        <v>372768.48</v>
      </c>
      <c r="J256" s="777">
        <f t="shared" si="11"/>
        <v>1139231.52</v>
      </c>
    </row>
    <row r="257" spans="1:10" ht="90">
      <c r="A257" s="749" t="s">
        <v>554</v>
      </c>
      <c r="B257" s="714" t="s">
        <v>555</v>
      </c>
      <c r="C257" s="738" t="s">
        <v>2379</v>
      </c>
      <c r="D257" s="749">
        <v>1.26</v>
      </c>
      <c r="E257" s="703">
        <v>840000</v>
      </c>
      <c r="F257" s="753">
        <f t="shared" si="12"/>
        <v>1058400</v>
      </c>
      <c r="G257" s="749">
        <v>1.26</v>
      </c>
      <c r="H257" s="703">
        <v>638171.1</v>
      </c>
      <c r="I257" s="770">
        <f t="shared" si="10"/>
        <v>804095.58600000001</v>
      </c>
      <c r="J257" s="777">
        <f t="shared" si="11"/>
        <v>254304.41399999999</v>
      </c>
    </row>
    <row r="258" spans="1:10" ht="90">
      <c r="A258" s="749" t="s">
        <v>556</v>
      </c>
      <c r="B258" s="714" t="s">
        <v>557</v>
      </c>
      <c r="C258" s="738" t="s">
        <v>2379</v>
      </c>
      <c r="D258" s="749">
        <v>0.66</v>
      </c>
      <c r="E258" s="703">
        <v>840000</v>
      </c>
      <c r="F258" s="753">
        <f t="shared" si="12"/>
        <v>554400</v>
      </c>
      <c r="G258" s="749">
        <v>0.66</v>
      </c>
      <c r="H258" s="703">
        <v>638171.1</v>
      </c>
      <c r="I258" s="770">
        <f t="shared" si="10"/>
        <v>421192.92599999998</v>
      </c>
      <c r="J258" s="777">
        <f t="shared" si="11"/>
        <v>133207.07400000002</v>
      </c>
    </row>
    <row r="259" spans="1:10" ht="135" customHeight="1">
      <c r="A259" s="749" t="s">
        <v>558</v>
      </c>
      <c r="B259" s="714" t="s">
        <v>559</v>
      </c>
      <c r="C259" s="738" t="s">
        <v>2379</v>
      </c>
      <c r="D259" s="749">
        <v>9.2249999999999996</v>
      </c>
      <c r="E259" s="703">
        <v>1800000</v>
      </c>
      <c r="F259" s="753">
        <f t="shared" si="12"/>
        <v>16605000</v>
      </c>
      <c r="G259" s="749">
        <v>9.2249999999999996</v>
      </c>
      <c r="H259" s="703">
        <v>283186.9548780488</v>
      </c>
      <c r="I259" s="770">
        <f t="shared" si="10"/>
        <v>2612399.6587499999</v>
      </c>
      <c r="J259" s="777">
        <f t="shared" si="11"/>
        <v>13992600.341250001</v>
      </c>
    </row>
    <row r="260" spans="1:10" ht="15">
      <c r="A260" s="751" t="s">
        <v>1873</v>
      </c>
      <c r="B260" s="737" t="s">
        <v>1874</v>
      </c>
      <c r="C260" s="739" t="s">
        <v>2378</v>
      </c>
      <c r="D260" s="751"/>
      <c r="E260" s="649"/>
      <c r="F260" s="752"/>
      <c r="G260" s="751"/>
      <c r="H260" s="649"/>
      <c r="I260" s="769">
        <f t="shared" si="10"/>
        <v>0</v>
      </c>
      <c r="J260" s="776">
        <f t="shared" si="11"/>
        <v>0</v>
      </c>
    </row>
    <row r="261" spans="1:10" ht="135">
      <c r="A261" s="749" t="s">
        <v>560</v>
      </c>
      <c r="B261" s="714" t="s">
        <v>1875</v>
      </c>
      <c r="C261" s="738" t="s">
        <v>100</v>
      </c>
      <c r="D261" s="749">
        <v>327.82</v>
      </c>
      <c r="E261" s="705">
        <v>547800</v>
      </c>
      <c r="F261" s="753">
        <f t="shared" si="12"/>
        <v>179579796</v>
      </c>
      <c r="G261" s="749">
        <v>327.82</v>
      </c>
      <c r="H261" s="705">
        <v>532557.37124999997</v>
      </c>
      <c r="I261" s="770">
        <f t="shared" si="10"/>
        <v>174582957.44317499</v>
      </c>
      <c r="J261" s="777">
        <f t="shared" si="11"/>
        <v>4996838.556825012</v>
      </c>
    </row>
    <row r="262" spans="1:10" ht="30">
      <c r="A262" s="749" t="s">
        <v>562</v>
      </c>
      <c r="B262" s="714" t="s">
        <v>1150</v>
      </c>
      <c r="C262" s="738" t="s">
        <v>100</v>
      </c>
      <c r="D262" s="749">
        <v>3.7</v>
      </c>
      <c r="E262" s="705">
        <v>566908.05000000005</v>
      </c>
      <c r="F262" s="753">
        <f t="shared" si="12"/>
        <v>2097559.7999999998</v>
      </c>
      <c r="G262" s="749">
        <v>3.7</v>
      </c>
      <c r="H262" s="705">
        <v>519146.1</v>
      </c>
      <c r="I262" s="770">
        <f t="shared" si="10"/>
        <v>1920840.57</v>
      </c>
      <c r="J262" s="777">
        <f t="shared" si="11"/>
        <v>176719.22999999975</v>
      </c>
    </row>
    <row r="263" spans="1:10" ht="135">
      <c r="A263" s="749" t="s">
        <v>563</v>
      </c>
      <c r="B263" s="714" t="s">
        <v>1876</v>
      </c>
      <c r="C263" s="738" t="s">
        <v>100</v>
      </c>
      <c r="D263" s="749">
        <v>426.83</v>
      </c>
      <c r="E263" s="705">
        <v>600000</v>
      </c>
      <c r="F263" s="753">
        <f t="shared" si="12"/>
        <v>256098000</v>
      </c>
      <c r="G263" s="749">
        <v>426.83</v>
      </c>
      <c r="H263" s="705">
        <v>532557.3676056338</v>
      </c>
      <c r="I263" s="770">
        <f t="shared" si="10"/>
        <v>227311461.21511266</v>
      </c>
      <c r="J263" s="777">
        <f t="shared" si="11"/>
        <v>28786538.784887344</v>
      </c>
    </row>
    <row r="264" spans="1:10" ht="15" customHeight="1">
      <c r="A264" s="751" t="s">
        <v>1877</v>
      </c>
      <c r="B264" s="737" t="s">
        <v>1878</v>
      </c>
      <c r="C264" s="739" t="s">
        <v>2378</v>
      </c>
      <c r="D264" s="751"/>
      <c r="E264" s="649"/>
      <c r="F264" s="752"/>
      <c r="G264" s="751"/>
      <c r="H264" s="649"/>
      <c r="I264" s="769">
        <f t="shared" si="10"/>
        <v>0</v>
      </c>
      <c r="J264" s="776">
        <f t="shared" si="11"/>
        <v>0</v>
      </c>
    </row>
    <row r="265" spans="1:10" ht="15">
      <c r="A265" s="751" t="s">
        <v>1879</v>
      </c>
      <c r="B265" s="737" t="s">
        <v>1880</v>
      </c>
      <c r="C265" s="739" t="s">
        <v>2378</v>
      </c>
      <c r="D265" s="751"/>
      <c r="E265" s="649"/>
      <c r="F265" s="752"/>
      <c r="G265" s="751"/>
      <c r="H265" s="649"/>
      <c r="I265" s="769">
        <f t="shared" si="10"/>
        <v>0</v>
      </c>
      <c r="J265" s="776">
        <f t="shared" si="11"/>
        <v>0</v>
      </c>
    </row>
    <row r="266" spans="1:10" ht="45">
      <c r="A266" s="749" t="s">
        <v>564</v>
      </c>
      <c r="B266" s="714" t="s">
        <v>565</v>
      </c>
      <c r="C266" s="738" t="s">
        <v>37</v>
      </c>
      <c r="D266" s="749">
        <v>25.004199999999997</v>
      </c>
      <c r="E266" s="703">
        <v>290599.22088874859</v>
      </c>
      <c r="F266" s="753">
        <f t="shared" si="12"/>
        <v>7266201</v>
      </c>
      <c r="G266" s="749">
        <v>25.004199999999997</v>
      </c>
      <c r="H266" s="703">
        <v>238290.10308402448</v>
      </c>
      <c r="I266" s="770">
        <f t="shared" si="10"/>
        <v>5958253.3955335645</v>
      </c>
      <c r="J266" s="777">
        <f t="shared" si="11"/>
        <v>1307947.6044664355</v>
      </c>
    </row>
    <row r="267" spans="1:10" ht="45">
      <c r="A267" s="749" t="s">
        <v>574</v>
      </c>
      <c r="B267" s="714" t="s">
        <v>575</v>
      </c>
      <c r="C267" s="738" t="s">
        <v>37</v>
      </c>
      <c r="D267" s="749">
        <v>8.7237000000000009</v>
      </c>
      <c r="E267" s="703">
        <v>349257.15588874859</v>
      </c>
      <c r="F267" s="753">
        <f t="shared" si="12"/>
        <v>3046814.7</v>
      </c>
      <c r="G267" s="749">
        <v>8.7237000000000009</v>
      </c>
      <c r="H267" s="703">
        <v>289934.18808402453</v>
      </c>
      <c r="I267" s="770">
        <f t="shared" si="10"/>
        <v>2529298.8765886049</v>
      </c>
      <c r="J267" s="777">
        <f t="shared" si="11"/>
        <v>517515.82341139531</v>
      </c>
    </row>
    <row r="268" spans="1:10" ht="45">
      <c r="A268" s="749" t="s">
        <v>576</v>
      </c>
      <c r="B268" s="714" t="s">
        <v>577</v>
      </c>
      <c r="C268" s="738" t="s">
        <v>37</v>
      </c>
      <c r="D268" s="749">
        <v>10.25</v>
      </c>
      <c r="E268" s="703">
        <v>370666.41551374859</v>
      </c>
      <c r="F268" s="753">
        <f t="shared" si="12"/>
        <v>3799330.8</v>
      </c>
      <c r="G268" s="749">
        <v>10.25</v>
      </c>
      <c r="H268" s="703">
        <v>308460.45520902454</v>
      </c>
      <c r="I268" s="770">
        <f t="shared" si="10"/>
        <v>3161719.6658925014</v>
      </c>
      <c r="J268" s="777">
        <f t="shared" si="11"/>
        <v>637611.13410749845</v>
      </c>
    </row>
    <row r="269" spans="1:10" ht="15">
      <c r="A269" s="751" t="s">
        <v>1881</v>
      </c>
      <c r="B269" s="722" t="s">
        <v>1882</v>
      </c>
      <c r="C269" s="743"/>
      <c r="D269" s="759"/>
      <c r="E269" s="723"/>
      <c r="F269" s="760"/>
      <c r="G269" s="759"/>
      <c r="H269" s="723"/>
      <c r="I269" s="772">
        <f t="shared" si="10"/>
        <v>0</v>
      </c>
      <c r="J269" s="779">
        <f t="shared" si="11"/>
        <v>0</v>
      </c>
    </row>
    <row r="270" spans="1:10" ht="30">
      <c r="A270" s="749" t="s">
        <v>578</v>
      </c>
      <c r="B270" s="714" t="s">
        <v>579</v>
      </c>
      <c r="C270" s="738" t="s">
        <v>37</v>
      </c>
      <c r="D270" s="749">
        <v>299.03000000000003</v>
      </c>
      <c r="E270" s="703">
        <v>69018.0261528103</v>
      </c>
      <c r="F270" s="753">
        <f t="shared" si="12"/>
        <v>20638460.399999999</v>
      </c>
      <c r="G270" s="749">
        <v>299.03000000000003</v>
      </c>
      <c r="H270" s="703">
        <v>60227.387875644024</v>
      </c>
      <c r="I270" s="770">
        <f t="shared" si="10"/>
        <v>18009795.796453834</v>
      </c>
      <c r="J270" s="777">
        <f t="shared" si="11"/>
        <v>2628664.6035461649</v>
      </c>
    </row>
    <row r="271" spans="1:10" ht="30">
      <c r="A271" s="749" t="s">
        <v>589</v>
      </c>
      <c r="B271" s="714" t="s">
        <v>590</v>
      </c>
      <c r="C271" s="738" t="s">
        <v>37</v>
      </c>
      <c r="D271" s="749">
        <v>74.290000000000006</v>
      </c>
      <c r="E271" s="703">
        <v>134270.16719016587</v>
      </c>
      <c r="F271" s="753">
        <f t="shared" si="12"/>
        <v>9974930.6999999993</v>
      </c>
      <c r="G271" s="749">
        <v>74.290000000000006</v>
      </c>
      <c r="H271" s="703">
        <v>75266.976491607478</v>
      </c>
      <c r="I271" s="770">
        <f t="shared" si="10"/>
        <v>5591583.6835615197</v>
      </c>
      <c r="J271" s="777">
        <f t="shared" si="11"/>
        <v>4383347.0164384795</v>
      </c>
    </row>
    <row r="272" spans="1:10" ht="75">
      <c r="A272" s="749" t="s">
        <v>592</v>
      </c>
      <c r="B272" s="714" t="s">
        <v>593</v>
      </c>
      <c r="C272" s="738" t="s">
        <v>100</v>
      </c>
      <c r="D272" s="749">
        <v>85.16</v>
      </c>
      <c r="E272" s="703">
        <v>37951.547057874996</v>
      </c>
      <c r="F272" s="753">
        <f t="shared" si="12"/>
        <v>3231953.7</v>
      </c>
      <c r="G272" s="749">
        <v>85.16</v>
      </c>
      <c r="H272" s="703">
        <v>30836.484069999999</v>
      </c>
      <c r="I272" s="770">
        <f t="shared" si="10"/>
        <v>2626034.9834011998</v>
      </c>
      <c r="J272" s="777">
        <f t="shared" si="11"/>
        <v>605918.71659880038</v>
      </c>
    </row>
    <row r="273" spans="1:10" ht="15" customHeight="1">
      <c r="A273" s="751">
        <v>14</v>
      </c>
      <c r="B273" s="737" t="s">
        <v>1883</v>
      </c>
      <c r="C273" s="739" t="s">
        <v>2378</v>
      </c>
      <c r="D273" s="751"/>
      <c r="E273" s="649"/>
      <c r="F273" s="752"/>
      <c r="G273" s="751"/>
      <c r="H273" s="649"/>
      <c r="I273" s="769">
        <f t="shared" ref="I273:I336" si="13">+H273*G273</f>
        <v>0</v>
      </c>
      <c r="J273" s="776">
        <f t="shared" ref="J273:J336" si="14">+F273-I273</f>
        <v>0</v>
      </c>
    </row>
    <row r="274" spans="1:10" ht="30">
      <c r="A274" s="751" t="s">
        <v>1884</v>
      </c>
      <c r="B274" s="701" t="s">
        <v>1885</v>
      </c>
      <c r="C274" s="744"/>
      <c r="D274" s="751"/>
      <c r="E274" s="649"/>
      <c r="F274" s="752"/>
      <c r="G274" s="751"/>
      <c r="H274" s="649"/>
      <c r="I274" s="769">
        <f t="shared" si="13"/>
        <v>0</v>
      </c>
      <c r="J274" s="776">
        <f t="shared" si="14"/>
        <v>0</v>
      </c>
    </row>
    <row r="275" spans="1:10" ht="30">
      <c r="A275" s="749" t="s">
        <v>1886</v>
      </c>
      <c r="B275" s="714" t="s">
        <v>1887</v>
      </c>
      <c r="C275" s="738" t="s">
        <v>28</v>
      </c>
      <c r="D275" s="755">
        <v>1</v>
      </c>
      <c r="E275" s="705">
        <v>348507149.60000002</v>
      </c>
      <c r="F275" s="753">
        <f t="shared" si="12"/>
        <v>348507149.60000002</v>
      </c>
      <c r="G275" s="755">
        <v>1</v>
      </c>
      <c r="H275" s="705">
        <v>348335000</v>
      </c>
      <c r="I275" s="770">
        <f t="shared" si="13"/>
        <v>348335000</v>
      </c>
      <c r="J275" s="777">
        <f t="shared" si="14"/>
        <v>172149.60000002384</v>
      </c>
    </row>
    <row r="276" spans="1:10" ht="45">
      <c r="A276" s="751" t="s">
        <v>1888</v>
      </c>
      <c r="B276" s="701" t="s">
        <v>1889</v>
      </c>
      <c r="C276" s="745"/>
      <c r="D276" s="751"/>
      <c r="E276" s="649"/>
      <c r="F276" s="752"/>
      <c r="G276" s="751"/>
      <c r="H276" s="649"/>
      <c r="I276" s="769">
        <f t="shared" si="13"/>
        <v>0</v>
      </c>
      <c r="J276" s="776">
        <f t="shared" si="14"/>
        <v>0</v>
      </c>
    </row>
    <row r="277" spans="1:10" ht="30">
      <c r="A277" s="749" t="s">
        <v>1890</v>
      </c>
      <c r="B277" s="714" t="s">
        <v>1891</v>
      </c>
      <c r="C277" s="738" t="s">
        <v>28</v>
      </c>
      <c r="D277" s="755">
        <v>4</v>
      </c>
      <c r="E277" s="705">
        <v>1272571.05</v>
      </c>
      <c r="F277" s="753">
        <f t="shared" si="12"/>
        <v>5090284.2</v>
      </c>
      <c r="G277" s="755">
        <v>4</v>
      </c>
      <c r="H277" s="705">
        <v>547751.00000000012</v>
      </c>
      <c r="I277" s="770">
        <f t="shared" si="13"/>
        <v>2191004.0000000005</v>
      </c>
      <c r="J277" s="777">
        <f t="shared" si="14"/>
        <v>2899280.1999999997</v>
      </c>
    </row>
    <row r="278" spans="1:10" ht="15">
      <c r="A278" s="749" t="s">
        <v>1892</v>
      </c>
      <c r="B278" s="714" t="s">
        <v>1893</v>
      </c>
      <c r="C278" s="738" t="s">
        <v>28</v>
      </c>
      <c r="D278" s="755">
        <v>5</v>
      </c>
      <c r="E278" s="705">
        <v>195937.95</v>
      </c>
      <c r="F278" s="753">
        <f t="shared" si="12"/>
        <v>979689.8</v>
      </c>
      <c r="G278" s="755">
        <v>5</v>
      </c>
      <c r="H278" s="705">
        <v>126693</v>
      </c>
      <c r="I278" s="770">
        <f t="shared" si="13"/>
        <v>633465</v>
      </c>
      <c r="J278" s="777">
        <f t="shared" si="14"/>
        <v>346224.80000000005</v>
      </c>
    </row>
    <row r="279" spans="1:10" ht="15">
      <c r="A279" s="749" t="s">
        <v>1894</v>
      </c>
      <c r="B279" s="714" t="s">
        <v>1895</v>
      </c>
      <c r="C279" s="738" t="s">
        <v>28</v>
      </c>
      <c r="D279" s="755">
        <v>2</v>
      </c>
      <c r="E279" s="705">
        <v>767185.70000000007</v>
      </c>
      <c r="F279" s="753">
        <f t="shared" ref="F279:F339" si="15">ROUND(E279*D279,1)</f>
        <v>1534371.4</v>
      </c>
      <c r="G279" s="755">
        <v>2</v>
      </c>
      <c r="H279" s="705">
        <v>738659</v>
      </c>
      <c r="I279" s="770">
        <f t="shared" si="13"/>
        <v>1477318</v>
      </c>
      <c r="J279" s="777">
        <f t="shared" si="14"/>
        <v>57053.399999999907</v>
      </c>
    </row>
    <row r="280" spans="1:10" ht="15">
      <c r="A280" s="749" t="s">
        <v>1896</v>
      </c>
      <c r="B280" s="714" t="s">
        <v>1897</v>
      </c>
      <c r="C280" s="738" t="s">
        <v>28</v>
      </c>
      <c r="D280" s="755">
        <v>1</v>
      </c>
      <c r="E280" s="705">
        <v>969117.69999999984</v>
      </c>
      <c r="F280" s="753">
        <f t="shared" si="15"/>
        <v>969117.7</v>
      </c>
      <c r="G280" s="755">
        <v>1</v>
      </c>
      <c r="H280" s="705">
        <v>650790.99999999988</v>
      </c>
      <c r="I280" s="770">
        <f t="shared" si="13"/>
        <v>650790.99999999988</v>
      </c>
      <c r="J280" s="777">
        <f t="shared" si="14"/>
        <v>318326.70000000007</v>
      </c>
    </row>
    <row r="281" spans="1:10" ht="15">
      <c r="A281" s="749" t="s">
        <v>1898</v>
      </c>
      <c r="B281" s="714" t="s">
        <v>1899</v>
      </c>
      <c r="C281" s="738" t="s">
        <v>28</v>
      </c>
      <c r="D281" s="755">
        <v>1</v>
      </c>
      <c r="E281" s="705">
        <v>304058.7</v>
      </c>
      <c r="F281" s="753">
        <f t="shared" si="15"/>
        <v>304058.7</v>
      </c>
      <c r="G281" s="755">
        <v>1</v>
      </c>
      <c r="H281" s="705">
        <v>296232</v>
      </c>
      <c r="I281" s="770">
        <f t="shared" si="13"/>
        <v>296232</v>
      </c>
      <c r="J281" s="777">
        <f t="shared" si="14"/>
        <v>7826.7000000000116</v>
      </c>
    </row>
    <row r="282" spans="1:10" ht="30">
      <c r="A282" s="751" t="s">
        <v>1900</v>
      </c>
      <c r="B282" s="737" t="s">
        <v>1901</v>
      </c>
      <c r="C282" s="739"/>
      <c r="D282" s="751"/>
      <c r="E282" s="649"/>
      <c r="F282" s="752"/>
      <c r="G282" s="751"/>
      <c r="H282" s="649"/>
      <c r="I282" s="769">
        <f t="shared" si="13"/>
        <v>0</v>
      </c>
      <c r="J282" s="776">
        <f t="shared" si="14"/>
        <v>0</v>
      </c>
    </row>
    <row r="283" spans="1:10" ht="15">
      <c r="A283" s="749" t="s">
        <v>1902</v>
      </c>
      <c r="B283" s="714" t="s">
        <v>1903</v>
      </c>
      <c r="C283" s="738" t="s">
        <v>28</v>
      </c>
      <c r="D283" s="755">
        <v>1</v>
      </c>
      <c r="E283" s="705">
        <v>3146306.7000000034</v>
      </c>
      <c r="F283" s="753">
        <f t="shared" si="15"/>
        <v>3146306.7</v>
      </c>
      <c r="G283" s="755">
        <v>1</v>
      </c>
      <c r="H283" s="705">
        <v>2372580</v>
      </c>
      <c r="I283" s="770">
        <f t="shared" si="13"/>
        <v>2372580</v>
      </c>
      <c r="J283" s="777">
        <f t="shared" si="14"/>
        <v>773726.70000000019</v>
      </c>
    </row>
    <row r="284" spans="1:10" ht="15">
      <c r="A284" s="749" t="s">
        <v>1904</v>
      </c>
      <c r="B284" s="714" t="s">
        <v>1905</v>
      </c>
      <c r="C284" s="738" t="s">
        <v>28</v>
      </c>
      <c r="D284" s="755">
        <v>20</v>
      </c>
      <c r="E284" s="705">
        <v>317358.97500000003</v>
      </c>
      <c r="F284" s="753">
        <f t="shared" si="15"/>
        <v>6347179.5</v>
      </c>
      <c r="G284" s="755">
        <v>20</v>
      </c>
      <c r="H284" s="705">
        <v>206032.27499999999</v>
      </c>
      <c r="I284" s="770">
        <f t="shared" si="13"/>
        <v>4120645.5</v>
      </c>
      <c r="J284" s="777">
        <f t="shared" si="14"/>
        <v>2226534</v>
      </c>
    </row>
    <row r="285" spans="1:10" ht="15">
      <c r="A285" s="749" t="s">
        <v>1906</v>
      </c>
      <c r="B285" s="714" t="s">
        <v>1907</v>
      </c>
      <c r="C285" s="738" t="s">
        <v>28</v>
      </c>
      <c r="D285" s="755">
        <v>30</v>
      </c>
      <c r="E285" s="705">
        <v>1045222.7000000003</v>
      </c>
      <c r="F285" s="753">
        <f t="shared" si="15"/>
        <v>31356681</v>
      </c>
      <c r="G285" s="755">
        <v>30</v>
      </c>
      <c r="H285" s="705">
        <v>1006346.0000000001</v>
      </c>
      <c r="I285" s="770">
        <f t="shared" si="13"/>
        <v>30190380.000000004</v>
      </c>
      <c r="J285" s="777">
        <f t="shared" si="14"/>
        <v>1166300.9999999963</v>
      </c>
    </row>
    <row r="286" spans="1:10" ht="15">
      <c r="A286" s="749" t="s">
        <v>1908</v>
      </c>
      <c r="B286" s="714" t="s">
        <v>1909</v>
      </c>
      <c r="C286" s="738" t="s">
        <v>28</v>
      </c>
      <c r="D286" s="755">
        <v>2</v>
      </c>
      <c r="E286" s="705">
        <v>474066.70000000019</v>
      </c>
      <c r="F286" s="753">
        <f t="shared" si="15"/>
        <v>948133.4</v>
      </c>
      <c r="G286" s="755">
        <v>2</v>
      </c>
      <c r="H286" s="705">
        <v>352390</v>
      </c>
      <c r="I286" s="770">
        <f t="shared" si="13"/>
        <v>704780</v>
      </c>
      <c r="J286" s="777">
        <f t="shared" si="14"/>
        <v>243353.40000000002</v>
      </c>
    </row>
    <row r="287" spans="1:10" ht="15">
      <c r="A287" s="749" t="s">
        <v>1910</v>
      </c>
      <c r="B287" s="714" t="s">
        <v>1911</v>
      </c>
      <c r="C287" s="738" t="s">
        <v>28</v>
      </c>
      <c r="D287" s="755">
        <v>5</v>
      </c>
      <c r="E287" s="705">
        <v>1004158.7</v>
      </c>
      <c r="F287" s="753">
        <f t="shared" si="15"/>
        <v>5020793.5</v>
      </c>
      <c r="G287" s="755">
        <v>5</v>
      </c>
      <c r="H287" s="705">
        <v>582332.00000000012</v>
      </c>
      <c r="I287" s="770">
        <f t="shared" si="13"/>
        <v>2911660.0000000005</v>
      </c>
      <c r="J287" s="777">
        <f t="shared" si="14"/>
        <v>2109133.4999999995</v>
      </c>
    </row>
    <row r="288" spans="1:10" ht="30">
      <c r="A288" s="749" t="s">
        <v>1912</v>
      </c>
      <c r="B288" s="714" t="s">
        <v>1913</v>
      </c>
      <c r="C288" s="738" t="s">
        <v>28</v>
      </c>
      <c r="D288" s="755">
        <v>20</v>
      </c>
      <c r="E288" s="705">
        <v>720397.69999999949</v>
      </c>
      <c r="F288" s="753">
        <f t="shared" si="15"/>
        <v>14407954</v>
      </c>
      <c r="G288" s="755">
        <v>20</v>
      </c>
      <c r="H288" s="705">
        <v>545935.99999999988</v>
      </c>
      <c r="I288" s="770">
        <f t="shared" si="13"/>
        <v>10918719.999999998</v>
      </c>
      <c r="J288" s="777">
        <f t="shared" si="14"/>
        <v>3489234.0000000019</v>
      </c>
    </row>
    <row r="289" spans="1:10" ht="15">
      <c r="A289" s="749" t="s">
        <v>1914</v>
      </c>
      <c r="B289" s="714" t="s">
        <v>1915</v>
      </c>
      <c r="C289" s="738" t="s">
        <v>28</v>
      </c>
      <c r="D289" s="755">
        <v>2</v>
      </c>
      <c r="E289" s="705">
        <v>308420.6999999996</v>
      </c>
      <c r="F289" s="753">
        <f t="shared" si="15"/>
        <v>616841.4</v>
      </c>
      <c r="G289" s="755">
        <v>2</v>
      </c>
      <c r="H289" s="705">
        <v>259194</v>
      </c>
      <c r="I289" s="770">
        <f t="shared" si="13"/>
        <v>518388</v>
      </c>
      <c r="J289" s="777">
        <f t="shared" si="14"/>
        <v>98453.400000000023</v>
      </c>
    </row>
    <row r="290" spans="1:10" ht="15">
      <c r="A290" s="751" t="s">
        <v>1916</v>
      </c>
      <c r="B290" s="737" t="s">
        <v>1917</v>
      </c>
      <c r="C290" s="739"/>
      <c r="D290" s="751"/>
      <c r="E290" s="649"/>
      <c r="F290" s="752"/>
      <c r="G290" s="751"/>
      <c r="H290" s="649"/>
      <c r="I290" s="769">
        <f t="shared" si="13"/>
        <v>0</v>
      </c>
      <c r="J290" s="776">
        <f t="shared" si="14"/>
        <v>0</v>
      </c>
    </row>
    <row r="291" spans="1:10" ht="15">
      <c r="A291" s="749" t="s">
        <v>1918</v>
      </c>
      <c r="B291" s="714" t="s">
        <v>1919</v>
      </c>
      <c r="C291" s="738" t="s">
        <v>28</v>
      </c>
      <c r="D291" s="755">
        <v>3</v>
      </c>
      <c r="E291" s="705">
        <v>661692.69999999995</v>
      </c>
      <c r="F291" s="753">
        <f t="shared" si="15"/>
        <v>1985078.1</v>
      </c>
      <c r="G291" s="755">
        <v>3</v>
      </c>
      <c r="H291" s="705">
        <v>651500</v>
      </c>
      <c r="I291" s="770">
        <f t="shared" si="13"/>
        <v>1954500</v>
      </c>
      <c r="J291" s="777">
        <f t="shared" si="14"/>
        <v>30578.100000000093</v>
      </c>
    </row>
    <row r="292" spans="1:10" ht="15">
      <c r="A292" s="766" t="s">
        <v>1920</v>
      </c>
      <c r="B292" s="714" t="s">
        <v>1921</v>
      </c>
      <c r="C292" s="738" t="s">
        <v>28</v>
      </c>
      <c r="D292" s="755">
        <v>3</v>
      </c>
      <c r="E292" s="705">
        <v>1703916.699999996</v>
      </c>
      <c r="F292" s="753">
        <f t="shared" si="15"/>
        <v>5111750.0999999996</v>
      </c>
      <c r="G292" s="755">
        <v>3</v>
      </c>
      <c r="H292" s="705">
        <v>1260250</v>
      </c>
      <c r="I292" s="770">
        <f t="shared" si="13"/>
        <v>3780750</v>
      </c>
      <c r="J292" s="777">
        <f t="shared" si="14"/>
        <v>1331000.0999999996</v>
      </c>
    </row>
    <row r="293" spans="1:10" ht="30">
      <c r="A293" s="766" t="s">
        <v>1922</v>
      </c>
      <c r="B293" s="714" t="s">
        <v>1923</v>
      </c>
      <c r="C293" s="738" t="s">
        <v>28</v>
      </c>
      <c r="D293" s="755">
        <v>60</v>
      </c>
      <c r="E293" s="705">
        <v>80502.7</v>
      </c>
      <c r="F293" s="753">
        <f t="shared" si="15"/>
        <v>4830162</v>
      </c>
      <c r="G293" s="755">
        <v>60</v>
      </c>
      <c r="H293" s="705">
        <v>145501.00000000006</v>
      </c>
      <c r="I293" s="770">
        <f t="shared" si="13"/>
        <v>8730060.0000000037</v>
      </c>
      <c r="J293" s="777">
        <f t="shared" si="14"/>
        <v>-3899898.0000000037</v>
      </c>
    </row>
    <row r="294" spans="1:10" ht="15">
      <c r="A294" s="766" t="s">
        <v>1924</v>
      </c>
      <c r="B294" s="714" t="s">
        <v>1925</v>
      </c>
      <c r="C294" s="738" t="s">
        <v>100</v>
      </c>
      <c r="D294" s="755">
        <v>20</v>
      </c>
      <c r="E294" s="705">
        <v>594554.64899999998</v>
      </c>
      <c r="F294" s="753">
        <f t="shared" si="15"/>
        <v>11891093</v>
      </c>
      <c r="G294" s="755">
        <v>20</v>
      </c>
      <c r="H294" s="705">
        <v>583997.94900000002</v>
      </c>
      <c r="I294" s="770">
        <f t="shared" si="13"/>
        <v>11679958.98</v>
      </c>
      <c r="J294" s="777">
        <f t="shared" si="14"/>
        <v>211134.01999999955</v>
      </c>
    </row>
    <row r="295" spans="1:10" ht="15">
      <c r="A295" s="766" t="s">
        <v>1926</v>
      </c>
      <c r="B295" s="714" t="s">
        <v>1927</v>
      </c>
      <c r="C295" s="738" t="s">
        <v>100</v>
      </c>
      <c r="D295" s="755">
        <v>578</v>
      </c>
      <c r="E295" s="705">
        <v>111303.80525174995</v>
      </c>
      <c r="F295" s="753">
        <f t="shared" si="15"/>
        <v>64333599.399999999</v>
      </c>
      <c r="G295" s="755">
        <v>578</v>
      </c>
      <c r="H295" s="705">
        <v>88792.855251749948</v>
      </c>
      <c r="I295" s="770">
        <f t="shared" si="13"/>
        <v>51322270.335511468</v>
      </c>
      <c r="J295" s="777">
        <f t="shared" si="14"/>
        <v>13011329.06448853</v>
      </c>
    </row>
    <row r="296" spans="1:10" ht="15">
      <c r="A296" s="766" t="s">
        <v>1928</v>
      </c>
      <c r="B296" s="714" t="s">
        <v>1929</v>
      </c>
      <c r="C296" s="738" t="s">
        <v>100</v>
      </c>
      <c r="D296" s="755">
        <v>888</v>
      </c>
      <c r="E296" s="705">
        <v>76237.723499999993</v>
      </c>
      <c r="F296" s="753">
        <f t="shared" si="15"/>
        <v>67699098.5</v>
      </c>
      <c r="G296" s="755">
        <v>888</v>
      </c>
      <c r="H296" s="705">
        <v>49121.023500000003</v>
      </c>
      <c r="I296" s="770">
        <f t="shared" si="13"/>
        <v>43619468.868000001</v>
      </c>
      <c r="J296" s="777">
        <f t="shared" si="14"/>
        <v>24079629.631999999</v>
      </c>
    </row>
    <row r="297" spans="1:10" ht="30">
      <c r="A297" s="766" t="s">
        <v>1930</v>
      </c>
      <c r="B297" s="714" t="s">
        <v>1931</v>
      </c>
      <c r="C297" s="738" t="s">
        <v>28</v>
      </c>
      <c r="D297" s="755">
        <v>40</v>
      </c>
      <c r="E297" s="705">
        <v>163608.63740000001</v>
      </c>
      <c r="F297" s="753">
        <f t="shared" si="15"/>
        <v>6544345.5</v>
      </c>
      <c r="G297" s="755">
        <v>40</v>
      </c>
      <c r="H297" s="705">
        <v>153051.9374</v>
      </c>
      <c r="I297" s="770">
        <f t="shared" si="13"/>
        <v>6122077.4959999993</v>
      </c>
      <c r="J297" s="777">
        <f t="shared" si="14"/>
        <v>422268.00400000066</v>
      </c>
    </row>
    <row r="298" spans="1:10" ht="30">
      <c r="A298" s="766" t="s">
        <v>1932</v>
      </c>
      <c r="B298" s="714" t="s">
        <v>1933</v>
      </c>
      <c r="C298" s="738" t="s">
        <v>28</v>
      </c>
      <c r="D298" s="755">
        <v>12</v>
      </c>
      <c r="E298" s="705">
        <v>160106.82599999968</v>
      </c>
      <c r="F298" s="753">
        <f t="shared" si="15"/>
        <v>1921281.9</v>
      </c>
      <c r="G298" s="755">
        <v>12</v>
      </c>
      <c r="H298" s="705">
        <v>143340.12600000002</v>
      </c>
      <c r="I298" s="770">
        <f t="shared" si="13"/>
        <v>1720081.5120000001</v>
      </c>
      <c r="J298" s="777">
        <f t="shared" si="14"/>
        <v>201200.3879999998</v>
      </c>
    </row>
    <row r="299" spans="1:10" ht="30">
      <c r="A299" s="766" t="s">
        <v>1934</v>
      </c>
      <c r="B299" s="714" t="s">
        <v>1935</v>
      </c>
      <c r="C299" s="738" t="s">
        <v>28</v>
      </c>
      <c r="D299" s="755">
        <v>110</v>
      </c>
      <c r="E299" s="705">
        <v>150756.70000000001</v>
      </c>
      <c r="F299" s="753">
        <f t="shared" si="15"/>
        <v>16583237</v>
      </c>
      <c r="G299" s="755">
        <v>110</v>
      </c>
      <c r="H299" s="705">
        <v>119499.99999999999</v>
      </c>
      <c r="I299" s="770">
        <f t="shared" si="13"/>
        <v>13144999.999999998</v>
      </c>
      <c r="J299" s="777">
        <f t="shared" si="14"/>
        <v>3438237.0000000019</v>
      </c>
    </row>
    <row r="300" spans="1:10" ht="15">
      <c r="A300" s="766" t="s">
        <v>1936</v>
      </c>
      <c r="B300" s="714" t="s">
        <v>1937</v>
      </c>
      <c r="C300" s="738" t="s">
        <v>28</v>
      </c>
      <c r="D300" s="755">
        <v>5</v>
      </c>
      <c r="E300" s="705">
        <v>486396.69999999495</v>
      </c>
      <c r="F300" s="753">
        <f t="shared" si="15"/>
        <v>2431983.5</v>
      </c>
      <c r="G300" s="755">
        <v>5</v>
      </c>
      <c r="H300" s="705">
        <v>451000</v>
      </c>
      <c r="I300" s="770">
        <f t="shared" si="13"/>
        <v>2255000</v>
      </c>
      <c r="J300" s="777">
        <f t="shared" si="14"/>
        <v>176983.5</v>
      </c>
    </row>
    <row r="301" spans="1:10" ht="15">
      <c r="A301" s="766" t="s">
        <v>1938</v>
      </c>
      <c r="B301" s="714" t="s">
        <v>1939</v>
      </c>
      <c r="C301" s="738" t="s">
        <v>28</v>
      </c>
      <c r="D301" s="755">
        <v>6</v>
      </c>
      <c r="E301" s="705">
        <v>544906.69999999949</v>
      </c>
      <c r="F301" s="753">
        <f t="shared" si="15"/>
        <v>3269440.2</v>
      </c>
      <c r="G301" s="755">
        <v>6</v>
      </c>
      <c r="H301" s="705">
        <v>513650</v>
      </c>
      <c r="I301" s="770">
        <f t="shared" si="13"/>
        <v>3081900</v>
      </c>
      <c r="J301" s="777">
        <f t="shared" si="14"/>
        <v>187540.20000000019</v>
      </c>
    </row>
    <row r="302" spans="1:10" ht="15">
      <c r="A302" s="766" t="s">
        <v>1940</v>
      </c>
      <c r="B302" s="714" t="s">
        <v>1941</v>
      </c>
      <c r="C302" s="738" t="s">
        <v>28</v>
      </c>
      <c r="D302" s="755">
        <v>15</v>
      </c>
      <c r="E302" s="705">
        <v>227188.56120000003</v>
      </c>
      <c r="F302" s="753">
        <f t="shared" si="15"/>
        <v>3407828.4</v>
      </c>
      <c r="G302" s="755">
        <v>15</v>
      </c>
      <c r="H302" s="705">
        <v>185581.86120000001</v>
      </c>
      <c r="I302" s="770">
        <f t="shared" si="13"/>
        <v>2783727.9180000001</v>
      </c>
      <c r="J302" s="777">
        <f t="shared" si="14"/>
        <v>624100.48199999984</v>
      </c>
    </row>
    <row r="303" spans="1:10" ht="15">
      <c r="A303" s="766" t="s">
        <v>1942</v>
      </c>
      <c r="B303" s="714" t="s">
        <v>1943</v>
      </c>
      <c r="C303" s="738" t="s">
        <v>28</v>
      </c>
      <c r="D303" s="755">
        <v>23</v>
      </c>
      <c r="E303" s="705">
        <v>392826.7</v>
      </c>
      <c r="F303" s="753">
        <f t="shared" si="15"/>
        <v>9035014.0999999996</v>
      </c>
      <c r="G303" s="755">
        <v>23</v>
      </c>
      <c r="H303" s="705">
        <v>385000</v>
      </c>
      <c r="I303" s="770">
        <f t="shared" si="13"/>
        <v>8855000</v>
      </c>
      <c r="J303" s="777">
        <f t="shared" si="14"/>
        <v>180014.09999999963</v>
      </c>
    </row>
    <row r="304" spans="1:10" ht="15">
      <c r="A304" s="766" t="s">
        <v>1944</v>
      </c>
      <c r="B304" s="714" t="s">
        <v>1945</v>
      </c>
      <c r="C304" s="738" t="s">
        <v>28</v>
      </c>
      <c r="D304" s="755">
        <v>125</v>
      </c>
      <c r="E304" s="705">
        <v>392826.7</v>
      </c>
      <c r="F304" s="753">
        <f t="shared" si="15"/>
        <v>49103337.5</v>
      </c>
      <c r="G304" s="755">
        <v>125</v>
      </c>
      <c r="H304" s="705">
        <v>385000</v>
      </c>
      <c r="I304" s="770">
        <f t="shared" si="13"/>
        <v>48125000</v>
      </c>
      <c r="J304" s="777">
        <f t="shared" si="14"/>
        <v>978337.5</v>
      </c>
    </row>
    <row r="305" spans="1:10" ht="30">
      <c r="A305" s="766" t="s">
        <v>1946</v>
      </c>
      <c r="B305" s="714" t="s">
        <v>1947</v>
      </c>
      <c r="C305" s="738" t="s">
        <v>28</v>
      </c>
      <c r="D305" s="755">
        <v>4</v>
      </c>
      <c r="E305" s="705">
        <v>204436.70000000013</v>
      </c>
      <c r="F305" s="753">
        <f t="shared" si="15"/>
        <v>817746.8</v>
      </c>
      <c r="G305" s="755">
        <v>4</v>
      </c>
      <c r="H305" s="705">
        <v>175000.00000000006</v>
      </c>
      <c r="I305" s="770">
        <f t="shared" si="13"/>
        <v>700000.00000000023</v>
      </c>
      <c r="J305" s="777">
        <f t="shared" si="14"/>
        <v>117746.79999999981</v>
      </c>
    </row>
    <row r="306" spans="1:10" ht="30">
      <c r="A306" s="766" t="s">
        <v>1948</v>
      </c>
      <c r="B306" s="714" t="s">
        <v>1949</v>
      </c>
      <c r="C306" s="738" t="s">
        <v>28</v>
      </c>
      <c r="D306" s="755">
        <v>15</v>
      </c>
      <c r="E306" s="705">
        <v>422726.69999999972</v>
      </c>
      <c r="F306" s="753">
        <f t="shared" si="15"/>
        <v>6340900.5</v>
      </c>
      <c r="G306" s="755">
        <v>15</v>
      </c>
      <c r="H306" s="705">
        <v>270000</v>
      </c>
      <c r="I306" s="770">
        <f t="shared" si="13"/>
        <v>4050000</v>
      </c>
      <c r="J306" s="777">
        <f t="shared" si="14"/>
        <v>2290900.5</v>
      </c>
    </row>
    <row r="307" spans="1:10" ht="30">
      <c r="A307" s="766" t="s">
        <v>1950</v>
      </c>
      <c r="B307" s="714" t="s">
        <v>1951</v>
      </c>
      <c r="C307" s="738" t="s">
        <v>28</v>
      </c>
      <c r="D307" s="755">
        <v>2</v>
      </c>
      <c r="E307" s="705">
        <v>132226.70000000001</v>
      </c>
      <c r="F307" s="753">
        <f t="shared" si="15"/>
        <v>264453.40000000002</v>
      </c>
      <c r="G307" s="755">
        <v>2</v>
      </c>
      <c r="H307" s="705">
        <v>124400</v>
      </c>
      <c r="I307" s="770">
        <f t="shared" si="13"/>
        <v>248800</v>
      </c>
      <c r="J307" s="777">
        <f t="shared" si="14"/>
        <v>15653.400000000023</v>
      </c>
    </row>
    <row r="308" spans="1:10" ht="30">
      <c r="A308" s="766" t="s">
        <v>1952</v>
      </c>
      <c r="B308" s="714" t="s">
        <v>1953</v>
      </c>
      <c r="C308" s="738" t="s">
        <v>28</v>
      </c>
      <c r="D308" s="755">
        <v>270</v>
      </c>
      <c r="E308" s="705">
        <v>208832.02140000003</v>
      </c>
      <c r="F308" s="753">
        <f t="shared" si="15"/>
        <v>56384645.799999997</v>
      </c>
      <c r="G308" s="755">
        <v>270</v>
      </c>
      <c r="H308" s="705">
        <v>124000</v>
      </c>
      <c r="I308" s="770">
        <f t="shared" si="13"/>
        <v>33480000</v>
      </c>
      <c r="J308" s="777">
        <f t="shared" si="14"/>
        <v>22904645.799999997</v>
      </c>
    </row>
    <row r="309" spans="1:10" ht="15">
      <c r="A309" s="766" t="s">
        <v>1954</v>
      </c>
      <c r="B309" s="714" t="s">
        <v>1955</v>
      </c>
      <c r="C309" s="738" t="s">
        <v>28</v>
      </c>
      <c r="D309" s="755">
        <v>20</v>
      </c>
      <c r="E309" s="705">
        <v>210649.70000000056</v>
      </c>
      <c r="F309" s="753">
        <f t="shared" si="15"/>
        <v>4212994</v>
      </c>
      <c r="G309" s="755">
        <v>20</v>
      </c>
      <c r="H309" s="705">
        <v>140723.00000000006</v>
      </c>
      <c r="I309" s="770">
        <f t="shared" si="13"/>
        <v>2814460.0000000009</v>
      </c>
      <c r="J309" s="777">
        <f t="shared" si="14"/>
        <v>1398533.9999999991</v>
      </c>
    </row>
    <row r="310" spans="1:10" ht="15">
      <c r="A310" s="766" t="s">
        <v>1956</v>
      </c>
      <c r="B310" s="714" t="s">
        <v>1957</v>
      </c>
      <c r="C310" s="738" t="s">
        <v>28</v>
      </c>
      <c r="D310" s="755">
        <v>20</v>
      </c>
      <c r="E310" s="705">
        <v>218756.70000000068</v>
      </c>
      <c r="F310" s="753">
        <f t="shared" si="15"/>
        <v>4375134</v>
      </c>
      <c r="G310" s="755">
        <v>20</v>
      </c>
      <c r="H310" s="705">
        <v>179880.00000000052</v>
      </c>
      <c r="I310" s="770">
        <f t="shared" si="13"/>
        <v>3597600.0000000102</v>
      </c>
      <c r="J310" s="777">
        <f t="shared" si="14"/>
        <v>777533.99999998976</v>
      </c>
    </row>
    <row r="311" spans="1:10" ht="15">
      <c r="A311" s="766" t="s">
        <v>1958</v>
      </c>
      <c r="B311" s="714" t="s">
        <v>1959</v>
      </c>
      <c r="C311" s="738" t="s">
        <v>28</v>
      </c>
      <c r="D311" s="755">
        <v>30</v>
      </c>
      <c r="E311" s="705">
        <v>63199.717499999999</v>
      </c>
      <c r="F311" s="753">
        <f t="shared" si="15"/>
        <v>1895991.5</v>
      </c>
      <c r="G311" s="755">
        <v>30</v>
      </c>
      <c r="H311" s="705">
        <v>50198.017500000002</v>
      </c>
      <c r="I311" s="770">
        <f t="shared" si="13"/>
        <v>1505940.5250000001</v>
      </c>
      <c r="J311" s="777">
        <f t="shared" si="14"/>
        <v>390050.97499999986</v>
      </c>
    </row>
    <row r="312" spans="1:10" ht="15">
      <c r="A312" s="766" t="s">
        <v>1960</v>
      </c>
      <c r="B312" s="714" t="s">
        <v>1961</v>
      </c>
      <c r="C312" s="738" t="s">
        <v>28</v>
      </c>
      <c r="D312" s="755">
        <v>366</v>
      </c>
      <c r="E312" s="705">
        <v>57898.964999999997</v>
      </c>
      <c r="F312" s="753">
        <f t="shared" si="15"/>
        <v>21191021.199999999</v>
      </c>
      <c r="G312" s="755">
        <v>366</v>
      </c>
      <c r="H312" s="705">
        <v>50072.264999999999</v>
      </c>
      <c r="I312" s="770">
        <f t="shared" si="13"/>
        <v>18326448.989999998</v>
      </c>
      <c r="J312" s="777">
        <f t="shared" si="14"/>
        <v>2864572.2100000009</v>
      </c>
    </row>
    <row r="313" spans="1:10" ht="15">
      <c r="A313" s="751" t="s">
        <v>1962</v>
      </c>
      <c r="B313" s="737" t="s">
        <v>1963</v>
      </c>
      <c r="C313" s="739"/>
      <c r="D313" s="751"/>
      <c r="E313" s="649"/>
      <c r="F313" s="752"/>
      <c r="G313" s="751"/>
      <c r="H313" s="649"/>
      <c r="I313" s="769">
        <f t="shared" si="13"/>
        <v>0</v>
      </c>
      <c r="J313" s="776">
        <f t="shared" si="14"/>
        <v>0</v>
      </c>
    </row>
    <row r="314" spans="1:10" ht="30">
      <c r="A314" s="766" t="s">
        <v>1964</v>
      </c>
      <c r="B314" s="714" t="s">
        <v>1965</v>
      </c>
      <c r="C314" s="738" t="s">
        <v>2380</v>
      </c>
      <c r="D314" s="755">
        <v>1</v>
      </c>
      <c r="E314" s="705">
        <v>98760929.699999988</v>
      </c>
      <c r="F314" s="753">
        <f t="shared" si="15"/>
        <v>98760929.700000003</v>
      </c>
      <c r="G314" s="755">
        <v>1</v>
      </c>
      <c r="H314" s="705">
        <v>57353103</v>
      </c>
      <c r="I314" s="770">
        <f t="shared" si="13"/>
        <v>57353103</v>
      </c>
      <c r="J314" s="777">
        <f t="shared" si="14"/>
        <v>41407826.700000003</v>
      </c>
    </row>
    <row r="315" spans="1:10" ht="15">
      <c r="A315" s="751">
        <v>15</v>
      </c>
      <c r="B315" s="737" t="s">
        <v>1966</v>
      </c>
      <c r="C315" s="739" t="s">
        <v>2378</v>
      </c>
      <c r="D315" s="751"/>
      <c r="E315" s="649"/>
      <c r="F315" s="752"/>
      <c r="G315" s="751"/>
      <c r="H315" s="649"/>
      <c r="I315" s="769">
        <f t="shared" si="13"/>
        <v>0</v>
      </c>
      <c r="J315" s="776">
        <f t="shared" si="14"/>
        <v>0</v>
      </c>
    </row>
    <row r="316" spans="1:10" ht="15">
      <c r="A316" s="751" t="s">
        <v>1967</v>
      </c>
      <c r="B316" s="737" t="s">
        <v>1968</v>
      </c>
      <c r="C316" s="739"/>
      <c r="D316" s="751"/>
      <c r="E316" s="649"/>
      <c r="F316" s="752"/>
      <c r="G316" s="751"/>
      <c r="H316" s="649"/>
      <c r="I316" s="769">
        <f t="shared" si="13"/>
        <v>0</v>
      </c>
      <c r="J316" s="776">
        <f t="shared" si="14"/>
        <v>0</v>
      </c>
    </row>
    <row r="317" spans="1:10" ht="30">
      <c r="A317" s="766" t="s">
        <v>1969</v>
      </c>
      <c r="B317" s="714" t="s">
        <v>1970</v>
      </c>
      <c r="C317" s="738" t="s">
        <v>45</v>
      </c>
      <c r="D317" s="755">
        <v>110</v>
      </c>
      <c r="E317" s="705">
        <v>13732.327499999999</v>
      </c>
      <c r="F317" s="753">
        <f t="shared" si="15"/>
        <v>1510556</v>
      </c>
      <c r="G317" s="755">
        <v>110</v>
      </c>
      <c r="H317" s="705">
        <v>12387.487499999999</v>
      </c>
      <c r="I317" s="770">
        <f t="shared" si="13"/>
        <v>1362623.625</v>
      </c>
      <c r="J317" s="777">
        <f t="shared" si="14"/>
        <v>147932.375</v>
      </c>
    </row>
    <row r="318" spans="1:10" ht="30">
      <c r="A318" s="766" t="s">
        <v>1971</v>
      </c>
      <c r="B318" s="714" t="s">
        <v>1972</v>
      </c>
      <c r="C318" s="738" t="s">
        <v>45</v>
      </c>
      <c r="D318" s="755">
        <v>15</v>
      </c>
      <c r="E318" s="705">
        <v>17567.002499999999</v>
      </c>
      <c r="F318" s="753">
        <f t="shared" si="15"/>
        <v>263505</v>
      </c>
      <c r="G318" s="755">
        <v>15</v>
      </c>
      <c r="H318" s="705">
        <v>16222.1625</v>
      </c>
      <c r="I318" s="770">
        <f t="shared" si="13"/>
        <v>243332.4375</v>
      </c>
      <c r="J318" s="777">
        <f t="shared" si="14"/>
        <v>20172.5625</v>
      </c>
    </row>
    <row r="319" spans="1:10" ht="30">
      <c r="A319" s="766" t="s">
        <v>1973</v>
      </c>
      <c r="B319" s="714" t="s">
        <v>1974</v>
      </c>
      <c r="C319" s="738" t="s">
        <v>45</v>
      </c>
      <c r="D319" s="755">
        <v>40.299999999999997</v>
      </c>
      <c r="E319" s="705">
        <v>14741.452499999999</v>
      </c>
      <c r="F319" s="753">
        <f t="shared" si="15"/>
        <v>594080.5</v>
      </c>
      <c r="G319" s="755">
        <v>40.299999999999997</v>
      </c>
      <c r="H319" s="705">
        <v>13396.612499999999</v>
      </c>
      <c r="I319" s="770">
        <f t="shared" si="13"/>
        <v>539883.4837499999</v>
      </c>
      <c r="J319" s="777">
        <f t="shared" si="14"/>
        <v>54197.016250000102</v>
      </c>
    </row>
    <row r="320" spans="1:10" ht="30">
      <c r="A320" s="766" t="s">
        <v>1975</v>
      </c>
      <c r="B320" s="714" t="s">
        <v>1976</v>
      </c>
      <c r="C320" s="738" t="s">
        <v>45</v>
      </c>
      <c r="D320" s="755">
        <v>64.099999999999994</v>
      </c>
      <c r="E320" s="705">
        <v>13874.950500000001</v>
      </c>
      <c r="F320" s="753">
        <f t="shared" si="15"/>
        <v>889384.3</v>
      </c>
      <c r="G320" s="755">
        <v>64.099999999999994</v>
      </c>
      <c r="H320" s="705">
        <v>12530.110500000001</v>
      </c>
      <c r="I320" s="770">
        <f t="shared" si="13"/>
        <v>803180.08305000002</v>
      </c>
      <c r="J320" s="777">
        <f t="shared" si="14"/>
        <v>86204.216950000031</v>
      </c>
    </row>
    <row r="321" spans="1:10" ht="15">
      <c r="A321" s="766" t="s">
        <v>1977</v>
      </c>
      <c r="B321" s="714" t="s">
        <v>1978</v>
      </c>
      <c r="C321" s="738" t="s">
        <v>1620</v>
      </c>
      <c r="D321" s="755">
        <v>14</v>
      </c>
      <c r="E321" s="705">
        <v>12446.029500000001</v>
      </c>
      <c r="F321" s="753">
        <f t="shared" si="15"/>
        <v>174244.4</v>
      </c>
      <c r="G321" s="755">
        <v>14</v>
      </c>
      <c r="H321" s="705">
        <v>11101.1895</v>
      </c>
      <c r="I321" s="770">
        <f t="shared" si="13"/>
        <v>155416.65299999999</v>
      </c>
      <c r="J321" s="777">
        <f t="shared" si="14"/>
        <v>18827.747000000003</v>
      </c>
    </row>
    <row r="322" spans="1:10" ht="15">
      <c r="A322" s="766" t="s">
        <v>1979</v>
      </c>
      <c r="B322" s="714" t="s">
        <v>1980</v>
      </c>
      <c r="C322" s="738" t="s">
        <v>1620</v>
      </c>
      <c r="D322" s="755">
        <v>7</v>
      </c>
      <c r="E322" s="705">
        <v>7825.5825000000004</v>
      </c>
      <c r="F322" s="753">
        <f t="shared" si="15"/>
        <v>54779.1</v>
      </c>
      <c r="G322" s="755">
        <v>7</v>
      </c>
      <c r="H322" s="705">
        <v>6480.7425000000003</v>
      </c>
      <c r="I322" s="770">
        <f t="shared" si="13"/>
        <v>45365.197500000002</v>
      </c>
      <c r="J322" s="777">
        <f t="shared" si="14"/>
        <v>9413.9024999999965</v>
      </c>
    </row>
    <row r="323" spans="1:10" ht="15">
      <c r="A323" s="766" t="s">
        <v>1981</v>
      </c>
      <c r="B323" s="714" t="s">
        <v>1982</v>
      </c>
      <c r="C323" s="738" t="s">
        <v>1620</v>
      </c>
      <c r="D323" s="755">
        <v>15</v>
      </c>
      <c r="E323" s="705">
        <v>8712.0600000000013</v>
      </c>
      <c r="F323" s="753">
        <f t="shared" si="15"/>
        <v>130680.9</v>
      </c>
      <c r="G323" s="755">
        <v>15</v>
      </c>
      <c r="H323" s="705">
        <v>7294.77</v>
      </c>
      <c r="I323" s="770">
        <f t="shared" si="13"/>
        <v>109421.55</v>
      </c>
      <c r="J323" s="777">
        <f t="shared" si="14"/>
        <v>21259.349999999991</v>
      </c>
    </row>
    <row r="324" spans="1:10" ht="15">
      <c r="A324" s="766" t="s">
        <v>1983</v>
      </c>
      <c r="B324" s="714" t="s">
        <v>1984</v>
      </c>
      <c r="C324" s="738" t="s">
        <v>1620</v>
      </c>
      <c r="D324" s="755">
        <v>48</v>
      </c>
      <c r="E324" s="705">
        <v>6571.4730000000009</v>
      </c>
      <c r="F324" s="753">
        <f t="shared" si="15"/>
        <v>315430.7</v>
      </c>
      <c r="G324" s="755">
        <v>48</v>
      </c>
      <c r="H324" s="705">
        <v>5284.5930000000008</v>
      </c>
      <c r="I324" s="770">
        <f t="shared" si="13"/>
        <v>253660.46400000004</v>
      </c>
      <c r="J324" s="777">
        <f t="shared" si="14"/>
        <v>61770.235999999975</v>
      </c>
    </row>
    <row r="325" spans="1:10" ht="15">
      <c r="A325" s="766" t="s">
        <v>1985</v>
      </c>
      <c r="B325" s="714" t="s">
        <v>1986</v>
      </c>
      <c r="C325" s="738" t="s">
        <v>1620</v>
      </c>
      <c r="D325" s="755">
        <v>3</v>
      </c>
      <c r="E325" s="705">
        <v>6536.4900000000007</v>
      </c>
      <c r="F325" s="753">
        <f t="shared" si="15"/>
        <v>19609.5</v>
      </c>
      <c r="G325" s="755">
        <v>3</v>
      </c>
      <c r="H325" s="705">
        <v>5249.6100000000006</v>
      </c>
      <c r="I325" s="770">
        <f t="shared" si="13"/>
        <v>15748.830000000002</v>
      </c>
      <c r="J325" s="777">
        <f t="shared" si="14"/>
        <v>3860.6699999999983</v>
      </c>
    </row>
    <row r="326" spans="1:10" ht="15">
      <c r="A326" s="766" t="s">
        <v>1987</v>
      </c>
      <c r="B326" s="714" t="s">
        <v>1988</v>
      </c>
      <c r="C326" s="738" t="s">
        <v>1620</v>
      </c>
      <c r="D326" s="755">
        <v>5</v>
      </c>
      <c r="E326" s="705">
        <v>7892.6505000000006</v>
      </c>
      <c r="F326" s="753">
        <f t="shared" si="15"/>
        <v>39463.300000000003</v>
      </c>
      <c r="G326" s="755">
        <v>5</v>
      </c>
      <c r="H326" s="705">
        <v>6475.3605000000007</v>
      </c>
      <c r="I326" s="770">
        <f t="shared" si="13"/>
        <v>32376.802500000005</v>
      </c>
      <c r="J326" s="777">
        <f t="shared" si="14"/>
        <v>7086.4974999999977</v>
      </c>
    </row>
    <row r="327" spans="1:10" ht="15">
      <c r="A327" s="766" t="s">
        <v>1989</v>
      </c>
      <c r="B327" s="714" t="s">
        <v>1990</v>
      </c>
      <c r="C327" s="738" t="s">
        <v>1620</v>
      </c>
      <c r="D327" s="755">
        <v>2</v>
      </c>
      <c r="E327" s="705">
        <v>10550.013000000001</v>
      </c>
      <c r="F327" s="753">
        <f t="shared" si="15"/>
        <v>21100</v>
      </c>
      <c r="G327" s="755">
        <v>2</v>
      </c>
      <c r="H327" s="705">
        <v>9132.7230000000018</v>
      </c>
      <c r="I327" s="770">
        <f t="shared" si="13"/>
        <v>18265.446000000004</v>
      </c>
      <c r="J327" s="777">
        <f t="shared" si="14"/>
        <v>2834.5539999999964</v>
      </c>
    </row>
    <row r="328" spans="1:10" ht="15">
      <c r="A328" s="766" t="s">
        <v>1991</v>
      </c>
      <c r="B328" s="714" t="s">
        <v>1992</v>
      </c>
      <c r="C328" s="738" t="s">
        <v>1620</v>
      </c>
      <c r="D328" s="755">
        <v>6</v>
      </c>
      <c r="E328" s="705">
        <v>8897.7390000000014</v>
      </c>
      <c r="F328" s="753">
        <f t="shared" si="15"/>
        <v>53386.400000000001</v>
      </c>
      <c r="G328" s="755">
        <v>6</v>
      </c>
      <c r="H328" s="705">
        <v>7480.4489999999996</v>
      </c>
      <c r="I328" s="770">
        <f t="shared" si="13"/>
        <v>44882.693999999996</v>
      </c>
      <c r="J328" s="777">
        <f t="shared" si="14"/>
        <v>8503.7060000000056</v>
      </c>
    </row>
    <row r="329" spans="1:10" ht="15">
      <c r="A329" s="766" t="s">
        <v>1993</v>
      </c>
      <c r="B329" s="714" t="s">
        <v>1994</v>
      </c>
      <c r="C329" s="738" t="s">
        <v>1620</v>
      </c>
      <c r="D329" s="755">
        <v>12</v>
      </c>
      <c r="E329" s="705">
        <v>8276.7390000000014</v>
      </c>
      <c r="F329" s="753">
        <f t="shared" si="15"/>
        <v>99320.9</v>
      </c>
      <c r="G329" s="755">
        <v>12</v>
      </c>
      <c r="H329" s="705">
        <v>6859.4490000000005</v>
      </c>
      <c r="I329" s="770">
        <f t="shared" si="13"/>
        <v>82313.388000000006</v>
      </c>
      <c r="J329" s="777">
        <f t="shared" si="14"/>
        <v>17007.511999999988</v>
      </c>
    </row>
    <row r="330" spans="1:10" ht="30">
      <c r="A330" s="766" t="s">
        <v>1995</v>
      </c>
      <c r="B330" s="714" t="s">
        <v>1996</v>
      </c>
      <c r="C330" s="738" t="s">
        <v>1620</v>
      </c>
      <c r="D330" s="755">
        <v>2</v>
      </c>
      <c r="E330" s="705">
        <v>108383.592</v>
      </c>
      <c r="F330" s="753">
        <f t="shared" si="15"/>
        <v>216767.2</v>
      </c>
      <c r="G330" s="755">
        <v>2</v>
      </c>
      <c r="H330" s="705">
        <v>102021.64200000001</v>
      </c>
      <c r="I330" s="770">
        <f t="shared" si="13"/>
        <v>204043.28400000001</v>
      </c>
      <c r="J330" s="777">
        <f t="shared" si="14"/>
        <v>12723.915999999997</v>
      </c>
    </row>
    <row r="331" spans="1:10" ht="30">
      <c r="A331" s="766" t="s">
        <v>1997</v>
      </c>
      <c r="B331" s="714" t="s">
        <v>1998</v>
      </c>
      <c r="C331" s="738" t="s">
        <v>1620</v>
      </c>
      <c r="D331" s="755">
        <v>12</v>
      </c>
      <c r="E331" s="705">
        <v>115329.52668000001</v>
      </c>
      <c r="F331" s="753">
        <f t="shared" si="15"/>
        <v>1383954.3</v>
      </c>
      <c r="G331" s="755">
        <v>12</v>
      </c>
      <c r="H331" s="705">
        <v>90337.576680000013</v>
      </c>
      <c r="I331" s="770">
        <f t="shared" si="13"/>
        <v>1084050.9201600002</v>
      </c>
      <c r="J331" s="777">
        <f t="shared" si="14"/>
        <v>299903.37983999983</v>
      </c>
    </row>
    <row r="332" spans="1:10" ht="60">
      <c r="A332" s="766" t="s">
        <v>1999</v>
      </c>
      <c r="B332" s="714" t="s">
        <v>2000</v>
      </c>
      <c r="C332" s="738" t="s">
        <v>1620</v>
      </c>
      <c r="D332" s="755">
        <v>1</v>
      </c>
      <c r="E332" s="705">
        <v>3565218.6420000005</v>
      </c>
      <c r="F332" s="753">
        <f t="shared" si="15"/>
        <v>3565218.6</v>
      </c>
      <c r="G332" s="755">
        <v>1</v>
      </c>
      <c r="H332" s="705">
        <v>3128144.7420000006</v>
      </c>
      <c r="I332" s="770">
        <f t="shared" si="13"/>
        <v>3128144.7420000006</v>
      </c>
      <c r="J332" s="777">
        <f t="shared" si="14"/>
        <v>437073.85799999954</v>
      </c>
    </row>
    <row r="333" spans="1:10" ht="60">
      <c r="A333" s="766" t="s">
        <v>2001</v>
      </c>
      <c r="B333" s="714" t="s">
        <v>2002</v>
      </c>
      <c r="C333" s="738" t="s">
        <v>1620</v>
      </c>
      <c r="D333" s="755">
        <v>1</v>
      </c>
      <c r="E333" s="705">
        <v>4148601.1530000004</v>
      </c>
      <c r="F333" s="753">
        <f t="shared" si="15"/>
        <v>4148601.2</v>
      </c>
      <c r="G333" s="755">
        <v>1</v>
      </c>
      <c r="H333" s="705">
        <v>3504527.253</v>
      </c>
      <c r="I333" s="770">
        <f t="shared" si="13"/>
        <v>3504527.253</v>
      </c>
      <c r="J333" s="777">
        <f t="shared" si="14"/>
        <v>644073.94700000016</v>
      </c>
    </row>
    <row r="334" spans="1:10" ht="15">
      <c r="A334" s="766" t="s">
        <v>2003</v>
      </c>
      <c r="B334" s="714" t="s">
        <v>2004</v>
      </c>
      <c r="C334" s="738" t="s">
        <v>1620</v>
      </c>
      <c r="D334" s="755">
        <v>8</v>
      </c>
      <c r="E334" s="705">
        <v>107450.85</v>
      </c>
      <c r="F334" s="753">
        <f t="shared" si="15"/>
        <v>859606.8</v>
      </c>
      <c r="G334" s="755">
        <v>8</v>
      </c>
      <c r="H334" s="705">
        <v>101088.90000000001</v>
      </c>
      <c r="I334" s="770">
        <f t="shared" si="13"/>
        <v>808711.20000000007</v>
      </c>
      <c r="J334" s="777">
        <f t="shared" si="14"/>
        <v>50895.599999999977</v>
      </c>
    </row>
    <row r="335" spans="1:10" ht="15">
      <c r="A335" s="751" t="s">
        <v>2005</v>
      </c>
      <c r="B335" s="737" t="s">
        <v>2006</v>
      </c>
      <c r="C335" s="739"/>
      <c r="D335" s="751"/>
      <c r="E335" s="649"/>
      <c r="F335" s="752"/>
      <c r="G335" s="751"/>
      <c r="H335" s="649"/>
      <c r="I335" s="769">
        <f t="shared" si="13"/>
        <v>0</v>
      </c>
      <c r="J335" s="776">
        <f t="shared" si="14"/>
        <v>0</v>
      </c>
    </row>
    <row r="336" spans="1:10" ht="30">
      <c r="A336" s="766" t="s">
        <v>2007</v>
      </c>
      <c r="B336" s="714" t="s">
        <v>2008</v>
      </c>
      <c r="C336" s="738" t="s">
        <v>39</v>
      </c>
      <c r="D336" s="755">
        <v>39.6</v>
      </c>
      <c r="E336" s="705">
        <v>52624.91</v>
      </c>
      <c r="F336" s="753">
        <f t="shared" si="15"/>
        <v>2083946.4</v>
      </c>
      <c r="G336" s="755">
        <v>39.6</v>
      </c>
      <c r="H336" s="705">
        <v>47735.25</v>
      </c>
      <c r="I336" s="770">
        <f t="shared" si="13"/>
        <v>1890315.9000000001</v>
      </c>
      <c r="J336" s="777">
        <f t="shared" si="14"/>
        <v>193630.49999999977</v>
      </c>
    </row>
    <row r="337" spans="1:10" ht="45">
      <c r="A337" s="766" t="s">
        <v>2009</v>
      </c>
      <c r="B337" s="714" t="s">
        <v>2010</v>
      </c>
      <c r="C337" s="738" t="s">
        <v>39</v>
      </c>
      <c r="D337" s="755">
        <v>31.7</v>
      </c>
      <c r="E337" s="705">
        <v>83967.3</v>
      </c>
      <c r="F337" s="753">
        <f t="shared" si="15"/>
        <v>2661763.4</v>
      </c>
      <c r="G337" s="755">
        <v>31.7</v>
      </c>
      <c r="H337" s="705">
        <v>68627.22</v>
      </c>
      <c r="I337" s="770">
        <f t="shared" ref="I337:I400" si="16">+H337*G337</f>
        <v>2175482.8739999998</v>
      </c>
      <c r="J337" s="777">
        <f t="shared" ref="J337:J400" si="17">+F337-I337</f>
        <v>486280.52600000007</v>
      </c>
    </row>
    <row r="338" spans="1:10" ht="30">
      <c r="A338" s="766" t="s">
        <v>2011</v>
      </c>
      <c r="B338" s="714" t="s">
        <v>2012</v>
      </c>
      <c r="C338" s="738" t="s">
        <v>39</v>
      </c>
      <c r="D338" s="755">
        <v>7.9</v>
      </c>
      <c r="E338" s="705">
        <v>151459.38</v>
      </c>
      <c r="F338" s="753">
        <f t="shared" si="15"/>
        <v>1196529.1000000001</v>
      </c>
      <c r="G338" s="755">
        <v>7.9</v>
      </c>
      <c r="H338" s="705">
        <v>122100.36</v>
      </c>
      <c r="I338" s="770">
        <f t="shared" si="16"/>
        <v>964592.84400000004</v>
      </c>
      <c r="J338" s="777">
        <f t="shared" si="17"/>
        <v>231936.25600000005</v>
      </c>
    </row>
    <row r="339" spans="1:10" ht="30">
      <c r="A339" s="766" t="s">
        <v>2013</v>
      </c>
      <c r="B339" s="714" t="s">
        <v>2014</v>
      </c>
      <c r="C339" s="738" t="s">
        <v>39</v>
      </c>
      <c r="D339" s="755">
        <v>8.6999999999999993</v>
      </c>
      <c r="E339" s="705">
        <v>110836.8</v>
      </c>
      <c r="F339" s="753">
        <f t="shared" si="15"/>
        <v>964280.2</v>
      </c>
      <c r="G339" s="755">
        <v>8.6999999999999993</v>
      </c>
      <c r="H339" s="705">
        <v>89171.9</v>
      </c>
      <c r="I339" s="770">
        <f t="shared" si="16"/>
        <v>775795.52999999991</v>
      </c>
      <c r="J339" s="777">
        <f t="shared" si="17"/>
        <v>188484.67000000004</v>
      </c>
    </row>
    <row r="340" spans="1:10" ht="15" customHeight="1">
      <c r="A340" s="751">
        <v>16</v>
      </c>
      <c r="B340" s="737" t="s">
        <v>2015</v>
      </c>
      <c r="C340" s="739" t="s">
        <v>2378</v>
      </c>
      <c r="D340" s="751"/>
      <c r="E340" s="649"/>
      <c r="F340" s="752"/>
      <c r="G340" s="751"/>
      <c r="H340" s="649"/>
      <c r="I340" s="769">
        <f t="shared" si="16"/>
        <v>0</v>
      </c>
      <c r="J340" s="776">
        <f t="shared" si="17"/>
        <v>0</v>
      </c>
    </row>
    <row r="341" spans="1:10" ht="30">
      <c r="A341" s="751" t="s">
        <v>2016</v>
      </c>
      <c r="B341" s="737" t="s">
        <v>2017</v>
      </c>
      <c r="C341" s="745"/>
      <c r="D341" s="751"/>
      <c r="E341" s="649"/>
      <c r="F341" s="752"/>
      <c r="G341" s="751"/>
      <c r="H341" s="649"/>
      <c r="I341" s="769">
        <f t="shared" si="16"/>
        <v>0</v>
      </c>
      <c r="J341" s="776">
        <f t="shared" si="17"/>
        <v>0</v>
      </c>
    </row>
    <row r="342" spans="1:10" ht="15">
      <c r="A342" s="751" t="s">
        <v>2018</v>
      </c>
      <c r="B342" s="737" t="s">
        <v>2019</v>
      </c>
      <c r="C342" s="739"/>
      <c r="D342" s="751"/>
      <c r="E342" s="649"/>
      <c r="F342" s="752"/>
      <c r="G342" s="751"/>
      <c r="H342" s="649"/>
      <c r="I342" s="769">
        <f t="shared" si="16"/>
        <v>0</v>
      </c>
      <c r="J342" s="776">
        <f t="shared" si="17"/>
        <v>0</v>
      </c>
    </row>
    <row r="343" spans="1:10" ht="45">
      <c r="A343" s="766" t="s">
        <v>2020</v>
      </c>
      <c r="B343" s="714" t="s">
        <v>2010</v>
      </c>
      <c r="C343" s="738" t="s">
        <v>39</v>
      </c>
      <c r="D343" s="755">
        <v>310.2</v>
      </c>
      <c r="E343" s="705">
        <v>83967.3</v>
      </c>
      <c r="F343" s="753">
        <f t="shared" ref="F343:F406" si="18">ROUND(E343*D343,1)</f>
        <v>26046656.5</v>
      </c>
      <c r="G343" s="755">
        <v>310.2</v>
      </c>
      <c r="H343" s="705">
        <v>68627.22</v>
      </c>
      <c r="I343" s="770">
        <f t="shared" si="16"/>
        <v>21288163.644000001</v>
      </c>
      <c r="J343" s="777">
        <f t="shared" si="17"/>
        <v>4758492.8559999987</v>
      </c>
    </row>
    <row r="344" spans="1:10" ht="30">
      <c r="A344" s="766" t="s">
        <v>2021</v>
      </c>
      <c r="B344" s="714" t="s">
        <v>2022</v>
      </c>
      <c r="C344" s="738" t="s">
        <v>39</v>
      </c>
      <c r="D344" s="755">
        <v>77.5</v>
      </c>
      <c r="E344" s="705">
        <v>142601.88</v>
      </c>
      <c r="F344" s="753">
        <f t="shared" si="18"/>
        <v>11051645.699999999</v>
      </c>
      <c r="G344" s="755">
        <v>77.5</v>
      </c>
      <c r="H344" s="705">
        <v>114977.86</v>
      </c>
      <c r="I344" s="770">
        <f t="shared" si="16"/>
        <v>8910784.1500000004</v>
      </c>
      <c r="J344" s="777">
        <f t="shared" si="17"/>
        <v>2140861.5499999989</v>
      </c>
    </row>
    <row r="345" spans="1:10" ht="30">
      <c r="A345" s="766" t="s">
        <v>2023</v>
      </c>
      <c r="B345" s="714" t="s">
        <v>2014</v>
      </c>
      <c r="C345" s="738" t="s">
        <v>39</v>
      </c>
      <c r="D345" s="755">
        <v>85.3</v>
      </c>
      <c r="E345" s="705">
        <v>110836.8</v>
      </c>
      <c r="F345" s="753">
        <f t="shared" si="18"/>
        <v>9454379</v>
      </c>
      <c r="G345" s="755">
        <v>85.3</v>
      </c>
      <c r="H345" s="705">
        <v>89171.9</v>
      </c>
      <c r="I345" s="770">
        <f t="shared" si="16"/>
        <v>7606363.0699999994</v>
      </c>
      <c r="J345" s="777">
        <f t="shared" si="17"/>
        <v>1848015.9300000006</v>
      </c>
    </row>
    <row r="346" spans="1:10" ht="15">
      <c r="A346" s="751" t="s">
        <v>2024</v>
      </c>
      <c r="B346" s="722" t="s">
        <v>2025</v>
      </c>
      <c r="C346" s="743"/>
      <c r="D346" s="759"/>
      <c r="E346" s="723"/>
      <c r="F346" s="760"/>
      <c r="G346" s="759"/>
      <c r="H346" s="723"/>
      <c r="I346" s="772">
        <f t="shared" si="16"/>
        <v>0</v>
      </c>
      <c r="J346" s="779">
        <f t="shared" si="17"/>
        <v>0</v>
      </c>
    </row>
    <row r="347" spans="1:10" ht="45">
      <c r="A347" s="766" t="s">
        <v>2026</v>
      </c>
      <c r="B347" s="714" t="s">
        <v>2027</v>
      </c>
      <c r="C347" s="738" t="s">
        <v>45</v>
      </c>
      <c r="D347" s="755">
        <v>75</v>
      </c>
      <c r="E347" s="705">
        <v>81237.833009999988</v>
      </c>
      <c r="F347" s="753">
        <f t="shared" si="18"/>
        <v>6092837.5</v>
      </c>
      <c r="G347" s="755">
        <v>75</v>
      </c>
      <c r="H347" s="705">
        <v>70190.198010000007</v>
      </c>
      <c r="I347" s="770">
        <f t="shared" si="16"/>
        <v>5264264.8507500002</v>
      </c>
      <c r="J347" s="777">
        <f t="shared" si="17"/>
        <v>828572.64924999978</v>
      </c>
    </row>
    <row r="348" spans="1:10" ht="30">
      <c r="A348" s="766" t="s">
        <v>2028</v>
      </c>
      <c r="B348" s="714" t="s">
        <v>2029</v>
      </c>
      <c r="C348" s="738" t="s">
        <v>45</v>
      </c>
      <c r="D348" s="755">
        <v>7.7000000000000028</v>
      </c>
      <c r="E348" s="705">
        <v>23827.175160000003</v>
      </c>
      <c r="F348" s="753">
        <f t="shared" si="18"/>
        <v>183469.2</v>
      </c>
      <c r="G348" s="755">
        <v>7.7000000000000028</v>
      </c>
      <c r="H348" s="705">
        <v>22554.785160000003</v>
      </c>
      <c r="I348" s="770">
        <f t="shared" si="16"/>
        <v>173671.84573200007</v>
      </c>
      <c r="J348" s="777">
        <f t="shared" si="17"/>
        <v>9797.3542679999373</v>
      </c>
    </row>
    <row r="349" spans="1:10" ht="30">
      <c r="A349" s="766" t="s">
        <v>2030</v>
      </c>
      <c r="B349" s="714" t="s">
        <v>2031</v>
      </c>
      <c r="C349" s="738" t="s">
        <v>45</v>
      </c>
      <c r="D349" s="755">
        <v>30</v>
      </c>
      <c r="E349" s="705">
        <v>42649.022385000004</v>
      </c>
      <c r="F349" s="753">
        <f t="shared" si="18"/>
        <v>1279470.7</v>
      </c>
      <c r="G349" s="755">
        <v>30</v>
      </c>
      <c r="H349" s="705">
        <v>39871.037385000003</v>
      </c>
      <c r="I349" s="770">
        <f t="shared" si="16"/>
        <v>1196131.12155</v>
      </c>
      <c r="J349" s="777">
        <f t="shared" si="17"/>
        <v>83339.578449999914</v>
      </c>
    </row>
    <row r="350" spans="1:10" ht="30">
      <c r="A350" s="751" t="s">
        <v>2032</v>
      </c>
      <c r="B350" s="724" t="s">
        <v>2033</v>
      </c>
      <c r="C350" s="743"/>
      <c r="D350" s="759"/>
      <c r="E350" s="723"/>
      <c r="F350" s="760"/>
      <c r="G350" s="759"/>
      <c r="H350" s="723"/>
      <c r="I350" s="772">
        <f t="shared" si="16"/>
        <v>0</v>
      </c>
      <c r="J350" s="779">
        <f t="shared" si="17"/>
        <v>0</v>
      </c>
    </row>
    <row r="351" spans="1:10" ht="15">
      <c r="A351" s="766" t="s">
        <v>2034</v>
      </c>
      <c r="B351" s="714" t="s">
        <v>2035</v>
      </c>
      <c r="C351" s="738" t="s">
        <v>1620</v>
      </c>
      <c r="D351" s="755">
        <v>11</v>
      </c>
      <c r="E351" s="705">
        <v>93991.548540000003</v>
      </c>
      <c r="F351" s="753">
        <f t="shared" si="18"/>
        <v>1033907</v>
      </c>
      <c r="G351" s="755">
        <v>11</v>
      </c>
      <c r="H351" s="705">
        <v>87629.598540000006</v>
      </c>
      <c r="I351" s="770">
        <f t="shared" si="16"/>
        <v>963925.58394000004</v>
      </c>
      <c r="J351" s="777">
        <f t="shared" si="17"/>
        <v>69981.41605999996</v>
      </c>
    </row>
    <row r="352" spans="1:10" ht="15">
      <c r="A352" s="766" t="s">
        <v>2036</v>
      </c>
      <c r="B352" s="714" t="s">
        <v>2037</v>
      </c>
      <c r="C352" s="738" t="s">
        <v>1620</v>
      </c>
      <c r="D352" s="755">
        <v>10</v>
      </c>
      <c r="E352" s="705">
        <v>62136.243539999989</v>
      </c>
      <c r="F352" s="753">
        <f t="shared" si="18"/>
        <v>621362.4</v>
      </c>
      <c r="G352" s="755">
        <v>10</v>
      </c>
      <c r="H352" s="705">
        <v>58343.95854</v>
      </c>
      <c r="I352" s="770">
        <f t="shared" si="16"/>
        <v>583439.58539999998</v>
      </c>
      <c r="J352" s="777">
        <f t="shared" si="17"/>
        <v>37922.814600000042</v>
      </c>
    </row>
    <row r="353" spans="1:10" ht="15">
      <c r="A353" s="766" t="s">
        <v>2038</v>
      </c>
      <c r="B353" s="714" t="s">
        <v>2039</v>
      </c>
      <c r="C353" s="738" t="s">
        <v>1620</v>
      </c>
      <c r="D353" s="755">
        <v>10</v>
      </c>
      <c r="E353" s="705">
        <v>66844.549039999998</v>
      </c>
      <c r="F353" s="753">
        <f t="shared" si="18"/>
        <v>668445.5</v>
      </c>
      <c r="G353" s="755">
        <v>10</v>
      </c>
      <c r="H353" s="705">
        <v>64935.964039999999</v>
      </c>
      <c r="I353" s="770">
        <f t="shared" si="16"/>
        <v>649359.64040000003</v>
      </c>
      <c r="J353" s="777">
        <f t="shared" si="17"/>
        <v>19085.859599999967</v>
      </c>
    </row>
    <row r="354" spans="1:10" ht="15">
      <c r="A354" s="766" t="s">
        <v>2040</v>
      </c>
      <c r="B354" s="714" t="s">
        <v>2041</v>
      </c>
      <c r="C354" s="738" t="s">
        <v>1620</v>
      </c>
      <c r="D354" s="755">
        <v>26</v>
      </c>
      <c r="E354" s="705">
        <v>274961.85000000003</v>
      </c>
      <c r="F354" s="753">
        <f t="shared" si="18"/>
        <v>7149008.0999999996</v>
      </c>
      <c r="G354" s="755">
        <v>26</v>
      </c>
      <c r="H354" s="705">
        <v>215890.875</v>
      </c>
      <c r="I354" s="770">
        <f t="shared" si="16"/>
        <v>5613162.75</v>
      </c>
      <c r="J354" s="777">
        <f t="shared" si="17"/>
        <v>1535845.3499999996</v>
      </c>
    </row>
    <row r="355" spans="1:10" ht="15">
      <c r="A355" s="766" t="s">
        <v>2042</v>
      </c>
      <c r="B355" s="714" t="s">
        <v>2043</v>
      </c>
      <c r="C355" s="738" t="s">
        <v>1620</v>
      </c>
      <c r="D355" s="755">
        <v>3</v>
      </c>
      <c r="E355" s="705">
        <v>124516.734</v>
      </c>
      <c r="F355" s="753">
        <f t="shared" si="18"/>
        <v>373550.2</v>
      </c>
      <c r="G355" s="755">
        <v>3</v>
      </c>
      <c r="H355" s="705">
        <v>117195.75900000001</v>
      </c>
      <c r="I355" s="770">
        <f t="shared" si="16"/>
        <v>351587.277</v>
      </c>
      <c r="J355" s="777">
        <f t="shared" si="17"/>
        <v>21962.92300000001</v>
      </c>
    </row>
    <row r="356" spans="1:10" ht="15">
      <c r="A356" s="766" t="s">
        <v>2044</v>
      </c>
      <c r="B356" s="714" t="s">
        <v>2045</v>
      </c>
      <c r="C356" s="738" t="s">
        <v>1620</v>
      </c>
      <c r="D356" s="755">
        <v>6</v>
      </c>
      <c r="E356" s="705">
        <v>82978.664999999994</v>
      </c>
      <c r="F356" s="753">
        <f t="shared" si="18"/>
        <v>497872</v>
      </c>
      <c r="G356" s="755">
        <v>6</v>
      </c>
      <c r="H356" s="705">
        <v>70482.69</v>
      </c>
      <c r="I356" s="770">
        <f t="shared" si="16"/>
        <v>422896.14</v>
      </c>
      <c r="J356" s="777">
        <f t="shared" si="17"/>
        <v>74975.859999999986</v>
      </c>
    </row>
    <row r="357" spans="1:10" ht="15">
      <c r="A357" s="766" t="s">
        <v>2046</v>
      </c>
      <c r="B357" s="714" t="s">
        <v>2047</v>
      </c>
      <c r="C357" s="738" t="s">
        <v>1620</v>
      </c>
      <c r="D357" s="755">
        <v>1</v>
      </c>
      <c r="E357" s="705">
        <v>55995.800999999999</v>
      </c>
      <c r="F357" s="753">
        <f t="shared" si="18"/>
        <v>55995.8</v>
      </c>
      <c r="G357" s="755">
        <v>1</v>
      </c>
      <c r="H357" s="705">
        <v>48674.826000000001</v>
      </c>
      <c r="I357" s="770">
        <f t="shared" si="16"/>
        <v>48674.826000000001</v>
      </c>
      <c r="J357" s="777">
        <f t="shared" si="17"/>
        <v>7320.974000000002</v>
      </c>
    </row>
    <row r="358" spans="1:10" ht="15">
      <c r="A358" s="766" t="s">
        <v>2048</v>
      </c>
      <c r="B358" s="714" t="s">
        <v>2049</v>
      </c>
      <c r="C358" s="738" t="s">
        <v>1620</v>
      </c>
      <c r="D358" s="755">
        <v>2</v>
      </c>
      <c r="E358" s="705">
        <v>52007.738999999994</v>
      </c>
      <c r="F358" s="753">
        <f t="shared" si="18"/>
        <v>104015.5</v>
      </c>
      <c r="G358" s="755">
        <v>2</v>
      </c>
      <c r="H358" s="705">
        <v>44686.764000000003</v>
      </c>
      <c r="I358" s="770">
        <f t="shared" si="16"/>
        <v>89373.528000000006</v>
      </c>
      <c r="J358" s="777">
        <f t="shared" si="17"/>
        <v>14641.971999999994</v>
      </c>
    </row>
    <row r="359" spans="1:10" ht="15">
      <c r="A359" s="766" t="s">
        <v>2050</v>
      </c>
      <c r="B359" s="714" t="s">
        <v>2051</v>
      </c>
      <c r="C359" s="738" t="s">
        <v>1620</v>
      </c>
      <c r="D359" s="755">
        <v>6</v>
      </c>
      <c r="E359" s="705">
        <v>219564.43050000002</v>
      </c>
      <c r="F359" s="753">
        <f t="shared" si="18"/>
        <v>1317386.6000000001</v>
      </c>
      <c r="G359" s="755">
        <v>6</v>
      </c>
      <c r="H359" s="705">
        <v>209062.48050000003</v>
      </c>
      <c r="I359" s="770">
        <f t="shared" si="16"/>
        <v>1254374.8830000001</v>
      </c>
      <c r="J359" s="777">
        <f t="shared" si="17"/>
        <v>63011.716999999946</v>
      </c>
    </row>
    <row r="360" spans="1:10" ht="30">
      <c r="A360" s="766" t="s">
        <v>2052</v>
      </c>
      <c r="B360" s="714" t="s">
        <v>2053</v>
      </c>
      <c r="C360" s="738" t="s">
        <v>1620</v>
      </c>
      <c r="D360" s="755">
        <v>1</v>
      </c>
      <c r="E360" s="705">
        <v>1208296.6439999999</v>
      </c>
      <c r="F360" s="753">
        <f t="shared" si="18"/>
        <v>1208296.6000000001</v>
      </c>
      <c r="G360" s="755">
        <v>1</v>
      </c>
      <c r="H360" s="705">
        <v>1116001.044</v>
      </c>
      <c r="I360" s="770">
        <f t="shared" si="16"/>
        <v>1116001.044</v>
      </c>
      <c r="J360" s="777">
        <f t="shared" si="17"/>
        <v>92295.556000000099</v>
      </c>
    </row>
    <row r="361" spans="1:10" ht="15">
      <c r="A361" s="766" t="s">
        <v>2054</v>
      </c>
      <c r="B361" s="714" t="s">
        <v>2055</v>
      </c>
      <c r="C361" s="738" t="s">
        <v>1620</v>
      </c>
      <c r="D361" s="755">
        <v>2</v>
      </c>
      <c r="E361" s="705">
        <v>2028525.45</v>
      </c>
      <c r="F361" s="753">
        <f t="shared" si="18"/>
        <v>4057050.9</v>
      </c>
      <c r="G361" s="755">
        <v>2</v>
      </c>
      <c r="H361" s="705">
        <v>1770629.85</v>
      </c>
      <c r="I361" s="770">
        <f t="shared" si="16"/>
        <v>3541259.7</v>
      </c>
      <c r="J361" s="777">
        <f t="shared" si="17"/>
        <v>515791.19999999972</v>
      </c>
    </row>
    <row r="362" spans="1:10" ht="15">
      <c r="A362" s="751" t="s">
        <v>2056</v>
      </c>
      <c r="B362" s="737" t="s">
        <v>2057</v>
      </c>
      <c r="C362" s="739"/>
      <c r="D362" s="751"/>
      <c r="E362" s="649"/>
      <c r="F362" s="752"/>
      <c r="G362" s="751"/>
      <c r="H362" s="649"/>
      <c r="I362" s="769">
        <f t="shared" si="16"/>
        <v>0</v>
      </c>
      <c r="J362" s="776">
        <f t="shared" si="17"/>
        <v>0</v>
      </c>
    </row>
    <row r="363" spans="1:10" ht="120">
      <c r="A363" s="766" t="s">
        <v>2058</v>
      </c>
      <c r="B363" s="714" t="s">
        <v>2059</v>
      </c>
      <c r="C363" s="738" t="s">
        <v>1620</v>
      </c>
      <c r="D363" s="755">
        <v>1</v>
      </c>
      <c r="E363" s="705">
        <v>71369430.75</v>
      </c>
      <c r="F363" s="753">
        <f t="shared" si="18"/>
        <v>71369430.799999997</v>
      </c>
      <c r="G363" s="755">
        <v>1</v>
      </c>
      <c r="H363" s="705">
        <v>30686299.649999999</v>
      </c>
      <c r="I363" s="770">
        <f t="shared" si="16"/>
        <v>30686299.649999999</v>
      </c>
      <c r="J363" s="777">
        <f t="shared" si="17"/>
        <v>40683131.149999999</v>
      </c>
    </row>
    <row r="364" spans="1:10" ht="135">
      <c r="A364" s="766" t="s">
        <v>2060</v>
      </c>
      <c r="B364" s="714" t="s">
        <v>2061</v>
      </c>
      <c r="C364" s="738" t="s">
        <v>1620</v>
      </c>
      <c r="D364" s="755">
        <v>1</v>
      </c>
      <c r="E364" s="705">
        <v>71369430.75</v>
      </c>
      <c r="F364" s="753">
        <f t="shared" si="18"/>
        <v>71369430.799999997</v>
      </c>
      <c r="G364" s="755">
        <v>1</v>
      </c>
      <c r="H364" s="705">
        <v>30686299.649999999</v>
      </c>
      <c r="I364" s="770">
        <f t="shared" si="16"/>
        <v>30686299.649999999</v>
      </c>
      <c r="J364" s="777">
        <f t="shared" si="17"/>
        <v>40683131.149999999</v>
      </c>
    </row>
    <row r="365" spans="1:10" ht="75">
      <c r="A365" s="766" t="s">
        <v>2062</v>
      </c>
      <c r="B365" s="714" t="s">
        <v>2063</v>
      </c>
      <c r="C365" s="738" t="s">
        <v>1620</v>
      </c>
      <c r="D365" s="755">
        <v>1</v>
      </c>
      <c r="E365" s="705">
        <v>14646189.351</v>
      </c>
      <c r="F365" s="753">
        <f t="shared" si="18"/>
        <v>14646189.4</v>
      </c>
      <c r="G365" s="755">
        <v>1</v>
      </c>
      <c r="H365" s="705">
        <v>14560114.550999999</v>
      </c>
      <c r="I365" s="770">
        <f t="shared" si="16"/>
        <v>14560114.550999999</v>
      </c>
      <c r="J365" s="777">
        <f t="shared" si="17"/>
        <v>86074.849000001326</v>
      </c>
    </row>
    <row r="366" spans="1:10" ht="45">
      <c r="A366" s="766" t="s">
        <v>2064</v>
      </c>
      <c r="B366" s="714" t="s">
        <v>2065</v>
      </c>
      <c r="C366" s="738" t="s">
        <v>1620</v>
      </c>
      <c r="D366" s="755">
        <v>4</v>
      </c>
      <c r="E366" s="705">
        <v>12215730.93</v>
      </c>
      <c r="F366" s="753">
        <f t="shared" si="18"/>
        <v>48862923.700000003</v>
      </c>
      <c r="G366" s="755">
        <v>4</v>
      </c>
      <c r="H366" s="705">
        <v>8954196.9299999997</v>
      </c>
      <c r="I366" s="770">
        <f t="shared" si="16"/>
        <v>35816787.719999999</v>
      </c>
      <c r="J366" s="777">
        <f t="shared" si="17"/>
        <v>13046135.980000004</v>
      </c>
    </row>
    <row r="367" spans="1:10" ht="30">
      <c r="A367" s="766" t="s">
        <v>2066</v>
      </c>
      <c r="B367" s="714" t="s">
        <v>2067</v>
      </c>
      <c r="C367" s="738" t="s">
        <v>1620</v>
      </c>
      <c r="D367" s="755">
        <v>5</v>
      </c>
      <c r="E367" s="705">
        <v>13982281.240499999</v>
      </c>
      <c r="F367" s="753">
        <f t="shared" si="18"/>
        <v>69911406.200000003</v>
      </c>
      <c r="G367" s="755">
        <v>5</v>
      </c>
      <c r="H367" s="705">
        <v>8760321.0405000001</v>
      </c>
      <c r="I367" s="770">
        <f t="shared" si="16"/>
        <v>43801605.202500001</v>
      </c>
      <c r="J367" s="777">
        <f t="shared" si="17"/>
        <v>26109800.997500002</v>
      </c>
    </row>
    <row r="368" spans="1:10" ht="30">
      <c r="A368" s="751">
        <v>16.2</v>
      </c>
      <c r="B368" s="737" t="s">
        <v>2068</v>
      </c>
      <c r="C368" s="739"/>
      <c r="D368" s="751"/>
      <c r="E368" s="649"/>
      <c r="F368" s="752"/>
      <c r="G368" s="751"/>
      <c r="H368" s="649"/>
      <c r="I368" s="769">
        <f t="shared" si="16"/>
        <v>0</v>
      </c>
      <c r="J368" s="776">
        <f t="shared" si="17"/>
        <v>0</v>
      </c>
    </row>
    <row r="369" spans="1:10" ht="15">
      <c r="A369" s="751" t="s">
        <v>2069</v>
      </c>
      <c r="B369" s="737" t="s">
        <v>2019</v>
      </c>
      <c r="C369" s="739"/>
      <c r="D369" s="751"/>
      <c r="E369" s="649"/>
      <c r="F369" s="752"/>
      <c r="G369" s="751"/>
      <c r="H369" s="649"/>
      <c r="I369" s="769">
        <f t="shared" si="16"/>
        <v>0</v>
      </c>
      <c r="J369" s="776">
        <f t="shared" si="17"/>
        <v>0</v>
      </c>
    </row>
    <row r="370" spans="1:10" ht="30">
      <c r="A370" s="766" t="s">
        <v>2070</v>
      </c>
      <c r="B370" s="714" t="s">
        <v>2071</v>
      </c>
      <c r="C370" s="738" t="s">
        <v>39</v>
      </c>
      <c r="D370" s="755">
        <v>443.4</v>
      </c>
      <c r="E370" s="705">
        <v>52624.91</v>
      </c>
      <c r="F370" s="753">
        <f t="shared" si="18"/>
        <v>23333885.100000001</v>
      </c>
      <c r="G370" s="755">
        <v>443.4</v>
      </c>
      <c r="H370" s="705">
        <v>47735.25</v>
      </c>
      <c r="I370" s="770">
        <f t="shared" si="16"/>
        <v>21165809.849999998</v>
      </c>
      <c r="J370" s="777">
        <f t="shared" si="17"/>
        <v>2168075.2500000037</v>
      </c>
    </row>
    <row r="371" spans="1:10" ht="45">
      <c r="A371" s="766" t="s">
        <v>2072</v>
      </c>
      <c r="B371" s="714" t="s">
        <v>2010</v>
      </c>
      <c r="C371" s="738" t="s">
        <v>39</v>
      </c>
      <c r="D371" s="755">
        <v>354.7</v>
      </c>
      <c r="E371" s="705">
        <v>53079.3</v>
      </c>
      <c r="F371" s="753">
        <f t="shared" si="18"/>
        <v>18827227.699999999</v>
      </c>
      <c r="G371" s="755">
        <v>354.7</v>
      </c>
      <c r="H371" s="705">
        <v>46139.219999999994</v>
      </c>
      <c r="I371" s="770">
        <f t="shared" si="16"/>
        <v>16365581.333999997</v>
      </c>
      <c r="J371" s="777">
        <f t="shared" si="17"/>
        <v>2461646.3660000023</v>
      </c>
    </row>
    <row r="372" spans="1:10" ht="15">
      <c r="A372" s="751" t="s">
        <v>2073</v>
      </c>
      <c r="B372" s="737" t="s">
        <v>2074</v>
      </c>
      <c r="C372" s="739"/>
      <c r="D372" s="751"/>
      <c r="E372" s="649"/>
      <c r="F372" s="752"/>
      <c r="G372" s="751"/>
      <c r="H372" s="649"/>
      <c r="I372" s="769">
        <f t="shared" si="16"/>
        <v>0</v>
      </c>
      <c r="J372" s="776">
        <f t="shared" si="17"/>
        <v>0</v>
      </c>
    </row>
    <row r="373" spans="1:10" ht="15">
      <c r="A373" s="766" t="s">
        <v>2075</v>
      </c>
      <c r="B373" s="714" t="s">
        <v>2076</v>
      </c>
      <c r="C373" s="738" t="s">
        <v>1620</v>
      </c>
      <c r="D373" s="755">
        <v>9</v>
      </c>
      <c r="E373" s="705">
        <v>16787.983500000002</v>
      </c>
      <c r="F373" s="753">
        <f t="shared" si="18"/>
        <v>151091.9</v>
      </c>
      <c r="G373" s="755">
        <v>9</v>
      </c>
      <c r="H373" s="705">
        <v>14879.398499999999</v>
      </c>
      <c r="I373" s="770">
        <f t="shared" si="16"/>
        <v>133914.5865</v>
      </c>
      <c r="J373" s="777">
        <f t="shared" si="17"/>
        <v>17177.313499999989</v>
      </c>
    </row>
    <row r="374" spans="1:10" ht="15">
      <c r="A374" s="766" t="s">
        <v>2077</v>
      </c>
      <c r="B374" s="714" t="s">
        <v>2078</v>
      </c>
      <c r="C374" s="738" t="s">
        <v>1620</v>
      </c>
      <c r="D374" s="755">
        <v>40</v>
      </c>
      <c r="E374" s="705">
        <v>64634.245500000005</v>
      </c>
      <c r="F374" s="753">
        <f t="shared" si="18"/>
        <v>2585369.7999999998</v>
      </c>
      <c r="G374" s="755">
        <v>40</v>
      </c>
      <c r="H374" s="705">
        <v>58272.2955</v>
      </c>
      <c r="I374" s="770">
        <f t="shared" si="16"/>
        <v>2330891.8199999998</v>
      </c>
      <c r="J374" s="777">
        <f t="shared" si="17"/>
        <v>254477.97999999998</v>
      </c>
    </row>
    <row r="375" spans="1:10" ht="15">
      <c r="A375" s="766" t="s">
        <v>2079</v>
      </c>
      <c r="B375" s="714" t="s">
        <v>2080</v>
      </c>
      <c r="C375" s="738" t="s">
        <v>1620</v>
      </c>
      <c r="D375" s="755">
        <v>1</v>
      </c>
      <c r="E375" s="705">
        <v>117511.98149999999</v>
      </c>
      <c r="F375" s="753">
        <f t="shared" si="18"/>
        <v>117512</v>
      </c>
      <c r="G375" s="755">
        <v>1</v>
      </c>
      <c r="H375" s="705">
        <v>111150.0315</v>
      </c>
      <c r="I375" s="770">
        <f t="shared" si="16"/>
        <v>111150.0315</v>
      </c>
      <c r="J375" s="777">
        <f t="shared" si="17"/>
        <v>6361.9685000000027</v>
      </c>
    </row>
    <row r="376" spans="1:10" ht="30">
      <c r="A376" s="766" t="s">
        <v>2081</v>
      </c>
      <c r="B376" s="714" t="s">
        <v>2082</v>
      </c>
      <c r="C376" s="738" t="s">
        <v>1620</v>
      </c>
      <c r="D376" s="755">
        <v>1</v>
      </c>
      <c r="E376" s="705">
        <v>43276.970999999998</v>
      </c>
      <c r="F376" s="753">
        <f t="shared" si="18"/>
        <v>43277</v>
      </c>
      <c r="G376" s="755">
        <v>1</v>
      </c>
      <c r="H376" s="705">
        <v>40732.190999999999</v>
      </c>
      <c r="I376" s="770">
        <f t="shared" si="16"/>
        <v>40732.190999999999</v>
      </c>
      <c r="J376" s="777">
        <f t="shared" si="17"/>
        <v>2544.8090000000011</v>
      </c>
    </row>
    <row r="377" spans="1:10" ht="30">
      <c r="A377" s="766" t="s">
        <v>2083</v>
      </c>
      <c r="B377" s="714" t="s">
        <v>2084</v>
      </c>
      <c r="C377" s="738" t="s">
        <v>1620</v>
      </c>
      <c r="D377" s="755">
        <v>1</v>
      </c>
      <c r="E377" s="705">
        <v>2466153.2250000001</v>
      </c>
      <c r="F377" s="753">
        <f t="shared" si="18"/>
        <v>2466153.2000000002</v>
      </c>
      <c r="G377" s="755">
        <v>1</v>
      </c>
      <c r="H377" s="705">
        <v>2219367.375</v>
      </c>
      <c r="I377" s="770">
        <f t="shared" si="16"/>
        <v>2219367.375</v>
      </c>
      <c r="J377" s="777">
        <f t="shared" si="17"/>
        <v>246785.82500000019</v>
      </c>
    </row>
    <row r="378" spans="1:10" ht="30">
      <c r="A378" s="766" t="s">
        <v>2085</v>
      </c>
      <c r="B378" s="714" t="s">
        <v>2086</v>
      </c>
      <c r="C378" s="738" t="s">
        <v>1620</v>
      </c>
      <c r="D378" s="755">
        <v>1</v>
      </c>
      <c r="E378" s="705">
        <v>507976.18913250003</v>
      </c>
      <c r="F378" s="753">
        <f t="shared" si="18"/>
        <v>507976.2</v>
      </c>
      <c r="G378" s="755">
        <v>1</v>
      </c>
      <c r="H378" s="705">
        <v>410859.99377700005</v>
      </c>
      <c r="I378" s="770">
        <f t="shared" si="16"/>
        <v>410859.99377700005</v>
      </c>
      <c r="J378" s="777">
        <f t="shared" si="17"/>
        <v>97116.206222999957</v>
      </c>
    </row>
    <row r="379" spans="1:10" ht="60">
      <c r="A379" s="766" t="s">
        <v>2087</v>
      </c>
      <c r="B379" s="714" t="s">
        <v>2088</v>
      </c>
      <c r="C379" s="738" t="s">
        <v>1620</v>
      </c>
      <c r="D379" s="755">
        <v>30</v>
      </c>
      <c r="E379" s="705">
        <v>50100.224999999999</v>
      </c>
      <c r="F379" s="753">
        <f t="shared" si="18"/>
        <v>1503006.8</v>
      </c>
      <c r="G379" s="755">
        <v>30</v>
      </c>
      <c r="H379" s="705">
        <v>40908.375</v>
      </c>
      <c r="I379" s="770">
        <f t="shared" si="16"/>
        <v>1227251.25</v>
      </c>
      <c r="J379" s="777">
        <f t="shared" si="17"/>
        <v>275755.55000000005</v>
      </c>
    </row>
    <row r="380" spans="1:10" ht="60">
      <c r="A380" s="766" t="s">
        <v>2089</v>
      </c>
      <c r="B380" s="714" t="s">
        <v>2090</v>
      </c>
      <c r="C380" s="738" t="s">
        <v>1620</v>
      </c>
      <c r="D380" s="755">
        <v>20</v>
      </c>
      <c r="E380" s="705">
        <v>50100.224999999999</v>
      </c>
      <c r="F380" s="753">
        <f t="shared" si="18"/>
        <v>1002004.5</v>
      </c>
      <c r="G380" s="755">
        <v>20</v>
      </c>
      <c r="H380" s="705">
        <v>40908.375</v>
      </c>
      <c r="I380" s="770">
        <f t="shared" si="16"/>
        <v>818167.5</v>
      </c>
      <c r="J380" s="777">
        <f t="shared" si="17"/>
        <v>183837</v>
      </c>
    </row>
    <row r="381" spans="1:10" ht="60">
      <c r="A381" s="766" t="s">
        <v>2091</v>
      </c>
      <c r="B381" s="714" t="s">
        <v>2092</v>
      </c>
      <c r="C381" s="738" t="s">
        <v>1620</v>
      </c>
      <c r="D381" s="755">
        <v>20</v>
      </c>
      <c r="E381" s="705">
        <v>50100.224999999999</v>
      </c>
      <c r="F381" s="753">
        <f t="shared" si="18"/>
        <v>1002004.5</v>
      </c>
      <c r="G381" s="755">
        <v>20</v>
      </c>
      <c r="H381" s="705">
        <v>40908.375</v>
      </c>
      <c r="I381" s="770">
        <f t="shared" si="16"/>
        <v>818167.5</v>
      </c>
      <c r="J381" s="777">
        <f t="shared" si="17"/>
        <v>183837</v>
      </c>
    </row>
    <row r="382" spans="1:10" ht="15">
      <c r="A382" s="751" t="s">
        <v>2093</v>
      </c>
      <c r="B382" s="720" t="s">
        <v>2094</v>
      </c>
      <c r="C382" s="746"/>
      <c r="D382" s="761"/>
      <c r="E382" s="721"/>
      <c r="F382" s="762"/>
      <c r="G382" s="761"/>
      <c r="H382" s="721"/>
      <c r="I382" s="773">
        <f t="shared" si="16"/>
        <v>0</v>
      </c>
      <c r="J382" s="780">
        <f t="shared" si="17"/>
        <v>0</v>
      </c>
    </row>
    <row r="383" spans="1:10" ht="15">
      <c r="A383" s="751" t="s">
        <v>2095</v>
      </c>
      <c r="B383" s="725" t="s">
        <v>2096</v>
      </c>
      <c r="C383" s="747"/>
      <c r="D383" s="763"/>
      <c r="E383" s="726"/>
      <c r="F383" s="764"/>
      <c r="G383" s="763"/>
      <c r="H383" s="726"/>
      <c r="I383" s="774">
        <f t="shared" si="16"/>
        <v>0</v>
      </c>
      <c r="J383" s="781">
        <f t="shared" si="17"/>
        <v>0</v>
      </c>
    </row>
    <row r="384" spans="1:10" ht="15">
      <c r="A384" s="766" t="s">
        <v>2097</v>
      </c>
      <c r="B384" s="714" t="s">
        <v>2098</v>
      </c>
      <c r="C384" s="738" t="s">
        <v>39</v>
      </c>
      <c r="D384" s="755">
        <v>322.11</v>
      </c>
      <c r="E384" s="705">
        <v>52624.91</v>
      </c>
      <c r="F384" s="753">
        <f t="shared" si="18"/>
        <v>16951009.800000001</v>
      </c>
      <c r="G384" s="755">
        <v>322.11</v>
      </c>
      <c r="H384" s="705">
        <v>47735.25</v>
      </c>
      <c r="I384" s="770">
        <f t="shared" si="16"/>
        <v>15376001.377500001</v>
      </c>
      <c r="J384" s="777">
        <f t="shared" si="17"/>
        <v>1575008.4224999994</v>
      </c>
    </row>
    <row r="385" spans="1:10" ht="15">
      <c r="A385" s="766" t="s">
        <v>2099</v>
      </c>
      <c r="B385" s="714" t="s">
        <v>2100</v>
      </c>
      <c r="C385" s="738" t="s">
        <v>39</v>
      </c>
      <c r="D385" s="755">
        <v>28.3</v>
      </c>
      <c r="E385" s="705">
        <v>52624.91</v>
      </c>
      <c r="F385" s="753">
        <f t="shared" si="18"/>
        <v>1489285</v>
      </c>
      <c r="G385" s="755">
        <v>28.3</v>
      </c>
      <c r="H385" s="705">
        <v>47735.25</v>
      </c>
      <c r="I385" s="770">
        <f t="shared" si="16"/>
        <v>1350907.575</v>
      </c>
      <c r="J385" s="777">
        <f t="shared" si="17"/>
        <v>138377.42500000005</v>
      </c>
    </row>
    <row r="386" spans="1:10" ht="15">
      <c r="A386" s="751" t="s">
        <v>2101</v>
      </c>
      <c r="B386" s="737" t="s">
        <v>2102</v>
      </c>
      <c r="C386" s="739"/>
      <c r="D386" s="751"/>
      <c r="E386" s="649"/>
      <c r="F386" s="752"/>
      <c r="G386" s="751"/>
      <c r="H386" s="649"/>
      <c r="I386" s="769">
        <f t="shared" si="16"/>
        <v>0</v>
      </c>
      <c r="J386" s="776">
        <f t="shared" si="17"/>
        <v>0</v>
      </c>
    </row>
    <row r="387" spans="1:10" ht="15">
      <c r="A387" s="766" t="s">
        <v>2103</v>
      </c>
      <c r="B387" s="714" t="s">
        <v>2104</v>
      </c>
      <c r="C387" s="738" t="s">
        <v>37</v>
      </c>
      <c r="D387" s="755">
        <v>193.86</v>
      </c>
      <c r="E387" s="705">
        <v>86524.274999999994</v>
      </c>
      <c r="F387" s="753">
        <f t="shared" si="18"/>
        <v>16773596</v>
      </c>
      <c r="G387" s="755">
        <v>193.86</v>
      </c>
      <c r="H387" s="705">
        <v>77791.349999999991</v>
      </c>
      <c r="I387" s="770">
        <f t="shared" si="16"/>
        <v>15080631.111</v>
      </c>
      <c r="J387" s="777">
        <f t="shared" si="17"/>
        <v>1692964.8890000004</v>
      </c>
    </row>
    <row r="388" spans="1:10" ht="15">
      <c r="A388" s="766" t="s">
        <v>2105</v>
      </c>
      <c r="B388" s="714" t="s">
        <v>2106</v>
      </c>
      <c r="C388" s="738" t="s">
        <v>37</v>
      </c>
      <c r="D388" s="755">
        <v>10.199999999999999</v>
      </c>
      <c r="E388" s="705">
        <v>107969.47499999999</v>
      </c>
      <c r="F388" s="753">
        <f t="shared" si="18"/>
        <v>1101288.6000000001</v>
      </c>
      <c r="G388" s="755">
        <v>10.199999999999999</v>
      </c>
      <c r="H388" s="705">
        <v>97787.549999999988</v>
      </c>
      <c r="I388" s="770">
        <f t="shared" si="16"/>
        <v>997433.00999999978</v>
      </c>
      <c r="J388" s="777">
        <f t="shared" si="17"/>
        <v>103855.59000000032</v>
      </c>
    </row>
    <row r="389" spans="1:10" ht="15">
      <c r="A389" s="751" t="s">
        <v>2107</v>
      </c>
      <c r="B389" s="737" t="s">
        <v>2108</v>
      </c>
      <c r="C389" s="739"/>
      <c r="D389" s="751"/>
      <c r="E389" s="649"/>
      <c r="F389" s="752"/>
      <c r="G389" s="751"/>
      <c r="H389" s="649"/>
      <c r="I389" s="769">
        <f t="shared" si="16"/>
        <v>0</v>
      </c>
      <c r="J389" s="776">
        <f t="shared" si="17"/>
        <v>0</v>
      </c>
    </row>
    <row r="390" spans="1:10" ht="15">
      <c r="A390" s="766" t="s">
        <v>2109</v>
      </c>
      <c r="B390" s="714" t="s">
        <v>2110</v>
      </c>
      <c r="C390" s="738" t="s">
        <v>39</v>
      </c>
      <c r="D390" s="755">
        <v>49.97</v>
      </c>
      <c r="E390" s="705">
        <v>51516.3</v>
      </c>
      <c r="F390" s="753">
        <f t="shared" si="18"/>
        <v>2574269.5</v>
      </c>
      <c r="G390" s="755">
        <v>49.97</v>
      </c>
      <c r="H390" s="705">
        <v>44576.219999999994</v>
      </c>
      <c r="I390" s="770">
        <f t="shared" si="16"/>
        <v>2227473.7133999998</v>
      </c>
      <c r="J390" s="777">
        <f t="shared" si="17"/>
        <v>346795.78660000023</v>
      </c>
    </row>
    <row r="391" spans="1:10" ht="15">
      <c r="A391" s="766" t="s">
        <v>2111</v>
      </c>
      <c r="B391" s="714" t="s">
        <v>2112</v>
      </c>
      <c r="C391" s="738" t="s">
        <v>39</v>
      </c>
      <c r="D391" s="755">
        <v>177.18</v>
      </c>
      <c r="E391" s="705">
        <v>120571.38</v>
      </c>
      <c r="F391" s="753">
        <f t="shared" si="18"/>
        <v>21362837.100000001</v>
      </c>
      <c r="G391" s="755">
        <v>177.18</v>
      </c>
      <c r="H391" s="705">
        <v>99612.36</v>
      </c>
      <c r="I391" s="770">
        <f t="shared" si="16"/>
        <v>17649317.944800001</v>
      </c>
      <c r="J391" s="777">
        <f t="shared" si="17"/>
        <v>3713519.1552000009</v>
      </c>
    </row>
    <row r="392" spans="1:10" ht="30">
      <c r="A392" s="766" t="s">
        <v>2113</v>
      </c>
      <c r="B392" s="714" t="s">
        <v>2114</v>
      </c>
      <c r="C392" s="738" t="s">
        <v>39</v>
      </c>
      <c r="D392" s="755">
        <v>28.67</v>
      </c>
      <c r="E392" s="705">
        <v>198376.82500000001</v>
      </c>
      <c r="F392" s="753">
        <f t="shared" si="18"/>
        <v>5687463.5999999996</v>
      </c>
      <c r="G392" s="755">
        <v>28.67</v>
      </c>
      <c r="H392" s="705">
        <v>129278.125</v>
      </c>
      <c r="I392" s="770">
        <f t="shared" si="16"/>
        <v>3706403.84375</v>
      </c>
      <c r="J392" s="777">
        <f t="shared" si="17"/>
        <v>1981059.7562499996</v>
      </c>
    </row>
    <row r="393" spans="1:10" ht="30">
      <c r="A393" s="766" t="s">
        <v>2115</v>
      </c>
      <c r="B393" s="714" t="s">
        <v>2014</v>
      </c>
      <c r="C393" s="738" t="s">
        <v>39</v>
      </c>
      <c r="D393" s="755">
        <v>300.43</v>
      </c>
      <c r="E393" s="705">
        <v>110836.8</v>
      </c>
      <c r="F393" s="753">
        <f t="shared" si="18"/>
        <v>33298699.800000001</v>
      </c>
      <c r="G393" s="755">
        <v>300.43</v>
      </c>
      <c r="H393" s="705">
        <v>89171.9</v>
      </c>
      <c r="I393" s="770">
        <f t="shared" si="16"/>
        <v>26789913.916999999</v>
      </c>
      <c r="J393" s="777">
        <f t="shared" si="17"/>
        <v>6508785.8830000013</v>
      </c>
    </row>
    <row r="394" spans="1:10" ht="15">
      <c r="A394" s="751" t="s">
        <v>2116</v>
      </c>
      <c r="B394" s="737" t="s">
        <v>2117</v>
      </c>
      <c r="C394" s="739"/>
      <c r="D394" s="751"/>
      <c r="E394" s="649"/>
      <c r="F394" s="752"/>
      <c r="G394" s="751"/>
      <c r="H394" s="649"/>
      <c r="I394" s="769">
        <f t="shared" si="16"/>
        <v>0</v>
      </c>
      <c r="J394" s="776">
        <f t="shared" si="17"/>
        <v>0</v>
      </c>
    </row>
    <row r="395" spans="1:10" ht="15">
      <c r="A395" s="766" t="s">
        <v>2118</v>
      </c>
      <c r="B395" s="714" t="s">
        <v>2119</v>
      </c>
      <c r="C395" s="738" t="s">
        <v>100</v>
      </c>
      <c r="D395" s="755">
        <v>14.31</v>
      </c>
      <c r="E395" s="705">
        <v>87658.382400000002</v>
      </c>
      <c r="F395" s="753">
        <f t="shared" si="18"/>
        <v>1254391.5</v>
      </c>
      <c r="G395" s="755">
        <v>14.31</v>
      </c>
      <c r="H395" s="705">
        <v>72861.388650000008</v>
      </c>
      <c r="I395" s="770">
        <f t="shared" si="16"/>
        <v>1042646.4715815001</v>
      </c>
      <c r="J395" s="777">
        <f t="shared" si="17"/>
        <v>211745.02841849986</v>
      </c>
    </row>
    <row r="396" spans="1:10" ht="15">
      <c r="A396" s="766" t="s">
        <v>2120</v>
      </c>
      <c r="B396" s="714" t="s">
        <v>2121</v>
      </c>
      <c r="C396" s="738" t="s">
        <v>100</v>
      </c>
      <c r="D396" s="755">
        <v>241.93</v>
      </c>
      <c r="E396" s="705">
        <v>587.19675000000007</v>
      </c>
      <c r="F396" s="753">
        <f t="shared" si="18"/>
        <v>142060.5</v>
      </c>
      <c r="G396" s="755">
        <v>241.93</v>
      </c>
      <c r="H396" s="705">
        <v>513.9067500000001</v>
      </c>
      <c r="I396" s="770">
        <f t="shared" si="16"/>
        <v>124329.46002750003</v>
      </c>
      <c r="J396" s="777">
        <f t="shared" si="17"/>
        <v>17731.039972499973</v>
      </c>
    </row>
    <row r="397" spans="1:10" ht="45">
      <c r="A397" s="766" t="s">
        <v>2122</v>
      </c>
      <c r="B397" s="714" t="s">
        <v>2123</v>
      </c>
      <c r="C397" s="738" t="s">
        <v>1620</v>
      </c>
      <c r="D397" s="755">
        <v>2</v>
      </c>
      <c r="E397" s="705">
        <v>1219850.1961874999</v>
      </c>
      <c r="F397" s="753">
        <f t="shared" si="18"/>
        <v>2439700.4</v>
      </c>
      <c r="G397" s="755">
        <v>2</v>
      </c>
      <c r="H397" s="705">
        <v>1054166.642126</v>
      </c>
      <c r="I397" s="770">
        <f t="shared" si="16"/>
        <v>2108333.284252</v>
      </c>
      <c r="J397" s="777">
        <f t="shared" si="17"/>
        <v>331367.11574799987</v>
      </c>
    </row>
    <row r="398" spans="1:10" ht="45">
      <c r="A398" s="766" t="s">
        <v>2124</v>
      </c>
      <c r="B398" s="714" t="s">
        <v>2125</v>
      </c>
      <c r="C398" s="738" t="s">
        <v>1620</v>
      </c>
      <c r="D398" s="755">
        <v>3</v>
      </c>
      <c r="E398" s="705">
        <v>1625364.8133750001</v>
      </c>
      <c r="F398" s="753">
        <f t="shared" si="18"/>
        <v>4876094.4000000004</v>
      </c>
      <c r="G398" s="755">
        <v>3</v>
      </c>
      <c r="H398" s="705">
        <v>1394382.6052519998</v>
      </c>
      <c r="I398" s="770">
        <f t="shared" si="16"/>
        <v>4183147.8157559996</v>
      </c>
      <c r="J398" s="777">
        <f t="shared" si="17"/>
        <v>692946.58424400073</v>
      </c>
    </row>
    <row r="399" spans="1:10" ht="15">
      <c r="A399" s="766" t="s">
        <v>2126</v>
      </c>
      <c r="B399" s="714" t="s">
        <v>2127</v>
      </c>
      <c r="C399" s="738" t="s">
        <v>1620</v>
      </c>
      <c r="D399" s="755">
        <v>36</v>
      </c>
      <c r="E399" s="705">
        <v>43275.547500000001</v>
      </c>
      <c r="F399" s="753">
        <f t="shared" si="18"/>
        <v>1557919.7</v>
      </c>
      <c r="G399" s="755">
        <v>36</v>
      </c>
      <c r="H399" s="705">
        <v>40094.572500000002</v>
      </c>
      <c r="I399" s="770">
        <f t="shared" si="16"/>
        <v>1443404.61</v>
      </c>
      <c r="J399" s="777">
        <f t="shared" si="17"/>
        <v>114515.08999999985</v>
      </c>
    </row>
    <row r="400" spans="1:10" ht="15">
      <c r="A400" s="751" t="s">
        <v>2128</v>
      </c>
      <c r="B400" s="737" t="s">
        <v>2129</v>
      </c>
      <c r="C400" s="739"/>
      <c r="D400" s="751"/>
      <c r="E400" s="649"/>
      <c r="F400" s="752"/>
      <c r="G400" s="751"/>
      <c r="H400" s="649"/>
      <c r="I400" s="769">
        <f t="shared" si="16"/>
        <v>0</v>
      </c>
      <c r="J400" s="776">
        <f t="shared" si="17"/>
        <v>0</v>
      </c>
    </row>
    <row r="401" spans="1:10" ht="15">
      <c r="A401" s="766" t="s">
        <v>2130</v>
      </c>
      <c r="B401" s="714" t="s">
        <v>2131</v>
      </c>
      <c r="C401" s="738" t="s">
        <v>100</v>
      </c>
      <c r="D401" s="755">
        <v>807.61</v>
      </c>
      <c r="E401" s="705">
        <v>1800.6451999999999</v>
      </c>
      <c r="F401" s="753">
        <f t="shared" si="18"/>
        <v>1454219.1</v>
      </c>
      <c r="G401" s="755">
        <v>807.61</v>
      </c>
      <c r="H401" s="705">
        <v>1660.1525999999999</v>
      </c>
      <c r="I401" s="770">
        <f t="shared" ref="I401:I464" si="19">+H401*G401</f>
        <v>1340755.8412859999</v>
      </c>
      <c r="J401" s="777">
        <f t="shared" ref="J401:J464" si="20">+F401-I401</f>
        <v>113463.25871400023</v>
      </c>
    </row>
    <row r="402" spans="1:10" ht="15">
      <c r="A402" s="751" t="s">
        <v>2132</v>
      </c>
      <c r="B402" s="737" t="s">
        <v>2096</v>
      </c>
      <c r="C402" s="739"/>
      <c r="D402" s="751"/>
      <c r="E402" s="649"/>
      <c r="F402" s="752"/>
      <c r="G402" s="751"/>
      <c r="H402" s="649"/>
      <c r="I402" s="769">
        <f t="shared" si="19"/>
        <v>0</v>
      </c>
      <c r="J402" s="776">
        <f t="shared" si="20"/>
        <v>0</v>
      </c>
    </row>
    <row r="403" spans="1:10" ht="15">
      <c r="A403" s="766" t="s">
        <v>2133</v>
      </c>
      <c r="B403" s="714" t="s">
        <v>2098</v>
      </c>
      <c r="C403" s="738" t="s">
        <v>39</v>
      </c>
      <c r="D403" s="755">
        <v>852.51</v>
      </c>
      <c r="E403" s="705">
        <v>52624.91</v>
      </c>
      <c r="F403" s="753">
        <f t="shared" si="18"/>
        <v>44863262</v>
      </c>
      <c r="G403" s="755">
        <v>852.51</v>
      </c>
      <c r="H403" s="705">
        <v>47735.25</v>
      </c>
      <c r="I403" s="770">
        <f t="shared" si="19"/>
        <v>40694777.977499999</v>
      </c>
      <c r="J403" s="777">
        <f t="shared" si="20"/>
        <v>4168484.0225000009</v>
      </c>
    </row>
    <row r="404" spans="1:10" ht="15">
      <c r="A404" s="766" t="s">
        <v>2134</v>
      </c>
      <c r="B404" s="714" t="s">
        <v>2100</v>
      </c>
      <c r="C404" s="738" t="s">
        <v>39</v>
      </c>
      <c r="D404" s="755">
        <v>0.08</v>
      </c>
      <c r="E404" s="705">
        <v>52624.91</v>
      </c>
      <c r="F404" s="753">
        <f t="shared" si="18"/>
        <v>4210</v>
      </c>
      <c r="G404" s="755">
        <v>0.08</v>
      </c>
      <c r="H404" s="705">
        <v>47735.25</v>
      </c>
      <c r="I404" s="770">
        <f t="shared" si="19"/>
        <v>3818.82</v>
      </c>
      <c r="J404" s="777">
        <f t="shared" si="20"/>
        <v>391.17999999999984</v>
      </c>
    </row>
    <row r="405" spans="1:10" ht="15">
      <c r="A405" s="751" t="s">
        <v>2135</v>
      </c>
      <c r="B405" s="737" t="s">
        <v>2102</v>
      </c>
      <c r="C405" s="739"/>
      <c r="D405" s="751"/>
      <c r="E405" s="649"/>
      <c r="F405" s="752"/>
      <c r="G405" s="751"/>
      <c r="H405" s="649"/>
      <c r="I405" s="769">
        <f t="shared" si="19"/>
        <v>0</v>
      </c>
      <c r="J405" s="776">
        <f t="shared" si="20"/>
        <v>0</v>
      </c>
    </row>
    <row r="406" spans="1:10" ht="15">
      <c r="A406" s="766" t="s">
        <v>2136</v>
      </c>
      <c r="B406" s="714" t="s">
        <v>2104</v>
      </c>
      <c r="C406" s="738" t="s">
        <v>37</v>
      </c>
      <c r="D406" s="755">
        <v>61.34</v>
      </c>
      <c r="E406" s="705">
        <v>86524.274999999994</v>
      </c>
      <c r="F406" s="753">
        <f t="shared" si="18"/>
        <v>5307399</v>
      </c>
      <c r="G406" s="755">
        <v>61.34</v>
      </c>
      <c r="H406" s="705">
        <v>77791.349999999991</v>
      </c>
      <c r="I406" s="770">
        <f t="shared" si="19"/>
        <v>4771721.409</v>
      </c>
      <c r="J406" s="777">
        <f t="shared" si="20"/>
        <v>535677.59100000001</v>
      </c>
    </row>
    <row r="407" spans="1:10" ht="15">
      <c r="A407" s="766" t="s">
        <v>2137</v>
      </c>
      <c r="B407" s="714" t="s">
        <v>2106</v>
      </c>
      <c r="C407" s="738" t="s">
        <v>37</v>
      </c>
      <c r="D407" s="755">
        <v>11.62</v>
      </c>
      <c r="E407" s="705">
        <v>107969.47499999999</v>
      </c>
      <c r="F407" s="753">
        <f t="shared" ref="F407:F470" si="21">ROUND(E407*D407,1)</f>
        <v>1254605.3</v>
      </c>
      <c r="G407" s="755">
        <v>11.62</v>
      </c>
      <c r="H407" s="705">
        <v>97787.549999999988</v>
      </c>
      <c r="I407" s="770">
        <f t="shared" si="19"/>
        <v>1136291.3309999998</v>
      </c>
      <c r="J407" s="777">
        <f t="shared" si="20"/>
        <v>118313.96900000027</v>
      </c>
    </row>
    <row r="408" spans="1:10" ht="15">
      <c r="A408" s="751" t="s">
        <v>2138</v>
      </c>
      <c r="B408" s="737" t="s">
        <v>2108</v>
      </c>
      <c r="C408" s="739"/>
      <c r="D408" s="751"/>
      <c r="E408" s="649"/>
      <c r="F408" s="752"/>
      <c r="G408" s="751"/>
      <c r="H408" s="649"/>
      <c r="I408" s="769">
        <f t="shared" si="19"/>
        <v>0</v>
      </c>
      <c r="J408" s="776">
        <f t="shared" si="20"/>
        <v>0</v>
      </c>
    </row>
    <row r="409" spans="1:10" ht="15">
      <c r="A409" s="766" t="s">
        <v>2139</v>
      </c>
      <c r="B409" s="714" t="s">
        <v>2110</v>
      </c>
      <c r="C409" s="738" t="s">
        <v>39</v>
      </c>
      <c r="D409" s="755">
        <v>117.39</v>
      </c>
      <c r="E409" s="705">
        <v>51516.3</v>
      </c>
      <c r="F409" s="753">
        <f t="shared" si="21"/>
        <v>6047498.5</v>
      </c>
      <c r="G409" s="755">
        <v>117.39</v>
      </c>
      <c r="H409" s="705">
        <v>44576.219999999994</v>
      </c>
      <c r="I409" s="770">
        <f t="shared" si="19"/>
        <v>5232802.4657999994</v>
      </c>
      <c r="J409" s="777">
        <f t="shared" si="20"/>
        <v>814696.03420000058</v>
      </c>
    </row>
    <row r="410" spans="1:10" ht="15">
      <c r="A410" s="766" t="s">
        <v>2140</v>
      </c>
      <c r="B410" s="714" t="s">
        <v>2112</v>
      </c>
      <c r="C410" s="738" t="s">
        <v>39</v>
      </c>
      <c r="D410" s="755">
        <v>416.19</v>
      </c>
      <c r="E410" s="705">
        <v>120571.38</v>
      </c>
      <c r="F410" s="753">
        <f t="shared" si="21"/>
        <v>50180602.600000001</v>
      </c>
      <c r="G410" s="755">
        <v>416.19</v>
      </c>
      <c r="H410" s="705">
        <v>99612.36</v>
      </c>
      <c r="I410" s="770">
        <f t="shared" si="19"/>
        <v>41457668.108400002</v>
      </c>
      <c r="J410" s="777">
        <f t="shared" si="20"/>
        <v>8722934.4915999994</v>
      </c>
    </row>
    <row r="411" spans="1:10" ht="30">
      <c r="A411" s="766" t="s">
        <v>2141</v>
      </c>
      <c r="B411" s="714" t="s">
        <v>2014</v>
      </c>
      <c r="C411" s="738" t="s">
        <v>39</v>
      </c>
      <c r="D411" s="755">
        <v>735.2</v>
      </c>
      <c r="E411" s="705">
        <v>110836.8</v>
      </c>
      <c r="F411" s="753">
        <f t="shared" si="21"/>
        <v>81487215.400000006</v>
      </c>
      <c r="G411" s="755">
        <v>735.2</v>
      </c>
      <c r="H411" s="705">
        <v>89171.9</v>
      </c>
      <c r="I411" s="770">
        <f t="shared" si="19"/>
        <v>65559180.880000003</v>
      </c>
      <c r="J411" s="777">
        <f t="shared" si="20"/>
        <v>15928034.520000003</v>
      </c>
    </row>
    <row r="412" spans="1:10" ht="30">
      <c r="A412" s="751" t="s">
        <v>2142</v>
      </c>
      <c r="B412" s="737" t="s">
        <v>2143</v>
      </c>
      <c r="C412" s="739"/>
      <c r="D412" s="751"/>
      <c r="E412" s="649"/>
      <c r="F412" s="752"/>
      <c r="G412" s="751"/>
      <c r="H412" s="649"/>
      <c r="I412" s="769">
        <f t="shared" si="19"/>
        <v>0</v>
      </c>
      <c r="J412" s="776">
        <f t="shared" si="20"/>
        <v>0</v>
      </c>
    </row>
    <row r="413" spans="1:10" ht="15">
      <c r="A413" s="766" t="s">
        <v>2144</v>
      </c>
      <c r="B413" s="714" t="s">
        <v>2145</v>
      </c>
      <c r="C413" s="738" t="s">
        <v>100</v>
      </c>
      <c r="D413" s="755">
        <v>7</v>
      </c>
      <c r="E413" s="705">
        <v>164404.49250000002</v>
      </c>
      <c r="F413" s="753">
        <f t="shared" si="21"/>
        <v>1150831.3999999999</v>
      </c>
      <c r="G413" s="755">
        <v>7</v>
      </c>
      <c r="H413" s="705">
        <v>141144.5025</v>
      </c>
      <c r="I413" s="770">
        <f t="shared" si="19"/>
        <v>988011.51750000007</v>
      </c>
      <c r="J413" s="777">
        <f t="shared" si="20"/>
        <v>162819.88249999983</v>
      </c>
    </row>
    <row r="414" spans="1:10" ht="45">
      <c r="A414" s="766" t="s">
        <v>2146</v>
      </c>
      <c r="B414" s="714" t="s">
        <v>2125</v>
      </c>
      <c r="C414" s="738" t="s">
        <v>1620</v>
      </c>
      <c r="D414" s="755">
        <v>4</v>
      </c>
      <c r="E414" s="705">
        <v>1625364.8133750001</v>
      </c>
      <c r="F414" s="753">
        <f t="shared" si="21"/>
        <v>6501459.2999999998</v>
      </c>
      <c r="G414" s="755">
        <v>4</v>
      </c>
      <c r="H414" s="705">
        <v>1394382.6052519998</v>
      </c>
      <c r="I414" s="770">
        <f t="shared" si="19"/>
        <v>5577530.4210079992</v>
      </c>
      <c r="J414" s="777">
        <f t="shared" si="20"/>
        <v>923928.87899200059</v>
      </c>
    </row>
    <row r="415" spans="1:10" ht="15">
      <c r="A415" s="766" t="s">
        <v>2147</v>
      </c>
      <c r="B415" s="714" t="s">
        <v>2127</v>
      </c>
      <c r="C415" s="738" t="s">
        <v>1620</v>
      </c>
      <c r="D415" s="755">
        <v>51</v>
      </c>
      <c r="E415" s="705">
        <v>43275.547500000001</v>
      </c>
      <c r="F415" s="753">
        <f t="shared" si="21"/>
        <v>2207052.9</v>
      </c>
      <c r="G415" s="755">
        <v>51</v>
      </c>
      <c r="H415" s="705">
        <v>40094.572500000002</v>
      </c>
      <c r="I415" s="770">
        <f t="shared" si="19"/>
        <v>2044823.1975</v>
      </c>
      <c r="J415" s="777">
        <f t="shared" si="20"/>
        <v>162229.7024999999</v>
      </c>
    </row>
    <row r="416" spans="1:10" ht="15">
      <c r="A416" s="766" t="s">
        <v>2148</v>
      </c>
      <c r="B416" s="714" t="s">
        <v>2149</v>
      </c>
      <c r="C416" s="738" t="s">
        <v>1620</v>
      </c>
      <c r="D416" s="755">
        <v>15</v>
      </c>
      <c r="E416" s="705">
        <v>829255.9781999999</v>
      </c>
      <c r="F416" s="753">
        <f t="shared" si="21"/>
        <v>12438839.699999999</v>
      </c>
      <c r="G416" s="755">
        <v>15</v>
      </c>
      <c r="H416" s="705">
        <v>706432.04901400011</v>
      </c>
      <c r="I416" s="770">
        <f t="shared" si="19"/>
        <v>10596480.735210001</v>
      </c>
      <c r="J416" s="777">
        <f t="shared" si="20"/>
        <v>1842358.9647899978</v>
      </c>
    </row>
    <row r="417" spans="1:10" ht="45">
      <c r="A417" s="766" t="s">
        <v>2150</v>
      </c>
      <c r="B417" s="714" t="s">
        <v>2151</v>
      </c>
      <c r="C417" s="738" t="s">
        <v>100</v>
      </c>
      <c r="D417" s="755">
        <v>142</v>
      </c>
      <c r="E417" s="705">
        <v>84303.68250000001</v>
      </c>
      <c r="F417" s="753">
        <f t="shared" si="21"/>
        <v>11971122.9</v>
      </c>
      <c r="G417" s="755">
        <v>142</v>
      </c>
      <c r="H417" s="705">
        <v>72401.002500000002</v>
      </c>
      <c r="I417" s="770">
        <f t="shared" si="19"/>
        <v>10280942.355</v>
      </c>
      <c r="J417" s="777">
        <f t="shared" si="20"/>
        <v>1690180.5449999999</v>
      </c>
    </row>
    <row r="418" spans="1:10" ht="30">
      <c r="A418" s="766" t="s">
        <v>2152</v>
      </c>
      <c r="B418" s="714" t="s">
        <v>2153</v>
      </c>
      <c r="C418" s="738" t="s">
        <v>100</v>
      </c>
      <c r="D418" s="755">
        <v>192</v>
      </c>
      <c r="E418" s="705">
        <v>205805.9136</v>
      </c>
      <c r="F418" s="753">
        <f t="shared" si="21"/>
        <v>39514735.399999999</v>
      </c>
      <c r="G418" s="755">
        <v>192</v>
      </c>
      <c r="H418" s="705">
        <v>163686.119007</v>
      </c>
      <c r="I418" s="770">
        <f t="shared" si="19"/>
        <v>31427734.849344</v>
      </c>
      <c r="J418" s="777">
        <f t="shared" si="20"/>
        <v>8087000.5506559983</v>
      </c>
    </row>
    <row r="419" spans="1:10" ht="15">
      <c r="A419" s="751" t="s">
        <v>2154</v>
      </c>
      <c r="B419" s="737" t="s">
        <v>2155</v>
      </c>
      <c r="C419" s="739"/>
      <c r="D419" s="751"/>
      <c r="E419" s="649"/>
      <c r="F419" s="752"/>
      <c r="G419" s="751"/>
      <c r="H419" s="649"/>
      <c r="I419" s="769">
        <f t="shared" si="19"/>
        <v>0</v>
      </c>
      <c r="J419" s="776">
        <f t="shared" si="20"/>
        <v>0</v>
      </c>
    </row>
    <row r="420" spans="1:10" ht="15">
      <c r="A420" s="766" t="s">
        <v>2156</v>
      </c>
      <c r="B420" s="714" t="s">
        <v>2131</v>
      </c>
      <c r="C420" s="738" t="s">
        <v>100</v>
      </c>
      <c r="D420" s="755">
        <v>101.7</v>
      </c>
      <c r="E420" s="705">
        <v>1800.6451999999999</v>
      </c>
      <c r="F420" s="753">
        <f t="shared" si="21"/>
        <v>183125.6</v>
      </c>
      <c r="G420" s="755">
        <v>101.7</v>
      </c>
      <c r="H420" s="705">
        <v>1660.1525999999999</v>
      </c>
      <c r="I420" s="770">
        <f t="shared" si="19"/>
        <v>168837.51942</v>
      </c>
      <c r="J420" s="777">
        <f t="shared" si="20"/>
        <v>14288.080580000009</v>
      </c>
    </row>
    <row r="421" spans="1:10" ht="15">
      <c r="A421" s="751" t="s">
        <v>2157</v>
      </c>
      <c r="B421" s="737" t="s">
        <v>2096</v>
      </c>
      <c r="C421" s="739"/>
      <c r="D421" s="751"/>
      <c r="E421" s="649"/>
      <c r="F421" s="752"/>
      <c r="G421" s="751"/>
      <c r="H421" s="649"/>
      <c r="I421" s="769">
        <f t="shared" si="19"/>
        <v>0</v>
      </c>
      <c r="J421" s="776">
        <f t="shared" si="20"/>
        <v>0</v>
      </c>
    </row>
    <row r="422" spans="1:10" ht="15">
      <c r="A422" s="766" t="s">
        <v>2158</v>
      </c>
      <c r="B422" s="714" t="s">
        <v>2098</v>
      </c>
      <c r="C422" s="738" t="s">
        <v>39</v>
      </c>
      <c r="D422" s="755">
        <v>130.38</v>
      </c>
      <c r="E422" s="705">
        <v>52624.91</v>
      </c>
      <c r="F422" s="753">
        <f t="shared" si="21"/>
        <v>6861235.7999999998</v>
      </c>
      <c r="G422" s="755">
        <v>130.38</v>
      </c>
      <c r="H422" s="705">
        <v>47735.25</v>
      </c>
      <c r="I422" s="770">
        <f t="shared" si="19"/>
        <v>6223721.8949999996</v>
      </c>
      <c r="J422" s="777">
        <f t="shared" si="20"/>
        <v>637513.90500000026</v>
      </c>
    </row>
    <row r="423" spans="1:10" ht="15">
      <c r="A423" s="751" t="s">
        <v>2159</v>
      </c>
      <c r="B423" s="737" t="s">
        <v>2102</v>
      </c>
      <c r="C423" s="739"/>
      <c r="D423" s="751"/>
      <c r="E423" s="649"/>
      <c r="F423" s="752"/>
      <c r="G423" s="751"/>
      <c r="H423" s="649"/>
      <c r="I423" s="769">
        <f t="shared" si="19"/>
        <v>0</v>
      </c>
      <c r="J423" s="776">
        <f t="shared" si="20"/>
        <v>0</v>
      </c>
    </row>
    <row r="424" spans="1:10" ht="15">
      <c r="A424" s="766" t="s">
        <v>2160</v>
      </c>
      <c r="B424" s="714" t="s">
        <v>2104</v>
      </c>
      <c r="C424" s="738" t="s">
        <v>37</v>
      </c>
      <c r="D424" s="755">
        <v>45.01</v>
      </c>
      <c r="E424" s="705">
        <v>86524.274999999994</v>
      </c>
      <c r="F424" s="753">
        <f t="shared" si="21"/>
        <v>3894457.6</v>
      </c>
      <c r="G424" s="755">
        <v>45.01</v>
      </c>
      <c r="H424" s="705">
        <v>77791.349999999991</v>
      </c>
      <c r="I424" s="770">
        <f t="shared" si="19"/>
        <v>3501388.6634999993</v>
      </c>
      <c r="J424" s="777">
        <f t="shared" si="20"/>
        <v>393068.93650000077</v>
      </c>
    </row>
    <row r="425" spans="1:10" ht="15">
      <c r="A425" s="766" t="s">
        <v>2161</v>
      </c>
      <c r="B425" s="714" t="s">
        <v>2106</v>
      </c>
      <c r="C425" s="738" t="s">
        <v>37</v>
      </c>
      <c r="D425" s="755">
        <v>2.37</v>
      </c>
      <c r="E425" s="705">
        <v>107969.47499999999</v>
      </c>
      <c r="F425" s="753">
        <f t="shared" si="21"/>
        <v>255887.7</v>
      </c>
      <c r="G425" s="755">
        <v>2.37</v>
      </c>
      <c r="H425" s="705">
        <v>97787.549999999988</v>
      </c>
      <c r="I425" s="770">
        <f t="shared" si="19"/>
        <v>231756.49349999998</v>
      </c>
      <c r="J425" s="777">
        <f t="shared" si="20"/>
        <v>24131.206500000029</v>
      </c>
    </row>
    <row r="426" spans="1:10" ht="15">
      <c r="A426" s="751" t="s">
        <v>2162</v>
      </c>
      <c r="B426" s="737" t="s">
        <v>2108</v>
      </c>
      <c r="C426" s="739"/>
      <c r="D426" s="751"/>
      <c r="E426" s="649"/>
      <c r="F426" s="752"/>
      <c r="G426" s="751"/>
      <c r="H426" s="649"/>
      <c r="I426" s="769">
        <f t="shared" si="19"/>
        <v>0</v>
      </c>
      <c r="J426" s="776">
        <f t="shared" si="20"/>
        <v>0</v>
      </c>
    </row>
    <row r="427" spans="1:10" ht="15">
      <c r="A427" s="766" t="s">
        <v>2163</v>
      </c>
      <c r="B427" s="714" t="s">
        <v>2110</v>
      </c>
      <c r="C427" s="738" t="s">
        <v>39</v>
      </c>
      <c r="D427" s="755">
        <v>16.420000000000002</v>
      </c>
      <c r="E427" s="705">
        <v>51516.3</v>
      </c>
      <c r="F427" s="753">
        <f t="shared" si="21"/>
        <v>845897.6</v>
      </c>
      <c r="G427" s="755">
        <v>16.420000000000002</v>
      </c>
      <c r="H427" s="705">
        <v>44576.219999999994</v>
      </c>
      <c r="I427" s="770">
        <f t="shared" si="19"/>
        <v>731941.53240000003</v>
      </c>
      <c r="J427" s="777">
        <f t="shared" si="20"/>
        <v>113956.06759999995</v>
      </c>
    </row>
    <row r="428" spans="1:10" ht="15">
      <c r="A428" s="766" t="s">
        <v>2164</v>
      </c>
      <c r="B428" s="714" t="s">
        <v>2112</v>
      </c>
      <c r="C428" s="738" t="s">
        <v>39</v>
      </c>
      <c r="D428" s="755">
        <v>58.23</v>
      </c>
      <c r="E428" s="705">
        <v>120571.38</v>
      </c>
      <c r="F428" s="753">
        <f t="shared" si="21"/>
        <v>7020871.5</v>
      </c>
      <c r="G428" s="755">
        <v>58.23</v>
      </c>
      <c r="H428" s="705">
        <v>99612.36</v>
      </c>
      <c r="I428" s="770">
        <f t="shared" si="19"/>
        <v>5800427.7227999996</v>
      </c>
      <c r="J428" s="777">
        <f t="shared" si="20"/>
        <v>1220443.7772000004</v>
      </c>
    </row>
    <row r="429" spans="1:10" ht="30">
      <c r="A429" s="766" t="s">
        <v>2165</v>
      </c>
      <c r="B429" s="714" t="s">
        <v>2114</v>
      </c>
      <c r="C429" s="738" t="s">
        <v>39</v>
      </c>
      <c r="D429" s="755">
        <v>25.62</v>
      </c>
      <c r="E429" s="705">
        <v>198376.82500000001</v>
      </c>
      <c r="F429" s="753">
        <f t="shared" si="21"/>
        <v>5082414.3</v>
      </c>
      <c r="G429" s="755">
        <v>25.62</v>
      </c>
      <c r="H429" s="705">
        <v>129278.125</v>
      </c>
      <c r="I429" s="770">
        <f t="shared" si="19"/>
        <v>3312105.5625</v>
      </c>
      <c r="J429" s="777">
        <f t="shared" si="20"/>
        <v>1770308.7374999998</v>
      </c>
    </row>
    <row r="430" spans="1:10" ht="30">
      <c r="A430" s="766" t="s">
        <v>2166</v>
      </c>
      <c r="B430" s="714" t="s">
        <v>2014</v>
      </c>
      <c r="C430" s="738" t="s">
        <v>39</v>
      </c>
      <c r="D430" s="755">
        <v>113.96</v>
      </c>
      <c r="E430" s="705">
        <v>110836.8</v>
      </c>
      <c r="F430" s="753">
        <f t="shared" si="21"/>
        <v>12630961.699999999</v>
      </c>
      <c r="G430" s="755">
        <v>113.96</v>
      </c>
      <c r="H430" s="705">
        <v>89171.9</v>
      </c>
      <c r="I430" s="770">
        <f t="shared" si="19"/>
        <v>10162029.723999999</v>
      </c>
      <c r="J430" s="777">
        <f t="shared" si="20"/>
        <v>2468931.9759999998</v>
      </c>
    </row>
    <row r="431" spans="1:10" ht="15">
      <c r="A431" s="751" t="s">
        <v>2167</v>
      </c>
      <c r="B431" s="737" t="s">
        <v>2117</v>
      </c>
      <c r="C431" s="739"/>
      <c r="D431" s="751"/>
      <c r="E431" s="649"/>
      <c r="F431" s="752"/>
      <c r="G431" s="751"/>
      <c r="H431" s="649"/>
      <c r="I431" s="769">
        <f t="shared" si="19"/>
        <v>0</v>
      </c>
      <c r="J431" s="776">
        <f t="shared" si="20"/>
        <v>0</v>
      </c>
    </row>
    <row r="432" spans="1:10" ht="15">
      <c r="A432" s="766" t="s">
        <v>2168</v>
      </c>
      <c r="B432" s="714" t="s">
        <v>2121</v>
      </c>
      <c r="C432" s="738" t="s">
        <v>45</v>
      </c>
      <c r="D432" s="755">
        <v>101.69</v>
      </c>
      <c r="E432" s="705">
        <v>587.19675000000007</v>
      </c>
      <c r="F432" s="753">
        <f t="shared" si="21"/>
        <v>59712</v>
      </c>
      <c r="G432" s="755">
        <v>101.69</v>
      </c>
      <c r="H432" s="705">
        <v>513.9067500000001</v>
      </c>
      <c r="I432" s="770">
        <f t="shared" si="19"/>
        <v>52259.177407500007</v>
      </c>
      <c r="J432" s="777">
        <f t="shared" si="20"/>
        <v>7452.8225924999933</v>
      </c>
    </row>
    <row r="433" spans="1:10" ht="45">
      <c r="A433" s="766" t="s">
        <v>2169</v>
      </c>
      <c r="B433" s="714" t="s">
        <v>2170</v>
      </c>
      <c r="C433" s="738" t="s">
        <v>1620</v>
      </c>
      <c r="D433" s="755">
        <v>2</v>
      </c>
      <c r="E433" s="705">
        <v>2752390.5058874995</v>
      </c>
      <c r="F433" s="753">
        <f t="shared" si="21"/>
        <v>5504781</v>
      </c>
      <c r="G433" s="755">
        <v>2</v>
      </c>
      <c r="H433" s="705">
        <v>2508362.73795</v>
      </c>
      <c r="I433" s="770">
        <f t="shared" si="19"/>
        <v>5016725.4759</v>
      </c>
      <c r="J433" s="777">
        <f t="shared" si="20"/>
        <v>488055.52410000004</v>
      </c>
    </row>
    <row r="434" spans="1:10" ht="15">
      <c r="A434" s="766" t="s">
        <v>2171</v>
      </c>
      <c r="B434" s="714" t="s">
        <v>2127</v>
      </c>
      <c r="C434" s="738" t="s">
        <v>1620</v>
      </c>
      <c r="D434" s="755">
        <v>4</v>
      </c>
      <c r="E434" s="705">
        <v>43275.547500000001</v>
      </c>
      <c r="F434" s="753">
        <f t="shared" si="21"/>
        <v>173102.2</v>
      </c>
      <c r="G434" s="755">
        <v>4</v>
      </c>
      <c r="H434" s="705">
        <v>40094.572500000002</v>
      </c>
      <c r="I434" s="770">
        <f t="shared" si="19"/>
        <v>160378.29</v>
      </c>
      <c r="J434" s="777">
        <f t="shared" si="20"/>
        <v>12723.910000000003</v>
      </c>
    </row>
    <row r="435" spans="1:10" ht="15">
      <c r="A435" s="766" t="s">
        <v>2172</v>
      </c>
      <c r="B435" s="714" t="s">
        <v>2173</v>
      </c>
      <c r="C435" s="738" t="s">
        <v>1620</v>
      </c>
      <c r="D435" s="755">
        <v>2</v>
      </c>
      <c r="E435" s="705">
        <v>80000</v>
      </c>
      <c r="F435" s="753">
        <f t="shared" si="21"/>
        <v>160000</v>
      </c>
      <c r="G435" s="755">
        <v>2</v>
      </c>
      <c r="H435" s="705">
        <v>80000</v>
      </c>
      <c r="I435" s="770">
        <f t="shared" si="19"/>
        <v>160000</v>
      </c>
      <c r="J435" s="777">
        <f t="shared" si="20"/>
        <v>0</v>
      </c>
    </row>
    <row r="436" spans="1:10" ht="15">
      <c r="A436" s="751">
        <v>17</v>
      </c>
      <c r="B436" s="737" t="s">
        <v>2174</v>
      </c>
      <c r="C436" s="739" t="s">
        <v>2378</v>
      </c>
      <c r="D436" s="751"/>
      <c r="E436" s="649"/>
      <c r="F436" s="752"/>
      <c r="G436" s="751"/>
      <c r="H436" s="649"/>
      <c r="I436" s="769">
        <f t="shared" si="19"/>
        <v>0</v>
      </c>
      <c r="J436" s="776">
        <f t="shared" si="20"/>
        <v>0</v>
      </c>
    </row>
    <row r="437" spans="1:10" ht="15">
      <c r="A437" s="751" t="s">
        <v>2175</v>
      </c>
      <c r="B437" s="707" t="s">
        <v>2176</v>
      </c>
      <c r="C437" s="739"/>
      <c r="D437" s="751"/>
      <c r="E437" s="649"/>
      <c r="F437" s="752"/>
      <c r="G437" s="751"/>
      <c r="H437" s="649"/>
      <c r="I437" s="769">
        <f t="shared" si="19"/>
        <v>0</v>
      </c>
      <c r="J437" s="776">
        <f t="shared" si="20"/>
        <v>0</v>
      </c>
    </row>
    <row r="438" spans="1:10" ht="30">
      <c r="A438" s="751"/>
      <c r="B438" s="707" t="s">
        <v>595</v>
      </c>
      <c r="C438" s="739"/>
      <c r="D438" s="751"/>
      <c r="E438" s="649"/>
      <c r="F438" s="752"/>
      <c r="G438" s="751"/>
      <c r="H438" s="649"/>
      <c r="I438" s="769">
        <f t="shared" si="19"/>
        <v>0</v>
      </c>
      <c r="J438" s="776">
        <f t="shared" si="20"/>
        <v>0</v>
      </c>
    </row>
    <row r="439" spans="1:10" ht="75">
      <c r="A439" s="766" t="s">
        <v>2177</v>
      </c>
      <c r="B439" s="714" t="s">
        <v>597</v>
      </c>
      <c r="C439" s="738" t="s">
        <v>28</v>
      </c>
      <c r="D439" s="749">
        <v>1</v>
      </c>
      <c r="E439" s="705">
        <v>462751.01</v>
      </c>
      <c r="F439" s="753">
        <f t="shared" si="21"/>
        <v>462751</v>
      </c>
      <c r="G439" s="749">
        <v>1</v>
      </c>
      <c r="H439" s="705">
        <v>413673.77281999995</v>
      </c>
      <c r="I439" s="770">
        <f t="shared" si="19"/>
        <v>413673.77281999995</v>
      </c>
      <c r="J439" s="777">
        <f t="shared" si="20"/>
        <v>49077.227180000045</v>
      </c>
    </row>
    <row r="440" spans="1:10" ht="75">
      <c r="A440" s="766" t="s">
        <v>2178</v>
      </c>
      <c r="B440" s="714" t="s">
        <v>2179</v>
      </c>
      <c r="C440" s="738" t="s">
        <v>28</v>
      </c>
      <c r="D440" s="749">
        <v>1</v>
      </c>
      <c r="E440" s="705">
        <v>462751.01</v>
      </c>
      <c r="F440" s="753">
        <f t="shared" si="21"/>
        <v>462751</v>
      </c>
      <c r="G440" s="749">
        <v>1</v>
      </c>
      <c r="H440" s="705">
        <v>413673.77281999995</v>
      </c>
      <c r="I440" s="770">
        <f t="shared" si="19"/>
        <v>413673.77281999995</v>
      </c>
      <c r="J440" s="777">
        <f t="shared" si="20"/>
        <v>49077.227180000045</v>
      </c>
    </row>
    <row r="441" spans="1:10" ht="15">
      <c r="A441" s="766" t="s">
        <v>2180</v>
      </c>
      <c r="B441" s="714" t="s">
        <v>2181</v>
      </c>
      <c r="C441" s="738" t="s">
        <v>28</v>
      </c>
      <c r="D441" s="749">
        <v>2</v>
      </c>
      <c r="E441" s="705">
        <v>302000.25800000003</v>
      </c>
      <c r="F441" s="753">
        <f t="shared" si="21"/>
        <v>604000.5</v>
      </c>
      <c r="G441" s="749">
        <v>2</v>
      </c>
      <c r="H441" s="705">
        <v>242351.56036</v>
      </c>
      <c r="I441" s="770">
        <f t="shared" si="19"/>
        <v>484703.12072000001</v>
      </c>
      <c r="J441" s="777">
        <f t="shared" si="20"/>
        <v>119297.37927999999</v>
      </c>
    </row>
    <row r="442" spans="1:10" ht="15">
      <c r="A442" s="766" t="s">
        <v>2182</v>
      </c>
      <c r="B442" s="714" t="s">
        <v>605</v>
      </c>
      <c r="C442" s="738" t="s">
        <v>28</v>
      </c>
      <c r="D442" s="749">
        <v>30</v>
      </c>
      <c r="E442" s="705">
        <v>16954.350000000002</v>
      </c>
      <c r="F442" s="753">
        <f t="shared" si="21"/>
        <v>508630.5</v>
      </c>
      <c r="G442" s="749">
        <v>30</v>
      </c>
      <c r="H442" s="705">
        <v>12398.744399999998</v>
      </c>
      <c r="I442" s="770">
        <f t="shared" si="19"/>
        <v>371962.33199999994</v>
      </c>
      <c r="J442" s="777">
        <f t="shared" si="20"/>
        <v>136668.16800000006</v>
      </c>
    </row>
    <row r="443" spans="1:10" ht="15">
      <c r="A443" s="751" t="s">
        <v>2178</v>
      </c>
      <c r="B443" s="707" t="s">
        <v>606</v>
      </c>
      <c r="C443" s="739"/>
      <c r="D443" s="751"/>
      <c r="E443" s="649"/>
      <c r="F443" s="752"/>
      <c r="G443" s="751"/>
      <c r="H443" s="649"/>
      <c r="I443" s="769">
        <f t="shared" si="19"/>
        <v>0</v>
      </c>
      <c r="J443" s="776">
        <f t="shared" si="20"/>
        <v>0</v>
      </c>
    </row>
    <row r="444" spans="1:10" ht="60">
      <c r="A444" s="766" t="s">
        <v>607</v>
      </c>
      <c r="B444" s="714" t="s">
        <v>608</v>
      </c>
      <c r="C444" s="738" t="s">
        <v>45</v>
      </c>
      <c r="D444" s="749">
        <v>610</v>
      </c>
      <c r="E444" s="705">
        <v>9808.8080999999984</v>
      </c>
      <c r="F444" s="753">
        <f t="shared" si="21"/>
        <v>5983372.9000000004</v>
      </c>
      <c r="G444" s="749">
        <v>610</v>
      </c>
      <c r="H444" s="705">
        <v>8852.5407599999999</v>
      </c>
      <c r="I444" s="770">
        <f t="shared" si="19"/>
        <v>5400049.8635999998</v>
      </c>
      <c r="J444" s="777">
        <f t="shared" si="20"/>
        <v>583323.03640000056</v>
      </c>
    </row>
    <row r="445" spans="1:10" ht="15">
      <c r="A445" s="751" t="s">
        <v>2180</v>
      </c>
      <c r="B445" s="707" t="s">
        <v>609</v>
      </c>
      <c r="C445" s="739"/>
      <c r="D445" s="751"/>
      <c r="E445" s="649"/>
      <c r="F445" s="752"/>
      <c r="G445" s="751"/>
      <c r="H445" s="649"/>
      <c r="I445" s="769">
        <f t="shared" si="19"/>
        <v>0</v>
      </c>
      <c r="J445" s="776">
        <f t="shared" si="20"/>
        <v>0</v>
      </c>
    </row>
    <row r="446" spans="1:10" ht="15">
      <c r="A446" s="766" t="s">
        <v>2183</v>
      </c>
      <c r="B446" s="714" t="s">
        <v>611</v>
      </c>
      <c r="C446" s="738" t="s">
        <v>45</v>
      </c>
      <c r="D446" s="749">
        <v>85</v>
      </c>
      <c r="E446" s="705">
        <v>31405.714753333334</v>
      </c>
      <c r="F446" s="753">
        <f t="shared" si="21"/>
        <v>2669485.7999999998</v>
      </c>
      <c r="G446" s="749">
        <v>85</v>
      </c>
      <c r="H446" s="705">
        <v>19885.772553266663</v>
      </c>
      <c r="I446" s="770">
        <f t="shared" si="19"/>
        <v>1690290.6670276662</v>
      </c>
      <c r="J446" s="777">
        <f t="shared" si="20"/>
        <v>979195.13297233358</v>
      </c>
    </row>
    <row r="447" spans="1:10" ht="15">
      <c r="A447" s="766" t="s">
        <v>2184</v>
      </c>
      <c r="B447" s="714" t="s">
        <v>2185</v>
      </c>
      <c r="C447" s="738" t="s">
        <v>45</v>
      </c>
      <c r="D447" s="749">
        <v>10</v>
      </c>
      <c r="E447" s="705">
        <v>44346.177855000002</v>
      </c>
      <c r="F447" s="753">
        <f t="shared" si="21"/>
        <v>443461.8</v>
      </c>
      <c r="G447" s="749">
        <v>10</v>
      </c>
      <c r="H447" s="705">
        <v>25563.260089150001</v>
      </c>
      <c r="I447" s="770">
        <f t="shared" si="19"/>
        <v>255632.60089150001</v>
      </c>
      <c r="J447" s="777">
        <f t="shared" si="20"/>
        <v>187829.19910849998</v>
      </c>
    </row>
    <row r="448" spans="1:10" ht="15">
      <c r="A448" s="766" t="s">
        <v>2186</v>
      </c>
      <c r="B448" s="714" t="s">
        <v>2187</v>
      </c>
      <c r="C448" s="738" t="s">
        <v>45</v>
      </c>
      <c r="D448" s="749">
        <v>108</v>
      </c>
      <c r="E448" s="705">
        <v>74609.903063639998</v>
      </c>
      <c r="F448" s="753">
        <f t="shared" si="21"/>
        <v>8057869.5</v>
      </c>
      <c r="G448" s="749">
        <v>108</v>
      </c>
      <c r="H448" s="705">
        <v>53603.756095639998</v>
      </c>
      <c r="I448" s="770">
        <f t="shared" si="19"/>
        <v>5789205.6583291199</v>
      </c>
      <c r="J448" s="777">
        <f t="shared" si="20"/>
        <v>2268663.8416708801</v>
      </c>
    </row>
    <row r="449" spans="1:10" ht="15">
      <c r="A449" s="766" t="s">
        <v>2188</v>
      </c>
      <c r="B449" s="714" t="s">
        <v>633</v>
      </c>
      <c r="C449" s="738" t="s">
        <v>45</v>
      </c>
      <c r="D449" s="749">
        <v>17</v>
      </c>
      <c r="E449" s="705">
        <v>57626.44720000001</v>
      </c>
      <c r="F449" s="753">
        <f t="shared" si="21"/>
        <v>979649.6</v>
      </c>
      <c r="G449" s="749">
        <v>17</v>
      </c>
      <c r="H449" s="705">
        <v>56169.887200000005</v>
      </c>
      <c r="I449" s="770">
        <f t="shared" si="19"/>
        <v>954888.08240000007</v>
      </c>
      <c r="J449" s="777">
        <f t="shared" si="20"/>
        <v>24761.517599999905</v>
      </c>
    </row>
    <row r="450" spans="1:10" ht="15">
      <c r="A450" s="766" t="s">
        <v>2189</v>
      </c>
      <c r="B450" s="714" t="s">
        <v>635</v>
      </c>
      <c r="C450" s="738" t="s">
        <v>28</v>
      </c>
      <c r="D450" s="749">
        <v>1</v>
      </c>
      <c r="E450" s="705">
        <v>82111.731100000005</v>
      </c>
      <c r="F450" s="753">
        <f t="shared" si="21"/>
        <v>82111.7</v>
      </c>
      <c r="G450" s="749">
        <v>1</v>
      </c>
      <c r="H450" s="705">
        <v>80308.881099999999</v>
      </c>
      <c r="I450" s="770">
        <f t="shared" si="19"/>
        <v>80308.881099999999</v>
      </c>
      <c r="J450" s="777">
        <f t="shared" si="20"/>
        <v>1802.8188999999984</v>
      </c>
    </row>
    <row r="451" spans="1:10" ht="15">
      <c r="A451" s="751" t="s">
        <v>2182</v>
      </c>
      <c r="B451" s="707" t="s">
        <v>637</v>
      </c>
      <c r="C451" s="739"/>
      <c r="D451" s="751"/>
      <c r="E451" s="649"/>
      <c r="F451" s="752"/>
      <c r="G451" s="751"/>
      <c r="H451" s="649"/>
      <c r="I451" s="769">
        <f t="shared" si="19"/>
        <v>0</v>
      </c>
      <c r="J451" s="776">
        <f t="shared" si="20"/>
        <v>0</v>
      </c>
    </row>
    <row r="452" spans="1:10" ht="90">
      <c r="A452" s="766" t="s">
        <v>2190</v>
      </c>
      <c r="B452" s="714" t="s">
        <v>639</v>
      </c>
      <c r="C452" s="738" t="s">
        <v>28</v>
      </c>
      <c r="D452" s="749">
        <v>60</v>
      </c>
      <c r="E452" s="705">
        <v>179658.15558640001</v>
      </c>
      <c r="F452" s="753">
        <f t="shared" si="21"/>
        <v>10779489.300000001</v>
      </c>
      <c r="G452" s="749">
        <v>60</v>
      </c>
      <c r="H452" s="705">
        <v>126898.40481639998</v>
      </c>
      <c r="I452" s="770">
        <f t="shared" si="19"/>
        <v>7613904.2889839988</v>
      </c>
      <c r="J452" s="777">
        <f t="shared" si="20"/>
        <v>3165585.0110160019</v>
      </c>
    </row>
    <row r="453" spans="1:10" ht="105">
      <c r="A453" s="766" t="s">
        <v>2191</v>
      </c>
      <c r="B453" s="714" t="s">
        <v>648</v>
      </c>
      <c r="C453" s="738" t="s">
        <v>28</v>
      </c>
      <c r="D453" s="749">
        <v>24</v>
      </c>
      <c r="E453" s="705">
        <v>204908.15558640001</v>
      </c>
      <c r="F453" s="753">
        <f t="shared" si="21"/>
        <v>4917795.7</v>
      </c>
      <c r="G453" s="749">
        <v>24</v>
      </c>
      <c r="H453" s="705">
        <v>145180.50571639999</v>
      </c>
      <c r="I453" s="770">
        <f t="shared" si="19"/>
        <v>3484332.1371935997</v>
      </c>
      <c r="J453" s="777">
        <f t="shared" si="20"/>
        <v>1433463.5628064005</v>
      </c>
    </row>
    <row r="454" spans="1:10" ht="90">
      <c r="A454" s="766" t="s">
        <v>2192</v>
      </c>
      <c r="B454" s="714" t="s">
        <v>651</v>
      </c>
      <c r="C454" s="738" t="s">
        <v>28</v>
      </c>
      <c r="D454" s="749">
        <v>1</v>
      </c>
      <c r="E454" s="705">
        <v>179658.15558640001</v>
      </c>
      <c r="F454" s="753">
        <f t="shared" si="21"/>
        <v>179658.2</v>
      </c>
      <c r="G454" s="749">
        <v>1</v>
      </c>
      <c r="H454" s="705">
        <v>126898.40481639998</v>
      </c>
      <c r="I454" s="770">
        <f t="shared" si="19"/>
        <v>126898.40481639998</v>
      </c>
      <c r="J454" s="777">
        <f t="shared" si="20"/>
        <v>52759.795183600028</v>
      </c>
    </row>
    <row r="455" spans="1:10" ht="90">
      <c r="A455" s="766" t="s">
        <v>2193</v>
      </c>
      <c r="B455" s="714" t="s">
        <v>653</v>
      </c>
      <c r="C455" s="738" t="s">
        <v>28</v>
      </c>
      <c r="D455" s="749">
        <v>1</v>
      </c>
      <c r="E455" s="705">
        <v>84727.903732799998</v>
      </c>
      <c r="F455" s="753">
        <f t="shared" si="21"/>
        <v>84727.9</v>
      </c>
      <c r="G455" s="749">
        <v>1</v>
      </c>
      <c r="H455" s="705">
        <v>75752.342332799992</v>
      </c>
      <c r="I455" s="770">
        <f t="shared" si="19"/>
        <v>75752.342332799992</v>
      </c>
      <c r="J455" s="777">
        <f t="shared" si="20"/>
        <v>8975.5576672000025</v>
      </c>
    </row>
    <row r="456" spans="1:10" ht="15">
      <c r="A456" s="751" t="s">
        <v>2194</v>
      </c>
      <c r="B456" s="707" t="s">
        <v>656</v>
      </c>
      <c r="C456" s="739"/>
      <c r="D456" s="751"/>
      <c r="E456" s="649"/>
      <c r="F456" s="752"/>
      <c r="G456" s="751"/>
      <c r="H456" s="649"/>
      <c r="I456" s="769">
        <f t="shared" si="19"/>
        <v>0</v>
      </c>
      <c r="J456" s="776">
        <f t="shared" si="20"/>
        <v>0</v>
      </c>
    </row>
    <row r="457" spans="1:10" ht="15">
      <c r="A457" s="751"/>
      <c r="B457" s="707" t="s">
        <v>2195</v>
      </c>
      <c r="C457" s="739"/>
      <c r="D457" s="751"/>
      <c r="E457" s="649"/>
      <c r="F457" s="752"/>
      <c r="G457" s="751"/>
      <c r="H457" s="649"/>
      <c r="I457" s="769">
        <f t="shared" si="19"/>
        <v>0</v>
      </c>
      <c r="J457" s="776">
        <f t="shared" si="20"/>
        <v>0</v>
      </c>
    </row>
    <row r="458" spans="1:10" ht="75">
      <c r="A458" s="766" t="s">
        <v>2196</v>
      </c>
      <c r="B458" s="714" t="s">
        <v>658</v>
      </c>
      <c r="C458" s="738" t="s">
        <v>28</v>
      </c>
      <c r="D458" s="749">
        <v>1</v>
      </c>
      <c r="E458" s="705">
        <v>303637.5</v>
      </c>
      <c r="F458" s="753">
        <f t="shared" si="21"/>
        <v>303637.5</v>
      </c>
      <c r="G458" s="749">
        <v>1</v>
      </c>
      <c r="H458" s="705">
        <v>301828.5</v>
      </c>
      <c r="I458" s="770">
        <f t="shared" si="19"/>
        <v>301828.5</v>
      </c>
      <c r="J458" s="777">
        <f t="shared" si="20"/>
        <v>1809</v>
      </c>
    </row>
    <row r="459" spans="1:10" ht="15">
      <c r="A459" s="766" t="s">
        <v>2197</v>
      </c>
      <c r="B459" s="714" t="s">
        <v>2198</v>
      </c>
      <c r="C459" s="738" t="s">
        <v>28</v>
      </c>
      <c r="D459" s="749">
        <v>1</v>
      </c>
      <c r="E459" s="705">
        <v>273923.51973</v>
      </c>
      <c r="F459" s="753">
        <f t="shared" si="21"/>
        <v>273923.5</v>
      </c>
      <c r="G459" s="749">
        <v>1</v>
      </c>
      <c r="H459" s="705">
        <v>216632.15973000001</v>
      </c>
      <c r="I459" s="770">
        <f t="shared" si="19"/>
        <v>216632.15973000001</v>
      </c>
      <c r="J459" s="777">
        <f t="shared" si="20"/>
        <v>57291.340269999986</v>
      </c>
    </row>
    <row r="460" spans="1:10" ht="15">
      <c r="A460" s="766" t="s">
        <v>2199</v>
      </c>
      <c r="B460" s="714" t="s">
        <v>605</v>
      </c>
      <c r="C460" s="738" t="s">
        <v>28</v>
      </c>
      <c r="D460" s="749">
        <v>6</v>
      </c>
      <c r="E460" s="705">
        <v>16668.75</v>
      </c>
      <c r="F460" s="753">
        <f t="shared" si="21"/>
        <v>100012.5</v>
      </c>
      <c r="G460" s="749">
        <v>6</v>
      </c>
      <c r="H460" s="705">
        <v>12200.752199999999</v>
      </c>
      <c r="I460" s="770">
        <f t="shared" si="19"/>
        <v>73204.513199999987</v>
      </c>
      <c r="J460" s="777">
        <f t="shared" si="20"/>
        <v>26807.986800000013</v>
      </c>
    </row>
    <row r="461" spans="1:10" ht="15">
      <c r="A461" s="751" t="s">
        <v>2200</v>
      </c>
      <c r="B461" s="727" t="s">
        <v>606</v>
      </c>
      <c r="C461" s="743"/>
      <c r="D461" s="759"/>
      <c r="E461" s="723"/>
      <c r="F461" s="760"/>
      <c r="G461" s="759"/>
      <c r="H461" s="723"/>
      <c r="I461" s="772">
        <f t="shared" si="19"/>
        <v>0</v>
      </c>
      <c r="J461" s="779">
        <f t="shared" si="20"/>
        <v>0</v>
      </c>
    </row>
    <row r="462" spans="1:10" ht="60">
      <c r="A462" s="766" t="s">
        <v>663</v>
      </c>
      <c r="B462" s="714" t="s">
        <v>608</v>
      </c>
      <c r="C462" s="738" t="s">
        <v>45</v>
      </c>
      <c r="D462" s="749">
        <v>140</v>
      </c>
      <c r="E462" s="705">
        <v>9808.8080999999984</v>
      </c>
      <c r="F462" s="753">
        <f t="shared" si="21"/>
        <v>1373233.1</v>
      </c>
      <c r="G462" s="749">
        <v>140</v>
      </c>
      <c r="H462" s="705">
        <v>8852.5407599999999</v>
      </c>
      <c r="I462" s="770">
        <f t="shared" si="19"/>
        <v>1239355.7064</v>
      </c>
      <c r="J462" s="777">
        <f t="shared" si="20"/>
        <v>133877.39360000007</v>
      </c>
    </row>
    <row r="463" spans="1:10" ht="15">
      <c r="A463" s="751" t="s">
        <v>2201</v>
      </c>
      <c r="B463" s="707" t="s">
        <v>609</v>
      </c>
      <c r="C463" s="739"/>
      <c r="D463" s="751"/>
      <c r="E463" s="649"/>
      <c r="F463" s="752"/>
      <c r="G463" s="751"/>
      <c r="H463" s="649"/>
      <c r="I463" s="769">
        <f t="shared" si="19"/>
        <v>0</v>
      </c>
      <c r="J463" s="776">
        <f t="shared" si="20"/>
        <v>0</v>
      </c>
    </row>
    <row r="464" spans="1:10" ht="15">
      <c r="A464" s="766" t="s">
        <v>2202</v>
      </c>
      <c r="B464" s="702" t="s">
        <v>611</v>
      </c>
      <c r="C464" s="738" t="s">
        <v>45</v>
      </c>
      <c r="D464" s="749">
        <v>120</v>
      </c>
      <c r="E464" s="705">
        <v>31405.714753333334</v>
      </c>
      <c r="F464" s="753">
        <f t="shared" si="21"/>
        <v>3768685.8</v>
      </c>
      <c r="G464" s="749">
        <v>120</v>
      </c>
      <c r="H464" s="705">
        <v>19885.772553266663</v>
      </c>
      <c r="I464" s="770">
        <f t="shared" si="19"/>
        <v>2386292.7063919995</v>
      </c>
      <c r="J464" s="777">
        <f t="shared" si="20"/>
        <v>1382393.0936080003</v>
      </c>
    </row>
    <row r="465" spans="1:10" ht="15">
      <c r="A465" s="751" t="s">
        <v>2203</v>
      </c>
      <c r="B465" s="707" t="s">
        <v>665</v>
      </c>
      <c r="C465" s="739"/>
      <c r="D465" s="751"/>
      <c r="E465" s="649"/>
      <c r="F465" s="752"/>
      <c r="G465" s="751"/>
      <c r="H465" s="649"/>
      <c r="I465" s="769">
        <f t="shared" ref="I465:I528" si="22">+H465*G465</f>
        <v>0</v>
      </c>
      <c r="J465" s="776">
        <f t="shared" ref="J465:J528" si="23">+F465-I465</f>
        <v>0</v>
      </c>
    </row>
    <row r="466" spans="1:10" ht="75">
      <c r="A466" s="766" t="s">
        <v>2204</v>
      </c>
      <c r="B466" s="714" t="s">
        <v>668</v>
      </c>
      <c r="C466" s="738" t="s">
        <v>28</v>
      </c>
      <c r="D466" s="749">
        <v>37</v>
      </c>
      <c r="E466" s="705">
        <v>158144.90180496001</v>
      </c>
      <c r="F466" s="753">
        <f t="shared" si="21"/>
        <v>5851361.4000000004</v>
      </c>
      <c r="G466" s="749">
        <v>37</v>
      </c>
      <c r="H466" s="705">
        <v>111580.59510696</v>
      </c>
      <c r="I466" s="770">
        <f t="shared" si="22"/>
        <v>4128482.0189575199</v>
      </c>
      <c r="J466" s="777">
        <f t="shared" si="23"/>
        <v>1722879.3810424805</v>
      </c>
    </row>
    <row r="467" spans="1:10" ht="75">
      <c r="A467" s="766" t="s">
        <v>2205</v>
      </c>
      <c r="B467" s="714" t="s">
        <v>670</v>
      </c>
      <c r="C467" s="738" t="s">
        <v>28</v>
      </c>
      <c r="D467" s="749">
        <v>135</v>
      </c>
      <c r="E467" s="705">
        <v>0</v>
      </c>
      <c r="F467" s="753">
        <f t="shared" si="21"/>
        <v>0</v>
      </c>
      <c r="G467" s="749">
        <v>135</v>
      </c>
      <c r="H467" s="705">
        <v>0</v>
      </c>
      <c r="I467" s="770">
        <f t="shared" si="22"/>
        <v>0</v>
      </c>
      <c r="J467" s="777">
        <f t="shared" si="23"/>
        <v>0</v>
      </c>
    </row>
    <row r="468" spans="1:10" ht="105">
      <c r="A468" s="766" t="s">
        <v>2206</v>
      </c>
      <c r="B468" s="714" t="s">
        <v>676</v>
      </c>
      <c r="C468" s="738" t="s">
        <v>28</v>
      </c>
      <c r="D468" s="749">
        <v>22</v>
      </c>
      <c r="E468" s="705">
        <v>78429.617322000006</v>
      </c>
      <c r="F468" s="753">
        <f t="shared" si="21"/>
        <v>1725451.6</v>
      </c>
      <c r="G468" s="749">
        <v>22</v>
      </c>
      <c r="H468" s="705">
        <v>67798.630661999996</v>
      </c>
      <c r="I468" s="770">
        <f t="shared" si="22"/>
        <v>1491569.8745639999</v>
      </c>
      <c r="J468" s="777">
        <f t="shared" si="23"/>
        <v>233881.72543600015</v>
      </c>
    </row>
    <row r="469" spans="1:10" ht="105">
      <c r="A469" s="766" t="s">
        <v>2207</v>
      </c>
      <c r="B469" s="714" t="s">
        <v>678</v>
      </c>
      <c r="C469" s="738" t="s">
        <v>28</v>
      </c>
      <c r="D469" s="749">
        <v>44</v>
      </c>
      <c r="E469" s="705">
        <v>78429.617322000006</v>
      </c>
      <c r="F469" s="753">
        <f t="shared" si="21"/>
        <v>3450903.2</v>
      </c>
      <c r="G469" s="749">
        <v>44</v>
      </c>
      <c r="H469" s="705">
        <v>67798.630661999996</v>
      </c>
      <c r="I469" s="770">
        <f t="shared" si="22"/>
        <v>2983139.7491279999</v>
      </c>
      <c r="J469" s="777">
        <f t="shared" si="23"/>
        <v>467763.45087200031</v>
      </c>
    </row>
    <row r="470" spans="1:10" ht="90">
      <c r="A470" s="766" t="s">
        <v>2208</v>
      </c>
      <c r="B470" s="714" t="s">
        <v>681</v>
      </c>
      <c r="C470" s="738" t="s">
        <v>28</v>
      </c>
      <c r="D470" s="749">
        <v>2</v>
      </c>
      <c r="E470" s="705">
        <v>78429.617322000006</v>
      </c>
      <c r="F470" s="753">
        <f t="shared" si="21"/>
        <v>156859.20000000001</v>
      </c>
      <c r="G470" s="749">
        <v>2</v>
      </c>
      <c r="H470" s="705">
        <v>67798.630661999996</v>
      </c>
      <c r="I470" s="770">
        <f t="shared" si="22"/>
        <v>135597.26132399999</v>
      </c>
      <c r="J470" s="777">
        <f t="shared" si="23"/>
        <v>21261.93867600002</v>
      </c>
    </row>
    <row r="471" spans="1:10" ht="90">
      <c r="A471" s="766" t="s">
        <v>2209</v>
      </c>
      <c r="B471" s="714" t="s">
        <v>686</v>
      </c>
      <c r="C471" s="738" t="s">
        <v>28</v>
      </c>
      <c r="D471" s="749">
        <v>1</v>
      </c>
      <c r="E471" s="705">
        <v>78429.617322000006</v>
      </c>
      <c r="F471" s="753">
        <f t="shared" ref="F471:F534" si="24">ROUND(E471*D471,1)</f>
        <v>78429.600000000006</v>
      </c>
      <c r="G471" s="749">
        <v>1</v>
      </c>
      <c r="H471" s="705">
        <v>67798.630661999996</v>
      </c>
      <c r="I471" s="770">
        <f t="shared" si="22"/>
        <v>67798.630661999996</v>
      </c>
      <c r="J471" s="777">
        <f t="shared" si="23"/>
        <v>10630.96933800001</v>
      </c>
    </row>
    <row r="472" spans="1:10" ht="90">
      <c r="A472" s="766" t="s">
        <v>2210</v>
      </c>
      <c r="B472" s="714" t="s">
        <v>688</v>
      </c>
      <c r="C472" s="738" t="s">
        <v>28</v>
      </c>
      <c r="D472" s="749">
        <v>2</v>
      </c>
      <c r="E472" s="705">
        <v>20030</v>
      </c>
      <c r="F472" s="753">
        <f t="shared" si="24"/>
        <v>40060</v>
      </c>
      <c r="G472" s="749">
        <v>2</v>
      </c>
      <c r="H472" s="705">
        <v>20030</v>
      </c>
      <c r="I472" s="770">
        <f t="shared" si="22"/>
        <v>40060</v>
      </c>
      <c r="J472" s="777">
        <f t="shared" si="23"/>
        <v>0</v>
      </c>
    </row>
    <row r="473" spans="1:10" ht="15">
      <c r="A473" s="751" t="s">
        <v>2211</v>
      </c>
      <c r="B473" s="707" t="s">
        <v>689</v>
      </c>
      <c r="C473" s="739"/>
      <c r="D473" s="751"/>
      <c r="E473" s="649"/>
      <c r="F473" s="752"/>
      <c r="G473" s="751"/>
      <c r="H473" s="649"/>
      <c r="I473" s="769">
        <f t="shared" si="22"/>
        <v>0</v>
      </c>
      <c r="J473" s="776">
        <f t="shared" si="23"/>
        <v>0</v>
      </c>
    </row>
    <row r="474" spans="1:10" ht="30">
      <c r="A474" s="766" t="s">
        <v>2212</v>
      </c>
      <c r="B474" s="714" t="s">
        <v>691</v>
      </c>
      <c r="C474" s="738" t="s">
        <v>28</v>
      </c>
      <c r="D474" s="749">
        <v>61</v>
      </c>
      <c r="E474" s="705">
        <v>76983.954899999997</v>
      </c>
      <c r="F474" s="753">
        <f t="shared" si="24"/>
        <v>4696021.2</v>
      </c>
      <c r="G474" s="749">
        <v>61</v>
      </c>
      <c r="H474" s="705">
        <v>64314.716899999992</v>
      </c>
      <c r="I474" s="770">
        <f t="shared" si="22"/>
        <v>3923197.7308999994</v>
      </c>
      <c r="J474" s="777">
        <f t="shared" si="23"/>
        <v>772823.4691000008</v>
      </c>
    </row>
    <row r="475" spans="1:10" ht="30">
      <c r="A475" s="766" t="s">
        <v>2213</v>
      </c>
      <c r="B475" s="714" t="s">
        <v>696</v>
      </c>
      <c r="C475" s="738" t="s">
        <v>28</v>
      </c>
      <c r="D475" s="749">
        <v>65</v>
      </c>
      <c r="E475" s="705">
        <v>101136.6198</v>
      </c>
      <c r="F475" s="753">
        <f t="shared" si="24"/>
        <v>6573880.2999999998</v>
      </c>
      <c r="G475" s="749">
        <v>65</v>
      </c>
      <c r="H475" s="705">
        <v>52732.92779999999</v>
      </c>
      <c r="I475" s="770">
        <f t="shared" si="22"/>
        <v>3427640.3069999996</v>
      </c>
      <c r="J475" s="777">
        <f t="shared" si="23"/>
        <v>3146239.9930000002</v>
      </c>
    </row>
    <row r="476" spans="1:10" ht="30">
      <c r="A476" s="766" t="s">
        <v>2214</v>
      </c>
      <c r="B476" s="714" t="s">
        <v>2215</v>
      </c>
      <c r="C476" s="738" t="s">
        <v>28</v>
      </c>
      <c r="D476" s="749">
        <v>9</v>
      </c>
      <c r="E476" s="705">
        <v>101136.6198</v>
      </c>
      <c r="F476" s="753">
        <f t="shared" si="24"/>
        <v>910229.6</v>
      </c>
      <c r="G476" s="749">
        <v>9</v>
      </c>
      <c r="H476" s="705">
        <v>52732.92779999999</v>
      </c>
      <c r="I476" s="770">
        <f t="shared" si="22"/>
        <v>474596.35019999993</v>
      </c>
      <c r="J476" s="777">
        <f t="shared" si="23"/>
        <v>435633.24980000005</v>
      </c>
    </row>
    <row r="477" spans="1:10" ht="15">
      <c r="A477" s="751" t="s">
        <v>2216</v>
      </c>
      <c r="B477" s="707" t="s">
        <v>2217</v>
      </c>
      <c r="C477" s="739"/>
      <c r="D477" s="751"/>
      <c r="E477" s="649"/>
      <c r="F477" s="752"/>
      <c r="G477" s="751"/>
      <c r="H477" s="649"/>
      <c r="I477" s="769">
        <f t="shared" si="22"/>
        <v>0</v>
      </c>
      <c r="J477" s="776">
        <f t="shared" si="23"/>
        <v>0</v>
      </c>
    </row>
    <row r="478" spans="1:10" ht="15">
      <c r="A478" s="751" t="s">
        <v>2218</v>
      </c>
      <c r="B478" s="707" t="s">
        <v>609</v>
      </c>
      <c r="C478" s="739"/>
      <c r="D478" s="751"/>
      <c r="E478" s="649"/>
      <c r="F478" s="752"/>
      <c r="G478" s="751"/>
      <c r="H478" s="649"/>
      <c r="I478" s="769">
        <f t="shared" si="22"/>
        <v>0</v>
      </c>
      <c r="J478" s="776">
        <f t="shared" si="23"/>
        <v>0</v>
      </c>
    </row>
    <row r="479" spans="1:10" ht="15">
      <c r="A479" s="766" t="s">
        <v>2219</v>
      </c>
      <c r="B479" s="714" t="s">
        <v>2185</v>
      </c>
      <c r="C479" s="738" t="s">
        <v>45</v>
      </c>
      <c r="D479" s="749">
        <v>160</v>
      </c>
      <c r="E479" s="705">
        <v>44346.177855000002</v>
      </c>
      <c r="F479" s="753">
        <f t="shared" si="24"/>
        <v>7095388.5</v>
      </c>
      <c r="G479" s="749">
        <v>160</v>
      </c>
      <c r="H479" s="705">
        <v>25563.260089150001</v>
      </c>
      <c r="I479" s="770">
        <f t="shared" si="22"/>
        <v>4090121.6142640002</v>
      </c>
      <c r="J479" s="777">
        <f t="shared" si="23"/>
        <v>3005266.8857359998</v>
      </c>
    </row>
    <row r="480" spans="1:10" ht="15">
      <c r="A480" s="766" t="s">
        <v>2220</v>
      </c>
      <c r="B480" s="714" t="s">
        <v>2187</v>
      </c>
      <c r="C480" s="738" t="s">
        <v>45</v>
      </c>
      <c r="D480" s="749">
        <v>60</v>
      </c>
      <c r="E480" s="705">
        <v>74432.057087640002</v>
      </c>
      <c r="F480" s="753">
        <f t="shared" si="24"/>
        <v>4465923.4000000004</v>
      </c>
      <c r="G480" s="749">
        <v>60</v>
      </c>
      <c r="H480" s="705">
        <v>53603.756095639998</v>
      </c>
      <c r="I480" s="770">
        <f t="shared" si="22"/>
        <v>3216225.3657383998</v>
      </c>
      <c r="J480" s="777">
        <f t="shared" si="23"/>
        <v>1249698.0342616006</v>
      </c>
    </row>
    <row r="481" spans="1:10" ht="15">
      <c r="A481" s="766" t="s">
        <v>2221</v>
      </c>
      <c r="B481" s="714" t="s">
        <v>635</v>
      </c>
      <c r="C481" s="738" t="s">
        <v>28</v>
      </c>
      <c r="D481" s="749">
        <v>3</v>
      </c>
      <c r="E481" s="705">
        <v>82111.731100000005</v>
      </c>
      <c r="F481" s="753">
        <f t="shared" si="24"/>
        <v>246335.2</v>
      </c>
      <c r="G481" s="749">
        <v>3</v>
      </c>
      <c r="H481" s="705">
        <v>80308.881099999999</v>
      </c>
      <c r="I481" s="770">
        <f t="shared" si="22"/>
        <v>240926.6433</v>
      </c>
      <c r="J481" s="777">
        <f t="shared" si="23"/>
        <v>5408.5567000000156</v>
      </c>
    </row>
    <row r="482" spans="1:10" ht="15">
      <c r="A482" s="766" t="s">
        <v>2222</v>
      </c>
      <c r="B482" s="714" t="s">
        <v>636</v>
      </c>
      <c r="C482" s="738" t="s">
        <v>28</v>
      </c>
      <c r="D482" s="749">
        <v>2</v>
      </c>
      <c r="E482" s="705">
        <v>32040.9836</v>
      </c>
      <c r="F482" s="753">
        <f t="shared" si="24"/>
        <v>64082</v>
      </c>
      <c r="G482" s="749">
        <v>2</v>
      </c>
      <c r="H482" s="705">
        <v>19398.0052</v>
      </c>
      <c r="I482" s="770">
        <f t="shared" si="22"/>
        <v>38796.010399999999</v>
      </c>
      <c r="J482" s="777">
        <f t="shared" si="23"/>
        <v>25285.989600000001</v>
      </c>
    </row>
    <row r="483" spans="1:10" ht="15">
      <c r="A483" s="751" t="s">
        <v>2223</v>
      </c>
      <c r="B483" s="707" t="s">
        <v>703</v>
      </c>
      <c r="C483" s="739"/>
      <c r="D483" s="751"/>
      <c r="E483" s="649"/>
      <c r="F483" s="752"/>
      <c r="G483" s="751"/>
      <c r="H483" s="649"/>
      <c r="I483" s="769">
        <f t="shared" si="22"/>
        <v>0</v>
      </c>
      <c r="J483" s="776">
        <f t="shared" si="23"/>
        <v>0</v>
      </c>
    </row>
    <row r="484" spans="1:10" ht="45">
      <c r="A484" s="766" t="s">
        <v>2224</v>
      </c>
      <c r="B484" s="714" t="s">
        <v>705</v>
      </c>
      <c r="C484" s="738" t="s">
        <v>45</v>
      </c>
      <c r="D484" s="749">
        <v>300</v>
      </c>
      <c r="E484" s="705">
        <v>7139.16</v>
      </c>
      <c r="F484" s="753">
        <f t="shared" si="24"/>
        <v>2141748</v>
      </c>
      <c r="G484" s="749">
        <v>300</v>
      </c>
      <c r="H484" s="705">
        <v>5784.2294999999995</v>
      </c>
      <c r="I484" s="770">
        <f t="shared" si="22"/>
        <v>1735268.8499999999</v>
      </c>
      <c r="J484" s="777">
        <f t="shared" si="23"/>
        <v>406479.15000000014</v>
      </c>
    </row>
    <row r="485" spans="1:10" ht="60">
      <c r="A485" s="766" t="s">
        <v>2225</v>
      </c>
      <c r="B485" s="714" t="s">
        <v>709</v>
      </c>
      <c r="C485" s="738" t="s">
        <v>28</v>
      </c>
      <c r="D485" s="749">
        <v>19</v>
      </c>
      <c r="E485" s="705">
        <v>105596.1134</v>
      </c>
      <c r="F485" s="753">
        <f t="shared" si="24"/>
        <v>2006326.2</v>
      </c>
      <c r="G485" s="749">
        <v>19</v>
      </c>
      <c r="H485" s="705">
        <v>87519.931299999997</v>
      </c>
      <c r="I485" s="770">
        <f t="shared" si="22"/>
        <v>1662878.6946999999</v>
      </c>
      <c r="J485" s="777">
        <f t="shared" si="23"/>
        <v>343447.50530000008</v>
      </c>
    </row>
    <row r="486" spans="1:10" ht="30">
      <c r="A486" s="766" t="s">
        <v>2226</v>
      </c>
      <c r="B486" s="714" t="s">
        <v>714</v>
      </c>
      <c r="C486" s="738" t="s">
        <v>28</v>
      </c>
      <c r="D486" s="749">
        <v>1</v>
      </c>
      <c r="E486" s="705">
        <v>1619190</v>
      </c>
      <c r="F486" s="753">
        <f t="shared" si="24"/>
        <v>1619190</v>
      </c>
      <c r="G486" s="749">
        <v>1</v>
      </c>
      <c r="H486" s="705">
        <v>1313569.5</v>
      </c>
      <c r="I486" s="770">
        <f t="shared" si="22"/>
        <v>1313569.5</v>
      </c>
      <c r="J486" s="777">
        <f t="shared" si="23"/>
        <v>305620.5</v>
      </c>
    </row>
    <row r="487" spans="1:10" ht="30">
      <c r="A487" s="766" t="s">
        <v>2227</v>
      </c>
      <c r="B487" s="714" t="s">
        <v>721</v>
      </c>
      <c r="C487" s="738" t="s">
        <v>28</v>
      </c>
      <c r="D487" s="749">
        <v>1</v>
      </c>
      <c r="E487" s="705">
        <v>555957.30000000005</v>
      </c>
      <c r="F487" s="753">
        <f t="shared" si="24"/>
        <v>555957.30000000005</v>
      </c>
      <c r="G487" s="749">
        <v>1</v>
      </c>
      <c r="H487" s="705">
        <v>1657255.5</v>
      </c>
      <c r="I487" s="770">
        <f t="shared" si="22"/>
        <v>1657255.5</v>
      </c>
      <c r="J487" s="777">
        <f t="shared" si="23"/>
        <v>-1101298.2</v>
      </c>
    </row>
    <row r="488" spans="1:10" ht="30">
      <c r="A488" s="766" t="s">
        <v>2228</v>
      </c>
      <c r="B488" s="714" t="s">
        <v>724</v>
      </c>
      <c r="C488" s="738" t="s">
        <v>28</v>
      </c>
      <c r="D488" s="749">
        <v>19</v>
      </c>
      <c r="E488" s="705">
        <v>56303.682399999998</v>
      </c>
      <c r="F488" s="753">
        <f t="shared" si="24"/>
        <v>1069770</v>
      </c>
      <c r="G488" s="749">
        <v>19</v>
      </c>
      <c r="H488" s="705">
        <v>36508.449999999997</v>
      </c>
      <c r="I488" s="770">
        <f t="shared" si="22"/>
        <v>693660.54999999993</v>
      </c>
      <c r="J488" s="777">
        <f t="shared" si="23"/>
        <v>376109.45000000007</v>
      </c>
    </row>
    <row r="489" spans="1:10" ht="15">
      <c r="A489" s="751" t="s">
        <v>2229</v>
      </c>
      <c r="B489" s="707" t="s">
        <v>2230</v>
      </c>
      <c r="C489" s="739"/>
      <c r="D489" s="751"/>
      <c r="E489" s="649"/>
      <c r="F489" s="752"/>
      <c r="G489" s="751"/>
      <c r="H489" s="649"/>
      <c r="I489" s="769">
        <f t="shared" si="22"/>
        <v>0</v>
      </c>
      <c r="J489" s="776">
        <f t="shared" si="23"/>
        <v>0</v>
      </c>
    </row>
    <row r="490" spans="1:10" ht="15">
      <c r="A490" s="850" t="s">
        <v>2231</v>
      </c>
      <c r="B490" s="707" t="s">
        <v>2232</v>
      </c>
      <c r="C490" s="739"/>
      <c r="D490" s="751"/>
      <c r="E490" s="649"/>
      <c r="F490" s="752"/>
      <c r="G490" s="751"/>
      <c r="H490" s="649"/>
      <c r="I490" s="769">
        <f t="shared" si="22"/>
        <v>0</v>
      </c>
      <c r="J490" s="776">
        <f t="shared" si="23"/>
        <v>0</v>
      </c>
    </row>
    <row r="491" spans="1:10" ht="15">
      <c r="A491" s="850"/>
      <c r="B491" s="707" t="s">
        <v>2195</v>
      </c>
      <c r="C491" s="739"/>
      <c r="D491" s="751"/>
      <c r="E491" s="649"/>
      <c r="F491" s="752"/>
      <c r="G491" s="751"/>
      <c r="H491" s="649"/>
      <c r="I491" s="769">
        <f t="shared" si="22"/>
        <v>0</v>
      </c>
      <c r="J491" s="776">
        <f t="shared" si="23"/>
        <v>0</v>
      </c>
    </row>
    <row r="492" spans="1:10" ht="75">
      <c r="A492" s="766" t="s">
        <v>2233</v>
      </c>
      <c r="B492" s="714" t="s">
        <v>727</v>
      </c>
      <c r="C492" s="738" t="s">
        <v>28</v>
      </c>
      <c r="D492" s="749">
        <v>1</v>
      </c>
      <c r="E492" s="705">
        <v>394539.22739999997</v>
      </c>
      <c r="F492" s="753">
        <f t="shared" si="24"/>
        <v>394539.2</v>
      </c>
      <c r="G492" s="749">
        <v>1</v>
      </c>
      <c r="H492" s="705">
        <v>301828.5</v>
      </c>
      <c r="I492" s="770">
        <f t="shared" si="22"/>
        <v>301828.5</v>
      </c>
      <c r="J492" s="777">
        <f t="shared" si="23"/>
        <v>92710.700000000012</v>
      </c>
    </row>
    <row r="493" spans="1:10" ht="75">
      <c r="A493" s="766" t="s">
        <v>2234</v>
      </c>
      <c r="B493" s="714" t="s">
        <v>658</v>
      </c>
      <c r="C493" s="738" t="s">
        <v>28</v>
      </c>
      <c r="D493" s="749">
        <v>1</v>
      </c>
      <c r="E493" s="705">
        <v>394539.22739999997</v>
      </c>
      <c r="F493" s="753">
        <f t="shared" si="24"/>
        <v>394539.2</v>
      </c>
      <c r="G493" s="749">
        <v>1</v>
      </c>
      <c r="H493" s="705">
        <v>301828.5</v>
      </c>
      <c r="I493" s="770">
        <f t="shared" si="22"/>
        <v>301828.5</v>
      </c>
      <c r="J493" s="777">
        <f t="shared" si="23"/>
        <v>92710.700000000012</v>
      </c>
    </row>
    <row r="494" spans="1:10" ht="15">
      <c r="A494" s="766" t="s">
        <v>2235</v>
      </c>
      <c r="B494" s="714" t="s">
        <v>2181</v>
      </c>
      <c r="C494" s="738" t="s">
        <v>28</v>
      </c>
      <c r="D494" s="749">
        <v>2</v>
      </c>
      <c r="E494" s="705">
        <v>302000.25800000003</v>
      </c>
      <c r="F494" s="753">
        <f t="shared" si="24"/>
        <v>604000.5</v>
      </c>
      <c r="G494" s="749">
        <v>2</v>
      </c>
      <c r="H494" s="705">
        <v>242351.56036</v>
      </c>
      <c r="I494" s="770">
        <f t="shared" si="22"/>
        <v>484703.12072000001</v>
      </c>
      <c r="J494" s="777">
        <f t="shared" si="23"/>
        <v>119297.37927999999</v>
      </c>
    </row>
    <row r="495" spans="1:10" ht="15">
      <c r="A495" s="766" t="s">
        <v>2236</v>
      </c>
      <c r="B495" s="714" t="s">
        <v>605</v>
      </c>
      <c r="C495" s="738" t="s">
        <v>28</v>
      </c>
      <c r="D495" s="749">
        <v>9</v>
      </c>
      <c r="E495" s="705">
        <v>16954.350000000002</v>
      </c>
      <c r="F495" s="753">
        <f t="shared" si="24"/>
        <v>152589.20000000001</v>
      </c>
      <c r="G495" s="749">
        <v>9</v>
      </c>
      <c r="H495" s="705">
        <v>12398.744399999998</v>
      </c>
      <c r="I495" s="770">
        <f t="shared" si="22"/>
        <v>111588.69959999998</v>
      </c>
      <c r="J495" s="777">
        <f t="shared" si="23"/>
        <v>41000.500400000034</v>
      </c>
    </row>
    <row r="496" spans="1:10" ht="15">
      <c r="A496" s="751" t="s">
        <v>2237</v>
      </c>
      <c r="B496" s="707" t="s">
        <v>606</v>
      </c>
      <c r="C496" s="739"/>
      <c r="D496" s="751"/>
      <c r="E496" s="649"/>
      <c r="F496" s="752"/>
      <c r="G496" s="751"/>
      <c r="H496" s="649"/>
      <c r="I496" s="769">
        <f t="shared" si="22"/>
        <v>0</v>
      </c>
      <c r="J496" s="776">
        <f t="shared" si="23"/>
        <v>0</v>
      </c>
    </row>
    <row r="497" spans="1:10" ht="60">
      <c r="A497" s="766" t="s">
        <v>2237</v>
      </c>
      <c r="B497" s="714" t="s">
        <v>608</v>
      </c>
      <c r="C497" s="738" t="s">
        <v>45</v>
      </c>
      <c r="D497" s="749">
        <v>410</v>
      </c>
      <c r="E497" s="705">
        <v>9808.8080999999984</v>
      </c>
      <c r="F497" s="753">
        <f t="shared" si="24"/>
        <v>4021611.3</v>
      </c>
      <c r="G497" s="749">
        <v>410</v>
      </c>
      <c r="H497" s="705">
        <v>8852.5407599999999</v>
      </c>
      <c r="I497" s="770">
        <f t="shared" si="22"/>
        <v>3629541.7116</v>
      </c>
      <c r="J497" s="777">
        <f t="shared" si="23"/>
        <v>392069.58839999977</v>
      </c>
    </row>
    <row r="498" spans="1:10" ht="15">
      <c r="A498" s="751" t="s">
        <v>2238</v>
      </c>
      <c r="B498" s="707" t="s">
        <v>609</v>
      </c>
      <c r="C498" s="739"/>
      <c r="D498" s="751"/>
      <c r="E498" s="649"/>
      <c r="F498" s="752"/>
      <c r="G498" s="751"/>
      <c r="H498" s="649"/>
      <c r="I498" s="769">
        <f t="shared" si="22"/>
        <v>0</v>
      </c>
      <c r="J498" s="776">
        <f t="shared" si="23"/>
        <v>0</v>
      </c>
    </row>
    <row r="499" spans="1:10" ht="15">
      <c r="A499" s="766" t="s">
        <v>2239</v>
      </c>
      <c r="B499" s="714" t="s">
        <v>611</v>
      </c>
      <c r="C499" s="738" t="s">
        <v>45</v>
      </c>
      <c r="D499" s="749">
        <v>90</v>
      </c>
      <c r="E499" s="705">
        <v>31405.714753333334</v>
      </c>
      <c r="F499" s="753">
        <f t="shared" si="24"/>
        <v>2826514.3</v>
      </c>
      <c r="G499" s="749">
        <v>90</v>
      </c>
      <c r="H499" s="705">
        <v>19885.772553266663</v>
      </c>
      <c r="I499" s="770">
        <f t="shared" si="22"/>
        <v>1789719.5297939996</v>
      </c>
      <c r="J499" s="777">
        <f t="shared" si="23"/>
        <v>1036794.7702060002</v>
      </c>
    </row>
    <row r="500" spans="1:10" ht="15">
      <c r="A500" s="766" t="s">
        <v>2240</v>
      </c>
      <c r="B500" s="714" t="s">
        <v>2187</v>
      </c>
      <c r="C500" s="738" t="s">
        <v>45</v>
      </c>
      <c r="D500" s="749">
        <v>59</v>
      </c>
      <c r="E500" s="705">
        <v>74432.057087640002</v>
      </c>
      <c r="F500" s="753">
        <f t="shared" si="24"/>
        <v>4391491.4000000004</v>
      </c>
      <c r="G500" s="749">
        <v>59</v>
      </c>
      <c r="H500" s="705">
        <v>53603.756095639998</v>
      </c>
      <c r="I500" s="770">
        <f t="shared" si="22"/>
        <v>3162621.6096427599</v>
      </c>
      <c r="J500" s="777">
        <f t="shared" si="23"/>
        <v>1228869.7903572405</v>
      </c>
    </row>
    <row r="501" spans="1:10" ht="15">
      <c r="A501" s="766" t="s">
        <v>2241</v>
      </c>
      <c r="B501" s="714" t="s">
        <v>633</v>
      </c>
      <c r="C501" s="738" t="s">
        <v>45</v>
      </c>
      <c r="D501" s="749">
        <v>33</v>
      </c>
      <c r="E501" s="705">
        <v>57626.44720000001</v>
      </c>
      <c r="F501" s="753">
        <f t="shared" si="24"/>
        <v>1901672.8</v>
      </c>
      <c r="G501" s="749">
        <v>33</v>
      </c>
      <c r="H501" s="705">
        <v>56169.887200000005</v>
      </c>
      <c r="I501" s="770">
        <f t="shared" si="22"/>
        <v>1853606.2776000001</v>
      </c>
      <c r="J501" s="777">
        <f t="shared" si="23"/>
        <v>48066.5223999999</v>
      </c>
    </row>
    <row r="502" spans="1:10" ht="15">
      <c r="A502" s="766" t="s">
        <v>2242</v>
      </c>
      <c r="B502" s="714" t="s">
        <v>635</v>
      </c>
      <c r="C502" s="738" t="s">
        <v>28</v>
      </c>
      <c r="D502" s="749">
        <v>11</v>
      </c>
      <c r="E502" s="705">
        <v>82111.731100000005</v>
      </c>
      <c r="F502" s="753">
        <f t="shared" si="24"/>
        <v>903229</v>
      </c>
      <c r="G502" s="749">
        <v>11</v>
      </c>
      <c r="H502" s="705">
        <v>80308.881099999999</v>
      </c>
      <c r="I502" s="770">
        <f t="shared" si="22"/>
        <v>883397.69209999999</v>
      </c>
      <c r="J502" s="777">
        <f t="shared" si="23"/>
        <v>19831.307900000014</v>
      </c>
    </row>
    <row r="503" spans="1:10" ht="15">
      <c r="A503" s="751" t="s">
        <v>2243</v>
      </c>
      <c r="B503" s="707" t="s">
        <v>637</v>
      </c>
      <c r="C503" s="739"/>
      <c r="D503" s="751"/>
      <c r="E503" s="649"/>
      <c r="F503" s="752"/>
      <c r="G503" s="751"/>
      <c r="H503" s="649"/>
      <c r="I503" s="769">
        <f t="shared" si="22"/>
        <v>0</v>
      </c>
      <c r="J503" s="776">
        <f t="shared" si="23"/>
        <v>0</v>
      </c>
    </row>
    <row r="504" spans="1:10" ht="90">
      <c r="A504" s="766" t="s">
        <v>2244</v>
      </c>
      <c r="B504" s="714" t="s">
        <v>639</v>
      </c>
      <c r="C504" s="738" t="s">
        <v>28</v>
      </c>
      <c r="D504" s="749">
        <v>41</v>
      </c>
      <c r="E504" s="705">
        <v>179658.15558640001</v>
      </c>
      <c r="F504" s="753">
        <f t="shared" si="24"/>
        <v>7365984.4000000004</v>
      </c>
      <c r="G504" s="749">
        <v>41</v>
      </c>
      <c r="H504" s="705">
        <v>126898.40481639998</v>
      </c>
      <c r="I504" s="770">
        <f t="shared" si="22"/>
        <v>5202834.5974723995</v>
      </c>
      <c r="J504" s="777">
        <f t="shared" si="23"/>
        <v>2163149.8025276009</v>
      </c>
    </row>
    <row r="505" spans="1:10" ht="105">
      <c r="A505" s="766" t="s">
        <v>2245</v>
      </c>
      <c r="B505" s="714" t="s">
        <v>648</v>
      </c>
      <c r="C505" s="738" t="s">
        <v>28</v>
      </c>
      <c r="D505" s="749">
        <v>17</v>
      </c>
      <c r="E505" s="705">
        <v>204908.15558640001</v>
      </c>
      <c r="F505" s="753">
        <f t="shared" si="24"/>
        <v>3483438.6</v>
      </c>
      <c r="G505" s="749">
        <v>17</v>
      </c>
      <c r="H505" s="705">
        <v>145180.50571639999</v>
      </c>
      <c r="I505" s="770">
        <f t="shared" si="22"/>
        <v>2468068.5971788</v>
      </c>
      <c r="J505" s="777">
        <f t="shared" si="23"/>
        <v>1015370.0028212001</v>
      </c>
    </row>
    <row r="506" spans="1:10" ht="90">
      <c r="A506" s="766" t="s">
        <v>2246</v>
      </c>
      <c r="B506" s="714" t="s">
        <v>653</v>
      </c>
      <c r="C506" s="738" t="s">
        <v>28</v>
      </c>
      <c r="D506" s="749">
        <v>9</v>
      </c>
      <c r="E506" s="705">
        <v>84727.903732799998</v>
      </c>
      <c r="F506" s="753">
        <f t="shared" si="24"/>
        <v>762551.1</v>
      </c>
      <c r="G506" s="749">
        <v>9</v>
      </c>
      <c r="H506" s="705">
        <v>75752.342332799992</v>
      </c>
      <c r="I506" s="770">
        <f t="shared" si="22"/>
        <v>681771.08099519997</v>
      </c>
      <c r="J506" s="777">
        <f t="shared" si="23"/>
        <v>80780.019004800008</v>
      </c>
    </row>
    <row r="507" spans="1:10" ht="15">
      <c r="A507" s="751" t="s">
        <v>2247</v>
      </c>
      <c r="B507" s="707" t="s">
        <v>656</v>
      </c>
      <c r="C507" s="739"/>
      <c r="D507" s="751"/>
      <c r="E507" s="649"/>
      <c r="F507" s="752"/>
      <c r="G507" s="751"/>
      <c r="H507" s="649"/>
      <c r="I507" s="769">
        <f t="shared" si="22"/>
        <v>0</v>
      </c>
      <c r="J507" s="776">
        <f t="shared" si="23"/>
        <v>0</v>
      </c>
    </row>
    <row r="508" spans="1:10" ht="15">
      <c r="A508" s="751"/>
      <c r="B508" s="707" t="s">
        <v>2195</v>
      </c>
      <c r="C508" s="739"/>
      <c r="D508" s="751"/>
      <c r="E508" s="649"/>
      <c r="F508" s="752"/>
      <c r="G508" s="751"/>
      <c r="H508" s="649"/>
      <c r="I508" s="769">
        <f t="shared" si="22"/>
        <v>0</v>
      </c>
      <c r="J508" s="776">
        <f t="shared" si="23"/>
        <v>0</v>
      </c>
    </row>
    <row r="509" spans="1:10" ht="75">
      <c r="A509" s="766" t="s">
        <v>2248</v>
      </c>
      <c r="B509" s="728" t="s">
        <v>658</v>
      </c>
      <c r="C509" s="738" t="s">
        <v>28</v>
      </c>
      <c r="D509" s="749">
        <v>1</v>
      </c>
      <c r="E509" s="705">
        <v>394539.22739999997</v>
      </c>
      <c r="F509" s="753">
        <f t="shared" si="24"/>
        <v>394539.2</v>
      </c>
      <c r="G509" s="749">
        <v>1</v>
      </c>
      <c r="H509" s="705">
        <v>301828.5</v>
      </c>
      <c r="I509" s="770">
        <f t="shared" si="22"/>
        <v>301828.5</v>
      </c>
      <c r="J509" s="777">
        <f t="shared" si="23"/>
        <v>92710.700000000012</v>
      </c>
    </row>
    <row r="510" spans="1:10" ht="15">
      <c r="A510" s="766" t="s">
        <v>2249</v>
      </c>
      <c r="B510" s="728" t="s">
        <v>2198</v>
      </c>
      <c r="C510" s="738" t="s">
        <v>28</v>
      </c>
      <c r="D510" s="749">
        <v>1</v>
      </c>
      <c r="E510" s="705">
        <v>273923.51973</v>
      </c>
      <c r="F510" s="753">
        <f t="shared" si="24"/>
        <v>273923.5</v>
      </c>
      <c r="G510" s="749">
        <v>1</v>
      </c>
      <c r="H510" s="705">
        <v>216632.15973000001</v>
      </c>
      <c r="I510" s="770">
        <f t="shared" si="22"/>
        <v>216632.15973000001</v>
      </c>
      <c r="J510" s="777">
        <f t="shared" si="23"/>
        <v>57291.340269999986</v>
      </c>
    </row>
    <row r="511" spans="1:10" ht="15">
      <c r="A511" s="766" t="s">
        <v>2250</v>
      </c>
      <c r="B511" s="728" t="s">
        <v>605</v>
      </c>
      <c r="C511" s="738" t="s">
        <v>28</v>
      </c>
      <c r="D511" s="749">
        <v>5</v>
      </c>
      <c r="E511" s="705">
        <v>16954.350000000002</v>
      </c>
      <c r="F511" s="753">
        <f t="shared" si="24"/>
        <v>84771.8</v>
      </c>
      <c r="G511" s="749">
        <v>5</v>
      </c>
      <c r="H511" s="705">
        <v>12398.744399999998</v>
      </c>
      <c r="I511" s="770">
        <f t="shared" si="22"/>
        <v>61993.721999999987</v>
      </c>
      <c r="J511" s="777">
        <f t="shared" si="23"/>
        <v>22778.078000000016</v>
      </c>
    </row>
    <row r="512" spans="1:10" ht="15">
      <c r="A512" s="751" t="s">
        <v>2251</v>
      </c>
      <c r="B512" s="707" t="s">
        <v>606</v>
      </c>
      <c r="C512" s="739"/>
      <c r="D512" s="751"/>
      <c r="E512" s="649"/>
      <c r="F512" s="752"/>
      <c r="G512" s="751"/>
      <c r="H512" s="649"/>
      <c r="I512" s="769">
        <f t="shared" si="22"/>
        <v>0</v>
      </c>
      <c r="J512" s="776">
        <f t="shared" si="23"/>
        <v>0</v>
      </c>
    </row>
    <row r="513" spans="1:10" ht="60">
      <c r="A513" s="766" t="s">
        <v>743</v>
      </c>
      <c r="B513" s="728" t="s">
        <v>608</v>
      </c>
      <c r="C513" s="738" t="s">
        <v>45</v>
      </c>
      <c r="D513" s="749">
        <v>80</v>
      </c>
      <c r="E513" s="705">
        <v>9808.8080999999984</v>
      </c>
      <c r="F513" s="753">
        <f t="shared" si="24"/>
        <v>784704.6</v>
      </c>
      <c r="G513" s="749">
        <v>80</v>
      </c>
      <c r="H513" s="705">
        <v>8852.5407599999999</v>
      </c>
      <c r="I513" s="770">
        <f t="shared" si="22"/>
        <v>708203.26080000005</v>
      </c>
      <c r="J513" s="777">
        <f t="shared" si="23"/>
        <v>76501.339199999929</v>
      </c>
    </row>
    <row r="514" spans="1:10" ht="15">
      <c r="A514" s="751" t="s">
        <v>2252</v>
      </c>
      <c r="B514" s="707" t="s">
        <v>609</v>
      </c>
      <c r="C514" s="739"/>
      <c r="D514" s="751"/>
      <c r="E514" s="649"/>
      <c r="F514" s="752"/>
      <c r="G514" s="751"/>
      <c r="H514" s="649"/>
      <c r="I514" s="769">
        <f t="shared" si="22"/>
        <v>0</v>
      </c>
      <c r="J514" s="776">
        <f t="shared" si="23"/>
        <v>0</v>
      </c>
    </row>
    <row r="515" spans="1:10" ht="15">
      <c r="A515" s="766" t="s">
        <v>2253</v>
      </c>
      <c r="B515" s="728" t="s">
        <v>611</v>
      </c>
      <c r="C515" s="738" t="s">
        <v>45</v>
      </c>
      <c r="D515" s="749">
        <v>80</v>
      </c>
      <c r="E515" s="705">
        <v>31405.714753333334</v>
      </c>
      <c r="F515" s="753">
        <f t="shared" si="24"/>
        <v>2512457.2000000002</v>
      </c>
      <c r="G515" s="749">
        <v>80</v>
      </c>
      <c r="H515" s="705">
        <v>19885.772553266663</v>
      </c>
      <c r="I515" s="770">
        <f t="shared" si="22"/>
        <v>1590861.8042613331</v>
      </c>
      <c r="J515" s="777">
        <f t="shared" si="23"/>
        <v>921595.39573866711</v>
      </c>
    </row>
    <row r="516" spans="1:10" ht="15">
      <c r="A516" s="751" t="s">
        <v>2254</v>
      </c>
      <c r="B516" s="707" t="s">
        <v>665</v>
      </c>
      <c r="C516" s="739"/>
      <c r="D516" s="751"/>
      <c r="E516" s="649"/>
      <c r="F516" s="752"/>
      <c r="G516" s="751"/>
      <c r="H516" s="649"/>
      <c r="I516" s="769">
        <f t="shared" si="22"/>
        <v>0</v>
      </c>
      <c r="J516" s="776">
        <f t="shared" si="23"/>
        <v>0</v>
      </c>
    </row>
    <row r="517" spans="1:10" ht="60">
      <c r="A517" s="766" t="s">
        <v>2255</v>
      </c>
      <c r="B517" s="728" t="s">
        <v>666</v>
      </c>
      <c r="C517" s="738" t="s">
        <v>28</v>
      </c>
      <c r="D517" s="749">
        <v>153</v>
      </c>
      <c r="E517" s="705">
        <v>158144.90180496001</v>
      </c>
      <c r="F517" s="753">
        <f t="shared" si="24"/>
        <v>24196170</v>
      </c>
      <c r="G517" s="749">
        <v>153</v>
      </c>
      <c r="H517" s="705">
        <v>111580.59510695998</v>
      </c>
      <c r="I517" s="770">
        <f t="shared" si="22"/>
        <v>17071831.051364876</v>
      </c>
      <c r="J517" s="777">
        <f t="shared" si="23"/>
        <v>7124338.9486351237</v>
      </c>
    </row>
    <row r="518" spans="1:10" ht="90">
      <c r="A518" s="766" t="s">
        <v>2256</v>
      </c>
      <c r="B518" s="728" t="s">
        <v>672</v>
      </c>
      <c r="C518" s="738" t="s">
        <v>28</v>
      </c>
      <c r="D518" s="749">
        <v>9</v>
      </c>
      <c r="E518" s="705">
        <v>78429.617322000006</v>
      </c>
      <c r="F518" s="753">
        <f t="shared" si="24"/>
        <v>705866.6</v>
      </c>
      <c r="G518" s="749">
        <v>9</v>
      </c>
      <c r="H518" s="705">
        <v>67798.630661999996</v>
      </c>
      <c r="I518" s="770">
        <f t="shared" si="22"/>
        <v>610187.67595800001</v>
      </c>
      <c r="J518" s="777">
        <f t="shared" si="23"/>
        <v>95678.92404199997</v>
      </c>
    </row>
    <row r="519" spans="1:10" ht="90">
      <c r="A519" s="766" t="s">
        <v>2257</v>
      </c>
      <c r="B519" s="728" t="s">
        <v>683</v>
      </c>
      <c r="C519" s="738" t="s">
        <v>28</v>
      </c>
      <c r="D519" s="749">
        <v>9</v>
      </c>
      <c r="E519" s="705">
        <v>86724.617322000006</v>
      </c>
      <c r="F519" s="753">
        <f t="shared" si="24"/>
        <v>780521.6</v>
      </c>
      <c r="G519" s="749">
        <v>9</v>
      </c>
      <c r="H519" s="705">
        <v>84178.777662000008</v>
      </c>
      <c r="I519" s="770">
        <f t="shared" si="22"/>
        <v>757608.9989580001</v>
      </c>
      <c r="J519" s="777">
        <f t="shared" si="23"/>
        <v>22912.601041999878</v>
      </c>
    </row>
    <row r="520" spans="1:10" ht="15">
      <c r="A520" s="751" t="s">
        <v>2258</v>
      </c>
      <c r="B520" s="707" t="s">
        <v>689</v>
      </c>
      <c r="C520" s="739"/>
      <c r="D520" s="751"/>
      <c r="E520" s="649"/>
      <c r="F520" s="752"/>
      <c r="G520" s="751"/>
      <c r="H520" s="649"/>
      <c r="I520" s="769">
        <f t="shared" si="22"/>
        <v>0</v>
      </c>
      <c r="J520" s="776">
        <f t="shared" si="23"/>
        <v>0</v>
      </c>
    </row>
    <row r="521" spans="1:10" ht="30">
      <c r="A521" s="766" t="s">
        <v>2259</v>
      </c>
      <c r="B521" s="728" t="s">
        <v>691</v>
      </c>
      <c r="C521" s="738" t="s">
        <v>28</v>
      </c>
      <c r="D521" s="749">
        <v>47</v>
      </c>
      <c r="E521" s="705">
        <v>76983.954899999997</v>
      </c>
      <c r="F521" s="753">
        <f t="shared" si="24"/>
        <v>3618245.9</v>
      </c>
      <c r="G521" s="749">
        <v>47</v>
      </c>
      <c r="H521" s="705">
        <v>64314.716899999992</v>
      </c>
      <c r="I521" s="770">
        <f t="shared" si="22"/>
        <v>3022791.6942999996</v>
      </c>
      <c r="J521" s="777">
        <f t="shared" si="23"/>
        <v>595454.20570000028</v>
      </c>
    </row>
    <row r="522" spans="1:10" ht="30">
      <c r="A522" s="766" t="s">
        <v>2260</v>
      </c>
      <c r="B522" s="728" t="s">
        <v>696</v>
      </c>
      <c r="C522" s="738" t="s">
        <v>28</v>
      </c>
      <c r="D522" s="749">
        <v>92</v>
      </c>
      <c r="E522" s="705">
        <v>101136.6198</v>
      </c>
      <c r="F522" s="753">
        <f t="shared" si="24"/>
        <v>9304569</v>
      </c>
      <c r="G522" s="749">
        <v>92</v>
      </c>
      <c r="H522" s="705">
        <v>52732.92779999999</v>
      </c>
      <c r="I522" s="770">
        <f t="shared" si="22"/>
        <v>4851429.3575999988</v>
      </c>
      <c r="J522" s="777">
        <f t="shared" si="23"/>
        <v>4453139.6424000012</v>
      </c>
    </row>
    <row r="523" spans="1:10" ht="30">
      <c r="A523" s="766" t="s">
        <v>2261</v>
      </c>
      <c r="B523" s="728" t="s">
        <v>2215</v>
      </c>
      <c r="C523" s="738" t="s">
        <v>28</v>
      </c>
      <c r="D523" s="749">
        <v>14</v>
      </c>
      <c r="E523" s="705">
        <v>129275.122</v>
      </c>
      <c r="F523" s="753">
        <f t="shared" si="24"/>
        <v>1809851.7</v>
      </c>
      <c r="G523" s="749">
        <v>14</v>
      </c>
      <c r="H523" s="705">
        <v>124277.45899999999</v>
      </c>
      <c r="I523" s="770">
        <f t="shared" si="22"/>
        <v>1739884.4259999997</v>
      </c>
      <c r="J523" s="777">
        <f t="shared" si="23"/>
        <v>69967.274000000209</v>
      </c>
    </row>
    <row r="524" spans="1:10" ht="15">
      <c r="A524" s="751" t="s">
        <v>2262</v>
      </c>
      <c r="B524" s="707" t="s">
        <v>2217</v>
      </c>
      <c r="C524" s="739"/>
      <c r="D524" s="751"/>
      <c r="E524" s="649"/>
      <c r="F524" s="752"/>
      <c r="G524" s="751"/>
      <c r="H524" s="649"/>
      <c r="I524" s="769">
        <f t="shared" si="22"/>
        <v>0</v>
      </c>
      <c r="J524" s="776">
        <f t="shared" si="23"/>
        <v>0</v>
      </c>
    </row>
    <row r="525" spans="1:10" ht="15">
      <c r="A525" s="751"/>
      <c r="B525" s="707" t="s">
        <v>609</v>
      </c>
      <c r="C525" s="739"/>
      <c r="D525" s="751"/>
      <c r="E525" s="649"/>
      <c r="F525" s="752"/>
      <c r="G525" s="751"/>
      <c r="H525" s="649"/>
      <c r="I525" s="769">
        <f t="shared" si="22"/>
        <v>0</v>
      </c>
      <c r="J525" s="776">
        <f t="shared" si="23"/>
        <v>0</v>
      </c>
    </row>
    <row r="526" spans="1:10" ht="15">
      <c r="A526" s="766" t="s">
        <v>751</v>
      </c>
      <c r="B526" s="728" t="s">
        <v>2185</v>
      </c>
      <c r="C526" s="738" t="s">
        <v>45</v>
      </c>
      <c r="D526" s="749">
        <v>140</v>
      </c>
      <c r="E526" s="705">
        <v>44346.177855000002</v>
      </c>
      <c r="F526" s="753">
        <f t="shared" si="24"/>
        <v>6208464.9000000004</v>
      </c>
      <c r="G526" s="749">
        <v>140</v>
      </c>
      <c r="H526" s="705">
        <v>25563.260089150001</v>
      </c>
      <c r="I526" s="770">
        <f t="shared" si="22"/>
        <v>3578856.4124810002</v>
      </c>
      <c r="J526" s="777">
        <f t="shared" si="23"/>
        <v>2629608.4875190002</v>
      </c>
    </row>
    <row r="527" spans="1:10" ht="15">
      <c r="A527" s="766" t="s">
        <v>752</v>
      </c>
      <c r="B527" s="728" t="s">
        <v>635</v>
      </c>
      <c r="C527" s="738" t="s">
        <v>28</v>
      </c>
      <c r="D527" s="749">
        <v>2</v>
      </c>
      <c r="E527" s="705">
        <v>82111.731100000005</v>
      </c>
      <c r="F527" s="753">
        <f t="shared" si="24"/>
        <v>164223.5</v>
      </c>
      <c r="G527" s="749">
        <v>2</v>
      </c>
      <c r="H527" s="705">
        <v>80308.881099999999</v>
      </c>
      <c r="I527" s="770">
        <f t="shared" si="22"/>
        <v>160617.7622</v>
      </c>
      <c r="J527" s="777">
        <f t="shared" si="23"/>
        <v>3605.7378000000026</v>
      </c>
    </row>
    <row r="528" spans="1:10" ht="15">
      <c r="A528" s="766" t="s">
        <v>2263</v>
      </c>
      <c r="B528" s="728" t="s">
        <v>636</v>
      </c>
      <c r="C528" s="738" t="s">
        <v>28</v>
      </c>
      <c r="D528" s="749">
        <v>4</v>
      </c>
      <c r="E528" s="705">
        <v>33282.824000000001</v>
      </c>
      <c r="F528" s="753">
        <f t="shared" si="24"/>
        <v>133131.29999999999</v>
      </c>
      <c r="G528" s="749">
        <v>4</v>
      </c>
      <c r="H528" s="705">
        <v>19910.442999999999</v>
      </c>
      <c r="I528" s="770">
        <f t="shared" si="22"/>
        <v>79641.771999999997</v>
      </c>
      <c r="J528" s="777">
        <f t="shared" si="23"/>
        <v>53489.527999999991</v>
      </c>
    </row>
    <row r="529" spans="1:10" ht="15">
      <c r="A529" s="751" t="s">
        <v>2264</v>
      </c>
      <c r="B529" s="707" t="s">
        <v>703</v>
      </c>
      <c r="C529" s="739"/>
      <c r="D529" s="751"/>
      <c r="E529" s="649"/>
      <c r="F529" s="752"/>
      <c r="G529" s="751"/>
      <c r="H529" s="649"/>
      <c r="I529" s="769">
        <f t="shared" ref="I529:I592" si="25">+H529*G529</f>
        <v>0</v>
      </c>
      <c r="J529" s="776">
        <f t="shared" ref="J529:J592" si="26">+F529-I529</f>
        <v>0</v>
      </c>
    </row>
    <row r="530" spans="1:10" ht="45">
      <c r="A530" s="766" t="s">
        <v>2265</v>
      </c>
      <c r="B530" s="728" t="s">
        <v>705</v>
      </c>
      <c r="C530" s="738" t="s">
        <v>45</v>
      </c>
      <c r="D530" s="749">
        <v>350</v>
      </c>
      <c r="E530" s="705">
        <v>7139.16</v>
      </c>
      <c r="F530" s="753">
        <f t="shared" si="24"/>
        <v>2498706</v>
      </c>
      <c r="G530" s="749">
        <v>350</v>
      </c>
      <c r="H530" s="705">
        <v>5784.2294999999995</v>
      </c>
      <c r="I530" s="770">
        <f t="shared" si="25"/>
        <v>2024480.3249999997</v>
      </c>
      <c r="J530" s="777">
        <f t="shared" si="26"/>
        <v>474225.67500000028</v>
      </c>
    </row>
    <row r="531" spans="1:10" ht="60">
      <c r="A531" s="766" t="s">
        <v>2266</v>
      </c>
      <c r="B531" s="728" t="s">
        <v>709</v>
      </c>
      <c r="C531" s="738" t="s">
        <v>28</v>
      </c>
      <c r="D531" s="749">
        <v>8</v>
      </c>
      <c r="E531" s="705">
        <v>105596.1134</v>
      </c>
      <c r="F531" s="753">
        <f t="shared" si="24"/>
        <v>844768.9</v>
      </c>
      <c r="G531" s="749">
        <v>8</v>
      </c>
      <c r="H531" s="705">
        <v>87519.931299999997</v>
      </c>
      <c r="I531" s="770">
        <f t="shared" si="25"/>
        <v>700159.45039999997</v>
      </c>
      <c r="J531" s="777">
        <f t="shared" si="26"/>
        <v>144609.44960000005</v>
      </c>
    </row>
    <row r="532" spans="1:10" ht="30">
      <c r="A532" s="766" t="s">
        <v>2267</v>
      </c>
      <c r="B532" s="728" t="s">
        <v>714</v>
      </c>
      <c r="C532" s="738" t="s">
        <v>28</v>
      </c>
      <c r="D532" s="749">
        <v>1</v>
      </c>
      <c r="E532" s="705">
        <v>1619190</v>
      </c>
      <c r="F532" s="753">
        <f t="shared" si="24"/>
        <v>1619190</v>
      </c>
      <c r="G532" s="749">
        <v>1</v>
      </c>
      <c r="H532" s="705">
        <v>1313569.5</v>
      </c>
      <c r="I532" s="770">
        <f t="shared" si="25"/>
        <v>1313569.5</v>
      </c>
      <c r="J532" s="777">
        <f t="shared" si="26"/>
        <v>305620.5</v>
      </c>
    </row>
    <row r="533" spans="1:10" ht="30">
      <c r="A533" s="766" t="s">
        <v>2268</v>
      </c>
      <c r="B533" s="728" t="s">
        <v>721</v>
      </c>
      <c r="C533" s="738" t="s">
        <v>28</v>
      </c>
      <c r="D533" s="749">
        <v>1</v>
      </c>
      <c r="E533" s="705">
        <v>555957.30000000005</v>
      </c>
      <c r="F533" s="753">
        <f t="shared" si="24"/>
        <v>555957.30000000005</v>
      </c>
      <c r="G533" s="749">
        <v>1</v>
      </c>
      <c r="H533" s="705">
        <v>1657255.5</v>
      </c>
      <c r="I533" s="770">
        <f t="shared" si="25"/>
        <v>1657255.5</v>
      </c>
      <c r="J533" s="777">
        <f t="shared" si="26"/>
        <v>-1101298.2</v>
      </c>
    </row>
    <row r="534" spans="1:10" ht="30">
      <c r="A534" s="766" t="s">
        <v>2269</v>
      </c>
      <c r="B534" s="728" t="s">
        <v>724</v>
      </c>
      <c r="C534" s="738" t="s">
        <v>28</v>
      </c>
      <c r="D534" s="749">
        <v>8</v>
      </c>
      <c r="E534" s="705">
        <v>56303.682399999998</v>
      </c>
      <c r="F534" s="753">
        <f t="shared" si="24"/>
        <v>450429.5</v>
      </c>
      <c r="G534" s="749">
        <v>8</v>
      </c>
      <c r="H534" s="705">
        <v>36508.449999999997</v>
      </c>
      <c r="I534" s="770">
        <f t="shared" si="25"/>
        <v>292067.59999999998</v>
      </c>
      <c r="J534" s="777">
        <f t="shared" si="26"/>
        <v>158361.90000000002</v>
      </c>
    </row>
    <row r="535" spans="1:10" ht="15">
      <c r="A535" s="751" t="s">
        <v>2270</v>
      </c>
      <c r="B535" s="707" t="s">
        <v>2271</v>
      </c>
      <c r="C535" s="739"/>
      <c r="D535" s="751"/>
      <c r="E535" s="649"/>
      <c r="F535" s="752"/>
      <c r="G535" s="751"/>
      <c r="H535" s="649"/>
      <c r="I535" s="769">
        <f t="shared" si="25"/>
        <v>0</v>
      </c>
      <c r="J535" s="776">
        <f t="shared" si="26"/>
        <v>0</v>
      </c>
    </row>
    <row r="536" spans="1:10" ht="15">
      <c r="A536" s="751"/>
      <c r="B536" s="707" t="s">
        <v>2232</v>
      </c>
      <c r="C536" s="739"/>
      <c r="D536" s="751"/>
      <c r="E536" s="649"/>
      <c r="F536" s="752"/>
      <c r="G536" s="751"/>
      <c r="H536" s="649"/>
      <c r="I536" s="769">
        <f t="shared" si="25"/>
        <v>0</v>
      </c>
      <c r="J536" s="776">
        <f t="shared" si="26"/>
        <v>0</v>
      </c>
    </row>
    <row r="537" spans="1:10" ht="15">
      <c r="A537" s="751" t="s">
        <v>2272</v>
      </c>
      <c r="B537" s="707" t="s">
        <v>2195</v>
      </c>
      <c r="C537" s="739"/>
      <c r="D537" s="751"/>
      <c r="E537" s="649"/>
      <c r="F537" s="752"/>
      <c r="G537" s="751"/>
      <c r="H537" s="649"/>
      <c r="I537" s="769">
        <f t="shared" si="25"/>
        <v>0</v>
      </c>
      <c r="J537" s="776">
        <f t="shared" si="26"/>
        <v>0</v>
      </c>
    </row>
    <row r="538" spans="1:10" ht="75">
      <c r="A538" s="796" t="s">
        <v>2273</v>
      </c>
      <c r="B538" s="729" t="s">
        <v>597</v>
      </c>
      <c r="C538" s="748" t="s">
        <v>28</v>
      </c>
      <c r="D538" s="765">
        <v>1</v>
      </c>
      <c r="E538" s="705">
        <v>462751.01</v>
      </c>
      <c r="F538" s="753">
        <f t="shared" ref="F538:F597" si="27">ROUND(E538*D538,1)</f>
        <v>462751</v>
      </c>
      <c r="G538" s="765">
        <v>1</v>
      </c>
      <c r="H538" s="705">
        <v>413673.77281999995</v>
      </c>
      <c r="I538" s="770">
        <f t="shared" si="25"/>
        <v>413673.77281999995</v>
      </c>
      <c r="J538" s="777">
        <f t="shared" si="26"/>
        <v>49077.227180000045</v>
      </c>
    </row>
    <row r="539" spans="1:10" ht="75">
      <c r="A539" s="766" t="s">
        <v>2274</v>
      </c>
      <c r="B539" s="728" t="s">
        <v>2179</v>
      </c>
      <c r="C539" s="738" t="s">
        <v>28</v>
      </c>
      <c r="D539" s="749">
        <v>1</v>
      </c>
      <c r="E539" s="705">
        <v>462751.01</v>
      </c>
      <c r="F539" s="753">
        <f t="shared" si="27"/>
        <v>462751</v>
      </c>
      <c r="G539" s="749">
        <v>1</v>
      </c>
      <c r="H539" s="705">
        <v>413673.77281999995</v>
      </c>
      <c r="I539" s="770">
        <f t="shared" si="25"/>
        <v>413673.77281999995</v>
      </c>
      <c r="J539" s="777">
        <f t="shared" si="26"/>
        <v>49077.227180000045</v>
      </c>
    </row>
    <row r="540" spans="1:10" ht="15">
      <c r="A540" s="766" t="s">
        <v>2275</v>
      </c>
      <c r="B540" s="728" t="s">
        <v>2181</v>
      </c>
      <c r="C540" s="738" t="s">
        <v>28</v>
      </c>
      <c r="D540" s="749">
        <v>2</v>
      </c>
      <c r="E540" s="705">
        <v>302000.25800000003</v>
      </c>
      <c r="F540" s="753">
        <f t="shared" si="27"/>
        <v>604000.5</v>
      </c>
      <c r="G540" s="749">
        <v>2</v>
      </c>
      <c r="H540" s="705">
        <v>242351.56036</v>
      </c>
      <c r="I540" s="770">
        <f t="shared" si="25"/>
        <v>484703.12072000001</v>
      </c>
      <c r="J540" s="777">
        <f t="shared" si="26"/>
        <v>119297.37927999999</v>
      </c>
    </row>
    <row r="541" spans="1:10" ht="15">
      <c r="A541" s="766" t="s">
        <v>2276</v>
      </c>
      <c r="B541" s="728" t="s">
        <v>605</v>
      </c>
      <c r="C541" s="738" t="s">
        <v>28</v>
      </c>
      <c r="D541" s="749">
        <v>20</v>
      </c>
      <c r="E541" s="705">
        <v>16954.350000000002</v>
      </c>
      <c r="F541" s="753">
        <f t="shared" si="27"/>
        <v>339087</v>
      </c>
      <c r="G541" s="749">
        <v>20</v>
      </c>
      <c r="H541" s="705">
        <v>12398.744399999998</v>
      </c>
      <c r="I541" s="770">
        <f t="shared" si="25"/>
        <v>247974.88799999995</v>
      </c>
      <c r="J541" s="777">
        <f t="shared" si="26"/>
        <v>91112.112000000052</v>
      </c>
    </row>
    <row r="542" spans="1:10" ht="15">
      <c r="A542" s="751" t="s">
        <v>2277</v>
      </c>
      <c r="B542" s="707" t="s">
        <v>606</v>
      </c>
      <c r="C542" s="739"/>
      <c r="D542" s="751"/>
      <c r="E542" s="649"/>
      <c r="F542" s="752"/>
      <c r="G542" s="751"/>
      <c r="H542" s="649"/>
      <c r="I542" s="769">
        <f t="shared" si="25"/>
        <v>0</v>
      </c>
      <c r="J542" s="776">
        <f t="shared" si="26"/>
        <v>0</v>
      </c>
    </row>
    <row r="543" spans="1:10" ht="60">
      <c r="A543" s="766" t="s">
        <v>2278</v>
      </c>
      <c r="B543" s="728" t="s">
        <v>608</v>
      </c>
      <c r="C543" s="738" t="s">
        <v>45</v>
      </c>
      <c r="D543" s="749">
        <v>550</v>
      </c>
      <c r="E543" s="705">
        <v>9808.8080999999984</v>
      </c>
      <c r="F543" s="753">
        <f t="shared" si="27"/>
        <v>5394844.5</v>
      </c>
      <c r="G543" s="749">
        <v>550</v>
      </c>
      <c r="H543" s="705">
        <v>8852.5407599999999</v>
      </c>
      <c r="I543" s="770">
        <f t="shared" si="25"/>
        <v>4868897.4179999996</v>
      </c>
      <c r="J543" s="777">
        <f t="shared" si="26"/>
        <v>525947.0820000004</v>
      </c>
    </row>
    <row r="544" spans="1:10" ht="15">
      <c r="A544" s="751" t="s">
        <v>2279</v>
      </c>
      <c r="B544" s="707" t="s">
        <v>609</v>
      </c>
      <c r="C544" s="739"/>
      <c r="D544" s="751"/>
      <c r="E544" s="649"/>
      <c r="F544" s="752"/>
      <c r="G544" s="751"/>
      <c r="H544" s="649"/>
      <c r="I544" s="769">
        <f t="shared" si="25"/>
        <v>0</v>
      </c>
      <c r="J544" s="776">
        <f t="shared" si="26"/>
        <v>0</v>
      </c>
    </row>
    <row r="545" spans="1:10" ht="15">
      <c r="A545" s="766" t="s">
        <v>2280</v>
      </c>
      <c r="B545" s="728" t="s">
        <v>2187</v>
      </c>
      <c r="C545" s="738" t="s">
        <v>45</v>
      </c>
      <c r="D545" s="749">
        <v>230.8</v>
      </c>
      <c r="E545" s="705">
        <v>74432.057087640002</v>
      </c>
      <c r="F545" s="753">
        <f t="shared" si="27"/>
        <v>17178918.800000001</v>
      </c>
      <c r="G545" s="749">
        <v>230.8</v>
      </c>
      <c r="H545" s="705">
        <v>53603.756095639998</v>
      </c>
      <c r="I545" s="770">
        <f t="shared" si="25"/>
        <v>12371746.906873712</v>
      </c>
      <c r="J545" s="777">
        <f t="shared" si="26"/>
        <v>4807171.8931262884</v>
      </c>
    </row>
    <row r="546" spans="1:10" ht="15">
      <c r="A546" s="766" t="s">
        <v>2281</v>
      </c>
      <c r="B546" s="728" t="s">
        <v>633</v>
      </c>
      <c r="C546" s="738" t="s">
        <v>45</v>
      </c>
      <c r="D546" s="749">
        <v>30</v>
      </c>
      <c r="E546" s="705">
        <v>57626.44720000001</v>
      </c>
      <c r="F546" s="753">
        <f t="shared" si="27"/>
        <v>1728793.4</v>
      </c>
      <c r="G546" s="749">
        <v>30</v>
      </c>
      <c r="H546" s="705">
        <v>56169.887200000005</v>
      </c>
      <c r="I546" s="770">
        <f t="shared" si="25"/>
        <v>1685096.6160000002</v>
      </c>
      <c r="J546" s="777">
        <f t="shared" si="26"/>
        <v>43696.783999999752</v>
      </c>
    </row>
    <row r="547" spans="1:10" ht="15">
      <c r="A547" s="766" t="s">
        <v>2282</v>
      </c>
      <c r="B547" s="728" t="s">
        <v>635</v>
      </c>
      <c r="C547" s="738" t="s">
        <v>28</v>
      </c>
      <c r="D547" s="749">
        <v>18</v>
      </c>
      <c r="E547" s="705">
        <v>82111.731100000005</v>
      </c>
      <c r="F547" s="753">
        <f t="shared" si="27"/>
        <v>1478011.2</v>
      </c>
      <c r="G547" s="749">
        <v>18</v>
      </c>
      <c r="H547" s="705">
        <v>80308.881099999999</v>
      </c>
      <c r="I547" s="770">
        <f t="shared" si="25"/>
        <v>1445559.8598</v>
      </c>
      <c r="J547" s="777">
        <f t="shared" si="26"/>
        <v>32451.340199999977</v>
      </c>
    </row>
    <row r="548" spans="1:10" ht="15">
      <c r="A548" s="751" t="s">
        <v>2283</v>
      </c>
      <c r="B548" s="707" t="s">
        <v>637</v>
      </c>
      <c r="C548" s="739"/>
      <c r="D548" s="751"/>
      <c r="E548" s="649"/>
      <c r="F548" s="752"/>
      <c r="G548" s="751"/>
      <c r="H548" s="649"/>
      <c r="I548" s="769">
        <f t="shared" si="25"/>
        <v>0</v>
      </c>
      <c r="J548" s="776">
        <f t="shared" si="26"/>
        <v>0</v>
      </c>
    </row>
    <row r="549" spans="1:10" ht="105">
      <c r="A549" s="766" t="s">
        <v>2284</v>
      </c>
      <c r="B549" s="728" t="s">
        <v>769</v>
      </c>
      <c r="C549" s="738" t="s">
        <v>28</v>
      </c>
      <c r="D549" s="749">
        <v>14</v>
      </c>
      <c r="E549" s="705">
        <v>179658.15558640001</v>
      </c>
      <c r="F549" s="753">
        <f t="shared" si="27"/>
        <v>2515214.2000000002</v>
      </c>
      <c r="G549" s="749">
        <v>14</v>
      </c>
      <c r="H549" s="705">
        <v>126898.40481639998</v>
      </c>
      <c r="I549" s="770">
        <f t="shared" si="25"/>
        <v>1776577.6674295997</v>
      </c>
      <c r="J549" s="777">
        <f t="shared" si="26"/>
        <v>738636.53257040051</v>
      </c>
    </row>
    <row r="550" spans="1:10" ht="105">
      <c r="A550" s="766" t="s">
        <v>2285</v>
      </c>
      <c r="B550" s="728" t="s">
        <v>771</v>
      </c>
      <c r="C550" s="738" t="s">
        <v>28</v>
      </c>
      <c r="D550" s="749">
        <v>82</v>
      </c>
      <c r="E550" s="705">
        <v>179658.15558640001</v>
      </c>
      <c r="F550" s="753">
        <f t="shared" si="27"/>
        <v>14731968.800000001</v>
      </c>
      <c r="G550" s="749">
        <v>82</v>
      </c>
      <c r="H550" s="705">
        <v>126898.40481639998</v>
      </c>
      <c r="I550" s="770">
        <f t="shared" si="25"/>
        <v>10405669.194944799</v>
      </c>
      <c r="J550" s="777">
        <f t="shared" si="26"/>
        <v>4326299.6050552018</v>
      </c>
    </row>
    <row r="551" spans="1:10" ht="120">
      <c r="A551" s="766" t="s">
        <v>2286</v>
      </c>
      <c r="B551" s="728" t="s">
        <v>773</v>
      </c>
      <c r="C551" s="738" t="s">
        <v>28</v>
      </c>
      <c r="D551" s="749">
        <v>22</v>
      </c>
      <c r="E551" s="705">
        <v>204908.15558640001</v>
      </c>
      <c r="F551" s="753">
        <f t="shared" si="27"/>
        <v>4507979.4000000004</v>
      </c>
      <c r="G551" s="749">
        <v>22</v>
      </c>
      <c r="H551" s="705">
        <v>145180.50571639999</v>
      </c>
      <c r="I551" s="770">
        <f t="shared" si="25"/>
        <v>3193971.1257607997</v>
      </c>
      <c r="J551" s="777">
        <f t="shared" si="26"/>
        <v>1314008.2742392006</v>
      </c>
    </row>
    <row r="552" spans="1:10" ht="120">
      <c r="A552" s="766" t="s">
        <v>2287</v>
      </c>
      <c r="B552" s="728" t="s">
        <v>775</v>
      </c>
      <c r="C552" s="738" t="s">
        <v>28</v>
      </c>
      <c r="D552" s="749">
        <v>54</v>
      </c>
      <c r="E552" s="705">
        <v>204908.15558640001</v>
      </c>
      <c r="F552" s="753">
        <f t="shared" si="27"/>
        <v>11065040.4</v>
      </c>
      <c r="G552" s="749">
        <v>54</v>
      </c>
      <c r="H552" s="705">
        <v>145180.50571639999</v>
      </c>
      <c r="I552" s="770">
        <f t="shared" si="25"/>
        <v>7839747.3086855989</v>
      </c>
      <c r="J552" s="777">
        <f t="shared" si="26"/>
        <v>3225293.0913144015</v>
      </c>
    </row>
    <row r="553" spans="1:10" ht="90">
      <c r="A553" s="766" t="s">
        <v>2288</v>
      </c>
      <c r="B553" s="728" t="s">
        <v>653</v>
      </c>
      <c r="C553" s="738" t="s">
        <v>28</v>
      </c>
      <c r="D553" s="749">
        <v>18</v>
      </c>
      <c r="E553" s="705">
        <v>84727.903732799998</v>
      </c>
      <c r="F553" s="753">
        <f t="shared" si="27"/>
        <v>1525102.3</v>
      </c>
      <c r="G553" s="749">
        <v>18</v>
      </c>
      <c r="H553" s="705">
        <v>75752.342332799992</v>
      </c>
      <c r="I553" s="770">
        <f t="shared" si="25"/>
        <v>1363542.1619903999</v>
      </c>
      <c r="J553" s="777">
        <f t="shared" si="26"/>
        <v>161560.13800960011</v>
      </c>
    </row>
    <row r="554" spans="1:10" ht="15">
      <c r="A554" s="751" t="s">
        <v>2289</v>
      </c>
      <c r="B554" s="707" t="s">
        <v>656</v>
      </c>
      <c r="C554" s="739"/>
      <c r="D554" s="751"/>
      <c r="E554" s="649"/>
      <c r="F554" s="752"/>
      <c r="G554" s="751"/>
      <c r="H554" s="649"/>
      <c r="I554" s="769">
        <f t="shared" si="25"/>
        <v>0</v>
      </c>
      <c r="J554" s="776">
        <f t="shared" si="26"/>
        <v>0</v>
      </c>
    </row>
    <row r="555" spans="1:10" ht="15">
      <c r="A555" s="751" t="s">
        <v>2290</v>
      </c>
      <c r="B555" s="707" t="s">
        <v>2195</v>
      </c>
      <c r="C555" s="739"/>
      <c r="D555" s="751"/>
      <c r="E555" s="649"/>
      <c r="F555" s="752"/>
      <c r="G555" s="751"/>
      <c r="H555" s="649"/>
      <c r="I555" s="769">
        <f t="shared" si="25"/>
        <v>0</v>
      </c>
      <c r="J555" s="776">
        <f t="shared" si="26"/>
        <v>0</v>
      </c>
    </row>
    <row r="556" spans="1:10" ht="75">
      <c r="A556" s="766" t="s">
        <v>2291</v>
      </c>
      <c r="B556" s="714" t="s">
        <v>597</v>
      </c>
      <c r="C556" s="738" t="s">
        <v>28</v>
      </c>
      <c r="D556" s="749">
        <v>1</v>
      </c>
      <c r="E556" s="705">
        <v>462751.01</v>
      </c>
      <c r="F556" s="753">
        <f t="shared" si="27"/>
        <v>462751</v>
      </c>
      <c r="G556" s="749">
        <v>1</v>
      </c>
      <c r="H556" s="705">
        <v>413673.77281999995</v>
      </c>
      <c r="I556" s="770">
        <f t="shared" si="25"/>
        <v>413673.77281999995</v>
      </c>
      <c r="J556" s="777">
        <f t="shared" si="26"/>
        <v>49077.227180000045</v>
      </c>
    </row>
    <row r="557" spans="1:10" ht="15">
      <c r="A557" s="766" t="s">
        <v>2292</v>
      </c>
      <c r="B557" s="714" t="s">
        <v>2293</v>
      </c>
      <c r="C557" s="738" t="s">
        <v>28</v>
      </c>
      <c r="D557" s="749">
        <v>1</v>
      </c>
      <c r="E557" s="705">
        <v>284701.88963999995</v>
      </c>
      <c r="F557" s="753">
        <f t="shared" si="27"/>
        <v>284701.90000000002</v>
      </c>
      <c r="G557" s="749">
        <v>1</v>
      </c>
      <c r="H557" s="705">
        <v>227353.40964</v>
      </c>
      <c r="I557" s="770">
        <f t="shared" si="25"/>
        <v>227353.40964</v>
      </c>
      <c r="J557" s="777">
        <f t="shared" si="26"/>
        <v>57348.490360000025</v>
      </c>
    </row>
    <row r="558" spans="1:10" ht="15">
      <c r="A558" s="766" t="s">
        <v>2294</v>
      </c>
      <c r="B558" s="714" t="s">
        <v>605</v>
      </c>
      <c r="C558" s="738" t="s">
        <v>28</v>
      </c>
      <c r="D558" s="749">
        <v>11</v>
      </c>
      <c r="E558" s="705">
        <v>16954.350000000002</v>
      </c>
      <c r="F558" s="753">
        <f t="shared" si="27"/>
        <v>186497.9</v>
      </c>
      <c r="G558" s="749">
        <v>11</v>
      </c>
      <c r="H558" s="705">
        <v>12398.744399999998</v>
      </c>
      <c r="I558" s="770">
        <f t="shared" si="25"/>
        <v>136386.18839999998</v>
      </c>
      <c r="J558" s="777">
        <f t="shared" si="26"/>
        <v>50111.71160000001</v>
      </c>
    </row>
    <row r="559" spans="1:10" ht="15">
      <c r="A559" s="751" t="s">
        <v>2295</v>
      </c>
      <c r="B559" s="707" t="s">
        <v>606</v>
      </c>
      <c r="C559" s="739"/>
      <c r="D559" s="751"/>
      <c r="E559" s="649"/>
      <c r="F559" s="752"/>
      <c r="G559" s="751"/>
      <c r="H559" s="649"/>
      <c r="I559" s="769">
        <f t="shared" si="25"/>
        <v>0</v>
      </c>
      <c r="J559" s="776">
        <f t="shared" si="26"/>
        <v>0</v>
      </c>
    </row>
    <row r="560" spans="1:10" ht="60">
      <c r="A560" s="766" t="s">
        <v>2296</v>
      </c>
      <c r="B560" s="730" t="s">
        <v>608</v>
      </c>
      <c r="C560" s="738" t="s">
        <v>45</v>
      </c>
      <c r="D560" s="749">
        <v>180</v>
      </c>
      <c r="E560" s="705">
        <v>9808.8080999999984</v>
      </c>
      <c r="F560" s="753">
        <f t="shared" si="27"/>
        <v>1765585.5</v>
      </c>
      <c r="G560" s="749">
        <v>180</v>
      </c>
      <c r="H560" s="705">
        <v>8852.5407599999999</v>
      </c>
      <c r="I560" s="770">
        <f t="shared" si="25"/>
        <v>1593457.3367999999</v>
      </c>
      <c r="J560" s="777">
        <f t="shared" si="26"/>
        <v>172128.16320000007</v>
      </c>
    </row>
    <row r="561" spans="1:10" ht="15">
      <c r="A561" s="751" t="s">
        <v>2297</v>
      </c>
      <c r="B561" s="707" t="s">
        <v>609</v>
      </c>
      <c r="C561" s="739"/>
      <c r="D561" s="751"/>
      <c r="E561" s="649"/>
      <c r="F561" s="752"/>
      <c r="G561" s="751"/>
      <c r="H561" s="649"/>
      <c r="I561" s="769">
        <f t="shared" si="25"/>
        <v>0</v>
      </c>
      <c r="J561" s="776">
        <f t="shared" si="26"/>
        <v>0</v>
      </c>
    </row>
    <row r="562" spans="1:10" ht="15">
      <c r="A562" s="766" t="s">
        <v>2298</v>
      </c>
      <c r="B562" s="714" t="s">
        <v>611</v>
      </c>
      <c r="C562" s="738" t="s">
        <v>45</v>
      </c>
      <c r="D562" s="749">
        <v>180</v>
      </c>
      <c r="E562" s="705">
        <v>31405.714753333334</v>
      </c>
      <c r="F562" s="753">
        <f t="shared" si="27"/>
        <v>5653028.7000000002</v>
      </c>
      <c r="G562" s="749">
        <v>180</v>
      </c>
      <c r="H562" s="705">
        <v>19885.772553266663</v>
      </c>
      <c r="I562" s="770">
        <f t="shared" si="25"/>
        <v>3579439.0595879992</v>
      </c>
      <c r="J562" s="777">
        <f t="shared" si="26"/>
        <v>2073589.6404120009</v>
      </c>
    </row>
    <row r="563" spans="1:10" ht="15">
      <c r="A563" s="751" t="s">
        <v>2299</v>
      </c>
      <c r="B563" s="707" t="s">
        <v>665</v>
      </c>
      <c r="C563" s="739"/>
      <c r="D563" s="751"/>
      <c r="E563" s="649"/>
      <c r="F563" s="752"/>
      <c r="G563" s="751"/>
      <c r="H563" s="649"/>
      <c r="I563" s="769">
        <f t="shared" si="25"/>
        <v>0</v>
      </c>
      <c r="J563" s="776">
        <f t="shared" si="26"/>
        <v>0</v>
      </c>
    </row>
    <row r="564" spans="1:10" ht="75">
      <c r="A564" s="766" t="s">
        <v>2300</v>
      </c>
      <c r="B564" s="714" t="s">
        <v>670</v>
      </c>
      <c r="C564" s="738" t="s">
        <v>28</v>
      </c>
      <c r="D564" s="749">
        <v>335</v>
      </c>
      <c r="E564" s="705">
        <v>158144.90180496001</v>
      </c>
      <c r="F564" s="753">
        <f t="shared" si="27"/>
        <v>52978542.100000001</v>
      </c>
      <c r="G564" s="749">
        <v>335</v>
      </c>
      <c r="H564" s="705">
        <v>111580.59510696</v>
      </c>
      <c r="I564" s="770">
        <f t="shared" si="25"/>
        <v>37379499.360831596</v>
      </c>
      <c r="J564" s="777">
        <f t="shared" si="26"/>
        <v>15599042.739168406</v>
      </c>
    </row>
    <row r="565" spans="1:10" ht="105">
      <c r="A565" s="766" t="s">
        <v>2301</v>
      </c>
      <c r="B565" s="714" t="s">
        <v>676</v>
      </c>
      <c r="C565" s="738" t="s">
        <v>28</v>
      </c>
      <c r="D565" s="749">
        <v>3</v>
      </c>
      <c r="E565" s="705">
        <v>70344.470321999994</v>
      </c>
      <c r="F565" s="753">
        <f t="shared" si="27"/>
        <v>211033.4</v>
      </c>
      <c r="G565" s="749">
        <v>3</v>
      </c>
      <c r="H565" s="705">
        <v>67798.630661999996</v>
      </c>
      <c r="I565" s="770">
        <f t="shared" si="25"/>
        <v>203395.891986</v>
      </c>
      <c r="J565" s="777">
        <f t="shared" si="26"/>
        <v>7637.5080139999918</v>
      </c>
    </row>
    <row r="566" spans="1:10" ht="105">
      <c r="A566" s="766" t="s">
        <v>2302</v>
      </c>
      <c r="B566" s="714" t="s">
        <v>678</v>
      </c>
      <c r="C566" s="738" t="s">
        <v>28</v>
      </c>
      <c r="D566" s="749">
        <v>20</v>
      </c>
      <c r="E566" s="705">
        <v>79735.355321999989</v>
      </c>
      <c r="F566" s="753">
        <f t="shared" si="27"/>
        <v>1594707.1</v>
      </c>
      <c r="G566" s="749">
        <v>20</v>
      </c>
      <c r="H566" s="705">
        <v>67798.630661999996</v>
      </c>
      <c r="I566" s="770">
        <f t="shared" si="25"/>
        <v>1355972.6132399999</v>
      </c>
      <c r="J566" s="777">
        <f t="shared" si="26"/>
        <v>238734.48676000023</v>
      </c>
    </row>
    <row r="567" spans="1:10" ht="90">
      <c r="A567" s="766" t="s">
        <v>2303</v>
      </c>
      <c r="B567" s="714" t="s">
        <v>681</v>
      </c>
      <c r="C567" s="738" t="s">
        <v>28</v>
      </c>
      <c r="D567" s="749">
        <v>4</v>
      </c>
      <c r="E567" s="705">
        <v>73284.617322000006</v>
      </c>
      <c r="F567" s="753">
        <f t="shared" si="27"/>
        <v>293138.5</v>
      </c>
      <c r="G567" s="749">
        <v>4</v>
      </c>
      <c r="H567" s="705">
        <v>77878.777662000008</v>
      </c>
      <c r="I567" s="770">
        <f t="shared" si="25"/>
        <v>311515.11064800003</v>
      </c>
      <c r="J567" s="777">
        <f t="shared" si="26"/>
        <v>-18376.610648000031</v>
      </c>
    </row>
    <row r="568" spans="1:10" ht="90">
      <c r="A568" s="766" t="s">
        <v>2304</v>
      </c>
      <c r="B568" s="714" t="s">
        <v>686</v>
      </c>
      <c r="C568" s="738" t="s">
        <v>28</v>
      </c>
      <c r="D568" s="749">
        <v>1</v>
      </c>
      <c r="E568" s="705">
        <v>86724.617322000006</v>
      </c>
      <c r="F568" s="753">
        <f t="shared" si="27"/>
        <v>86724.6</v>
      </c>
      <c r="G568" s="749">
        <v>1</v>
      </c>
      <c r="H568" s="705">
        <v>84178.777662000008</v>
      </c>
      <c r="I568" s="770">
        <f t="shared" si="25"/>
        <v>84178.777662000008</v>
      </c>
      <c r="J568" s="777">
        <f t="shared" si="26"/>
        <v>2545.8223379999981</v>
      </c>
    </row>
    <row r="569" spans="1:10" ht="90">
      <c r="A569" s="766" t="s">
        <v>2305</v>
      </c>
      <c r="B569" s="714" t="s">
        <v>688</v>
      </c>
      <c r="C569" s="738" t="s">
        <v>28</v>
      </c>
      <c r="D569" s="749">
        <v>15</v>
      </c>
      <c r="E569" s="705">
        <v>86724.617322000006</v>
      </c>
      <c r="F569" s="753">
        <f t="shared" si="27"/>
        <v>1300869.3</v>
      </c>
      <c r="G569" s="749">
        <v>15</v>
      </c>
      <c r="H569" s="705">
        <v>84178.777661999993</v>
      </c>
      <c r="I569" s="770">
        <f t="shared" si="25"/>
        <v>1262681.66493</v>
      </c>
      <c r="J569" s="777">
        <f t="shared" si="26"/>
        <v>38187.635070000077</v>
      </c>
    </row>
    <row r="570" spans="1:10" ht="15">
      <c r="A570" s="751" t="s">
        <v>2306</v>
      </c>
      <c r="B570" s="707" t="s">
        <v>689</v>
      </c>
      <c r="C570" s="739"/>
      <c r="D570" s="751"/>
      <c r="E570" s="649"/>
      <c r="F570" s="752"/>
      <c r="G570" s="751"/>
      <c r="H570" s="649"/>
      <c r="I570" s="769">
        <f t="shared" si="25"/>
        <v>0</v>
      </c>
      <c r="J570" s="776">
        <f t="shared" si="26"/>
        <v>0</v>
      </c>
    </row>
    <row r="571" spans="1:10" ht="30">
      <c r="A571" s="766" t="s">
        <v>2307</v>
      </c>
      <c r="B571" s="714" t="s">
        <v>691</v>
      </c>
      <c r="C571" s="738" t="s">
        <v>28</v>
      </c>
      <c r="D571" s="749">
        <v>112</v>
      </c>
      <c r="E571" s="705">
        <v>76983.480199999991</v>
      </c>
      <c r="F571" s="753">
        <f t="shared" si="27"/>
        <v>8622149.8000000007</v>
      </c>
      <c r="G571" s="749">
        <v>112</v>
      </c>
      <c r="H571" s="705">
        <v>64314.716899999992</v>
      </c>
      <c r="I571" s="770">
        <f t="shared" si="25"/>
        <v>7203248.292799999</v>
      </c>
      <c r="J571" s="777">
        <f t="shared" si="26"/>
        <v>1418901.5072000017</v>
      </c>
    </row>
    <row r="572" spans="1:10" ht="30">
      <c r="A572" s="766" t="s">
        <v>2308</v>
      </c>
      <c r="B572" s="714" t="s">
        <v>696</v>
      </c>
      <c r="C572" s="738" t="s">
        <v>28</v>
      </c>
      <c r="D572" s="749">
        <v>194</v>
      </c>
      <c r="E572" s="705">
        <v>101136.1404</v>
      </c>
      <c r="F572" s="753">
        <f t="shared" si="27"/>
        <v>19620411.199999999</v>
      </c>
      <c r="G572" s="749">
        <v>194</v>
      </c>
      <c r="H572" s="705">
        <v>52732.92779999999</v>
      </c>
      <c r="I572" s="770">
        <f t="shared" si="25"/>
        <v>10230187.993199999</v>
      </c>
      <c r="J572" s="777">
        <f t="shared" si="26"/>
        <v>9390223.2068000007</v>
      </c>
    </row>
    <row r="573" spans="1:10" ht="30">
      <c r="A573" s="766" t="s">
        <v>2309</v>
      </c>
      <c r="B573" s="714" t="s">
        <v>2215</v>
      </c>
      <c r="C573" s="738" t="s">
        <v>28</v>
      </c>
      <c r="D573" s="749">
        <v>19</v>
      </c>
      <c r="E573" s="705">
        <v>101136.1404</v>
      </c>
      <c r="F573" s="753">
        <f t="shared" si="27"/>
        <v>1921586.7</v>
      </c>
      <c r="G573" s="749">
        <v>19</v>
      </c>
      <c r="H573" s="705">
        <v>52732.92779999999</v>
      </c>
      <c r="I573" s="770">
        <f t="shared" si="25"/>
        <v>1001925.6281999998</v>
      </c>
      <c r="J573" s="777">
        <f t="shared" si="26"/>
        <v>919661.07180000015</v>
      </c>
    </row>
    <row r="574" spans="1:10" ht="15">
      <c r="A574" s="751" t="s">
        <v>2310</v>
      </c>
      <c r="B574" s="707" t="s">
        <v>2217</v>
      </c>
      <c r="C574" s="739"/>
      <c r="D574" s="751"/>
      <c r="E574" s="649"/>
      <c r="F574" s="752"/>
      <c r="G574" s="751"/>
      <c r="H574" s="649"/>
      <c r="I574" s="769">
        <f t="shared" si="25"/>
        <v>0</v>
      </c>
      <c r="J574" s="776">
        <f t="shared" si="26"/>
        <v>0</v>
      </c>
    </row>
    <row r="575" spans="1:10" ht="15">
      <c r="A575" s="751"/>
      <c r="B575" s="707" t="s">
        <v>609</v>
      </c>
      <c r="C575" s="739"/>
      <c r="D575" s="751"/>
      <c r="E575" s="649"/>
      <c r="F575" s="752"/>
      <c r="G575" s="751"/>
      <c r="H575" s="649"/>
      <c r="I575" s="769">
        <f t="shared" si="25"/>
        <v>0</v>
      </c>
      <c r="J575" s="776">
        <f t="shared" si="26"/>
        <v>0</v>
      </c>
    </row>
    <row r="576" spans="1:10" ht="15">
      <c r="A576" s="766" t="s">
        <v>2311</v>
      </c>
      <c r="B576" s="714" t="s">
        <v>2185</v>
      </c>
      <c r="C576" s="738" t="s">
        <v>45</v>
      </c>
      <c r="D576" s="749">
        <v>494.9</v>
      </c>
      <c r="E576" s="705">
        <v>44346.177855000002</v>
      </c>
      <c r="F576" s="753">
        <f t="shared" si="27"/>
        <v>21946923.399999999</v>
      </c>
      <c r="G576" s="749">
        <v>494.9</v>
      </c>
      <c r="H576" s="705">
        <v>25563.260089150001</v>
      </c>
      <c r="I576" s="770">
        <f t="shared" si="25"/>
        <v>12651257.418120334</v>
      </c>
      <c r="J576" s="777">
        <f t="shared" si="26"/>
        <v>9295665.9818796646</v>
      </c>
    </row>
    <row r="577" spans="1:10" ht="15">
      <c r="A577" s="766" t="s">
        <v>2312</v>
      </c>
      <c r="B577" s="728" t="s">
        <v>635</v>
      </c>
      <c r="C577" s="738" t="s">
        <v>28</v>
      </c>
      <c r="D577" s="749">
        <v>71</v>
      </c>
      <c r="E577" s="705">
        <v>82111.731100000005</v>
      </c>
      <c r="F577" s="753">
        <f t="shared" si="27"/>
        <v>5829932.9000000004</v>
      </c>
      <c r="G577" s="749">
        <v>71</v>
      </c>
      <c r="H577" s="705">
        <v>80308.881099999999</v>
      </c>
      <c r="I577" s="770">
        <f t="shared" si="25"/>
        <v>5701930.5581</v>
      </c>
      <c r="J577" s="777">
        <f t="shared" si="26"/>
        <v>128002.34190000035</v>
      </c>
    </row>
    <row r="578" spans="1:10" ht="15">
      <c r="A578" s="751" t="s">
        <v>2313</v>
      </c>
      <c r="B578" s="707" t="s">
        <v>703</v>
      </c>
      <c r="C578" s="739"/>
      <c r="D578" s="751"/>
      <c r="E578" s="649"/>
      <c r="F578" s="752"/>
      <c r="G578" s="751"/>
      <c r="H578" s="649"/>
      <c r="I578" s="769">
        <f t="shared" si="25"/>
        <v>0</v>
      </c>
      <c r="J578" s="776">
        <f t="shared" si="26"/>
        <v>0</v>
      </c>
    </row>
    <row r="579" spans="1:10" ht="45">
      <c r="A579" s="766" t="s">
        <v>2314</v>
      </c>
      <c r="B579" s="714" t="s">
        <v>705</v>
      </c>
      <c r="C579" s="738" t="s">
        <v>45</v>
      </c>
      <c r="D579" s="749">
        <v>1052</v>
      </c>
      <c r="E579" s="705">
        <v>7139.16</v>
      </c>
      <c r="F579" s="753">
        <f t="shared" si="27"/>
        <v>7510396.2999999998</v>
      </c>
      <c r="G579" s="749">
        <v>1052</v>
      </c>
      <c r="H579" s="705">
        <v>5784.2294999999995</v>
      </c>
      <c r="I579" s="770">
        <f t="shared" si="25"/>
        <v>6085009.4339999994</v>
      </c>
      <c r="J579" s="777">
        <f t="shared" si="26"/>
        <v>1425386.8660000004</v>
      </c>
    </row>
    <row r="580" spans="1:10" ht="75">
      <c r="A580" s="766" t="s">
        <v>2315</v>
      </c>
      <c r="B580" s="714" t="s">
        <v>796</v>
      </c>
      <c r="C580" s="738" t="s">
        <v>28</v>
      </c>
      <c r="D580" s="749">
        <v>40</v>
      </c>
      <c r="E580" s="705">
        <v>105596.1134</v>
      </c>
      <c r="F580" s="753">
        <f t="shared" si="27"/>
        <v>4223844.5</v>
      </c>
      <c r="G580" s="749">
        <v>40</v>
      </c>
      <c r="H580" s="705">
        <v>87519.931300000011</v>
      </c>
      <c r="I580" s="770">
        <f t="shared" si="25"/>
        <v>3500797.2520000003</v>
      </c>
      <c r="J580" s="777">
        <f t="shared" si="26"/>
        <v>723047.24799999967</v>
      </c>
    </row>
    <row r="581" spans="1:10" ht="30">
      <c r="A581" s="766" t="s">
        <v>2316</v>
      </c>
      <c r="B581" s="714" t="s">
        <v>714</v>
      </c>
      <c r="C581" s="738" t="s">
        <v>28</v>
      </c>
      <c r="D581" s="749">
        <v>1</v>
      </c>
      <c r="E581" s="705">
        <v>1619190</v>
      </c>
      <c r="F581" s="753">
        <f t="shared" si="27"/>
        <v>1619190</v>
      </c>
      <c r="G581" s="749">
        <v>1</v>
      </c>
      <c r="H581" s="705">
        <v>1313569.5</v>
      </c>
      <c r="I581" s="770">
        <f t="shared" si="25"/>
        <v>1313569.5</v>
      </c>
      <c r="J581" s="777">
        <f t="shared" si="26"/>
        <v>305620.5</v>
      </c>
    </row>
    <row r="582" spans="1:10" ht="30">
      <c r="A582" s="766" t="s">
        <v>2317</v>
      </c>
      <c r="B582" s="714" t="s">
        <v>721</v>
      </c>
      <c r="C582" s="738" t="s">
        <v>28</v>
      </c>
      <c r="D582" s="749">
        <v>2</v>
      </c>
      <c r="E582" s="705">
        <v>555957.30000000005</v>
      </c>
      <c r="F582" s="753">
        <f t="shared" si="27"/>
        <v>1111914.6000000001</v>
      </c>
      <c r="G582" s="749">
        <v>2</v>
      </c>
      <c r="H582" s="705">
        <v>1657255.5</v>
      </c>
      <c r="I582" s="770">
        <f t="shared" si="25"/>
        <v>3314511</v>
      </c>
      <c r="J582" s="777">
        <f t="shared" si="26"/>
        <v>-2202596.4</v>
      </c>
    </row>
    <row r="583" spans="1:10" ht="30">
      <c r="A583" s="766" t="s">
        <v>2318</v>
      </c>
      <c r="B583" s="714" t="s">
        <v>724</v>
      </c>
      <c r="C583" s="738" t="s">
        <v>28</v>
      </c>
      <c r="D583" s="749">
        <v>29</v>
      </c>
      <c r="E583" s="705">
        <v>56303.682399999998</v>
      </c>
      <c r="F583" s="753">
        <f t="shared" si="27"/>
        <v>1632806.8</v>
      </c>
      <c r="G583" s="749">
        <v>29</v>
      </c>
      <c r="H583" s="705">
        <v>36508.449999999997</v>
      </c>
      <c r="I583" s="770">
        <f t="shared" si="25"/>
        <v>1058745.0499999998</v>
      </c>
      <c r="J583" s="777">
        <f t="shared" si="26"/>
        <v>574061.75000000023</v>
      </c>
    </row>
    <row r="584" spans="1:10" ht="15">
      <c r="A584" s="751" t="s">
        <v>2319</v>
      </c>
      <c r="B584" s="707" t="s">
        <v>2320</v>
      </c>
      <c r="C584" s="739"/>
      <c r="D584" s="751"/>
      <c r="E584" s="649"/>
      <c r="F584" s="752"/>
      <c r="G584" s="751"/>
      <c r="H584" s="649"/>
      <c r="I584" s="769">
        <f t="shared" si="25"/>
        <v>0</v>
      </c>
      <c r="J584" s="776">
        <f t="shared" si="26"/>
        <v>0</v>
      </c>
    </row>
    <row r="585" spans="1:10" ht="15">
      <c r="A585" s="751"/>
      <c r="B585" s="707" t="s">
        <v>656</v>
      </c>
      <c r="C585" s="739"/>
      <c r="D585" s="751"/>
      <c r="E585" s="649"/>
      <c r="F585" s="752"/>
      <c r="G585" s="751"/>
      <c r="H585" s="649"/>
      <c r="I585" s="769">
        <f t="shared" si="25"/>
        <v>0</v>
      </c>
      <c r="J585" s="776">
        <f t="shared" si="26"/>
        <v>0</v>
      </c>
    </row>
    <row r="586" spans="1:10" ht="15">
      <c r="A586" s="751" t="s">
        <v>2321</v>
      </c>
      <c r="B586" s="707" t="s">
        <v>606</v>
      </c>
      <c r="C586" s="739"/>
      <c r="D586" s="751"/>
      <c r="E586" s="649"/>
      <c r="F586" s="752"/>
      <c r="G586" s="751"/>
      <c r="H586" s="649"/>
      <c r="I586" s="769">
        <f t="shared" si="25"/>
        <v>0</v>
      </c>
      <c r="J586" s="776">
        <f t="shared" si="26"/>
        <v>0</v>
      </c>
    </row>
    <row r="587" spans="1:10" ht="60">
      <c r="A587" s="766" t="s">
        <v>2322</v>
      </c>
      <c r="B587" s="714" t="s">
        <v>608</v>
      </c>
      <c r="C587" s="738" t="s">
        <v>45</v>
      </c>
      <c r="D587" s="749">
        <v>150</v>
      </c>
      <c r="E587" s="705">
        <v>9808.8080999999984</v>
      </c>
      <c r="F587" s="753">
        <f t="shared" si="27"/>
        <v>1471321.2</v>
      </c>
      <c r="G587" s="749">
        <v>150</v>
      </c>
      <c r="H587" s="705">
        <v>8852.5407599999999</v>
      </c>
      <c r="I587" s="770">
        <f t="shared" si="25"/>
        <v>1327881.1140000001</v>
      </c>
      <c r="J587" s="777">
        <f t="shared" si="26"/>
        <v>143440.08599999989</v>
      </c>
    </row>
    <row r="588" spans="1:10" ht="15">
      <c r="A588" s="751" t="s">
        <v>2323</v>
      </c>
      <c r="B588" s="707" t="s">
        <v>609</v>
      </c>
      <c r="C588" s="739"/>
      <c r="D588" s="751"/>
      <c r="E588" s="649"/>
      <c r="F588" s="752"/>
      <c r="G588" s="751"/>
      <c r="H588" s="649"/>
      <c r="I588" s="769">
        <f t="shared" si="25"/>
        <v>0</v>
      </c>
      <c r="J588" s="776">
        <f t="shared" si="26"/>
        <v>0</v>
      </c>
    </row>
    <row r="589" spans="1:10" ht="15">
      <c r="A589" s="766" t="s">
        <v>2324</v>
      </c>
      <c r="B589" s="714" t="s">
        <v>611</v>
      </c>
      <c r="C589" s="738" t="s">
        <v>45</v>
      </c>
      <c r="D589" s="749">
        <v>90</v>
      </c>
      <c r="E589" s="705">
        <v>31405.714753333334</v>
      </c>
      <c r="F589" s="753">
        <f t="shared" si="27"/>
        <v>2826514.3</v>
      </c>
      <c r="G589" s="749">
        <v>90</v>
      </c>
      <c r="H589" s="705">
        <v>19885.772553266663</v>
      </c>
      <c r="I589" s="770">
        <f t="shared" si="25"/>
        <v>1789719.5297939996</v>
      </c>
      <c r="J589" s="777">
        <f t="shared" si="26"/>
        <v>1036794.7702060002</v>
      </c>
    </row>
    <row r="590" spans="1:10" ht="15">
      <c r="A590" s="751" t="s">
        <v>2325</v>
      </c>
      <c r="B590" s="707" t="s">
        <v>665</v>
      </c>
      <c r="C590" s="739"/>
      <c r="D590" s="751"/>
      <c r="E590" s="649"/>
      <c r="F590" s="752"/>
      <c r="G590" s="751"/>
      <c r="H590" s="649"/>
      <c r="I590" s="769">
        <f t="shared" si="25"/>
        <v>0</v>
      </c>
      <c r="J590" s="776">
        <f t="shared" si="26"/>
        <v>0</v>
      </c>
    </row>
    <row r="591" spans="1:10" ht="60">
      <c r="A591" s="766" t="s">
        <v>2326</v>
      </c>
      <c r="B591" s="714" t="s">
        <v>666</v>
      </c>
      <c r="C591" s="738" t="s">
        <v>28</v>
      </c>
      <c r="D591" s="749">
        <v>52</v>
      </c>
      <c r="E591" s="705">
        <v>158144.90180496001</v>
      </c>
      <c r="F591" s="753">
        <f t="shared" si="27"/>
        <v>8223534.9000000004</v>
      </c>
      <c r="G591" s="749">
        <v>52</v>
      </c>
      <c r="H591" s="705">
        <v>111580.59510695998</v>
      </c>
      <c r="I591" s="770">
        <f t="shared" si="25"/>
        <v>5802190.9455619194</v>
      </c>
      <c r="J591" s="777">
        <f t="shared" si="26"/>
        <v>2421343.954438081</v>
      </c>
    </row>
    <row r="592" spans="1:10" ht="90">
      <c r="A592" s="766" t="s">
        <v>2327</v>
      </c>
      <c r="B592" s="714" t="s">
        <v>672</v>
      </c>
      <c r="C592" s="738" t="s">
        <v>28</v>
      </c>
      <c r="D592" s="749">
        <v>14</v>
      </c>
      <c r="E592" s="705">
        <v>78429.617322000006</v>
      </c>
      <c r="F592" s="753">
        <f t="shared" si="27"/>
        <v>1098014.6000000001</v>
      </c>
      <c r="G592" s="749">
        <v>14</v>
      </c>
      <c r="H592" s="705">
        <v>67798.630661999996</v>
      </c>
      <c r="I592" s="770">
        <f t="shared" si="25"/>
        <v>949180.82926799997</v>
      </c>
      <c r="J592" s="777">
        <f t="shared" si="26"/>
        <v>148833.77073200012</v>
      </c>
    </row>
    <row r="593" spans="1:10" ht="90">
      <c r="A593" s="766" t="s">
        <v>2328</v>
      </c>
      <c r="B593" s="714" t="s">
        <v>805</v>
      </c>
      <c r="C593" s="738" t="s">
        <v>28</v>
      </c>
      <c r="D593" s="749">
        <v>2</v>
      </c>
      <c r="E593" s="705">
        <v>78429.617322000006</v>
      </c>
      <c r="F593" s="753">
        <f t="shared" si="27"/>
        <v>156859.20000000001</v>
      </c>
      <c r="G593" s="749">
        <v>2</v>
      </c>
      <c r="H593" s="705">
        <v>67798.630661999996</v>
      </c>
      <c r="I593" s="770">
        <f t="shared" ref="I593:I652" si="28">+H593*G593</f>
        <v>135597.26132399999</v>
      </c>
      <c r="J593" s="777">
        <f t="shared" ref="J593:J652" si="29">+F593-I593</f>
        <v>21261.93867600002</v>
      </c>
    </row>
    <row r="594" spans="1:10" ht="15">
      <c r="A594" s="751" t="s">
        <v>2329</v>
      </c>
      <c r="B594" s="707" t="s">
        <v>689</v>
      </c>
      <c r="C594" s="739"/>
      <c r="D594" s="751"/>
      <c r="E594" s="649"/>
      <c r="F594" s="752"/>
      <c r="G594" s="751"/>
      <c r="H594" s="649"/>
      <c r="I594" s="769">
        <f t="shared" si="28"/>
        <v>0</v>
      </c>
      <c r="J594" s="776">
        <f t="shared" si="29"/>
        <v>0</v>
      </c>
    </row>
    <row r="595" spans="1:10" ht="30">
      <c r="A595" s="766" t="s">
        <v>2330</v>
      </c>
      <c r="B595" s="728" t="s">
        <v>691</v>
      </c>
      <c r="C595" s="738" t="s">
        <v>28</v>
      </c>
      <c r="D595" s="749">
        <v>1</v>
      </c>
      <c r="E595" s="705">
        <v>76983.480199999991</v>
      </c>
      <c r="F595" s="753">
        <f t="shared" si="27"/>
        <v>76983.5</v>
      </c>
      <c r="G595" s="749">
        <v>1</v>
      </c>
      <c r="H595" s="705">
        <v>64314.716899999992</v>
      </c>
      <c r="I595" s="770">
        <f t="shared" si="28"/>
        <v>64314.716899999992</v>
      </c>
      <c r="J595" s="777">
        <f t="shared" si="29"/>
        <v>12668.783100000008</v>
      </c>
    </row>
    <row r="596" spans="1:10" ht="30">
      <c r="A596" s="766" t="s">
        <v>2331</v>
      </c>
      <c r="B596" s="728" t="s">
        <v>696</v>
      </c>
      <c r="C596" s="738" t="s">
        <v>28</v>
      </c>
      <c r="D596" s="749">
        <v>28</v>
      </c>
      <c r="E596" s="705">
        <v>99421.867200000008</v>
      </c>
      <c r="F596" s="753">
        <f t="shared" si="27"/>
        <v>2783812.3</v>
      </c>
      <c r="G596" s="749">
        <v>28</v>
      </c>
      <c r="H596" s="705">
        <v>52732.92779999999</v>
      </c>
      <c r="I596" s="770">
        <f t="shared" si="28"/>
        <v>1476521.9783999997</v>
      </c>
      <c r="J596" s="777">
        <f t="shared" si="29"/>
        <v>1307290.3216000001</v>
      </c>
    </row>
    <row r="597" spans="1:10" ht="30">
      <c r="A597" s="766" t="s">
        <v>2332</v>
      </c>
      <c r="B597" s="728" t="s">
        <v>2215</v>
      </c>
      <c r="C597" s="738" t="s">
        <v>28</v>
      </c>
      <c r="D597" s="749">
        <v>23</v>
      </c>
      <c r="E597" s="705">
        <v>101136.1404</v>
      </c>
      <c r="F597" s="753">
        <f t="shared" si="27"/>
        <v>2326131.2000000002</v>
      </c>
      <c r="G597" s="749">
        <v>23</v>
      </c>
      <c r="H597" s="705">
        <v>52732.92779999999</v>
      </c>
      <c r="I597" s="770">
        <f t="shared" si="28"/>
        <v>1212857.3393999997</v>
      </c>
      <c r="J597" s="777">
        <f t="shared" si="29"/>
        <v>1113273.8606000005</v>
      </c>
    </row>
    <row r="598" spans="1:10" ht="15">
      <c r="A598" s="751" t="s">
        <v>2333</v>
      </c>
      <c r="B598" s="707" t="s">
        <v>809</v>
      </c>
      <c r="C598" s="739"/>
      <c r="D598" s="751"/>
      <c r="E598" s="649"/>
      <c r="F598" s="752"/>
      <c r="G598" s="751"/>
      <c r="H598" s="649"/>
      <c r="I598" s="769">
        <f t="shared" si="28"/>
        <v>0</v>
      </c>
      <c r="J598" s="776">
        <f t="shared" si="29"/>
        <v>0</v>
      </c>
    </row>
    <row r="599" spans="1:10" ht="30">
      <c r="A599" s="766" t="s">
        <v>2334</v>
      </c>
      <c r="B599" s="714" t="s">
        <v>811</v>
      </c>
      <c r="C599" s="738" t="s">
        <v>1620</v>
      </c>
      <c r="D599" s="749">
        <v>1</v>
      </c>
      <c r="E599" s="705">
        <v>276393.45</v>
      </c>
      <c r="F599" s="753">
        <f t="shared" ref="F599:F652" si="30">ROUND(E599*D599,1)</f>
        <v>276393.5</v>
      </c>
      <c r="G599" s="749">
        <v>1</v>
      </c>
      <c r="H599" s="705">
        <v>64734.975059999997</v>
      </c>
      <c r="I599" s="770">
        <f t="shared" si="28"/>
        <v>64734.975059999997</v>
      </c>
      <c r="J599" s="777">
        <f t="shared" si="29"/>
        <v>211658.52494</v>
      </c>
    </row>
    <row r="600" spans="1:10" ht="75">
      <c r="A600" s="766" t="s">
        <v>2335</v>
      </c>
      <c r="B600" s="714" t="s">
        <v>814</v>
      </c>
      <c r="C600" s="738" t="s">
        <v>1620</v>
      </c>
      <c r="D600" s="749">
        <v>3</v>
      </c>
      <c r="E600" s="705">
        <v>40695.738500000007</v>
      </c>
      <c r="F600" s="753">
        <f t="shared" si="30"/>
        <v>122087.2</v>
      </c>
      <c r="G600" s="749">
        <v>3</v>
      </c>
      <c r="H600" s="705">
        <v>46330.175000000003</v>
      </c>
      <c r="I600" s="770">
        <f t="shared" si="28"/>
        <v>138990.52500000002</v>
      </c>
      <c r="J600" s="777">
        <f t="shared" si="29"/>
        <v>-16903.325000000026</v>
      </c>
    </row>
    <row r="601" spans="1:10" ht="45">
      <c r="A601" s="766" t="s">
        <v>2336</v>
      </c>
      <c r="B601" s="714" t="s">
        <v>819</v>
      </c>
      <c r="C601" s="738" t="s">
        <v>100</v>
      </c>
      <c r="D601" s="749">
        <v>1000</v>
      </c>
      <c r="E601" s="705">
        <v>14756.427</v>
      </c>
      <c r="F601" s="753">
        <f t="shared" si="30"/>
        <v>14756427</v>
      </c>
      <c r="G601" s="749">
        <v>1000</v>
      </c>
      <c r="H601" s="705">
        <v>12138.427</v>
      </c>
      <c r="I601" s="770">
        <f t="shared" si="28"/>
        <v>12138427</v>
      </c>
      <c r="J601" s="777">
        <f t="shared" si="29"/>
        <v>2618000</v>
      </c>
    </row>
    <row r="602" spans="1:10" ht="60">
      <c r="A602" s="766" t="s">
        <v>2337</v>
      </c>
      <c r="B602" s="714" t="s">
        <v>822</v>
      </c>
      <c r="C602" s="738" t="s">
        <v>100</v>
      </c>
      <c r="D602" s="749">
        <v>450</v>
      </c>
      <c r="E602" s="705">
        <v>14165.292033000002</v>
      </c>
      <c r="F602" s="753">
        <f t="shared" si="30"/>
        <v>6374381.4000000004</v>
      </c>
      <c r="G602" s="749">
        <v>450</v>
      </c>
      <c r="H602" s="705">
        <v>13492.143773000002</v>
      </c>
      <c r="I602" s="770">
        <f t="shared" si="28"/>
        <v>6071464.697850001</v>
      </c>
      <c r="J602" s="777">
        <f t="shared" si="29"/>
        <v>302916.70214999933</v>
      </c>
    </row>
    <row r="603" spans="1:10" ht="75">
      <c r="A603" s="766" t="s">
        <v>2338</v>
      </c>
      <c r="B603" s="714" t="s">
        <v>2339</v>
      </c>
      <c r="C603" s="738" t="s">
        <v>1620</v>
      </c>
      <c r="D603" s="749">
        <v>28</v>
      </c>
      <c r="E603" s="705">
        <v>115660.62</v>
      </c>
      <c r="F603" s="753">
        <f t="shared" si="30"/>
        <v>3238497.4</v>
      </c>
      <c r="G603" s="749">
        <v>28</v>
      </c>
      <c r="H603" s="705">
        <v>78607.150699999998</v>
      </c>
      <c r="I603" s="770">
        <f t="shared" si="28"/>
        <v>2201000.2196</v>
      </c>
      <c r="J603" s="777">
        <f t="shared" si="29"/>
        <v>1037497.1804</v>
      </c>
    </row>
    <row r="604" spans="1:10" ht="75">
      <c r="A604" s="766" t="s">
        <v>2340</v>
      </c>
      <c r="B604" s="714" t="s">
        <v>2341</v>
      </c>
      <c r="C604" s="738" t="s">
        <v>1620</v>
      </c>
      <c r="D604" s="749">
        <v>8</v>
      </c>
      <c r="E604" s="705">
        <v>115660.62</v>
      </c>
      <c r="F604" s="753">
        <f t="shared" si="30"/>
        <v>925285</v>
      </c>
      <c r="G604" s="749">
        <v>8</v>
      </c>
      <c r="H604" s="705">
        <v>99876.213799999998</v>
      </c>
      <c r="I604" s="770">
        <f t="shared" si="28"/>
        <v>799009.71039999998</v>
      </c>
      <c r="J604" s="777">
        <f t="shared" si="29"/>
        <v>126275.28960000002</v>
      </c>
    </row>
    <row r="605" spans="1:10" ht="30">
      <c r="A605" s="766" t="s">
        <v>2342</v>
      </c>
      <c r="B605" s="714" t="s">
        <v>833</v>
      </c>
      <c r="C605" s="738" t="s">
        <v>1620</v>
      </c>
      <c r="D605" s="749">
        <v>30</v>
      </c>
      <c r="E605" s="705">
        <v>49244.013999999996</v>
      </c>
      <c r="F605" s="753">
        <f t="shared" si="30"/>
        <v>1477320.4</v>
      </c>
      <c r="G605" s="749">
        <v>30</v>
      </c>
      <c r="H605" s="705">
        <v>35871.633000000002</v>
      </c>
      <c r="I605" s="770">
        <f t="shared" si="28"/>
        <v>1076148.99</v>
      </c>
      <c r="J605" s="777">
        <f t="shared" si="29"/>
        <v>401171.40999999992</v>
      </c>
    </row>
    <row r="606" spans="1:10" ht="60">
      <c r="A606" s="766" t="s">
        <v>2343</v>
      </c>
      <c r="B606" s="714" t="s">
        <v>837</v>
      </c>
      <c r="C606" s="738" t="s">
        <v>1620</v>
      </c>
      <c r="D606" s="749">
        <v>5</v>
      </c>
      <c r="E606" s="705">
        <v>423145.94693333335</v>
      </c>
      <c r="F606" s="753">
        <f t="shared" si="30"/>
        <v>2115729.7000000002</v>
      </c>
      <c r="G606" s="749">
        <v>5</v>
      </c>
      <c r="H606" s="705">
        <v>421991.51693333336</v>
      </c>
      <c r="I606" s="770">
        <f t="shared" si="28"/>
        <v>2109957.5846666666</v>
      </c>
      <c r="J606" s="777">
        <f t="shared" si="29"/>
        <v>5772.1153333336115</v>
      </c>
    </row>
    <row r="607" spans="1:10" ht="15">
      <c r="A607" s="766" t="s">
        <v>2792</v>
      </c>
      <c r="B607" s="714" t="s">
        <v>2793</v>
      </c>
      <c r="C607" s="738" t="s">
        <v>100</v>
      </c>
      <c r="D607" s="749">
        <v>160</v>
      </c>
      <c r="E607" s="705">
        <v>33223.371066666667</v>
      </c>
      <c r="F607" s="753">
        <f t="shared" si="30"/>
        <v>5315739.4000000004</v>
      </c>
      <c r="G607" s="749">
        <v>160</v>
      </c>
      <c r="H607" s="705">
        <v>32822.737733333328</v>
      </c>
      <c r="I607" s="770">
        <f t="shared" si="28"/>
        <v>5251638.037333332</v>
      </c>
      <c r="J607" s="777">
        <f t="shared" si="29"/>
        <v>64101.36266666837</v>
      </c>
    </row>
    <row r="608" spans="1:10" ht="15">
      <c r="A608" s="751" t="s">
        <v>2344</v>
      </c>
      <c r="B608" s="707" t="s">
        <v>843</v>
      </c>
      <c r="C608" s="739"/>
      <c r="D608" s="751"/>
      <c r="E608" s="649"/>
      <c r="F608" s="752"/>
      <c r="G608" s="751"/>
      <c r="H608" s="649"/>
      <c r="I608" s="769">
        <f t="shared" si="28"/>
        <v>0</v>
      </c>
      <c r="J608" s="776">
        <f t="shared" si="29"/>
        <v>0</v>
      </c>
    </row>
    <row r="609" spans="1:10" ht="15">
      <c r="A609" s="766" t="s">
        <v>2345</v>
      </c>
      <c r="B609" s="714" t="s">
        <v>845</v>
      </c>
      <c r="C609" s="738" t="s">
        <v>28</v>
      </c>
      <c r="D609" s="749">
        <v>65</v>
      </c>
      <c r="E609" s="705">
        <v>1084709.5</v>
      </c>
      <c r="F609" s="753">
        <f t="shared" si="30"/>
        <v>70506117.5</v>
      </c>
      <c r="G609" s="749">
        <v>65</v>
      </c>
      <c r="H609" s="705">
        <v>784234.5</v>
      </c>
      <c r="I609" s="770">
        <f t="shared" si="28"/>
        <v>50975242.5</v>
      </c>
      <c r="J609" s="777">
        <f t="shared" si="29"/>
        <v>19530875</v>
      </c>
    </row>
    <row r="610" spans="1:10" ht="30">
      <c r="A610" s="766" t="s">
        <v>2346</v>
      </c>
      <c r="B610" s="714" t="s">
        <v>848</v>
      </c>
      <c r="C610" s="738" t="s">
        <v>28</v>
      </c>
      <c r="D610" s="749">
        <v>130</v>
      </c>
      <c r="E610" s="705">
        <v>241251.53318</v>
      </c>
      <c r="F610" s="753">
        <f t="shared" si="30"/>
        <v>31362699.300000001</v>
      </c>
      <c r="G610" s="749">
        <v>130</v>
      </c>
      <c r="H610" s="705">
        <v>241251.53318</v>
      </c>
      <c r="I610" s="770">
        <f t="shared" si="28"/>
        <v>31362699.3134</v>
      </c>
      <c r="J610" s="777">
        <f t="shared" si="29"/>
        <v>-1.3399999588727951E-2</v>
      </c>
    </row>
    <row r="611" spans="1:10" ht="30">
      <c r="A611" s="766" t="s">
        <v>2347</v>
      </c>
      <c r="B611" s="714" t="s">
        <v>851</v>
      </c>
      <c r="C611" s="738" t="s">
        <v>28</v>
      </c>
      <c r="D611" s="749">
        <v>35</v>
      </c>
      <c r="E611" s="705">
        <v>248074.85</v>
      </c>
      <c r="F611" s="753">
        <f t="shared" si="30"/>
        <v>8682619.8000000007</v>
      </c>
      <c r="G611" s="749">
        <v>35</v>
      </c>
      <c r="H611" s="705">
        <v>236402.61428000001</v>
      </c>
      <c r="I611" s="770">
        <f t="shared" si="28"/>
        <v>8274091.4998000003</v>
      </c>
      <c r="J611" s="777">
        <f t="shared" si="29"/>
        <v>408528.30020000041</v>
      </c>
    </row>
    <row r="612" spans="1:10" ht="30">
      <c r="A612" s="766" t="s">
        <v>2348</v>
      </c>
      <c r="B612" s="714" t="s">
        <v>854</v>
      </c>
      <c r="C612" s="738" t="s">
        <v>28</v>
      </c>
      <c r="D612" s="749">
        <v>70</v>
      </c>
      <c r="E612" s="705">
        <v>107205</v>
      </c>
      <c r="F612" s="753">
        <f t="shared" si="30"/>
        <v>7504350</v>
      </c>
      <c r="G612" s="749">
        <v>70</v>
      </c>
      <c r="H612" s="705">
        <v>101724.33495</v>
      </c>
      <c r="I612" s="770">
        <f t="shared" si="28"/>
        <v>7120703.4465000005</v>
      </c>
      <c r="J612" s="777">
        <f t="shared" si="29"/>
        <v>383646.55349999946</v>
      </c>
    </row>
    <row r="613" spans="1:10" ht="15">
      <c r="A613" s="766" t="s">
        <v>2349</v>
      </c>
      <c r="B613" s="714" t="s">
        <v>857</v>
      </c>
      <c r="C613" s="738" t="s">
        <v>28</v>
      </c>
      <c r="D613" s="749">
        <v>45</v>
      </c>
      <c r="E613" s="705">
        <v>443969.47442000004</v>
      </c>
      <c r="F613" s="753">
        <f t="shared" si="30"/>
        <v>19978626.300000001</v>
      </c>
      <c r="G613" s="749">
        <v>45</v>
      </c>
      <c r="H613" s="705">
        <v>82510.47</v>
      </c>
      <c r="I613" s="770">
        <f t="shared" si="28"/>
        <v>3712971.15</v>
      </c>
      <c r="J613" s="777">
        <f t="shared" si="29"/>
        <v>16265655.15</v>
      </c>
    </row>
    <row r="614" spans="1:10" ht="15">
      <c r="A614" s="751" t="s">
        <v>2350</v>
      </c>
      <c r="B614" s="707" t="s">
        <v>2351</v>
      </c>
      <c r="C614" s="739"/>
      <c r="D614" s="751"/>
      <c r="E614" s="649"/>
      <c r="F614" s="752"/>
      <c r="G614" s="751"/>
      <c r="H614" s="649"/>
      <c r="I614" s="769">
        <f t="shared" si="28"/>
        <v>0</v>
      </c>
      <c r="J614" s="776">
        <f t="shared" si="29"/>
        <v>0</v>
      </c>
    </row>
    <row r="615" spans="1:10" ht="30">
      <c r="A615" s="766" t="s">
        <v>863</v>
      </c>
      <c r="B615" s="714" t="s">
        <v>2352</v>
      </c>
      <c r="C615" s="738" t="s">
        <v>622</v>
      </c>
      <c r="D615" s="766">
        <v>150</v>
      </c>
      <c r="E615" s="705">
        <v>158221.06943999999</v>
      </c>
      <c r="F615" s="753">
        <f t="shared" si="30"/>
        <v>23733160.399999999</v>
      </c>
      <c r="G615" s="766">
        <v>150</v>
      </c>
      <c r="H615" s="705">
        <v>102183.09360000001</v>
      </c>
      <c r="I615" s="770">
        <f t="shared" si="28"/>
        <v>15327464.040000001</v>
      </c>
      <c r="J615" s="777">
        <f t="shared" si="29"/>
        <v>8405696.3599999975</v>
      </c>
    </row>
    <row r="616" spans="1:10" ht="30">
      <c r="A616" s="766" t="s">
        <v>868</v>
      </c>
      <c r="B616" s="714" t="s">
        <v>2353</v>
      </c>
      <c r="C616" s="738" t="s">
        <v>622</v>
      </c>
      <c r="D616" s="766">
        <v>150</v>
      </c>
      <c r="E616" s="705">
        <v>90873.709640000001</v>
      </c>
      <c r="F616" s="753">
        <f t="shared" si="30"/>
        <v>13631056.4</v>
      </c>
      <c r="G616" s="766">
        <v>150</v>
      </c>
      <c r="H616" s="705">
        <v>48997.343079999999</v>
      </c>
      <c r="I616" s="770">
        <f t="shared" si="28"/>
        <v>7349601.4619999994</v>
      </c>
      <c r="J616" s="777">
        <f t="shared" si="29"/>
        <v>6281454.938000001</v>
      </c>
    </row>
    <row r="617" spans="1:10" ht="30">
      <c r="A617" s="766" t="s">
        <v>871</v>
      </c>
      <c r="B617" s="714" t="s">
        <v>2354</v>
      </c>
      <c r="C617" s="738" t="s">
        <v>622</v>
      </c>
      <c r="D617" s="766">
        <v>100</v>
      </c>
      <c r="E617" s="705">
        <v>259756.7525</v>
      </c>
      <c r="F617" s="753">
        <f t="shared" si="30"/>
        <v>25975675.300000001</v>
      </c>
      <c r="G617" s="766">
        <v>100</v>
      </c>
      <c r="H617" s="705">
        <v>196056.05249999999</v>
      </c>
      <c r="I617" s="770">
        <f t="shared" si="28"/>
        <v>19605605.25</v>
      </c>
      <c r="J617" s="777">
        <f t="shared" si="29"/>
        <v>6370070.0500000007</v>
      </c>
    </row>
    <row r="618" spans="1:10" ht="30">
      <c r="A618" s="766" t="s">
        <v>876</v>
      </c>
      <c r="B618" s="714" t="s">
        <v>2355</v>
      </c>
      <c r="C618" s="738" t="s">
        <v>622</v>
      </c>
      <c r="D618" s="766">
        <v>100</v>
      </c>
      <c r="E618" s="705">
        <v>111713.8512</v>
      </c>
      <c r="F618" s="753">
        <f t="shared" si="30"/>
        <v>11171385.1</v>
      </c>
      <c r="G618" s="766">
        <v>100</v>
      </c>
      <c r="H618" s="705">
        <v>73593.188900000008</v>
      </c>
      <c r="I618" s="770">
        <f t="shared" si="28"/>
        <v>7359318.8900000006</v>
      </c>
      <c r="J618" s="777">
        <f t="shared" si="29"/>
        <v>3812066.209999999</v>
      </c>
    </row>
    <row r="619" spans="1:10" ht="30">
      <c r="A619" s="766" t="s">
        <v>878</v>
      </c>
      <c r="B619" s="714" t="s">
        <v>2356</v>
      </c>
      <c r="C619" s="738" t="s">
        <v>622</v>
      </c>
      <c r="D619" s="766">
        <v>3000</v>
      </c>
      <c r="E619" s="705">
        <v>21320.880000000001</v>
      </c>
      <c r="F619" s="753">
        <f t="shared" si="30"/>
        <v>63962640</v>
      </c>
      <c r="G619" s="766">
        <v>3000</v>
      </c>
      <c r="H619" s="705">
        <v>16980.331199999997</v>
      </c>
      <c r="I619" s="770">
        <f t="shared" si="28"/>
        <v>50940993.599999994</v>
      </c>
      <c r="J619" s="777">
        <f t="shared" si="29"/>
        <v>13021646.400000006</v>
      </c>
    </row>
    <row r="620" spans="1:10" ht="45">
      <c r="A620" s="766" t="s">
        <v>882</v>
      </c>
      <c r="B620" s="714" t="s">
        <v>705</v>
      </c>
      <c r="C620" s="738" t="s">
        <v>622</v>
      </c>
      <c r="D620" s="766">
        <v>500</v>
      </c>
      <c r="E620" s="705">
        <v>7139.16</v>
      </c>
      <c r="F620" s="753">
        <f t="shared" si="30"/>
        <v>3569580</v>
      </c>
      <c r="G620" s="766">
        <v>500</v>
      </c>
      <c r="H620" s="705">
        <v>5784.2294999999995</v>
      </c>
      <c r="I620" s="770">
        <f t="shared" si="28"/>
        <v>2892114.7499999995</v>
      </c>
      <c r="J620" s="777">
        <f t="shared" si="29"/>
        <v>677465.25000000047</v>
      </c>
    </row>
    <row r="621" spans="1:10" ht="60">
      <c r="A621" s="766" t="s">
        <v>883</v>
      </c>
      <c r="B621" s="714" t="s">
        <v>884</v>
      </c>
      <c r="C621" s="738" t="s">
        <v>2381</v>
      </c>
      <c r="D621" s="766">
        <v>1</v>
      </c>
      <c r="E621" s="705">
        <v>4214325.75</v>
      </c>
      <c r="F621" s="753">
        <f t="shared" si="30"/>
        <v>4214325.8</v>
      </c>
      <c r="G621" s="766">
        <v>1</v>
      </c>
      <c r="H621" s="705">
        <v>2474988.25</v>
      </c>
      <c r="I621" s="770">
        <f t="shared" si="28"/>
        <v>2474988.25</v>
      </c>
      <c r="J621" s="777">
        <f t="shared" si="29"/>
        <v>1739337.5499999998</v>
      </c>
    </row>
    <row r="622" spans="1:10" ht="45">
      <c r="A622" s="766" t="s">
        <v>885</v>
      </c>
      <c r="B622" s="714" t="s">
        <v>886</v>
      </c>
      <c r="C622" s="738" t="s">
        <v>2381</v>
      </c>
      <c r="D622" s="766">
        <v>1</v>
      </c>
      <c r="E622" s="705">
        <v>341645.5</v>
      </c>
      <c r="F622" s="753">
        <f t="shared" si="30"/>
        <v>341645.5</v>
      </c>
      <c r="G622" s="766">
        <v>1</v>
      </c>
      <c r="H622" s="705">
        <v>341645.5</v>
      </c>
      <c r="I622" s="770">
        <f t="shared" si="28"/>
        <v>341645.5</v>
      </c>
      <c r="J622" s="777">
        <f t="shared" si="29"/>
        <v>0</v>
      </c>
    </row>
    <row r="623" spans="1:10" ht="60">
      <c r="A623" s="766" t="s">
        <v>887</v>
      </c>
      <c r="B623" s="714" t="s">
        <v>888</v>
      </c>
      <c r="C623" s="738" t="s">
        <v>2381</v>
      </c>
      <c r="D623" s="766">
        <v>1</v>
      </c>
      <c r="E623" s="705">
        <v>13341648.4</v>
      </c>
      <c r="F623" s="753">
        <f t="shared" si="30"/>
        <v>13341648.4</v>
      </c>
      <c r="G623" s="766">
        <v>1</v>
      </c>
      <c r="H623" s="705">
        <v>9240651.5</v>
      </c>
      <c r="I623" s="770">
        <f t="shared" si="28"/>
        <v>9240651.5</v>
      </c>
      <c r="J623" s="777">
        <f t="shared" si="29"/>
        <v>4100996.9000000004</v>
      </c>
    </row>
    <row r="624" spans="1:10" ht="30">
      <c r="A624" s="766" t="s">
        <v>889</v>
      </c>
      <c r="B624" s="714" t="s">
        <v>890</v>
      </c>
      <c r="C624" s="738" t="s">
        <v>2381</v>
      </c>
      <c r="D624" s="766">
        <v>1</v>
      </c>
      <c r="E624" s="705">
        <v>2906631</v>
      </c>
      <c r="F624" s="753">
        <f t="shared" si="30"/>
        <v>2906631</v>
      </c>
      <c r="G624" s="766">
        <v>1</v>
      </c>
      <c r="H624" s="705">
        <v>2787274</v>
      </c>
      <c r="I624" s="770">
        <f t="shared" si="28"/>
        <v>2787274</v>
      </c>
      <c r="J624" s="777">
        <f t="shared" si="29"/>
        <v>119357</v>
      </c>
    </row>
    <row r="625" spans="1:10" ht="60">
      <c r="A625" s="766" t="s">
        <v>892</v>
      </c>
      <c r="B625" s="714" t="s">
        <v>893</v>
      </c>
      <c r="C625" s="738" t="s">
        <v>2381</v>
      </c>
      <c r="D625" s="766">
        <v>1</v>
      </c>
      <c r="E625" s="705">
        <v>31861704</v>
      </c>
      <c r="F625" s="753">
        <f t="shared" si="30"/>
        <v>31861704</v>
      </c>
      <c r="G625" s="766">
        <v>1</v>
      </c>
      <c r="H625" s="705">
        <v>23560068</v>
      </c>
      <c r="I625" s="770">
        <f t="shared" si="28"/>
        <v>23560068</v>
      </c>
      <c r="J625" s="777">
        <f t="shared" si="29"/>
        <v>8301636</v>
      </c>
    </row>
    <row r="626" spans="1:10" ht="15">
      <c r="A626" s="751" t="s">
        <v>2357</v>
      </c>
      <c r="B626" s="707" t="s">
        <v>896</v>
      </c>
      <c r="C626" s="739"/>
      <c r="D626" s="751"/>
      <c r="E626" s="649"/>
      <c r="F626" s="752"/>
      <c r="G626" s="751"/>
      <c r="H626" s="649"/>
      <c r="I626" s="769">
        <f t="shared" si="28"/>
        <v>0</v>
      </c>
      <c r="J626" s="776">
        <f t="shared" si="29"/>
        <v>0</v>
      </c>
    </row>
    <row r="627" spans="1:10" ht="45">
      <c r="A627" s="766" t="s">
        <v>2358</v>
      </c>
      <c r="B627" s="714" t="s">
        <v>898</v>
      </c>
      <c r="C627" s="738" t="s">
        <v>2381</v>
      </c>
      <c r="D627" s="766">
        <v>1</v>
      </c>
      <c r="E627" s="705">
        <v>2697122.1349687502</v>
      </c>
      <c r="F627" s="753">
        <f t="shared" si="30"/>
        <v>2697122.1</v>
      </c>
      <c r="G627" s="766">
        <v>1</v>
      </c>
      <c r="H627" s="705">
        <v>2570035.2701187497</v>
      </c>
      <c r="I627" s="770">
        <f t="shared" si="28"/>
        <v>2570035.2701187497</v>
      </c>
      <c r="J627" s="777">
        <f t="shared" si="29"/>
        <v>127086.82988125039</v>
      </c>
    </row>
    <row r="628" spans="1:10" ht="30">
      <c r="A628" s="766" t="s">
        <v>2359</v>
      </c>
      <c r="B628" s="714" t="s">
        <v>917</v>
      </c>
      <c r="C628" s="738" t="s">
        <v>2381</v>
      </c>
      <c r="D628" s="766">
        <v>7</v>
      </c>
      <c r="E628" s="705">
        <v>1673444.9900800001</v>
      </c>
      <c r="F628" s="753">
        <f t="shared" si="30"/>
        <v>11714114.9</v>
      </c>
      <c r="G628" s="766">
        <v>7</v>
      </c>
      <c r="H628" s="705">
        <v>949033.44767999998</v>
      </c>
      <c r="I628" s="770">
        <f t="shared" si="28"/>
        <v>6643234.1337599996</v>
      </c>
      <c r="J628" s="777">
        <f t="shared" si="29"/>
        <v>5070880.7662400007</v>
      </c>
    </row>
    <row r="629" spans="1:10" ht="30">
      <c r="A629" s="766" t="s">
        <v>2360</v>
      </c>
      <c r="B629" s="714" t="s">
        <v>927</v>
      </c>
      <c r="C629" s="738" t="s">
        <v>2381</v>
      </c>
      <c r="D629" s="766">
        <v>5</v>
      </c>
      <c r="E629" s="705">
        <v>529845.73600000003</v>
      </c>
      <c r="F629" s="753">
        <f t="shared" si="30"/>
        <v>2649228.7000000002</v>
      </c>
      <c r="G629" s="766">
        <v>5</v>
      </c>
      <c r="H629" s="705">
        <v>425125.73600000003</v>
      </c>
      <c r="I629" s="770">
        <f t="shared" si="28"/>
        <v>2125628.6800000002</v>
      </c>
      <c r="J629" s="777">
        <f t="shared" si="29"/>
        <v>523600.02</v>
      </c>
    </row>
    <row r="630" spans="1:10" ht="60">
      <c r="A630" s="766" t="s">
        <v>2361</v>
      </c>
      <c r="B630" s="714" t="s">
        <v>2362</v>
      </c>
      <c r="C630" s="738" t="s">
        <v>622</v>
      </c>
      <c r="D630" s="766">
        <v>130</v>
      </c>
      <c r="E630" s="705">
        <v>200935.20653333334</v>
      </c>
      <c r="F630" s="753">
        <f t="shared" si="30"/>
        <v>26121576.800000001</v>
      </c>
      <c r="G630" s="766">
        <v>130</v>
      </c>
      <c r="H630" s="705">
        <v>196181.98186666667</v>
      </c>
      <c r="I630" s="770">
        <f t="shared" si="28"/>
        <v>25503657.642666668</v>
      </c>
      <c r="J630" s="777">
        <f t="shared" si="29"/>
        <v>617919.15733333305</v>
      </c>
    </row>
    <row r="631" spans="1:10" ht="30">
      <c r="A631" s="766" t="s">
        <v>2363</v>
      </c>
      <c r="B631" s="714" t="s">
        <v>931</v>
      </c>
      <c r="C631" s="738" t="s">
        <v>2381</v>
      </c>
      <c r="D631" s="766">
        <v>5</v>
      </c>
      <c r="E631" s="705">
        <v>290769.5</v>
      </c>
      <c r="F631" s="753">
        <f t="shared" si="30"/>
        <v>1453847.5</v>
      </c>
      <c r="G631" s="766">
        <v>5</v>
      </c>
      <c r="H631" s="705">
        <v>290769.5</v>
      </c>
      <c r="I631" s="770">
        <f t="shared" si="28"/>
        <v>1453847.5</v>
      </c>
      <c r="J631" s="777">
        <f t="shared" si="29"/>
        <v>0</v>
      </c>
    </row>
    <row r="632" spans="1:10" ht="15">
      <c r="A632" s="766" t="s">
        <v>2364</v>
      </c>
      <c r="B632" s="714" t="s">
        <v>932</v>
      </c>
      <c r="C632" s="738" t="s">
        <v>2381</v>
      </c>
      <c r="D632" s="766">
        <v>1</v>
      </c>
      <c r="E632" s="705">
        <v>4403000</v>
      </c>
      <c r="F632" s="753">
        <f t="shared" si="30"/>
        <v>4403000</v>
      </c>
      <c r="G632" s="766">
        <v>1</v>
      </c>
      <c r="H632" s="705">
        <v>4403000</v>
      </c>
      <c r="I632" s="770">
        <f t="shared" si="28"/>
        <v>4403000</v>
      </c>
      <c r="J632" s="777">
        <f t="shared" si="29"/>
        <v>0</v>
      </c>
    </row>
    <row r="633" spans="1:10" ht="15">
      <c r="A633" s="766" t="s">
        <v>2365</v>
      </c>
      <c r="B633" s="714" t="s">
        <v>934</v>
      </c>
      <c r="C633" s="738" t="s">
        <v>2381</v>
      </c>
      <c r="D633" s="766">
        <v>1</v>
      </c>
      <c r="E633" s="705">
        <v>4641000</v>
      </c>
      <c r="F633" s="753">
        <f t="shared" si="30"/>
        <v>4641000</v>
      </c>
      <c r="G633" s="766">
        <v>1</v>
      </c>
      <c r="H633" s="705">
        <v>4641000</v>
      </c>
      <c r="I633" s="770">
        <f t="shared" si="28"/>
        <v>4641000</v>
      </c>
      <c r="J633" s="777">
        <f t="shared" si="29"/>
        <v>0</v>
      </c>
    </row>
    <row r="634" spans="1:10" ht="15">
      <c r="A634" s="766" t="s">
        <v>2366</v>
      </c>
      <c r="B634" s="714" t="s">
        <v>935</v>
      </c>
      <c r="C634" s="738" t="s">
        <v>18</v>
      </c>
      <c r="D634" s="766">
        <v>1</v>
      </c>
      <c r="E634" s="705">
        <v>0</v>
      </c>
      <c r="F634" s="753">
        <f t="shared" si="30"/>
        <v>0</v>
      </c>
      <c r="G634" s="766">
        <v>1</v>
      </c>
      <c r="H634" s="705">
        <v>0</v>
      </c>
      <c r="I634" s="770">
        <f t="shared" si="28"/>
        <v>0</v>
      </c>
      <c r="J634" s="777">
        <f t="shared" si="29"/>
        <v>0</v>
      </c>
    </row>
    <row r="635" spans="1:10" ht="45">
      <c r="A635" s="767">
        <v>17.100000000000001</v>
      </c>
      <c r="B635" s="714" t="s">
        <v>2797</v>
      </c>
      <c r="C635" s="738" t="s">
        <v>2381</v>
      </c>
      <c r="D635" s="767">
        <v>1</v>
      </c>
      <c r="E635" s="705">
        <v>23448913.693560001</v>
      </c>
      <c r="F635" s="753">
        <f t="shared" si="30"/>
        <v>23448913.699999999</v>
      </c>
      <c r="G635" s="767">
        <v>1</v>
      </c>
      <c r="H635" s="705">
        <v>13970350.493560001</v>
      </c>
      <c r="I635" s="770">
        <f t="shared" si="28"/>
        <v>13970350.493560001</v>
      </c>
      <c r="J635" s="777">
        <f t="shared" si="29"/>
        <v>9478563.206439998</v>
      </c>
    </row>
    <row r="636" spans="1:10" ht="30">
      <c r="A636" s="766">
        <v>17.11</v>
      </c>
      <c r="B636" s="714" t="s">
        <v>965</v>
      </c>
      <c r="C636" s="738" t="s">
        <v>2381</v>
      </c>
      <c r="D636" s="767">
        <v>1</v>
      </c>
      <c r="E636" s="705">
        <v>990399.42874999996</v>
      </c>
      <c r="F636" s="753">
        <f t="shared" si="30"/>
        <v>990399.4</v>
      </c>
      <c r="G636" s="767">
        <v>1</v>
      </c>
      <c r="H636" s="705">
        <v>875552.29692500003</v>
      </c>
      <c r="I636" s="770">
        <f t="shared" si="28"/>
        <v>875552.29692500003</v>
      </c>
      <c r="J636" s="777">
        <f t="shared" si="29"/>
        <v>114847.10307499999</v>
      </c>
    </row>
    <row r="637" spans="1:10" ht="30">
      <c r="A637" s="767">
        <v>17.12</v>
      </c>
      <c r="B637" s="714" t="s">
        <v>970</v>
      </c>
      <c r="C637" s="738" t="s">
        <v>2381</v>
      </c>
      <c r="D637" s="767">
        <v>1</v>
      </c>
      <c r="E637" s="705">
        <v>275112.32612500002</v>
      </c>
      <c r="F637" s="753">
        <f t="shared" si="30"/>
        <v>275112.3</v>
      </c>
      <c r="G637" s="767">
        <v>1</v>
      </c>
      <c r="H637" s="705">
        <v>239946.510825</v>
      </c>
      <c r="I637" s="770">
        <f t="shared" si="28"/>
        <v>239946.510825</v>
      </c>
      <c r="J637" s="777">
        <f t="shared" si="29"/>
        <v>35165.789174999984</v>
      </c>
    </row>
    <row r="638" spans="1:10" ht="30">
      <c r="A638" s="766">
        <v>17.13</v>
      </c>
      <c r="B638" s="714" t="s">
        <v>971</v>
      </c>
      <c r="C638" s="738" t="s">
        <v>2381</v>
      </c>
      <c r="D638" s="767">
        <v>1</v>
      </c>
      <c r="E638" s="705">
        <v>437381.29680000001</v>
      </c>
      <c r="F638" s="753">
        <f t="shared" si="30"/>
        <v>437381.3</v>
      </c>
      <c r="G638" s="767">
        <v>1</v>
      </c>
      <c r="H638" s="705">
        <v>377504.60243999999</v>
      </c>
      <c r="I638" s="770">
        <f t="shared" si="28"/>
        <v>377504.60243999999</v>
      </c>
      <c r="J638" s="777">
        <f t="shared" si="29"/>
        <v>59876.697560000001</v>
      </c>
    </row>
    <row r="639" spans="1:10" ht="60">
      <c r="A639" s="767">
        <v>17.14</v>
      </c>
      <c r="B639" s="714" t="s">
        <v>2788</v>
      </c>
      <c r="C639" s="738" t="s">
        <v>2381</v>
      </c>
      <c r="D639" s="767">
        <v>1</v>
      </c>
      <c r="E639" s="705">
        <v>235324.25440000001</v>
      </c>
      <c r="F639" s="753">
        <f t="shared" si="30"/>
        <v>235324.3</v>
      </c>
      <c r="G639" s="767">
        <v>1</v>
      </c>
      <c r="H639" s="705">
        <v>227899.809664</v>
      </c>
      <c r="I639" s="770">
        <f t="shared" si="28"/>
        <v>227899.809664</v>
      </c>
      <c r="J639" s="777">
        <f t="shared" si="29"/>
        <v>7424.490335999988</v>
      </c>
    </row>
    <row r="640" spans="1:10" ht="30">
      <c r="A640" s="766">
        <v>17.149999999999999</v>
      </c>
      <c r="B640" s="714" t="s">
        <v>973</v>
      </c>
      <c r="C640" s="738" t="s">
        <v>2381</v>
      </c>
      <c r="D640" s="767">
        <v>2</v>
      </c>
      <c r="E640" s="705">
        <v>11226327</v>
      </c>
      <c r="F640" s="753">
        <f t="shared" si="30"/>
        <v>22452654</v>
      </c>
      <c r="G640" s="767">
        <v>2</v>
      </c>
      <c r="H640" s="705">
        <v>8727327</v>
      </c>
      <c r="I640" s="770">
        <f t="shared" si="28"/>
        <v>17454654</v>
      </c>
      <c r="J640" s="777">
        <f t="shared" si="29"/>
        <v>4998000</v>
      </c>
    </row>
    <row r="641" spans="1:10" ht="30">
      <c r="A641" s="767">
        <v>17.16</v>
      </c>
      <c r="B641" s="714" t="s">
        <v>979</v>
      </c>
      <c r="C641" s="738" t="s">
        <v>2381</v>
      </c>
      <c r="D641" s="767">
        <v>0</v>
      </c>
      <c r="E641" s="705">
        <v>9664452</v>
      </c>
      <c r="F641" s="753">
        <f t="shared" si="30"/>
        <v>0</v>
      </c>
      <c r="G641" s="767">
        <v>0</v>
      </c>
      <c r="H641" s="705">
        <v>8414952</v>
      </c>
      <c r="I641" s="770">
        <f t="shared" si="28"/>
        <v>0</v>
      </c>
      <c r="J641" s="777">
        <f t="shared" si="29"/>
        <v>0</v>
      </c>
    </row>
    <row r="642" spans="1:10" ht="30">
      <c r="A642" s="766">
        <v>17.170000000000002</v>
      </c>
      <c r="B642" s="714" t="s">
        <v>983</v>
      </c>
      <c r="C642" s="738" t="s">
        <v>2381</v>
      </c>
      <c r="D642" s="767">
        <v>1</v>
      </c>
      <c r="E642" s="705">
        <v>12968487</v>
      </c>
      <c r="F642" s="753">
        <f t="shared" si="30"/>
        <v>12968487</v>
      </c>
      <c r="G642" s="767">
        <v>1</v>
      </c>
      <c r="H642" s="705">
        <v>11766587</v>
      </c>
      <c r="I642" s="770">
        <f t="shared" si="28"/>
        <v>11766587</v>
      </c>
      <c r="J642" s="777">
        <f t="shared" si="29"/>
        <v>1201900</v>
      </c>
    </row>
    <row r="643" spans="1:10" ht="30">
      <c r="A643" s="767">
        <v>17.18</v>
      </c>
      <c r="B643" s="714" t="s">
        <v>992</v>
      </c>
      <c r="C643" s="738" t="s">
        <v>2381</v>
      </c>
      <c r="D643" s="767">
        <v>1</v>
      </c>
      <c r="E643" s="705">
        <v>39007.931550000001</v>
      </c>
      <c r="F643" s="753">
        <f t="shared" si="30"/>
        <v>39007.9</v>
      </c>
      <c r="G643" s="767">
        <v>1</v>
      </c>
      <c r="H643" s="705">
        <v>34176.53155</v>
      </c>
      <c r="I643" s="770">
        <f t="shared" si="28"/>
        <v>34176.53155</v>
      </c>
      <c r="J643" s="777">
        <f t="shared" si="29"/>
        <v>4831.3684500000018</v>
      </c>
    </row>
    <row r="644" spans="1:10" ht="15">
      <c r="A644" s="766">
        <v>17.190000000000001</v>
      </c>
      <c r="B644" s="714" t="s">
        <v>994</v>
      </c>
      <c r="C644" s="738" t="s">
        <v>2381</v>
      </c>
      <c r="D644" s="767">
        <v>1</v>
      </c>
      <c r="E644" s="705">
        <v>18148680</v>
      </c>
      <c r="F644" s="753">
        <f t="shared" si="30"/>
        <v>18148680</v>
      </c>
      <c r="G644" s="767">
        <v>1</v>
      </c>
      <c r="H644" s="705">
        <v>12139180</v>
      </c>
      <c r="I644" s="770">
        <f t="shared" si="28"/>
        <v>12139180</v>
      </c>
      <c r="J644" s="777">
        <f t="shared" si="29"/>
        <v>6009500</v>
      </c>
    </row>
    <row r="645" spans="1:10" ht="15.75" customHeight="1">
      <c r="A645" s="751" t="s">
        <v>2367</v>
      </c>
      <c r="B645" s="737" t="s">
        <v>2368</v>
      </c>
      <c r="C645" s="739"/>
      <c r="D645" s="751"/>
      <c r="E645" s="649"/>
      <c r="F645" s="752"/>
      <c r="G645" s="751"/>
      <c r="H645" s="649"/>
      <c r="I645" s="769">
        <f t="shared" si="28"/>
        <v>0</v>
      </c>
      <c r="J645" s="776">
        <f t="shared" si="29"/>
        <v>0</v>
      </c>
    </row>
    <row r="646" spans="1:10" ht="120">
      <c r="A646" s="766" t="s">
        <v>939</v>
      </c>
      <c r="B646" s="714" t="s">
        <v>337</v>
      </c>
      <c r="C646" s="738" t="s">
        <v>2379</v>
      </c>
      <c r="D646" s="749">
        <v>1528.17</v>
      </c>
      <c r="E646" s="703">
        <v>211207.54383040807</v>
      </c>
      <c r="F646" s="753">
        <f t="shared" si="30"/>
        <v>322761032.30000001</v>
      </c>
      <c r="G646" s="749">
        <v>1428.1700000000003</v>
      </c>
      <c r="H646" s="703">
        <v>179227.9327267094</v>
      </c>
      <c r="I646" s="770">
        <f t="shared" si="28"/>
        <v>255967956.68230462</v>
      </c>
      <c r="J646" s="777">
        <f t="shared" si="29"/>
        <v>66793075.617695391</v>
      </c>
    </row>
    <row r="647" spans="1:10" ht="30">
      <c r="A647" s="766" t="s">
        <v>940</v>
      </c>
      <c r="B647" s="714" t="s">
        <v>2369</v>
      </c>
      <c r="C647" s="738" t="s">
        <v>2379</v>
      </c>
      <c r="D647" s="749">
        <v>46.19</v>
      </c>
      <c r="E647" s="703">
        <v>396572.69922090165</v>
      </c>
      <c r="F647" s="753">
        <f t="shared" si="30"/>
        <v>18317693</v>
      </c>
      <c r="G647" s="749">
        <v>46.19</v>
      </c>
      <c r="H647" s="703">
        <v>314053.40060040983</v>
      </c>
      <c r="I647" s="770">
        <f t="shared" si="28"/>
        <v>14506126.573732929</v>
      </c>
      <c r="J647" s="777">
        <f t="shared" si="29"/>
        <v>3811566.4262670707</v>
      </c>
    </row>
    <row r="648" spans="1:10" ht="30">
      <c r="A648" s="766" t="s">
        <v>944</v>
      </c>
      <c r="B648" s="714" t="s">
        <v>945</v>
      </c>
      <c r="C648" s="738" t="s">
        <v>2379</v>
      </c>
      <c r="D648" s="749">
        <v>31.86</v>
      </c>
      <c r="E648" s="703">
        <v>38184.86003214286</v>
      </c>
      <c r="F648" s="753">
        <f t="shared" si="30"/>
        <v>1216569.6000000001</v>
      </c>
      <c r="G648" s="749">
        <v>31.86</v>
      </c>
      <c r="H648" s="703">
        <v>31628.863532142859</v>
      </c>
      <c r="I648" s="770">
        <f t="shared" si="28"/>
        <v>1007695.5921340715</v>
      </c>
      <c r="J648" s="777">
        <f t="shared" si="29"/>
        <v>208874.00786592858</v>
      </c>
    </row>
    <row r="649" spans="1:10" ht="30">
      <c r="A649" s="766" t="s">
        <v>947</v>
      </c>
      <c r="B649" s="714" t="s">
        <v>948</v>
      </c>
      <c r="C649" s="738" t="s">
        <v>2379</v>
      </c>
      <c r="D649" s="749">
        <v>1.25</v>
      </c>
      <c r="E649" s="703">
        <v>13024.002107142858</v>
      </c>
      <c r="F649" s="753">
        <f t="shared" si="30"/>
        <v>16280</v>
      </c>
      <c r="G649" s="749">
        <v>1.25</v>
      </c>
      <c r="H649" s="703">
        <v>11884.306307142857</v>
      </c>
      <c r="I649" s="770">
        <f t="shared" si="28"/>
        <v>14855.382883928571</v>
      </c>
      <c r="J649" s="777">
        <f t="shared" si="29"/>
        <v>1424.6171160714293</v>
      </c>
    </row>
    <row r="650" spans="1:10" ht="15">
      <c r="A650" s="766" t="s">
        <v>951</v>
      </c>
      <c r="B650" s="714" t="s">
        <v>952</v>
      </c>
      <c r="C650" s="738" t="s">
        <v>2379</v>
      </c>
      <c r="D650" s="749">
        <v>1.25</v>
      </c>
      <c r="E650" s="703">
        <v>715047.18912942172</v>
      </c>
      <c r="F650" s="753">
        <f t="shared" si="30"/>
        <v>893809</v>
      </c>
      <c r="G650" s="749">
        <v>1.25</v>
      </c>
      <c r="H650" s="703">
        <v>543640.38998563273</v>
      </c>
      <c r="I650" s="770">
        <f t="shared" si="28"/>
        <v>679550.48748204089</v>
      </c>
      <c r="J650" s="777">
        <f t="shared" si="29"/>
        <v>214258.51251795911</v>
      </c>
    </row>
    <row r="651" spans="1:10" ht="30">
      <c r="A651" s="766" t="s">
        <v>956</v>
      </c>
      <c r="B651" s="714" t="s">
        <v>2370</v>
      </c>
      <c r="C651" s="738" t="s">
        <v>2379</v>
      </c>
      <c r="D651" s="749">
        <v>1.26</v>
      </c>
      <c r="E651" s="703">
        <v>157827.93214285714</v>
      </c>
      <c r="F651" s="753">
        <f t="shared" si="30"/>
        <v>198863.2</v>
      </c>
      <c r="G651" s="749">
        <v>1.26</v>
      </c>
      <c r="H651" s="703">
        <v>144879.91989795925</v>
      </c>
      <c r="I651" s="770">
        <f t="shared" si="28"/>
        <v>182548.69907142865</v>
      </c>
      <c r="J651" s="777">
        <f t="shared" si="29"/>
        <v>16314.50092857136</v>
      </c>
    </row>
    <row r="652" spans="1:10" ht="15">
      <c r="A652" s="766" t="s">
        <v>960</v>
      </c>
      <c r="B652" s="714" t="s">
        <v>2371</v>
      </c>
      <c r="C652" s="738" t="s">
        <v>2379</v>
      </c>
      <c r="D652" s="749">
        <v>14.939999999999996</v>
      </c>
      <c r="E652" s="703">
        <v>131162.63848051877</v>
      </c>
      <c r="F652" s="753">
        <f t="shared" si="30"/>
        <v>1959569.8</v>
      </c>
      <c r="G652" s="749">
        <v>14.939999999999996</v>
      </c>
      <c r="H652" s="703">
        <v>106829.55358048048</v>
      </c>
      <c r="I652" s="770">
        <f t="shared" si="28"/>
        <v>1596033.5304923779</v>
      </c>
      <c r="J652" s="777">
        <f t="shared" si="29"/>
        <v>363536.26950762211</v>
      </c>
    </row>
    <row r="653" spans="1:10" ht="15.75" customHeight="1" thickBot="1">
      <c r="A653" s="751" t="s">
        <v>2819</v>
      </c>
      <c r="B653" s="737" t="s">
        <v>2820</v>
      </c>
      <c r="C653" s="739"/>
      <c r="D653" s="751"/>
      <c r="E653" s="649"/>
      <c r="F653" s="752"/>
      <c r="G653" s="751"/>
      <c r="H653" s="649"/>
      <c r="I653" s="769"/>
      <c r="J653" s="776">
        <f>+F653-I653</f>
        <v>0</v>
      </c>
    </row>
    <row r="654" spans="1:10" ht="20.399999999999999" customHeight="1">
      <c r="A654" s="830" t="s">
        <v>2877</v>
      </c>
      <c r="B654" s="831"/>
      <c r="C654" s="831"/>
      <c r="D654" s="831"/>
      <c r="E654" s="832"/>
      <c r="F654" s="797">
        <f>SUM(F10:F653)</f>
        <v>6294089786.5754633</v>
      </c>
      <c r="G654" s="830" t="s">
        <v>2877</v>
      </c>
      <c r="H654" s="831"/>
      <c r="I654" s="797">
        <f>SUM(I10:I653)</f>
        <v>4711744613.4214134</v>
      </c>
      <c r="J654" s="782">
        <f t="shared" ref="J654:J658" si="31">+F654-I654</f>
        <v>1582345173.1540499</v>
      </c>
    </row>
    <row r="655" spans="1:10" ht="20.399999999999999">
      <c r="A655" s="833" t="s">
        <v>2885</v>
      </c>
      <c r="B655" s="828"/>
      <c r="C655" s="828"/>
      <c r="D655" s="829"/>
      <c r="E655" s="708">
        <v>0.16069308702277035</v>
      </c>
      <c r="F655" s="798">
        <f>F654*E655</f>
        <v>1011416717.803301</v>
      </c>
      <c r="G655" s="800" t="s">
        <v>2885</v>
      </c>
      <c r="H655" s="708">
        <v>0.28081722726906916</v>
      </c>
      <c r="I655" s="798">
        <f>I654*H655</f>
        <v>1323139057.9409735</v>
      </c>
      <c r="J655" s="783">
        <f t="shared" si="31"/>
        <v>-311722340.13767254</v>
      </c>
    </row>
    <row r="656" spans="1:10" ht="41.4" customHeight="1">
      <c r="A656" s="833" t="s">
        <v>2878</v>
      </c>
      <c r="B656" s="828"/>
      <c r="C656" s="828"/>
      <c r="D656" s="828"/>
      <c r="E656" s="829"/>
      <c r="F656" s="798">
        <f>+F654+F655</f>
        <v>7305506504.3787642</v>
      </c>
      <c r="G656" s="851" t="s">
        <v>2878</v>
      </c>
      <c r="H656" s="852"/>
      <c r="I656" s="798">
        <f>+I654+I655</f>
        <v>6034883671.3623867</v>
      </c>
      <c r="J656" s="783">
        <f t="shared" si="31"/>
        <v>1270622833.0163774</v>
      </c>
    </row>
    <row r="657" spans="1:10" ht="20.399999999999999" customHeight="1">
      <c r="A657" s="833" t="s">
        <v>2372</v>
      </c>
      <c r="B657" s="828"/>
      <c r="C657" s="828"/>
      <c r="D657" s="828"/>
      <c r="E657" s="829"/>
      <c r="F657" s="798">
        <f>+Interventoría!H24</f>
        <v>308933796.07999998</v>
      </c>
      <c r="G657" s="851" t="s">
        <v>2372</v>
      </c>
      <c r="H657" s="852"/>
      <c r="I657" s="798">
        <v>319424142.31</v>
      </c>
      <c r="J657" s="783">
        <f t="shared" si="31"/>
        <v>-10490346.230000019</v>
      </c>
    </row>
    <row r="658" spans="1:10" ht="38.4" customHeight="1" thickBot="1">
      <c r="A658" s="834" t="s">
        <v>2876</v>
      </c>
      <c r="B658" s="835"/>
      <c r="C658" s="835"/>
      <c r="D658" s="835"/>
      <c r="E658" s="836"/>
      <c r="F658" s="799">
        <f>+F656+F657</f>
        <v>7614440300.4587641</v>
      </c>
      <c r="G658" s="853" t="s">
        <v>2876</v>
      </c>
      <c r="H658" s="854"/>
      <c r="I658" s="799">
        <f>+I656+I657</f>
        <v>6354307813.6723871</v>
      </c>
      <c r="J658" s="784">
        <f t="shared" si="31"/>
        <v>1260132486.786377</v>
      </c>
    </row>
    <row r="659" spans="1:10">
      <c r="F659" s="736"/>
    </row>
    <row r="660" spans="1:10">
      <c r="F660" s="736"/>
    </row>
    <row r="661" spans="1:10" ht="20.399999999999999">
      <c r="A661" s="827" t="s">
        <v>2879</v>
      </c>
      <c r="B661" s="828"/>
      <c r="C661" s="828"/>
      <c r="D661" s="828"/>
      <c r="E661" s="829"/>
      <c r="F661" s="735">
        <v>6354307814</v>
      </c>
    </row>
    <row r="662" spans="1:10" ht="20.399999999999999">
      <c r="A662" s="827" t="s">
        <v>2881</v>
      </c>
      <c r="B662" s="828"/>
      <c r="C662" s="828"/>
      <c r="D662" s="828"/>
      <c r="E662" s="829"/>
      <c r="F662" s="735">
        <f>+F658</f>
        <v>7614440300.4587641</v>
      </c>
      <c r="H662" s="801"/>
    </row>
    <row r="663" spans="1:10" ht="20.399999999999999">
      <c r="A663" s="827" t="s">
        <v>2880</v>
      </c>
      <c r="B663" s="828"/>
      <c r="C663" s="828"/>
      <c r="D663" s="828"/>
      <c r="E663" s="829"/>
      <c r="F663" s="735">
        <f>+F662-F661</f>
        <v>1260132486.4587641</v>
      </c>
      <c r="H663" s="801"/>
    </row>
  </sheetData>
  <autoFilter ref="A8:F658" xr:uid="{00000000-0009-0000-0000-000000000000}"/>
  <mergeCells count="31">
    <mergeCell ref="G656:H656"/>
    <mergeCell ref="G657:H657"/>
    <mergeCell ref="G658:H658"/>
    <mergeCell ref="J6:J9"/>
    <mergeCell ref="G654:H654"/>
    <mergeCell ref="G7:G9"/>
    <mergeCell ref="H7:H9"/>
    <mergeCell ref="I7:I9"/>
    <mergeCell ref="A663:E663"/>
    <mergeCell ref="D7:D9"/>
    <mergeCell ref="E7:E9"/>
    <mergeCell ref="F7:F9"/>
    <mergeCell ref="A490:A491"/>
    <mergeCell ref="A662:E662"/>
    <mergeCell ref="A654:E654"/>
    <mergeCell ref="A655:D655"/>
    <mergeCell ref="A657:E657"/>
    <mergeCell ref="A658:E658"/>
    <mergeCell ref="A656:E656"/>
    <mergeCell ref="A661:E661"/>
    <mergeCell ref="A1:E1"/>
    <mergeCell ref="F1:J5"/>
    <mergeCell ref="B6:B7"/>
    <mergeCell ref="A6:A7"/>
    <mergeCell ref="C6:C9"/>
    <mergeCell ref="A5:E5"/>
    <mergeCell ref="A4:E4"/>
    <mergeCell ref="A3:E3"/>
    <mergeCell ref="A2:E2"/>
    <mergeCell ref="D6:F6"/>
    <mergeCell ref="G6:I6"/>
  </mergeCells>
  <pageMargins left="0.25" right="0.25" top="0.75" bottom="0.75" header="0.3" footer="0.3"/>
  <pageSetup paperSize="9" scale="49"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pageSetUpPr fitToPage="1"/>
  </sheetPr>
  <dimension ref="A2:M566"/>
  <sheetViews>
    <sheetView topLeftCell="A556" zoomScaleNormal="100" workbookViewId="0">
      <selection activeCell="B560" sqref="B560:C565"/>
    </sheetView>
  </sheetViews>
  <sheetFormatPr baseColWidth="10" defaultColWidth="10.6640625" defaultRowHeight="14.4"/>
  <cols>
    <col min="1" max="2" width="18.6640625" customWidth="1"/>
    <col min="3" max="7" width="16.6640625" customWidth="1"/>
  </cols>
  <sheetData>
    <row r="2" spans="1:7" s="2" customFormat="1" ht="116.25" customHeight="1">
      <c r="A2" s="177"/>
      <c r="B2" s="177"/>
      <c r="C2" s="922" t="s">
        <v>0</v>
      </c>
      <c r="D2" s="922"/>
      <c r="E2" s="922"/>
      <c r="F2" s="922"/>
      <c r="G2" s="923"/>
    </row>
    <row r="4" spans="1:7" s="2" customFormat="1" ht="15.75" customHeight="1">
      <c r="A4" s="970" t="s">
        <v>1</v>
      </c>
      <c r="B4" s="957"/>
      <c r="C4" s="953" t="s">
        <v>0</v>
      </c>
      <c r="D4" s="954"/>
      <c r="E4" s="954"/>
      <c r="F4" s="954"/>
      <c r="G4" s="955"/>
    </row>
    <row r="5" spans="1:7" s="2" customFormat="1" ht="54" customHeight="1">
      <c r="A5" s="971"/>
      <c r="B5" s="957"/>
      <c r="C5" s="954"/>
      <c r="D5" s="954"/>
      <c r="E5" s="954"/>
      <c r="F5" s="954"/>
      <c r="G5" s="955"/>
    </row>
    <row r="6" spans="1:7" s="2" customFormat="1" ht="15.75" customHeight="1">
      <c r="A6" s="971"/>
      <c r="B6" s="957"/>
      <c r="C6" s="956"/>
      <c r="D6" s="957"/>
      <c r="E6" s="957"/>
      <c r="F6" s="957"/>
      <c r="G6" s="958"/>
    </row>
    <row r="7" spans="1:7" s="2" customFormat="1" ht="15.75" customHeight="1">
      <c r="A7" s="971"/>
      <c r="B7" s="957"/>
      <c r="C7" s="959" t="s">
        <v>2</v>
      </c>
      <c r="D7" s="957"/>
      <c r="E7" s="957"/>
      <c r="F7" s="23" t="s">
        <v>3</v>
      </c>
      <c r="G7" s="24" t="s">
        <v>4</v>
      </c>
    </row>
    <row r="8" spans="1:7" s="2" customFormat="1" ht="157.5" customHeight="1">
      <c r="A8" s="1073" t="s">
        <v>303</v>
      </c>
      <c r="B8" s="944"/>
      <c r="C8" s="980" t="s">
        <v>304</v>
      </c>
      <c r="D8" s="944"/>
      <c r="E8" s="944"/>
      <c r="F8" s="51" t="s">
        <v>37</v>
      </c>
      <c r="G8" s="52">
        <v>79.067599999999985</v>
      </c>
    </row>
    <row r="9" spans="1:7" s="2" customFormat="1" ht="15.75" customHeight="1">
      <c r="A9" s="1071" t="s">
        <v>5</v>
      </c>
      <c r="B9" s="944"/>
      <c r="C9" s="944"/>
      <c r="D9" s="944"/>
      <c r="E9" s="944"/>
      <c r="F9" s="944"/>
      <c r="G9" s="1072"/>
    </row>
    <row r="10" spans="1:7" s="2" customFormat="1" ht="15.75" customHeight="1">
      <c r="A10" s="1074" t="s">
        <v>2</v>
      </c>
      <c r="B10" s="944"/>
      <c r="C10" s="53" t="s">
        <v>3</v>
      </c>
      <c r="D10" s="53" t="s">
        <v>4</v>
      </c>
      <c r="E10" s="53" t="s">
        <v>6</v>
      </c>
      <c r="F10" s="53" t="s">
        <v>7</v>
      </c>
      <c r="G10" s="1075" t="s">
        <v>8</v>
      </c>
    </row>
    <row r="11" spans="1:7" s="2" customFormat="1" ht="15.75" customHeight="1">
      <c r="A11" s="947" t="s">
        <v>262</v>
      </c>
      <c r="B11" s="944"/>
      <c r="C11" s="51" t="s">
        <v>3</v>
      </c>
      <c r="D11" s="109">
        <v>0.05</v>
      </c>
      <c r="E11" s="17">
        <f>G37</f>
        <v>41119.5</v>
      </c>
      <c r="F11" s="55">
        <f>D11*E11</f>
        <v>2055.9749999999999</v>
      </c>
      <c r="G11" s="1072"/>
    </row>
    <row r="12" spans="1:7" s="2" customFormat="1" ht="13.8">
      <c r="A12" s="947" t="s">
        <v>57</v>
      </c>
      <c r="B12" s="944"/>
      <c r="C12" s="51" t="s">
        <v>58</v>
      </c>
      <c r="D12" s="109">
        <v>0.08</v>
      </c>
      <c r="E12" s="17">
        <f>'MAQUINARIA Y EQUIPOS'!F19</f>
        <v>45763.829999999994</v>
      </c>
      <c r="F12" s="55">
        <f>D12*E12</f>
        <v>3661.1063999999997</v>
      </c>
      <c r="G12" s="1072"/>
    </row>
    <row r="13" spans="1:7" s="2" customFormat="1" ht="13.8">
      <c r="A13" s="947" t="s">
        <v>329</v>
      </c>
      <c r="B13" s="980"/>
      <c r="C13" s="51" t="s">
        <v>60</v>
      </c>
      <c r="D13" s="109">
        <v>0.03</v>
      </c>
      <c r="E13" s="17">
        <f>'MAQUINARIA Y EQUIPOS'!F12</f>
        <v>48790</v>
      </c>
      <c r="F13" s="55">
        <f>D13*E13</f>
        <v>1463.7</v>
      </c>
      <c r="G13" s="1072"/>
    </row>
    <row r="14" spans="1:7" s="2" customFormat="1" ht="15.75" customHeight="1">
      <c r="A14" s="947" t="s">
        <v>305</v>
      </c>
      <c r="B14" s="944"/>
      <c r="C14" s="51" t="s">
        <v>58</v>
      </c>
      <c r="D14" s="109">
        <v>0.02</v>
      </c>
      <c r="E14" s="17">
        <f>'MAQUINARIA Y EQUIPOS'!F15</f>
        <v>92820</v>
      </c>
      <c r="F14" s="55">
        <f>D14*E14</f>
        <v>1856.4</v>
      </c>
      <c r="G14" s="1072"/>
    </row>
    <row r="15" spans="1:7" s="2" customFormat="1" ht="15.75" customHeight="1">
      <c r="A15" s="1079"/>
      <c r="B15" s="1080"/>
      <c r="C15" s="51"/>
      <c r="D15" s="109"/>
      <c r="E15" s="17"/>
      <c r="F15" s="55"/>
      <c r="G15" s="57">
        <f>SUM(F10:F15)</f>
        <v>9037.1813999999995</v>
      </c>
    </row>
    <row r="16" spans="1:7" s="2" customFormat="1" ht="15.75" customHeight="1">
      <c r="A16" s="1071" t="s">
        <v>10</v>
      </c>
      <c r="B16" s="944"/>
      <c r="C16" s="944"/>
      <c r="D16" s="944"/>
      <c r="E16" s="944"/>
      <c r="F16" s="944"/>
      <c r="G16" s="1072"/>
    </row>
    <row r="17" spans="1:7" s="2" customFormat="1" ht="15.75" customHeight="1">
      <c r="A17" s="1074" t="s">
        <v>2</v>
      </c>
      <c r="B17" s="944"/>
      <c r="C17" s="53" t="s">
        <v>3</v>
      </c>
      <c r="D17" s="53" t="s">
        <v>4</v>
      </c>
      <c r="E17" s="53" t="s">
        <v>6</v>
      </c>
      <c r="F17" s="53" t="s">
        <v>11</v>
      </c>
      <c r="G17" s="1075" t="s">
        <v>8</v>
      </c>
    </row>
    <row r="18" spans="1:7" s="2" customFormat="1" ht="15.75" customHeight="1">
      <c r="A18" s="947" t="s">
        <v>306</v>
      </c>
      <c r="B18" s="944"/>
      <c r="C18" s="16" t="s">
        <v>39</v>
      </c>
      <c r="D18" s="16">
        <v>0.05</v>
      </c>
      <c r="E18" s="17">
        <f>SUBANÁLISIS!G31</f>
        <v>570669.8666666667</v>
      </c>
      <c r="F18" s="55">
        <f t="shared" ref="F18:F29" si="0">D18*E18</f>
        <v>28533.493333333336</v>
      </c>
      <c r="G18" s="1075"/>
    </row>
    <row r="19" spans="1:7" s="2" customFormat="1" ht="15.75" customHeight="1">
      <c r="A19" s="947" t="s">
        <v>307</v>
      </c>
      <c r="B19" s="980"/>
      <c r="C19" s="16" t="s">
        <v>39</v>
      </c>
      <c r="D19" s="54">
        <v>3.0000000000000001E-3</v>
      </c>
      <c r="E19" s="17">
        <f>'INSUMOS '!E94</f>
        <v>364596.67</v>
      </c>
      <c r="F19" s="55">
        <f t="shared" si="0"/>
        <v>1093.7900099999999</v>
      </c>
      <c r="G19" s="1075"/>
    </row>
    <row r="20" spans="1:7" s="2" customFormat="1" ht="15.75" customHeight="1">
      <c r="A20" s="947" t="s">
        <v>308</v>
      </c>
      <c r="B20" s="980"/>
      <c r="C20" s="16" t="s">
        <v>37</v>
      </c>
      <c r="D20" s="16">
        <v>1</v>
      </c>
      <c r="E20" s="17">
        <f>'INSUMOS '!E89</f>
        <v>98100</v>
      </c>
      <c r="F20" s="55">
        <f t="shared" si="0"/>
        <v>98100</v>
      </c>
      <c r="G20" s="1075"/>
    </row>
    <row r="21" spans="1:7" s="2" customFormat="1" ht="15.75" customHeight="1">
      <c r="A21" s="976" t="s">
        <v>63</v>
      </c>
      <c r="B21" s="977"/>
      <c r="C21" s="9" t="s">
        <v>3</v>
      </c>
      <c r="D21" s="9">
        <v>1.5</v>
      </c>
      <c r="E21" s="122">
        <f>'INSUMOS '!E21</f>
        <v>3244.1860465116279</v>
      </c>
      <c r="F21" s="55">
        <f t="shared" si="0"/>
        <v>4866.2790697674418</v>
      </c>
      <c r="G21" s="1075"/>
    </row>
    <row r="22" spans="1:7" s="2" customFormat="1" ht="15.75" customHeight="1">
      <c r="A22" s="976" t="s">
        <v>64</v>
      </c>
      <c r="B22" s="977"/>
      <c r="C22" s="9" t="s">
        <v>37</v>
      </c>
      <c r="D22" s="9">
        <v>0.18</v>
      </c>
      <c r="E22" s="31">
        <f>'INSUMOS '!E23</f>
        <v>67049.18032786886</v>
      </c>
      <c r="F22" s="55">
        <f t="shared" si="0"/>
        <v>12068.852459016394</v>
      </c>
      <c r="G22" s="1075"/>
    </row>
    <row r="23" spans="1:7" s="2" customFormat="1" ht="15.75" customHeight="1">
      <c r="A23" s="947" t="s">
        <v>118</v>
      </c>
      <c r="B23" s="944"/>
      <c r="C23" s="16" t="s">
        <v>37</v>
      </c>
      <c r="D23" s="16">
        <v>1.2</v>
      </c>
      <c r="E23" s="17">
        <f>'INSUMOS '!E58</f>
        <v>6304.9645390070918</v>
      </c>
      <c r="F23" s="55">
        <f t="shared" si="0"/>
        <v>7565.9574468085102</v>
      </c>
      <c r="G23" s="1075"/>
    </row>
    <row r="24" spans="1:7" s="2" customFormat="1" ht="13.8">
      <c r="A24" s="947" t="s">
        <v>1036</v>
      </c>
      <c r="B24" s="980"/>
      <c r="C24" s="16" t="s">
        <v>39</v>
      </c>
      <c r="D24" s="16">
        <v>0.05</v>
      </c>
      <c r="E24" s="17">
        <f>SUBANÁLISIS!G146</f>
        <v>702267.57499999995</v>
      </c>
      <c r="F24" s="55">
        <f t="shared" si="0"/>
        <v>35113.378749999996</v>
      </c>
      <c r="G24" s="1075"/>
    </row>
    <row r="25" spans="1:7" s="2" customFormat="1" ht="13.8">
      <c r="A25" s="947" t="s">
        <v>115</v>
      </c>
      <c r="B25" s="980"/>
      <c r="C25" s="16" t="s">
        <v>3</v>
      </c>
      <c r="D25" s="16">
        <v>0.2</v>
      </c>
      <c r="E25" s="17">
        <f>'INSUMOS '!E28</f>
        <v>51900</v>
      </c>
      <c r="F25" s="55">
        <f t="shared" si="0"/>
        <v>10380</v>
      </c>
      <c r="G25" s="1075"/>
    </row>
    <row r="26" spans="1:7" s="2" customFormat="1" ht="15.75" customHeight="1">
      <c r="A26" s="947" t="s">
        <v>264</v>
      </c>
      <c r="B26" s="980"/>
      <c r="C26" s="16" t="s">
        <v>39</v>
      </c>
      <c r="D26" s="16">
        <v>0.02</v>
      </c>
      <c r="E26" s="17">
        <f>'INSUMOS '!E311</f>
        <v>408750</v>
      </c>
      <c r="F26" s="55">
        <f t="shared" si="0"/>
        <v>8175</v>
      </c>
      <c r="G26" s="1075"/>
    </row>
    <row r="27" spans="1:7" s="2" customFormat="1" ht="15.75" customHeight="1">
      <c r="A27" s="947" t="s">
        <v>309</v>
      </c>
      <c r="B27" s="944"/>
      <c r="C27" s="16" t="s">
        <v>37</v>
      </c>
      <c r="D27" s="16">
        <v>1.2</v>
      </c>
      <c r="E27" s="17">
        <f>'INSUMOS '!E96</f>
        <v>1567</v>
      </c>
      <c r="F27" s="55">
        <f t="shared" si="0"/>
        <v>1880.3999999999999</v>
      </c>
      <c r="G27" s="1075"/>
    </row>
    <row r="28" spans="1:7" s="2" customFormat="1" ht="15.75" customHeight="1">
      <c r="A28" s="947" t="s">
        <v>53</v>
      </c>
      <c r="B28" s="944"/>
      <c r="C28" s="16" t="s">
        <v>54</v>
      </c>
      <c r="D28" s="16">
        <v>25</v>
      </c>
      <c r="E28" s="17">
        <f>'INSUMOS '!E65</f>
        <v>14</v>
      </c>
      <c r="F28" s="55">
        <f t="shared" si="0"/>
        <v>350</v>
      </c>
      <c r="G28" s="1075"/>
    </row>
    <row r="29" spans="1:7" s="2" customFormat="1" ht="15.75" customHeight="1">
      <c r="A29" s="947" t="s">
        <v>310</v>
      </c>
      <c r="B29" s="944"/>
      <c r="C29" s="16" t="s">
        <v>3</v>
      </c>
      <c r="D29" s="16">
        <v>0.5</v>
      </c>
      <c r="E29" s="17">
        <f>'INSUMOS '!E98</f>
        <v>16000</v>
      </c>
      <c r="F29" s="55">
        <f t="shared" si="0"/>
        <v>8000</v>
      </c>
      <c r="G29" s="57">
        <f>SUM(F17:F29)</f>
        <v>216127.15106892571</v>
      </c>
    </row>
    <row r="30" spans="1:7" s="2" customFormat="1" ht="15.75" customHeight="1">
      <c r="A30" s="1071" t="s">
        <v>15</v>
      </c>
      <c r="B30" s="944"/>
      <c r="C30" s="944"/>
      <c r="D30" s="944"/>
      <c r="E30" s="944"/>
      <c r="F30" s="944"/>
      <c r="G30" s="1072"/>
    </row>
    <row r="31" spans="1:7" s="2" customFormat="1" ht="15.75" customHeight="1">
      <c r="A31" s="1074" t="s">
        <v>2</v>
      </c>
      <c r="B31" s="944"/>
      <c r="C31" s="53" t="s">
        <v>3</v>
      </c>
      <c r="D31" s="53" t="s">
        <v>4</v>
      </c>
      <c r="E31" s="53" t="s">
        <v>6</v>
      </c>
      <c r="F31" s="53" t="s">
        <v>11</v>
      </c>
      <c r="G31" s="1075" t="s">
        <v>8</v>
      </c>
    </row>
    <row r="32" spans="1:7" s="2" customFormat="1" ht="15.75" customHeight="1">
      <c r="A32" s="943" t="s">
        <v>311</v>
      </c>
      <c r="B32" s="944"/>
      <c r="C32" s="16" t="s">
        <v>3</v>
      </c>
      <c r="D32" s="54">
        <v>3.5000000000000003E-2</v>
      </c>
      <c r="E32" s="17">
        <f>G15</f>
        <v>9037.1813999999995</v>
      </c>
      <c r="F32" s="55">
        <f>E32*D32</f>
        <v>316.30134900000002</v>
      </c>
      <c r="G32" s="1072"/>
    </row>
    <row r="33" spans="1:7" s="2" customFormat="1" ht="15.75" customHeight="1">
      <c r="A33" s="943" t="s">
        <v>17</v>
      </c>
      <c r="B33" s="944"/>
      <c r="C33" s="16" t="s">
        <v>18</v>
      </c>
      <c r="D33" s="54">
        <v>3.5000000000000003E-2</v>
      </c>
      <c r="E33" s="17">
        <f>+G29</f>
        <v>216127.15106892571</v>
      </c>
      <c r="F33" s="55">
        <f>E33*D33</f>
        <v>7564.4502874124009</v>
      </c>
      <c r="G33" s="1072"/>
    </row>
    <row r="34" spans="1:7" s="2" customFormat="1" ht="15.75" customHeight="1">
      <c r="A34" s="943"/>
      <c r="B34" s="944"/>
      <c r="C34" s="16"/>
      <c r="D34" s="16"/>
      <c r="E34" s="60"/>
      <c r="F34" s="60"/>
      <c r="G34" s="57">
        <f>SUM(F32:F34)</f>
        <v>7880.7516364124012</v>
      </c>
    </row>
    <row r="35" spans="1:7" s="2" customFormat="1" ht="13.8">
      <c r="A35" s="1071" t="s">
        <v>19</v>
      </c>
      <c r="B35" s="944"/>
      <c r="C35" s="944"/>
      <c r="D35" s="944"/>
      <c r="E35" s="944"/>
      <c r="F35" s="944"/>
      <c r="G35" s="1072"/>
    </row>
    <row r="36" spans="1:7" s="2" customFormat="1" ht="15.75" customHeight="1">
      <c r="A36" s="1074" t="s">
        <v>2</v>
      </c>
      <c r="B36" s="944"/>
      <c r="C36" s="53" t="s">
        <v>3</v>
      </c>
      <c r="D36" s="53" t="s">
        <v>4</v>
      </c>
      <c r="E36" s="53" t="s">
        <v>6</v>
      </c>
      <c r="F36" s="53" t="s">
        <v>11</v>
      </c>
      <c r="G36" s="456" t="s">
        <v>8</v>
      </c>
    </row>
    <row r="37" spans="1:7" s="2" customFormat="1" ht="15" customHeight="1">
      <c r="A37" s="943" t="str">
        <f>+SALARIOS!A105</f>
        <v>CUADRILLA DD CONCRETOS 1:4</v>
      </c>
      <c r="B37" s="944"/>
      <c r="C37" s="16" t="s">
        <v>1245</v>
      </c>
      <c r="D37" s="16">
        <v>0.75</v>
      </c>
      <c r="E37" s="17">
        <f>+SALARIOS!C105</f>
        <v>54826</v>
      </c>
      <c r="F37" s="14">
        <f>+D37*E37</f>
        <v>41119.5</v>
      </c>
      <c r="G37" s="57">
        <f>F37</f>
        <v>41119.5</v>
      </c>
    </row>
    <row r="38" spans="1:7" s="2" customFormat="1" ht="15.75" customHeight="1">
      <c r="A38" s="1076" t="s">
        <v>25</v>
      </c>
      <c r="B38" s="944"/>
      <c r="C38" s="944"/>
      <c r="D38" s="944"/>
      <c r="E38" s="944"/>
      <c r="F38" s="944"/>
      <c r="G38" s="1072"/>
    </row>
    <row r="39" spans="1:7" s="2" customFormat="1" ht="17.399999999999999">
      <c r="A39" s="1077"/>
      <c r="B39" s="944"/>
      <c r="C39" s="944"/>
      <c r="D39" s="944"/>
      <c r="E39" s="944"/>
      <c r="F39" s="944"/>
      <c r="G39" s="62">
        <f>G37+G34+G29+G15</f>
        <v>274164.58410533809</v>
      </c>
    </row>
    <row r="40" spans="1:7" s="2" customFormat="1" ht="15.75" customHeight="1">
      <c r="A40" s="26"/>
      <c r="B40" s="27"/>
      <c r="C40" s="28"/>
      <c r="D40" s="28"/>
      <c r="E40" s="29"/>
      <c r="F40" s="28"/>
      <c r="G40" s="30"/>
    </row>
    <row r="41" spans="1:7" s="2" customFormat="1" ht="15.75" customHeight="1">
      <c r="A41" s="970" t="s">
        <v>1</v>
      </c>
      <c r="B41" s="957"/>
      <c r="C41" s="953" t="s">
        <v>0</v>
      </c>
      <c r="D41" s="954"/>
      <c r="E41" s="954"/>
      <c r="F41" s="954"/>
      <c r="G41" s="955"/>
    </row>
    <row r="42" spans="1:7" s="2" customFormat="1" ht="51.75" customHeight="1">
      <c r="A42" s="971"/>
      <c r="B42" s="957"/>
      <c r="C42" s="954"/>
      <c r="D42" s="954"/>
      <c r="E42" s="954"/>
      <c r="F42" s="954"/>
      <c r="G42" s="955"/>
    </row>
    <row r="43" spans="1:7" s="2" customFormat="1" ht="15.75" customHeight="1">
      <c r="A43" s="971"/>
      <c r="B43" s="957"/>
      <c r="C43" s="956"/>
      <c r="D43" s="957"/>
      <c r="E43" s="957"/>
      <c r="F43" s="957"/>
      <c r="G43" s="958"/>
    </row>
    <row r="44" spans="1:7" s="2" customFormat="1" ht="15.75" customHeight="1">
      <c r="A44" s="971"/>
      <c r="B44" s="957"/>
      <c r="C44" s="959" t="s">
        <v>2</v>
      </c>
      <c r="D44" s="957"/>
      <c r="E44" s="957"/>
      <c r="F44" s="23" t="s">
        <v>3</v>
      </c>
      <c r="G44" s="24" t="s">
        <v>4</v>
      </c>
    </row>
    <row r="45" spans="1:7" s="2" customFormat="1" ht="89.25" customHeight="1">
      <c r="A45" s="1073" t="s">
        <v>312</v>
      </c>
      <c r="B45" s="944"/>
      <c r="C45" s="980" t="s">
        <v>313</v>
      </c>
      <c r="D45" s="944"/>
      <c r="E45" s="944"/>
      <c r="F45" s="51" t="s">
        <v>100</v>
      </c>
      <c r="G45" s="52">
        <v>47.51</v>
      </c>
    </row>
    <row r="46" spans="1:7" s="2" customFormat="1" ht="15.75" customHeight="1">
      <c r="A46" s="1071" t="s">
        <v>5</v>
      </c>
      <c r="B46" s="944"/>
      <c r="C46" s="944"/>
      <c r="D46" s="944"/>
      <c r="E46" s="944"/>
      <c r="F46" s="944"/>
      <c r="G46" s="1072"/>
    </row>
    <row r="47" spans="1:7" s="2" customFormat="1" ht="15.75" customHeight="1">
      <c r="A47" s="1074" t="s">
        <v>2</v>
      </c>
      <c r="B47" s="944"/>
      <c r="C47" s="53" t="s">
        <v>3</v>
      </c>
      <c r="D47" s="53" t="s">
        <v>4</v>
      </c>
      <c r="E47" s="53" t="s">
        <v>6</v>
      </c>
      <c r="F47" s="53" t="s">
        <v>7</v>
      </c>
      <c r="G47" s="1075" t="s">
        <v>8</v>
      </c>
    </row>
    <row r="48" spans="1:7" s="2" customFormat="1" ht="15.75" customHeight="1">
      <c r="A48" s="947" t="s">
        <v>167</v>
      </c>
      <c r="B48" s="980"/>
      <c r="C48" s="51" t="s">
        <v>3</v>
      </c>
      <c r="D48" s="54">
        <v>0.05</v>
      </c>
      <c r="E48" s="17">
        <f>G64</f>
        <v>11922.05</v>
      </c>
      <c r="F48" s="55">
        <f>D48*E48</f>
        <v>596.10249999999996</v>
      </c>
      <c r="G48" s="1072"/>
    </row>
    <row r="49" spans="1:7" s="2" customFormat="1" ht="13.8">
      <c r="A49" s="947" t="s">
        <v>168</v>
      </c>
      <c r="B49" s="944"/>
      <c r="C49" s="51" t="s">
        <v>3</v>
      </c>
      <c r="D49" s="54">
        <v>0.33329999999999999</v>
      </c>
      <c r="E49" s="17">
        <f>'MAQUINARIA Y EQUIPOS'!F36</f>
        <v>37900</v>
      </c>
      <c r="F49" s="55">
        <f>D49*E49</f>
        <v>12632.07</v>
      </c>
      <c r="G49" s="1072"/>
    </row>
    <row r="50" spans="1:7" s="2" customFormat="1" ht="15.75" customHeight="1">
      <c r="A50" s="1079"/>
      <c r="B50" s="944"/>
      <c r="C50" s="56"/>
      <c r="D50" s="56"/>
      <c r="E50" s="56"/>
      <c r="F50" s="55"/>
      <c r="G50" s="57">
        <f>SUM(F47:F50)</f>
        <v>13228.172500000001</v>
      </c>
    </row>
    <row r="51" spans="1:7" s="2" customFormat="1" ht="15.75" customHeight="1">
      <c r="A51" s="1071" t="s">
        <v>10</v>
      </c>
      <c r="B51" s="944"/>
      <c r="C51" s="944"/>
      <c r="D51" s="944"/>
      <c r="E51" s="944"/>
      <c r="F51" s="944"/>
      <c r="G51" s="1072"/>
    </row>
    <row r="52" spans="1:7" s="2" customFormat="1" ht="15.75" customHeight="1">
      <c r="A52" s="1074" t="s">
        <v>2</v>
      </c>
      <c r="B52" s="944"/>
      <c r="C52" s="53" t="s">
        <v>3</v>
      </c>
      <c r="D52" s="53" t="s">
        <v>4</v>
      </c>
      <c r="E52" s="53" t="s">
        <v>6</v>
      </c>
      <c r="F52" s="53" t="s">
        <v>11</v>
      </c>
      <c r="G52" s="1075" t="s">
        <v>8</v>
      </c>
    </row>
    <row r="53" spans="1:7" s="2" customFormat="1" ht="15.75" customHeight="1">
      <c r="A53" s="947" t="s">
        <v>169</v>
      </c>
      <c r="B53" s="944"/>
      <c r="C53" s="16" t="s">
        <v>39</v>
      </c>
      <c r="D53" s="54">
        <v>2.5000000000000001E-2</v>
      </c>
      <c r="E53" s="17">
        <f>SUBANÁLISIS!G89</f>
        <v>431833.82500000001</v>
      </c>
      <c r="F53" s="55">
        <f>D53*E53</f>
        <v>10795.845625000002</v>
      </c>
      <c r="G53" s="1072"/>
    </row>
    <row r="54" spans="1:7" s="2" customFormat="1" ht="15.75" customHeight="1">
      <c r="A54" s="947" t="s">
        <v>171</v>
      </c>
      <c r="B54" s="944"/>
      <c r="C54" s="51" t="s">
        <v>100</v>
      </c>
      <c r="D54" s="54">
        <v>2</v>
      </c>
      <c r="E54" s="17">
        <f>'INSUMOS '!E127</f>
        <v>115.55555555555556</v>
      </c>
      <c r="F54" s="55">
        <f>D54*E54</f>
        <v>231.11111111111111</v>
      </c>
      <c r="G54" s="1072"/>
    </row>
    <row r="55" spans="1:7" s="2" customFormat="1" ht="15.75" customHeight="1">
      <c r="A55" s="947" t="s">
        <v>170</v>
      </c>
      <c r="B55" s="980"/>
      <c r="C55" s="16" t="s">
        <v>100</v>
      </c>
      <c r="D55" s="54">
        <v>0.09</v>
      </c>
      <c r="E55" s="17">
        <f>'INSUMOS '!E27</f>
        <v>34396</v>
      </c>
      <c r="F55" s="55">
        <f>D55*E55</f>
        <v>3095.64</v>
      </c>
      <c r="G55" s="1072"/>
    </row>
    <row r="56" spans="1:7" s="2" customFormat="1" ht="31.2" customHeight="1">
      <c r="A56" s="947" t="s">
        <v>172</v>
      </c>
      <c r="B56" s="944"/>
      <c r="C56" s="16" t="s">
        <v>3</v>
      </c>
      <c r="D56" s="54">
        <v>7.143E-3</v>
      </c>
      <c r="E56" s="17">
        <f>'INSUMOS '!E53</f>
        <v>82700</v>
      </c>
      <c r="F56" s="55">
        <f>D56*E56</f>
        <v>590.72609999999997</v>
      </c>
      <c r="G56" s="1072"/>
    </row>
    <row r="57" spans="1:7" s="2" customFormat="1" ht="15.75" customHeight="1">
      <c r="A57" s="947"/>
      <c r="B57" s="944"/>
      <c r="C57" s="16"/>
      <c r="D57" s="58"/>
      <c r="E57" s="17"/>
      <c r="F57" s="55"/>
      <c r="G57" s="57">
        <f>SUM(F52:F57)</f>
        <v>14713.322836111112</v>
      </c>
    </row>
    <row r="58" spans="1:7" s="2" customFormat="1" ht="15.75" customHeight="1">
      <c r="A58" s="1071" t="s">
        <v>15</v>
      </c>
      <c r="B58" s="944"/>
      <c r="C58" s="944"/>
      <c r="D58" s="944"/>
      <c r="E58" s="944"/>
      <c r="F58" s="944"/>
      <c r="G58" s="1072"/>
    </row>
    <row r="59" spans="1:7" s="2" customFormat="1" ht="15.75" customHeight="1">
      <c r="A59" s="1074" t="s">
        <v>2</v>
      </c>
      <c r="B59" s="944"/>
      <c r="C59" s="53" t="s">
        <v>3</v>
      </c>
      <c r="D59" s="53" t="s">
        <v>4</v>
      </c>
      <c r="E59" s="53" t="s">
        <v>6</v>
      </c>
      <c r="F59" s="53" t="s">
        <v>11</v>
      </c>
      <c r="G59" s="1075" t="s">
        <v>8</v>
      </c>
    </row>
    <row r="60" spans="1:7" s="2" customFormat="1" ht="15.75" customHeight="1">
      <c r="A60" s="943" t="s">
        <v>173</v>
      </c>
      <c r="B60" s="944"/>
      <c r="C60" s="16" t="s">
        <v>3</v>
      </c>
      <c r="D60" s="54">
        <v>3.5000000000000003E-2</v>
      </c>
      <c r="E60" s="17">
        <f>+G57</f>
        <v>14713.322836111112</v>
      </c>
      <c r="F60" s="55">
        <f>E60*D60</f>
        <v>514.96629926388903</v>
      </c>
      <c r="G60" s="1072"/>
    </row>
    <row r="61" spans="1:7" s="2" customFormat="1" ht="15.75" customHeight="1">
      <c r="A61" s="59"/>
      <c r="B61" s="60"/>
      <c r="C61" s="60"/>
      <c r="D61" s="60"/>
      <c r="E61" s="60"/>
      <c r="F61" s="60"/>
      <c r="G61" s="57">
        <f>SUM(F60:F61)</f>
        <v>514.96629926388903</v>
      </c>
    </row>
    <row r="62" spans="1:7" s="2" customFormat="1" ht="15.75" customHeight="1">
      <c r="A62" s="1071" t="s">
        <v>19</v>
      </c>
      <c r="B62" s="944"/>
      <c r="C62" s="944"/>
      <c r="D62" s="944"/>
      <c r="E62" s="944"/>
      <c r="F62" s="944"/>
      <c r="G62" s="1072"/>
    </row>
    <row r="63" spans="1:7" s="2" customFormat="1" ht="15.75" customHeight="1">
      <c r="A63" s="1074" t="s">
        <v>2</v>
      </c>
      <c r="B63" s="944"/>
      <c r="C63" s="53" t="s">
        <v>3</v>
      </c>
      <c r="D63" s="53" t="s">
        <v>4</v>
      </c>
      <c r="E63" s="53" t="s">
        <v>6</v>
      </c>
      <c r="F63" s="53" t="s">
        <v>11</v>
      </c>
      <c r="G63" s="456" t="s">
        <v>8</v>
      </c>
    </row>
    <row r="64" spans="1:7" s="2" customFormat="1" ht="15" customHeight="1">
      <c r="A64" s="943" t="str">
        <f>+SALARIOS!A62</f>
        <v>CUADRILLA AA ALBAÑILERÍA 1:2</v>
      </c>
      <c r="B64" s="944"/>
      <c r="C64" s="16" t="s">
        <v>1245</v>
      </c>
      <c r="D64" s="16">
        <v>0.35</v>
      </c>
      <c r="E64" s="17">
        <f>+SALARIOS!C62</f>
        <v>34063</v>
      </c>
      <c r="F64" s="14">
        <f>+D64*E64</f>
        <v>11922.05</v>
      </c>
      <c r="G64" s="57">
        <f>F64</f>
        <v>11922.05</v>
      </c>
    </row>
    <row r="65" spans="1:7" s="2" customFormat="1" ht="15.75" customHeight="1">
      <c r="A65" s="1076" t="s">
        <v>25</v>
      </c>
      <c r="B65" s="944"/>
      <c r="C65" s="944"/>
      <c r="D65" s="944"/>
      <c r="E65" s="944"/>
      <c r="F65" s="944"/>
      <c r="G65" s="1072"/>
    </row>
    <row r="66" spans="1:7" s="2" customFormat="1" ht="15.75" customHeight="1">
      <c r="A66" s="1077"/>
      <c r="B66" s="944"/>
      <c r="C66" s="944"/>
      <c r="D66" s="944"/>
      <c r="E66" s="944"/>
      <c r="F66" s="944"/>
      <c r="G66" s="62">
        <f>G64+G61+G57+G50</f>
        <v>40378.511635375005</v>
      </c>
    </row>
    <row r="67" spans="1:7" s="2" customFormat="1" ht="20.399999999999999">
      <c r="A67" s="26"/>
      <c r="B67" s="27"/>
      <c r="C67" s="28"/>
      <c r="D67" s="28"/>
      <c r="E67" s="29"/>
      <c r="F67" s="28"/>
      <c r="G67" s="30"/>
    </row>
    <row r="68" spans="1:7" s="2" customFormat="1" ht="15.75" customHeight="1">
      <c r="A68" s="970" t="s">
        <v>1</v>
      </c>
      <c r="B68" s="957"/>
      <c r="C68" s="953" t="s">
        <v>0</v>
      </c>
      <c r="D68" s="954"/>
      <c r="E68" s="954"/>
      <c r="F68" s="954"/>
      <c r="G68" s="955"/>
    </row>
    <row r="69" spans="1:7" s="2" customFormat="1" ht="56.25" customHeight="1">
      <c r="A69" s="971"/>
      <c r="B69" s="957"/>
      <c r="C69" s="954"/>
      <c r="D69" s="954"/>
      <c r="E69" s="954"/>
      <c r="F69" s="954"/>
      <c r="G69" s="955"/>
    </row>
    <row r="70" spans="1:7" s="2" customFormat="1" ht="15.75" customHeight="1">
      <c r="A70" s="971"/>
      <c r="B70" s="957"/>
      <c r="C70" s="956"/>
      <c r="D70" s="957"/>
      <c r="E70" s="957"/>
      <c r="F70" s="957"/>
      <c r="G70" s="958"/>
    </row>
    <row r="71" spans="1:7" s="2" customFormat="1" ht="15.75" customHeight="1">
      <c r="A71" s="971"/>
      <c r="B71" s="957"/>
      <c r="C71" s="959" t="s">
        <v>2</v>
      </c>
      <c r="D71" s="957"/>
      <c r="E71" s="957"/>
      <c r="F71" s="23" t="s">
        <v>3</v>
      </c>
      <c r="G71" s="24" t="s">
        <v>4</v>
      </c>
    </row>
    <row r="72" spans="1:7" s="2" customFormat="1" ht="102" customHeight="1">
      <c r="A72" s="1073" t="s">
        <v>314</v>
      </c>
      <c r="B72" s="944"/>
      <c r="C72" s="980" t="s">
        <v>315</v>
      </c>
      <c r="D72" s="944"/>
      <c r="E72" s="944"/>
      <c r="F72" s="51" t="s">
        <v>100</v>
      </c>
      <c r="G72" s="52">
        <v>142.75500000000002</v>
      </c>
    </row>
    <row r="73" spans="1:7" s="2" customFormat="1" ht="15.75" customHeight="1">
      <c r="A73" s="1071" t="s">
        <v>5</v>
      </c>
      <c r="B73" s="944"/>
      <c r="C73" s="944"/>
      <c r="D73" s="944"/>
      <c r="E73" s="944"/>
      <c r="F73" s="944"/>
      <c r="G73" s="1072"/>
    </row>
    <row r="74" spans="1:7" s="2" customFormat="1" ht="15.75" customHeight="1">
      <c r="A74" s="1074" t="s">
        <v>2</v>
      </c>
      <c r="B74" s="944"/>
      <c r="C74" s="53" t="s">
        <v>3</v>
      </c>
      <c r="D74" s="53" t="s">
        <v>4</v>
      </c>
      <c r="E74" s="53" t="s">
        <v>6</v>
      </c>
      <c r="F74" s="53" t="s">
        <v>7</v>
      </c>
      <c r="G74" s="1075" t="s">
        <v>8</v>
      </c>
    </row>
    <row r="75" spans="1:7" s="2" customFormat="1" ht="15.75" customHeight="1">
      <c r="A75" s="947" t="s">
        <v>262</v>
      </c>
      <c r="B75" s="944"/>
      <c r="C75" s="51" t="s">
        <v>3</v>
      </c>
      <c r="D75" s="117">
        <f>1/G72</f>
        <v>7.0050085811355104E-3</v>
      </c>
      <c r="E75" s="17">
        <f>G93</f>
        <v>5740.3499999999995</v>
      </c>
      <c r="F75" s="55">
        <f>D75*E75</f>
        <v>40.211201008721225</v>
      </c>
      <c r="G75" s="1072"/>
    </row>
    <row r="76" spans="1:7" s="2" customFormat="1" ht="15.75" customHeight="1">
      <c r="A76" s="947" t="s">
        <v>316</v>
      </c>
      <c r="B76" s="980"/>
      <c r="C76" s="51" t="s">
        <v>58</v>
      </c>
      <c r="D76" s="117">
        <v>0.05</v>
      </c>
      <c r="E76" s="17">
        <f>'MAQUINARIA Y EQUIPOS'!F25</f>
        <v>14280</v>
      </c>
      <c r="F76" s="55">
        <f>D76*E76</f>
        <v>714</v>
      </c>
      <c r="G76" s="123"/>
    </row>
    <row r="77" spans="1:7" s="2" customFormat="1" ht="15.75" customHeight="1">
      <c r="A77" s="1079"/>
      <c r="B77" s="944"/>
      <c r="C77" s="51"/>
      <c r="D77" s="56"/>
      <c r="E77" s="56"/>
      <c r="F77" s="55"/>
      <c r="G77" s="57">
        <f>SUM(F74:F77)</f>
        <v>754.21120100872122</v>
      </c>
    </row>
    <row r="78" spans="1:7" s="2" customFormat="1" ht="15.75" customHeight="1">
      <c r="A78" s="1071" t="s">
        <v>10</v>
      </c>
      <c r="B78" s="944"/>
      <c r="C78" s="944"/>
      <c r="D78" s="944"/>
      <c r="E78" s="944"/>
      <c r="F78" s="944"/>
      <c r="G78" s="1072"/>
    </row>
    <row r="79" spans="1:7" s="2" customFormat="1" ht="15.75" customHeight="1">
      <c r="A79" s="1074" t="s">
        <v>2</v>
      </c>
      <c r="B79" s="944"/>
      <c r="C79" s="53" t="s">
        <v>3</v>
      </c>
      <c r="D79" s="53" t="s">
        <v>4</v>
      </c>
      <c r="E79" s="53" t="s">
        <v>6</v>
      </c>
      <c r="F79" s="53" t="s">
        <v>11</v>
      </c>
      <c r="G79" s="1075" t="s">
        <v>8</v>
      </c>
    </row>
    <row r="80" spans="1:7" s="2" customFormat="1" ht="15.75" customHeight="1">
      <c r="A80" s="947" t="s">
        <v>317</v>
      </c>
      <c r="B80" s="944"/>
      <c r="C80" s="16" t="s">
        <v>100</v>
      </c>
      <c r="D80" s="16">
        <v>1.1000000000000001</v>
      </c>
      <c r="E80" s="17">
        <f>'INSUMOS '!E92</f>
        <v>47500</v>
      </c>
      <c r="F80" s="55">
        <f>D80*E80</f>
        <v>52250.000000000007</v>
      </c>
      <c r="G80" s="1075"/>
    </row>
    <row r="81" spans="1:7" s="2" customFormat="1" ht="15.75" customHeight="1">
      <c r="A81" s="947" t="s">
        <v>318</v>
      </c>
      <c r="B81" s="980"/>
      <c r="C81" s="16" t="s">
        <v>39</v>
      </c>
      <c r="D81" s="54">
        <v>1E-3</v>
      </c>
      <c r="E81" s="17">
        <f>SUBANÁLISIS!G89</f>
        <v>431833.82500000001</v>
      </c>
      <c r="F81" s="55">
        <f>D81*E81</f>
        <v>431.83382500000005</v>
      </c>
      <c r="G81" s="1075"/>
    </row>
    <row r="82" spans="1:7" s="2" customFormat="1" ht="17.25" customHeight="1">
      <c r="A82" s="947" t="s">
        <v>319</v>
      </c>
      <c r="B82" s="980"/>
      <c r="C82" s="16" t="s">
        <v>18</v>
      </c>
      <c r="D82" s="54">
        <v>3.3999999999999998E-3</v>
      </c>
      <c r="E82" s="17">
        <f>'INSUMOS '!E93</f>
        <v>29900</v>
      </c>
      <c r="F82" s="55">
        <f>D82*E82</f>
        <v>101.66</v>
      </c>
      <c r="G82" s="1075"/>
    </row>
    <row r="83" spans="1:7" s="2" customFormat="1" ht="17.25" customHeight="1">
      <c r="A83" s="947" t="s">
        <v>115</v>
      </c>
      <c r="B83" s="980"/>
      <c r="C83" s="16" t="s">
        <v>3</v>
      </c>
      <c r="D83" s="54">
        <v>0.05</v>
      </c>
      <c r="E83" s="17">
        <f>'INSUMOS '!E28</f>
        <v>51900</v>
      </c>
      <c r="F83" s="55">
        <f>D83*E83</f>
        <v>2595</v>
      </c>
      <c r="G83" s="1075"/>
    </row>
    <row r="84" spans="1:7" s="2" customFormat="1" ht="15.75" customHeight="1">
      <c r="A84" s="947" t="s">
        <v>320</v>
      </c>
      <c r="B84" s="980"/>
      <c r="C84" s="16" t="s">
        <v>39</v>
      </c>
      <c r="D84" s="54">
        <v>1E-3</v>
      </c>
      <c r="E84" s="17">
        <f>'INSUMOS '!E94</f>
        <v>364596.67</v>
      </c>
      <c r="F84" s="55">
        <f>D84*E84</f>
        <v>364.59667000000002</v>
      </c>
      <c r="G84" s="1075"/>
    </row>
    <row r="85" spans="1:7" s="2" customFormat="1" ht="15.75" customHeight="1">
      <c r="A85" s="947"/>
      <c r="B85" s="980"/>
      <c r="C85" s="16"/>
      <c r="D85" s="58"/>
      <c r="E85" s="17"/>
      <c r="F85" s="55"/>
      <c r="G85" s="57">
        <f>SUM(F79:F85)</f>
        <v>55743.090495000011</v>
      </c>
    </row>
    <row r="86" spans="1:7" s="2" customFormat="1" ht="15.75" customHeight="1">
      <c r="A86" s="1071" t="s">
        <v>15</v>
      </c>
      <c r="B86" s="944"/>
      <c r="C86" s="944"/>
      <c r="D86" s="944"/>
      <c r="E86" s="944"/>
      <c r="F86" s="944"/>
      <c r="G86" s="1072"/>
    </row>
    <row r="87" spans="1:7" s="2" customFormat="1" ht="15.75" customHeight="1">
      <c r="A87" s="1074" t="s">
        <v>2</v>
      </c>
      <c r="B87" s="944"/>
      <c r="C87" s="53" t="s">
        <v>3</v>
      </c>
      <c r="D87" s="53" t="s">
        <v>4</v>
      </c>
      <c r="E87" s="53" t="s">
        <v>6</v>
      </c>
      <c r="F87" s="53" t="s">
        <v>11</v>
      </c>
      <c r="G87" s="1075" t="s">
        <v>8</v>
      </c>
    </row>
    <row r="88" spans="1:7" s="2" customFormat="1" ht="15.75" customHeight="1">
      <c r="A88" s="943" t="s">
        <v>311</v>
      </c>
      <c r="B88" s="944"/>
      <c r="C88" s="16" t="s">
        <v>321</v>
      </c>
      <c r="D88" s="54">
        <v>3.5000000000000003E-2</v>
      </c>
      <c r="E88" s="17">
        <f>G77</f>
        <v>754.21120100872122</v>
      </c>
      <c r="F88" s="55">
        <f>E88*D88</f>
        <v>26.397392035305245</v>
      </c>
      <c r="G88" s="1075"/>
    </row>
    <row r="89" spans="1:7" s="2" customFormat="1" ht="15.75" customHeight="1">
      <c r="A89" s="943" t="s">
        <v>17</v>
      </c>
      <c r="B89" s="1078"/>
      <c r="C89" s="16" t="s">
        <v>3</v>
      </c>
      <c r="D89" s="54">
        <v>3.5000000000000003E-2</v>
      </c>
      <c r="E89" s="17">
        <f>G85</f>
        <v>55743.090495000011</v>
      </c>
      <c r="F89" s="55">
        <f>E89*D89</f>
        <v>1951.0081673250006</v>
      </c>
      <c r="G89" s="1075"/>
    </row>
    <row r="90" spans="1:7" s="2" customFormat="1" ht="15.75" customHeight="1">
      <c r="A90" s="59"/>
      <c r="B90" s="60"/>
      <c r="C90" s="60"/>
      <c r="D90" s="60"/>
      <c r="E90" s="60"/>
      <c r="F90" s="60"/>
      <c r="G90" s="57">
        <f>SUM(F88:F90)</f>
        <v>1977.4055593603059</v>
      </c>
    </row>
    <row r="91" spans="1:7" s="2" customFormat="1" ht="15.75" customHeight="1">
      <c r="A91" s="1071" t="s">
        <v>19</v>
      </c>
      <c r="B91" s="944"/>
      <c r="C91" s="944"/>
      <c r="D91" s="944"/>
      <c r="E91" s="944"/>
      <c r="F91" s="944"/>
      <c r="G91" s="1072"/>
    </row>
    <row r="92" spans="1:7" s="2" customFormat="1" ht="15.75" customHeight="1">
      <c r="A92" s="1074" t="s">
        <v>2</v>
      </c>
      <c r="B92" s="944"/>
      <c r="C92" s="53" t="s">
        <v>3</v>
      </c>
      <c r="D92" s="53" t="s">
        <v>4</v>
      </c>
      <c r="E92" s="53" t="s">
        <v>6</v>
      </c>
      <c r="F92" s="53" t="s">
        <v>11</v>
      </c>
      <c r="G92" s="456" t="s">
        <v>8</v>
      </c>
    </row>
    <row r="93" spans="1:7" s="2" customFormat="1" ht="15" customHeight="1">
      <c r="A93" s="978" t="s">
        <v>1248</v>
      </c>
      <c r="B93" s="979"/>
      <c r="C93" s="16" t="s">
        <v>1245</v>
      </c>
      <c r="D93" s="32">
        <v>0.35</v>
      </c>
      <c r="E93" s="17">
        <v>16401</v>
      </c>
      <c r="F93" s="14">
        <f>+D93*E93</f>
        <v>5740.3499999999995</v>
      </c>
      <c r="G93" s="57">
        <f>F93</f>
        <v>5740.3499999999995</v>
      </c>
    </row>
    <row r="94" spans="1:7" s="2" customFormat="1" ht="15.75" customHeight="1">
      <c r="A94" s="1076" t="s">
        <v>25</v>
      </c>
      <c r="B94" s="944"/>
      <c r="C94" s="944"/>
      <c r="D94" s="944"/>
      <c r="E94" s="944"/>
      <c r="F94" s="944"/>
      <c r="G94" s="1072"/>
    </row>
    <row r="95" spans="1:7" s="2" customFormat="1" ht="15.75" customHeight="1">
      <c r="A95" s="1077"/>
      <c r="B95" s="944"/>
      <c r="C95" s="944"/>
      <c r="D95" s="944"/>
      <c r="E95" s="944"/>
      <c r="F95" s="944"/>
      <c r="G95" s="62">
        <f>G93+G90+G85+G77</f>
        <v>64215.057255369036</v>
      </c>
    </row>
    <row r="96" spans="1:7" s="2" customFormat="1" ht="15.75" customHeight="1">
      <c r="A96" s="26"/>
      <c r="B96" s="27"/>
      <c r="C96" s="28"/>
      <c r="D96" s="28"/>
      <c r="E96" s="29"/>
      <c r="F96" s="28"/>
      <c r="G96" s="30"/>
    </row>
    <row r="97" spans="1:7" s="2" customFormat="1" ht="14.25" customHeight="1">
      <c r="A97" s="970" t="s">
        <v>1</v>
      </c>
      <c r="B97" s="957"/>
      <c r="C97" s="953" t="s">
        <v>0</v>
      </c>
      <c r="D97" s="954"/>
      <c r="E97" s="954"/>
      <c r="F97" s="954"/>
      <c r="G97" s="955"/>
    </row>
    <row r="98" spans="1:7" s="2" customFormat="1" ht="67.5" customHeight="1">
      <c r="A98" s="971"/>
      <c r="B98" s="957"/>
      <c r="C98" s="954"/>
      <c r="D98" s="954"/>
      <c r="E98" s="954"/>
      <c r="F98" s="954"/>
      <c r="G98" s="955"/>
    </row>
    <row r="99" spans="1:7" s="2" customFormat="1" ht="15.75" customHeight="1">
      <c r="A99" s="971"/>
      <c r="B99" s="957"/>
      <c r="C99" s="956"/>
      <c r="D99" s="957"/>
      <c r="E99" s="957"/>
      <c r="F99" s="957"/>
      <c r="G99" s="958"/>
    </row>
    <row r="100" spans="1:7" s="2" customFormat="1" ht="15.75" customHeight="1">
      <c r="A100" s="971"/>
      <c r="B100" s="957"/>
      <c r="C100" s="959" t="s">
        <v>2</v>
      </c>
      <c r="D100" s="957"/>
      <c r="E100" s="957"/>
      <c r="F100" s="23" t="s">
        <v>3</v>
      </c>
      <c r="G100" s="24" t="s">
        <v>4</v>
      </c>
    </row>
    <row r="101" spans="1:7" s="2" customFormat="1" ht="65.25" customHeight="1">
      <c r="A101" s="1073" t="s">
        <v>322</v>
      </c>
      <c r="B101" s="944"/>
      <c r="C101" s="980" t="s">
        <v>323</v>
      </c>
      <c r="D101" s="944"/>
      <c r="E101" s="944"/>
      <c r="F101" s="51" t="s">
        <v>100</v>
      </c>
      <c r="G101" s="52">
        <v>54.89</v>
      </c>
    </row>
    <row r="102" spans="1:7" s="2" customFormat="1" ht="15.75" customHeight="1">
      <c r="A102" s="1071" t="s">
        <v>5</v>
      </c>
      <c r="B102" s="944"/>
      <c r="C102" s="944"/>
      <c r="D102" s="944"/>
      <c r="E102" s="944"/>
      <c r="F102" s="944"/>
      <c r="G102" s="1072"/>
    </row>
    <row r="103" spans="1:7" s="2" customFormat="1" ht="15.75" customHeight="1">
      <c r="A103" s="1074" t="s">
        <v>2</v>
      </c>
      <c r="B103" s="944"/>
      <c r="C103" s="53" t="s">
        <v>3</v>
      </c>
      <c r="D103" s="53" t="s">
        <v>4</v>
      </c>
      <c r="E103" s="53" t="s">
        <v>6</v>
      </c>
      <c r="F103" s="53" t="s">
        <v>7</v>
      </c>
      <c r="G103" s="1075" t="s">
        <v>8</v>
      </c>
    </row>
    <row r="104" spans="1:7" s="2" customFormat="1" ht="15.75" customHeight="1">
      <c r="A104" s="947" t="s">
        <v>262</v>
      </c>
      <c r="B104" s="944"/>
      <c r="C104" s="51" t="s">
        <v>3</v>
      </c>
      <c r="D104" s="117">
        <v>0.05</v>
      </c>
      <c r="E104" s="17">
        <f>G119</f>
        <v>1841.6000000000001</v>
      </c>
      <c r="F104" s="55">
        <f>D104*E104</f>
        <v>92.080000000000013</v>
      </c>
      <c r="G104" s="1075"/>
    </row>
    <row r="105" spans="1:7" s="2" customFormat="1" ht="15.75" customHeight="1">
      <c r="A105" s="947" t="s">
        <v>324</v>
      </c>
      <c r="B105" s="980"/>
      <c r="C105" s="51" t="s">
        <v>60</v>
      </c>
      <c r="D105" s="117">
        <v>0.01</v>
      </c>
      <c r="E105" s="17">
        <f>'MAQUINARIA Y EQUIPOS'!F17</f>
        <v>41650</v>
      </c>
      <c r="F105" s="55">
        <f>D105*E105</f>
        <v>416.5</v>
      </c>
      <c r="G105" s="1075"/>
    </row>
    <row r="106" spans="1:7" s="2" customFormat="1" ht="15.75" customHeight="1">
      <c r="A106" s="1079"/>
      <c r="B106" s="944"/>
      <c r="C106" s="51"/>
      <c r="D106" s="56"/>
      <c r="E106" s="56"/>
      <c r="F106" s="55"/>
      <c r="G106" s="57">
        <f>SUM(F103:F106)</f>
        <v>508.58000000000004</v>
      </c>
    </row>
    <row r="107" spans="1:7" s="2" customFormat="1" ht="15.75" customHeight="1">
      <c r="A107" s="1071" t="s">
        <v>10</v>
      </c>
      <c r="B107" s="944"/>
      <c r="C107" s="944"/>
      <c r="D107" s="944"/>
      <c r="E107" s="944"/>
      <c r="F107" s="944"/>
      <c r="G107" s="1072"/>
    </row>
    <row r="108" spans="1:7" s="2" customFormat="1" ht="15.75" customHeight="1">
      <c r="A108" s="1074" t="s">
        <v>2</v>
      </c>
      <c r="B108" s="944"/>
      <c r="C108" s="53" t="s">
        <v>3</v>
      </c>
      <c r="D108" s="53" t="s">
        <v>4</v>
      </c>
      <c r="E108" s="53" t="s">
        <v>6</v>
      </c>
      <c r="F108" s="53" t="s">
        <v>11</v>
      </c>
      <c r="G108" s="1075" t="s">
        <v>8</v>
      </c>
    </row>
    <row r="109" spans="1:7" s="2" customFormat="1" ht="15.75" customHeight="1">
      <c r="A109" s="947" t="s">
        <v>325</v>
      </c>
      <c r="B109" s="944"/>
      <c r="C109" s="16" t="s">
        <v>100</v>
      </c>
      <c r="D109" s="58">
        <v>1.2</v>
      </c>
      <c r="E109" s="17">
        <f>'INSUMOS '!E5</f>
        <v>37157</v>
      </c>
      <c r="F109" s="55">
        <f>E109*D109</f>
        <v>44588.4</v>
      </c>
      <c r="G109" s="1075"/>
    </row>
    <row r="110" spans="1:7" s="2" customFormat="1" ht="28.95" customHeight="1">
      <c r="A110" s="947" t="s">
        <v>1089</v>
      </c>
      <c r="B110" s="980"/>
      <c r="C110" s="16" t="s">
        <v>28</v>
      </c>
      <c r="D110" s="58">
        <v>7.0000000000000007E-2</v>
      </c>
      <c r="E110" s="17">
        <f>'INSUMOS '!E109</f>
        <v>6300</v>
      </c>
      <c r="F110" s="55">
        <f>E110*D110</f>
        <v>441.00000000000006</v>
      </c>
      <c r="G110" s="1075"/>
    </row>
    <row r="111" spans="1:7" s="2" customFormat="1" ht="15.75" customHeight="1">
      <c r="A111" s="947"/>
      <c r="B111" s="944"/>
      <c r="C111" s="16"/>
      <c r="D111" s="58"/>
      <c r="E111" s="17"/>
      <c r="F111" s="55"/>
      <c r="G111" s="57">
        <f>SUM(F108:F111)</f>
        <v>45029.4</v>
      </c>
    </row>
    <row r="112" spans="1:7" s="2" customFormat="1" ht="15.75" customHeight="1">
      <c r="A112" s="1071" t="s">
        <v>15</v>
      </c>
      <c r="B112" s="944"/>
      <c r="C112" s="944"/>
      <c r="D112" s="944"/>
      <c r="E112" s="944"/>
      <c r="F112" s="944"/>
      <c r="G112" s="1072"/>
    </row>
    <row r="113" spans="1:7" s="2" customFormat="1" ht="15.75" customHeight="1">
      <c r="A113" s="1074" t="s">
        <v>2</v>
      </c>
      <c r="B113" s="944"/>
      <c r="C113" s="53" t="s">
        <v>3</v>
      </c>
      <c r="D113" s="53" t="s">
        <v>4</v>
      </c>
      <c r="E113" s="53" t="s">
        <v>6</v>
      </c>
      <c r="F113" s="53" t="s">
        <v>11</v>
      </c>
      <c r="G113" s="1075" t="s">
        <v>8</v>
      </c>
    </row>
    <row r="114" spans="1:7" s="2" customFormat="1" ht="15.75" customHeight="1">
      <c r="A114" s="943" t="s">
        <v>311</v>
      </c>
      <c r="B114" s="944"/>
      <c r="C114" s="16" t="s">
        <v>321</v>
      </c>
      <c r="D114" s="54">
        <v>3.5000000000000003E-2</v>
      </c>
      <c r="E114" s="17">
        <f>G106</f>
        <v>508.58000000000004</v>
      </c>
      <c r="F114" s="55">
        <f>E114*D114</f>
        <v>17.800300000000004</v>
      </c>
      <c r="G114" s="1075"/>
    </row>
    <row r="115" spans="1:7" s="2" customFormat="1" ht="15.75" customHeight="1">
      <c r="A115" s="943" t="s">
        <v>17</v>
      </c>
      <c r="B115" s="1078"/>
      <c r="C115" s="16" t="s">
        <v>3</v>
      </c>
      <c r="D115" s="54">
        <v>3.5000000000000003E-2</v>
      </c>
      <c r="E115" s="17">
        <f>G111</f>
        <v>45029.4</v>
      </c>
      <c r="F115" s="55">
        <f>E115*D115</f>
        <v>1576.0290000000002</v>
      </c>
      <c r="G115" s="1075"/>
    </row>
    <row r="116" spans="1:7" s="2" customFormat="1" ht="15.75" customHeight="1">
      <c r="A116" s="59"/>
      <c r="B116" s="60"/>
      <c r="C116" s="60"/>
      <c r="D116" s="60"/>
      <c r="E116" s="60"/>
      <c r="F116" s="60"/>
      <c r="G116" s="57">
        <f>SUM(F114:F116)</f>
        <v>1593.8293000000003</v>
      </c>
    </row>
    <row r="117" spans="1:7" s="2" customFormat="1" ht="15.75" customHeight="1">
      <c r="A117" s="1071" t="s">
        <v>19</v>
      </c>
      <c r="B117" s="944"/>
      <c r="C117" s="944"/>
      <c r="D117" s="944"/>
      <c r="E117" s="944"/>
      <c r="F117" s="944"/>
      <c r="G117" s="1072"/>
    </row>
    <row r="118" spans="1:7" s="2" customFormat="1" ht="15.75" customHeight="1">
      <c r="A118" s="1074" t="s">
        <v>2</v>
      </c>
      <c r="B118" s="944"/>
      <c r="C118" s="53" t="s">
        <v>3</v>
      </c>
      <c r="D118" s="53" t="s">
        <v>4</v>
      </c>
      <c r="E118" s="53" t="s">
        <v>6</v>
      </c>
      <c r="F118" s="53" t="s">
        <v>11</v>
      </c>
      <c r="G118" s="456" t="s">
        <v>8</v>
      </c>
    </row>
    <row r="119" spans="1:7" s="2" customFormat="1" ht="15" customHeight="1">
      <c r="A119" s="978" t="str">
        <f>+SALARIOS!A58</f>
        <v>CUADRILLA AA ALBAÑILERÍA 0:1</v>
      </c>
      <c r="B119" s="979"/>
      <c r="C119" s="16" t="s">
        <v>1245</v>
      </c>
      <c r="D119" s="32">
        <v>0.2</v>
      </c>
      <c r="E119" s="17">
        <f>+SALARIOS!C58</f>
        <v>9208</v>
      </c>
      <c r="F119" s="14">
        <f>+D119*E119</f>
        <v>1841.6000000000001</v>
      </c>
      <c r="G119" s="57">
        <f>F119</f>
        <v>1841.6000000000001</v>
      </c>
    </row>
    <row r="120" spans="1:7" s="2" customFormat="1" ht="15.75" customHeight="1">
      <c r="A120" s="1076" t="s">
        <v>25</v>
      </c>
      <c r="B120" s="944"/>
      <c r="C120" s="944"/>
      <c r="D120" s="944"/>
      <c r="E120" s="944"/>
      <c r="F120" s="944"/>
      <c r="G120" s="1072"/>
    </row>
    <row r="121" spans="1:7" s="2" customFormat="1" ht="15.75" customHeight="1">
      <c r="A121" s="1077"/>
      <c r="B121" s="944"/>
      <c r="C121" s="944"/>
      <c r="D121" s="944"/>
      <c r="E121" s="944"/>
      <c r="F121" s="944"/>
      <c r="G121" s="62">
        <f>G119+G116+G111+G106</f>
        <v>48973.409300000007</v>
      </c>
    </row>
    <row r="122" spans="1:7" s="2" customFormat="1" ht="20.399999999999999">
      <c r="A122" s="26"/>
      <c r="B122" s="27"/>
      <c r="C122" s="28"/>
      <c r="D122" s="28"/>
      <c r="E122" s="29"/>
      <c r="F122" s="28"/>
      <c r="G122" s="30"/>
    </row>
    <row r="123" spans="1:7" s="2" customFormat="1" ht="14.25" customHeight="1">
      <c r="A123" s="970" t="s">
        <v>1</v>
      </c>
      <c r="B123" s="957"/>
      <c r="C123" s="953" t="s">
        <v>0</v>
      </c>
      <c r="D123" s="954"/>
      <c r="E123" s="954"/>
      <c r="F123" s="954"/>
      <c r="G123" s="955"/>
    </row>
    <row r="124" spans="1:7" s="2" customFormat="1" ht="49.5" customHeight="1">
      <c r="A124" s="971"/>
      <c r="B124" s="957"/>
      <c r="C124" s="954"/>
      <c r="D124" s="954"/>
      <c r="E124" s="954"/>
      <c r="F124" s="954"/>
      <c r="G124" s="955"/>
    </row>
    <row r="125" spans="1:7" s="2" customFormat="1" ht="15.75" customHeight="1">
      <c r="A125" s="971"/>
      <c r="B125" s="957"/>
      <c r="C125" s="956"/>
      <c r="D125" s="957"/>
      <c r="E125" s="957"/>
      <c r="F125" s="957"/>
      <c r="G125" s="958"/>
    </row>
    <row r="126" spans="1:7" s="2" customFormat="1" ht="13.8">
      <c r="A126" s="971"/>
      <c r="B126" s="957"/>
      <c r="C126" s="959" t="s">
        <v>2</v>
      </c>
      <c r="D126" s="957"/>
      <c r="E126" s="957"/>
      <c r="F126" s="23" t="s">
        <v>3</v>
      </c>
      <c r="G126" s="24" t="s">
        <v>4</v>
      </c>
    </row>
    <row r="127" spans="1:7" s="2" customFormat="1" ht="97.5" customHeight="1">
      <c r="A127" s="1073" t="s">
        <v>326</v>
      </c>
      <c r="B127" s="944"/>
      <c r="C127" s="980" t="s">
        <v>327</v>
      </c>
      <c r="D127" s="944"/>
      <c r="E127" s="944"/>
      <c r="F127" s="51" t="s">
        <v>37</v>
      </c>
      <c r="G127" s="52">
        <v>68</v>
      </c>
    </row>
    <row r="128" spans="1:7" s="2" customFormat="1" ht="15.75" customHeight="1">
      <c r="A128" s="1071" t="s">
        <v>5</v>
      </c>
      <c r="B128" s="944"/>
      <c r="C128" s="944"/>
      <c r="D128" s="944"/>
      <c r="E128" s="944"/>
      <c r="F128" s="944"/>
      <c r="G128" s="1072"/>
    </row>
    <row r="129" spans="1:7" s="2" customFormat="1" ht="15.75" customHeight="1">
      <c r="A129" s="1074" t="s">
        <v>2</v>
      </c>
      <c r="B129" s="944"/>
      <c r="C129" s="53" t="s">
        <v>3</v>
      </c>
      <c r="D129" s="53" t="s">
        <v>4</v>
      </c>
      <c r="E129" s="53" t="s">
        <v>6</v>
      </c>
      <c r="F129" s="53" t="s">
        <v>7</v>
      </c>
      <c r="G129" s="1075" t="s">
        <v>8</v>
      </c>
    </row>
    <row r="130" spans="1:7" s="2" customFormat="1" ht="15.75" customHeight="1">
      <c r="A130" s="947" t="s">
        <v>328</v>
      </c>
      <c r="B130" s="980"/>
      <c r="C130" s="51" t="s">
        <v>3</v>
      </c>
      <c r="D130" s="54">
        <v>0.05</v>
      </c>
      <c r="E130" s="17">
        <f>G155</f>
        <v>3280.2000000000003</v>
      </c>
      <c r="F130" s="55">
        <f>D130*E130</f>
        <v>164.01000000000002</v>
      </c>
      <c r="G130" s="1072"/>
    </row>
    <row r="131" spans="1:7" s="2" customFormat="1" ht="15.75" customHeight="1">
      <c r="A131" s="947" t="s">
        <v>101</v>
      </c>
      <c r="B131" s="980"/>
      <c r="C131" s="51" t="s">
        <v>60</v>
      </c>
      <c r="D131" s="54">
        <v>0.08</v>
      </c>
      <c r="E131" s="17">
        <f>'MAQUINARIA Y EQUIPOS'!F19</f>
        <v>45763.829999999994</v>
      </c>
      <c r="F131" s="55">
        <f>D131*E131</f>
        <v>3661.1063999999997</v>
      </c>
      <c r="G131" s="123"/>
    </row>
    <row r="132" spans="1:7" s="2" customFormat="1" ht="27.6" customHeight="1">
      <c r="A132" s="947" t="s">
        <v>329</v>
      </c>
      <c r="B132" s="980"/>
      <c r="C132" s="51" t="s">
        <v>60</v>
      </c>
      <c r="D132" s="54">
        <v>0.1</v>
      </c>
      <c r="E132" s="17">
        <f>'MAQUINARIA Y EQUIPOS'!F12</f>
        <v>48790</v>
      </c>
      <c r="F132" s="55">
        <f>D132*E132</f>
        <v>4879</v>
      </c>
      <c r="G132" s="123"/>
    </row>
    <row r="133" spans="1:7" s="2" customFormat="1" ht="15.75" customHeight="1">
      <c r="A133" s="947" t="s">
        <v>330</v>
      </c>
      <c r="B133" s="980"/>
      <c r="C133" s="51" t="s">
        <v>60</v>
      </c>
      <c r="D133" s="54">
        <v>2.1000000000000001E-2</v>
      </c>
      <c r="E133" s="17">
        <f>'MAQUINARIA Y EQUIPOS'!F17</f>
        <v>41650</v>
      </c>
      <c r="F133" s="55">
        <f>D133*E133</f>
        <v>874.65000000000009</v>
      </c>
      <c r="G133" s="123"/>
    </row>
    <row r="134" spans="1:7" s="2" customFormat="1" ht="13.8">
      <c r="A134" s="1079"/>
      <c r="B134" s="944"/>
      <c r="C134" s="56"/>
      <c r="D134" s="56"/>
      <c r="E134" s="56"/>
      <c r="F134" s="55"/>
      <c r="G134" s="57">
        <f>SUM(F129:F134)</f>
        <v>9578.7663999999986</v>
      </c>
    </row>
    <row r="135" spans="1:7" s="2" customFormat="1" ht="15.75" customHeight="1">
      <c r="A135" s="1071" t="s">
        <v>10</v>
      </c>
      <c r="B135" s="944"/>
      <c r="C135" s="944"/>
      <c r="D135" s="944"/>
      <c r="E135" s="944"/>
      <c r="F135" s="944"/>
      <c r="G135" s="1072"/>
    </row>
    <row r="136" spans="1:7" s="2" customFormat="1" ht="15.75" customHeight="1">
      <c r="A136" s="1074" t="s">
        <v>2</v>
      </c>
      <c r="B136" s="944"/>
      <c r="C136" s="53" t="s">
        <v>3</v>
      </c>
      <c r="D136" s="53" t="s">
        <v>4</v>
      </c>
      <c r="E136" s="53" t="s">
        <v>6</v>
      </c>
      <c r="F136" s="53" t="s">
        <v>11</v>
      </c>
      <c r="G136" s="1075" t="s">
        <v>8</v>
      </c>
    </row>
    <row r="137" spans="1:7" s="2" customFormat="1" ht="15.75" customHeight="1">
      <c r="A137" s="943" t="s">
        <v>331</v>
      </c>
      <c r="B137" s="1078"/>
      <c r="C137" s="51" t="s">
        <v>3</v>
      </c>
      <c r="D137" s="54">
        <v>9</v>
      </c>
      <c r="E137" s="17">
        <f>'INSUMOS '!E181</f>
        <v>2600</v>
      </c>
      <c r="F137" s="55">
        <f t="shared" ref="F137:F143" si="1">D137*E137</f>
        <v>23400</v>
      </c>
      <c r="G137" s="1075"/>
    </row>
    <row r="138" spans="1:7" s="2" customFormat="1" ht="15.75" customHeight="1">
      <c r="A138" s="943" t="s">
        <v>114</v>
      </c>
      <c r="B138" s="1078"/>
      <c r="C138" s="51" t="s">
        <v>39</v>
      </c>
      <c r="D138" s="54">
        <v>7.4000000000000003E-3</v>
      </c>
      <c r="E138" s="17">
        <f>SUBANÁLISIS!G146</f>
        <v>702267.57499999995</v>
      </c>
      <c r="F138" s="55">
        <f t="shared" si="1"/>
        <v>5196.7800550000002</v>
      </c>
      <c r="G138" s="1075"/>
    </row>
    <row r="139" spans="1:7" s="2" customFormat="1" ht="15.75" customHeight="1">
      <c r="A139" s="943" t="s">
        <v>332</v>
      </c>
      <c r="B139" s="1078"/>
      <c r="C139" s="51" t="s">
        <v>39</v>
      </c>
      <c r="D139" s="54">
        <v>0.08</v>
      </c>
      <c r="E139" s="17">
        <v>539971.05833333335</v>
      </c>
      <c r="F139" s="55">
        <f t="shared" si="1"/>
        <v>43197.684666666668</v>
      </c>
      <c r="G139" s="1075"/>
    </row>
    <row r="140" spans="1:7" s="2" customFormat="1" ht="15.75" customHeight="1">
      <c r="A140" s="947" t="s">
        <v>325</v>
      </c>
      <c r="B140" s="944"/>
      <c r="C140" s="16" t="s">
        <v>100</v>
      </c>
      <c r="D140" s="58">
        <v>1.2</v>
      </c>
      <c r="E140" s="17">
        <f>'INSUMOS '!E5</f>
        <v>37157</v>
      </c>
      <c r="F140" s="55">
        <f t="shared" si="1"/>
        <v>44588.4</v>
      </c>
      <c r="G140" s="1075"/>
    </row>
    <row r="141" spans="1:7" s="2" customFormat="1" ht="27" customHeight="1">
      <c r="A141" s="947" t="s">
        <v>1089</v>
      </c>
      <c r="B141" s="980"/>
      <c r="C141" s="16" t="s">
        <v>28</v>
      </c>
      <c r="D141" s="58">
        <v>7.0000000000000007E-2</v>
      </c>
      <c r="E141" s="17">
        <f>'INSUMOS '!E109</f>
        <v>6300</v>
      </c>
      <c r="F141" s="55">
        <f t="shared" si="1"/>
        <v>441.00000000000006</v>
      </c>
      <c r="G141" s="1075"/>
    </row>
    <row r="142" spans="1:7" s="2" customFormat="1" ht="15.75" customHeight="1">
      <c r="A142" s="943" t="s">
        <v>118</v>
      </c>
      <c r="B142" s="1078"/>
      <c r="C142" s="51" t="s">
        <v>37</v>
      </c>
      <c r="D142" s="54">
        <v>1.2</v>
      </c>
      <c r="E142" s="17">
        <f>'INSUMOS '!E58</f>
        <v>6304.9645390070918</v>
      </c>
      <c r="F142" s="55">
        <f t="shared" si="1"/>
        <v>7565.9574468085102</v>
      </c>
      <c r="G142" s="1075"/>
    </row>
    <row r="143" spans="1:7" s="2" customFormat="1" ht="15.75" customHeight="1">
      <c r="A143" s="943" t="s">
        <v>333</v>
      </c>
      <c r="B143" s="1078"/>
      <c r="C143" s="51" t="s">
        <v>34</v>
      </c>
      <c r="D143" s="54">
        <v>0.77600000000000002</v>
      </c>
      <c r="E143" s="17">
        <f>'INSUMOS '!E12</f>
        <v>5033</v>
      </c>
      <c r="F143" s="55">
        <f t="shared" si="1"/>
        <v>3905.6080000000002</v>
      </c>
      <c r="G143" s="1075"/>
    </row>
    <row r="144" spans="1:7" s="2" customFormat="1" ht="15.75" customHeight="1">
      <c r="A144" s="976" t="s">
        <v>63</v>
      </c>
      <c r="B144" s="977"/>
      <c r="C144" s="9" t="s">
        <v>3</v>
      </c>
      <c r="D144" s="16">
        <v>2.1</v>
      </c>
      <c r="E144" s="17">
        <f>'INSUMOS '!E21</f>
        <v>3244.1860465116279</v>
      </c>
      <c r="F144" s="55">
        <f>E144*D144</f>
        <v>6812.7906976744189</v>
      </c>
      <c r="G144" s="1075"/>
    </row>
    <row r="145" spans="1:7" s="2" customFormat="1" ht="15.75" customHeight="1">
      <c r="A145" s="976" t="s">
        <v>64</v>
      </c>
      <c r="B145" s="977"/>
      <c r="C145" s="9" t="s">
        <v>37</v>
      </c>
      <c r="D145" s="58">
        <v>0.25</v>
      </c>
      <c r="E145" s="17">
        <f>'INSUMOS '!E23</f>
        <v>67049.18032786886</v>
      </c>
      <c r="F145" s="55">
        <f>E145*D145</f>
        <v>16762.295081967215</v>
      </c>
      <c r="G145" s="1075"/>
    </row>
    <row r="146" spans="1:7" s="2" customFormat="1" ht="15.75" customHeight="1">
      <c r="A146" s="947" t="s">
        <v>334</v>
      </c>
      <c r="B146" s="944"/>
      <c r="C146" s="16" t="s">
        <v>39</v>
      </c>
      <c r="D146" s="16">
        <v>0.02</v>
      </c>
      <c r="E146" s="17">
        <f>'INSUMOS '!E26</f>
        <v>408750</v>
      </c>
      <c r="F146" s="55">
        <f>E146*D146</f>
        <v>8175</v>
      </c>
      <c r="G146" s="1075"/>
    </row>
    <row r="147" spans="1:7" s="2" customFormat="1" ht="15.75" customHeight="1">
      <c r="A147" s="947"/>
      <c r="B147" s="944"/>
      <c r="C147" s="16"/>
      <c r="D147" s="58"/>
      <c r="E147" s="17"/>
      <c r="F147" s="55"/>
      <c r="G147" s="57">
        <f>SUM(F136:F147)</f>
        <v>160045.51594811681</v>
      </c>
    </row>
    <row r="148" spans="1:7" s="2" customFormat="1" ht="15.75" customHeight="1">
      <c r="A148" s="1071" t="s">
        <v>15</v>
      </c>
      <c r="B148" s="944"/>
      <c r="C148" s="944"/>
      <c r="D148" s="944"/>
      <c r="E148" s="944"/>
      <c r="F148" s="944"/>
      <c r="G148" s="1072"/>
    </row>
    <row r="149" spans="1:7" s="2" customFormat="1" ht="15.75" customHeight="1">
      <c r="A149" s="1074" t="s">
        <v>2</v>
      </c>
      <c r="B149" s="944"/>
      <c r="C149" s="53" t="s">
        <v>3</v>
      </c>
      <c r="D149" s="53" t="s">
        <v>4</v>
      </c>
      <c r="E149" s="53" t="s">
        <v>6</v>
      </c>
      <c r="F149" s="53" t="s">
        <v>11</v>
      </c>
      <c r="G149" s="1075" t="s">
        <v>8</v>
      </c>
    </row>
    <row r="150" spans="1:7" s="2" customFormat="1" ht="15.75" customHeight="1">
      <c r="A150" s="943" t="s">
        <v>173</v>
      </c>
      <c r="B150" s="944"/>
      <c r="C150" s="16" t="s">
        <v>3</v>
      </c>
      <c r="D150" s="54">
        <v>3.5000000000000003E-2</v>
      </c>
      <c r="E150" s="17">
        <f>+G147</f>
        <v>160045.51594811681</v>
      </c>
      <c r="F150" s="55">
        <f>E150*D150</f>
        <v>5601.5930581840885</v>
      </c>
      <c r="G150" s="1075"/>
    </row>
    <row r="151" spans="1:7" s="2" customFormat="1" ht="15.75" customHeight="1">
      <c r="A151" s="943" t="s">
        <v>335</v>
      </c>
      <c r="B151" s="1078"/>
      <c r="C151" s="16" t="s">
        <v>3</v>
      </c>
      <c r="D151" s="54">
        <v>3.5000000000000003E-2</v>
      </c>
      <c r="E151" s="17">
        <f>G134</f>
        <v>9578.7663999999986</v>
      </c>
      <c r="F151" s="55">
        <f>E151*D151</f>
        <v>335.25682399999999</v>
      </c>
      <c r="G151" s="1075"/>
    </row>
    <row r="152" spans="1:7" s="2" customFormat="1" ht="15.75" customHeight="1">
      <c r="A152" s="59"/>
      <c r="B152" s="60"/>
      <c r="C152" s="60"/>
      <c r="D152" s="60"/>
      <c r="E152" s="60"/>
      <c r="F152" s="60"/>
      <c r="G152" s="57">
        <f>SUM(F150:F152)</f>
        <v>5936.8498821840885</v>
      </c>
    </row>
    <row r="153" spans="1:7" s="2" customFormat="1" ht="15.75" customHeight="1">
      <c r="A153" s="1071" t="s">
        <v>19</v>
      </c>
      <c r="B153" s="944"/>
      <c r="C153" s="944"/>
      <c r="D153" s="944"/>
      <c r="E153" s="944"/>
      <c r="F153" s="944"/>
      <c r="G153" s="1072"/>
    </row>
    <row r="154" spans="1:7" s="2" customFormat="1" ht="15.75" customHeight="1">
      <c r="A154" s="1074" t="s">
        <v>2</v>
      </c>
      <c r="B154" s="944"/>
      <c r="C154" s="53" t="s">
        <v>3</v>
      </c>
      <c r="D154" s="53" t="s">
        <v>4</v>
      </c>
      <c r="E154" s="53" t="s">
        <v>6</v>
      </c>
      <c r="F154" s="53" t="s">
        <v>11</v>
      </c>
      <c r="G154" s="456" t="s">
        <v>8</v>
      </c>
    </row>
    <row r="155" spans="1:7" s="2" customFormat="1" ht="15" customHeight="1">
      <c r="A155" s="978" t="s">
        <v>1281</v>
      </c>
      <c r="B155" s="979"/>
      <c r="C155" s="16" t="s">
        <v>1245</v>
      </c>
      <c r="D155" s="32">
        <v>0.2</v>
      </c>
      <c r="E155" s="17">
        <v>16401</v>
      </c>
      <c r="F155" s="14">
        <f>+D155*E155</f>
        <v>3280.2000000000003</v>
      </c>
      <c r="G155" s="57">
        <f>F155</f>
        <v>3280.2000000000003</v>
      </c>
    </row>
    <row r="156" spans="1:7" s="2" customFormat="1" ht="15.75" customHeight="1">
      <c r="A156" s="1076" t="s">
        <v>25</v>
      </c>
      <c r="B156" s="944"/>
      <c r="C156" s="944"/>
      <c r="D156" s="944"/>
      <c r="E156" s="944"/>
      <c r="F156" s="944"/>
      <c r="G156" s="1072"/>
    </row>
    <row r="157" spans="1:7" s="2" customFormat="1" ht="15.75" customHeight="1">
      <c r="A157" s="1077"/>
      <c r="B157" s="944"/>
      <c r="C157" s="944"/>
      <c r="D157" s="944"/>
      <c r="E157" s="944"/>
      <c r="F157" s="944"/>
      <c r="G157" s="62">
        <f>G155+G152+G147+G134</f>
        <v>178841.3322303009</v>
      </c>
    </row>
    <row r="158" spans="1:7" s="2" customFormat="1" ht="15.75" customHeight="1">
      <c r="A158" s="112"/>
      <c r="B158" s="113"/>
      <c r="C158" s="113"/>
      <c r="D158" s="113"/>
      <c r="E158" s="113"/>
      <c r="F158" s="113"/>
      <c r="G158" s="124"/>
    </row>
    <row r="159" spans="1:7" s="2" customFormat="1" ht="15.75" customHeight="1">
      <c r="A159" s="970" t="s">
        <v>1</v>
      </c>
      <c r="B159" s="957"/>
      <c r="C159" s="953" t="s">
        <v>0</v>
      </c>
      <c r="D159" s="954"/>
      <c r="E159" s="954"/>
      <c r="F159" s="954"/>
      <c r="G159" s="955"/>
    </row>
    <row r="160" spans="1:7" s="2" customFormat="1" ht="54.75" customHeight="1">
      <c r="A160" s="971"/>
      <c r="B160" s="957"/>
      <c r="C160" s="954"/>
      <c r="D160" s="954"/>
      <c r="E160" s="954"/>
      <c r="F160" s="954"/>
      <c r="G160" s="955"/>
    </row>
    <row r="161" spans="1:7" s="2" customFormat="1" ht="17.399999999999999">
      <c r="A161" s="971"/>
      <c r="B161" s="957"/>
      <c r="C161" s="956"/>
      <c r="D161" s="957"/>
      <c r="E161" s="957"/>
      <c r="F161" s="957"/>
      <c r="G161" s="958"/>
    </row>
    <row r="162" spans="1:7" s="2" customFormat="1" ht="15.75" customHeight="1">
      <c r="A162" s="971"/>
      <c r="B162" s="957"/>
      <c r="C162" s="959" t="s">
        <v>2</v>
      </c>
      <c r="D162" s="957"/>
      <c r="E162" s="957"/>
      <c r="F162" s="23" t="s">
        <v>3</v>
      </c>
      <c r="G162" s="24" t="s">
        <v>4</v>
      </c>
    </row>
    <row r="163" spans="1:7" s="2" customFormat="1" ht="121.5" customHeight="1">
      <c r="A163" s="1073" t="s">
        <v>336</v>
      </c>
      <c r="B163" s="944"/>
      <c r="C163" s="980" t="s">
        <v>337</v>
      </c>
      <c r="D163" s="944"/>
      <c r="E163" s="944"/>
      <c r="F163" s="51" t="s">
        <v>37</v>
      </c>
      <c r="G163" s="52">
        <v>242.09</v>
      </c>
    </row>
    <row r="164" spans="1:7" s="2" customFormat="1" ht="15.75" customHeight="1">
      <c r="A164" s="1071" t="s">
        <v>5</v>
      </c>
      <c r="B164" s="944"/>
      <c r="C164" s="944"/>
      <c r="D164" s="944"/>
      <c r="E164" s="944"/>
      <c r="F164" s="944"/>
      <c r="G164" s="1072"/>
    </row>
    <row r="165" spans="1:7" s="2" customFormat="1" ht="13.8">
      <c r="A165" s="1074" t="s">
        <v>2</v>
      </c>
      <c r="B165" s="944"/>
      <c r="C165" s="53" t="s">
        <v>3</v>
      </c>
      <c r="D165" s="53" t="s">
        <v>4</v>
      </c>
      <c r="E165" s="53" t="s">
        <v>6</v>
      </c>
      <c r="F165" s="53" t="s">
        <v>7</v>
      </c>
      <c r="G165" s="1075" t="s">
        <v>8</v>
      </c>
    </row>
    <row r="166" spans="1:7" s="2" customFormat="1" ht="15.75" customHeight="1">
      <c r="A166" s="947" t="s">
        <v>167</v>
      </c>
      <c r="B166" s="980"/>
      <c r="C166" s="51" t="s">
        <v>3</v>
      </c>
      <c r="D166" s="54">
        <v>0.05</v>
      </c>
      <c r="E166" s="17">
        <f>G186</f>
        <v>8699.25</v>
      </c>
      <c r="F166" s="55">
        <f>D166*E166</f>
        <v>434.96250000000003</v>
      </c>
      <c r="G166" s="1072"/>
    </row>
    <row r="167" spans="1:7" s="2" customFormat="1" ht="15.75" customHeight="1">
      <c r="A167" s="947" t="s">
        <v>1561</v>
      </c>
      <c r="B167" s="944"/>
      <c r="C167" s="51" t="s">
        <v>60</v>
      </c>
      <c r="D167" s="54">
        <v>0.01</v>
      </c>
      <c r="E167" s="17">
        <f>'MAQUINARIA Y EQUIPOS'!F33</f>
        <v>130000</v>
      </c>
      <c r="F167" s="55">
        <f>D167*E167</f>
        <v>1300</v>
      </c>
      <c r="G167" s="1072"/>
    </row>
    <row r="168" spans="1:7" s="2" customFormat="1" ht="15.75" customHeight="1">
      <c r="A168" s="947" t="s">
        <v>338</v>
      </c>
      <c r="B168" s="944"/>
      <c r="C168" s="51" t="s">
        <v>60</v>
      </c>
      <c r="D168" s="54">
        <v>0.01</v>
      </c>
      <c r="E168" s="17">
        <f>'MAQUINARIA Y EQUIPOS'!F15</f>
        <v>92820</v>
      </c>
      <c r="F168" s="55">
        <f>D168*E168</f>
        <v>928.2</v>
      </c>
      <c r="G168" s="1072"/>
    </row>
    <row r="169" spans="1:7" s="2" customFormat="1" ht="15.75" customHeight="1">
      <c r="A169" s="1079"/>
      <c r="B169" s="944"/>
      <c r="C169" s="56"/>
      <c r="D169" s="56"/>
      <c r="E169" s="56"/>
      <c r="F169" s="55"/>
      <c r="G169" s="57">
        <f>SUM(F165:F169)</f>
        <v>2663.1625000000004</v>
      </c>
    </row>
    <row r="170" spans="1:7" s="2" customFormat="1" ht="15.75" customHeight="1">
      <c r="A170" s="1071" t="s">
        <v>10</v>
      </c>
      <c r="B170" s="944"/>
      <c r="C170" s="944"/>
      <c r="D170" s="944"/>
      <c r="E170" s="944"/>
      <c r="F170" s="944"/>
      <c r="G170" s="1072"/>
    </row>
    <row r="171" spans="1:7" s="2" customFormat="1" ht="15.75" customHeight="1">
      <c r="A171" s="1074" t="s">
        <v>2</v>
      </c>
      <c r="B171" s="944"/>
      <c r="C171" s="53" t="s">
        <v>3</v>
      </c>
      <c r="D171" s="53" t="s">
        <v>4</v>
      </c>
      <c r="E171" s="53" t="s">
        <v>6</v>
      </c>
      <c r="F171" s="53" t="s">
        <v>11</v>
      </c>
      <c r="G171" s="1075" t="s">
        <v>8</v>
      </c>
    </row>
    <row r="172" spans="1:7" s="2" customFormat="1" ht="15.75" customHeight="1">
      <c r="A172" s="943" t="s">
        <v>339</v>
      </c>
      <c r="B172" s="1078"/>
      <c r="C172" s="51" t="s">
        <v>39</v>
      </c>
      <c r="D172" s="54">
        <v>0.08</v>
      </c>
      <c r="E172" s="17">
        <f>SUBANÁLISIS!G31</f>
        <v>570669.8666666667</v>
      </c>
      <c r="F172" s="55">
        <f>D172*E172</f>
        <v>45653.589333333337</v>
      </c>
      <c r="G172" s="1075"/>
    </row>
    <row r="173" spans="1:7" s="2" customFormat="1" ht="15.75" customHeight="1">
      <c r="A173" s="947" t="s">
        <v>340</v>
      </c>
      <c r="B173" s="944"/>
      <c r="C173" s="16" t="s">
        <v>39</v>
      </c>
      <c r="D173" s="16">
        <v>1.9E-3</v>
      </c>
      <c r="E173" s="17">
        <f>SUBANÁLISIS!G89</f>
        <v>431833.82500000001</v>
      </c>
      <c r="F173" s="55">
        <f t="shared" ref="F173:F178" si="2">E173*D173</f>
        <v>820.48426749999999</v>
      </c>
      <c r="G173" s="1075"/>
    </row>
    <row r="174" spans="1:7" s="2" customFormat="1" ht="31.5" customHeight="1">
      <c r="A174" s="947" t="s">
        <v>341</v>
      </c>
      <c r="B174" s="944"/>
      <c r="C174" s="16" t="s">
        <v>3</v>
      </c>
      <c r="D174" s="16">
        <v>1.3</v>
      </c>
      <c r="E174" s="17">
        <f>'INSUMOS '!E98</f>
        <v>16000</v>
      </c>
      <c r="F174" s="55">
        <f t="shared" si="2"/>
        <v>20800</v>
      </c>
      <c r="G174" s="1075"/>
    </row>
    <row r="175" spans="1:7" s="2" customFormat="1" ht="30" customHeight="1">
      <c r="A175" s="947" t="s">
        <v>342</v>
      </c>
      <c r="B175" s="944"/>
      <c r="C175" s="16" t="s">
        <v>100</v>
      </c>
      <c r="D175" s="16">
        <v>4</v>
      </c>
      <c r="E175" s="17">
        <f>'INSUMOS '!E141</f>
        <v>600</v>
      </c>
      <c r="F175" s="55">
        <f t="shared" si="2"/>
        <v>2400</v>
      </c>
      <c r="G175" s="1075"/>
    </row>
    <row r="176" spans="1:7" s="2" customFormat="1" ht="15.75" customHeight="1">
      <c r="A176" s="976" t="s">
        <v>63</v>
      </c>
      <c r="B176" s="977"/>
      <c r="C176" s="9" t="s">
        <v>3</v>
      </c>
      <c r="D176" s="16">
        <v>2.5</v>
      </c>
      <c r="E176" s="17">
        <f>'INSUMOS '!E21</f>
        <v>3244.1860465116279</v>
      </c>
      <c r="F176" s="55">
        <f t="shared" si="2"/>
        <v>8110.4651162790697</v>
      </c>
      <c r="G176" s="61"/>
    </row>
    <row r="177" spans="1:7" s="2" customFormat="1" ht="15.75" customHeight="1">
      <c r="A177" s="976" t="s">
        <v>64</v>
      </c>
      <c r="B177" s="977"/>
      <c r="C177" s="9" t="s">
        <v>37</v>
      </c>
      <c r="D177" s="58">
        <v>0.31</v>
      </c>
      <c r="E177" s="17">
        <f>'INSUMOS '!E23</f>
        <v>67049.18032786886</v>
      </c>
      <c r="F177" s="55">
        <f t="shared" si="2"/>
        <v>20785.245901639348</v>
      </c>
      <c r="G177" s="61"/>
    </row>
    <row r="178" spans="1:7" s="2" customFormat="1" ht="15.75" customHeight="1">
      <c r="A178" s="947"/>
      <c r="B178" s="944"/>
      <c r="C178" s="16"/>
      <c r="D178" s="58"/>
      <c r="E178" s="17"/>
      <c r="F178" s="55">
        <f t="shared" si="2"/>
        <v>0</v>
      </c>
      <c r="G178" s="57">
        <f>SUM(F171:F178)</f>
        <v>98569.784618751757</v>
      </c>
    </row>
    <row r="179" spans="1:7" s="2" customFormat="1" ht="15.75" customHeight="1">
      <c r="A179" s="1071" t="s">
        <v>15</v>
      </c>
      <c r="B179" s="944"/>
      <c r="C179" s="944"/>
      <c r="D179" s="944"/>
      <c r="E179" s="944"/>
      <c r="F179" s="944"/>
      <c r="G179" s="1072"/>
    </row>
    <row r="180" spans="1:7" s="2" customFormat="1" ht="15.75" customHeight="1">
      <c r="A180" s="1074" t="s">
        <v>2</v>
      </c>
      <c r="B180" s="944"/>
      <c r="C180" s="53" t="s">
        <v>3</v>
      </c>
      <c r="D180" s="53" t="s">
        <v>4</v>
      </c>
      <c r="E180" s="53" t="s">
        <v>6</v>
      </c>
      <c r="F180" s="53" t="s">
        <v>11</v>
      </c>
      <c r="G180" s="1075" t="s">
        <v>8</v>
      </c>
    </row>
    <row r="181" spans="1:7" s="2" customFormat="1" ht="17.25" customHeight="1">
      <c r="A181" s="943" t="s">
        <v>173</v>
      </c>
      <c r="B181" s="944"/>
      <c r="C181" s="16" t="s">
        <v>3</v>
      </c>
      <c r="D181" s="54">
        <v>3.5000000000000003E-2</v>
      </c>
      <c r="E181" s="17">
        <f>+G178</f>
        <v>98569.784618751757</v>
      </c>
      <c r="F181" s="55">
        <f>E181*D181</f>
        <v>3449.9424616563119</v>
      </c>
      <c r="G181" s="1075"/>
    </row>
    <row r="182" spans="1:7" s="2" customFormat="1" ht="17.25" customHeight="1">
      <c r="A182" s="943" t="s">
        <v>335</v>
      </c>
      <c r="B182" s="1078"/>
      <c r="C182" s="16" t="s">
        <v>3</v>
      </c>
      <c r="D182" s="54">
        <v>3.5000000000000003E-2</v>
      </c>
      <c r="E182" s="17">
        <f>G169</f>
        <v>2663.1625000000004</v>
      </c>
      <c r="F182" s="55">
        <f>E182*D182</f>
        <v>93.21068750000002</v>
      </c>
      <c r="G182" s="1075"/>
    </row>
    <row r="183" spans="1:7" s="2" customFormat="1" ht="13.8">
      <c r="A183" s="59"/>
      <c r="B183" s="60"/>
      <c r="C183" s="60"/>
      <c r="D183" s="60"/>
      <c r="E183" s="60"/>
      <c r="F183" s="60"/>
      <c r="G183" s="57">
        <f>SUM(F181:F183)</f>
        <v>3543.1531491563119</v>
      </c>
    </row>
    <row r="184" spans="1:7" s="2" customFormat="1" ht="15.75" customHeight="1">
      <c r="A184" s="1071" t="s">
        <v>19</v>
      </c>
      <c r="B184" s="944"/>
      <c r="C184" s="944"/>
      <c r="D184" s="944"/>
      <c r="E184" s="944"/>
      <c r="F184" s="944"/>
      <c r="G184" s="1072"/>
    </row>
    <row r="185" spans="1:7" s="2" customFormat="1" ht="15.75" customHeight="1">
      <c r="A185" s="1074" t="s">
        <v>2</v>
      </c>
      <c r="B185" s="944"/>
      <c r="C185" s="53" t="s">
        <v>3</v>
      </c>
      <c r="D185" s="53" t="s">
        <v>4</v>
      </c>
      <c r="E185" s="53" t="s">
        <v>6</v>
      </c>
      <c r="F185" s="53" t="s">
        <v>11</v>
      </c>
      <c r="G185" s="456" t="s">
        <v>8</v>
      </c>
    </row>
    <row r="186" spans="1:7" s="2" customFormat="1" ht="15" customHeight="1">
      <c r="A186" s="978" t="str">
        <f>+SALARIOS!A61</f>
        <v>CUADRILLA AA ALBAÑILERÍA 1:1</v>
      </c>
      <c r="B186" s="979"/>
      <c r="C186" s="16" t="s">
        <v>1245</v>
      </c>
      <c r="D186" s="16">
        <v>0.35</v>
      </c>
      <c r="E186" s="17">
        <f>+SALARIOS!C61</f>
        <v>24855</v>
      </c>
      <c r="F186" s="14">
        <f>+D186*E186</f>
        <v>8699.25</v>
      </c>
      <c r="G186" s="57">
        <f>F186</f>
        <v>8699.25</v>
      </c>
    </row>
    <row r="187" spans="1:7" s="2" customFormat="1" ht="15.75" customHeight="1">
      <c r="A187" s="1076" t="s">
        <v>25</v>
      </c>
      <c r="B187" s="944"/>
      <c r="C187" s="944"/>
      <c r="D187" s="944"/>
      <c r="E187" s="944"/>
      <c r="F187" s="944"/>
      <c r="G187" s="1072"/>
    </row>
    <row r="188" spans="1:7" s="2" customFormat="1" ht="15.75" customHeight="1">
      <c r="A188" s="1077"/>
      <c r="B188" s="944"/>
      <c r="C188" s="944"/>
      <c r="D188" s="944"/>
      <c r="E188" s="944"/>
      <c r="F188" s="944"/>
      <c r="G188" s="62">
        <f>G186+G183+G178+G169</f>
        <v>113475.35026790807</v>
      </c>
    </row>
    <row r="189" spans="1:7" s="2" customFormat="1" ht="15.75" customHeight="1">
      <c r="A189" s="26"/>
      <c r="B189" s="27"/>
      <c r="C189" s="28"/>
      <c r="D189" s="28"/>
      <c r="E189" s="29"/>
      <c r="F189" s="28"/>
      <c r="G189" s="30"/>
    </row>
    <row r="190" spans="1:7" s="2" customFormat="1" ht="15.75" customHeight="1">
      <c r="A190" s="970" t="s">
        <v>1</v>
      </c>
      <c r="B190" s="957"/>
      <c r="C190" s="953" t="s">
        <v>0</v>
      </c>
      <c r="D190" s="954"/>
      <c r="E190" s="954"/>
      <c r="F190" s="954"/>
      <c r="G190" s="955"/>
    </row>
    <row r="191" spans="1:7" s="2" customFormat="1" ht="45" customHeight="1">
      <c r="A191" s="971"/>
      <c r="B191" s="957"/>
      <c r="C191" s="954"/>
      <c r="D191" s="954"/>
      <c r="E191" s="954"/>
      <c r="F191" s="954"/>
      <c r="G191" s="955"/>
    </row>
    <row r="192" spans="1:7" s="2" customFormat="1" ht="15.75" customHeight="1">
      <c r="A192" s="971"/>
      <c r="B192" s="957"/>
      <c r="C192" s="956"/>
      <c r="D192" s="957"/>
      <c r="E192" s="957"/>
      <c r="F192" s="957"/>
      <c r="G192" s="958"/>
    </row>
    <row r="193" spans="1:7" s="2" customFormat="1" ht="15.75" customHeight="1">
      <c r="A193" s="971"/>
      <c r="B193" s="957"/>
      <c r="C193" s="959" t="s">
        <v>2</v>
      </c>
      <c r="D193" s="957"/>
      <c r="E193" s="957"/>
      <c r="F193" s="23" t="s">
        <v>3</v>
      </c>
      <c r="G193" s="24" t="s">
        <v>4</v>
      </c>
    </row>
    <row r="194" spans="1:7" s="2" customFormat="1" ht="83.25" customHeight="1">
      <c r="A194" s="1073" t="s">
        <v>343</v>
      </c>
      <c r="B194" s="944"/>
      <c r="C194" s="980" t="s">
        <v>313</v>
      </c>
      <c r="D194" s="944"/>
      <c r="E194" s="944"/>
      <c r="F194" s="51" t="s">
        <v>100</v>
      </c>
      <c r="G194" s="52">
        <v>72.44</v>
      </c>
    </row>
    <row r="195" spans="1:7" s="2" customFormat="1" ht="15.75" customHeight="1">
      <c r="A195" s="1071" t="s">
        <v>5</v>
      </c>
      <c r="B195" s="944"/>
      <c r="C195" s="944"/>
      <c r="D195" s="944"/>
      <c r="E195" s="944"/>
      <c r="F195" s="944"/>
      <c r="G195" s="1072"/>
    </row>
    <row r="196" spans="1:7" s="2" customFormat="1" ht="15.75" customHeight="1">
      <c r="A196" s="1074" t="s">
        <v>2</v>
      </c>
      <c r="B196" s="944"/>
      <c r="C196" s="53" t="s">
        <v>3</v>
      </c>
      <c r="D196" s="53" t="s">
        <v>4</v>
      </c>
      <c r="E196" s="53" t="s">
        <v>6</v>
      </c>
      <c r="F196" s="53" t="s">
        <v>7</v>
      </c>
      <c r="G196" s="1075" t="s">
        <v>8</v>
      </c>
    </row>
    <row r="197" spans="1:7" s="2" customFormat="1" ht="15.75" customHeight="1">
      <c r="A197" s="947" t="s">
        <v>167</v>
      </c>
      <c r="B197" s="980"/>
      <c r="C197" s="51" t="s">
        <v>3</v>
      </c>
      <c r="D197" s="54">
        <v>0.05</v>
      </c>
      <c r="E197" s="17">
        <f>G213</f>
        <v>11922.05</v>
      </c>
      <c r="F197" s="55">
        <f>D197*E197</f>
        <v>596.10249999999996</v>
      </c>
      <c r="G197" s="1072"/>
    </row>
    <row r="198" spans="1:7" s="2" customFormat="1" ht="15.75" customHeight="1">
      <c r="A198" s="947" t="s">
        <v>168</v>
      </c>
      <c r="B198" s="944"/>
      <c r="C198" s="51" t="s">
        <v>3</v>
      </c>
      <c r="D198" s="54">
        <v>0.33329999999999999</v>
      </c>
      <c r="E198" s="17">
        <f>'MAQUINARIA Y EQUIPOS'!F36</f>
        <v>37900</v>
      </c>
      <c r="F198" s="55">
        <f>D198*E198</f>
        <v>12632.07</v>
      </c>
      <c r="G198" s="1072"/>
    </row>
    <row r="199" spans="1:7" s="2" customFormat="1" ht="15.75" customHeight="1">
      <c r="A199" s="1079"/>
      <c r="B199" s="944"/>
      <c r="C199" s="56"/>
      <c r="D199" s="56"/>
      <c r="E199" s="56"/>
      <c r="F199" s="55"/>
      <c r="G199" s="57">
        <f>SUM(F196:F199)</f>
        <v>13228.172500000001</v>
      </c>
    </row>
    <row r="200" spans="1:7" s="2" customFormat="1" ht="15.75" customHeight="1">
      <c r="A200" s="1071" t="s">
        <v>10</v>
      </c>
      <c r="B200" s="944"/>
      <c r="C200" s="944"/>
      <c r="D200" s="944"/>
      <c r="E200" s="944"/>
      <c r="F200" s="944"/>
      <c r="G200" s="1072"/>
    </row>
    <row r="201" spans="1:7" s="2" customFormat="1" ht="15.75" customHeight="1">
      <c r="A201" s="1074" t="s">
        <v>2</v>
      </c>
      <c r="B201" s="944"/>
      <c r="C201" s="53" t="s">
        <v>3</v>
      </c>
      <c r="D201" s="53" t="s">
        <v>4</v>
      </c>
      <c r="E201" s="53" t="s">
        <v>6</v>
      </c>
      <c r="F201" s="53" t="s">
        <v>11</v>
      </c>
      <c r="G201" s="1075" t="s">
        <v>8</v>
      </c>
    </row>
    <row r="202" spans="1:7" s="2" customFormat="1" ht="15.75" customHeight="1">
      <c r="A202" s="947" t="s">
        <v>169</v>
      </c>
      <c r="B202" s="944"/>
      <c r="C202" s="16" t="s">
        <v>39</v>
      </c>
      <c r="D202" s="54">
        <v>2.5000000000000001E-2</v>
      </c>
      <c r="E202" s="17">
        <f>SUBANÁLISIS!G89</f>
        <v>431833.82500000001</v>
      </c>
      <c r="F202" s="55">
        <f>D202*E202</f>
        <v>10795.845625000002</v>
      </c>
      <c r="G202" s="1072"/>
    </row>
    <row r="203" spans="1:7" s="2" customFormat="1" ht="15.75" customHeight="1">
      <c r="A203" s="947" t="s">
        <v>171</v>
      </c>
      <c r="B203" s="944"/>
      <c r="C203" s="51" t="s">
        <v>100</v>
      </c>
      <c r="D203" s="54">
        <v>2</v>
      </c>
      <c r="E203" s="17">
        <f>'INSUMOS '!E127</f>
        <v>115.55555555555556</v>
      </c>
      <c r="F203" s="55">
        <f>D203*E203</f>
        <v>231.11111111111111</v>
      </c>
      <c r="G203" s="1072"/>
    </row>
    <row r="204" spans="1:7" s="2" customFormat="1" ht="15.75" customHeight="1">
      <c r="A204" s="947" t="s">
        <v>170</v>
      </c>
      <c r="B204" s="980"/>
      <c r="C204" s="16" t="s">
        <v>100</v>
      </c>
      <c r="D204" s="54">
        <v>0.09</v>
      </c>
      <c r="E204" s="17">
        <f>'INSUMOS '!E27</f>
        <v>34396</v>
      </c>
      <c r="F204" s="55">
        <f>D204*E204</f>
        <v>3095.64</v>
      </c>
      <c r="G204" s="1072"/>
    </row>
    <row r="205" spans="1:7" s="2" customFormat="1" ht="29.4" customHeight="1">
      <c r="A205" s="947" t="s">
        <v>172</v>
      </c>
      <c r="B205" s="944"/>
      <c r="C205" s="16" t="s">
        <v>3</v>
      </c>
      <c r="D205" s="54">
        <v>7.143E-3</v>
      </c>
      <c r="E205" s="17">
        <f>'INSUMOS '!E53</f>
        <v>82700</v>
      </c>
      <c r="F205" s="55">
        <f>D205*E205</f>
        <v>590.72609999999997</v>
      </c>
      <c r="G205" s="1072"/>
    </row>
    <row r="206" spans="1:7" s="2" customFormat="1" ht="13.8">
      <c r="A206" s="947"/>
      <c r="B206" s="944"/>
      <c r="C206" s="16"/>
      <c r="D206" s="58"/>
      <c r="E206" s="17"/>
      <c r="F206" s="55"/>
      <c r="G206" s="57">
        <f>SUM(F201:F206)</f>
        <v>14713.322836111112</v>
      </c>
    </row>
    <row r="207" spans="1:7" s="2" customFormat="1" ht="15.75" customHeight="1">
      <c r="A207" s="1071" t="s">
        <v>15</v>
      </c>
      <c r="B207" s="944"/>
      <c r="C207" s="944"/>
      <c r="D207" s="944"/>
      <c r="E207" s="944"/>
      <c r="F207" s="944"/>
      <c r="G207" s="1072"/>
    </row>
    <row r="208" spans="1:7" s="2" customFormat="1" ht="15.75" customHeight="1">
      <c r="A208" s="1074" t="s">
        <v>2</v>
      </c>
      <c r="B208" s="944"/>
      <c r="C208" s="53" t="s">
        <v>3</v>
      </c>
      <c r="D208" s="53" t="s">
        <v>4</v>
      </c>
      <c r="E208" s="53" t="s">
        <v>6</v>
      </c>
      <c r="F208" s="53" t="s">
        <v>11</v>
      </c>
      <c r="G208" s="1075" t="s">
        <v>8</v>
      </c>
    </row>
    <row r="209" spans="1:7" s="2" customFormat="1" ht="15.75" customHeight="1">
      <c r="A209" s="943" t="s">
        <v>173</v>
      </c>
      <c r="B209" s="944"/>
      <c r="C209" s="16" t="s">
        <v>3</v>
      </c>
      <c r="D209" s="54">
        <v>3.5000000000000003E-2</v>
      </c>
      <c r="E209" s="17">
        <f>+G206</f>
        <v>14713.322836111112</v>
      </c>
      <c r="F209" s="55">
        <f>E209*D209</f>
        <v>514.96629926388903</v>
      </c>
      <c r="G209" s="1072"/>
    </row>
    <row r="210" spans="1:7" s="2" customFormat="1" ht="15.75" customHeight="1">
      <c r="A210" s="59"/>
      <c r="B210" s="60"/>
      <c r="C210" s="60"/>
      <c r="D210" s="54"/>
      <c r="E210" s="60"/>
      <c r="F210" s="60"/>
      <c r="G210" s="57">
        <f>SUM(F209:F210)</f>
        <v>514.96629926388903</v>
      </c>
    </row>
    <row r="211" spans="1:7" s="2" customFormat="1" ht="15.75" customHeight="1">
      <c r="A211" s="1071" t="s">
        <v>19</v>
      </c>
      <c r="B211" s="944"/>
      <c r="C211" s="944"/>
      <c r="D211" s="944"/>
      <c r="E211" s="944"/>
      <c r="F211" s="944"/>
      <c r="G211" s="1072"/>
    </row>
    <row r="212" spans="1:7" s="2" customFormat="1" ht="15.75" customHeight="1">
      <c r="A212" s="1074" t="s">
        <v>2</v>
      </c>
      <c r="B212" s="944"/>
      <c r="C212" s="53" t="s">
        <v>3</v>
      </c>
      <c r="D212" s="53" t="s">
        <v>4</v>
      </c>
      <c r="E212" s="53" t="s">
        <v>6</v>
      </c>
      <c r="F212" s="53" t="s">
        <v>11</v>
      </c>
      <c r="G212" s="456" t="s">
        <v>8</v>
      </c>
    </row>
    <row r="213" spans="1:7" s="2" customFormat="1" ht="15" customHeight="1">
      <c r="A213" s="978" t="str">
        <f>+SALARIOS!$A$62</f>
        <v>CUADRILLA AA ALBAÑILERÍA 1:2</v>
      </c>
      <c r="B213" s="979"/>
      <c r="C213" s="16" t="s">
        <v>1245</v>
      </c>
      <c r="D213" s="16">
        <v>0.35</v>
      </c>
      <c r="E213" s="17">
        <f>SALARIOS!$C$62</f>
        <v>34063</v>
      </c>
      <c r="F213" s="14">
        <f>+D213*E213</f>
        <v>11922.05</v>
      </c>
      <c r="G213" s="57">
        <f>F213</f>
        <v>11922.05</v>
      </c>
    </row>
    <row r="214" spans="1:7" s="2" customFormat="1" ht="15.75" customHeight="1">
      <c r="A214" s="1076" t="s">
        <v>25</v>
      </c>
      <c r="B214" s="944"/>
      <c r="C214" s="944"/>
      <c r="D214" s="944"/>
      <c r="E214" s="944"/>
      <c r="F214" s="944"/>
      <c r="G214" s="1072"/>
    </row>
    <row r="215" spans="1:7" s="2" customFormat="1" ht="15.75" customHeight="1">
      <c r="A215" s="1077"/>
      <c r="B215" s="944"/>
      <c r="C215" s="944"/>
      <c r="D215" s="944"/>
      <c r="E215" s="944"/>
      <c r="F215" s="944"/>
      <c r="G215" s="62">
        <f>G213+G210+G206+G199</f>
        <v>40378.511635375005</v>
      </c>
    </row>
    <row r="216" spans="1:7" s="2" customFormat="1" ht="15.75" customHeight="1">
      <c r="A216" s="26"/>
      <c r="B216" s="27"/>
      <c r="C216" s="28"/>
      <c r="D216" s="28"/>
      <c r="E216" s="29"/>
      <c r="F216" s="28"/>
      <c r="G216" s="30"/>
    </row>
    <row r="217" spans="1:7" s="2" customFormat="1" ht="15.75" customHeight="1">
      <c r="A217" s="970" t="s">
        <v>1</v>
      </c>
      <c r="B217" s="957"/>
      <c r="C217" s="953" t="s">
        <v>0</v>
      </c>
      <c r="D217" s="954"/>
      <c r="E217" s="954"/>
      <c r="F217" s="954"/>
      <c r="G217" s="955"/>
    </row>
    <row r="218" spans="1:7" s="2" customFormat="1" ht="50.25" customHeight="1">
      <c r="A218" s="971"/>
      <c r="B218" s="957"/>
      <c r="C218" s="954"/>
      <c r="D218" s="954"/>
      <c r="E218" s="954"/>
      <c r="F218" s="954"/>
      <c r="G218" s="955"/>
    </row>
    <row r="219" spans="1:7" s="2" customFormat="1" ht="15.75" customHeight="1">
      <c r="A219" s="971"/>
      <c r="B219" s="957"/>
      <c r="C219" s="956"/>
      <c r="D219" s="957"/>
      <c r="E219" s="957"/>
      <c r="F219" s="957"/>
      <c r="G219" s="958"/>
    </row>
    <row r="220" spans="1:7" s="2" customFormat="1" ht="15.75" customHeight="1">
      <c r="A220" s="971"/>
      <c r="B220" s="957"/>
      <c r="C220" s="959" t="s">
        <v>2</v>
      </c>
      <c r="D220" s="957"/>
      <c r="E220" s="957"/>
      <c r="F220" s="23" t="s">
        <v>3</v>
      </c>
      <c r="G220" s="24" t="s">
        <v>4</v>
      </c>
    </row>
    <row r="221" spans="1:7" s="2" customFormat="1" ht="45.75" customHeight="1">
      <c r="A221" s="1073" t="s">
        <v>344</v>
      </c>
      <c r="B221" s="944"/>
      <c r="C221" s="980" t="s">
        <v>323</v>
      </c>
      <c r="D221" s="944"/>
      <c r="E221" s="944"/>
      <c r="F221" s="51" t="s">
        <v>100</v>
      </c>
      <c r="G221" s="52">
        <v>4.9000000000000004</v>
      </c>
    </row>
    <row r="222" spans="1:7" s="2" customFormat="1" ht="15.75" customHeight="1">
      <c r="A222" s="1071" t="s">
        <v>5</v>
      </c>
      <c r="B222" s="944"/>
      <c r="C222" s="944"/>
      <c r="D222" s="944"/>
      <c r="E222" s="944"/>
      <c r="F222" s="944"/>
      <c r="G222" s="1072"/>
    </row>
    <row r="223" spans="1:7" s="2" customFormat="1" ht="15.75" customHeight="1">
      <c r="A223" s="1074" t="s">
        <v>2</v>
      </c>
      <c r="B223" s="944"/>
      <c r="C223" s="53" t="s">
        <v>3</v>
      </c>
      <c r="D223" s="53" t="s">
        <v>4</v>
      </c>
      <c r="E223" s="53" t="s">
        <v>6</v>
      </c>
      <c r="F223" s="53" t="s">
        <v>7</v>
      </c>
      <c r="G223" s="1075" t="s">
        <v>8</v>
      </c>
    </row>
    <row r="224" spans="1:7" s="2" customFormat="1" ht="15.75" customHeight="1">
      <c r="A224" s="947" t="s">
        <v>262</v>
      </c>
      <c r="B224" s="944"/>
      <c r="C224" s="51" t="s">
        <v>3</v>
      </c>
      <c r="D224" s="117">
        <v>0.05</v>
      </c>
      <c r="E224" s="17">
        <f>G239</f>
        <v>1011.15</v>
      </c>
      <c r="F224" s="55">
        <f>D224*E224</f>
        <v>50.557500000000005</v>
      </c>
      <c r="G224" s="1075"/>
    </row>
    <row r="225" spans="1:11" s="2" customFormat="1" ht="15.75" customHeight="1">
      <c r="A225" s="947" t="s">
        <v>2385</v>
      </c>
      <c r="B225" s="980"/>
      <c r="C225" s="51" t="s">
        <v>60</v>
      </c>
      <c r="D225" s="117">
        <v>0.01</v>
      </c>
      <c r="E225" s="17">
        <f>'MAQUINARIA Y EQUIPOS'!F17</f>
        <v>41650</v>
      </c>
      <c r="F225" s="55">
        <f>D225*E225</f>
        <v>416.5</v>
      </c>
      <c r="G225" s="1075"/>
    </row>
    <row r="226" spans="1:11" s="2" customFormat="1" ht="15.75" customHeight="1">
      <c r="A226" s="1079"/>
      <c r="B226" s="944"/>
      <c r="C226" s="51"/>
      <c r="D226" s="56"/>
      <c r="E226" s="56"/>
      <c r="F226" s="55"/>
      <c r="G226" s="57">
        <f>SUM(F223:F226)</f>
        <v>467.0575</v>
      </c>
    </row>
    <row r="227" spans="1:11" s="2" customFormat="1" ht="15.75" customHeight="1">
      <c r="A227" s="1071" t="s">
        <v>10</v>
      </c>
      <c r="B227" s="944"/>
      <c r="C227" s="944"/>
      <c r="D227" s="944"/>
      <c r="E227" s="944"/>
      <c r="F227" s="944"/>
      <c r="G227" s="1072"/>
    </row>
    <row r="228" spans="1:11" s="2" customFormat="1" ht="15.75" customHeight="1">
      <c r="A228" s="1074" t="s">
        <v>2</v>
      </c>
      <c r="B228" s="944"/>
      <c r="C228" s="53" t="s">
        <v>3</v>
      </c>
      <c r="D228" s="53" t="s">
        <v>4</v>
      </c>
      <c r="E228" s="53" t="s">
        <v>6</v>
      </c>
      <c r="F228" s="53" t="s">
        <v>11</v>
      </c>
      <c r="G228" s="1075" t="s">
        <v>8</v>
      </c>
    </row>
    <row r="229" spans="1:11" s="2" customFormat="1" ht="15.75" customHeight="1">
      <c r="A229" s="947" t="s">
        <v>325</v>
      </c>
      <c r="B229" s="944"/>
      <c r="C229" s="16" t="s">
        <v>100</v>
      </c>
      <c r="D229" s="58">
        <v>1.2</v>
      </c>
      <c r="E229" s="17">
        <f>'INSUMOS '!E5</f>
        <v>37157</v>
      </c>
      <c r="F229" s="55">
        <f>E229*D229</f>
        <v>44588.4</v>
      </c>
      <c r="G229" s="1075"/>
    </row>
    <row r="230" spans="1:11" s="2" customFormat="1" ht="27" customHeight="1">
      <c r="A230" s="947" t="s">
        <v>1089</v>
      </c>
      <c r="B230" s="980"/>
      <c r="C230" s="16" t="s">
        <v>28</v>
      </c>
      <c r="D230" s="58">
        <v>7.0000000000000007E-2</v>
      </c>
      <c r="E230" s="17">
        <f>'INSUMOS '!E109</f>
        <v>6300</v>
      </c>
      <c r="F230" s="55">
        <f>E230*D230</f>
        <v>441.00000000000006</v>
      </c>
      <c r="G230" s="1075"/>
    </row>
    <row r="231" spans="1:11" s="2" customFormat="1" ht="15.75" customHeight="1">
      <c r="A231" s="947"/>
      <c r="B231" s="944"/>
      <c r="C231" s="16"/>
      <c r="D231" s="58"/>
      <c r="E231" s="17"/>
      <c r="F231" s="55"/>
      <c r="G231" s="57">
        <f>SUM(F228:F231)</f>
        <v>45029.4</v>
      </c>
    </row>
    <row r="232" spans="1:11" s="35" customFormat="1" ht="13.8">
      <c r="A232" s="1071" t="s">
        <v>15</v>
      </c>
      <c r="B232" s="944"/>
      <c r="C232" s="944"/>
      <c r="D232" s="944"/>
      <c r="E232" s="944"/>
      <c r="F232" s="944"/>
      <c r="G232" s="1072"/>
      <c r="H232" s="2"/>
      <c r="I232" s="2"/>
      <c r="J232" s="2"/>
      <c r="K232" s="2"/>
    </row>
    <row r="233" spans="1:11" s="2" customFormat="1" ht="15.75" customHeight="1">
      <c r="A233" s="1074" t="s">
        <v>2</v>
      </c>
      <c r="B233" s="944"/>
      <c r="C233" s="53" t="s">
        <v>3</v>
      </c>
      <c r="D233" s="53" t="s">
        <v>4</v>
      </c>
      <c r="E233" s="53" t="s">
        <v>6</v>
      </c>
      <c r="F233" s="53" t="s">
        <v>11</v>
      </c>
      <c r="G233" s="1075" t="s">
        <v>8</v>
      </c>
    </row>
    <row r="234" spans="1:11" s="2" customFormat="1" ht="15.75" customHeight="1">
      <c r="A234" s="943" t="s">
        <v>311</v>
      </c>
      <c r="B234" s="944"/>
      <c r="C234" s="16" t="s">
        <v>321</v>
      </c>
      <c r="D234" s="54">
        <v>3.5000000000000003E-2</v>
      </c>
      <c r="E234" s="17">
        <f>G226</f>
        <v>467.0575</v>
      </c>
      <c r="F234" s="55">
        <f>E234*D234</f>
        <v>16.347012500000002</v>
      </c>
      <c r="G234" s="1075"/>
    </row>
    <row r="235" spans="1:11" s="2" customFormat="1" ht="15.75" customHeight="1">
      <c r="A235" s="943" t="s">
        <v>17</v>
      </c>
      <c r="B235" s="1078"/>
      <c r="C235" s="16" t="s">
        <v>3</v>
      </c>
      <c r="D235" s="54">
        <v>3.5000000000000003E-2</v>
      </c>
      <c r="E235" s="17">
        <f>G231</f>
        <v>45029.4</v>
      </c>
      <c r="F235" s="55">
        <f>E235*D235</f>
        <v>1576.0290000000002</v>
      </c>
      <c r="G235" s="1075"/>
    </row>
    <row r="236" spans="1:11" s="2" customFormat="1" ht="15.75" customHeight="1">
      <c r="A236" s="59"/>
      <c r="B236" s="60"/>
      <c r="C236" s="60"/>
      <c r="D236" s="60"/>
      <c r="E236" s="60"/>
      <c r="F236" s="60"/>
      <c r="G236" s="57">
        <f>SUM(F234:F236)</f>
        <v>1592.3760125000001</v>
      </c>
    </row>
    <row r="237" spans="1:11" s="2" customFormat="1" ht="13.8">
      <c r="A237" s="1071" t="s">
        <v>19</v>
      </c>
      <c r="B237" s="944"/>
      <c r="C237" s="944"/>
      <c r="D237" s="944"/>
      <c r="E237" s="944"/>
      <c r="F237" s="944"/>
      <c r="G237" s="1072"/>
    </row>
    <row r="238" spans="1:11" s="2" customFormat="1" ht="15.75" customHeight="1">
      <c r="A238" s="1074" t="s">
        <v>2</v>
      </c>
      <c r="B238" s="944"/>
      <c r="C238" s="53" t="s">
        <v>3</v>
      </c>
      <c r="D238" s="53" t="s">
        <v>4</v>
      </c>
      <c r="E238" s="53" t="s">
        <v>6</v>
      </c>
      <c r="F238" s="53" t="s">
        <v>11</v>
      </c>
      <c r="G238" s="456" t="s">
        <v>8</v>
      </c>
    </row>
    <row r="239" spans="1:11" s="2" customFormat="1" ht="15" customHeight="1">
      <c r="A239" s="978" t="s">
        <v>1244</v>
      </c>
      <c r="B239" s="979"/>
      <c r="C239" s="16" t="s">
        <v>1245</v>
      </c>
      <c r="D239" s="32">
        <v>0.15</v>
      </c>
      <c r="E239" s="17">
        <v>6741</v>
      </c>
      <c r="F239" s="14">
        <f>+D239*E239</f>
        <v>1011.15</v>
      </c>
      <c r="G239" s="57">
        <f>F239</f>
        <v>1011.15</v>
      </c>
    </row>
    <row r="240" spans="1:11" s="2" customFormat="1" ht="15.75" customHeight="1">
      <c r="A240" s="1076" t="s">
        <v>25</v>
      </c>
      <c r="B240" s="944"/>
      <c r="C240" s="944"/>
      <c r="D240" s="944"/>
      <c r="E240" s="944"/>
      <c r="F240" s="944"/>
      <c r="G240" s="1072"/>
    </row>
    <row r="241" spans="1:7" s="2" customFormat="1" ht="15.75" customHeight="1">
      <c r="A241" s="1077"/>
      <c r="B241" s="944"/>
      <c r="C241" s="944"/>
      <c r="D241" s="944"/>
      <c r="E241" s="944"/>
      <c r="F241" s="944"/>
      <c r="G241" s="62">
        <f>G239+G236+G231+G226</f>
        <v>48099.983512500003</v>
      </c>
    </row>
    <row r="242" spans="1:7" s="2" customFormat="1" ht="15.75" customHeight="1">
      <c r="A242" s="26"/>
      <c r="B242" s="27"/>
      <c r="C242" s="28"/>
      <c r="D242" s="28"/>
      <c r="E242" s="29"/>
      <c r="F242" s="28"/>
      <c r="G242" s="30"/>
    </row>
    <row r="243" spans="1:7" s="2" customFormat="1" ht="15.75" customHeight="1">
      <c r="A243" s="970" t="s">
        <v>1</v>
      </c>
      <c r="B243" s="957"/>
      <c r="C243" s="953" t="s">
        <v>0</v>
      </c>
      <c r="D243" s="954"/>
      <c r="E243" s="954"/>
      <c r="F243" s="954"/>
      <c r="G243" s="955"/>
    </row>
    <row r="244" spans="1:7" s="2" customFormat="1" ht="48" customHeight="1">
      <c r="A244" s="971"/>
      <c r="B244" s="957"/>
      <c r="C244" s="954"/>
      <c r="D244" s="954"/>
      <c r="E244" s="954"/>
      <c r="F244" s="954"/>
      <c r="G244" s="955"/>
    </row>
    <row r="245" spans="1:7" s="2" customFormat="1" ht="15.75" customHeight="1">
      <c r="A245" s="971"/>
      <c r="B245" s="957"/>
      <c r="C245" s="956"/>
      <c r="D245" s="957"/>
      <c r="E245" s="957"/>
      <c r="F245" s="957"/>
      <c r="G245" s="958"/>
    </row>
    <row r="246" spans="1:7" s="2" customFormat="1" ht="15.75" customHeight="1">
      <c r="A246" s="971"/>
      <c r="B246" s="957"/>
      <c r="C246" s="959" t="s">
        <v>2</v>
      </c>
      <c r="D246" s="957"/>
      <c r="E246" s="957"/>
      <c r="F246" s="23" t="s">
        <v>3</v>
      </c>
      <c r="G246" s="24" t="s">
        <v>4</v>
      </c>
    </row>
    <row r="247" spans="1:7" s="2" customFormat="1" ht="85.5" customHeight="1">
      <c r="A247" s="1073" t="s">
        <v>345</v>
      </c>
      <c r="B247" s="944"/>
      <c r="C247" s="980" t="s">
        <v>346</v>
      </c>
      <c r="D247" s="944"/>
      <c r="E247" s="944"/>
      <c r="F247" s="51" t="s">
        <v>37</v>
      </c>
      <c r="G247" s="52">
        <v>77.72</v>
      </c>
    </row>
    <row r="248" spans="1:7" s="2" customFormat="1" ht="15.75" customHeight="1">
      <c r="A248" s="1071" t="s">
        <v>5</v>
      </c>
      <c r="B248" s="944"/>
      <c r="C248" s="944"/>
      <c r="D248" s="944"/>
      <c r="E248" s="944"/>
      <c r="F248" s="944"/>
      <c r="G248" s="1072"/>
    </row>
    <row r="249" spans="1:7" s="2" customFormat="1" ht="15.75" customHeight="1">
      <c r="A249" s="1074" t="s">
        <v>2</v>
      </c>
      <c r="B249" s="944"/>
      <c r="C249" s="53" t="s">
        <v>3</v>
      </c>
      <c r="D249" s="53" t="s">
        <v>4</v>
      </c>
      <c r="E249" s="53" t="s">
        <v>6</v>
      </c>
      <c r="F249" s="53" t="s">
        <v>7</v>
      </c>
      <c r="G249" s="1075" t="s">
        <v>8</v>
      </c>
    </row>
    <row r="250" spans="1:7" s="2" customFormat="1" ht="15.75" customHeight="1">
      <c r="A250" s="947" t="s">
        <v>262</v>
      </c>
      <c r="B250" s="944"/>
      <c r="C250" s="51" t="s">
        <v>3</v>
      </c>
      <c r="D250" s="51">
        <v>0.05</v>
      </c>
      <c r="E250" s="17">
        <f>G264</f>
        <v>9430.5</v>
      </c>
      <c r="F250" s="55">
        <f>D250*E250</f>
        <v>471.52500000000003</v>
      </c>
      <c r="G250" s="1075"/>
    </row>
    <row r="251" spans="1:7" s="2" customFormat="1" ht="15.75" customHeight="1">
      <c r="A251" s="947" t="s">
        <v>305</v>
      </c>
      <c r="B251" s="980"/>
      <c r="C251" s="51" t="s">
        <v>60</v>
      </c>
      <c r="D251" s="51">
        <v>0.05</v>
      </c>
      <c r="E251" s="17">
        <f>'MAQUINARIA Y EQUIPOS'!F15</f>
        <v>92820</v>
      </c>
      <c r="F251" s="55">
        <f>D251*E251</f>
        <v>4641</v>
      </c>
      <c r="G251" s="57">
        <f>SUM(F249:F251)</f>
        <v>5112.5249999999996</v>
      </c>
    </row>
    <row r="252" spans="1:7" s="2" customFormat="1" ht="15.75" customHeight="1">
      <c r="A252" s="1071" t="s">
        <v>10</v>
      </c>
      <c r="B252" s="944"/>
      <c r="C252" s="944"/>
      <c r="D252" s="944"/>
      <c r="E252" s="944"/>
      <c r="F252" s="944"/>
      <c r="G252" s="1072"/>
    </row>
    <row r="253" spans="1:7" s="2" customFormat="1" ht="15.75" customHeight="1">
      <c r="A253" s="1074" t="s">
        <v>2</v>
      </c>
      <c r="B253" s="944"/>
      <c r="C253" s="53" t="s">
        <v>3</v>
      </c>
      <c r="D253" s="53" t="s">
        <v>4</v>
      </c>
      <c r="E253" s="53" t="s">
        <v>6</v>
      </c>
      <c r="F253" s="53" t="s">
        <v>11</v>
      </c>
      <c r="G253" s="1075" t="s">
        <v>8</v>
      </c>
    </row>
    <row r="254" spans="1:7" s="2" customFormat="1" ht="15.75" customHeight="1">
      <c r="A254" s="947" t="s">
        <v>347</v>
      </c>
      <c r="B254" s="944"/>
      <c r="C254" s="16" t="s">
        <v>190</v>
      </c>
      <c r="D254" s="16">
        <v>0.06</v>
      </c>
      <c r="E254" s="17">
        <f>'INSUMOS '!E88</f>
        <v>122500</v>
      </c>
      <c r="F254" s="55">
        <f>D254*E254</f>
        <v>7350</v>
      </c>
      <c r="G254" s="1072"/>
    </row>
    <row r="255" spans="1:7" s="2" customFormat="1" ht="15.75" customHeight="1">
      <c r="A255" s="947" t="s">
        <v>115</v>
      </c>
      <c r="B255" s="980"/>
      <c r="C255" s="16" t="s">
        <v>3</v>
      </c>
      <c r="D255" s="16">
        <v>0.05</v>
      </c>
      <c r="E255" s="17">
        <f>'INSUMOS '!E28</f>
        <v>51900</v>
      </c>
      <c r="F255" s="55">
        <f>D255*E255</f>
        <v>2595</v>
      </c>
      <c r="G255" s="1072"/>
    </row>
    <row r="256" spans="1:7" s="2" customFormat="1" ht="15.75" customHeight="1">
      <c r="A256" s="947" t="s">
        <v>348</v>
      </c>
      <c r="B256" s="944"/>
      <c r="C256" s="16" t="s">
        <v>37</v>
      </c>
      <c r="D256" s="58">
        <v>1.2</v>
      </c>
      <c r="E256" s="17">
        <f>'INSUMOS '!E110</f>
        <v>166939.89071038252</v>
      </c>
      <c r="F256" s="55">
        <f>D256*E256</f>
        <v>200327.86885245901</v>
      </c>
      <c r="G256" s="1072"/>
    </row>
    <row r="257" spans="1:7" s="2" customFormat="1" ht="15.75" customHeight="1">
      <c r="A257" s="947" t="s">
        <v>349</v>
      </c>
      <c r="B257" s="944"/>
      <c r="C257" s="16" t="s">
        <v>39</v>
      </c>
      <c r="D257" s="16">
        <v>0.05</v>
      </c>
      <c r="E257" s="17">
        <f>SUBANÁLISIS!G89</f>
        <v>431833.82500000001</v>
      </c>
      <c r="F257" s="55">
        <f>D257*E257</f>
        <v>21591.691250000003</v>
      </c>
      <c r="G257" s="57">
        <f>SUM(F253:F257)</f>
        <v>231864.56010245901</v>
      </c>
    </row>
    <row r="258" spans="1:7" s="2" customFormat="1" ht="15.75" customHeight="1">
      <c r="A258" s="1071" t="s">
        <v>15</v>
      </c>
      <c r="B258" s="944"/>
      <c r="C258" s="944"/>
      <c r="D258" s="944"/>
      <c r="E258" s="944"/>
      <c r="F258" s="944"/>
      <c r="G258" s="1072"/>
    </row>
    <row r="259" spans="1:7" s="2" customFormat="1" ht="15.75" customHeight="1">
      <c r="A259" s="1074" t="s">
        <v>2</v>
      </c>
      <c r="B259" s="944"/>
      <c r="C259" s="53" t="s">
        <v>3</v>
      </c>
      <c r="D259" s="53" t="s">
        <v>4</v>
      </c>
      <c r="E259" s="53" t="s">
        <v>6</v>
      </c>
      <c r="F259" s="53" t="s">
        <v>11</v>
      </c>
      <c r="G259" s="1075" t="s">
        <v>8</v>
      </c>
    </row>
    <row r="260" spans="1:7" s="2" customFormat="1" ht="15.75" customHeight="1">
      <c r="A260" s="943" t="s">
        <v>350</v>
      </c>
      <c r="B260" s="1078"/>
      <c r="C260" s="51" t="s">
        <v>3</v>
      </c>
      <c r="D260" s="54">
        <v>3.5000000000000003E-2</v>
      </c>
      <c r="E260" s="118">
        <f>G251</f>
        <v>5112.5249999999996</v>
      </c>
      <c r="F260" s="55">
        <f>+E260*D260</f>
        <v>178.93837500000001</v>
      </c>
      <c r="G260" s="1075"/>
    </row>
    <row r="261" spans="1:7" s="2" customFormat="1" ht="15.75" customHeight="1">
      <c r="A261" s="1079" t="s">
        <v>17</v>
      </c>
      <c r="B261" s="1080"/>
      <c r="C261" s="16" t="s">
        <v>3</v>
      </c>
      <c r="D261" s="54">
        <v>3.5000000000000003E-2</v>
      </c>
      <c r="E261" s="17">
        <f>+G257</f>
        <v>231864.56010245901</v>
      </c>
      <c r="F261" s="55">
        <f>+E261*D261</f>
        <v>8115.2596035860661</v>
      </c>
      <c r="G261" s="57">
        <f>SUM(F260:F261)</f>
        <v>8294.1979785860658</v>
      </c>
    </row>
    <row r="262" spans="1:7" s="2" customFormat="1" ht="15.75" customHeight="1">
      <c r="A262" s="1071" t="s">
        <v>19</v>
      </c>
      <c r="B262" s="944"/>
      <c r="C262" s="944"/>
      <c r="D262" s="944"/>
      <c r="E262" s="944"/>
      <c r="F262" s="944"/>
      <c r="G262" s="1072"/>
    </row>
    <row r="263" spans="1:7" s="2" customFormat="1" ht="15.75" customHeight="1">
      <c r="A263" s="1074" t="s">
        <v>2</v>
      </c>
      <c r="B263" s="944"/>
      <c r="C263" s="53" t="s">
        <v>3</v>
      </c>
      <c r="D263" s="53" t="s">
        <v>4</v>
      </c>
      <c r="E263" s="53" t="s">
        <v>6</v>
      </c>
      <c r="F263" s="53" t="s">
        <v>11</v>
      </c>
      <c r="G263" s="456" t="s">
        <v>8</v>
      </c>
    </row>
    <row r="264" spans="1:7" s="2" customFormat="1" ht="15" customHeight="1">
      <c r="A264" s="978" t="s">
        <v>1264</v>
      </c>
      <c r="B264" s="979"/>
      <c r="C264" s="16" t="s">
        <v>1245</v>
      </c>
      <c r="D264" s="16">
        <v>0.5</v>
      </c>
      <c r="E264" s="17">
        <v>18861</v>
      </c>
      <c r="F264" s="14">
        <f>+D264*E264</f>
        <v>9430.5</v>
      </c>
      <c r="G264" s="57">
        <f>F264</f>
        <v>9430.5</v>
      </c>
    </row>
    <row r="265" spans="1:7" s="2" customFormat="1" ht="15.75" customHeight="1">
      <c r="A265" s="1076" t="s">
        <v>25</v>
      </c>
      <c r="B265" s="944"/>
      <c r="C265" s="944"/>
      <c r="D265" s="944"/>
      <c r="E265" s="944"/>
      <c r="F265" s="944"/>
      <c r="G265" s="1072"/>
    </row>
    <row r="266" spans="1:7" s="2" customFormat="1" ht="15.75" customHeight="1">
      <c r="A266" s="1077"/>
      <c r="B266" s="944"/>
      <c r="C266" s="944"/>
      <c r="D266" s="944"/>
      <c r="E266" s="944"/>
      <c r="F266" s="944"/>
      <c r="G266" s="62">
        <f>G264+G261+G257+G251</f>
        <v>254701.78308104508</v>
      </c>
    </row>
    <row r="267" spans="1:7" s="2" customFormat="1" ht="20.399999999999999">
      <c r="A267" s="26"/>
      <c r="B267" s="27"/>
      <c r="C267" s="28"/>
      <c r="D267" s="28"/>
      <c r="E267" s="29"/>
      <c r="F267" s="28"/>
      <c r="G267" s="30"/>
    </row>
    <row r="268" spans="1:7" s="2" customFormat="1" ht="14.25" customHeight="1">
      <c r="A268" s="970" t="s">
        <v>1</v>
      </c>
      <c r="B268" s="957"/>
      <c r="C268" s="953" t="s">
        <v>0</v>
      </c>
      <c r="D268" s="954"/>
      <c r="E268" s="954"/>
      <c r="F268" s="954"/>
      <c r="G268" s="955"/>
    </row>
    <row r="269" spans="1:7" s="2" customFormat="1" ht="62.25" customHeight="1">
      <c r="A269" s="971"/>
      <c r="B269" s="957"/>
      <c r="C269" s="954"/>
      <c r="D269" s="954"/>
      <c r="E269" s="954"/>
      <c r="F269" s="954"/>
      <c r="G269" s="955"/>
    </row>
    <row r="270" spans="1:7" s="2" customFormat="1" ht="15.75" customHeight="1">
      <c r="A270" s="971"/>
      <c r="B270" s="957"/>
      <c r="C270" s="956"/>
      <c r="D270" s="957"/>
      <c r="E270" s="957"/>
      <c r="F270" s="957"/>
      <c r="G270" s="958"/>
    </row>
    <row r="271" spans="1:7" s="2" customFormat="1" ht="13.8">
      <c r="A271" s="971"/>
      <c r="B271" s="957"/>
      <c r="C271" s="959" t="s">
        <v>2</v>
      </c>
      <c r="D271" s="957"/>
      <c r="E271" s="957"/>
      <c r="F271" s="23" t="s">
        <v>3</v>
      </c>
      <c r="G271" s="24" t="s">
        <v>4</v>
      </c>
    </row>
    <row r="272" spans="1:7" s="2" customFormat="1" ht="159" customHeight="1">
      <c r="A272" s="1073" t="s">
        <v>351</v>
      </c>
      <c r="B272" s="944"/>
      <c r="C272" s="980" t="s">
        <v>352</v>
      </c>
      <c r="D272" s="944"/>
      <c r="E272" s="944"/>
      <c r="F272" s="51" t="s">
        <v>37</v>
      </c>
      <c r="G272" s="52">
        <v>22.528400000000001</v>
      </c>
    </row>
    <row r="273" spans="1:7" s="2" customFormat="1" ht="15.75" customHeight="1">
      <c r="A273" s="1071" t="s">
        <v>5</v>
      </c>
      <c r="B273" s="944"/>
      <c r="C273" s="944"/>
      <c r="D273" s="944"/>
      <c r="E273" s="944"/>
      <c r="F273" s="944"/>
      <c r="G273" s="1072"/>
    </row>
    <row r="274" spans="1:7" s="2" customFormat="1" ht="15.75" customHeight="1">
      <c r="A274" s="1074" t="s">
        <v>2</v>
      </c>
      <c r="B274" s="944"/>
      <c r="C274" s="53" t="s">
        <v>3</v>
      </c>
      <c r="D274" s="53" t="s">
        <v>4</v>
      </c>
      <c r="E274" s="53" t="s">
        <v>6</v>
      </c>
      <c r="F274" s="53" t="s">
        <v>7</v>
      </c>
      <c r="G274" s="1075" t="s">
        <v>8</v>
      </c>
    </row>
    <row r="275" spans="1:7" s="2" customFormat="1" ht="15.75" customHeight="1">
      <c r="A275" s="947" t="s">
        <v>262</v>
      </c>
      <c r="B275" s="944"/>
      <c r="C275" s="51" t="s">
        <v>3</v>
      </c>
      <c r="D275" s="109">
        <v>0.05</v>
      </c>
      <c r="E275" s="17">
        <f>G293</f>
        <v>27250.400000000001</v>
      </c>
      <c r="F275" s="55">
        <f>D275*E275</f>
        <v>1362.5200000000002</v>
      </c>
      <c r="G275" s="1072"/>
    </row>
    <row r="276" spans="1:7" s="2" customFormat="1" ht="15.75" customHeight="1">
      <c r="A276" s="947" t="s">
        <v>305</v>
      </c>
      <c r="B276" s="944"/>
      <c r="C276" s="51" t="s">
        <v>58</v>
      </c>
      <c r="D276" s="109">
        <v>0.02</v>
      </c>
      <c r="E276" s="17">
        <f>'MAQUINARIA Y EQUIPOS'!F15</f>
        <v>92820</v>
      </c>
      <c r="F276" s="55">
        <f>D276*E276</f>
        <v>1856.4</v>
      </c>
      <c r="G276" s="1072"/>
    </row>
    <row r="277" spans="1:7" s="2" customFormat="1" ht="15.75" customHeight="1">
      <c r="A277" s="1079"/>
      <c r="B277" s="1080"/>
      <c r="C277" s="51"/>
      <c r="D277" s="109"/>
      <c r="E277" s="17"/>
      <c r="F277" s="55"/>
      <c r="G277" s="57">
        <f>SUM(F274:F277)</f>
        <v>3218.92</v>
      </c>
    </row>
    <row r="278" spans="1:7" s="2" customFormat="1" ht="15.75" customHeight="1">
      <c r="A278" s="1071" t="s">
        <v>10</v>
      </c>
      <c r="B278" s="944"/>
      <c r="C278" s="944"/>
      <c r="D278" s="944"/>
      <c r="E278" s="944"/>
      <c r="F278" s="944"/>
      <c r="G278" s="1072"/>
    </row>
    <row r="279" spans="1:7" s="2" customFormat="1" ht="15.75" customHeight="1">
      <c r="A279" s="1074" t="s">
        <v>2</v>
      </c>
      <c r="B279" s="944"/>
      <c r="C279" s="53" t="s">
        <v>3</v>
      </c>
      <c r="D279" s="53" t="s">
        <v>4</v>
      </c>
      <c r="E279" s="53" t="s">
        <v>6</v>
      </c>
      <c r="F279" s="53" t="s">
        <v>11</v>
      </c>
      <c r="G279" s="1075" t="s">
        <v>8</v>
      </c>
    </row>
    <row r="280" spans="1:7" s="2" customFormat="1" ht="15.75" customHeight="1">
      <c r="A280" s="947" t="s">
        <v>307</v>
      </c>
      <c r="B280" s="980"/>
      <c r="C280" s="16" t="s">
        <v>39</v>
      </c>
      <c r="D280" s="54">
        <v>3.0000000000000001E-3</v>
      </c>
      <c r="E280" s="17">
        <f>'INSUMOS '!E94</f>
        <v>364596.67</v>
      </c>
      <c r="F280" s="55">
        <f t="shared" ref="F280:F285" si="3">D280*E280</f>
        <v>1093.7900099999999</v>
      </c>
      <c r="G280" s="1075"/>
    </row>
    <row r="281" spans="1:7" s="2" customFormat="1" ht="13.8">
      <c r="A281" s="947" t="s">
        <v>308</v>
      </c>
      <c r="B281" s="980"/>
      <c r="C281" s="16" t="s">
        <v>37</v>
      </c>
      <c r="D281" s="16">
        <v>1</v>
      </c>
      <c r="E281" s="17">
        <f>'INSUMOS '!E89</f>
        <v>98100</v>
      </c>
      <c r="F281" s="55">
        <f t="shared" si="3"/>
        <v>98100</v>
      </c>
      <c r="G281" s="1075"/>
    </row>
    <row r="282" spans="1:7" s="2" customFormat="1" ht="15.75" customHeight="1">
      <c r="A282" s="947" t="s">
        <v>353</v>
      </c>
      <c r="B282" s="980"/>
      <c r="C282" s="16" t="s">
        <v>3</v>
      </c>
      <c r="D282" s="16">
        <v>1.2999999999999999E-2</v>
      </c>
      <c r="E282" s="17">
        <f>'INSUMOS '!E95</f>
        <v>72900</v>
      </c>
      <c r="F282" s="55">
        <f t="shared" si="3"/>
        <v>947.69999999999993</v>
      </c>
      <c r="G282" s="1075"/>
    </row>
    <row r="283" spans="1:7" s="2" customFormat="1" ht="15.75" customHeight="1">
      <c r="A283" s="1015" t="s">
        <v>2391</v>
      </c>
      <c r="B283" s="1016"/>
      <c r="C283" s="16" t="s">
        <v>100</v>
      </c>
      <c r="D283" s="16">
        <v>2</v>
      </c>
      <c r="E283" s="17">
        <f>'INSUMOS '!E77</f>
        <v>3082</v>
      </c>
      <c r="F283" s="55">
        <f t="shared" si="3"/>
        <v>6164</v>
      </c>
      <c r="G283" s="1075"/>
    </row>
    <row r="284" spans="1:7" s="2" customFormat="1" ht="15.75" customHeight="1">
      <c r="A284" s="947" t="s">
        <v>115</v>
      </c>
      <c r="B284" s="980"/>
      <c r="C284" s="16" t="s">
        <v>3</v>
      </c>
      <c r="D284" s="16">
        <v>0.2</v>
      </c>
      <c r="E284" s="17">
        <f>'INSUMOS '!E28</f>
        <v>51900</v>
      </c>
      <c r="F284" s="55">
        <f t="shared" si="3"/>
        <v>10380</v>
      </c>
      <c r="G284" s="1075"/>
    </row>
    <row r="285" spans="1:7" s="2" customFormat="1" ht="15.75" customHeight="1">
      <c r="A285" s="947" t="s">
        <v>310</v>
      </c>
      <c r="B285" s="944"/>
      <c r="C285" s="16" t="s">
        <v>3</v>
      </c>
      <c r="D285" s="16">
        <v>0.5</v>
      </c>
      <c r="E285" s="17">
        <f>'INSUMOS '!E98</f>
        <v>16000</v>
      </c>
      <c r="F285" s="55">
        <f t="shared" si="3"/>
        <v>8000</v>
      </c>
      <c r="G285" s="57">
        <f>SUM(F279:F285)</f>
        <v>124685.49000999999</v>
      </c>
    </row>
    <row r="286" spans="1:7" s="2" customFormat="1" ht="15.75" customHeight="1">
      <c r="A286" s="1071" t="s">
        <v>15</v>
      </c>
      <c r="B286" s="944"/>
      <c r="C286" s="944"/>
      <c r="D286" s="944"/>
      <c r="E286" s="944"/>
      <c r="F286" s="944"/>
      <c r="G286" s="1072"/>
    </row>
    <row r="287" spans="1:7" s="2" customFormat="1" ht="15.75" customHeight="1">
      <c r="A287" s="1074" t="s">
        <v>2</v>
      </c>
      <c r="B287" s="944"/>
      <c r="C287" s="53" t="s">
        <v>3</v>
      </c>
      <c r="D287" s="53" t="s">
        <v>4</v>
      </c>
      <c r="E287" s="53" t="s">
        <v>6</v>
      </c>
      <c r="F287" s="53" t="s">
        <v>11</v>
      </c>
      <c r="G287" s="1075" t="s">
        <v>8</v>
      </c>
    </row>
    <row r="288" spans="1:7" s="2" customFormat="1" ht="15.75" customHeight="1">
      <c r="A288" s="943" t="s">
        <v>311</v>
      </c>
      <c r="B288" s="944"/>
      <c r="C288" s="16" t="s">
        <v>3</v>
      </c>
      <c r="D288" s="54">
        <v>3.5000000000000003E-2</v>
      </c>
      <c r="E288" s="17">
        <f>G277</f>
        <v>3218.92</v>
      </c>
      <c r="F288" s="55">
        <f>E288*D288</f>
        <v>112.66220000000001</v>
      </c>
      <c r="G288" s="1072"/>
    </row>
    <row r="289" spans="1:7" s="2" customFormat="1" ht="15.75" customHeight="1">
      <c r="A289" s="943" t="s">
        <v>17</v>
      </c>
      <c r="B289" s="944"/>
      <c r="C289" s="16" t="s">
        <v>18</v>
      </c>
      <c r="D289" s="54">
        <v>3.5000000000000003E-2</v>
      </c>
      <c r="E289" s="17">
        <f>+G285</f>
        <v>124685.49000999999</v>
      </c>
      <c r="F289" s="55">
        <f>E289*D289</f>
        <v>4363.99215035</v>
      </c>
      <c r="G289" s="1072"/>
    </row>
    <row r="290" spans="1:7" s="2" customFormat="1" ht="15.75" customHeight="1">
      <c r="A290" s="943"/>
      <c r="B290" s="944"/>
      <c r="C290" s="16"/>
      <c r="D290" s="16"/>
      <c r="E290" s="60"/>
      <c r="F290" s="60"/>
      <c r="G290" s="57">
        <f>SUM(F288:F290)</f>
        <v>4476.6543503499997</v>
      </c>
    </row>
    <row r="291" spans="1:7" s="2" customFormat="1" ht="15.75" customHeight="1">
      <c r="A291" s="1071" t="s">
        <v>19</v>
      </c>
      <c r="B291" s="944"/>
      <c r="C291" s="944"/>
      <c r="D291" s="944"/>
      <c r="E291" s="944"/>
      <c r="F291" s="944"/>
      <c r="G291" s="1072"/>
    </row>
    <row r="292" spans="1:7" s="2" customFormat="1" ht="15.75" customHeight="1">
      <c r="A292" s="1074" t="s">
        <v>2</v>
      </c>
      <c r="B292" s="944"/>
      <c r="C292" s="53" t="s">
        <v>3</v>
      </c>
      <c r="D292" s="53" t="s">
        <v>4</v>
      </c>
      <c r="E292" s="53" t="s">
        <v>6</v>
      </c>
      <c r="F292" s="53" t="s">
        <v>11</v>
      </c>
      <c r="G292" s="456" t="s">
        <v>8</v>
      </c>
    </row>
    <row r="293" spans="1:7" s="2" customFormat="1" ht="15" customHeight="1">
      <c r="A293" s="978" t="str">
        <f>SALARIOS!$A$62</f>
        <v>CUADRILLA AA ALBAÑILERÍA 1:2</v>
      </c>
      <c r="B293" s="979"/>
      <c r="C293" s="13" t="s">
        <v>1245</v>
      </c>
      <c r="D293" s="16">
        <v>0.8</v>
      </c>
      <c r="E293" s="17">
        <f>SALARIOS!$C$62</f>
        <v>34063</v>
      </c>
      <c r="F293" s="14">
        <f>+D293*E293</f>
        <v>27250.400000000001</v>
      </c>
      <c r="G293" s="57">
        <f>F293</f>
        <v>27250.400000000001</v>
      </c>
    </row>
    <row r="294" spans="1:7" s="2" customFormat="1" ht="15.75" customHeight="1">
      <c r="A294" s="1076" t="s">
        <v>25</v>
      </c>
      <c r="B294" s="944"/>
      <c r="C294" s="944"/>
      <c r="D294" s="944"/>
      <c r="E294" s="944"/>
      <c r="F294" s="944"/>
      <c r="G294" s="1072"/>
    </row>
    <row r="295" spans="1:7" s="2" customFormat="1" ht="15.75" customHeight="1">
      <c r="A295" s="1077"/>
      <c r="B295" s="944"/>
      <c r="C295" s="944"/>
      <c r="D295" s="944"/>
      <c r="E295" s="944"/>
      <c r="F295" s="944"/>
      <c r="G295" s="62">
        <f>G293+G290+G285+G277</f>
        <v>159631.46436035002</v>
      </c>
    </row>
    <row r="296" spans="1:7" s="2" customFormat="1" ht="15.75" customHeight="1">
      <c r="A296" s="26"/>
      <c r="B296" s="27"/>
      <c r="C296" s="28"/>
      <c r="D296" s="28"/>
      <c r="E296" s="29"/>
      <c r="F296" s="28"/>
      <c r="G296" s="30"/>
    </row>
    <row r="297" spans="1:7" s="2" customFormat="1" ht="15.75" customHeight="1">
      <c r="A297" s="970" t="s">
        <v>1</v>
      </c>
      <c r="B297" s="957"/>
      <c r="C297" s="953" t="s">
        <v>0</v>
      </c>
      <c r="D297" s="954"/>
      <c r="E297" s="954"/>
      <c r="F297" s="954"/>
      <c r="G297" s="955"/>
    </row>
    <row r="298" spans="1:7" s="2" customFormat="1" ht="44.25" customHeight="1">
      <c r="A298" s="971"/>
      <c r="B298" s="957"/>
      <c r="C298" s="954"/>
      <c r="D298" s="954"/>
      <c r="E298" s="954"/>
      <c r="F298" s="954"/>
      <c r="G298" s="955"/>
    </row>
    <row r="299" spans="1:7" s="2" customFormat="1" ht="17.399999999999999">
      <c r="A299" s="971"/>
      <c r="B299" s="957"/>
      <c r="C299" s="956"/>
      <c r="D299" s="957"/>
      <c r="E299" s="957"/>
      <c r="F299" s="957"/>
      <c r="G299" s="958"/>
    </row>
    <row r="300" spans="1:7" s="2" customFormat="1" ht="25.5" customHeight="1">
      <c r="A300" s="971"/>
      <c r="B300" s="957"/>
      <c r="C300" s="959" t="s">
        <v>2</v>
      </c>
      <c r="D300" s="957"/>
      <c r="E300" s="957"/>
      <c r="F300" s="23" t="s">
        <v>3</v>
      </c>
      <c r="G300" s="24" t="s">
        <v>4</v>
      </c>
    </row>
    <row r="301" spans="1:7" s="2" customFormat="1" ht="147" customHeight="1">
      <c r="A301" s="1073" t="s">
        <v>354</v>
      </c>
      <c r="B301" s="944"/>
      <c r="C301" s="980" t="s">
        <v>355</v>
      </c>
      <c r="D301" s="944"/>
      <c r="E301" s="944"/>
      <c r="F301" s="51" t="s">
        <v>37</v>
      </c>
      <c r="G301" s="52">
        <v>692.6425999999999</v>
      </c>
    </row>
    <row r="302" spans="1:7" s="2" customFormat="1" ht="15.75" customHeight="1">
      <c r="A302" s="1071" t="s">
        <v>5</v>
      </c>
      <c r="B302" s="944"/>
      <c r="C302" s="944"/>
      <c r="D302" s="944"/>
      <c r="E302" s="944"/>
      <c r="F302" s="944"/>
      <c r="G302" s="1072"/>
    </row>
    <row r="303" spans="1:7" s="2" customFormat="1" ht="15.75" customHeight="1">
      <c r="A303" s="1074" t="s">
        <v>2</v>
      </c>
      <c r="B303" s="944"/>
      <c r="C303" s="53" t="s">
        <v>3</v>
      </c>
      <c r="D303" s="53" t="s">
        <v>4</v>
      </c>
      <c r="E303" s="53" t="s">
        <v>6</v>
      </c>
      <c r="F303" s="53" t="s">
        <v>7</v>
      </c>
      <c r="G303" s="1075" t="s">
        <v>8</v>
      </c>
    </row>
    <row r="304" spans="1:7" s="2" customFormat="1" ht="15.75" customHeight="1">
      <c r="A304" s="947" t="s">
        <v>262</v>
      </c>
      <c r="B304" s="944"/>
      <c r="C304" s="51" t="s">
        <v>3</v>
      </c>
      <c r="D304" s="109">
        <v>0.05</v>
      </c>
      <c r="E304" s="17">
        <f>G330</f>
        <v>41119.5</v>
      </c>
      <c r="F304" s="55">
        <f>D304*E304</f>
        <v>2055.9749999999999</v>
      </c>
      <c r="G304" s="1072"/>
    </row>
    <row r="305" spans="1:7" s="2" customFormat="1" ht="15.75" customHeight="1">
      <c r="A305" s="947" t="s">
        <v>57</v>
      </c>
      <c r="B305" s="944"/>
      <c r="C305" s="51" t="s">
        <v>58</v>
      </c>
      <c r="D305" s="109">
        <v>0.08</v>
      </c>
      <c r="E305" s="17">
        <f>'MAQUINARIA Y EQUIPOS'!F19</f>
        <v>45763.829999999994</v>
      </c>
      <c r="F305" s="55">
        <f>D305*E305</f>
        <v>3661.1063999999997</v>
      </c>
      <c r="G305" s="1072"/>
    </row>
    <row r="306" spans="1:7" s="2" customFormat="1" ht="27" customHeight="1">
      <c r="A306" s="947" t="s">
        <v>329</v>
      </c>
      <c r="B306" s="980"/>
      <c r="C306" s="51" t="s">
        <v>60</v>
      </c>
      <c r="D306" s="109">
        <v>0.03</v>
      </c>
      <c r="E306" s="17">
        <f>'MAQUINARIA Y EQUIPOS'!F12</f>
        <v>48790</v>
      </c>
      <c r="F306" s="55">
        <f>D306*E306</f>
        <v>1463.7</v>
      </c>
      <c r="G306" s="1072"/>
    </row>
    <row r="307" spans="1:7" s="2" customFormat="1" ht="15.75" customHeight="1">
      <c r="A307" s="947" t="s">
        <v>305</v>
      </c>
      <c r="B307" s="944"/>
      <c r="C307" s="51" t="s">
        <v>58</v>
      </c>
      <c r="D307" s="109">
        <v>0.02</v>
      </c>
      <c r="E307" s="17">
        <f>'MAQUINARIA Y EQUIPOS'!F15</f>
        <v>92820</v>
      </c>
      <c r="F307" s="55">
        <f>D307*E307</f>
        <v>1856.4</v>
      </c>
      <c r="G307" s="1072"/>
    </row>
    <row r="308" spans="1:7" s="2" customFormat="1" ht="15.75" customHeight="1">
      <c r="A308" s="1079"/>
      <c r="B308" s="1080"/>
      <c r="C308" s="51"/>
      <c r="D308" s="109"/>
      <c r="E308" s="17"/>
      <c r="F308" s="55"/>
      <c r="G308" s="57">
        <f>SUM(F303:F308)</f>
        <v>9037.1813999999995</v>
      </c>
    </row>
    <row r="309" spans="1:7" s="2" customFormat="1" ht="15.75" customHeight="1">
      <c r="A309" s="1071" t="s">
        <v>10</v>
      </c>
      <c r="B309" s="944"/>
      <c r="C309" s="944"/>
      <c r="D309" s="944"/>
      <c r="E309" s="944"/>
      <c r="F309" s="944"/>
      <c r="G309" s="1072"/>
    </row>
    <row r="310" spans="1:7" s="2" customFormat="1" ht="15.75" customHeight="1">
      <c r="A310" s="1074" t="s">
        <v>2</v>
      </c>
      <c r="B310" s="944"/>
      <c r="C310" s="53" t="s">
        <v>3</v>
      </c>
      <c r="D310" s="53" t="s">
        <v>4</v>
      </c>
      <c r="E310" s="53" t="s">
        <v>6</v>
      </c>
      <c r="F310" s="53" t="s">
        <v>11</v>
      </c>
      <c r="G310" s="1075" t="s">
        <v>8</v>
      </c>
    </row>
    <row r="311" spans="1:7" s="2" customFormat="1" ht="15.75" customHeight="1">
      <c r="A311" s="947" t="s">
        <v>306</v>
      </c>
      <c r="B311" s="944"/>
      <c r="C311" s="16" t="s">
        <v>39</v>
      </c>
      <c r="D311" s="16">
        <v>0.05</v>
      </c>
      <c r="E311" s="17">
        <f>SUBANÁLISIS!G31</f>
        <v>570669.8666666667</v>
      </c>
      <c r="F311" s="55">
        <f t="shared" ref="F311:F322" si="4">D311*E311</f>
        <v>28533.493333333336</v>
      </c>
      <c r="G311" s="1075"/>
    </row>
    <row r="312" spans="1:7" s="2" customFormat="1" ht="15.75" customHeight="1">
      <c r="A312" s="947" t="s">
        <v>307</v>
      </c>
      <c r="B312" s="980"/>
      <c r="C312" s="16" t="s">
        <v>39</v>
      </c>
      <c r="D312" s="54">
        <v>3.0000000000000001E-3</v>
      </c>
      <c r="E312" s="17">
        <f>'INSUMOS '!E94</f>
        <v>364596.67</v>
      </c>
      <c r="F312" s="55">
        <f t="shared" si="4"/>
        <v>1093.7900099999999</v>
      </c>
      <c r="G312" s="1075"/>
    </row>
    <row r="313" spans="1:7" s="2" customFormat="1" ht="15.75" customHeight="1">
      <c r="A313" s="947" t="s">
        <v>308</v>
      </c>
      <c r="B313" s="980"/>
      <c r="C313" s="16" t="s">
        <v>37</v>
      </c>
      <c r="D313" s="16">
        <v>1</v>
      </c>
      <c r="E313" s="17">
        <f>'INSUMOS '!E89</f>
        <v>98100</v>
      </c>
      <c r="F313" s="55">
        <f t="shared" si="4"/>
        <v>98100</v>
      </c>
      <c r="G313" s="1075"/>
    </row>
    <row r="314" spans="1:7" s="2" customFormat="1" ht="15.75" customHeight="1">
      <c r="A314" s="976" t="s">
        <v>63</v>
      </c>
      <c r="B314" s="977"/>
      <c r="C314" s="9" t="s">
        <v>3</v>
      </c>
      <c r="D314" s="9">
        <v>1.5</v>
      </c>
      <c r="E314" s="31">
        <f>'INSUMOS '!E21</f>
        <v>3244.1860465116279</v>
      </c>
      <c r="F314" s="55">
        <f t="shared" si="4"/>
        <v>4866.2790697674418</v>
      </c>
      <c r="G314" s="1075"/>
    </row>
    <row r="315" spans="1:7" s="2" customFormat="1" ht="15.75" customHeight="1">
      <c r="A315" s="976" t="s">
        <v>64</v>
      </c>
      <c r="B315" s="977"/>
      <c r="C315" s="9" t="s">
        <v>37</v>
      </c>
      <c r="D315" s="9">
        <v>0.18</v>
      </c>
      <c r="E315" s="31">
        <f>'INSUMOS '!E23</f>
        <v>67049.18032786886</v>
      </c>
      <c r="F315" s="55">
        <f t="shared" si="4"/>
        <v>12068.852459016394</v>
      </c>
      <c r="G315" s="1075"/>
    </row>
    <row r="316" spans="1:7" s="2" customFormat="1" ht="15.75" customHeight="1">
      <c r="A316" s="947" t="s">
        <v>118</v>
      </c>
      <c r="B316" s="944"/>
      <c r="C316" s="16" t="s">
        <v>37</v>
      </c>
      <c r="D316" s="16">
        <v>1.2</v>
      </c>
      <c r="E316" s="17">
        <f>'INSUMOS '!E58</f>
        <v>6304.9645390070918</v>
      </c>
      <c r="F316" s="55">
        <f t="shared" si="4"/>
        <v>7565.9574468085102</v>
      </c>
      <c r="G316" s="1075"/>
    </row>
    <row r="317" spans="1:7" s="2" customFormat="1" ht="13.8">
      <c r="A317" s="947" t="s">
        <v>1036</v>
      </c>
      <c r="B317" s="980"/>
      <c r="C317" s="16" t="s">
        <v>39</v>
      </c>
      <c r="D317" s="16">
        <v>0.05</v>
      </c>
      <c r="E317" s="17">
        <f>SUBANÁLISIS!G146</f>
        <v>702267.57499999995</v>
      </c>
      <c r="F317" s="55">
        <f t="shared" si="4"/>
        <v>35113.378749999996</v>
      </c>
      <c r="G317" s="1075"/>
    </row>
    <row r="318" spans="1:7" s="2" customFormat="1" ht="15.75" customHeight="1">
      <c r="A318" s="947" t="s">
        <v>115</v>
      </c>
      <c r="B318" s="980"/>
      <c r="C318" s="16" t="s">
        <v>3</v>
      </c>
      <c r="D318" s="16">
        <v>0.2</v>
      </c>
      <c r="E318" s="17">
        <f>'INSUMOS '!E28</f>
        <v>51900</v>
      </c>
      <c r="F318" s="55">
        <f t="shared" si="4"/>
        <v>10380</v>
      </c>
      <c r="G318" s="1075"/>
    </row>
    <row r="319" spans="1:7" s="2" customFormat="1" ht="13.8">
      <c r="A319" s="947" t="s">
        <v>2475</v>
      </c>
      <c r="B319" s="980"/>
      <c r="C319" s="16" t="s">
        <v>39</v>
      </c>
      <c r="D319" s="16">
        <v>0.02</v>
      </c>
      <c r="E319" s="17">
        <f>'INSUMOS '!E311</f>
        <v>408750</v>
      </c>
      <c r="F319" s="55">
        <f t="shared" si="4"/>
        <v>8175</v>
      </c>
      <c r="G319" s="1075"/>
    </row>
    <row r="320" spans="1:7" s="2" customFormat="1" ht="15.75" customHeight="1">
      <c r="A320" s="947" t="s">
        <v>309</v>
      </c>
      <c r="B320" s="944"/>
      <c r="C320" s="16" t="s">
        <v>37</v>
      </c>
      <c r="D320" s="16">
        <v>1.2</v>
      </c>
      <c r="E320" s="17">
        <f>'INSUMOS '!E96</f>
        <v>1567</v>
      </c>
      <c r="F320" s="55">
        <f t="shared" si="4"/>
        <v>1880.3999999999999</v>
      </c>
      <c r="G320" s="1075"/>
    </row>
    <row r="321" spans="1:7" s="2" customFormat="1" ht="15.75" customHeight="1">
      <c r="A321" s="947" t="s">
        <v>53</v>
      </c>
      <c r="B321" s="944"/>
      <c r="C321" s="16" t="s">
        <v>54</v>
      </c>
      <c r="D321" s="16">
        <v>25</v>
      </c>
      <c r="E321" s="17">
        <f>'INSUMOS '!E65</f>
        <v>14</v>
      </c>
      <c r="F321" s="55">
        <f t="shared" si="4"/>
        <v>350</v>
      </c>
      <c r="G321" s="1075"/>
    </row>
    <row r="322" spans="1:7" s="2" customFormat="1" ht="15.75" customHeight="1">
      <c r="A322" s="947" t="s">
        <v>310</v>
      </c>
      <c r="B322" s="944"/>
      <c r="C322" s="16" t="s">
        <v>3</v>
      </c>
      <c r="D322" s="16">
        <v>0.5</v>
      </c>
      <c r="E322" s="17">
        <f>'INSUMOS '!E98</f>
        <v>16000</v>
      </c>
      <c r="F322" s="55">
        <f t="shared" si="4"/>
        <v>8000</v>
      </c>
      <c r="G322" s="57">
        <f>SUM(F310:F322)</f>
        <v>216127.15106892571</v>
      </c>
    </row>
    <row r="323" spans="1:7" s="2" customFormat="1" ht="15.75" customHeight="1">
      <c r="A323" s="1071" t="s">
        <v>15</v>
      </c>
      <c r="B323" s="944"/>
      <c r="C323" s="944"/>
      <c r="D323" s="944"/>
      <c r="E323" s="944"/>
      <c r="F323" s="944"/>
      <c r="G323" s="1072"/>
    </row>
    <row r="324" spans="1:7" s="2" customFormat="1" ht="15.75" customHeight="1">
      <c r="A324" s="1074" t="s">
        <v>2</v>
      </c>
      <c r="B324" s="944"/>
      <c r="C324" s="53" t="s">
        <v>3</v>
      </c>
      <c r="D324" s="53" t="s">
        <v>4</v>
      </c>
      <c r="E324" s="53" t="s">
        <v>6</v>
      </c>
      <c r="F324" s="53" t="s">
        <v>11</v>
      </c>
      <c r="G324" s="1075" t="s">
        <v>8</v>
      </c>
    </row>
    <row r="325" spans="1:7" s="2" customFormat="1" ht="15.75" customHeight="1">
      <c r="A325" s="943" t="s">
        <v>311</v>
      </c>
      <c r="B325" s="944"/>
      <c r="C325" s="16" t="s">
        <v>3</v>
      </c>
      <c r="D325" s="54">
        <v>3.5000000000000003E-2</v>
      </c>
      <c r="E325" s="17">
        <f>G308</f>
        <v>9037.1813999999995</v>
      </c>
      <c r="F325" s="55">
        <f>E325*D325</f>
        <v>316.30134900000002</v>
      </c>
      <c r="G325" s="1072"/>
    </row>
    <row r="326" spans="1:7" s="2" customFormat="1" ht="13.8">
      <c r="A326" s="943" t="s">
        <v>17</v>
      </c>
      <c r="B326" s="944"/>
      <c r="C326" s="16" t="s">
        <v>18</v>
      </c>
      <c r="D326" s="54">
        <v>3.5000000000000003E-2</v>
      </c>
      <c r="E326" s="17">
        <f>+G322</f>
        <v>216127.15106892571</v>
      </c>
      <c r="F326" s="55">
        <f>E326*D326</f>
        <v>7564.4502874124009</v>
      </c>
      <c r="G326" s="1072"/>
    </row>
    <row r="327" spans="1:7" s="2" customFormat="1" ht="15" customHeight="1">
      <c r="A327" s="943"/>
      <c r="B327" s="944"/>
      <c r="C327" s="16"/>
      <c r="D327" s="16"/>
      <c r="E327" s="60"/>
      <c r="F327" s="60"/>
      <c r="G327" s="57">
        <f>SUM(F325:F327)</f>
        <v>7880.7516364124012</v>
      </c>
    </row>
    <row r="328" spans="1:7" s="2" customFormat="1" ht="15.75" customHeight="1">
      <c r="A328" s="1071" t="s">
        <v>19</v>
      </c>
      <c r="B328" s="944"/>
      <c r="C328" s="944"/>
      <c r="D328" s="944"/>
      <c r="E328" s="944"/>
      <c r="F328" s="944"/>
      <c r="G328" s="1072"/>
    </row>
    <row r="329" spans="1:7" s="2" customFormat="1" ht="15.75" customHeight="1">
      <c r="A329" s="1074" t="s">
        <v>2</v>
      </c>
      <c r="B329" s="944"/>
      <c r="C329" s="53" t="s">
        <v>3</v>
      </c>
      <c r="D329" s="53" t="s">
        <v>4</v>
      </c>
      <c r="E329" s="53" t="s">
        <v>6</v>
      </c>
      <c r="F329" s="53" t="s">
        <v>11</v>
      </c>
      <c r="G329" s="456" t="s">
        <v>8</v>
      </c>
    </row>
    <row r="330" spans="1:7" s="2" customFormat="1" ht="15" customHeight="1">
      <c r="A330" s="978" t="str">
        <f>+SALARIOS!$A$105</f>
        <v>CUADRILLA DD CONCRETOS 1:4</v>
      </c>
      <c r="B330" s="979"/>
      <c r="C330" s="13" t="s">
        <v>1245</v>
      </c>
      <c r="D330" s="16">
        <v>0.75</v>
      </c>
      <c r="E330" s="17">
        <f>SALARIOS!$C$105</f>
        <v>54826</v>
      </c>
      <c r="F330" s="14">
        <f>+D330*E330</f>
        <v>41119.5</v>
      </c>
      <c r="G330" s="57">
        <f>F330</f>
        <v>41119.5</v>
      </c>
    </row>
    <row r="331" spans="1:7" s="2" customFormat="1" ht="27" customHeight="1">
      <c r="A331" s="1076" t="s">
        <v>25</v>
      </c>
      <c r="B331" s="944"/>
      <c r="C331" s="944"/>
      <c r="D331" s="944"/>
      <c r="E331" s="944"/>
      <c r="F331" s="944"/>
      <c r="G331" s="1072"/>
    </row>
    <row r="332" spans="1:7" s="2" customFormat="1" ht="17.399999999999999">
      <c r="A332" s="1077"/>
      <c r="B332" s="944"/>
      <c r="C332" s="944"/>
      <c r="D332" s="944"/>
      <c r="E332" s="944"/>
      <c r="F332" s="944"/>
      <c r="G332" s="62">
        <f>G330+G327+G322+G308</f>
        <v>274164.58410533809</v>
      </c>
    </row>
    <row r="333" spans="1:7" s="2" customFormat="1" ht="15.75" customHeight="1">
      <c r="A333" s="26"/>
      <c r="B333" s="27"/>
      <c r="C333" s="28"/>
      <c r="D333" s="28"/>
      <c r="E333" s="29"/>
      <c r="F333" s="28"/>
      <c r="G333" s="30"/>
    </row>
    <row r="334" spans="1:7" s="2" customFormat="1" ht="15.75" customHeight="1">
      <c r="A334" s="970" t="s">
        <v>1</v>
      </c>
      <c r="B334" s="957"/>
      <c r="C334" s="953" t="s">
        <v>0</v>
      </c>
      <c r="D334" s="954"/>
      <c r="E334" s="954"/>
      <c r="F334" s="954"/>
      <c r="G334" s="955"/>
    </row>
    <row r="335" spans="1:7" s="2" customFormat="1" ht="39.75" customHeight="1">
      <c r="A335" s="971"/>
      <c r="B335" s="957"/>
      <c r="C335" s="954"/>
      <c r="D335" s="954"/>
      <c r="E335" s="954"/>
      <c r="F335" s="954"/>
      <c r="G335" s="955"/>
    </row>
    <row r="336" spans="1:7" s="2" customFormat="1" ht="15.75" customHeight="1">
      <c r="A336" s="971"/>
      <c r="B336" s="957"/>
      <c r="C336" s="956"/>
      <c r="D336" s="957"/>
      <c r="E336" s="957"/>
      <c r="F336" s="957"/>
      <c r="G336" s="958"/>
    </row>
    <row r="337" spans="1:7" s="2" customFormat="1" ht="15.75" customHeight="1">
      <c r="A337" s="971"/>
      <c r="B337" s="957"/>
      <c r="C337" s="959" t="s">
        <v>2</v>
      </c>
      <c r="D337" s="957"/>
      <c r="E337" s="957"/>
      <c r="F337" s="23" t="s">
        <v>3</v>
      </c>
      <c r="G337" s="24" t="s">
        <v>4</v>
      </c>
    </row>
    <row r="338" spans="1:7" s="2" customFormat="1" ht="69.75" customHeight="1">
      <c r="A338" s="1073" t="s">
        <v>357</v>
      </c>
      <c r="B338" s="944"/>
      <c r="C338" s="980" t="s">
        <v>1836</v>
      </c>
      <c r="D338" s="944"/>
      <c r="E338" s="944"/>
      <c r="F338" s="51" t="s">
        <v>37</v>
      </c>
      <c r="G338" s="52">
        <v>9.5808</v>
      </c>
    </row>
    <row r="339" spans="1:7" s="2" customFormat="1" ht="15.75" customHeight="1">
      <c r="A339" s="1071" t="s">
        <v>5</v>
      </c>
      <c r="B339" s="944"/>
      <c r="C339" s="944"/>
      <c r="D339" s="944"/>
      <c r="E339" s="944"/>
      <c r="F339" s="944"/>
      <c r="G339" s="1072"/>
    </row>
    <row r="340" spans="1:7" s="2" customFormat="1" ht="15.75" customHeight="1">
      <c r="A340" s="1074" t="s">
        <v>2</v>
      </c>
      <c r="B340" s="944"/>
      <c r="C340" s="53" t="s">
        <v>3</v>
      </c>
      <c r="D340" s="53" t="s">
        <v>4</v>
      </c>
      <c r="E340" s="53" t="s">
        <v>6</v>
      </c>
      <c r="F340" s="53" t="s">
        <v>7</v>
      </c>
      <c r="G340" s="1075" t="s">
        <v>8</v>
      </c>
    </row>
    <row r="341" spans="1:7" s="2" customFormat="1" ht="15.75" customHeight="1">
      <c r="A341" s="947" t="s">
        <v>262</v>
      </c>
      <c r="B341" s="944"/>
      <c r="C341" s="51" t="s">
        <v>3</v>
      </c>
      <c r="D341" s="125">
        <v>0.05</v>
      </c>
      <c r="E341" s="17">
        <f>G358</f>
        <v>40876</v>
      </c>
      <c r="F341" s="55">
        <f>D341*E341</f>
        <v>2043.8000000000002</v>
      </c>
      <c r="G341" s="1072"/>
    </row>
    <row r="342" spans="1:7" s="2" customFormat="1" ht="15.75" customHeight="1">
      <c r="A342" s="1079"/>
      <c r="B342" s="944"/>
      <c r="C342" s="51"/>
      <c r="D342" s="56"/>
      <c r="E342" s="56"/>
      <c r="F342" s="55"/>
      <c r="G342" s="57">
        <f>SUM(F340:F342)</f>
        <v>2043.8000000000002</v>
      </c>
    </row>
    <row r="343" spans="1:7" s="2" customFormat="1" ht="15.75" customHeight="1">
      <c r="A343" s="1071" t="s">
        <v>10</v>
      </c>
      <c r="B343" s="944"/>
      <c r="C343" s="944"/>
      <c r="D343" s="944"/>
      <c r="E343" s="944"/>
      <c r="F343" s="944"/>
      <c r="G343" s="1072"/>
    </row>
    <row r="344" spans="1:7" s="2" customFormat="1" ht="13.8">
      <c r="A344" s="1074" t="s">
        <v>2</v>
      </c>
      <c r="B344" s="944"/>
      <c r="C344" s="53" t="s">
        <v>3</v>
      </c>
      <c r="D344" s="53" t="s">
        <v>4</v>
      </c>
      <c r="E344" s="53" t="s">
        <v>6</v>
      </c>
      <c r="F344" s="53" t="s">
        <v>11</v>
      </c>
      <c r="G344" s="1075" t="s">
        <v>8</v>
      </c>
    </row>
    <row r="345" spans="1:7" s="2" customFormat="1" ht="13.8">
      <c r="A345" s="947" t="s">
        <v>358</v>
      </c>
      <c r="B345" s="944"/>
      <c r="C345" s="16" t="s">
        <v>37</v>
      </c>
      <c r="D345" s="16">
        <v>1.1000000000000001</v>
      </c>
      <c r="E345" s="17">
        <f>'INSUMOS '!E314</f>
        <v>2852</v>
      </c>
      <c r="F345" s="55">
        <f>D345*E345</f>
        <v>3137.2000000000003</v>
      </c>
      <c r="G345" s="1075"/>
    </row>
    <row r="346" spans="1:7" s="2" customFormat="1" ht="15.75" customHeight="1">
      <c r="A346" s="947" t="s">
        <v>359</v>
      </c>
      <c r="B346" s="944"/>
      <c r="C346" s="16" t="s">
        <v>100</v>
      </c>
      <c r="D346" s="16">
        <v>0.44</v>
      </c>
      <c r="E346" s="17">
        <f>'INSUMOS '!E315</f>
        <v>1484</v>
      </c>
      <c r="F346" s="55">
        <f>E346*D346</f>
        <v>652.96</v>
      </c>
      <c r="G346" s="1075"/>
    </row>
    <row r="347" spans="1:7" s="2" customFormat="1" ht="34.950000000000003" customHeight="1">
      <c r="A347" s="947" t="s">
        <v>360</v>
      </c>
      <c r="B347" s="944"/>
      <c r="C347" s="16" t="s">
        <v>37</v>
      </c>
      <c r="D347" s="58">
        <v>10.199999999999999</v>
      </c>
      <c r="E347" s="17">
        <f>'INSUMOS '!E316</f>
        <v>147725</v>
      </c>
      <c r="F347" s="55">
        <f>E347*D347</f>
        <v>1506795</v>
      </c>
      <c r="G347" s="1075"/>
    </row>
    <row r="348" spans="1:7" s="2" customFormat="1" ht="51" customHeight="1">
      <c r="A348" s="947" t="s">
        <v>361</v>
      </c>
      <c r="B348" s="980"/>
      <c r="C348" s="16" t="s">
        <v>100</v>
      </c>
      <c r="D348" s="16">
        <v>8</v>
      </c>
      <c r="E348" s="17">
        <f>'INSUMOS '!E178</f>
        <v>34300.858152448258</v>
      </c>
      <c r="F348" s="55">
        <f>E348*D348</f>
        <v>274406.86521958606</v>
      </c>
      <c r="G348" s="1075"/>
    </row>
    <row r="349" spans="1:7" s="2" customFormat="1" ht="27.75" customHeight="1">
      <c r="A349" s="947" t="s">
        <v>2392</v>
      </c>
      <c r="B349" s="980"/>
      <c r="C349" s="16" t="s">
        <v>998</v>
      </c>
      <c r="D349" s="16">
        <v>0.05</v>
      </c>
      <c r="E349" s="17">
        <f>'INSUMOS '!E317</f>
        <v>122900</v>
      </c>
      <c r="F349" s="55">
        <f>E349*D349</f>
        <v>6145</v>
      </c>
      <c r="G349" s="1075"/>
    </row>
    <row r="350" spans="1:7" s="2" customFormat="1" ht="15.75" customHeight="1">
      <c r="A350" s="947"/>
      <c r="B350" s="944"/>
      <c r="C350" s="16"/>
      <c r="D350" s="58"/>
      <c r="E350" s="17"/>
      <c r="F350" s="55">
        <f>E350*D350</f>
        <v>0</v>
      </c>
      <c r="G350" s="57">
        <f>SUM(F344:F350)</f>
        <v>1791137.025219586</v>
      </c>
    </row>
    <row r="351" spans="1:7" s="2" customFormat="1" ht="15.75" customHeight="1">
      <c r="A351" s="1071" t="s">
        <v>15</v>
      </c>
      <c r="B351" s="944"/>
      <c r="C351" s="944"/>
      <c r="D351" s="944"/>
      <c r="E351" s="944"/>
      <c r="F351" s="944"/>
      <c r="G351" s="1072"/>
    </row>
    <row r="352" spans="1:7" s="2" customFormat="1" ht="15.75" customHeight="1">
      <c r="A352" s="1074" t="s">
        <v>2</v>
      </c>
      <c r="B352" s="944"/>
      <c r="C352" s="53" t="s">
        <v>3</v>
      </c>
      <c r="D352" s="53" t="s">
        <v>4</v>
      </c>
      <c r="E352" s="53" t="s">
        <v>6</v>
      </c>
      <c r="F352" s="53" t="s">
        <v>11</v>
      </c>
      <c r="G352" s="1075" t="s">
        <v>8</v>
      </c>
    </row>
    <row r="353" spans="1:7" s="2" customFormat="1" ht="15.75" customHeight="1">
      <c r="A353" s="943" t="s">
        <v>17</v>
      </c>
      <c r="B353" s="1078"/>
      <c r="C353" s="51" t="s">
        <v>3</v>
      </c>
      <c r="D353" s="54">
        <v>3.5000000000000003E-2</v>
      </c>
      <c r="E353" s="17">
        <f>G350</f>
        <v>1791137.025219586</v>
      </c>
      <c r="F353" s="55">
        <f>E353*D353</f>
        <v>62689.795882685517</v>
      </c>
      <c r="G353" s="1075"/>
    </row>
    <row r="354" spans="1:7" s="2" customFormat="1" ht="15.75" customHeight="1">
      <c r="A354" s="943" t="s">
        <v>311</v>
      </c>
      <c r="B354" s="944"/>
      <c r="C354" s="16" t="s">
        <v>321</v>
      </c>
      <c r="D354" s="54">
        <v>3.5000000000000003E-2</v>
      </c>
      <c r="E354" s="17">
        <f>G342</f>
        <v>2043.8000000000002</v>
      </c>
      <c r="F354" s="55">
        <f>E354*D354</f>
        <v>71.533000000000015</v>
      </c>
      <c r="G354" s="1072"/>
    </row>
    <row r="355" spans="1:7" s="2" customFormat="1" ht="15.75" customHeight="1">
      <c r="A355" s="59"/>
      <c r="B355" s="60"/>
      <c r="C355" s="60"/>
      <c r="D355" s="60"/>
      <c r="E355" s="60"/>
      <c r="F355" s="60"/>
      <c r="G355" s="57">
        <f>SUM(F353:F354)</f>
        <v>62761.328882685521</v>
      </c>
    </row>
    <row r="356" spans="1:7" s="2" customFormat="1" ht="15.75" customHeight="1">
      <c r="A356" s="1071" t="s">
        <v>19</v>
      </c>
      <c r="B356" s="944"/>
      <c r="C356" s="944"/>
      <c r="D356" s="944"/>
      <c r="E356" s="944"/>
      <c r="F356" s="944"/>
      <c r="G356" s="1072"/>
    </row>
    <row r="357" spans="1:7" s="2" customFormat="1" ht="15.75" customHeight="1">
      <c r="A357" s="1074" t="s">
        <v>2</v>
      </c>
      <c r="B357" s="944"/>
      <c r="C357" s="53" t="s">
        <v>3</v>
      </c>
      <c r="D357" s="53" t="s">
        <v>4</v>
      </c>
      <c r="E357" s="53" t="s">
        <v>6</v>
      </c>
      <c r="F357" s="53" t="s">
        <v>11</v>
      </c>
      <c r="G357" s="456" t="s">
        <v>8</v>
      </c>
    </row>
    <row r="358" spans="1:7" s="2" customFormat="1" ht="15" customHeight="1">
      <c r="A358" s="978" t="str">
        <f>SALARIOS!A86</f>
        <v>CUADRILLA DD CARPINTERÍA 1:2</v>
      </c>
      <c r="B358" s="979"/>
      <c r="C358" s="13" t="s">
        <v>1245</v>
      </c>
      <c r="D358" s="16">
        <v>1</v>
      </c>
      <c r="E358" s="17">
        <f>SALARIOS!$C$86</f>
        <v>40876</v>
      </c>
      <c r="F358" s="14">
        <f>+D358*E358</f>
        <v>40876</v>
      </c>
      <c r="G358" s="57">
        <f>F358</f>
        <v>40876</v>
      </c>
    </row>
    <row r="359" spans="1:7" s="2" customFormat="1" ht="15.75" customHeight="1">
      <c r="A359" s="1076" t="s">
        <v>25</v>
      </c>
      <c r="B359" s="944"/>
      <c r="C359" s="944"/>
      <c r="D359" s="944"/>
      <c r="E359" s="944"/>
      <c r="F359" s="944"/>
      <c r="G359" s="1072"/>
    </row>
    <row r="360" spans="1:7" s="2" customFormat="1" ht="15.75" customHeight="1">
      <c r="A360" s="1077"/>
      <c r="B360" s="944"/>
      <c r="C360" s="944"/>
      <c r="D360" s="944"/>
      <c r="E360" s="944"/>
      <c r="F360" s="944"/>
      <c r="G360" s="62">
        <f>G358+G355+G350+G342</f>
        <v>1896818.1541022717</v>
      </c>
    </row>
    <row r="361" spans="1:7" s="2" customFormat="1" ht="15.75" customHeight="1">
      <c r="A361" s="26"/>
      <c r="B361" s="27"/>
      <c r="C361" s="28"/>
      <c r="D361" s="28"/>
      <c r="E361" s="29"/>
      <c r="F361" s="28"/>
      <c r="G361" s="30"/>
    </row>
    <row r="362" spans="1:7" s="2" customFormat="1" ht="15.75" customHeight="1">
      <c r="A362" s="970" t="s">
        <v>1</v>
      </c>
      <c r="B362" s="957"/>
      <c r="C362" s="953" t="s">
        <v>0</v>
      </c>
      <c r="D362" s="954"/>
      <c r="E362" s="954"/>
      <c r="F362" s="954"/>
      <c r="G362" s="955"/>
    </row>
    <row r="363" spans="1:7" s="2" customFormat="1" ht="47.25" customHeight="1">
      <c r="A363" s="971"/>
      <c r="B363" s="957"/>
      <c r="C363" s="954"/>
      <c r="D363" s="954"/>
      <c r="E363" s="954"/>
      <c r="F363" s="954"/>
      <c r="G363" s="955"/>
    </row>
    <row r="364" spans="1:7" s="2" customFormat="1" ht="15.75" customHeight="1">
      <c r="A364" s="971"/>
      <c r="B364" s="957"/>
      <c r="C364" s="956"/>
      <c r="D364" s="957"/>
      <c r="E364" s="957"/>
      <c r="F364" s="957"/>
      <c r="G364" s="958"/>
    </row>
    <row r="365" spans="1:7" s="2" customFormat="1" ht="15.75" customHeight="1">
      <c r="A365" s="971"/>
      <c r="B365" s="957"/>
      <c r="C365" s="959" t="s">
        <v>2</v>
      </c>
      <c r="D365" s="957"/>
      <c r="E365" s="957"/>
      <c r="F365" s="23" t="s">
        <v>3</v>
      </c>
      <c r="G365" s="24" t="s">
        <v>4</v>
      </c>
    </row>
    <row r="366" spans="1:7" s="2" customFormat="1" ht="75.75" customHeight="1">
      <c r="A366" s="1073" t="s">
        <v>362</v>
      </c>
      <c r="B366" s="944"/>
      <c r="C366" s="980" t="s">
        <v>313</v>
      </c>
      <c r="D366" s="944"/>
      <c r="E366" s="944"/>
      <c r="F366" s="51" t="s">
        <v>100</v>
      </c>
      <c r="G366" s="52">
        <v>205.3</v>
      </c>
    </row>
    <row r="367" spans="1:7" s="2" customFormat="1" ht="15.75" customHeight="1">
      <c r="A367" s="1071" t="s">
        <v>5</v>
      </c>
      <c r="B367" s="944"/>
      <c r="C367" s="944"/>
      <c r="D367" s="944"/>
      <c r="E367" s="944"/>
      <c r="F367" s="944"/>
      <c r="G367" s="1072"/>
    </row>
    <row r="368" spans="1:7" s="2" customFormat="1" ht="23.25" customHeight="1">
      <c r="A368" s="1074" t="s">
        <v>2</v>
      </c>
      <c r="B368" s="944"/>
      <c r="C368" s="53" t="s">
        <v>3</v>
      </c>
      <c r="D368" s="53" t="s">
        <v>4</v>
      </c>
      <c r="E368" s="53" t="s">
        <v>6</v>
      </c>
      <c r="F368" s="53" t="s">
        <v>7</v>
      </c>
      <c r="G368" s="1075" t="s">
        <v>8</v>
      </c>
    </row>
    <row r="369" spans="1:7" s="2" customFormat="1" ht="23.25" customHeight="1">
      <c r="A369" s="947" t="s">
        <v>167</v>
      </c>
      <c r="B369" s="980"/>
      <c r="C369" s="51" t="s">
        <v>3</v>
      </c>
      <c r="D369" s="54">
        <v>0.05</v>
      </c>
      <c r="E369" s="17">
        <f>G385</f>
        <v>11922.05</v>
      </c>
      <c r="F369" s="55">
        <f>D369*E369</f>
        <v>596.10249999999996</v>
      </c>
      <c r="G369" s="1072"/>
    </row>
    <row r="370" spans="1:7" s="2" customFormat="1" ht="13.8">
      <c r="A370" s="947" t="s">
        <v>168</v>
      </c>
      <c r="B370" s="944"/>
      <c r="C370" s="51" t="s">
        <v>3</v>
      </c>
      <c r="D370" s="54">
        <v>0.33329999999999999</v>
      </c>
      <c r="E370" s="17">
        <f>'MAQUINARIA Y EQUIPOS'!F36</f>
        <v>37900</v>
      </c>
      <c r="F370" s="55">
        <f>D370*E370</f>
        <v>12632.07</v>
      </c>
      <c r="G370" s="1072"/>
    </row>
    <row r="371" spans="1:7" s="2" customFormat="1" ht="15.75" customHeight="1">
      <c r="A371" s="1079"/>
      <c r="B371" s="944"/>
      <c r="C371" s="56"/>
      <c r="D371" s="56"/>
      <c r="E371" s="56"/>
      <c r="F371" s="55"/>
      <c r="G371" s="57">
        <f>SUM(F368:F371)</f>
        <v>13228.172500000001</v>
      </c>
    </row>
    <row r="372" spans="1:7" s="2" customFormat="1" ht="15.75" customHeight="1">
      <c r="A372" s="1071" t="s">
        <v>10</v>
      </c>
      <c r="B372" s="944"/>
      <c r="C372" s="944"/>
      <c r="D372" s="944"/>
      <c r="E372" s="944"/>
      <c r="F372" s="944"/>
      <c r="G372" s="1072"/>
    </row>
    <row r="373" spans="1:7" s="2" customFormat="1" ht="15.75" customHeight="1">
      <c r="A373" s="1074" t="s">
        <v>2</v>
      </c>
      <c r="B373" s="944"/>
      <c r="C373" s="53" t="s">
        <v>3</v>
      </c>
      <c r="D373" s="53" t="s">
        <v>4</v>
      </c>
      <c r="E373" s="53" t="s">
        <v>6</v>
      </c>
      <c r="F373" s="53" t="s">
        <v>11</v>
      </c>
      <c r="G373" s="1075" t="s">
        <v>8</v>
      </c>
    </row>
    <row r="374" spans="1:7" s="2" customFormat="1" ht="15.75" customHeight="1">
      <c r="A374" s="947" t="s">
        <v>169</v>
      </c>
      <c r="B374" s="944"/>
      <c r="C374" s="16" t="s">
        <v>39</v>
      </c>
      <c r="D374" s="54">
        <v>2.5000000000000001E-2</v>
      </c>
      <c r="E374" s="17">
        <f>SUBANÁLISIS!G89</f>
        <v>431833.82500000001</v>
      </c>
      <c r="F374" s="55">
        <f>D374*E374</f>
        <v>10795.845625000002</v>
      </c>
      <c r="G374" s="1072"/>
    </row>
    <row r="375" spans="1:7" s="2" customFormat="1" ht="15.75" customHeight="1">
      <c r="A375" s="947" t="s">
        <v>170</v>
      </c>
      <c r="B375" s="980"/>
      <c r="C375" s="16" t="s">
        <v>100</v>
      </c>
      <c r="D375" s="54">
        <v>0.09</v>
      </c>
      <c r="E375" s="17">
        <f>'INSUMOS '!E27</f>
        <v>34396</v>
      </c>
      <c r="F375" s="55">
        <f>D375*E375</f>
        <v>3095.64</v>
      </c>
      <c r="G375" s="1072"/>
    </row>
    <row r="376" spans="1:7" s="2" customFormat="1" ht="15.75" customHeight="1">
      <c r="A376" s="947" t="s">
        <v>171</v>
      </c>
      <c r="B376" s="944"/>
      <c r="C376" s="51" t="s">
        <v>100</v>
      </c>
      <c r="D376" s="54">
        <v>2</v>
      </c>
      <c r="E376" s="17">
        <f>'INSUMOS '!E127</f>
        <v>115.55555555555556</v>
      </c>
      <c r="F376" s="55">
        <f>D376*E376</f>
        <v>231.11111111111111</v>
      </c>
      <c r="G376" s="1072"/>
    </row>
    <row r="377" spans="1:7" s="2" customFormat="1" ht="38.4" customHeight="1">
      <c r="A377" s="947" t="s">
        <v>172</v>
      </c>
      <c r="B377" s="944"/>
      <c r="C377" s="16" t="s">
        <v>3</v>
      </c>
      <c r="D377" s="54">
        <v>7.143E-3</v>
      </c>
      <c r="E377" s="17">
        <f>'INSUMOS '!E53</f>
        <v>82700</v>
      </c>
      <c r="F377" s="55">
        <f>D377*E377</f>
        <v>590.72609999999997</v>
      </c>
      <c r="G377" s="1072"/>
    </row>
    <row r="378" spans="1:7" s="2" customFormat="1" ht="15.75" customHeight="1">
      <c r="A378" s="947"/>
      <c r="B378" s="944"/>
      <c r="C378" s="16"/>
      <c r="D378" s="58"/>
      <c r="E378" s="17"/>
      <c r="F378" s="55"/>
      <c r="G378" s="57">
        <f>SUM(F373:F378)</f>
        <v>14713.322836111112</v>
      </c>
    </row>
    <row r="379" spans="1:7" s="2" customFormat="1" ht="15.75" customHeight="1">
      <c r="A379" s="1071" t="s">
        <v>15</v>
      </c>
      <c r="B379" s="944"/>
      <c r="C379" s="944"/>
      <c r="D379" s="944"/>
      <c r="E379" s="944"/>
      <c r="F379" s="944"/>
      <c r="G379" s="1072"/>
    </row>
    <row r="380" spans="1:7" s="2" customFormat="1" ht="15.75" customHeight="1">
      <c r="A380" s="1074" t="s">
        <v>2</v>
      </c>
      <c r="B380" s="944"/>
      <c r="C380" s="53" t="s">
        <v>3</v>
      </c>
      <c r="D380" s="53" t="s">
        <v>4</v>
      </c>
      <c r="E380" s="53" t="s">
        <v>6</v>
      </c>
      <c r="F380" s="53" t="s">
        <v>11</v>
      </c>
      <c r="G380" s="1075" t="s">
        <v>8</v>
      </c>
    </row>
    <row r="381" spans="1:7" s="2" customFormat="1" ht="15.75" customHeight="1">
      <c r="A381" s="943" t="s">
        <v>173</v>
      </c>
      <c r="B381" s="944"/>
      <c r="C381" s="16" t="s">
        <v>3</v>
      </c>
      <c r="D381" s="54">
        <v>3.5000000000000003E-2</v>
      </c>
      <c r="E381" s="17">
        <f>+G378</f>
        <v>14713.322836111112</v>
      </c>
      <c r="F381" s="55">
        <f>E381*D381</f>
        <v>514.96629926388903</v>
      </c>
      <c r="G381" s="1072"/>
    </row>
    <row r="382" spans="1:7" s="2" customFormat="1" ht="15.75" customHeight="1">
      <c r="A382" s="59"/>
      <c r="B382" s="60"/>
      <c r="C382" s="60"/>
      <c r="D382" s="60"/>
      <c r="E382" s="60"/>
      <c r="F382" s="60"/>
      <c r="G382" s="57">
        <f>SUM(F381:F382)</f>
        <v>514.96629926388903</v>
      </c>
    </row>
    <row r="383" spans="1:7" s="2" customFormat="1" ht="15.75" customHeight="1">
      <c r="A383" s="1071" t="s">
        <v>19</v>
      </c>
      <c r="B383" s="944"/>
      <c r="C383" s="944"/>
      <c r="D383" s="944"/>
      <c r="E383" s="944"/>
      <c r="F383" s="944"/>
      <c r="G383" s="1072"/>
    </row>
    <row r="384" spans="1:7" s="2" customFormat="1" ht="15.75" customHeight="1">
      <c r="A384" s="1074" t="s">
        <v>2</v>
      </c>
      <c r="B384" s="944"/>
      <c r="C384" s="53" t="s">
        <v>3</v>
      </c>
      <c r="D384" s="53" t="s">
        <v>4</v>
      </c>
      <c r="E384" s="53" t="s">
        <v>6</v>
      </c>
      <c r="F384" s="53" t="s">
        <v>11</v>
      </c>
      <c r="G384" s="456" t="s">
        <v>8</v>
      </c>
    </row>
    <row r="385" spans="1:13" s="2" customFormat="1" ht="15" customHeight="1">
      <c r="A385" s="978" t="str">
        <f>+SALARIOS!$A$62</f>
        <v>CUADRILLA AA ALBAÑILERÍA 1:2</v>
      </c>
      <c r="B385" s="979"/>
      <c r="C385" s="13" t="s">
        <v>1245</v>
      </c>
      <c r="D385" s="16">
        <f>0.35</f>
        <v>0.35</v>
      </c>
      <c r="E385" s="17">
        <f>SALARIOS!$C$62</f>
        <v>34063</v>
      </c>
      <c r="F385" s="14">
        <f>+D385*E385</f>
        <v>11922.05</v>
      </c>
      <c r="G385" s="57">
        <f>F385</f>
        <v>11922.05</v>
      </c>
    </row>
    <row r="386" spans="1:13" s="2" customFormat="1" ht="15.75" customHeight="1">
      <c r="A386" s="1076" t="s">
        <v>25</v>
      </c>
      <c r="B386" s="944"/>
      <c r="C386" s="944"/>
      <c r="D386" s="944"/>
      <c r="E386" s="944"/>
      <c r="F386" s="944"/>
      <c r="G386" s="1072"/>
    </row>
    <row r="387" spans="1:13" s="2" customFormat="1" ht="15.75" customHeight="1">
      <c r="A387" s="1077"/>
      <c r="B387" s="944"/>
      <c r="C387" s="944"/>
      <c r="D387" s="944"/>
      <c r="E387" s="944"/>
      <c r="F387" s="944"/>
      <c r="G387" s="62">
        <f>G385+G382+G378+G371</f>
        <v>40378.511635375005</v>
      </c>
    </row>
    <row r="388" spans="1:13" s="2" customFormat="1" ht="15.75" customHeight="1">
      <c r="A388" s="26"/>
      <c r="B388" s="27"/>
      <c r="C388" s="28"/>
      <c r="D388" s="28"/>
      <c r="E388" s="29"/>
      <c r="F388" s="28"/>
      <c r="G388" s="30"/>
    </row>
    <row r="389" spans="1:13" s="2" customFormat="1" ht="15.75" customHeight="1">
      <c r="A389" s="1081" t="s">
        <v>1</v>
      </c>
      <c r="B389" s="1082"/>
      <c r="C389" s="953" t="s">
        <v>0</v>
      </c>
      <c r="D389" s="954"/>
      <c r="E389" s="954"/>
      <c r="F389" s="954"/>
      <c r="G389" s="955"/>
    </row>
    <row r="390" spans="1:13" s="35" customFormat="1" ht="69" customHeight="1">
      <c r="A390" s="1083"/>
      <c r="B390" s="1082"/>
      <c r="C390" s="954"/>
      <c r="D390" s="954"/>
      <c r="E390" s="954"/>
      <c r="F390" s="954"/>
      <c r="G390" s="955"/>
      <c r="H390" s="2"/>
      <c r="I390" s="2"/>
      <c r="J390" s="2"/>
      <c r="K390" s="2"/>
      <c r="L390" s="2"/>
      <c r="M390" s="2"/>
    </row>
    <row r="391" spans="1:13" s="2" customFormat="1" ht="17.399999999999999">
      <c r="A391" s="1083"/>
      <c r="B391" s="1082"/>
      <c r="C391" s="1084"/>
      <c r="D391" s="1082"/>
      <c r="E391" s="1082"/>
      <c r="F391" s="1082"/>
      <c r="G391" s="1085"/>
    </row>
    <row r="392" spans="1:13" s="2" customFormat="1" ht="13.8">
      <c r="A392" s="1083"/>
      <c r="B392" s="1082"/>
      <c r="C392" s="1086" t="s">
        <v>2</v>
      </c>
      <c r="D392" s="1082"/>
      <c r="E392" s="1082"/>
      <c r="F392" s="126" t="s">
        <v>3</v>
      </c>
      <c r="G392" s="127" t="s">
        <v>4</v>
      </c>
    </row>
    <row r="393" spans="1:13" s="2" customFormat="1" ht="165" customHeight="1">
      <c r="A393" s="1087" t="s">
        <v>363</v>
      </c>
      <c r="B393" s="1082"/>
      <c r="C393" s="980" t="s">
        <v>352</v>
      </c>
      <c r="D393" s="944"/>
      <c r="E393" s="944"/>
      <c r="F393" s="128" t="s">
        <v>37</v>
      </c>
      <c r="G393" s="129">
        <v>108.37984999999999</v>
      </c>
    </row>
    <row r="394" spans="1:13" s="2" customFormat="1" ht="15.75" customHeight="1">
      <c r="A394" s="1088" t="s">
        <v>5</v>
      </c>
      <c r="B394" s="1082"/>
      <c r="C394" s="1082"/>
      <c r="D394" s="1082"/>
      <c r="E394" s="1082"/>
      <c r="F394" s="1082"/>
      <c r="G394" s="1085"/>
    </row>
    <row r="395" spans="1:13" s="2" customFormat="1" ht="13.8">
      <c r="A395" s="1074" t="s">
        <v>2</v>
      </c>
      <c r="B395" s="944"/>
      <c r="C395" s="53" t="s">
        <v>3</v>
      </c>
      <c r="D395" s="53" t="s">
        <v>4</v>
      </c>
      <c r="E395" s="53" t="s">
        <v>6</v>
      </c>
      <c r="F395" s="53" t="s">
        <v>7</v>
      </c>
      <c r="G395" s="1075" t="s">
        <v>8</v>
      </c>
    </row>
    <row r="396" spans="1:13" s="2" customFormat="1" ht="15.75" customHeight="1">
      <c r="A396" s="947" t="s">
        <v>262</v>
      </c>
      <c r="B396" s="944"/>
      <c r="C396" s="51" t="s">
        <v>3</v>
      </c>
      <c r="D396" s="109">
        <v>0.05</v>
      </c>
      <c r="E396" s="17">
        <f>G414</f>
        <v>27250.400000000001</v>
      </c>
      <c r="F396" s="55">
        <f>D396*E396</f>
        <v>1362.5200000000002</v>
      </c>
      <c r="G396" s="1072"/>
    </row>
    <row r="397" spans="1:13" s="2" customFormat="1" ht="15.75" customHeight="1">
      <c r="A397" s="947" t="s">
        <v>305</v>
      </c>
      <c r="B397" s="944"/>
      <c r="C397" s="51" t="s">
        <v>58</v>
      </c>
      <c r="D397" s="109">
        <v>0.02</v>
      </c>
      <c r="E397" s="17">
        <f>'MAQUINARIA Y EQUIPOS'!F15</f>
        <v>92820</v>
      </c>
      <c r="F397" s="55">
        <f>D397*E397</f>
        <v>1856.4</v>
      </c>
      <c r="G397" s="1072"/>
    </row>
    <row r="398" spans="1:13" s="2" customFormat="1" ht="15.75" customHeight="1">
      <c r="A398" s="1079"/>
      <c r="B398" s="1080"/>
      <c r="C398" s="51"/>
      <c r="D398" s="109"/>
      <c r="E398" s="17"/>
      <c r="F398" s="55"/>
      <c r="G398" s="57">
        <f>SUM(F395:F398)</f>
        <v>3218.92</v>
      </c>
    </row>
    <row r="399" spans="1:13" s="2" customFormat="1" ht="15.75" customHeight="1">
      <c r="A399" s="1071" t="s">
        <v>10</v>
      </c>
      <c r="B399" s="944"/>
      <c r="C399" s="944"/>
      <c r="D399" s="944"/>
      <c r="E399" s="944"/>
      <c r="F399" s="944"/>
      <c r="G399" s="1072"/>
    </row>
    <row r="400" spans="1:13" s="2" customFormat="1" ht="15.75" customHeight="1">
      <c r="A400" s="1074" t="s">
        <v>2</v>
      </c>
      <c r="B400" s="944"/>
      <c r="C400" s="53" t="s">
        <v>3</v>
      </c>
      <c r="D400" s="53" t="s">
        <v>4</v>
      </c>
      <c r="E400" s="53" t="s">
        <v>6</v>
      </c>
      <c r="F400" s="53" t="s">
        <v>11</v>
      </c>
      <c r="G400" s="1075" t="s">
        <v>8</v>
      </c>
    </row>
    <row r="401" spans="1:7" s="2" customFormat="1" ht="15.75" customHeight="1">
      <c r="A401" s="947" t="s">
        <v>307</v>
      </c>
      <c r="B401" s="980"/>
      <c r="C401" s="16" t="s">
        <v>39</v>
      </c>
      <c r="D401" s="54">
        <v>3.0000000000000001E-3</v>
      </c>
      <c r="E401" s="17">
        <f>'INSUMOS '!E94</f>
        <v>364596.67</v>
      </c>
      <c r="F401" s="55">
        <f t="shared" ref="F401:F406" si="5">D401*E401</f>
        <v>1093.7900099999999</v>
      </c>
      <c r="G401" s="1075"/>
    </row>
    <row r="402" spans="1:7" s="2" customFormat="1" ht="27.75" customHeight="1">
      <c r="A402" s="947" t="s">
        <v>308</v>
      </c>
      <c r="B402" s="980"/>
      <c r="C402" s="16" t="s">
        <v>37</v>
      </c>
      <c r="D402" s="16">
        <v>1</v>
      </c>
      <c r="E402" s="17">
        <f>'INSUMOS '!E89</f>
        <v>98100</v>
      </c>
      <c r="F402" s="55">
        <f t="shared" si="5"/>
        <v>98100</v>
      </c>
      <c r="G402" s="1075"/>
    </row>
    <row r="403" spans="1:7" s="2" customFormat="1" ht="15.75" customHeight="1">
      <c r="A403" s="947" t="s">
        <v>353</v>
      </c>
      <c r="B403" s="980"/>
      <c r="C403" s="16" t="s">
        <v>18</v>
      </c>
      <c r="D403" s="16">
        <v>1.2999999999999999E-2</v>
      </c>
      <c r="E403" s="17">
        <f>'INSUMOS '!E95</f>
        <v>72900</v>
      </c>
      <c r="F403" s="55">
        <f t="shared" si="5"/>
        <v>947.69999999999993</v>
      </c>
      <c r="G403" s="1075"/>
    </row>
    <row r="404" spans="1:7" s="2" customFormat="1" ht="15.75" customHeight="1">
      <c r="A404" s="1015" t="s">
        <v>2391</v>
      </c>
      <c r="B404" s="1016"/>
      <c r="C404" s="16" t="s">
        <v>100</v>
      </c>
      <c r="D404" s="16">
        <v>2</v>
      </c>
      <c r="E404" s="17">
        <f>'INSUMOS '!$E$77</f>
        <v>3082</v>
      </c>
      <c r="F404" s="55">
        <f t="shared" si="5"/>
        <v>6164</v>
      </c>
      <c r="G404" s="1075"/>
    </row>
    <row r="405" spans="1:7" s="2" customFormat="1" ht="15.75" customHeight="1">
      <c r="A405" s="947" t="s">
        <v>115</v>
      </c>
      <c r="B405" s="980"/>
      <c r="C405" s="16" t="s">
        <v>3</v>
      </c>
      <c r="D405" s="16">
        <v>0.2</v>
      </c>
      <c r="E405" s="17">
        <f>'INSUMOS '!E28</f>
        <v>51900</v>
      </c>
      <c r="F405" s="55">
        <f t="shared" si="5"/>
        <v>10380</v>
      </c>
      <c r="G405" s="1075"/>
    </row>
    <row r="406" spans="1:7" s="2" customFormat="1" ht="15.75" customHeight="1">
      <c r="A406" s="947" t="s">
        <v>310</v>
      </c>
      <c r="B406" s="944"/>
      <c r="C406" s="16" t="s">
        <v>3</v>
      </c>
      <c r="D406" s="16">
        <v>0.5</v>
      </c>
      <c r="E406" s="17">
        <f>'INSUMOS '!E98</f>
        <v>16000</v>
      </c>
      <c r="F406" s="55">
        <f t="shared" si="5"/>
        <v>8000</v>
      </c>
      <c r="G406" s="57">
        <f>SUM(F400:F406)</f>
        <v>124685.49000999999</v>
      </c>
    </row>
    <row r="407" spans="1:7" s="2" customFormat="1" ht="15.75" customHeight="1">
      <c r="A407" s="1071" t="s">
        <v>15</v>
      </c>
      <c r="B407" s="944"/>
      <c r="C407" s="944"/>
      <c r="D407" s="944"/>
      <c r="E407" s="944"/>
      <c r="F407" s="944"/>
      <c r="G407" s="1072"/>
    </row>
    <row r="408" spans="1:7" s="2" customFormat="1" ht="15.75" customHeight="1">
      <c r="A408" s="1074" t="s">
        <v>2</v>
      </c>
      <c r="B408" s="944"/>
      <c r="C408" s="53" t="s">
        <v>3</v>
      </c>
      <c r="D408" s="53" t="s">
        <v>4</v>
      </c>
      <c r="E408" s="53" t="s">
        <v>6</v>
      </c>
      <c r="F408" s="53" t="s">
        <v>11</v>
      </c>
      <c r="G408" s="1075" t="s">
        <v>8</v>
      </c>
    </row>
    <row r="409" spans="1:7" s="2" customFormat="1" ht="15.75" customHeight="1">
      <c r="A409" s="943" t="s">
        <v>311</v>
      </c>
      <c r="B409" s="944"/>
      <c r="C409" s="16" t="s">
        <v>3</v>
      </c>
      <c r="D409" s="54">
        <v>3.5000000000000003E-2</v>
      </c>
      <c r="E409" s="17">
        <f>G398</f>
        <v>3218.92</v>
      </c>
      <c r="F409" s="55">
        <f>E409*D409</f>
        <v>112.66220000000001</v>
      </c>
      <c r="G409" s="1072"/>
    </row>
    <row r="410" spans="1:7" s="2" customFormat="1" ht="15.75" customHeight="1">
      <c r="A410" s="943" t="s">
        <v>17</v>
      </c>
      <c r="B410" s="944"/>
      <c r="C410" s="16" t="s">
        <v>18</v>
      </c>
      <c r="D410" s="54">
        <v>3.5000000000000003E-2</v>
      </c>
      <c r="E410" s="17">
        <f>+G406</f>
        <v>124685.49000999999</v>
      </c>
      <c r="F410" s="55">
        <f>E410*D410</f>
        <v>4363.99215035</v>
      </c>
      <c r="G410" s="1072"/>
    </row>
    <row r="411" spans="1:7" s="2" customFormat="1" ht="15.75" customHeight="1">
      <c r="A411" s="943"/>
      <c r="B411" s="944"/>
      <c r="C411" s="16"/>
      <c r="D411" s="16"/>
      <c r="E411" s="60"/>
      <c r="F411" s="60"/>
      <c r="G411" s="57">
        <f>SUM(F409:F411)</f>
        <v>4476.6543503499997</v>
      </c>
    </row>
    <row r="412" spans="1:7" s="2" customFormat="1" ht="15.75" customHeight="1">
      <c r="A412" s="1071" t="s">
        <v>19</v>
      </c>
      <c r="B412" s="944"/>
      <c r="C412" s="944"/>
      <c r="D412" s="944"/>
      <c r="E412" s="944"/>
      <c r="F412" s="944"/>
      <c r="G412" s="1072"/>
    </row>
    <row r="413" spans="1:7" s="2" customFormat="1" ht="15.75" customHeight="1">
      <c r="A413" s="1074" t="s">
        <v>2</v>
      </c>
      <c r="B413" s="944"/>
      <c r="C413" s="53" t="s">
        <v>3</v>
      </c>
      <c r="D413" s="53" t="s">
        <v>4</v>
      </c>
      <c r="E413" s="53" t="s">
        <v>6</v>
      </c>
      <c r="F413" s="53" t="s">
        <v>11</v>
      </c>
      <c r="G413" s="456" t="s">
        <v>8</v>
      </c>
    </row>
    <row r="414" spans="1:7" s="2" customFormat="1" ht="15" customHeight="1">
      <c r="A414" s="978" t="str">
        <f>SALARIOS!$A$62</f>
        <v>CUADRILLA AA ALBAÑILERÍA 1:2</v>
      </c>
      <c r="B414" s="979"/>
      <c r="C414" s="13" t="s">
        <v>1245</v>
      </c>
      <c r="D414" s="16">
        <f>0.8</f>
        <v>0.8</v>
      </c>
      <c r="E414" s="17">
        <f>SALARIOS!$C$62</f>
        <v>34063</v>
      </c>
      <c r="F414" s="14">
        <f>+D414*E414</f>
        <v>27250.400000000001</v>
      </c>
      <c r="G414" s="57">
        <f>F414</f>
        <v>27250.400000000001</v>
      </c>
    </row>
    <row r="415" spans="1:7" s="2" customFormat="1" ht="15.75" customHeight="1">
      <c r="A415" s="1076" t="s">
        <v>25</v>
      </c>
      <c r="B415" s="944"/>
      <c r="C415" s="944"/>
      <c r="D415" s="944"/>
      <c r="E415" s="944"/>
      <c r="F415" s="944"/>
      <c r="G415" s="1072"/>
    </row>
    <row r="416" spans="1:7" s="2" customFormat="1" ht="15.75" customHeight="1">
      <c r="A416" s="1077"/>
      <c r="B416" s="944"/>
      <c r="C416" s="944"/>
      <c r="D416" s="944"/>
      <c r="E416" s="944"/>
      <c r="F416" s="944"/>
      <c r="G416" s="62">
        <f>G414+G411+G406+G398</f>
        <v>159631.46436035002</v>
      </c>
    </row>
    <row r="417" spans="1:11" s="2" customFormat="1" ht="15.75" customHeight="1">
      <c r="A417" s="26"/>
      <c r="B417" s="27"/>
      <c r="C417" s="28"/>
      <c r="D417" s="28"/>
      <c r="E417" s="29"/>
      <c r="F417" s="28"/>
      <c r="G417" s="30"/>
    </row>
    <row r="418" spans="1:11" s="2" customFormat="1" ht="15.75" customHeight="1">
      <c r="A418" s="970" t="s">
        <v>1</v>
      </c>
      <c r="B418" s="957"/>
      <c r="C418" s="953" t="s">
        <v>0</v>
      </c>
      <c r="D418" s="954"/>
      <c r="E418" s="954"/>
      <c r="F418" s="954"/>
      <c r="G418" s="955"/>
    </row>
    <row r="419" spans="1:11" s="2" customFormat="1" ht="49.5" customHeight="1">
      <c r="A419" s="971"/>
      <c r="B419" s="957"/>
      <c r="C419" s="954"/>
      <c r="D419" s="954"/>
      <c r="E419" s="954"/>
      <c r="F419" s="954"/>
      <c r="G419" s="955"/>
    </row>
    <row r="420" spans="1:11" s="2" customFormat="1" ht="15.75" customHeight="1">
      <c r="A420" s="971"/>
      <c r="B420" s="957"/>
      <c r="C420" s="956"/>
      <c r="D420" s="957"/>
      <c r="E420" s="957"/>
      <c r="F420" s="957"/>
      <c r="G420" s="958"/>
    </row>
    <row r="421" spans="1:11" s="2" customFormat="1" ht="15.75" customHeight="1">
      <c r="A421" s="971"/>
      <c r="B421" s="957"/>
      <c r="C421" s="959" t="s">
        <v>2</v>
      </c>
      <c r="D421" s="957"/>
      <c r="E421" s="957"/>
      <c r="F421" s="23" t="s">
        <v>3</v>
      </c>
      <c r="G421" s="24" t="s">
        <v>4</v>
      </c>
    </row>
    <row r="422" spans="1:11" s="2" customFormat="1" ht="148.5" customHeight="1">
      <c r="A422" s="1073" t="s">
        <v>364</v>
      </c>
      <c r="B422" s="944"/>
      <c r="C422" s="980" t="s">
        <v>304</v>
      </c>
      <c r="D422" s="944"/>
      <c r="E422" s="944"/>
      <c r="F422" s="51" t="s">
        <v>37</v>
      </c>
      <c r="G422" s="52">
        <v>16.996000000000002</v>
      </c>
    </row>
    <row r="423" spans="1:11" s="2" customFormat="1" ht="15.75" customHeight="1">
      <c r="A423" s="1071" t="s">
        <v>5</v>
      </c>
      <c r="B423" s="944"/>
      <c r="C423" s="944"/>
      <c r="D423" s="944"/>
      <c r="E423" s="944"/>
      <c r="F423" s="944"/>
      <c r="G423" s="1072"/>
    </row>
    <row r="424" spans="1:11" s="2" customFormat="1" ht="15.75" customHeight="1">
      <c r="A424" s="1074" t="s">
        <v>2</v>
      </c>
      <c r="B424" s="944"/>
      <c r="C424" s="53" t="s">
        <v>3</v>
      </c>
      <c r="D424" s="53" t="s">
        <v>4</v>
      </c>
      <c r="E424" s="53" t="s">
        <v>6</v>
      </c>
      <c r="F424" s="53" t="s">
        <v>7</v>
      </c>
      <c r="G424" s="1075" t="s">
        <v>8</v>
      </c>
    </row>
    <row r="425" spans="1:11" s="2" customFormat="1" ht="13.8">
      <c r="A425" s="947" t="s">
        <v>262</v>
      </c>
      <c r="B425" s="944"/>
      <c r="C425" s="51" t="s">
        <v>3</v>
      </c>
      <c r="D425" s="109">
        <v>0.05</v>
      </c>
      <c r="E425" s="17">
        <f>G451</f>
        <v>41119.5</v>
      </c>
      <c r="F425" s="55">
        <f>D425*E425</f>
        <v>2055.9749999999999</v>
      </c>
      <c r="G425" s="1072"/>
    </row>
    <row r="426" spans="1:11" s="2" customFormat="1" ht="13.8">
      <c r="A426" s="947" t="s">
        <v>57</v>
      </c>
      <c r="B426" s="944"/>
      <c r="C426" s="51" t="s">
        <v>58</v>
      </c>
      <c r="D426" s="109">
        <v>0.08</v>
      </c>
      <c r="E426" s="17">
        <f>'MAQUINARIA Y EQUIPOS'!F19</f>
        <v>45763.829999999994</v>
      </c>
      <c r="F426" s="55">
        <f>D426*E426</f>
        <v>3661.1063999999997</v>
      </c>
      <c r="G426" s="1072"/>
    </row>
    <row r="427" spans="1:11" s="2" customFormat="1" ht="15.75" customHeight="1">
      <c r="A427" s="1015" t="s">
        <v>329</v>
      </c>
      <c r="B427" s="1016"/>
      <c r="C427" s="51" t="s">
        <v>60</v>
      </c>
      <c r="D427" s="109">
        <v>0.03</v>
      </c>
      <c r="E427" s="17">
        <f>'MAQUINARIA Y EQUIPOS'!$F$12</f>
        <v>48790</v>
      </c>
      <c r="F427" s="55">
        <f>D427*E427</f>
        <v>1463.7</v>
      </c>
      <c r="G427" s="1072"/>
    </row>
    <row r="428" spans="1:11" s="2" customFormat="1" ht="15.75" customHeight="1">
      <c r="A428" s="947" t="s">
        <v>305</v>
      </c>
      <c r="B428" s="944"/>
      <c r="C428" s="51" t="s">
        <v>58</v>
      </c>
      <c r="D428" s="109">
        <v>0.02</v>
      </c>
      <c r="E428" s="17">
        <f>'MAQUINARIA Y EQUIPOS'!F15</f>
        <v>92820</v>
      </c>
      <c r="F428" s="55">
        <f>D428*E428</f>
        <v>1856.4</v>
      </c>
      <c r="G428" s="1072"/>
    </row>
    <row r="429" spans="1:11" s="2" customFormat="1" ht="13.8">
      <c r="A429" s="1079"/>
      <c r="B429" s="1080"/>
      <c r="C429" s="51"/>
      <c r="D429" s="109"/>
      <c r="E429" s="17"/>
      <c r="F429" s="55"/>
      <c r="G429" s="57">
        <f>SUM(F424:F429)</f>
        <v>9037.1813999999995</v>
      </c>
    </row>
    <row r="430" spans="1:11" s="2" customFormat="1" ht="15.75" customHeight="1">
      <c r="A430" s="1071" t="s">
        <v>10</v>
      </c>
      <c r="B430" s="944"/>
      <c r="C430" s="944"/>
      <c r="D430" s="944"/>
      <c r="E430" s="944"/>
      <c r="F430" s="944"/>
      <c r="G430" s="1072"/>
    </row>
    <row r="431" spans="1:11" s="2" customFormat="1" ht="15.75" customHeight="1">
      <c r="A431" s="1074" t="s">
        <v>2</v>
      </c>
      <c r="B431" s="944"/>
      <c r="C431" s="53" t="s">
        <v>3</v>
      </c>
      <c r="D431" s="53" t="s">
        <v>4</v>
      </c>
      <c r="E431" s="53" t="s">
        <v>6</v>
      </c>
      <c r="F431" s="53" t="s">
        <v>11</v>
      </c>
      <c r="G431" s="1075" t="s">
        <v>8</v>
      </c>
    </row>
    <row r="432" spans="1:11" s="35" customFormat="1" ht="13.8">
      <c r="A432" s="947" t="s">
        <v>306</v>
      </c>
      <c r="B432" s="944"/>
      <c r="C432" s="16" t="s">
        <v>39</v>
      </c>
      <c r="D432" s="16">
        <v>0.05</v>
      </c>
      <c r="E432" s="17">
        <f>SUBANÁLISIS!G31</f>
        <v>570669.8666666667</v>
      </c>
      <c r="F432" s="55">
        <f t="shared" ref="F432:F443" si="6">D432*E432</f>
        <v>28533.493333333336</v>
      </c>
      <c r="G432" s="1075"/>
      <c r="H432" s="2"/>
      <c r="I432" s="2"/>
      <c r="J432" s="2"/>
      <c r="K432" s="2"/>
    </row>
    <row r="433" spans="1:7" s="2" customFormat="1" ht="15.75" customHeight="1">
      <c r="A433" s="947" t="s">
        <v>307</v>
      </c>
      <c r="B433" s="980"/>
      <c r="C433" s="16" t="s">
        <v>39</v>
      </c>
      <c r="D433" s="54">
        <v>3.0000000000000001E-3</v>
      </c>
      <c r="E433" s="17">
        <f>'INSUMOS '!E94</f>
        <v>364596.67</v>
      </c>
      <c r="F433" s="55">
        <f t="shared" si="6"/>
        <v>1093.7900099999999</v>
      </c>
      <c r="G433" s="1075"/>
    </row>
    <row r="434" spans="1:7" s="2" customFormat="1" ht="15.75" customHeight="1">
      <c r="A434" s="947" t="s">
        <v>308</v>
      </c>
      <c r="B434" s="980"/>
      <c r="C434" s="16" t="s">
        <v>37</v>
      </c>
      <c r="D434" s="16">
        <v>1</v>
      </c>
      <c r="E434" s="17">
        <f>'INSUMOS '!E89</f>
        <v>98100</v>
      </c>
      <c r="F434" s="55">
        <f t="shared" si="6"/>
        <v>98100</v>
      </c>
      <c r="G434" s="1075"/>
    </row>
    <row r="435" spans="1:7" s="2" customFormat="1" ht="15.75" customHeight="1">
      <c r="A435" s="976" t="s">
        <v>63</v>
      </c>
      <c r="B435" s="977"/>
      <c r="C435" s="9" t="s">
        <v>3</v>
      </c>
      <c r="D435" s="9">
        <v>1.5</v>
      </c>
      <c r="E435" s="122">
        <f>'INSUMOS '!E21</f>
        <v>3244.1860465116279</v>
      </c>
      <c r="F435" s="55">
        <f t="shared" si="6"/>
        <v>4866.2790697674418</v>
      </c>
      <c r="G435" s="1075"/>
    </row>
    <row r="436" spans="1:7" s="2" customFormat="1" ht="15.75" customHeight="1">
      <c r="A436" s="976" t="s">
        <v>64</v>
      </c>
      <c r="B436" s="977"/>
      <c r="C436" s="9" t="s">
        <v>37</v>
      </c>
      <c r="D436" s="9">
        <v>0.18</v>
      </c>
      <c r="E436" s="122">
        <f>'INSUMOS '!E23</f>
        <v>67049.18032786886</v>
      </c>
      <c r="F436" s="55">
        <f t="shared" si="6"/>
        <v>12068.852459016394</v>
      </c>
      <c r="G436" s="1075"/>
    </row>
    <row r="437" spans="1:7" s="2" customFormat="1" ht="15.75" customHeight="1">
      <c r="A437" s="947" t="s">
        <v>118</v>
      </c>
      <c r="B437" s="944"/>
      <c r="C437" s="16" t="s">
        <v>37</v>
      </c>
      <c r="D437" s="16">
        <v>1.2</v>
      </c>
      <c r="E437" s="17">
        <f>'INSUMOS '!E58</f>
        <v>6304.9645390070918</v>
      </c>
      <c r="F437" s="55">
        <f t="shared" si="6"/>
        <v>7565.9574468085102</v>
      </c>
      <c r="G437" s="1075"/>
    </row>
    <row r="438" spans="1:7" s="2" customFormat="1" ht="13.8">
      <c r="A438" s="947" t="s">
        <v>1036</v>
      </c>
      <c r="B438" s="980"/>
      <c r="C438" s="16" t="s">
        <v>39</v>
      </c>
      <c r="D438" s="16">
        <v>0.05</v>
      </c>
      <c r="E438" s="17">
        <f>SUBANÁLISIS!G146</f>
        <v>702267.57499999995</v>
      </c>
      <c r="F438" s="55">
        <f t="shared" si="6"/>
        <v>35113.378749999996</v>
      </c>
      <c r="G438" s="1075"/>
    </row>
    <row r="439" spans="1:7" s="2" customFormat="1" ht="13.8">
      <c r="A439" s="947" t="s">
        <v>115</v>
      </c>
      <c r="B439" s="980"/>
      <c r="C439" s="16" t="s">
        <v>3</v>
      </c>
      <c r="D439" s="16">
        <v>0.2</v>
      </c>
      <c r="E439" s="17">
        <f>'INSUMOS '!E28</f>
        <v>51900</v>
      </c>
      <c r="F439" s="55">
        <f t="shared" si="6"/>
        <v>10380</v>
      </c>
      <c r="G439" s="1075"/>
    </row>
    <row r="440" spans="1:7" s="2" customFormat="1" ht="15.75" customHeight="1">
      <c r="A440" s="947" t="s">
        <v>356</v>
      </c>
      <c r="B440" s="980"/>
      <c r="C440" s="16" t="s">
        <v>39</v>
      </c>
      <c r="D440" s="16">
        <v>0.02</v>
      </c>
      <c r="E440" s="17">
        <f>'INSUMOS '!E311</f>
        <v>408750</v>
      </c>
      <c r="F440" s="55">
        <f t="shared" si="6"/>
        <v>8175</v>
      </c>
      <c r="G440" s="1075"/>
    </row>
    <row r="441" spans="1:7" s="2" customFormat="1" ht="15.75" customHeight="1">
      <c r="A441" s="947" t="s">
        <v>309</v>
      </c>
      <c r="B441" s="944"/>
      <c r="C441" s="16" t="s">
        <v>37</v>
      </c>
      <c r="D441" s="16">
        <v>1.2</v>
      </c>
      <c r="E441" s="17">
        <f>'INSUMOS '!E96</f>
        <v>1567</v>
      </c>
      <c r="F441" s="55">
        <f t="shared" si="6"/>
        <v>1880.3999999999999</v>
      </c>
      <c r="G441" s="1075"/>
    </row>
    <row r="442" spans="1:7" s="2" customFormat="1" ht="15.75" customHeight="1">
      <c r="A442" s="947" t="s">
        <v>53</v>
      </c>
      <c r="B442" s="944"/>
      <c r="C442" s="16" t="s">
        <v>54</v>
      </c>
      <c r="D442" s="16">
        <v>25</v>
      </c>
      <c r="E442" s="17">
        <f>'INSUMOS '!E65</f>
        <v>14</v>
      </c>
      <c r="F442" s="55">
        <f t="shared" si="6"/>
        <v>350</v>
      </c>
      <c r="G442" s="1075"/>
    </row>
    <row r="443" spans="1:7" s="2" customFormat="1" ht="15.75" customHeight="1">
      <c r="A443" s="947" t="s">
        <v>310</v>
      </c>
      <c r="B443" s="944"/>
      <c r="C443" s="16" t="s">
        <v>3</v>
      </c>
      <c r="D443" s="16">
        <v>0.5</v>
      </c>
      <c r="E443" s="17">
        <f>'INSUMOS '!E98</f>
        <v>16000</v>
      </c>
      <c r="F443" s="55">
        <f t="shared" si="6"/>
        <v>8000</v>
      </c>
      <c r="G443" s="57">
        <f>SUM(F431:F443)</f>
        <v>216127.15106892571</v>
      </c>
    </row>
    <row r="444" spans="1:7" s="2" customFormat="1" ht="15.75" customHeight="1">
      <c r="A444" s="1071" t="s">
        <v>15</v>
      </c>
      <c r="B444" s="944"/>
      <c r="C444" s="944"/>
      <c r="D444" s="944"/>
      <c r="E444" s="944"/>
      <c r="F444" s="944"/>
      <c r="G444" s="1072"/>
    </row>
    <row r="445" spans="1:7" s="2" customFormat="1" ht="15.75" customHeight="1">
      <c r="A445" s="1074" t="s">
        <v>2</v>
      </c>
      <c r="B445" s="944"/>
      <c r="C445" s="53" t="s">
        <v>3</v>
      </c>
      <c r="D445" s="53" t="s">
        <v>4</v>
      </c>
      <c r="E445" s="53" t="s">
        <v>6</v>
      </c>
      <c r="F445" s="53" t="s">
        <v>11</v>
      </c>
      <c r="G445" s="1075" t="s">
        <v>8</v>
      </c>
    </row>
    <row r="446" spans="1:7" s="2" customFormat="1" ht="15.75" customHeight="1">
      <c r="A446" s="943" t="s">
        <v>311</v>
      </c>
      <c r="B446" s="944"/>
      <c r="C446" s="16" t="s">
        <v>3</v>
      </c>
      <c r="D446" s="54">
        <v>3.5000000000000003E-2</v>
      </c>
      <c r="E446" s="17">
        <f>G429</f>
        <v>9037.1813999999995</v>
      </c>
      <c r="F446" s="55">
        <f>E446*D446</f>
        <v>316.30134900000002</v>
      </c>
      <c r="G446" s="1072"/>
    </row>
    <row r="447" spans="1:7" s="2" customFormat="1" ht="15.75" customHeight="1">
      <c r="A447" s="943" t="s">
        <v>17</v>
      </c>
      <c r="B447" s="944"/>
      <c r="C447" s="16" t="s">
        <v>18</v>
      </c>
      <c r="D447" s="54">
        <v>3.5000000000000003E-2</v>
      </c>
      <c r="E447" s="17">
        <f>+G443</f>
        <v>216127.15106892571</v>
      </c>
      <c r="F447" s="55">
        <f>E447*D447</f>
        <v>7564.4502874124009</v>
      </c>
      <c r="G447" s="1072"/>
    </row>
    <row r="448" spans="1:7" s="2" customFormat="1" ht="15.75" customHeight="1">
      <c r="A448" s="943"/>
      <c r="B448" s="944"/>
      <c r="C448" s="16"/>
      <c r="D448" s="16"/>
      <c r="E448" s="60"/>
      <c r="F448" s="60"/>
      <c r="G448" s="57">
        <f>SUM(F446:F448)</f>
        <v>7880.7516364124012</v>
      </c>
    </row>
    <row r="449" spans="1:7" s="2" customFormat="1" ht="15.75" customHeight="1">
      <c r="A449" s="1071" t="s">
        <v>19</v>
      </c>
      <c r="B449" s="944"/>
      <c r="C449" s="944"/>
      <c r="D449" s="944"/>
      <c r="E449" s="944"/>
      <c r="F449" s="944"/>
      <c r="G449" s="1072"/>
    </row>
    <row r="450" spans="1:7" s="2" customFormat="1" ht="15.75" customHeight="1">
      <c r="A450" s="1074" t="s">
        <v>2</v>
      </c>
      <c r="B450" s="944"/>
      <c r="C450" s="53" t="s">
        <v>3</v>
      </c>
      <c r="D450" s="53" t="s">
        <v>4</v>
      </c>
      <c r="E450" s="53" t="s">
        <v>6</v>
      </c>
      <c r="F450" s="53" t="s">
        <v>11</v>
      </c>
      <c r="G450" s="456" t="s">
        <v>8</v>
      </c>
    </row>
    <row r="451" spans="1:7" s="2" customFormat="1" ht="15" customHeight="1">
      <c r="A451" s="978" t="str">
        <f>+SALARIOS!$A$105</f>
        <v>CUADRILLA DD CONCRETOS 1:4</v>
      </c>
      <c r="B451" s="979"/>
      <c r="C451" s="13" t="s">
        <v>1245</v>
      </c>
      <c r="D451" s="16">
        <v>0.75</v>
      </c>
      <c r="E451" s="17">
        <f>SALARIOS!$C$105</f>
        <v>54826</v>
      </c>
      <c r="F451" s="14">
        <f>+D451*E451</f>
        <v>41119.5</v>
      </c>
      <c r="G451" s="57">
        <f>F451</f>
        <v>41119.5</v>
      </c>
    </row>
    <row r="452" spans="1:7" s="2" customFormat="1" ht="15.75" customHeight="1">
      <c r="A452" s="1076" t="s">
        <v>25</v>
      </c>
      <c r="B452" s="944"/>
      <c r="C452" s="944"/>
      <c r="D452" s="944"/>
      <c r="E452" s="944"/>
      <c r="F452" s="944"/>
      <c r="G452" s="1072"/>
    </row>
    <row r="453" spans="1:7" s="2" customFormat="1" ht="15.75" customHeight="1">
      <c r="A453" s="1077"/>
      <c r="B453" s="944"/>
      <c r="C453" s="944"/>
      <c r="D453" s="944"/>
      <c r="E453" s="944"/>
      <c r="F453" s="944"/>
      <c r="G453" s="62">
        <f>G451+G448+G443+G429</f>
        <v>274164.58410533809</v>
      </c>
    </row>
    <row r="454" spans="1:7" s="2" customFormat="1" ht="15.75" customHeight="1">
      <c r="A454" s="26"/>
      <c r="B454" s="27"/>
      <c r="C454" s="28"/>
      <c r="D454" s="28"/>
      <c r="E454" s="29"/>
      <c r="F454" s="28"/>
      <c r="G454" s="30"/>
    </row>
    <row r="455" spans="1:7" s="2" customFormat="1" ht="15.75" customHeight="1">
      <c r="A455" s="970" t="s">
        <v>1</v>
      </c>
      <c r="B455" s="957"/>
      <c r="C455" s="953" t="s">
        <v>0</v>
      </c>
      <c r="D455" s="954"/>
      <c r="E455" s="954"/>
      <c r="F455" s="954"/>
      <c r="G455" s="955"/>
    </row>
    <row r="456" spans="1:7" s="2" customFormat="1" ht="52.5" customHeight="1">
      <c r="A456" s="971"/>
      <c r="B456" s="957"/>
      <c r="C456" s="954"/>
      <c r="D456" s="954"/>
      <c r="E456" s="954"/>
      <c r="F456" s="954"/>
      <c r="G456" s="955"/>
    </row>
    <row r="457" spans="1:7" s="2" customFormat="1" ht="15.75" customHeight="1">
      <c r="A457" s="971"/>
      <c r="B457" s="957"/>
      <c r="C457" s="956"/>
      <c r="D457" s="957"/>
      <c r="E457" s="957"/>
      <c r="F457" s="957"/>
      <c r="G457" s="958"/>
    </row>
    <row r="458" spans="1:7" s="2" customFormat="1" ht="15.75" customHeight="1">
      <c r="A458" s="971"/>
      <c r="B458" s="957"/>
      <c r="C458" s="959" t="s">
        <v>2</v>
      </c>
      <c r="D458" s="957"/>
      <c r="E458" s="957"/>
      <c r="F458" s="23" t="s">
        <v>3</v>
      </c>
      <c r="G458" s="24" t="s">
        <v>4</v>
      </c>
    </row>
    <row r="459" spans="1:7" s="2" customFormat="1" ht="72" customHeight="1">
      <c r="A459" s="1089" t="s">
        <v>365</v>
      </c>
      <c r="B459" s="1090"/>
      <c r="C459" s="980" t="s">
        <v>366</v>
      </c>
      <c r="D459" s="944"/>
      <c r="E459" s="944"/>
      <c r="F459" s="51" t="s">
        <v>37</v>
      </c>
      <c r="G459" s="52">
        <v>30.527999999999999</v>
      </c>
    </row>
    <row r="460" spans="1:7" s="2" customFormat="1" ht="21" customHeight="1">
      <c r="A460" s="1071" t="s">
        <v>5</v>
      </c>
      <c r="B460" s="944"/>
      <c r="C460" s="944"/>
      <c r="D460" s="944"/>
      <c r="E460" s="944"/>
      <c r="F460" s="944"/>
      <c r="G460" s="1072"/>
    </row>
    <row r="461" spans="1:7" s="2" customFormat="1" ht="15.75" customHeight="1">
      <c r="A461" s="1074" t="s">
        <v>2</v>
      </c>
      <c r="B461" s="944"/>
      <c r="C461" s="53" t="s">
        <v>3</v>
      </c>
      <c r="D461" s="53" t="s">
        <v>4</v>
      </c>
      <c r="E461" s="53" t="s">
        <v>6</v>
      </c>
      <c r="F461" s="53" t="s">
        <v>7</v>
      </c>
      <c r="G461" s="1075" t="s">
        <v>8</v>
      </c>
    </row>
    <row r="462" spans="1:7" s="2" customFormat="1" ht="15.75" customHeight="1">
      <c r="A462" s="947" t="s">
        <v>262</v>
      </c>
      <c r="B462" s="944"/>
      <c r="C462" s="51" t="s">
        <v>3</v>
      </c>
      <c r="D462" s="117">
        <v>0.05</v>
      </c>
      <c r="E462" s="17">
        <f>G477</f>
        <v>12427.5</v>
      </c>
      <c r="F462" s="55">
        <f>D462*E462</f>
        <v>621.375</v>
      </c>
      <c r="G462" s="1072"/>
    </row>
    <row r="463" spans="1:7" s="2" customFormat="1" ht="13.8">
      <c r="A463" s="947" t="s">
        <v>324</v>
      </c>
      <c r="B463" s="944"/>
      <c r="C463" s="51" t="s">
        <v>60</v>
      </c>
      <c r="D463" s="51">
        <v>0.14000000000000001</v>
      </c>
      <c r="E463" s="17">
        <f>'MAQUINARIA Y EQUIPOS'!F21</f>
        <v>35700</v>
      </c>
      <c r="F463" s="55">
        <f>D463*E463</f>
        <v>4998.0000000000009</v>
      </c>
      <c r="G463" s="1072"/>
    </row>
    <row r="464" spans="1:7" s="2" customFormat="1" ht="15.75" customHeight="1">
      <c r="A464" s="1079"/>
      <c r="B464" s="944"/>
      <c r="C464" s="56"/>
      <c r="D464" s="56"/>
      <c r="E464" s="56"/>
      <c r="F464" s="55"/>
      <c r="G464" s="57">
        <f>SUM(F461:F464)</f>
        <v>5619.3750000000009</v>
      </c>
    </row>
    <row r="465" spans="1:7" s="2" customFormat="1" ht="15.75" customHeight="1">
      <c r="A465" s="1071" t="s">
        <v>10</v>
      </c>
      <c r="B465" s="944"/>
      <c r="C465" s="944"/>
      <c r="D465" s="944"/>
      <c r="E465" s="944"/>
      <c r="F465" s="944"/>
      <c r="G465" s="1072"/>
    </row>
    <row r="466" spans="1:7" s="2" customFormat="1" ht="15.75" customHeight="1">
      <c r="A466" s="1074" t="s">
        <v>2</v>
      </c>
      <c r="B466" s="944"/>
      <c r="C466" s="53" t="s">
        <v>3</v>
      </c>
      <c r="D466" s="53" t="s">
        <v>4</v>
      </c>
      <c r="E466" s="53" t="s">
        <v>6</v>
      </c>
      <c r="F466" s="53" t="s">
        <v>11</v>
      </c>
      <c r="G466" s="1075" t="s">
        <v>8</v>
      </c>
    </row>
    <row r="467" spans="1:7" s="2" customFormat="1" ht="26.4" customHeight="1">
      <c r="A467" s="947" t="s">
        <v>367</v>
      </c>
      <c r="B467" s="944"/>
      <c r="C467" s="16" t="s">
        <v>3</v>
      </c>
      <c r="D467" s="16">
        <v>50</v>
      </c>
      <c r="E467" s="17">
        <f>'INSUMOS '!E99</f>
        <v>1775</v>
      </c>
      <c r="F467" s="55">
        <f>D467*E467</f>
        <v>88750</v>
      </c>
      <c r="G467" s="1072"/>
    </row>
    <row r="468" spans="1:7" s="2" customFormat="1" ht="15.75" customHeight="1">
      <c r="A468" s="947" t="s">
        <v>368</v>
      </c>
      <c r="B468" s="980"/>
      <c r="C468" s="16" t="s">
        <v>3</v>
      </c>
      <c r="D468" s="16">
        <v>0.05</v>
      </c>
      <c r="E468" s="17">
        <f>'INSUMOS '!E28</f>
        <v>51900</v>
      </c>
      <c r="F468" s="55">
        <f>D468*E468</f>
        <v>2595</v>
      </c>
      <c r="G468" s="1072"/>
    </row>
    <row r="469" spans="1:7" s="2" customFormat="1" ht="15.75" customHeight="1">
      <c r="A469" s="947" t="s">
        <v>369</v>
      </c>
      <c r="B469" s="944"/>
      <c r="C469" s="16" t="s">
        <v>34</v>
      </c>
      <c r="D469" s="16">
        <v>6</v>
      </c>
      <c r="E469" s="17">
        <f>'INSUMOS '!E36</f>
        <v>1716</v>
      </c>
      <c r="F469" s="55">
        <f>E469*D469</f>
        <v>10296</v>
      </c>
      <c r="G469" s="1072"/>
    </row>
    <row r="470" spans="1:7" s="2" customFormat="1" ht="15.75" customHeight="1">
      <c r="A470" s="947"/>
      <c r="B470" s="944"/>
      <c r="C470" s="16"/>
      <c r="D470" s="58"/>
      <c r="E470" s="17"/>
      <c r="F470" s="55">
        <f>E470*D470</f>
        <v>0</v>
      </c>
      <c r="G470" s="57">
        <f>SUM(F466:F470)</f>
        <v>101641</v>
      </c>
    </row>
    <row r="471" spans="1:7" s="2" customFormat="1" ht="15.75" customHeight="1">
      <c r="A471" s="1071" t="s">
        <v>15</v>
      </c>
      <c r="B471" s="944"/>
      <c r="C471" s="944"/>
      <c r="D471" s="944"/>
      <c r="E471" s="944"/>
      <c r="F471" s="944"/>
      <c r="G471" s="1072"/>
    </row>
    <row r="472" spans="1:7" s="2" customFormat="1" ht="15.75" customHeight="1">
      <c r="A472" s="1074" t="s">
        <v>2</v>
      </c>
      <c r="B472" s="944"/>
      <c r="C472" s="53" t="s">
        <v>3</v>
      </c>
      <c r="D472" s="53" t="s">
        <v>4</v>
      </c>
      <c r="E472" s="53" t="s">
        <v>6</v>
      </c>
      <c r="F472" s="53" t="s">
        <v>11</v>
      </c>
      <c r="G472" s="1075" t="s">
        <v>8</v>
      </c>
    </row>
    <row r="473" spans="1:7" s="2" customFormat="1" ht="15.75" customHeight="1">
      <c r="A473" s="943" t="s">
        <v>311</v>
      </c>
      <c r="B473" s="944"/>
      <c r="C473" s="16" t="s">
        <v>3</v>
      </c>
      <c r="D473" s="54">
        <v>3.5000000000000003E-2</v>
      </c>
      <c r="E473" s="17">
        <f>G464</f>
        <v>5619.3750000000009</v>
      </c>
      <c r="F473" s="130">
        <f>D473*E473</f>
        <v>196.67812500000005</v>
      </c>
      <c r="G473" s="1075"/>
    </row>
    <row r="474" spans="1:7" s="2" customFormat="1" ht="15.75" customHeight="1">
      <c r="A474" s="943" t="s">
        <v>17</v>
      </c>
      <c r="B474" s="944"/>
      <c r="C474" s="16" t="s">
        <v>18</v>
      </c>
      <c r="D474" s="54">
        <v>3.5000000000000003E-2</v>
      </c>
      <c r="E474" s="17">
        <f>G470</f>
        <v>101641</v>
      </c>
      <c r="F474" s="130">
        <f>D474*E474</f>
        <v>3557.4350000000004</v>
      </c>
      <c r="G474" s="57">
        <f>SUM(F473:F474)</f>
        <v>3754.1131250000003</v>
      </c>
    </row>
    <row r="475" spans="1:7" s="2" customFormat="1" ht="15.75" customHeight="1">
      <c r="A475" s="1071" t="s">
        <v>19</v>
      </c>
      <c r="B475" s="944"/>
      <c r="C475" s="944"/>
      <c r="D475" s="944"/>
      <c r="E475" s="944"/>
      <c r="F475" s="944"/>
      <c r="G475" s="1072"/>
    </row>
    <row r="476" spans="1:7" s="2" customFormat="1" ht="15.75" customHeight="1">
      <c r="A476" s="1074" t="s">
        <v>2</v>
      </c>
      <c r="B476" s="944"/>
      <c r="C476" s="53" t="s">
        <v>3</v>
      </c>
      <c r="D476" s="53" t="s">
        <v>4</v>
      </c>
      <c r="E476" s="53" t="s">
        <v>6</v>
      </c>
      <c r="F476" s="53" t="s">
        <v>11</v>
      </c>
      <c r="G476" s="456" t="s">
        <v>8</v>
      </c>
    </row>
    <row r="477" spans="1:7" s="2" customFormat="1" ht="15" customHeight="1">
      <c r="A477" s="978" t="str">
        <f>SALARIOS!$A$61</f>
        <v>CUADRILLA AA ALBAÑILERÍA 1:1</v>
      </c>
      <c r="B477" s="979"/>
      <c r="C477" s="13" t="s">
        <v>1245</v>
      </c>
      <c r="D477" s="16">
        <v>0.5</v>
      </c>
      <c r="E477" s="17">
        <f>SALARIOS!$C$61</f>
        <v>24855</v>
      </c>
      <c r="F477" s="14">
        <f>+D477*E477</f>
        <v>12427.5</v>
      </c>
      <c r="G477" s="57">
        <f>F477</f>
        <v>12427.5</v>
      </c>
    </row>
    <row r="478" spans="1:7" s="2" customFormat="1" ht="13.8">
      <c r="A478" s="1076" t="s">
        <v>25</v>
      </c>
      <c r="B478" s="944"/>
      <c r="C478" s="944"/>
      <c r="D478" s="944"/>
      <c r="E478" s="944"/>
      <c r="F478" s="944"/>
      <c r="G478" s="1072"/>
    </row>
    <row r="479" spans="1:7" s="2" customFormat="1" ht="17.399999999999999">
      <c r="A479" s="1077"/>
      <c r="B479" s="944"/>
      <c r="C479" s="944"/>
      <c r="D479" s="944"/>
      <c r="E479" s="944"/>
      <c r="F479" s="944"/>
      <c r="G479" s="62">
        <f>G477+G474+G470+G464</f>
        <v>123441.988125</v>
      </c>
    </row>
    <row r="480" spans="1:7" s="2" customFormat="1" ht="20.399999999999999">
      <c r="A480" s="26"/>
      <c r="B480" s="27"/>
      <c r="C480" s="28"/>
      <c r="D480" s="28"/>
      <c r="E480" s="29"/>
      <c r="F480" s="28"/>
      <c r="G480" s="30"/>
    </row>
    <row r="481" spans="1:7" s="2" customFormat="1" ht="15.75" customHeight="1">
      <c r="A481" s="970" t="s">
        <v>1</v>
      </c>
      <c r="B481" s="957"/>
      <c r="C481" s="953" t="s">
        <v>0</v>
      </c>
      <c r="D481" s="954"/>
      <c r="E481" s="954"/>
      <c r="F481" s="954"/>
      <c r="G481" s="955"/>
    </row>
    <row r="482" spans="1:7" s="2" customFormat="1" ht="51.75" customHeight="1">
      <c r="A482" s="971"/>
      <c r="B482" s="957"/>
      <c r="C482" s="954"/>
      <c r="D482" s="954"/>
      <c r="E482" s="954"/>
      <c r="F482" s="954"/>
      <c r="G482" s="955"/>
    </row>
    <row r="483" spans="1:7" s="2" customFormat="1" ht="15.75" customHeight="1">
      <c r="A483" s="971"/>
      <c r="B483" s="957"/>
      <c r="C483" s="956"/>
      <c r="D483" s="957"/>
      <c r="E483" s="957"/>
      <c r="F483" s="957"/>
      <c r="G483" s="958"/>
    </row>
    <row r="484" spans="1:7" s="2" customFormat="1" ht="15.75" customHeight="1">
      <c r="A484" s="971"/>
      <c r="B484" s="957"/>
      <c r="C484" s="959" t="s">
        <v>2</v>
      </c>
      <c r="D484" s="957"/>
      <c r="E484" s="957"/>
      <c r="F484" s="23" t="s">
        <v>3</v>
      </c>
      <c r="G484" s="24" t="s">
        <v>4</v>
      </c>
    </row>
    <row r="485" spans="1:7" s="2" customFormat="1" ht="88.5" customHeight="1">
      <c r="A485" s="1089" t="s">
        <v>370</v>
      </c>
      <c r="B485" s="944"/>
      <c r="C485" s="980" t="s">
        <v>371</v>
      </c>
      <c r="D485" s="944"/>
      <c r="E485" s="944"/>
      <c r="F485" s="51" t="s">
        <v>100</v>
      </c>
      <c r="G485" s="52">
        <v>7.67</v>
      </c>
    </row>
    <row r="486" spans="1:7" s="2" customFormat="1" ht="15.75" customHeight="1">
      <c r="A486" s="1071" t="s">
        <v>5</v>
      </c>
      <c r="B486" s="944"/>
      <c r="C486" s="944"/>
      <c r="D486" s="944"/>
      <c r="E486" s="944"/>
      <c r="F486" s="944"/>
      <c r="G486" s="1072"/>
    </row>
    <row r="487" spans="1:7" s="2" customFormat="1" ht="15.75" customHeight="1">
      <c r="A487" s="1074" t="s">
        <v>2</v>
      </c>
      <c r="B487" s="944"/>
      <c r="C487" s="53" t="s">
        <v>3</v>
      </c>
      <c r="D487" s="53" t="s">
        <v>4</v>
      </c>
      <c r="E487" s="53" t="s">
        <v>6</v>
      </c>
      <c r="F487" s="53" t="s">
        <v>7</v>
      </c>
      <c r="G487" s="1075" t="s">
        <v>8</v>
      </c>
    </row>
    <row r="488" spans="1:7" s="2" customFormat="1" ht="15.75" customHeight="1">
      <c r="A488" s="947" t="s">
        <v>167</v>
      </c>
      <c r="B488" s="944"/>
      <c r="C488" s="51" t="s">
        <v>3</v>
      </c>
      <c r="D488" s="16">
        <v>0.05</v>
      </c>
      <c r="E488" s="17">
        <f>G503</f>
        <v>12427.5</v>
      </c>
      <c r="F488" s="55">
        <f>D488*E488</f>
        <v>621.375</v>
      </c>
      <c r="G488" s="1072"/>
    </row>
    <row r="489" spans="1:7" s="2" customFormat="1" ht="15.75" customHeight="1">
      <c r="A489" s="1079"/>
      <c r="B489" s="944"/>
      <c r="C489" s="56"/>
      <c r="D489" s="56"/>
      <c r="E489" s="56"/>
      <c r="F489" s="55"/>
      <c r="G489" s="57">
        <f>SUM(F487:F489)</f>
        <v>621.375</v>
      </c>
    </row>
    <row r="490" spans="1:7" s="2" customFormat="1" ht="13.8">
      <c r="A490" s="1071" t="s">
        <v>10</v>
      </c>
      <c r="B490" s="944"/>
      <c r="C490" s="944"/>
      <c r="D490" s="944"/>
      <c r="E490" s="944"/>
      <c r="F490" s="944"/>
      <c r="G490" s="1072"/>
    </row>
    <row r="491" spans="1:7" s="2" customFormat="1" ht="15.75" customHeight="1">
      <c r="A491" s="1074" t="s">
        <v>2</v>
      </c>
      <c r="B491" s="944"/>
      <c r="C491" s="53" t="s">
        <v>3</v>
      </c>
      <c r="D491" s="53" t="s">
        <v>4</v>
      </c>
      <c r="E491" s="53" t="s">
        <v>6</v>
      </c>
      <c r="F491" s="53" t="s">
        <v>11</v>
      </c>
      <c r="G491" s="1075" t="s">
        <v>8</v>
      </c>
    </row>
    <row r="492" spans="1:7" s="2" customFormat="1" ht="15.75" customHeight="1">
      <c r="A492" s="947" t="s">
        <v>372</v>
      </c>
      <c r="B492" s="944"/>
      <c r="C492" s="16" t="s">
        <v>3</v>
      </c>
      <c r="D492" s="58">
        <v>0.05</v>
      </c>
      <c r="E492" s="17">
        <f>'INSUMOS '!E76</f>
        <v>172900</v>
      </c>
      <c r="F492" s="55">
        <f>E492*D492</f>
        <v>8645</v>
      </c>
      <c r="G492" s="1075"/>
    </row>
    <row r="493" spans="1:7" s="2" customFormat="1" ht="15.75" customHeight="1">
      <c r="A493" s="947" t="s">
        <v>373</v>
      </c>
      <c r="B493" s="980"/>
      <c r="C493" s="16" t="s">
        <v>100</v>
      </c>
      <c r="D493" s="58">
        <v>1</v>
      </c>
      <c r="E493" s="17">
        <f>'INSUMOS '!E77</f>
        <v>3082</v>
      </c>
      <c r="F493" s="55">
        <f>E493*D493</f>
        <v>3082</v>
      </c>
      <c r="G493" s="1075"/>
    </row>
    <row r="494" spans="1:7" s="2" customFormat="1" ht="15.75" customHeight="1">
      <c r="A494" s="1091" t="s">
        <v>374</v>
      </c>
      <c r="B494" s="944"/>
      <c r="C494" s="16" t="s">
        <v>3</v>
      </c>
      <c r="D494" s="58">
        <v>0.5</v>
      </c>
      <c r="E494" s="17">
        <f>'INSUMOS '!E125</f>
        <v>1250</v>
      </c>
      <c r="F494" s="55">
        <f>E494*D494</f>
        <v>625</v>
      </c>
      <c r="G494" s="1075"/>
    </row>
    <row r="495" spans="1:7" s="2" customFormat="1" ht="13.8">
      <c r="A495" s="947"/>
      <c r="B495" s="944"/>
      <c r="C495" s="16"/>
      <c r="D495" s="58"/>
      <c r="E495" s="17"/>
      <c r="F495" s="55"/>
      <c r="G495" s="57">
        <f>SUM(F491:F495)</f>
        <v>12352</v>
      </c>
    </row>
    <row r="496" spans="1:7" s="2" customFormat="1" ht="15.75" customHeight="1">
      <c r="A496" s="1071" t="s">
        <v>15</v>
      </c>
      <c r="B496" s="944"/>
      <c r="C496" s="944"/>
      <c r="D496" s="944"/>
      <c r="E496" s="944"/>
      <c r="F496" s="944"/>
      <c r="G496" s="1072"/>
    </row>
    <row r="497" spans="1:7" s="2" customFormat="1" ht="15.75" customHeight="1">
      <c r="A497" s="1074" t="s">
        <v>2</v>
      </c>
      <c r="B497" s="944"/>
      <c r="C497" s="53" t="s">
        <v>3</v>
      </c>
      <c r="D497" s="53" t="s">
        <v>4</v>
      </c>
      <c r="E497" s="53" t="s">
        <v>6</v>
      </c>
      <c r="F497" s="53" t="s">
        <v>11</v>
      </c>
      <c r="G497" s="1075" t="s">
        <v>8</v>
      </c>
    </row>
    <row r="498" spans="1:7" s="2" customFormat="1" ht="15.75" customHeight="1">
      <c r="A498" s="943" t="s">
        <v>311</v>
      </c>
      <c r="B498" s="944"/>
      <c r="C498" s="16" t="s">
        <v>3</v>
      </c>
      <c r="D498" s="54">
        <v>3.5000000000000003E-2</v>
      </c>
      <c r="E498" s="17">
        <f>G489</f>
        <v>621.375</v>
      </c>
      <c r="F498" s="131">
        <f>D498*E498</f>
        <v>21.748125000000002</v>
      </c>
      <c r="G498" s="1075"/>
    </row>
    <row r="499" spans="1:7" s="2" customFormat="1" ht="15.75" customHeight="1">
      <c r="A499" s="943" t="s">
        <v>17</v>
      </c>
      <c r="B499" s="944"/>
      <c r="C499" s="16" t="s">
        <v>18</v>
      </c>
      <c r="D499" s="54">
        <v>3.5000000000000003E-2</v>
      </c>
      <c r="E499" s="17">
        <f>G495</f>
        <v>12352</v>
      </c>
      <c r="F499" s="131">
        <f>D499*E499</f>
        <v>432.32000000000005</v>
      </c>
      <c r="G499" s="1075"/>
    </row>
    <row r="500" spans="1:7" s="2" customFormat="1" ht="15.75" customHeight="1">
      <c r="A500" s="59"/>
      <c r="B500" s="60"/>
      <c r="C500" s="60"/>
      <c r="D500" s="60"/>
      <c r="E500" s="60"/>
      <c r="F500" s="60"/>
      <c r="G500" s="57">
        <f>SUM(F498:F500)</f>
        <v>454.06812500000007</v>
      </c>
    </row>
    <row r="501" spans="1:7" s="2" customFormat="1" ht="15.75" customHeight="1">
      <c r="A501" s="1071" t="s">
        <v>19</v>
      </c>
      <c r="B501" s="944"/>
      <c r="C501" s="944"/>
      <c r="D501" s="944"/>
      <c r="E501" s="944"/>
      <c r="F501" s="944"/>
      <c r="G501" s="1072"/>
    </row>
    <row r="502" spans="1:7" s="2" customFormat="1" ht="15.75" customHeight="1">
      <c r="A502" s="1074" t="s">
        <v>2</v>
      </c>
      <c r="B502" s="944"/>
      <c r="C502" s="53" t="s">
        <v>3</v>
      </c>
      <c r="D502" s="53" t="s">
        <v>4</v>
      </c>
      <c r="E502" s="53" t="s">
        <v>6</v>
      </c>
      <c r="F502" s="53" t="s">
        <v>11</v>
      </c>
      <c r="G502" s="456" t="s">
        <v>8</v>
      </c>
    </row>
    <row r="503" spans="1:7" s="2" customFormat="1" ht="15" customHeight="1">
      <c r="A503" s="978" t="str">
        <f>SALARIOS!$A$61</f>
        <v>CUADRILLA AA ALBAÑILERÍA 1:1</v>
      </c>
      <c r="B503" s="979"/>
      <c r="C503" s="13" t="s">
        <v>1245</v>
      </c>
      <c r="D503" s="16">
        <v>0.5</v>
      </c>
      <c r="E503" s="17">
        <f>SALARIOS!$C$61</f>
        <v>24855</v>
      </c>
      <c r="F503" s="14">
        <f>+D503*E503</f>
        <v>12427.5</v>
      </c>
      <c r="G503" s="57">
        <f>F503</f>
        <v>12427.5</v>
      </c>
    </row>
    <row r="504" spans="1:7" s="2" customFormat="1" ht="15.75" customHeight="1">
      <c r="A504" s="1076" t="s">
        <v>25</v>
      </c>
      <c r="B504" s="944"/>
      <c r="C504" s="944"/>
      <c r="D504" s="944"/>
      <c r="E504" s="944"/>
      <c r="F504" s="944"/>
      <c r="G504" s="1072"/>
    </row>
    <row r="505" spans="1:7" s="2" customFormat="1" ht="15.75" customHeight="1">
      <c r="A505" s="1077"/>
      <c r="B505" s="944"/>
      <c r="C505" s="944"/>
      <c r="D505" s="944"/>
      <c r="E505" s="944"/>
      <c r="F505" s="944"/>
      <c r="G505" s="62">
        <f>G503+G500+G495+G489</f>
        <v>25854.943124999998</v>
      </c>
    </row>
    <row r="506" spans="1:7" s="2" customFormat="1" ht="15.75" customHeight="1">
      <c r="A506" s="63"/>
      <c r="B506" s="42"/>
      <c r="C506" s="42"/>
      <c r="D506" s="42"/>
      <c r="E506" s="42"/>
      <c r="F506" s="42"/>
      <c r="G506" s="64"/>
    </row>
    <row r="507" spans="1:7" s="2" customFormat="1" ht="15.75" customHeight="1">
      <c r="A507" s="970" t="s">
        <v>1</v>
      </c>
      <c r="B507" s="957"/>
      <c r="C507" s="953" t="s">
        <v>0</v>
      </c>
      <c r="D507" s="954"/>
      <c r="E507" s="954"/>
      <c r="F507" s="954"/>
      <c r="G507" s="955"/>
    </row>
    <row r="508" spans="1:7" s="2" customFormat="1" ht="50.25" customHeight="1">
      <c r="A508" s="971"/>
      <c r="B508" s="957"/>
      <c r="C508" s="954"/>
      <c r="D508" s="954"/>
      <c r="E508" s="954"/>
      <c r="F508" s="954"/>
      <c r="G508" s="955"/>
    </row>
    <row r="509" spans="1:7" s="2" customFormat="1" ht="17.399999999999999">
      <c r="A509" s="971"/>
      <c r="B509" s="957"/>
      <c r="C509" s="956"/>
      <c r="D509" s="957"/>
      <c r="E509" s="957"/>
      <c r="F509" s="957"/>
      <c r="G509" s="958"/>
    </row>
    <row r="510" spans="1:7" s="2" customFormat="1" ht="26.25" customHeight="1">
      <c r="A510" s="971"/>
      <c r="B510" s="957"/>
      <c r="C510" s="959" t="s">
        <v>2</v>
      </c>
      <c r="D510" s="957"/>
      <c r="E510" s="957"/>
      <c r="F510" s="23" t="s">
        <v>3</v>
      </c>
      <c r="G510" s="24" t="s">
        <v>4</v>
      </c>
    </row>
    <row r="511" spans="1:7" s="2" customFormat="1" ht="80.25" customHeight="1">
      <c r="A511" s="1089" t="s">
        <v>375</v>
      </c>
      <c r="B511" s="944"/>
      <c r="C511" s="980" t="s">
        <v>376</v>
      </c>
      <c r="D511" s="944"/>
      <c r="E511" s="944"/>
      <c r="F511" s="51" t="s">
        <v>100</v>
      </c>
      <c r="G511" s="52">
        <v>21.92</v>
      </c>
    </row>
    <row r="512" spans="1:7" s="2" customFormat="1" ht="15.75" customHeight="1">
      <c r="A512" s="1071" t="s">
        <v>5</v>
      </c>
      <c r="B512" s="944"/>
      <c r="C512" s="944"/>
      <c r="D512" s="944"/>
      <c r="E512" s="944"/>
      <c r="F512" s="944"/>
      <c r="G512" s="1072"/>
    </row>
    <row r="513" spans="1:7" s="2" customFormat="1" ht="15.75" customHeight="1">
      <c r="A513" s="1074" t="s">
        <v>2</v>
      </c>
      <c r="B513" s="944"/>
      <c r="C513" s="53" t="s">
        <v>3</v>
      </c>
      <c r="D513" s="53" t="s">
        <v>4</v>
      </c>
      <c r="E513" s="53" t="s">
        <v>6</v>
      </c>
      <c r="F513" s="53" t="s">
        <v>7</v>
      </c>
      <c r="G513" s="1075" t="s">
        <v>8</v>
      </c>
    </row>
    <row r="514" spans="1:7" s="2" customFormat="1" ht="13.8">
      <c r="A514" s="947" t="s">
        <v>167</v>
      </c>
      <c r="B514" s="944"/>
      <c r="C514" s="51" t="s">
        <v>3</v>
      </c>
      <c r="D514" s="16">
        <v>0.05</v>
      </c>
      <c r="E514" s="17">
        <f>G528</f>
        <v>12427.5</v>
      </c>
      <c r="F514" s="55">
        <f>D514*E514</f>
        <v>621.375</v>
      </c>
      <c r="G514" s="1072"/>
    </row>
    <row r="515" spans="1:7" s="2" customFormat="1" ht="15.75" customHeight="1">
      <c r="A515" s="1079"/>
      <c r="B515" s="944"/>
      <c r="C515" s="56"/>
      <c r="D515" s="56"/>
      <c r="E515" s="56"/>
      <c r="F515" s="55"/>
      <c r="G515" s="57">
        <f>SUM(F513:F515)</f>
        <v>621.375</v>
      </c>
    </row>
    <row r="516" spans="1:7" s="2" customFormat="1" ht="15.75" customHeight="1">
      <c r="A516" s="1071" t="s">
        <v>10</v>
      </c>
      <c r="B516" s="944"/>
      <c r="C516" s="944"/>
      <c r="D516" s="944"/>
      <c r="E516" s="944"/>
      <c r="F516" s="944"/>
      <c r="G516" s="1072"/>
    </row>
    <row r="517" spans="1:7" s="2" customFormat="1" ht="15.75" customHeight="1">
      <c r="A517" s="1074" t="s">
        <v>2</v>
      </c>
      <c r="B517" s="944"/>
      <c r="C517" s="53" t="s">
        <v>3</v>
      </c>
      <c r="D517" s="53" t="s">
        <v>4</v>
      </c>
      <c r="E517" s="53" t="s">
        <v>6</v>
      </c>
      <c r="F517" s="53" t="s">
        <v>11</v>
      </c>
      <c r="G517" s="1075" t="s">
        <v>8</v>
      </c>
    </row>
    <row r="518" spans="1:7" s="2" customFormat="1" ht="15.75" customHeight="1">
      <c r="A518" s="947" t="s">
        <v>372</v>
      </c>
      <c r="B518" s="944"/>
      <c r="C518" s="16" t="s">
        <v>3</v>
      </c>
      <c r="D518" s="58">
        <v>0.05</v>
      </c>
      <c r="E518" s="17">
        <f>'INSUMOS '!E76</f>
        <v>172900</v>
      </c>
      <c r="F518" s="55">
        <f>E518*D518</f>
        <v>8645</v>
      </c>
      <c r="G518" s="1075"/>
    </row>
    <row r="519" spans="1:7" s="2" customFormat="1" ht="15.75" customHeight="1">
      <c r="A519" s="947" t="s">
        <v>373</v>
      </c>
      <c r="B519" s="980"/>
      <c r="C519" s="16" t="s">
        <v>100</v>
      </c>
      <c r="D519" s="58">
        <v>1</v>
      </c>
      <c r="E519" s="17">
        <f>'INSUMOS '!E77</f>
        <v>3082</v>
      </c>
      <c r="F519" s="55">
        <f>E519*D519</f>
        <v>3082</v>
      </c>
      <c r="G519" s="1075"/>
    </row>
    <row r="520" spans="1:7" s="2" customFormat="1" ht="13.8">
      <c r="A520" s="947"/>
      <c r="B520" s="944"/>
      <c r="C520" s="16"/>
      <c r="D520" s="58"/>
      <c r="E520" s="17"/>
      <c r="F520" s="55"/>
      <c r="G520" s="57">
        <f>SUM(F517:F520)</f>
        <v>11727</v>
      </c>
    </row>
    <row r="521" spans="1:7" s="2" customFormat="1" ht="15.75" customHeight="1">
      <c r="A521" s="1071" t="s">
        <v>15</v>
      </c>
      <c r="B521" s="944"/>
      <c r="C521" s="944"/>
      <c r="D521" s="944"/>
      <c r="E521" s="944"/>
      <c r="F521" s="944"/>
      <c r="G521" s="1072"/>
    </row>
    <row r="522" spans="1:7" s="2" customFormat="1" ht="15.75" customHeight="1">
      <c r="A522" s="1074" t="s">
        <v>2</v>
      </c>
      <c r="B522" s="944"/>
      <c r="C522" s="53" t="s">
        <v>3</v>
      </c>
      <c r="D522" s="53" t="s">
        <v>4</v>
      </c>
      <c r="E522" s="53" t="s">
        <v>6</v>
      </c>
      <c r="F522" s="53" t="s">
        <v>11</v>
      </c>
      <c r="G522" s="1075" t="s">
        <v>8</v>
      </c>
    </row>
    <row r="523" spans="1:7" s="2" customFormat="1" ht="13.8">
      <c r="A523" s="943" t="s">
        <v>311</v>
      </c>
      <c r="B523" s="944"/>
      <c r="C523" s="16" t="s">
        <v>3</v>
      </c>
      <c r="D523" s="54">
        <v>3.5000000000000003E-2</v>
      </c>
      <c r="E523" s="17">
        <f>G515</f>
        <v>621.375</v>
      </c>
      <c r="F523" s="55">
        <f>D523*E523</f>
        <v>21.748125000000002</v>
      </c>
      <c r="G523" s="1075"/>
    </row>
    <row r="524" spans="1:7" s="2" customFormat="1" ht="13.8">
      <c r="A524" s="943" t="s">
        <v>17</v>
      </c>
      <c r="B524" s="944"/>
      <c r="C524" s="16" t="s">
        <v>18</v>
      </c>
      <c r="D524" s="54">
        <v>3.5000000000000003E-2</v>
      </c>
      <c r="E524" s="17">
        <f>G520</f>
        <v>11727</v>
      </c>
      <c r="F524" s="55">
        <f>D524*E524</f>
        <v>410.44500000000005</v>
      </c>
      <c r="G524" s="1075"/>
    </row>
    <row r="525" spans="1:7" s="2" customFormat="1" ht="13.8">
      <c r="A525" s="59"/>
      <c r="B525" s="60"/>
      <c r="C525" s="60"/>
      <c r="D525" s="60"/>
      <c r="E525" s="60"/>
      <c r="F525" s="60"/>
      <c r="G525" s="57">
        <f>SUM(F523:F525)</f>
        <v>432.19312500000007</v>
      </c>
    </row>
    <row r="526" spans="1:7" s="2" customFormat="1" ht="13.8">
      <c r="A526" s="1071" t="s">
        <v>19</v>
      </c>
      <c r="B526" s="944"/>
      <c r="C526" s="944"/>
      <c r="D526" s="944"/>
      <c r="E526" s="944"/>
      <c r="F526" s="944"/>
      <c r="G526" s="1072"/>
    </row>
    <row r="527" spans="1:7" s="2" customFormat="1" ht="15.75" customHeight="1">
      <c r="A527" s="1074" t="s">
        <v>2</v>
      </c>
      <c r="B527" s="944"/>
      <c r="C527" s="53" t="s">
        <v>3</v>
      </c>
      <c r="D527" s="53" t="s">
        <v>4</v>
      </c>
      <c r="E527" s="53" t="s">
        <v>6</v>
      </c>
      <c r="F527" s="53" t="s">
        <v>11</v>
      </c>
      <c r="G527" s="456" t="s">
        <v>8</v>
      </c>
    </row>
    <row r="528" spans="1:7" s="2" customFormat="1" ht="15" customHeight="1">
      <c r="A528" s="978" t="str">
        <f>SALARIOS!$A$61</f>
        <v>CUADRILLA AA ALBAÑILERÍA 1:1</v>
      </c>
      <c r="B528" s="979"/>
      <c r="C528" s="13" t="s">
        <v>1245</v>
      </c>
      <c r="D528" s="16">
        <v>0.5</v>
      </c>
      <c r="E528" s="17">
        <f>SALARIOS!$C$61</f>
        <v>24855</v>
      </c>
      <c r="F528" s="14">
        <f>+D528*E528</f>
        <v>12427.5</v>
      </c>
      <c r="G528" s="57">
        <f>F528</f>
        <v>12427.5</v>
      </c>
    </row>
    <row r="529" spans="1:7" s="2" customFormat="1" ht="13.8">
      <c r="A529" s="1076" t="s">
        <v>25</v>
      </c>
      <c r="B529" s="944"/>
      <c r="C529" s="944"/>
      <c r="D529" s="944"/>
      <c r="E529" s="944"/>
      <c r="F529" s="944"/>
      <c r="G529" s="1072"/>
    </row>
    <row r="530" spans="1:7" s="2" customFormat="1" ht="17.399999999999999">
      <c r="A530" s="1077"/>
      <c r="B530" s="944"/>
      <c r="C530" s="944"/>
      <c r="D530" s="944"/>
      <c r="E530" s="944"/>
      <c r="F530" s="944"/>
      <c r="G530" s="62">
        <f>G528+G525+G520+G515</f>
        <v>25208.068124999998</v>
      </c>
    </row>
    <row r="531" spans="1:7" s="2" customFormat="1" ht="15.75" customHeight="1">
      <c r="A531" s="63"/>
      <c r="B531" s="42"/>
      <c r="C531" s="42"/>
      <c r="D531" s="42"/>
      <c r="E531" s="42"/>
      <c r="F531" s="42"/>
      <c r="G531" s="64"/>
    </row>
    <row r="532" spans="1:7" s="2" customFormat="1" ht="15.75" customHeight="1">
      <c r="A532" s="970" t="s">
        <v>1</v>
      </c>
      <c r="B532" s="957"/>
      <c r="C532" s="953" t="s">
        <v>0</v>
      </c>
      <c r="D532" s="954"/>
      <c r="E532" s="954"/>
      <c r="F532" s="954"/>
      <c r="G532" s="955"/>
    </row>
    <row r="533" spans="1:7" s="2" customFormat="1" ht="61.5" customHeight="1">
      <c r="A533" s="971"/>
      <c r="B533" s="957"/>
      <c r="C533" s="954"/>
      <c r="D533" s="954"/>
      <c r="E533" s="954"/>
      <c r="F533" s="954"/>
      <c r="G533" s="955"/>
    </row>
    <row r="534" spans="1:7" s="2" customFormat="1" ht="15.75" customHeight="1">
      <c r="A534" s="971"/>
      <c r="B534" s="957"/>
      <c r="C534" s="956"/>
      <c r="D534" s="957"/>
      <c r="E534" s="957"/>
      <c r="F534" s="957"/>
      <c r="G534" s="958"/>
    </row>
    <row r="535" spans="1:7" s="2" customFormat="1" ht="15.75" customHeight="1">
      <c r="A535" s="971"/>
      <c r="B535" s="957"/>
      <c r="C535" s="959" t="s">
        <v>2</v>
      </c>
      <c r="D535" s="957"/>
      <c r="E535" s="957"/>
      <c r="F535" s="23" t="s">
        <v>3</v>
      </c>
      <c r="G535" s="24" t="s">
        <v>4</v>
      </c>
    </row>
    <row r="536" spans="1:7" s="2" customFormat="1" ht="75.75" customHeight="1">
      <c r="A536" s="1073" t="s">
        <v>377</v>
      </c>
      <c r="B536" s="944"/>
      <c r="C536" s="980" t="s">
        <v>313</v>
      </c>
      <c r="D536" s="944"/>
      <c r="E536" s="944"/>
      <c r="F536" s="51" t="s">
        <v>100</v>
      </c>
      <c r="G536" s="52">
        <v>118.31299999999999</v>
      </c>
    </row>
    <row r="537" spans="1:7" s="2" customFormat="1" ht="15.75" customHeight="1">
      <c r="A537" s="1071" t="s">
        <v>5</v>
      </c>
      <c r="B537" s="944"/>
      <c r="C537" s="944"/>
      <c r="D537" s="944"/>
      <c r="E537" s="944"/>
      <c r="F537" s="944"/>
      <c r="G537" s="1072"/>
    </row>
    <row r="538" spans="1:7" s="2" customFormat="1" ht="15.75" customHeight="1">
      <c r="A538" s="1074" t="s">
        <v>2</v>
      </c>
      <c r="B538" s="944"/>
      <c r="C538" s="53" t="s">
        <v>3</v>
      </c>
      <c r="D538" s="53" t="s">
        <v>4</v>
      </c>
      <c r="E538" s="53" t="s">
        <v>6</v>
      </c>
      <c r="F538" s="53" t="s">
        <v>7</v>
      </c>
      <c r="G538" s="1075" t="s">
        <v>8</v>
      </c>
    </row>
    <row r="539" spans="1:7" s="2" customFormat="1" ht="13.8">
      <c r="A539" s="947" t="s">
        <v>167</v>
      </c>
      <c r="B539" s="980"/>
      <c r="C539" s="51" t="s">
        <v>3</v>
      </c>
      <c r="D539" s="54">
        <v>0.05</v>
      </c>
      <c r="E539" s="17">
        <f>G555</f>
        <v>11922.05</v>
      </c>
      <c r="F539" s="55">
        <f>D539*E539</f>
        <v>596.10249999999996</v>
      </c>
      <c r="G539" s="1072"/>
    </row>
    <row r="540" spans="1:7" s="2" customFormat="1" ht="15.75" customHeight="1">
      <c r="A540" s="947" t="s">
        <v>168</v>
      </c>
      <c r="B540" s="944"/>
      <c r="C540" s="51" t="s">
        <v>3</v>
      </c>
      <c r="D540" s="54">
        <v>0.33329999999999999</v>
      </c>
      <c r="E540" s="17">
        <f>'MAQUINARIA Y EQUIPOS'!F36</f>
        <v>37900</v>
      </c>
      <c r="F540" s="55">
        <f>D540*E540</f>
        <v>12632.07</v>
      </c>
      <c r="G540" s="1072"/>
    </row>
    <row r="541" spans="1:7" s="2" customFormat="1" ht="15.75" customHeight="1">
      <c r="A541" s="1079"/>
      <c r="B541" s="944"/>
      <c r="C541" s="56"/>
      <c r="D541" s="56"/>
      <c r="E541" s="56"/>
      <c r="F541" s="55"/>
      <c r="G541" s="57">
        <f>SUM(F538:F541)</f>
        <v>13228.172500000001</v>
      </c>
    </row>
    <row r="542" spans="1:7" s="2" customFormat="1" ht="15.75" customHeight="1">
      <c r="A542" s="1071" t="s">
        <v>10</v>
      </c>
      <c r="B542" s="944"/>
      <c r="C542" s="944"/>
      <c r="D542" s="944"/>
      <c r="E542" s="944"/>
      <c r="F542" s="944"/>
      <c r="G542" s="1072"/>
    </row>
    <row r="543" spans="1:7" s="2" customFormat="1" ht="15.75" customHeight="1">
      <c r="A543" s="1074" t="s">
        <v>2</v>
      </c>
      <c r="B543" s="944"/>
      <c r="C543" s="53" t="s">
        <v>3</v>
      </c>
      <c r="D543" s="53" t="s">
        <v>4</v>
      </c>
      <c r="E543" s="53" t="s">
        <v>6</v>
      </c>
      <c r="F543" s="53" t="s">
        <v>11</v>
      </c>
      <c r="G543" s="1075" t="s">
        <v>8</v>
      </c>
    </row>
    <row r="544" spans="1:7" s="2" customFormat="1" ht="13.8">
      <c r="A544" s="947" t="s">
        <v>169</v>
      </c>
      <c r="B544" s="944"/>
      <c r="C544" s="16" t="s">
        <v>39</v>
      </c>
      <c r="D544" s="54">
        <v>2.5000000000000001E-2</v>
      </c>
      <c r="E544" s="17">
        <f>SUBANÁLISIS!G89</f>
        <v>431833.82500000001</v>
      </c>
      <c r="F544" s="55">
        <f>D544*E544</f>
        <v>10795.845625000002</v>
      </c>
      <c r="G544" s="1072"/>
    </row>
    <row r="545" spans="1:8" s="2" customFormat="1" ht="15.75" customHeight="1">
      <c r="A545" s="947" t="s">
        <v>170</v>
      </c>
      <c r="B545" s="980"/>
      <c r="C545" s="16" t="s">
        <v>100</v>
      </c>
      <c r="D545" s="54">
        <v>0.09</v>
      </c>
      <c r="E545" s="17">
        <f>'INSUMOS '!E27</f>
        <v>34396</v>
      </c>
      <c r="F545" s="55">
        <f>D545*E545</f>
        <v>3095.64</v>
      </c>
      <c r="G545" s="1072"/>
    </row>
    <row r="546" spans="1:8" s="2" customFormat="1" ht="15.75" customHeight="1">
      <c r="A546" s="947" t="s">
        <v>171</v>
      </c>
      <c r="B546" s="944"/>
      <c r="C546" s="51" t="s">
        <v>100</v>
      </c>
      <c r="D546" s="54">
        <v>2</v>
      </c>
      <c r="E546" s="17">
        <f>'INSUMOS '!E127</f>
        <v>115.55555555555556</v>
      </c>
      <c r="F546" s="55">
        <f>D546*E546</f>
        <v>231.11111111111111</v>
      </c>
      <c r="G546" s="1072"/>
    </row>
    <row r="547" spans="1:8" s="2" customFormat="1" ht="28.95" customHeight="1">
      <c r="A547" s="947" t="s">
        <v>172</v>
      </c>
      <c r="B547" s="944"/>
      <c r="C547" s="16" t="s">
        <v>3</v>
      </c>
      <c r="D547" s="54">
        <v>7.143E-3</v>
      </c>
      <c r="E547" s="17">
        <f>'INSUMOS '!E53</f>
        <v>82700</v>
      </c>
      <c r="F547" s="55">
        <f>D547*E547</f>
        <v>590.72609999999997</v>
      </c>
      <c r="G547" s="1072"/>
    </row>
    <row r="548" spans="1:8" s="2" customFormat="1" ht="15.75" customHeight="1">
      <c r="A548" s="947"/>
      <c r="B548" s="944"/>
      <c r="C548" s="16"/>
      <c r="D548" s="58"/>
      <c r="E548" s="17"/>
      <c r="F548" s="55"/>
      <c r="G548" s="57">
        <f>SUM(F543:F548)</f>
        <v>14713.322836111112</v>
      </c>
    </row>
    <row r="549" spans="1:8" s="2" customFormat="1" ht="13.8">
      <c r="A549" s="1071" t="s">
        <v>15</v>
      </c>
      <c r="B549" s="944"/>
      <c r="C549" s="944"/>
      <c r="D549" s="944"/>
      <c r="E549" s="944"/>
      <c r="F549" s="944"/>
      <c r="G549" s="1072"/>
    </row>
    <row r="550" spans="1:8" s="2" customFormat="1" ht="15.75" customHeight="1">
      <c r="A550" s="1074" t="s">
        <v>2</v>
      </c>
      <c r="B550" s="944"/>
      <c r="C550" s="53" t="s">
        <v>3</v>
      </c>
      <c r="D550" s="53" t="s">
        <v>4</v>
      </c>
      <c r="E550" s="53" t="s">
        <v>6</v>
      </c>
      <c r="F550" s="53" t="s">
        <v>11</v>
      </c>
      <c r="G550" s="1075" t="s">
        <v>8</v>
      </c>
    </row>
    <row r="551" spans="1:8" s="2" customFormat="1" ht="15.75" customHeight="1">
      <c r="A551" s="943" t="s">
        <v>173</v>
      </c>
      <c r="B551" s="944"/>
      <c r="C551" s="16" t="s">
        <v>3</v>
      </c>
      <c r="D551" s="54">
        <v>3.5000000000000003E-2</v>
      </c>
      <c r="E551" s="17">
        <f>+G548</f>
        <v>14713.322836111112</v>
      </c>
      <c r="F551" s="55">
        <f>E551*D551</f>
        <v>514.96629926388903</v>
      </c>
      <c r="G551" s="1072"/>
    </row>
    <row r="552" spans="1:8" s="2" customFormat="1" ht="15.75" customHeight="1">
      <c r="A552" s="59"/>
      <c r="B552" s="60"/>
      <c r="C552" s="60"/>
      <c r="D552" s="60"/>
      <c r="E552" s="60"/>
      <c r="F552" s="60"/>
      <c r="G552" s="57">
        <f>SUM(F551:F552)</f>
        <v>514.96629926388903</v>
      </c>
    </row>
    <row r="553" spans="1:8" s="2" customFormat="1" ht="15.75" customHeight="1">
      <c r="A553" s="1071" t="s">
        <v>19</v>
      </c>
      <c r="B553" s="944"/>
      <c r="C553" s="944"/>
      <c r="D553" s="944"/>
      <c r="E553" s="944"/>
      <c r="F553" s="944"/>
      <c r="G553" s="1072"/>
    </row>
    <row r="554" spans="1:8" s="2" customFormat="1" ht="16.5" customHeight="1">
      <c r="A554" s="1074" t="s">
        <v>2</v>
      </c>
      <c r="B554" s="944"/>
      <c r="C554" s="53" t="s">
        <v>3</v>
      </c>
      <c r="D554" s="53" t="s">
        <v>4</v>
      </c>
      <c r="E554" s="53" t="s">
        <v>6</v>
      </c>
      <c r="F554" s="53" t="s">
        <v>11</v>
      </c>
      <c r="G554" s="456" t="s">
        <v>8</v>
      </c>
    </row>
    <row r="555" spans="1:8" s="2" customFormat="1" ht="15" customHeight="1">
      <c r="A555" s="978" t="str">
        <f>SALARIOS!$A$62</f>
        <v>CUADRILLA AA ALBAÑILERÍA 1:2</v>
      </c>
      <c r="B555" s="979"/>
      <c r="C555" s="13" t="s">
        <v>1245</v>
      </c>
      <c r="D555" s="16">
        <v>0.35</v>
      </c>
      <c r="E555" s="17">
        <f>SALARIOS!$C$62</f>
        <v>34063</v>
      </c>
      <c r="F555" s="14">
        <f>+D555*E555</f>
        <v>11922.05</v>
      </c>
      <c r="G555" s="57">
        <f>F555</f>
        <v>11922.05</v>
      </c>
    </row>
    <row r="556" spans="1:8" s="2" customFormat="1" ht="15.75" customHeight="1">
      <c r="A556" s="1076" t="s">
        <v>25</v>
      </c>
      <c r="B556" s="944"/>
      <c r="C556" s="944"/>
      <c r="D556" s="944"/>
      <c r="E556" s="944"/>
      <c r="F556" s="944"/>
      <c r="G556" s="1072"/>
    </row>
    <row r="557" spans="1:8" s="2" customFormat="1" ht="15.75" customHeight="1">
      <c r="A557" s="1077"/>
      <c r="B557" s="944"/>
      <c r="C557" s="944"/>
      <c r="D557" s="944"/>
      <c r="E557" s="944"/>
      <c r="F557" s="944"/>
      <c r="G557" s="62">
        <f>G555+G552+G548+G541</f>
        <v>40378.511635375005</v>
      </c>
    </row>
    <row r="558" spans="1:8">
      <c r="B558" s="468"/>
      <c r="F558" s="455"/>
    </row>
    <row r="559" spans="1:8">
      <c r="B559" s="468"/>
      <c r="F559" s="620"/>
    </row>
    <row r="560" spans="1:8">
      <c r="B560" s="468"/>
      <c r="F560" s="620"/>
      <c r="H560" s="480"/>
    </row>
    <row r="561" spans="2:6">
      <c r="B561" s="468"/>
      <c r="F561" s="455"/>
    </row>
    <row r="562" spans="2:6">
      <c r="B562" s="468"/>
      <c r="F562" s="455"/>
    </row>
    <row r="563" spans="2:6">
      <c r="B563" s="468"/>
      <c r="F563" s="455"/>
    </row>
    <row r="564" spans="2:6">
      <c r="B564" s="966"/>
      <c r="C564" s="966"/>
      <c r="F564" s="455"/>
    </row>
    <row r="565" spans="2:6">
      <c r="B565" s="966"/>
      <c r="C565" s="966"/>
      <c r="F565" s="455"/>
    </row>
    <row r="566" spans="2:6">
      <c r="B566" s="468"/>
      <c r="F566" s="455"/>
    </row>
  </sheetData>
  <mergeCells count="603">
    <mergeCell ref="B564:C564"/>
    <mergeCell ref="B565:C565"/>
    <mergeCell ref="A554:B554"/>
    <mergeCell ref="A555:B555"/>
    <mergeCell ref="A556:G556"/>
    <mergeCell ref="A557:F557"/>
    <mergeCell ref="A548:B548"/>
    <mergeCell ref="A549:G549"/>
    <mergeCell ref="A550:B550"/>
    <mergeCell ref="G550:G551"/>
    <mergeCell ref="A551:B551"/>
    <mergeCell ref="A553:G553"/>
    <mergeCell ref="A541:B541"/>
    <mergeCell ref="A542:G542"/>
    <mergeCell ref="A543:B543"/>
    <mergeCell ref="G543:G547"/>
    <mergeCell ref="A544:B544"/>
    <mergeCell ref="A545:B545"/>
    <mergeCell ref="A546:B546"/>
    <mergeCell ref="A547:B547"/>
    <mergeCell ref="A536:B536"/>
    <mergeCell ref="C536:E536"/>
    <mergeCell ref="A537:G537"/>
    <mergeCell ref="A538:B538"/>
    <mergeCell ref="G538:G540"/>
    <mergeCell ref="A539:B539"/>
    <mergeCell ref="A540:B540"/>
    <mergeCell ref="A526:G526"/>
    <mergeCell ref="A527:B527"/>
    <mergeCell ref="A528:B528"/>
    <mergeCell ref="A529:G529"/>
    <mergeCell ref="A530:F530"/>
    <mergeCell ref="A532:B535"/>
    <mergeCell ref="C532:G533"/>
    <mergeCell ref="C534:G534"/>
    <mergeCell ref="C535:E535"/>
    <mergeCell ref="A520:B520"/>
    <mergeCell ref="A521:G521"/>
    <mergeCell ref="A522:B522"/>
    <mergeCell ref="G522:G524"/>
    <mergeCell ref="A523:B523"/>
    <mergeCell ref="A524:B524"/>
    <mergeCell ref="A515:B515"/>
    <mergeCell ref="A516:G516"/>
    <mergeCell ref="A517:B517"/>
    <mergeCell ref="G517:G519"/>
    <mergeCell ref="A518:B518"/>
    <mergeCell ref="A519:B519"/>
    <mergeCell ref="A511:B511"/>
    <mergeCell ref="C511:E511"/>
    <mergeCell ref="A512:G512"/>
    <mergeCell ref="A513:B513"/>
    <mergeCell ref="G513:G514"/>
    <mergeCell ref="A514:B514"/>
    <mergeCell ref="A501:G501"/>
    <mergeCell ref="A502:B502"/>
    <mergeCell ref="A503:B503"/>
    <mergeCell ref="A504:G504"/>
    <mergeCell ref="A505:F505"/>
    <mergeCell ref="A507:B510"/>
    <mergeCell ref="C507:G508"/>
    <mergeCell ref="C509:G509"/>
    <mergeCell ref="C510:E510"/>
    <mergeCell ref="A495:B495"/>
    <mergeCell ref="A496:G496"/>
    <mergeCell ref="A497:B497"/>
    <mergeCell ref="G497:G499"/>
    <mergeCell ref="A498:B498"/>
    <mergeCell ref="A499:B499"/>
    <mergeCell ref="A489:B489"/>
    <mergeCell ref="A490:G490"/>
    <mergeCell ref="A491:B491"/>
    <mergeCell ref="G491:G494"/>
    <mergeCell ref="A492:B492"/>
    <mergeCell ref="A493:B493"/>
    <mergeCell ref="A494:B494"/>
    <mergeCell ref="A485:B485"/>
    <mergeCell ref="C485:E485"/>
    <mergeCell ref="A486:G486"/>
    <mergeCell ref="A487:B487"/>
    <mergeCell ref="G487:G488"/>
    <mergeCell ref="A488:B488"/>
    <mergeCell ref="A475:G475"/>
    <mergeCell ref="A476:B476"/>
    <mergeCell ref="A477:B477"/>
    <mergeCell ref="A478:G478"/>
    <mergeCell ref="A479:F479"/>
    <mergeCell ref="A481:B484"/>
    <mergeCell ref="C481:G482"/>
    <mergeCell ref="C483:G483"/>
    <mergeCell ref="C484:E484"/>
    <mergeCell ref="A470:B470"/>
    <mergeCell ref="A471:G471"/>
    <mergeCell ref="A472:B472"/>
    <mergeCell ref="G472:G473"/>
    <mergeCell ref="A473:B473"/>
    <mergeCell ref="A474:B474"/>
    <mergeCell ref="A464:B464"/>
    <mergeCell ref="A465:G465"/>
    <mergeCell ref="A466:B466"/>
    <mergeCell ref="G466:G469"/>
    <mergeCell ref="A467:B467"/>
    <mergeCell ref="A468:B468"/>
    <mergeCell ref="A469:B469"/>
    <mergeCell ref="A459:B459"/>
    <mergeCell ref="C459:E459"/>
    <mergeCell ref="A460:G460"/>
    <mergeCell ref="A461:B461"/>
    <mergeCell ref="G461:G463"/>
    <mergeCell ref="A462:B462"/>
    <mergeCell ref="A463:B463"/>
    <mergeCell ref="A449:G449"/>
    <mergeCell ref="A450:B450"/>
    <mergeCell ref="A451:B451"/>
    <mergeCell ref="A452:G452"/>
    <mergeCell ref="A453:F453"/>
    <mergeCell ref="A455:B458"/>
    <mergeCell ref="C455:G456"/>
    <mergeCell ref="C457:G457"/>
    <mergeCell ref="C458:E458"/>
    <mergeCell ref="A444:G444"/>
    <mergeCell ref="A445:B445"/>
    <mergeCell ref="G445:G447"/>
    <mergeCell ref="A446:B446"/>
    <mergeCell ref="A447:B447"/>
    <mergeCell ref="A448:B448"/>
    <mergeCell ref="A438:B438"/>
    <mergeCell ref="A439:B439"/>
    <mergeCell ref="A440:B440"/>
    <mergeCell ref="A441:B441"/>
    <mergeCell ref="A442:B442"/>
    <mergeCell ref="A443:B443"/>
    <mergeCell ref="A429:B429"/>
    <mergeCell ref="A430:G430"/>
    <mergeCell ref="A431:B431"/>
    <mergeCell ref="G431:G442"/>
    <mergeCell ref="A432:B432"/>
    <mergeCell ref="A433:B433"/>
    <mergeCell ref="A434:B434"/>
    <mergeCell ref="A435:B435"/>
    <mergeCell ref="A436:B436"/>
    <mergeCell ref="A437:B437"/>
    <mergeCell ref="A423:G423"/>
    <mergeCell ref="A424:B424"/>
    <mergeCell ref="G424:G428"/>
    <mergeCell ref="A425:B425"/>
    <mergeCell ref="A426:B426"/>
    <mergeCell ref="A428:B428"/>
    <mergeCell ref="A418:B421"/>
    <mergeCell ref="C418:G419"/>
    <mergeCell ref="C420:G420"/>
    <mergeCell ref="C421:E421"/>
    <mergeCell ref="A422:B422"/>
    <mergeCell ref="C422:E422"/>
    <mergeCell ref="A427:B427"/>
    <mergeCell ref="A411:B411"/>
    <mergeCell ref="A412:G412"/>
    <mergeCell ref="A413:B413"/>
    <mergeCell ref="A414:B414"/>
    <mergeCell ref="A415:G415"/>
    <mergeCell ref="A416:F416"/>
    <mergeCell ref="A406:B406"/>
    <mergeCell ref="A407:G407"/>
    <mergeCell ref="A408:B408"/>
    <mergeCell ref="G408:G410"/>
    <mergeCell ref="A409:B409"/>
    <mergeCell ref="A410:B410"/>
    <mergeCell ref="A398:B398"/>
    <mergeCell ref="A399:G399"/>
    <mergeCell ref="A400:B400"/>
    <mergeCell ref="G400:G405"/>
    <mergeCell ref="A401:B401"/>
    <mergeCell ref="A402:B402"/>
    <mergeCell ref="A403:B403"/>
    <mergeCell ref="A405:B405"/>
    <mergeCell ref="A393:B393"/>
    <mergeCell ref="C393:E393"/>
    <mergeCell ref="A394:G394"/>
    <mergeCell ref="A395:B395"/>
    <mergeCell ref="G395:G397"/>
    <mergeCell ref="A396:B396"/>
    <mergeCell ref="A397:B397"/>
    <mergeCell ref="A404:B404"/>
    <mergeCell ref="A384:B384"/>
    <mergeCell ref="A385:B385"/>
    <mergeCell ref="A386:G386"/>
    <mergeCell ref="A387:F387"/>
    <mergeCell ref="A389:B392"/>
    <mergeCell ref="C389:G390"/>
    <mergeCell ref="C391:G391"/>
    <mergeCell ref="C392:E392"/>
    <mergeCell ref="A378:B378"/>
    <mergeCell ref="A379:G379"/>
    <mergeCell ref="A380:B380"/>
    <mergeCell ref="G380:G381"/>
    <mergeCell ref="A381:B381"/>
    <mergeCell ref="A383:G383"/>
    <mergeCell ref="A371:B371"/>
    <mergeCell ref="A372:G372"/>
    <mergeCell ref="A373:B373"/>
    <mergeCell ref="G373:G377"/>
    <mergeCell ref="A374:B374"/>
    <mergeCell ref="A375:B375"/>
    <mergeCell ref="A376:B376"/>
    <mergeCell ref="A377:B377"/>
    <mergeCell ref="A366:B366"/>
    <mergeCell ref="C366:E366"/>
    <mergeCell ref="A367:G367"/>
    <mergeCell ref="A368:B368"/>
    <mergeCell ref="G368:G370"/>
    <mergeCell ref="A369:B369"/>
    <mergeCell ref="A370:B370"/>
    <mergeCell ref="A356:G356"/>
    <mergeCell ref="A357:B357"/>
    <mergeCell ref="A358:B358"/>
    <mergeCell ref="A359:G359"/>
    <mergeCell ref="A360:F360"/>
    <mergeCell ref="A362:B365"/>
    <mergeCell ref="C362:G363"/>
    <mergeCell ref="C364:G364"/>
    <mergeCell ref="C365:E365"/>
    <mergeCell ref="A350:B350"/>
    <mergeCell ref="A351:G351"/>
    <mergeCell ref="A352:B352"/>
    <mergeCell ref="G352:G354"/>
    <mergeCell ref="A353:B353"/>
    <mergeCell ref="A354:B354"/>
    <mergeCell ref="A342:B342"/>
    <mergeCell ref="A343:G343"/>
    <mergeCell ref="A344:B344"/>
    <mergeCell ref="G344:G349"/>
    <mergeCell ref="A345:B345"/>
    <mergeCell ref="A346:B346"/>
    <mergeCell ref="A347:B347"/>
    <mergeCell ref="A348:B348"/>
    <mergeCell ref="A349:B349"/>
    <mergeCell ref="A338:B338"/>
    <mergeCell ref="C338:E338"/>
    <mergeCell ref="A339:G339"/>
    <mergeCell ref="A340:B340"/>
    <mergeCell ref="G340:G341"/>
    <mergeCell ref="A341:B341"/>
    <mergeCell ref="A328:G328"/>
    <mergeCell ref="A329:B329"/>
    <mergeCell ref="A330:B330"/>
    <mergeCell ref="A331:G331"/>
    <mergeCell ref="A332:F332"/>
    <mergeCell ref="A334:B337"/>
    <mergeCell ref="C334:G335"/>
    <mergeCell ref="C336:G336"/>
    <mergeCell ref="C337:E337"/>
    <mergeCell ref="A323:G323"/>
    <mergeCell ref="A324:B324"/>
    <mergeCell ref="G324:G326"/>
    <mergeCell ref="A325:B325"/>
    <mergeCell ref="A326:B326"/>
    <mergeCell ref="A327:B327"/>
    <mergeCell ref="A317:B317"/>
    <mergeCell ref="A318:B318"/>
    <mergeCell ref="A319:B319"/>
    <mergeCell ref="A320:B320"/>
    <mergeCell ref="A321:B321"/>
    <mergeCell ref="A322:B322"/>
    <mergeCell ref="A308:B308"/>
    <mergeCell ref="A309:G309"/>
    <mergeCell ref="A310:B310"/>
    <mergeCell ref="G310:G321"/>
    <mergeCell ref="A311:B311"/>
    <mergeCell ref="A312:B312"/>
    <mergeCell ref="A313:B313"/>
    <mergeCell ref="A314:B314"/>
    <mergeCell ref="A315:B315"/>
    <mergeCell ref="A316:B316"/>
    <mergeCell ref="A302:G302"/>
    <mergeCell ref="A303:B303"/>
    <mergeCell ref="G303:G307"/>
    <mergeCell ref="A304:B304"/>
    <mergeCell ref="A305:B305"/>
    <mergeCell ref="A306:B306"/>
    <mergeCell ref="A307:B307"/>
    <mergeCell ref="A297:B300"/>
    <mergeCell ref="C297:G298"/>
    <mergeCell ref="C299:G299"/>
    <mergeCell ref="C300:E300"/>
    <mergeCell ref="A301:B301"/>
    <mergeCell ref="C301:E301"/>
    <mergeCell ref="A290:B290"/>
    <mergeCell ref="A291:G291"/>
    <mergeCell ref="A292:B292"/>
    <mergeCell ref="A293:B293"/>
    <mergeCell ref="A294:G294"/>
    <mergeCell ref="A295:F295"/>
    <mergeCell ref="A285:B285"/>
    <mergeCell ref="A286:G286"/>
    <mergeCell ref="A287:B287"/>
    <mergeCell ref="G287:G289"/>
    <mergeCell ref="A288:B288"/>
    <mergeCell ref="A289:B289"/>
    <mergeCell ref="A277:B277"/>
    <mergeCell ref="A278:G278"/>
    <mergeCell ref="A279:B279"/>
    <mergeCell ref="G279:G284"/>
    <mergeCell ref="A280:B280"/>
    <mergeCell ref="A281:B281"/>
    <mergeCell ref="A282:B282"/>
    <mergeCell ref="A284:B284"/>
    <mergeCell ref="A272:B272"/>
    <mergeCell ref="C272:E272"/>
    <mergeCell ref="A273:G273"/>
    <mergeCell ref="A274:B274"/>
    <mergeCell ref="G274:G276"/>
    <mergeCell ref="A275:B275"/>
    <mergeCell ref="A276:B276"/>
    <mergeCell ref="A283:B283"/>
    <mergeCell ref="A262:G262"/>
    <mergeCell ref="A263:B263"/>
    <mergeCell ref="A264:B264"/>
    <mergeCell ref="A265:G265"/>
    <mergeCell ref="A266:F266"/>
    <mergeCell ref="A268:B271"/>
    <mergeCell ref="C268:G269"/>
    <mergeCell ref="C270:G270"/>
    <mergeCell ref="C271:E271"/>
    <mergeCell ref="A257:B257"/>
    <mergeCell ref="A258:G258"/>
    <mergeCell ref="A259:B259"/>
    <mergeCell ref="G259:G260"/>
    <mergeCell ref="A260:B260"/>
    <mergeCell ref="A261:B261"/>
    <mergeCell ref="A251:B251"/>
    <mergeCell ref="A252:G252"/>
    <mergeCell ref="A253:B253"/>
    <mergeCell ref="G253:G256"/>
    <mergeCell ref="A254:B254"/>
    <mergeCell ref="A255:B255"/>
    <mergeCell ref="A256:B256"/>
    <mergeCell ref="A247:B247"/>
    <mergeCell ref="C247:E247"/>
    <mergeCell ref="A248:G248"/>
    <mergeCell ref="A249:B249"/>
    <mergeCell ref="G249:G250"/>
    <mergeCell ref="A250:B250"/>
    <mergeCell ref="A237:G237"/>
    <mergeCell ref="A238:B238"/>
    <mergeCell ref="A239:B239"/>
    <mergeCell ref="A240:G240"/>
    <mergeCell ref="A241:F241"/>
    <mergeCell ref="A243:B246"/>
    <mergeCell ref="C243:G244"/>
    <mergeCell ref="C245:G245"/>
    <mergeCell ref="C246:E246"/>
    <mergeCell ref="A231:B231"/>
    <mergeCell ref="A232:G232"/>
    <mergeCell ref="A233:B233"/>
    <mergeCell ref="G233:G235"/>
    <mergeCell ref="A234:B234"/>
    <mergeCell ref="A235:B235"/>
    <mergeCell ref="A226:B226"/>
    <mergeCell ref="A227:G227"/>
    <mergeCell ref="A228:B228"/>
    <mergeCell ref="G228:G230"/>
    <mergeCell ref="A229:B229"/>
    <mergeCell ref="A230:B230"/>
    <mergeCell ref="A221:B221"/>
    <mergeCell ref="C221:E221"/>
    <mergeCell ref="A222:G222"/>
    <mergeCell ref="A223:B223"/>
    <mergeCell ref="G223:G225"/>
    <mergeCell ref="A224:B224"/>
    <mergeCell ref="A225:B225"/>
    <mergeCell ref="A212:B212"/>
    <mergeCell ref="A213:B213"/>
    <mergeCell ref="A214:G214"/>
    <mergeCell ref="A215:F215"/>
    <mergeCell ref="A217:B220"/>
    <mergeCell ref="C217:G218"/>
    <mergeCell ref="C219:G219"/>
    <mergeCell ref="C220:E220"/>
    <mergeCell ref="A206:B206"/>
    <mergeCell ref="A207:G207"/>
    <mergeCell ref="A208:B208"/>
    <mergeCell ref="G208:G209"/>
    <mergeCell ref="A209:B209"/>
    <mergeCell ref="A211:G211"/>
    <mergeCell ref="A199:B199"/>
    <mergeCell ref="A200:G200"/>
    <mergeCell ref="A201:B201"/>
    <mergeCell ref="G201:G205"/>
    <mergeCell ref="A202:B202"/>
    <mergeCell ref="A203:B203"/>
    <mergeCell ref="A204:B204"/>
    <mergeCell ref="A205:B205"/>
    <mergeCell ref="A194:B194"/>
    <mergeCell ref="C194:E194"/>
    <mergeCell ref="A195:G195"/>
    <mergeCell ref="A196:B196"/>
    <mergeCell ref="G196:G198"/>
    <mergeCell ref="A197:B197"/>
    <mergeCell ref="A198:B198"/>
    <mergeCell ref="A184:G184"/>
    <mergeCell ref="A185:B185"/>
    <mergeCell ref="A186:B186"/>
    <mergeCell ref="A187:G187"/>
    <mergeCell ref="A188:F188"/>
    <mergeCell ref="A190:B193"/>
    <mergeCell ref="C190:G191"/>
    <mergeCell ref="C192:G192"/>
    <mergeCell ref="C193:E193"/>
    <mergeCell ref="A176:B176"/>
    <mergeCell ref="A177:B177"/>
    <mergeCell ref="A178:B178"/>
    <mergeCell ref="A179:G179"/>
    <mergeCell ref="A180:B180"/>
    <mergeCell ref="G180:G182"/>
    <mergeCell ref="A181:B181"/>
    <mergeCell ref="A182:B182"/>
    <mergeCell ref="A169:B169"/>
    <mergeCell ref="A170:G170"/>
    <mergeCell ref="A171:B171"/>
    <mergeCell ref="G171:G175"/>
    <mergeCell ref="A172:B172"/>
    <mergeCell ref="A173:B173"/>
    <mergeCell ref="A174:B174"/>
    <mergeCell ref="A175:B175"/>
    <mergeCell ref="A163:B163"/>
    <mergeCell ref="C163:E163"/>
    <mergeCell ref="A164:G164"/>
    <mergeCell ref="A165:B165"/>
    <mergeCell ref="G165:G168"/>
    <mergeCell ref="A166:B166"/>
    <mergeCell ref="A167:B167"/>
    <mergeCell ref="A168:B168"/>
    <mergeCell ref="A153:G153"/>
    <mergeCell ref="A154:B154"/>
    <mergeCell ref="A155:B155"/>
    <mergeCell ref="A156:G156"/>
    <mergeCell ref="A157:F157"/>
    <mergeCell ref="A159:B162"/>
    <mergeCell ref="C159:G160"/>
    <mergeCell ref="C161:G161"/>
    <mergeCell ref="C162:E162"/>
    <mergeCell ref="A147:B147"/>
    <mergeCell ref="A148:G148"/>
    <mergeCell ref="A149:B149"/>
    <mergeCell ref="G149:G151"/>
    <mergeCell ref="A150:B150"/>
    <mergeCell ref="A151:B151"/>
    <mergeCell ref="A140:B140"/>
    <mergeCell ref="A141:B141"/>
    <mergeCell ref="A142:B142"/>
    <mergeCell ref="A143:B143"/>
    <mergeCell ref="A144:B144"/>
    <mergeCell ref="A145:B145"/>
    <mergeCell ref="A131:B131"/>
    <mergeCell ref="A132:B132"/>
    <mergeCell ref="A133:B133"/>
    <mergeCell ref="A134:B134"/>
    <mergeCell ref="A135:G135"/>
    <mergeCell ref="A136:B136"/>
    <mergeCell ref="G136:G146"/>
    <mergeCell ref="A137:B137"/>
    <mergeCell ref="A138:B138"/>
    <mergeCell ref="A139:B139"/>
    <mergeCell ref="A146:B146"/>
    <mergeCell ref="A127:B127"/>
    <mergeCell ref="C127:E127"/>
    <mergeCell ref="A128:G128"/>
    <mergeCell ref="A129:B129"/>
    <mergeCell ref="G129:G130"/>
    <mergeCell ref="A130:B130"/>
    <mergeCell ref="A117:G117"/>
    <mergeCell ref="A118:B118"/>
    <mergeCell ref="A119:B119"/>
    <mergeCell ref="A120:G120"/>
    <mergeCell ref="A121:F121"/>
    <mergeCell ref="A123:B126"/>
    <mergeCell ref="C123:G124"/>
    <mergeCell ref="C125:G125"/>
    <mergeCell ref="C126:E126"/>
    <mergeCell ref="A111:B111"/>
    <mergeCell ref="A112:G112"/>
    <mergeCell ref="A113:B113"/>
    <mergeCell ref="G113:G115"/>
    <mergeCell ref="A114:B114"/>
    <mergeCell ref="A115:B115"/>
    <mergeCell ref="A106:B106"/>
    <mergeCell ref="A107:G107"/>
    <mergeCell ref="A108:B108"/>
    <mergeCell ref="G108:G110"/>
    <mergeCell ref="A109:B109"/>
    <mergeCell ref="A110:B110"/>
    <mergeCell ref="A101:B101"/>
    <mergeCell ref="C101:E101"/>
    <mergeCell ref="A102:G102"/>
    <mergeCell ref="A103:B103"/>
    <mergeCell ref="G103:G105"/>
    <mergeCell ref="A104:B104"/>
    <mergeCell ref="A105:B105"/>
    <mergeCell ref="A91:G91"/>
    <mergeCell ref="A92:B92"/>
    <mergeCell ref="A93:B93"/>
    <mergeCell ref="A94:G94"/>
    <mergeCell ref="A95:F95"/>
    <mergeCell ref="A97:B100"/>
    <mergeCell ref="C97:G98"/>
    <mergeCell ref="C99:G99"/>
    <mergeCell ref="C100:E100"/>
    <mergeCell ref="A85:B85"/>
    <mergeCell ref="A86:G86"/>
    <mergeCell ref="A87:B87"/>
    <mergeCell ref="G87:G89"/>
    <mergeCell ref="A88:B88"/>
    <mergeCell ref="A89:B89"/>
    <mergeCell ref="A76:B76"/>
    <mergeCell ref="A77:B77"/>
    <mergeCell ref="A78:G78"/>
    <mergeCell ref="A79:B79"/>
    <mergeCell ref="G79:G84"/>
    <mergeCell ref="A80:B80"/>
    <mergeCell ref="A81:B81"/>
    <mergeCell ref="A82:B82"/>
    <mergeCell ref="A83:B83"/>
    <mergeCell ref="A84:B84"/>
    <mergeCell ref="A72:B72"/>
    <mergeCell ref="C72:E72"/>
    <mergeCell ref="A73:G73"/>
    <mergeCell ref="A74:B74"/>
    <mergeCell ref="G74:G75"/>
    <mergeCell ref="A75:B75"/>
    <mergeCell ref="A63:B63"/>
    <mergeCell ref="A64:B64"/>
    <mergeCell ref="A65:G65"/>
    <mergeCell ref="A66:F66"/>
    <mergeCell ref="A68:B71"/>
    <mergeCell ref="C68:G69"/>
    <mergeCell ref="C70:G70"/>
    <mergeCell ref="C71:E71"/>
    <mergeCell ref="A57:B57"/>
    <mergeCell ref="A58:G58"/>
    <mergeCell ref="A59:B59"/>
    <mergeCell ref="G59:G60"/>
    <mergeCell ref="A60:B60"/>
    <mergeCell ref="A62:G62"/>
    <mergeCell ref="A50:B50"/>
    <mergeCell ref="A51:G51"/>
    <mergeCell ref="A52:B52"/>
    <mergeCell ref="G52:G56"/>
    <mergeCell ref="A53:B53"/>
    <mergeCell ref="A54:B54"/>
    <mergeCell ref="A55:B55"/>
    <mergeCell ref="A56:B56"/>
    <mergeCell ref="A45:B45"/>
    <mergeCell ref="C45:E45"/>
    <mergeCell ref="A46:G46"/>
    <mergeCell ref="A47:B47"/>
    <mergeCell ref="G47:G49"/>
    <mergeCell ref="A48:B48"/>
    <mergeCell ref="A49:B49"/>
    <mergeCell ref="A35:G35"/>
    <mergeCell ref="A36:B36"/>
    <mergeCell ref="A37:B37"/>
    <mergeCell ref="A38:G38"/>
    <mergeCell ref="A39:F39"/>
    <mergeCell ref="A41:B44"/>
    <mergeCell ref="C41:G42"/>
    <mergeCell ref="C43:G43"/>
    <mergeCell ref="C44:E44"/>
    <mergeCell ref="A30:G30"/>
    <mergeCell ref="A31:B31"/>
    <mergeCell ref="G31:G33"/>
    <mergeCell ref="A32:B32"/>
    <mergeCell ref="A33:B33"/>
    <mergeCell ref="A34:B34"/>
    <mergeCell ref="A24:B24"/>
    <mergeCell ref="A25:B25"/>
    <mergeCell ref="A26:B26"/>
    <mergeCell ref="A27:B27"/>
    <mergeCell ref="A28:B28"/>
    <mergeCell ref="A29:B29"/>
    <mergeCell ref="A15:B15"/>
    <mergeCell ref="A16:G16"/>
    <mergeCell ref="A17:B17"/>
    <mergeCell ref="G17:G28"/>
    <mergeCell ref="A18:B18"/>
    <mergeCell ref="A19:B19"/>
    <mergeCell ref="A20:B20"/>
    <mergeCell ref="A21:B21"/>
    <mergeCell ref="A22:B22"/>
    <mergeCell ref="A23:B23"/>
    <mergeCell ref="A9:G9"/>
    <mergeCell ref="A10:B10"/>
    <mergeCell ref="G10:G14"/>
    <mergeCell ref="A11:B11"/>
    <mergeCell ref="A12:B12"/>
    <mergeCell ref="A13:B13"/>
    <mergeCell ref="A14:B14"/>
    <mergeCell ref="C2:G2"/>
    <mergeCell ref="A4:B7"/>
    <mergeCell ref="C4:G5"/>
    <mergeCell ref="C6:G6"/>
    <mergeCell ref="C7:E7"/>
    <mergeCell ref="A8:B8"/>
    <mergeCell ref="C8:E8"/>
  </mergeCells>
  <pageMargins left="0.25" right="0.25" top="0.75" bottom="0.75" header="0.3" footer="0.3"/>
  <pageSetup paperSize="9" scale="81"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pageSetUpPr fitToPage="1"/>
  </sheetPr>
  <dimension ref="A2:K739"/>
  <sheetViews>
    <sheetView topLeftCell="A723" zoomScaleNormal="100" workbookViewId="0">
      <selection activeCell="B733" sqref="B733:C738"/>
    </sheetView>
  </sheetViews>
  <sheetFormatPr baseColWidth="10" defaultColWidth="10.6640625" defaultRowHeight="14.4"/>
  <cols>
    <col min="1" max="2" width="18.6640625" customWidth="1"/>
    <col min="3" max="5" width="16.6640625" customWidth="1"/>
    <col min="6" max="6" width="18.5546875" customWidth="1"/>
    <col min="7" max="7" width="17.5546875" customWidth="1"/>
  </cols>
  <sheetData>
    <row r="2" spans="1:7" s="2" customFormat="1" ht="116.25" customHeight="1">
      <c r="A2" s="177"/>
      <c r="B2" s="177"/>
      <c r="C2" s="922" t="s">
        <v>0</v>
      </c>
      <c r="D2" s="922"/>
      <c r="E2" s="922"/>
      <c r="F2" s="922"/>
      <c r="G2" s="923"/>
    </row>
    <row r="3" spans="1:7" s="175" customFormat="1">
      <c r="A3"/>
      <c r="B3"/>
      <c r="C3"/>
      <c r="D3"/>
      <c r="E3"/>
      <c r="F3"/>
      <c r="G3"/>
    </row>
    <row r="4" spans="1:7" s="175" customFormat="1" ht="13.8">
      <c r="A4" s="970" t="s">
        <v>1</v>
      </c>
      <c r="B4" s="957"/>
      <c r="C4" s="953" t="s">
        <v>0</v>
      </c>
      <c r="D4" s="954"/>
      <c r="E4" s="954"/>
      <c r="F4" s="954"/>
      <c r="G4" s="955"/>
    </row>
    <row r="5" spans="1:7" s="175" customFormat="1" ht="56.25" customHeight="1">
      <c r="A5" s="971"/>
      <c r="B5" s="957"/>
      <c r="C5" s="954"/>
      <c r="D5" s="954"/>
      <c r="E5" s="954"/>
      <c r="F5" s="954"/>
      <c r="G5" s="955"/>
    </row>
    <row r="6" spans="1:7" s="175" customFormat="1" ht="17.399999999999999">
      <c r="A6" s="971"/>
      <c r="B6" s="957"/>
      <c r="C6" s="956"/>
      <c r="D6" s="957"/>
      <c r="E6" s="957"/>
      <c r="F6" s="957"/>
      <c r="G6" s="958"/>
    </row>
    <row r="7" spans="1:7" s="175" customFormat="1" ht="13.8">
      <c r="A7" s="971"/>
      <c r="B7" s="957"/>
      <c r="C7" s="959" t="s">
        <v>2</v>
      </c>
      <c r="D7" s="957"/>
      <c r="E7" s="957"/>
      <c r="F7" s="23" t="s">
        <v>3</v>
      </c>
      <c r="G7" s="24" t="s">
        <v>4</v>
      </c>
    </row>
    <row r="8" spans="1:7" s="175" customFormat="1" ht="107.25" customHeight="1">
      <c r="A8" s="1073" t="s">
        <v>1842</v>
      </c>
      <c r="B8" s="944"/>
      <c r="C8" s="980" t="s">
        <v>1843</v>
      </c>
      <c r="D8" s="944"/>
      <c r="E8" s="944"/>
      <c r="F8" s="51" t="s">
        <v>28</v>
      </c>
      <c r="G8" s="52">
        <v>11</v>
      </c>
    </row>
    <row r="9" spans="1:7" s="175" customFormat="1" ht="13.8">
      <c r="A9" s="1071" t="s">
        <v>5</v>
      </c>
      <c r="B9" s="944"/>
      <c r="C9" s="944"/>
      <c r="D9" s="944"/>
      <c r="E9" s="944"/>
      <c r="F9" s="944"/>
      <c r="G9" s="1072"/>
    </row>
    <row r="10" spans="1:7" s="175" customFormat="1" ht="13.8">
      <c r="A10" s="1074" t="s">
        <v>2</v>
      </c>
      <c r="B10" s="944"/>
      <c r="C10" s="53" t="s">
        <v>3</v>
      </c>
      <c r="D10" s="53" t="s">
        <v>4</v>
      </c>
      <c r="E10" s="53" t="s">
        <v>6</v>
      </c>
      <c r="F10" s="53" t="s">
        <v>7</v>
      </c>
      <c r="G10" s="61" t="s">
        <v>8</v>
      </c>
    </row>
    <row r="11" spans="1:7" s="175" customFormat="1" ht="13.8">
      <c r="A11" s="947" t="s">
        <v>9</v>
      </c>
      <c r="B11" s="944"/>
      <c r="C11" s="51" t="s">
        <v>3</v>
      </c>
      <c r="D11" s="51">
        <v>0.05</v>
      </c>
      <c r="E11" s="133">
        <f>G26</f>
        <v>27341</v>
      </c>
      <c r="F11" s="55">
        <f>E11*D11</f>
        <v>1367.0500000000002</v>
      </c>
      <c r="G11" s="57">
        <f>SUM(F10:F11)</f>
        <v>1367.0500000000002</v>
      </c>
    </row>
    <row r="12" spans="1:7" s="175" customFormat="1" ht="13.8">
      <c r="A12" s="1071" t="s">
        <v>10</v>
      </c>
      <c r="B12" s="944"/>
      <c r="C12" s="944"/>
      <c r="D12" s="944"/>
      <c r="E12" s="944"/>
      <c r="F12" s="944"/>
      <c r="G12" s="1072"/>
    </row>
    <row r="13" spans="1:7" s="175" customFormat="1" ht="13.8">
      <c r="A13" s="1074" t="s">
        <v>2</v>
      </c>
      <c r="B13" s="944"/>
      <c r="C13" s="53" t="s">
        <v>3</v>
      </c>
      <c r="D13" s="53" t="s">
        <v>4</v>
      </c>
      <c r="E13" s="53" t="s">
        <v>6</v>
      </c>
      <c r="F13" s="53" t="s">
        <v>11</v>
      </c>
      <c r="G13" s="1075" t="s">
        <v>8</v>
      </c>
    </row>
    <row r="14" spans="1:7" s="175" customFormat="1" ht="13.8">
      <c r="A14" s="947" t="s">
        <v>2434</v>
      </c>
      <c r="B14" s="944"/>
      <c r="C14" s="16" t="s">
        <v>3</v>
      </c>
      <c r="D14" s="16">
        <v>1</v>
      </c>
      <c r="E14" s="17">
        <f>'INSUMOS '!$E$334</f>
        <v>609900</v>
      </c>
      <c r="F14" s="55">
        <f>D14*E14</f>
        <v>609900</v>
      </c>
      <c r="G14" s="1075"/>
    </row>
    <row r="15" spans="1:7" s="175" customFormat="1" ht="13.8">
      <c r="A15" s="947" t="s">
        <v>381</v>
      </c>
      <c r="B15" s="980"/>
      <c r="C15" s="16" t="s">
        <v>3</v>
      </c>
      <c r="D15" s="16">
        <v>1</v>
      </c>
      <c r="E15" s="17">
        <f>'INSUMOS '!$E$47</f>
        <v>4150</v>
      </c>
      <c r="F15" s="55">
        <f>D15*E15</f>
        <v>4150</v>
      </c>
      <c r="G15" s="1075"/>
    </row>
    <row r="16" spans="1:7" s="175" customFormat="1" ht="13.8">
      <c r="A16" s="1015" t="s">
        <v>2435</v>
      </c>
      <c r="B16" s="1016"/>
      <c r="C16" s="16" t="s">
        <v>34</v>
      </c>
      <c r="D16" s="16">
        <v>0.73</v>
      </c>
      <c r="E16" s="17">
        <f>'INSUMOS '!$E$101/40</f>
        <v>1447.5</v>
      </c>
      <c r="F16" s="55">
        <f>D16*E16</f>
        <v>1056.675</v>
      </c>
      <c r="G16" s="1075"/>
    </row>
    <row r="17" spans="1:7" s="175" customFormat="1" ht="13.8">
      <c r="A17" s="947" t="s">
        <v>2432</v>
      </c>
      <c r="B17" s="980"/>
      <c r="C17" s="16" t="s">
        <v>3</v>
      </c>
      <c r="D17" s="16">
        <v>1</v>
      </c>
      <c r="E17" s="17">
        <f>'INSUMOS '!$E$333</f>
        <v>18200</v>
      </c>
      <c r="F17" s="55">
        <f>E17*D17</f>
        <v>18200</v>
      </c>
      <c r="G17" s="1075"/>
    </row>
    <row r="18" spans="1:7" s="175" customFormat="1" ht="13.8">
      <c r="A18" s="947" t="s">
        <v>383</v>
      </c>
      <c r="B18" s="944"/>
      <c r="C18" s="16" t="s">
        <v>3</v>
      </c>
      <c r="D18" s="16">
        <v>1</v>
      </c>
      <c r="E18" s="17">
        <f>'INSUMOS '!$E$33</f>
        <v>30900</v>
      </c>
      <c r="F18" s="55">
        <f>E18*D18</f>
        <v>30900</v>
      </c>
      <c r="G18" s="1075"/>
    </row>
    <row r="19" spans="1:7" s="175" customFormat="1" ht="13.8">
      <c r="A19" s="947" t="s">
        <v>384</v>
      </c>
      <c r="B19" s="944"/>
      <c r="C19" s="16" t="s">
        <v>3</v>
      </c>
      <c r="D19" s="16">
        <v>1</v>
      </c>
      <c r="E19" s="17">
        <f>'INSUMOS '!$E$34</f>
        <v>15000</v>
      </c>
      <c r="F19" s="55">
        <f>E19*D19</f>
        <v>15000</v>
      </c>
      <c r="G19" s="57">
        <f>SUM(F13:F19)</f>
        <v>679206.67500000005</v>
      </c>
    </row>
    <row r="20" spans="1:7" s="175" customFormat="1" ht="13.8">
      <c r="A20" s="1071" t="s">
        <v>15</v>
      </c>
      <c r="B20" s="944"/>
      <c r="C20" s="944"/>
      <c r="D20" s="944"/>
      <c r="E20" s="944"/>
      <c r="F20" s="944"/>
      <c r="G20" s="1072"/>
    </row>
    <row r="21" spans="1:7" s="175" customFormat="1" ht="13.8">
      <c r="A21" s="1074" t="s">
        <v>2</v>
      </c>
      <c r="B21" s="944"/>
      <c r="C21" s="53" t="s">
        <v>3</v>
      </c>
      <c r="D21" s="53" t="s">
        <v>4</v>
      </c>
      <c r="E21" s="53" t="s">
        <v>6</v>
      </c>
      <c r="F21" s="53" t="s">
        <v>11</v>
      </c>
      <c r="G21" s="1075" t="s">
        <v>8</v>
      </c>
    </row>
    <row r="22" spans="1:7" s="175" customFormat="1" ht="13.8">
      <c r="A22" s="943" t="s">
        <v>17</v>
      </c>
      <c r="B22" s="944"/>
      <c r="C22" s="16" t="s">
        <v>3</v>
      </c>
      <c r="D22" s="54">
        <v>3.5000000000000003E-2</v>
      </c>
      <c r="E22" s="17">
        <f>+G19</f>
        <v>679206.67500000005</v>
      </c>
      <c r="F22" s="55">
        <f>E22*D22</f>
        <v>23772.233625000004</v>
      </c>
      <c r="G22" s="1075"/>
    </row>
    <row r="23" spans="1:7" s="175" customFormat="1" ht="13.8">
      <c r="A23" s="943" t="s">
        <v>335</v>
      </c>
      <c r="B23" s="1078"/>
      <c r="C23" s="16" t="s">
        <v>3</v>
      </c>
      <c r="D23" s="54">
        <v>3.5000000000000003E-2</v>
      </c>
      <c r="E23" s="17">
        <f>G11</f>
        <v>1367.0500000000002</v>
      </c>
      <c r="F23" s="55">
        <f>E23*D23</f>
        <v>47.846750000000014</v>
      </c>
      <c r="G23" s="57">
        <f>SUM(F22:F23)</f>
        <v>23820.080375000005</v>
      </c>
    </row>
    <row r="24" spans="1:7" s="175" customFormat="1" ht="13.8">
      <c r="A24" s="1071" t="s">
        <v>19</v>
      </c>
      <c r="B24" s="944"/>
      <c r="C24" s="944"/>
      <c r="D24" s="944"/>
      <c r="E24" s="944"/>
      <c r="F24" s="944"/>
      <c r="G24" s="1072"/>
    </row>
    <row r="25" spans="1:7" s="175" customFormat="1" ht="13.8">
      <c r="A25" s="1074" t="s">
        <v>2</v>
      </c>
      <c r="B25" s="944"/>
      <c r="C25" s="53" t="s">
        <v>3</v>
      </c>
      <c r="D25" s="53" t="s">
        <v>4</v>
      </c>
      <c r="E25" s="53" t="s">
        <v>6</v>
      </c>
      <c r="F25" s="53" t="s">
        <v>11</v>
      </c>
      <c r="G25" s="61" t="s">
        <v>8</v>
      </c>
    </row>
    <row r="26" spans="1:7" s="175" customFormat="1" ht="13.8">
      <c r="A26" s="978" t="str">
        <f>SALARIOS!$A$69</f>
        <v>CUADRILLA BB INSTALACIONES 1:1</v>
      </c>
      <c r="B26" s="979"/>
      <c r="C26" s="13" t="s">
        <v>1245</v>
      </c>
      <c r="D26" s="32">
        <v>1</v>
      </c>
      <c r="E26" s="13">
        <f>SALARIOS!$C$69</f>
        <v>27341</v>
      </c>
      <c r="F26" s="55">
        <f>+D26*E26</f>
        <v>27341</v>
      </c>
      <c r="G26" s="57">
        <f>SUM(F25:F26)</f>
        <v>27341</v>
      </c>
    </row>
    <row r="27" spans="1:7" s="175" customFormat="1" ht="13.8">
      <c r="A27" s="1076" t="s">
        <v>25</v>
      </c>
      <c r="B27" s="944"/>
      <c r="C27" s="944"/>
      <c r="D27" s="944"/>
      <c r="E27" s="944"/>
      <c r="F27" s="944"/>
      <c r="G27" s="1072"/>
    </row>
    <row r="28" spans="1:7" s="175" customFormat="1" ht="17.399999999999999">
      <c r="A28" s="1077"/>
      <c r="B28" s="944"/>
      <c r="C28" s="944"/>
      <c r="D28" s="944"/>
      <c r="E28" s="944"/>
      <c r="F28" s="944"/>
      <c r="G28" s="62">
        <f>G26+G23+G19+G11</f>
        <v>731734.80537500011</v>
      </c>
    </row>
    <row r="29" spans="1:7" s="175" customFormat="1">
      <c r="A29"/>
      <c r="B29"/>
      <c r="C29"/>
      <c r="D29"/>
      <c r="E29"/>
      <c r="F29"/>
      <c r="G29"/>
    </row>
    <row r="30" spans="1:7" s="175" customFormat="1" ht="13.8">
      <c r="A30" s="970" t="s">
        <v>1</v>
      </c>
      <c r="B30" s="957"/>
      <c r="C30" s="953" t="s">
        <v>0</v>
      </c>
      <c r="D30" s="954"/>
      <c r="E30" s="954"/>
      <c r="F30" s="954"/>
      <c r="G30" s="955"/>
    </row>
    <row r="31" spans="1:7" s="175" customFormat="1" ht="56.25" customHeight="1">
      <c r="A31" s="971"/>
      <c r="B31" s="957"/>
      <c r="C31" s="954"/>
      <c r="D31" s="954"/>
      <c r="E31" s="954"/>
      <c r="F31" s="954"/>
      <c r="G31" s="955"/>
    </row>
    <row r="32" spans="1:7" s="175" customFormat="1" ht="17.399999999999999">
      <c r="A32" s="971"/>
      <c r="B32" s="957"/>
      <c r="C32" s="956"/>
      <c r="D32" s="957"/>
      <c r="E32" s="957"/>
      <c r="F32" s="957"/>
      <c r="G32" s="958"/>
    </row>
    <row r="33" spans="1:7" s="175" customFormat="1" ht="13.8">
      <c r="A33" s="971"/>
      <c r="B33" s="957"/>
      <c r="C33" s="959" t="s">
        <v>2</v>
      </c>
      <c r="D33" s="957"/>
      <c r="E33" s="957"/>
      <c r="F33" s="23" t="s">
        <v>3</v>
      </c>
      <c r="G33" s="24" t="s">
        <v>4</v>
      </c>
    </row>
    <row r="34" spans="1:7" s="175" customFormat="1" ht="107.25" customHeight="1">
      <c r="A34" s="1073" t="s">
        <v>1844</v>
      </c>
      <c r="B34" s="944"/>
      <c r="C34" s="980" t="s">
        <v>1845</v>
      </c>
      <c r="D34" s="944"/>
      <c r="E34" s="944"/>
      <c r="F34" s="51" t="s">
        <v>28</v>
      </c>
      <c r="G34" s="52">
        <v>11</v>
      </c>
    </row>
    <row r="35" spans="1:7" s="175" customFormat="1" ht="13.8">
      <c r="A35" s="1071" t="s">
        <v>5</v>
      </c>
      <c r="B35" s="944"/>
      <c r="C35" s="944"/>
      <c r="D35" s="944"/>
      <c r="E35" s="944"/>
      <c r="F35" s="944"/>
      <c r="G35" s="1072"/>
    </row>
    <row r="36" spans="1:7" s="175" customFormat="1" ht="13.8">
      <c r="A36" s="1074" t="s">
        <v>2</v>
      </c>
      <c r="B36" s="944"/>
      <c r="C36" s="53" t="s">
        <v>3</v>
      </c>
      <c r="D36" s="53" t="s">
        <v>4</v>
      </c>
      <c r="E36" s="53" t="s">
        <v>6</v>
      </c>
      <c r="F36" s="53" t="s">
        <v>7</v>
      </c>
      <c r="G36" s="61" t="s">
        <v>8</v>
      </c>
    </row>
    <row r="37" spans="1:7" s="175" customFormat="1" ht="13.8">
      <c r="A37" s="947" t="s">
        <v>9</v>
      </c>
      <c r="B37" s="944"/>
      <c r="C37" s="51" t="s">
        <v>3</v>
      </c>
      <c r="D37" s="51">
        <v>0.05</v>
      </c>
      <c r="E37" s="133">
        <f>G52</f>
        <v>27341</v>
      </c>
      <c r="F37" s="55">
        <f>E37*D37</f>
        <v>1367.0500000000002</v>
      </c>
      <c r="G37" s="57">
        <f>SUM(F36:F37)</f>
        <v>1367.0500000000002</v>
      </c>
    </row>
    <row r="38" spans="1:7" s="175" customFormat="1" ht="13.8">
      <c r="A38" s="1071" t="s">
        <v>10</v>
      </c>
      <c r="B38" s="944"/>
      <c r="C38" s="944"/>
      <c r="D38" s="944"/>
      <c r="E38" s="944"/>
      <c r="F38" s="944"/>
      <c r="G38" s="1072"/>
    </row>
    <row r="39" spans="1:7" s="175" customFormat="1" ht="13.8">
      <c r="A39" s="1074" t="s">
        <v>2</v>
      </c>
      <c r="B39" s="944"/>
      <c r="C39" s="53" t="s">
        <v>3</v>
      </c>
      <c r="D39" s="53" t="s">
        <v>4</v>
      </c>
      <c r="E39" s="53" t="s">
        <v>6</v>
      </c>
      <c r="F39" s="53" t="s">
        <v>11</v>
      </c>
      <c r="G39" s="1075" t="s">
        <v>8</v>
      </c>
    </row>
    <row r="40" spans="1:7" s="175" customFormat="1" ht="13.8">
      <c r="A40" s="947" t="s">
        <v>2434</v>
      </c>
      <c r="B40" s="944"/>
      <c r="C40" s="16" t="s">
        <v>3</v>
      </c>
      <c r="D40" s="16">
        <v>1</v>
      </c>
      <c r="E40" s="17">
        <f>'INSUMOS '!$E$334</f>
        <v>609900</v>
      </c>
      <c r="F40" s="55">
        <f>D40*E40</f>
        <v>609900</v>
      </c>
      <c r="G40" s="1075"/>
    </row>
    <row r="41" spans="1:7" s="175" customFormat="1" ht="13.8">
      <c r="A41" s="947" t="s">
        <v>381</v>
      </c>
      <c r="B41" s="980"/>
      <c r="C41" s="16" t="s">
        <v>3</v>
      </c>
      <c r="D41" s="16">
        <v>1</v>
      </c>
      <c r="E41" s="17">
        <f>'INSUMOS '!$E$47</f>
        <v>4150</v>
      </c>
      <c r="F41" s="55">
        <f>D41*E41</f>
        <v>4150</v>
      </c>
      <c r="G41" s="1075"/>
    </row>
    <row r="42" spans="1:7" s="175" customFormat="1" ht="13.8">
      <c r="A42" s="1015" t="s">
        <v>2435</v>
      </c>
      <c r="B42" s="1016"/>
      <c r="C42" s="16" t="s">
        <v>34</v>
      </c>
      <c r="D42" s="16">
        <v>0.73</v>
      </c>
      <c r="E42" s="17">
        <f>'INSUMOS '!$E$101/40</f>
        <v>1447.5</v>
      </c>
      <c r="F42" s="55">
        <f>D42*E42</f>
        <v>1056.675</v>
      </c>
      <c r="G42" s="1075"/>
    </row>
    <row r="43" spans="1:7" s="175" customFormat="1" ht="13.8">
      <c r="A43" s="947" t="s">
        <v>2432</v>
      </c>
      <c r="B43" s="980"/>
      <c r="C43" s="16" t="s">
        <v>3</v>
      </c>
      <c r="D43" s="16">
        <v>1</v>
      </c>
      <c r="E43" s="17">
        <f>'INSUMOS '!$E$333</f>
        <v>18200</v>
      </c>
      <c r="F43" s="55">
        <f>E43*D43</f>
        <v>18200</v>
      </c>
      <c r="G43" s="1075"/>
    </row>
    <row r="44" spans="1:7" s="175" customFormat="1" ht="13.8">
      <c r="A44" s="947" t="s">
        <v>383</v>
      </c>
      <c r="B44" s="944"/>
      <c r="C44" s="16" t="s">
        <v>3</v>
      </c>
      <c r="D44" s="16">
        <v>1</v>
      </c>
      <c r="E44" s="17">
        <f>'INSUMOS '!$E$33</f>
        <v>30900</v>
      </c>
      <c r="F44" s="55">
        <f>E44*D44</f>
        <v>30900</v>
      </c>
      <c r="G44" s="1075"/>
    </row>
    <row r="45" spans="1:7" s="175" customFormat="1" ht="13.8">
      <c r="A45" s="947" t="s">
        <v>384</v>
      </c>
      <c r="B45" s="944"/>
      <c r="C45" s="16" t="s">
        <v>3</v>
      </c>
      <c r="D45" s="16">
        <v>1</v>
      </c>
      <c r="E45" s="17">
        <f>'INSUMOS '!$E$34</f>
        <v>15000</v>
      </c>
      <c r="F45" s="55">
        <f>E45*D45</f>
        <v>15000</v>
      </c>
      <c r="G45" s="57">
        <f>SUM(F39:F45)</f>
        <v>679206.67500000005</v>
      </c>
    </row>
    <row r="46" spans="1:7" s="175" customFormat="1" ht="13.8">
      <c r="A46" s="1071" t="s">
        <v>15</v>
      </c>
      <c r="B46" s="944"/>
      <c r="C46" s="944"/>
      <c r="D46" s="944"/>
      <c r="E46" s="944"/>
      <c r="F46" s="944"/>
      <c r="G46" s="1072"/>
    </row>
    <row r="47" spans="1:7" s="175" customFormat="1" ht="13.8">
      <c r="A47" s="1074" t="s">
        <v>2</v>
      </c>
      <c r="B47" s="944"/>
      <c r="C47" s="53" t="s">
        <v>3</v>
      </c>
      <c r="D47" s="53" t="s">
        <v>4</v>
      </c>
      <c r="E47" s="53" t="s">
        <v>6</v>
      </c>
      <c r="F47" s="53" t="s">
        <v>11</v>
      </c>
      <c r="G47" s="1075" t="s">
        <v>8</v>
      </c>
    </row>
    <row r="48" spans="1:7" s="175" customFormat="1" ht="13.8">
      <c r="A48" s="943" t="s">
        <v>17</v>
      </c>
      <c r="B48" s="944"/>
      <c r="C48" s="16" t="s">
        <v>3</v>
      </c>
      <c r="D48" s="54">
        <v>3.5000000000000003E-2</v>
      </c>
      <c r="E48" s="17">
        <f>+G45</f>
        <v>679206.67500000005</v>
      </c>
      <c r="F48" s="55">
        <f>E48*D48</f>
        <v>23772.233625000004</v>
      </c>
      <c r="G48" s="1075"/>
    </row>
    <row r="49" spans="1:11" s="175" customFormat="1" ht="13.8">
      <c r="A49" s="943" t="s">
        <v>335</v>
      </c>
      <c r="B49" s="1078"/>
      <c r="C49" s="16" t="s">
        <v>3</v>
      </c>
      <c r="D49" s="54">
        <v>3.5000000000000003E-2</v>
      </c>
      <c r="E49" s="17">
        <f>G37</f>
        <v>1367.0500000000002</v>
      </c>
      <c r="F49" s="55">
        <f>E49*D49</f>
        <v>47.846750000000014</v>
      </c>
      <c r="G49" s="57">
        <f>SUM(F48:F49)</f>
        <v>23820.080375000005</v>
      </c>
    </row>
    <row r="50" spans="1:11" s="175" customFormat="1" ht="13.8">
      <c r="A50" s="1071" t="s">
        <v>19</v>
      </c>
      <c r="B50" s="944"/>
      <c r="C50" s="944"/>
      <c r="D50" s="944"/>
      <c r="E50" s="944"/>
      <c r="F50" s="944"/>
      <c r="G50" s="1072"/>
    </row>
    <row r="51" spans="1:11" s="175" customFormat="1" ht="13.8">
      <c r="A51" s="1074" t="s">
        <v>2</v>
      </c>
      <c r="B51" s="944"/>
      <c r="C51" s="53" t="s">
        <v>3</v>
      </c>
      <c r="D51" s="53" t="s">
        <v>4</v>
      </c>
      <c r="E51" s="53" t="s">
        <v>6</v>
      </c>
      <c r="F51" s="53" t="s">
        <v>11</v>
      </c>
      <c r="G51" s="61" t="s">
        <v>8</v>
      </c>
    </row>
    <row r="52" spans="1:11" s="175" customFormat="1" ht="13.8">
      <c r="A52" s="978" t="str">
        <f>SALARIOS!$A$69</f>
        <v>CUADRILLA BB INSTALACIONES 1:1</v>
      </c>
      <c r="B52" s="979"/>
      <c r="C52" s="13" t="s">
        <v>1245</v>
      </c>
      <c r="D52" s="32">
        <v>1</v>
      </c>
      <c r="E52" s="13">
        <f>SALARIOS!$C$69</f>
        <v>27341</v>
      </c>
      <c r="F52" s="55">
        <f>+D52*E52</f>
        <v>27341</v>
      </c>
      <c r="G52" s="57">
        <f>SUM(F51:F52)</f>
        <v>27341</v>
      </c>
    </row>
    <row r="53" spans="1:11" s="175" customFormat="1" ht="13.8">
      <c r="A53" s="1076" t="s">
        <v>25</v>
      </c>
      <c r="B53" s="944"/>
      <c r="C53" s="944"/>
      <c r="D53" s="944"/>
      <c r="E53" s="944"/>
      <c r="F53" s="944"/>
      <c r="G53" s="1072"/>
    </row>
    <row r="54" spans="1:11" s="175" customFormat="1" ht="17.399999999999999">
      <c r="A54" s="1077"/>
      <c r="B54" s="944"/>
      <c r="C54" s="944"/>
      <c r="D54" s="944"/>
      <c r="E54" s="944"/>
      <c r="F54" s="944"/>
      <c r="G54" s="62">
        <f>G52+G49+G45+G37</f>
        <v>731734.80537500011</v>
      </c>
    </row>
    <row r="55" spans="1:11" s="175" customFormat="1">
      <c r="A55"/>
      <c r="B55"/>
      <c r="C55"/>
      <c r="D55"/>
      <c r="E55"/>
      <c r="F55"/>
      <c r="G55"/>
      <c r="I55" s="2"/>
      <c r="J55" s="2"/>
      <c r="K55" s="2"/>
    </row>
    <row r="56" spans="1:11" s="175" customFormat="1" ht="13.8">
      <c r="A56" s="970" t="s">
        <v>1</v>
      </c>
      <c r="B56" s="957"/>
      <c r="C56" s="953" t="s">
        <v>0</v>
      </c>
      <c r="D56" s="954"/>
      <c r="E56" s="954"/>
      <c r="F56" s="954"/>
      <c r="G56" s="955"/>
    </row>
    <row r="57" spans="1:11" s="175" customFormat="1" ht="56.25" customHeight="1">
      <c r="A57" s="971"/>
      <c r="B57" s="957"/>
      <c r="C57" s="954"/>
      <c r="D57" s="954"/>
      <c r="E57" s="954"/>
      <c r="F57" s="954"/>
      <c r="G57" s="955"/>
    </row>
    <row r="58" spans="1:11" s="175" customFormat="1" ht="17.399999999999999">
      <c r="A58" s="971"/>
      <c r="B58" s="957"/>
      <c r="C58" s="956"/>
      <c r="D58" s="957"/>
      <c r="E58" s="957"/>
      <c r="F58" s="957"/>
      <c r="G58" s="958"/>
    </row>
    <row r="59" spans="1:11" s="175" customFormat="1" ht="13.8">
      <c r="A59" s="971"/>
      <c r="B59" s="957"/>
      <c r="C59" s="959" t="s">
        <v>2</v>
      </c>
      <c r="D59" s="957"/>
      <c r="E59" s="957"/>
      <c r="F59" s="23" t="s">
        <v>3</v>
      </c>
      <c r="G59" s="24" t="s">
        <v>4</v>
      </c>
    </row>
    <row r="60" spans="1:11" s="175" customFormat="1" ht="107.25" customHeight="1">
      <c r="A60" s="1073" t="s">
        <v>1846</v>
      </c>
      <c r="B60" s="944"/>
      <c r="C60" s="980" t="s">
        <v>1847</v>
      </c>
      <c r="D60" s="944"/>
      <c r="E60" s="944"/>
      <c r="F60" s="51" t="s">
        <v>28</v>
      </c>
      <c r="G60" s="52">
        <v>11</v>
      </c>
    </row>
    <row r="61" spans="1:11" s="175" customFormat="1" ht="13.8">
      <c r="A61" s="1071" t="s">
        <v>5</v>
      </c>
      <c r="B61" s="944"/>
      <c r="C61" s="944"/>
      <c r="D61" s="944"/>
      <c r="E61" s="944"/>
      <c r="F61" s="944"/>
      <c r="G61" s="1072"/>
    </row>
    <row r="62" spans="1:11" s="175" customFormat="1" ht="13.8">
      <c r="A62" s="1074" t="s">
        <v>2</v>
      </c>
      <c r="B62" s="944"/>
      <c r="C62" s="53" t="s">
        <v>3</v>
      </c>
      <c r="D62" s="53" t="s">
        <v>4</v>
      </c>
      <c r="E62" s="53" t="s">
        <v>6</v>
      </c>
      <c r="F62" s="53" t="s">
        <v>7</v>
      </c>
      <c r="G62" s="61" t="s">
        <v>8</v>
      </c>
    </row>
    <row r="63" spans="1:11" s="175" customFormat="1" ht="13.8">
      <c r="A63" s="947" t="s">
        <v>9</v>
      </c>
      <c r="B63" s="944"/>
      <c r="C63" s="51" t="s">
        <v>3</v>
      </c>
      <c r="D63" s="51">
        <v>0.05</v>
      </c>
      <c r="E63" s="133">
        <f>G78</f>
        <v>27341</v>
      </c>
      <c r="F63" s="55">
        <f>E63*D63</f>
        <v>1367.0500000000002</v>
      </c>
      <c r="G63" s="57">
        <f>SUM(F62:F63)</f>
        <v>1367.0500000000002</v>
      </c>
    </row>
    <row r="64" spans="1:11" s="175" customFormat="1" ht="13.8">
      <c r="A64" s="1071" t="s">
        <v>10</v>
      </c>
      <c r="B64" s="944"/>
      <c r="C64" s="944"/>
      <c r="D64" s="944"/>
      <c r="E64" s="944"/>
      <c r="F64" s="944"/>
      <c r="G64" s="1072"/>
    </row>
    <row r="65" spans="1:7" s="175" customFormat="1" ht="13.8">
      <c r="A65" s="1074" t="s">
        <v>2</v>
      </c>
      <c r="B65" s="944"/>
      <c r="C65" s="53" t="s">
        <v>3</v>
      </c>
      <c r="D65" s="53" t="s">
        <v>4</v>
      </c>
      <c r="E65" s="53" t="s">
        <v>6</v>
      </c>
      <c r="F65" s="53" t="s">
        <v>11</v>
      </c>
      <c r="G65" s="1075" t="s">
        <v>8</v>
      </c>
    </row>
    <row r="66" spans="1:7" s="175" customFormat="1" ht="13.8">
      <c r="A66" s="947" t="s">
        <v>2439</v>
      </c>
      <c r="B66" s="944"/>
      <c r="C66" s="16" t="s">
        <v>3</v>
      </c>
      <c r="D66" s="16">
        <v>1</v>
      </c>
      <c r="E66" s="17">
        <f>'INSUMOS '!E335</f>
        <v>520700</v>
      </c>
      <c r="F66" s="55">
        <f>D66*E66</f>
        <v>520700</v>
      </c>
      <c r="G66" s="1075"/>
    </row>
    <row r="67" spans="1:7" s="175" customFormat="1" ht="13.8">
      <c r="A67" s="947" t="s">
        <v>381</v>
      </c>
      <c r="B67" s="980"/>
      <c r="C67" s="16" t="s">
        <v>3</v>
      </c>
      <c r="D67" s="16">
        <v>1</v>
      </c>
      <c r="E67" s="17">
        <f>'INSUMOS '!$E$47</f>
        <v>4150</v>
      </c>
      <c r="F67" s="55">
        <f>D67*E67</f>
        <v>4150</v>
      </c>
      <c r="G67" s="1075"/>
    </row>
    <row r="68" spans="1:7" s="175" customFormat="1" ht="13.8">
      <c r="A68" s="1015" t="s">
        <v>2435</v>
      </c>
      <c r="B68" s="1016"/>
      <c r="C68" s="16" t="s">
        <v>34</v>
      </c>
      <c r="D68" s="16">
        <v>0.73</v>
      </c>
      <c r="E68" s="17">
        <f>'INSUMOS '!$E$101/40</f>
        <v>1447.5</v>
      </c>
      <c r="F68" s="55">
        <f>D68*E68</f>
        <v>1056.675</v>
      </c>
      <c r="G68" s="1075"/>
    </row>
    <row r="69" spans="1:7" s="175" customFormat="1" ht="13.8">
      <c r="A69" s="947" t="s">
        <v>2432</v>
      </c>
      <c r="B69" s="980"/>
      <c r="C69" s="16" t="s">
        <v>3</v>
      </c>
      <c r="D69" s="16">
        <v>1</v>
      </c>
      <c r="E69" s="17">
        <f>'INSUMOS '!$E$333</f>
        <v>18200</v>
      </c>
      <c r="F69" s="55">
        <f>E69*D69</f>
        <v>18200</v>
      </c>
      <c r="G69" s="1075"/>
    </row>
    <row r="70" spans="1:7" s="175" customFormat="1" ht="13.8">
      <c r="A70" s="947" t="s">
        <v>383</v>
      </c>
      <c r="B70" s="944"/>
      <c r="C70" s="16" t="s">
        <v>3</v>
      </c>
      <c r="D70" s="16">
        <v>1</v>
      </c>
      <c r="E70" s="17">
        <f>'INSUMOS '!$E$33</f>
        <v>30900</v>
      </c>
      <c r="F70" s="55">
        <f>E70*D70</f>
        <v>30900</v>
      </c>
      <c r="G70" s="1075"/>
    </row>
    <row r="71" spans="1:7" s="175" customFormat="1" ht="13.8">
      <c r="A71" s="947" t="s">
        <v>384</v>
      </c>
      <c r="B71" s="944"/>
      <c r="C71" s="16" t="s">
        <v>3</v>
      </c>
      <c r="D71" s="16">
        <v>1</v>
      </c>
      <c r="E71" s="17">
        <f>'INSUMOS '!$E$34</f>
        <v>15000</v>
      </c>
      <c r="F71" s="55">
        <f>E71*D71</f>
        <v>15000</v>
      </c>
      <c r="G71" s="57">
        <f>SUM(F65:F71)</f>
        <v>590006.67500000005</v>
      </c>
    </row>
    <row r="72" spans="1:7" s="175" customFormat="1" ht="13.8">
      <c r="A72" s="1071" t="s">
        <v>15</v>
      </c>
      <c r="B72" s="944"/>
      <c r="C72" s="944"/>
      <c r="D72" s="944"/>
      <c r="E72" s="944"/>
      <c r="F72" s="944"/>
      <c r="G72" s="1072"/>
    </row>
    <row r="73" spans="1:7" s="175" customFormat="1" ht="13.8">
      <c r="A73" s="1074" t="s">
        <v>2</v>
      </c>
      <c r="B73" s="944"/>
      <c r="C73" s="53" t="s">
        <v>3</v>
      </c>
      <c r="D73" s="53" t="s">
        <v>4</v>
      </c>
      <c r="E73" s="53" t="s">
        <v>6</v>
      </c>
      <c r="F73" s="53" t="s">
        <v>11</v>
      </c>
      <c r="G73" s="1075" t="s">
        <v>8</v>
      </c>
    </row>
    <row r="74" spans="1:7" s="175" customFormat="1" ht="13.8">
      <c r="A74" s="943" t="s">
        <v>17</v>
      </c>
      <c r="B74" s="944"/>
      <c r="C74" s="16" t="s">
        <v>3</v>
      </c>
      <c r="D74" s="54">
        <v>3.5000000000000003E-2</v>
      </c>
      <c r="E74" s="17">
        <f>+G71</f>
        <v>590006.67500000005</v>
      </c>
      <c r="F74" s="55">
        <f>E74*D74</f>
        <v>20650.233625000004</v>
      </c>
      <c r="G74" s="1075"/>
    </row>
    <row r="75" spans="1:7" s="175" customFormat="1" ht="13.8">
      <c r="A75" s="943" t="s">
        <v>335</v>
      </c>
      <c r="B75" s="1078"/>
      <c r="C75" s="16" t="s">
        <v>3</v>
      </c>
      <c r="D75" s="54">
        <v>3.5000000000000003E-2</v>
      </c>
      <c r="E75" s="17">
        <f>G63</f>
        <v>1367.0500000000002</v>
      </c>
      <c r="F75" s="55">
        <f>E75*D75</f>
        <v>47.846750000000014</v>
      </c>
      <c r="G75" s="57">
        <f>SUM(F74:F75)</f>
        <v>20698.080375000005</v>
      </c>
    </row>
    <row r="76" spans="1:7" s="175" customFormat="1" ht="13.8">
      <c r="A76" s="1071" t="s">
        <v>19</v>
      </c>
      <c r="B76" s="944"/>
      <c r="C76" s="944"/>
      <c r="D76" s="944"/>
      <c r="E76" s="944"/>
      <c r="F76" s="944"/>
      <c r="G76" s="1072"/>
    </row>
    <row r="77" spans="1:7" s="175" customFormat="1" ht="13.8">
      <c r="A77" s="1074" t="s">
        <v>2</v>
      </c>
      <c r="B77" s="944"/>
      <c r="C77" s="53" t="s">
        <v>3</v>
      </c>
      <c r="D77" s="53" t="s">
        <v>4</v>
      </c>
      <c r="E77" s="53" t="s">
        <v>6</v>
      </c>
      <c r="F77" s="53" t="s">
        <v>11</v>
      </c>
      <c r="G77" s="61" t="s">
        <v>8</v>
      </c>
    </row>
    <row r="78" spans="1:7" s="175" customFormat="1" ht="13.8">
      <c r="A78" s="978" t="str">
        <f>SALARIOS!$A$69</f>
        <v>CUADRILLA BB INSTALACIONES 1:1</v>
      </c>
      <c r="B78" s="979"/>
      <c r="C78" s="13" t="s">
        <v>1245</v>
      </c>
      <c r="D78" s="32">
        <v>1</v>
      </c>
      <c r="E78" s="13">
        <f>SALARIOS!$C$69</f>
        <v>27341</v>
      </c>
      <c r="F78" s="55">
        <f>+D78*E78</f>
        <v>27341</v>
      </c>
      <c r="G78" s="57">
        <f>SUM(F77:F78)</f>
        <v>27341</v>
      </c>
    </row>
    <row r="79" spans="1:7" s="175" customFormat="1" ht="13.8">
      <c r="A79" s="1076" t="s">
        <v>25</v>
      </c>
      <c r="B79" s="944"/>
      <c r="C79" s="944"/>
      <c r="D79" s="944"/>
      <c r="E79" s="944"/>
      <c r="F79" s="944"/>
      <c r="G79" s="1072"/>
    </row>
    <row r="80" spans="1:7" s="175" customFormat="1" ht="17.399999999999999">
      <c r="A80" s="1077"/>
      <c r="B80" s="944"/>
      <c r="C80" s="944"/>
      <c r="D80" s="944"/>
      <c r="E80" s="944"/>
      <c r="F80" s="944"/>
      <c r="G80" s="62">
        <f>G78+G75+G71+G63</f>
        <v>639412.80537500011</v>
      </c>
    </row>
    <row r="81" spans="1:11">
      <c r="I81" s="2"/>
      <c r="J81" s="2"/>
      <c r="K81" s="2"/>
    </row>
    <row r="82" spans="1:11" s="175" customFormat="1" ht="13.8">
      <c r="A82" s="970" t="s">
        <v>1</v>
      </c>
      <c r="B82" s="957"/>
      <c r="C82" s="953" t="s">
        <v>0</v>
      </c>
      <c r="D82" s="954"/>
      <c r="E82" s="954"/>
      <c r="F82" s="954"/>
      <c r="G82" s="955"/>
    </row>
    <row r="83" spans="1:11" s="175" customFormat="1" ht="56.25" customHeight="1">
      <c r="A83" s="971"/>
      <c r="B83" s="957"/>
      <c r="C83" s="954"/>
      <c r="D83" s="954"/>
      <c r="E83" s="954"/>
      <c r="F83" s="954"/>
      <c r="G83" s="955"/>
    </row>
    <row r="84" spans="1:11" s="175" customFormat="1" ht="17.399999999999999">
      <c r="A84" s="971"/>
      <c r="B84" s="957"/>
      <c r="C84" s="956"/>
      <c r="D84" s="957"/>
      <c r="E84" s="957"/>
      <c r="F84" s="957"/>
      <c r="G84" s="958"/>
    </row>
    <row r="85" spans="1:11" s="175" customFormat="1" ht="13.8">
      <c r="A85" s="971"/>
      <c r="B85" s="957"/>
      <c r="C85" s="959" t="s">
        <v>2</v>
      </c>
      <c r="D85" s="957"/>
      <c r="E85" s="957"/>
      <c r="F85" s="23" t="s">
        <v>3</v>
      </c>
      <c r="G85" s="24" t="s">
        <v>4</v>
      </c>
    </row>
    <row r="86" spans="1:11" s="175" customFormat="1" ht="74.25" customHeight="1">
      <c r="A86" s="1073" t="s">
        <v>1848</v>
      </c>
      <c r="B86" s="944"/>
      <c r="C86" s="980" t="s">
        <v>1849</v>
      </c>
      <c r="D86" s="944"/>
      <c r="E86" s="944"/>
      <c r="F86" s="51" t="s">
        <v>28</v>
      </c>
      <c r="G86" s="52">
        <v>11</v>
      </c>
    </row>
    <row r="87" spans="1:11" s="175" customFormat="1" ht="13.8">
      <c r="A87" s="1071" t="s">
        <v>5</v>
      </c>
      <c r="B87" s="944"/>
      <c r="C87" s="944"/>
      <c r="D87" s="944"/>
      <c r="E87" s="944"/>
      <c r="F87" s="944"/>
      <c r="G87" s="1072"/>
    </row>
    <row r="88" spans="1:11" s="175" customFormat="1" ht="13.8">
      <c r="A88" s="1074" t="s">
        <v>2</v>
      </c>
      <c r="B88" s="944"/>
      <c r="C88" s="53" t="s">
        <v>3</v>
      </c>
      <c r="D88" s="53" t="s">
        <v>4</v>
      </c>
      <c r="E88" s="53" t="s">
        <v>6</v>
      </c>
      <c r="F88" s="53" t="s">
        <v>7</v>
      </c>
      <c r="G88" s="61" t="s">
        <v>8</v>
      </c>
    </row>
    <row r="89" spans="1:11" s="175" customFormat="1" ht="13.8">
      <c r="A89" s="947" t="s">
        <v>9</v>
      </c>
      <c r="B89" s="944"/>
      <c r="C89" s="51" t="s">
        <v>3</v>
      </c>
      <c r="D89" s="51">
        <v>0.05</v>
      </c>
      <c r="E89" s="133">
        <f>G102</f>
        <v>27341</v>
      </c>
      <c r="F89" s="55">
        <f>E89*D89</f>
        <v>1367.0500000000002</v>
      </c>
      <c r="G89" s="57">
        <f>SUM(F88:F89)</f>
        <v>1367.0500000000002</v>
      </c>
    </row>
    <row r="90" spans="1:11" s="175" customFormat="1" ht="13.8">
      <c r="A90" s="1071" t="s">
        <v>10</v>
      </c>
      <c r="B90" s="944"/>
      <c r="C90" s="944"/>
      <c r="D90" s="944"/>
      <c r="E90" s="944"/>
      <c r="F90" s="944"/>
      <c r="G90" s="1072"/>
    </row>
    <row r="91" spans="1:11" s="175" customFormat="1" ht="13.8">
      <c r="A91" s="1074" t="s">
        <v>2</v>
      </c>
      <c r="B91" s="944"/>
      <c r="C91" s="53" t="s">
        <v>3</v>
      </c>
      <c r="D91" s="53" t="s">
        <v>4</v>
      </c>
      <c r="E91" s="53" t="s">
        <v>6</v>
      </c>
      <c r="F91" s="53" t="s">
        <v>11</v>
      </c>
      <c r="G91" s="1075" t="s">
        <v>8</v>
      </c>
    </row>
    <row r="92" spans="1:11" s="175" customFormat="1" ht="13.8">
      <c r="A92" s="947" t="s">
        <v>2445</v>
      </c>
      <c r="B92" s="944"/>
      <c r="C92" s="16" t="s">
        <v>3</v>
      </c>
      <c r="D92" s="16">
        <v>1</v>
      </c>
      <c r="E92" s="17">
        <f>'INSUMOS '!E336</f>
        <v>510200</v>
      </c>
      <c r="F92" s="55">
        <f>D92*E92</f>
        <v>510200</v>
      </c>
      <c r="G92" s="1075"/>
    </row>
    <row r="93" spans="1:11" s="175" customFormat="1" ht="13.8">
      <c r="A93" s="947" t="s">
        <v>381</v>
      </c>
      <c r="B93" s="980"/>
      <c r="C93" s="16" t="s">
        <v>3</v>
      </c>
      <c r="D93" s="16">
        <v>1</v>
      </c>
      <c r="E93" s="17">
        <f>'INSUMOS '!$E$47</f>
        <v>4150</v>
      </c>
      <c r="F93" s="55">
        <f>D93*E93</f>
        <v>4150</v>
      </c>
      <c r="G93" s="1075"/>
    </row>
    <row r="94" spans="1:11" s="175" customFormat="1" ht="13.8">
      <c r="A94" s="1015" t="s">
        <v>2435</v>
      </c>
      <c r="B94" s="1016"/>
      <c r="C94" s="16" t="s">
        <v>34</v>
      </c>
      <c r="D94" s="16">
        <v>0.73</v>
      </c>
      <c r="E94" s="17">
        <f>'INSUMOS '!$E$101/40</f>
        <v>1447.5</v>
      </c>
      <c r="F94" s="55">
        <f>D94*E94</f>
        <v>1056.675</v>
      </c>
      <c r="G94" s="1075"/>
    </row>
    <row r="95" spans="1:11" s="175" customFormat="1" ht="13.8">
      <c r="A95" s="947" t="s">
        <v>2442</v>
      </c>
      <c r="B95" s="944"/>
      <c r="C95" s="16" t="s">
        <v>3</v>
      </c>
      <c r="D95" s="16">
        <v>1</v>
      </c>
      <c r="E95" s="17">
        <f>'INSUMOS '!E337</f>
        <v>20300</v>
      </c>
      <c r="F95" s="55">
        <f>E95*D95</f>
        <v>20300</v>
      </c>
      <c r="G95" s="57">
        <f>SUM(F91:F95)</f>
        <v>535706.67500000005</v>
      </c>
    </row>
    <row r="96" spans="1:11" s="175" customFormat="1" ht="13.8">
      <c r="A96" s="1071" t="s">
        <v>15</v>
      </c>
      <c r="B96" s="944"/>
      <c r="C96" s="944"/>
      <c r="D96" s="944"/>
      <c r="E96" s="944"/>
      <c r="F96" s="944"/>
      <c r="G96" s="1072"/>
    </row>
    <row r="97" spans="1:11" s="175" customFormat="1" ht="13.8">
      <c r="A97" s="1074" t="s">
        <v>2</v>
      </c>
      <c r="B97" s="944"/>
      <c r="C97" s="53" t="s">
        <v>3</v>
      </c>
      <c r="D97" s="53" t="s">
        <v>4</v>
      </c>
      <c r="E97" s="53" t="s">
        <v>6</v>
      </c>
      <c r="F97" s="53" t="s">
        <v>11</v>
      </c>
      <c r="G97" s="1075" t="s">
        <v>8</v>
      </c>
    </row>
    <row r="98" spans="1:11" s="175" customFormat="1" ht="13.8">
      <c r="A98" s="943" t="s">
        <v>17</v>
      </c>
      <c r="B98" s="944"/>
      <c r="C98" s="16" t="s">
        <v>3</v>
      </c>
      <c r="D98" s="54">
        <v>3.5000000000000003E-2</v>
      </c>
      <c r="E98" s="17">
        <f>+G95</f>
        <v>535706.67500000005</v>
      </c>
      <c r="F98" s="55">
        <f>E98*D98</f>
        <v>18749.733625000004</v>
      </c>
      <c r="G98" s="1075"/>
    </row>
    <row r="99" spans="1:11" s="175" customFormat="1" ht="13.8">
      <c r="A99" s="943" t="s">
        <v>335</v>
      </c>
      <c r="B99" s="1078"/>
      <c r="C99" s="16" t="s">
        <v>3</v>
      </c>
      <c r="D99" s="54">
        <v>3.5000000000000003E-2</v>
      </c>
      <c r="E99" s="17">
        <f>G89</f>
        <v>1367.0500000000002</v>
      </c>
      <c r="F99" s="55">
        <f>E99*D99</f>
        <v>47.846750000000014</v>
      </c>
      <c r="G99" s="57">
        <f>SUM(F98:F99)</f>
        <v>18797.580375000005</v>
      </c>
    </row>
    <row r="100" spans="1:11" s="175" customFormat="1" ht="13.8">
      <c r="A100" s="1071" t="s">
        <v>19</v>
      </c>
      <c r="B100" s="944"/>
      <c r="C100" s="944"/>
      <c r="D100" s="944"/>
      <c r="E100" s="944"/>
      <c r="F100" s="944"/>
      <c r="G100" s="1072"/>
    </row>
    <row r="101" spans="1:11" s="175" customFormat="1" ht="13.8">
      <c r="A101" s="1074" t="s">
        <v>2</v>
      </c>
      <c r="B101" s="944"/>
      <c r="C101" s="53" t="s">
        <v>3</v>
      </c>
      <c r="D101" s="53" t="s">
        <v>4</v>
      </c>
      <c r="E101" s="53" t="s">
        <v>6</v>
      </c>
      <c r="F101" s="53" t="s">
        <v>11</v>
      </c>
      <c r="G101" s="61" t="s">
        <v>8</v>
      </c>
    </row>
    <row r="102" spans="1:11" s="175" customFormat="1" ht="13.8">
      <c r="A102" s="978" t="str">
        <f>SALARIOS!$A$69</f>
        <v>CUADRILLA BB INSTALACIONES 1:1</v>
      </c>
      <c r="B102" s="979"/>
      <c r="C102" s="13" t="s">
        <v>1245</v>
      </c>
      <c r="D102" s="32">
        <v>1</v>
      </c>
      <c r="E102" s="13">
        <f>SALARIOS!$C$69</f>
        <v>27341</v>
      </c>
      <c r="F102" s="55">
        <f>+D102*E102</f>
        <v>27341</v>
      </c>
      <c r="G102" s="57">
        <f>SUM(F101:F102)</f>
        <v>27341</v>
      </c>
    </row>
    <row r="103" spans="1:11" s="175" customFormat="1" ht="13.8">
      <c r="A103" s="1076" t="s">
        <v>25</v>
      </c>
      <c r="B103" s="944"/>
      <c r="C103" s="944"/>
      <c r="D103" s="944"/>
      <c r="E103" s="944"/>
      <c r="F103" s="944"/>
      <c r="G103" s="1072"/>
    </row>
    <row r="104" spans="1:11" s="175" customFormat="1" ht="17.399999999999999">
      <c r="A104" s="1077"/>
      <c r="B104" s="944"/>
      <c r="C104" s="944"/>
      <c r="D104" s="944"/>
      <c r="E104" s="944"/>
      <c r="F104" s="944"/>
      <c r="G104" s="62">
        <f>G102+G99+G95+G89</f>
        <v>583212.30537500011</v>
      </c>
    </row>
    <row r="105" spans="1:11">
      <c r="I105" s="2"/>
      <c r="J105" s="2"/>
      <c r="K105" s="2"/>
    </row>
    <row r="106" spans="1:11" s="2" customFormat="1" ht="15.75" customHeight="1">
      <c r="A106" s="970" t="s">
        <v>1</v>
      </c>
      <c r="B106" s="957"/>
      <c r="C106" s="953" t="s">
        <v>0</v>
      </c>
      <c r="D106" s="954"/>
      <c r="E106" s="954"/>
      <c r="F106" s="954"/>
      <c r="G106" s="955"/>
    </row>
    <row r="107" spans="1:11" s="2" customFormat="1" ht="68.25" customHeight="1">
      <c r="A107" s="971"/>
      <c r="B107" s="957"/>
      <c r="C107" s="954"/>
      <c r="D107" s="954"/>
      <c r="E107" s="954"/>
      <c r="F107" s="954"/>
      <c r="G107" s="955"/>
    </row>
    <row r="108" spans="1:11" s="2" customFormat="1" ht="15.75" customHeight="1">
      <c r="A108" s="971"/>
      <c r="B108" s="957"/>
      <c r="C108" s="956"/>
      <c r="D108" s="957"/>
      <c r="E108" s="957"/>
      <c r="F108" s="957"/>
      <c r="G108" s="958"/>
    </row>
    <row r="109" spans="1:11" s="2" customFormat="1" ht="26.25" customHeight="1">
      <c r="A109" s="971"/>
      <c r="B109" s="957"/>
      <c r="C109" s="959" t="s">
        <v>2</v>
      </c>
      <c r="D109" s="957"/>
      <c r="E109" s="957"/>
      <c r="F109" s="23" t="s">
        <v>3</v>
      </c>
      <c r="G109" s="24" t="s">
        <v>4</v>
      </c>
    </row>
    <row r="110" spans="1:11" s="2" customFormat="1" ht="60.75" customHeight="1">
      <c r="A110" s="1073" t="s">
        <v>378</v>
      </c>
      <c r="B110" s="944"/>
      <c r="C110" s="980" t="s">
        <v>379</v>
      </c>
      <c r="D110" s="944"/>
      <c r="E110" s="944"/>
      <c r="F110" s="51" t="s">
        <v>28</v>
      </c>
      <c r="G110" s="52">
        <v>11</v>
      </c>
    </row>
    <row r="111" spans="1:11" s="2" customFormat="1" ht="15.75" customHeight="1">
      <c r="A111" s="1071" t="s">
        <v>5</v>
      </c>
      <c r="B111" s="944"/>
      <c r="C111" s="944"/>
      <c r="D111" s="944"/>
      <c r="E111" s="944"/>
      <c r="F111" s="944"/>
      <c r="G111" s="1072"/>
    </row>
    <row r="112" spans="1:11" s="2" customFormat="1" ht="15.75" customHeight="1">
      <c r="A112" s="1074" t="s">
        <v>2</v>
      </c>
      <c r="B112" s="944"/>
      <c r="C112" s="53" t="s">
        <v>3</v>
      </c>
      <c r="D112" s="53" t="s">
        <v>4</v>
      </c>
      <c r="E112" s="53" t="s">
        <v>6</v>
      </c>
      <c r="F112" s="53" t="s">
        <v>7</v>
      </c>
      <c r="G112" s="61" t="s">
        <v>8</v>
      </c>
    </row>
    <row r="113" spans="1:11" s="2" customFormat="1" ht="13.8">
      <c r="A113" s="947" t="s">
        <v>9</v>
      </c>
      <c r="B113" s="944"/>
      <c r="C113" s="51" t="s">
        <v>3</v>
      </c>
      <c r="D113" s="51">
        <v>0.05</v>
      </c>
      <c r="E113" s="133">
        <f>G127</f>
        <v>27341</v>
      </c>
      <c r="F113" s="55">
        <f>E113*D113</f>
        <v>1367.0500000000002</v>
      </c>
      <c r="G113" s="57">
        <f>SUM(F112:F113)</f>
        <v>1367.0500000000002</v>
      </c>
    </row>
    <row r="114" spans="1:11" s="2" customFormat="1" ht="15.75" customHeight="1">
      <c r="A114" s="1071" t="s">
        <v>10</v>
      </c>
      <c r="B114" s="944"/>
      <c r="C114" s="944"/>
      <c r="D114" s="944"/>
      <c r="E114" s="944"/>
      <c r="F114" s="944"/>
      <c r="G114" s="1072"/>
    </row>
    <row r="115" spans="1:11" s="2" customFormat="1" ht="15.75" customHeight="1">
      <c r="A115" s="1074" t="s">
        <v>2</v>
      </c>
      <c r="B115" s="944"/>
      <c r="C115" s="53" t="s">
        <v>3</v>
      </c>
      <c r="D115" s="53" t="s">
        <v>4</v>
      </c>
      <c r="E115" s="53" t="s">
        <v>6</v>
      </c>
      <c r="F115" s="53" t="s">
        <v>11</v>
      </c>
      <c r="G115" s="1075" t="s">
        <v>8</v>
      </c>
    </row>
    <row r="116" spans="1:11" s="2" customFormat="1" ht="13.8">
      <c r="A116" s="947" t="s">
        <v>380</v>
      </c>
      <c r="B116" s="944"/>
      <c r="C116" s="16" t="s">
        <v>3</v>
      </c>
      <c r="D116" s="16">
        <v>1</v>
      </c>
      <c r="E116" s="17">
        <f>'INSUMOS '!E331</f>
        <v>75600</v>
      </c>
      <c r="F116" s="55">
        <f>D116*E116</f>
        <v>75600</v>
      </c>
      <c r="G116" s="1075"/>
    </row>
    <row r="117" spans="1:11" s="2" customFormat="1" ht="13.8">
      <c r="A117" s="947" t="s">
        <v>381</v>
      </c>
      <c r="B117" s="980"/>
      <c r="C117" s="16" t="s">
        <v>3</v>
      </c>
      <c r="D117" s="16">
        <v>1</v>
      </c>
      <c r="E117" s="17">
        <f>'INSUMOS '!E102</f>
        <v>27650</v>
      </c>
      <c r="F117" s="55">
        <f>D117*E117</f>
        <v>27650</v>
      </c>
      <c r="G117" s="1075"/>
    </row>
    <row r="118" spans="1:11" s="2" customFormat="1" ht="15.75" customHeight="1">
      <c r="A118" s="947" t="s">
        <v>382</v>
      </c>
      <c r="B118" s="980"/>
      <c r="C118" s="16" t="s">
        <v>3</v>
      </c>
      <c r="D118" s="16">
        <v>1</v>
      </c>
      <c r="E118" s="17">
        <f>'INSUMOS '!E103</f>
        <v>47900</v>
      </c>
      <c r="F118" s="55">
        <f>E118*D118</f>
        <v>47900</v>
      </c>
      <c r="G118" s="1075"/>
    </row>
    <row r="119" spans="1:11" s="2" customFormat="1" ht="15.75" customHeight="1">
      <c r="A119" s="947" t="s">
        <v>383</v>
      </c>
      <c r="B119" s="944"/>
      <c r="C119" s="16" t="s">
        <v>3</v>
      </c>
      <c r="D119" s="16">
        <v>1</v>
      </c>
      <c r="E119" s="17">
        <f>'INSUMOS '!E33</f>
        <v>30900</v>
      </c>
      <c r="F119" s="55">
        <f>E119*D119</f>
        <v>30900</v>
      </c>
      <c r="G119" s="1075"/>
    </row>
    <row r="120" spans="1:11" s="2" customFormat="1" ht="15.75" customHeight="1">
      <c r="A120" s="947" t="s">
        <v>384</v>
      </c>
      <c r="B120" s="944"/>
      <c r="C120" s="16" t="s">
        <v>3</v>
      </c>
      <c r="D120" s="16">
        <v>1</v>
      </c>
      <c r="E120" s="17">
        <f>'INSUMOS '!E34</f>
        <v>15000</v>
      </c>
      <c r="F120" s="55">
        <f>E120*D120</f>
        <v>15000</v>
      </c>
      <c r="G120" s="57">
        <f>SUM(F115:F120)</f>
        <v>197050</v>
      </c>
    </row>
    <row r="121" spans="1:11" s="2" customFormat="1" ht="13.8">
      <c r="A121" s="1071" t="s">
        <v>15</v>
      </c>
      <c r="B121" s="944"/>
      <c r="C121" s="944"/>
      <c r="D121" s="944"/>
      <c r="E121" s="944"/>
      <c r="F121" s="944"/>
      <c r="G121" s="1072"/>
    </row>
    <row r="122" spans="1:11" s="2" customFormat="1" ht="15.75" customHeight="1">
      <c r="A122" s="1074" t="s">
        <v>2</v>
      </c>
      <c r="B122" s="944"/>
      <c r="C122" s="53" t="s">
        <v>3</v>
      </c>
      <c r="D122" s="53" t="s">
        <v>4</v>
      </c>
      <c r="E122" s="53" t="s">
        <v>6</v>
      </c>
      <c r="F122" s="53" t="s">
        <v>11</v>
      </c>
      <c r="G122" s="1075" t="s">
        <v>8</v>
      </c>
    </row>
    <row r="123" spans="1:11" s="2" customFormat="1" ht="15.75" customHeight="1">
      <c r="A123" s="943" t="s">
        <v>17</v>
      </c>
      <c r="B123" s="944"/>
      <c r="C123" s="16" t="s">
        <v>3</v>
      </c>
      <c r="D123" s="54">
        <v>3.5000000000000003E-2</v>
      </c>
      <c r="E123" s="17">
        <f>+G120</f>
        <v>197050</v>
      </c>
      <c r="F123" s="55">
        <f>E123*D123</f>
        <v>6896.7500000000009</v>
      </c>
      <c r="G123" s="1075"/>
    </row>
    <row r="124" spans="1:11" s="2" customFormat="1" ht="15.75" customHeight="1">
      <c r="A124" s="943" t="s">
        <v>335</v>
      </c>
      <c r="B124" s="1078"/>
      <c r="C124" s="16" t="s">
        <v>3</v>
      </c>
      <c r="D124" s="54">
        <v>3.5000000000000003E-2</v>
      </c>
      <c r="E124" s="17">
        <f>G113</f>
        <v>1367.0500000000002</v>
      </c>
      <c r="F124" s="55">
        <f>E124*D124</f>
        <v>47.846750000000014</v>
      </c>
      <c r="G124" s="57">
        <f>SUM(F123:F124)</f>
        <v>6944.5967500000006</v>
      </c>
    </row>
    <row r="125" spans="1:11" s="2" customFormat="1" ht="15.75" customHeight="1">
      <c r="A125" s="1071" t="s">
        <v>19</v>
      </c>
      <c r="B125" s="944"/>
      <c r="C125" s="944"/>
      <c r="D125" s="944"/>
      <c r="E125" s="944"/>
      <c r="F125" s="944"/>
      <c r="G125" s="1072"/>
    </row>
    <row r="126" spans="1:11" s="2" customFormat="1" ht="15.75" customHeight="1">
      <c r="A126" s="1074" t="s">
        <v>2</v>
      </c>
      <c r="B126" s="944"/>
      <c r="C126" s="53" t="s">
        <v>3</v>
      </c>
      <c r="D126" s="53" t="s">
        <v>4</v>
      </c>
      <c r="E126" s="53" t="s">
        <v>6</v>
      </c>
      <c r="F126" s="53" t="s">
        <v>11</v>
      </c>
      <c r="G126" s="61" t="s">
        <v>8</v>
      </c>
    </row>
    <row r="127" spans="1:11" s="2" customFormat="1" ht="15.75" customHeight="1">
      <c r="A127" s="978" t="str">
        <f>SALARIOS!$A$69</f>
        <v>CUADRILLA BB INSTALACIONES 1:1</v>
      </c>
      <c r="B127" s="979"/>
      <c r="C127" s="13" t="s">
        <v>1245</v>
      </c>
      <c r="D127" s="32">
        <v>1</v>
      </c>
      <c r="E127" s="13">
        <f>SALARIOS!$C$69</f>
        <v>27341</v>
      </c>
      <c r="F127" s="55">
        <f>+D127*E127</f>
        <v>27341</v>
      </c>
      <c r="G127" s="57">
        <f>SUM(F126:F127)</f>
        <v>27341</v>
      </c>
      <c r="K127" s="35"/>
    </row>
    <row r="128" spans="1:11" s="2" customFormat="1" ht="15.75" customHeight="1">
      <c r="A128" s="1076" t="s">
        <v>25</v>
      </c>
      <c r="B128" s="944"/>
      <c r="C128" s="944"/>
      <c r="D128" s="944"/>
      <c r="E128" s="944"/>
      <c r="F128" s="944"/>
      <c r="G128" s="1072"/>
    </row>
    <row r="129" spans="1:11" s="2" customFormat="1" ht="15.75" customHeight="1">
      <c r="A129" s="1077"/>
      <c r="B129" s="944"/>
      <c r="C129" s="944"/>
      <c r="D129" s="944"/>
      <c r="E129" s="944"/>
      <c r="F129" s="944"/>
      <c r="G129" s="62">
        <f>G127+G124+G120+G113</f>
        <v>232702.64674999999</v>
      </c>
    </row>
    <row r="130" spans="1:11" s="2" customFormat="1" ht="15.75" customHeight="1">
      <c r="A130" s="132"/>
      <c r="B130" s="74"/>
      <c r="C130" s="74"/>
      <c r="D130" s="74"/>
      <c r="E130" s="74"/>
      <c r="F130" s="74"/>
      <c r="G130" s="94"/>
    </row>
    <row r="131" spans="1:11" s="2" customFormat="1" ht="15.75" customHeight="1">
      <c r="A131" s="970" t="s">
        <v>1</v>
      </c>
      <c r="B131" s="957"/>
      <c r="C131" s="953" t="s">
        <v>0</v>
      </c>
      <c r="D131" s="954"/>
      <c r="E131" s="954"/>
      <c r="F131" s="954"/>
      <c r="G131" s="955"/>
    </row>
    <row r="132" spans="1:11" s="2" customFormat="1" ht="81" customHeight="1">
      <c r="A132" s="971"/>
      <c r="B132" s="957"/>
      <c r="C132" s="954"/>
      <c r="D132" s="954"/>
      <c r="E132" s="954"/>
      <c r="F132" s="954"/>
      <c r="G132" s="955"/>
    </row>
    <row r="133" spans="1:11" s="2" customFormat="1" ht="15.75" customHeight="1">
      <c r="A133" s="971"/>
      <c r="B133" s="957"/>
      <c r="C133" s="956"/>
      <c r="D133" s="957"/>
      <c r="E133" s="957"/>
      <c r="F133" s="957"/>
      <c r="G133" s="958"/>
    </row>
    <row r="134" spans="1:11" s="35" customFormat="1" ht="13.8">
      <c r="A134" s="971"/>
      <c r="B134" s="957"/>
      <c r="C134" s="959" t="s">
        <v>2</v>
      </c>
      <c r="D134" s="957"/>
      <c r="E134" s="957"/>
      <c r="F134" s="23" t="s">
        <v>3</v>
      </c>
      <c r="G134" s="24" t="s">
        <v>4</v>
      </c>
      <c r="H134" s="2"/>
      <c r="I134" s="2"/>
      <c r="J134" s="2"/>
      <c r="K134" s="2"/>
    </row>
    <row r="135" spans="1:11" s="2" customFormat="1" ht="64.5" customHeight="1">
      <c r="A135" s="1073" t="s">
        <v>385</v>
      </c>
      <c r="B135" s="944"/>
      <c r="C135" s="980" t="s">
        <v>386</v>
      </c>
      <c r="D135" s="944"/>
      <c r="E135" s="944"/>
      <c r="F135" s="51" t="s">
        <v>28</v>
      </c>
      <c r="G135" s="52">
        <v>12</v>
      </c>
    </row>
    <row r="136" spans="1:11" s="2" customFormat="1" ht="15.75" customHeight="1">
      <c r="A136" s="1071" t="s">
        <v>5</v>
      </c>
      <c r="B136" s="944"/>
      <c r="C136" s="944"/>
      <c r="D136" s="944"/>
      <c r="E136" s="944"/>
      <c r="F136" s="944"/>
      <c r="G136" s="1072"/>
    </row>
    <row r="137" spans="1:11" s="2" customFormat="1" ht="13.8">
      <c r="A137" s="1074" t="s">
        <v>2</v>
      </c>
      <c r="B137" s="944"/>
      <c r="C137" s="53" t="s">
        <v>3</v>
      </c>
      <c r="D137" s="53" t="s">
        <v>4</v>
      </c>
      <c r="E137" s="53" t="s">
        <v>6</v>
      </c>
      <c r="F137" s="53" t="s">
        <v>7</v>
      </c>
      <c r="G137" s="61" t="s">
        <v>8</v>
      </c>
    </row>
    <row r="138" spans="1:11" s="2" customFormat="1" ht="15.75" customHeight="1">
      <c r="A138" s="947" t="s">
        <v>89</v>
      </c>
      <c r="B138" s="944"/>
      <c r="C138" s="51" t="s">
        <v>3</v>
      </c>
      <c r="D138" s="51">
        <v>0.05</v>
      </c>
      <c r="E138" s="133">
        <f>G151</f>
        <v>27341</v>
      </c>
      <c r="F138" s="55">
        <f>E138*D138</f>
        <v>1367.0500000000002</v>
      </c>
      <c r="G138" s="57">
        <f>SUM(F137:F138)</f>
        <v>1367.0500000000002</v>
      </c>
    </row>
    <row r="139" spans="1:11" s="2" customFormat="1" ht="15.75" customHeight="1">
      <c r="A139" s="1071" t="s">
        <v>10</v>
      </c>
      <c r="B139" s="944"/>
      <c r="C139" s="944"/>
      <c r="D139" s="944"/>
      <c r="E139" s="944"/>
      <c r="F139" s="944"/>
      <c r="G139" s="1072"/>
    </row>
    <row r="140" spans="1:11" s="2" customFormat="1" ht="15.75" customHeight="1">
      <c r="A140" s="1074" t="s">
        <v>2</v>
      </c>
      <c r="B140" s="944"/>
      <c r="C140" s="53" t="s">
        <v>3</v>
      </c>
      <c r="D140" s="53" t="s">
        <v>4</v>
      </c>
      <c r="E140" s="53" t="s">
        <v>6</v>
      </c>
      <c r="F140" s="53" t="s">
        <v>11</v>
      </c>
      <c r="G140" s="1075" t="s">
        <v>8</v>
      </c>
    </row>
    <row r="141" spans="1:11" s="2" customFormat="1" ht="15.75" customHeight="1">
      <c r="A141" s="947" t="s">
        <v>384</v>
      </c>
      <c r="B141" s="944"/>
      <c r="C141" s="16" t="s">
        <v>3</v>
      </c>
      <c r="D141" s="16">
        <v>1</v>
      </c>
      <c r="E141" s="17">
        <f>'INSUMOS '!E34</f>
        <v>15000</v>
      </c>
      <c r="F141" s="55">
        <f>E141*D141</f>
        <v>15000</v>
      </c>
      <c r="G141" s="1075"/>
    </row>
    <row r="142" spans="1:11" s="2" customFormat="1" ht="15.75" customHeight="1">
      <c r="A142" s="947" t="s">
        <v>381</v>
      </c>
      <c r="B142" s="980"/>
      <c r="C142" s="16" t="s">
        <v>3</v>
      </c>
      <c r="D142" s="16">
        <v>1</v>
      </c>
      <c r="E142" s="17">
        <f>'INSUMOS '!E102</f>
        <v>27650</v>
      </c>
      <c r="F142" s="55">
        <f>E142*D142</f>
        <v>27650</v>
      </c>
      <c r="G142" s="1075"/>
    </row>
    <row r="143" spans="1:11" s="2" customFormat="1" ht="33" customHeight="1">
      <c r="A143" s="947" t="s">
        <v>387</v>
      </c>
      <c r="B143" s="944"/>
      <c r="C143" s="16" t="s">
        <v>3</v>
      </c>
      <c r="D143" s="58">
        <v>1</v>
      </c>
      <c r="E143" s="17">
        <f>'INSUMOS '!E6</f>
        <v>1120000</v>
      </c>
      <c r="F143" s="55">
        <f>E143*D143</f>
        <v>1120000</v>
      </c>
      <c r="G143" s="1075"/>
    </row>
    <row r="144" spans="1:11" s="2" customFormat="1" ht="15.75" customHeight="1">
      <c r="A144" s="947" t="s">
        <v>388</v>
      </c>
      <c r="B144" s="944"/>
      <c r="C144" s="16" t="s">
        <v>3</v>
      </c>
      <c r="D144" s="58">
        <v>1</v>
      </c>
      <c r="E144" s="17">
        <f>'INSUMOS '!E103</f>
        <v>47900</v>
      </c>
      <c r="F144" s="55">
        <f>E144*D144</f>
        <v>47900</v>
      </c>
      <c r="G144" s="57">
        <f>SUM(F140:F144)</f>
        <v>1210550</v>
      </c>
    </row>
    <row r="145" spans="1:7" s="2" customFormat="1" ht="13.8">
      <c r="A145" s="1071" t="s">
        <v>15</v>
      </c>
      <c r="B145" s="944"/>
      <c r="C145" s="944"/>
      <c r="D145" s="944"/>
      <c r="E145" s="944"/>
      <c r="F145" s="944"/>
      <c r="G145" s="1072"/>
    </row>
    <row r="146" spans="1:7" s="2" customFormat="1" ht="15.75" customHeight="1">
      <c r="A146" s="1074" t="s">
        <v>2</v>
      </c>
      <c r="B146" s="944"/>
      <c r="C146" s="53" t="s">
        <v>3</v>
      </c>
      <c r="D146" s="53" t="s">
        <v>4</v>
      </c>
      <c r="E146" s="53" t="s">
        <v>6</v>
      </c>
      <c r="F146" s="53" t="s">
        <v>11</v>
      </c>
      <c r="G146" s="61" t="s">
        <v>8</v>
      </c>
    </row>
    <row r="147" spans="1:7" s="2" customFormat="1" ht="15.75" customHeight="1">
      <c r="A147" s="943" t="s">
        <v>335</v>
      </c>
      <c r="B147" s="1078"/>
      <c r="C147" s="51" t="s">
        <v>3</v>
      </c>
      <c r="D147" s="54">
        <v>3.5000000000000003E-2</v>
      </c>
      <c r="E147" s="17">
        <f>G138</f>
        <v>1367.0500000000002</v>
      </c>
      <c r="F147" s="55">
        <f>E147*D147</f>
        <v>47.846750000000014</v>
      </c>
      <c r="G147" s="61"/>
    </row>
    <row r="148" spans="1:7" s="2" customFormat="1" ht="15.75" customHeight="1">
      <c r="A148" s="943" t="s">
        <v>17</v>
      </c>
      <c r="B148" s="1078"/>
      <c r="C148" s="16" t="s">
        <v>3</v>
      </c>
      <c r="D148" s="54">
        <v>3.5000000000000003E-2</v>
      </c>
      <c r="E148" s="17">
        <f>+G144</f>
        <v>1210550</v>
      </c>
      <c r="F148" s="55">
        <f>E148*D148</f>
        <v>42369.250000000007</v>
      </c>
      <c r="G148" s="57">
        <f>SUM(F147:F148)</f>
        <v>42417.096750000004</v>
      </c>
    </row>
    <row r="149" spans="1:7" s="2" customFormat="1" ht="15.75" customHeight="1">
      <c r="A149" s="1071" t="s">
        <v>19</v>
      </c>
      <c r="B149" s="944"/>
      <c r="C149" s="944"/>
      <c r="D149" s="944"/>
      <c r="E149" s="944"/>
      <c r="F149" s="944"/>
      <c r="G149" s="1072"/>
    </row>
    <row r="150" spans="1:7" s="2" customFormat="1" ht="15.75" customHeight="1">
      <c r="A150" s="1074" t="s">
        <v>2</v>
      </c>
      <c r="B150" s="944"/>
      <c r="C150" s="53" t="s">
        <v>3</v>
      </c>
      <c r="D150" s="53" t="s">
        <v>4</v>
      </c>
      <c r="E150" s="53" t="s">
        <v>6</v>
      </c>
      <c r="F150" s="53" t="s">
        <v>11</v>
      </c>
      <c r="G150" s="61" t="s">
        <v>8</v>
      </c>
    </row>
    <row r="151" spans="1:7" s="2" customFormat="1" ht="15.75" customHeight="1">
      <c r="A151" s="978" t="str">
        <f>SALARIOS!$A$69</f>
        <v>CUADRILLA BB INSTALACIONES 1:1</v>
      </c>
      <c r="B151" s="979"/>
      <c r="C151" s="13" t="s">
        <v>1245</v>
      </c>
      <c r="D151" s="32">
        <v>1</v>
      </c>
      <c r="E151" s="13">
        <f>SALARIOS!$C$69</f>
        <v>27341</v>
      </c>
      <c r="F151" s="55">
        <f>+D151*E151</f>
        <v>27341</v>
      </c>
      <c r="G151" s="57">
        <f>SUM(F150:F151)</f>
        <v>27341</v>
      </c>
    </row>
    <row r="152" spans="1:7" s="2" customFormat="1" ht="15.75" customHeight="1">
      <c r="A152" s="1076" t="s">
        <v>25</v>
      </c>
      <c r="B152" s="944"/>
      <c r="C152" s="944"/>
      <c r="D152" s="944"/>
      <c r="E152" s="944"/>
      <c r="F152" s="944"/>
      <c r="G152" s="1072"/>
    </row>
    <row r="153" spans="1:7" s="2" customFormat="1" ht="15.75" customHeight="1">
      <c r="A153" s="1077"/>
      <c r="B153" s="944"/>
      <c r="C153" s="944"/>
      <c r="D153" s="944"/>
      <c r="E153" s="944"/>
      <c r="F153" s="944"/>
      <c r="G153" s="62">
        <f>G151+G148+G144+G138</f>
        <v>1281675.1467500001</v>
      </c>
    </row>
    <row r="154" spans="1:7" s="2" customFormat="1" ht="15.75" customHeight="1">
      <c r="A154" s="132"/>
      <c r="B154" s="74"/>
      <c r="C154" s="74"/>
      <c r="D154" s="74"/>
      <c r="E154" s="74"/>
      <c r="F154" s="74"/>
      <c r="G154" s="94"/>
    </row>
    <row r="155" spans="1:7" s="2" customFormat="1" ht="15.75" customHeight="1">
      <c r="A155" s="970" t="s">
        <v>1</v>
      </c>
      <c r="B155" s="957"/>
      <c r="C155" s="953" t="s">
        <v>0</v>
      </c>
      <c r="D155" s="954"/>
      <c r="E155" s="954"/>
      <c r="F155" s="954"/>
      <c r="G155" s="955"/>
    </row>
    <row r="156" spans="1:7" s="2" customFormat="1" ht="74.25" customHeight="1">
      <c r="A156" s="971"/>
      <c r="B156" s="957"/>
      <c r="C156" s="954"/>
      <c r="D156" s="954"/>
      <c r="E156" s="954"/>
      <c r="F156" s="954"/>
      <c r="G156" s="955"/>
    </row>
    <row r="157" spans="1:7" s="2" customFormat="1" ht="15.75" customHeight="1">
      <c r="A157" s="971"/>
      <c r="B157" s="957"/>
      <c r="C157" s="956"/>
      <c r="D157" s="957"/>
      <c r="E157" s="957"/>
      <c r="F157" s="957"/>
      <c r="G157" s="958"/>
    </row>
    <row r="158" spans="1:7" s="2" customFormat="1" ht="15.75" customHeight="1">
      <c r="A158" s="971"/>
      <c r="B158" s="957"/>
      <c r="C158" s="959" t="s">
        <v>2</v>
      </c>
      <c r="D158" s="957"/>
      <c r="E158" s="957"/>
      <c r="F158" s="23" t="s">
        <v>3</v>
      </c>
      <c r="G158" s="24" t="s">
        <v>4</v>
      </c>
    </row>
    <row r="159" spans="1:7" s="2" customFormat="1" ht="51" customHeight="1">
      <c r="A159" s="1073" t="s">
        <v>389</v>
      </c>
      <c r="B159" s="944"/>
      <c r="C159" s="980" t="s">
        <v>390</v>
      </c>
      <c r="D159" s="944"/>
      <c r="E159" s="944"/>
      <c r="F159" s="51" t="s">
        <v>28</v>
      </c>
      <c r="G159" s="52">
        <v>1</v>
      </c>
    </row>
    <row r="160" spans="1:7" s="2" customFormat="1" ht="15.75" customHeight="1">
      <c r="A160" s="1071" t="s">
        <v>5</v>
      </c>
      <c r="B160" s="944"/>
      <c r="C160" s="944"/>
      <c r="D160" s="944"/>
      <c r="E160" s="944"/>
      <c r="F160" s="944"/>
      <c r="G160" s="1072"/>
    </row>
    <row r="161" spans="1:11" s="2" customFormat="1" ht="15.75" customHeight="1">
      <c r="A161" s="1074" t="s">
        <v>2</v>
      </c>
      <c r="B161" s="944"/>
      <c r="C161" s="53" t="s">
        <v>3</v>
      </c>
      <c r="D161" s="53" t="s">
        <v>4</v>
      </c>
      <c r="E161" s="53" t="s">
        <v>6</v>
      </c>
      <c r="F161" s="53" t="s">
        <v>7</v>
      </c>
      <c r="G161" s="61" t="s">
        <v>8</v>
      </c>
    </row>
    <row r="162" spans="1:11" s="2" customFormat="1" ht="24" customHeight="1">
      <c r="A162" s="947" t="s">
        <v>9</v>
      </c>
      <c r="B162" s="944"/>
      <c r="C162" s="51" t="s">
        <v>3</v>
      </c>
      <c r="D162" s="56">
        <v>0.05</v>
      </c>
      <c r="E162" s="133">
        <f>G174</f>
        <v>27341</v>
      </c>
      <c r="F162" s="55">
        <f>D162*E162</f>
        <v>1367.0500000000002</v>
      </c>
      <c r="G162" s="57">
        <f>SUM(F161:F162)</f>
        <v>1367.0500000000002</v>
      </c>
    </row>
    <row r="163" spans="1:11" s="2" customFormat="1" ht="13.8">
      <c r="A163" s="1071" t="s">
        <v>10</v>
      </c>
      <c r="B163" s="944"/>
      <c r="C163" s="944"/>
      <c r="D163" s="944"/>
      <c r="E163" s="944"/>
      <c r="F163" s="944"/>
      <c r="G163" s="1072"/>
    </row>
    <row r="164" spans="1:11" s="2" customFormat="1" ht="15.75" customHeight="1">
      <c r="A164" s="1074" t="s">
        <v>2</v>
      </c>
      <c r="B164" s="944"/>
      <c r="C164" s="53" t="s">
        <v>3</v>
      </c>
      <c r="D164" s="53" t="s">
        <v>4</v>
      </c>
      <c r="E164" s="53" t="s">
        <v>6</v>
      </c>
      <c r="F164" s="53" t="s">
        <v>11</v>
      </c>
      <c r="G164" s="1075" t="s">
        <v>8</v>
      </c>
    </row>
    <row r="165" spans="1:11" s="2" customFormat="1" ht="15.75" customHeight="1">
      <c r="A165" s="947" t="s">
        <v>384</v>
      </c>
      <c r="B165" s="944"/>
      <c r="C165" s="16" t="s">
        <v>3</v>
      </c>
      <c r="D165" s="16">
        <v>1</v>
      </c>
      <c r="E165" s="17">
        <v>11900</v>
      </c>
      <c r="F165" s="55">
        <f>E165*D165</f>
        <v>11900</v>
      </c>
      <c r="G165" s="1072"/>
      <c r="K165" s="35"/>
    </row>
    <row r="166" spans="1:11" s="2" customFormat="1" ht="13.8">
      <c r="A166" s="947" t="s">
        <v>391</v>
      </c>
      <c r="B166" s="944"/>
      <c r="C166" s="16" t="s">
        <v>3</v>
      </c>
      <c r="D166" s="58">
        <v>1</v>
      </c>
      <c r="E166" s="17">
        <v>85900</v>
      </c>
      <c r="F166" s="55">
        <f>E166*D166</f>
        <v>85900</v>
      </c>
      <c r="G166" s="61"/>
    </row>
    <row r="167" spans="1:11" s="2" customFormat="1" ht="15.75" customHeight="1">
      <c r="A167" s="947" t="s">
        <v>388</v>
      </c>
      <c r="B167" s="944"/>
      <c r="C167" s="16" t="s">
        <v>3</v>
      </c>
      <c r="D167" s="58">
        <v>1</v>
      </c>
      <c r="E167" s="17">
        <v>33250</v>
      </c>
      <c r="F167" s="55">
        <f>E167*D167</f>
        <v>33250</v>
      </c>
      <c r="G167" s="57">
        <f>SUM(F164:F167)</f>
        <v>131050</v>
      </c>
    </row>
    <row r="168" spans="1:11" s="2" customFormat="1" ht="13.8">
      <c r="A168" s="1071" t="s">
        <v>1555</v>
      </c>
      <c r="B168" s="944"/>
      <c r="C168" s="944"/>
      <c r="D168" s="944"/>
      <c r="E168" s="944"/>
      <c r="F168" s="944"/>
      <c r="G168" s="1072"/>
    </row>
    <row r="169" spans="1:11" s="2" customFormat="1" ht="15.75" customHeight="1">
      <c r="A169" s="1074" t="s">
        <v>2</v>
      </c>
      <c r="B169" s="944"/>
      <c r="C169" s="53" t="s">
        <v>3</v>
      </c>
      <c r="D169" s="53" t="s">
        <v>4</v>
      </c>
      <c r="E169" s="53" t="s">
        <v>6</v>
      </c>
      <c r="F169" s="53" t="s">
        <v>11</v>
      </c>
      <c r="G169" s="61" t="s">
        <v>8</v>
      </c>
    </row>
    <row r="170" spans="1:11" s="2" customFormat="1" ht="15.75" customHeight="1">
      <c r="A170" s="943" t="s">
        <v>17</v>
      </c>
      <c r="B170" s="1078"/>
      <c r="C170" s="16" t="s">
        <v>3</v>
      </c>
      <c r="D170" s="54">
        <v>3.5000000000000003E-2</v>
      </c>
      <c r="E170" s="111">
        <f>+G167</f>
        <v>131050</v>
      </c>
      <c r="F170" s="55">
        <f>E170*D170</f>
        <v>4586.75</v>
      </c>
      <c r="G170" s="64"/>
    </row>
    <row r="171" spans="1:11" s="2" customFormat="1" ht="15.75" customHeight="1">
      <c r="A171" s="943" t="s">
        <v>392</v>
      </c>
      <c r="B171" s="1078"/>
      <c r="C171" s="16" t="s">
        <v>3</v>
      </c>
      <c r="D171" s="54">
        <v>3.5000000000000003E-2</v>
      </c>
      <c r="E171" s="111">
        <f>G162</f>
        <v>1367.0500000000002</v>
      </c>
      <c r="F171" s="55">
        <f>E171*D171</f>
        <v>47.846750000000014</v>
      </c>
      <c r="G171" s="57">
        <f>SUM(F170:F171)</f>
        <v>4634.5967499999997</v>
      </c>
    </row>
    <row r="172" spans="1:11" s="35" customFormat="1" ht="13.8">
      <c r="A172" s="1071" t="s">
        <v>19</v>
      </c>
      <c r="B172" s="944"/>
      <c r="C172" s="944"/>
      <c r="D172" s="944"/>
      <c r="E172" s="944"/>
      <c r="F172" s="944"/>
      <c r="G172" s="1072"/>
      <c r="H172" s="2"/>
      <c r="I172" s="2"/>
      <c r="J172" s="2"/>
      <c r="K172" s="2"/>
    </row>
    <row r="173" spans="1:11" s="2" customFormat="1" ht="15.75" customHeight="1">
      <c r="A173" s="1074" t="s">
        <v>2</v>
      </c>
      <c r="B173" s="944"/>
      <c r="C173" s="53" t="s">
        <v>3</v>
      </c>
      <c r="D173" s="53" t="s">
        <v>4</v>
      </c>
      <c r="E173" s="53" t="s">
        <v>6</v>
      </c>
      <c r="F173" s="53" t="s">
        <v>11</v>
      </c>
      <c r="G173" s="61" t="s">
        <v>8</v>
      </c>
    </row>
    <row r="174" spans="1:11" s="2" customFormat="1" ht="15.75" customHeight="1">
      <c r="A174" s="978" t="str">
        <f>SALARIOS!$A$69</f>
        <v>CUADRILLA BB INSTALACIONES 1:1</v>
      </c>
      <c r="B174" s="979"/>
      <c r="C174" s="13" t="s">
        <v>1245</v>
      </c>
      <c r="D174" s="32">
        <v>1</v>
      </c>
      <c r="E174" s="13">
        <f>SALARIOS!$C$69</f>
        <v>27341</v>
      </c>
      <c r="F174" s="55">
        <f>+D174*E174</f>
        <v>27341</v>
      </c>
      <c r="G174" s="57">
        <f>SUM(F174:F174)</f>
        <v>27341</v>
      </c>
    </row>
    <row r="175" spans="1:11" s="2" customFormat="1" ht="15.75" customHeight="1">
      <c r="A175" s="1076" t="s">
        <v>25</v>
      </c>
      <c r="B175" s="944"/>
      <c r="C175" s="944"/>
      <c r="D175" s="944"/>
      <c r="E175" s="944"/>
      <c r="F175" s="944"/>
      <c r="G175" s="1072"/>
    </row>
    <row r="176" spans="1:11" s="2" customFormat="1" ht="15.75" customHeight="1">
      <c r="A176" s="1077"/>
      <c r="B176" s="944"/>
      <c r="C176" s="944"/>
      <c r="D176" s="944"/>
      <c r="E176" s="944"/>
      <c r="F176" s="944"/>
      <c r="G176" s="62">
        <f>G174+G171+G167+G162</f>
        <v>164392.64674999999</v>
      </c>
    </row>
    <row r="177" spans="1:7" s="2" customFormat="1" ht="15.75" customHeight="1">
      <c r="A177" s="132"/>
      <c r="B177" s="74"/>
      <c r="C177" s="74"/>
      <c r="D177" s="74"/>
      <c r="E177" s="74"/>
      <c r="F177" s="74"/>
      <c r="G177" s="94"/>
    </row>
    <row r="178" spans="1:7" s="2" customFormat="1" ht="15.75" customHeight="1">
      <c r="A178" s="970" t="s">
        <v>1</v>
      </c>
      <c r="B178" s="957"/>
      <c r="C178" s="953" t="s">
        <v>0</v>
      </c>
      <c r="D178" s="954"/>
      <c r="E178" s="954"/>
      <c r="F178" s="954"/>
      <c r="G178" s="955"/>
    </row>
    <row r="179" spans="1:7" s="2" customFormat="1" ht="46.5" customHeight="1">
      <c r="A179" s="971"/>
      <c r="B179" s="957"/>
      <c r="C179" s="954"/>
      <c r="D179" s="954"/>
      <c r="E179" s="954"/>
      <c r="F179" s="954"/>
      <c r="G179" s="955"/>
    </row>
    <row r="180" spans="1:7" s="2" customFormat="1" ht="15.75" customHeight="1">
      <c r="A180" s="971"/>
      <c r="B180" s="957"/>
      <c r="C180" s="956"/>
      <c r="D180" s="957"/>
      <c r="E180" s="957"/>
      <c r="F180" s="957"/>
      <c r="G180" s="958"/>
    </row>
    <row r="181" spans="1:7" s="2" customFormat="1" ht="15.75" customHeight="1">
      <c r="A181" s="971"/>
      <c r="B181" s="957"/>
      <c r="C181" s="959" t="s">
        <v>2</v>
      </c>
      <c r="D181" s="957"/>
      <c r="E181" s="957"/>
      <c r="F181" s="23" t="s">
        <v>3</v>
      </c>
      <c r="G181" s="24" t="s">
        <v>4</v>
      </c>
    </row>
    <row r="182" spans="1:7" s="2" customFormat="1" ht="51" customHeight="1">
      <c r="A182" s="1073" t="s">
        <v>393</v>
      </c>
      <c r="B182" s="944"/>
      <c r="C182" s="980" t="s">
        <v>394</v>
      </c>
      <c r="D182" s="944"/>
      <c r="E182" s="944"/>
      <c r="F182" s="51" t="s">
        <v>28</v>
      </c>
      <c r="G182" s="52">
        <v>9</v>
      </c>
    </row>
    <row r="183" spans="1:7" s="2" customFormat="1" ht="15.75" customHeight="1">
      <c r="A183" s="1071" t="s">
        <v>5</v>
      </c>
      <c r="B183" s="944"/>
      <c r="C183" s="944"/>
      <c r="D183" s="944"/>
      <c r="E183" s="944"/>
      <c r="F183" s="944"/>
      <c r="G183" s="1072"/>
    </row>
    <row r="184" spans="1:7" s="2" customFormat="1" ht="15.75" customHeight="1">
      <c r="A184" s="1074" t="s">
        <v>2</v>
      </c>
      <c r="B184" s="944"/>
      <c r="C184" s="53" t="s">
        <v>3</v>
      </c>
      <c r="D184" s="53" t="s">
        <v>4</v>
      </c>
      <c r="E184" s="53" t="s">
        <v>6</v>
      </c>
      <c r="F184" s="53" t="s">
        <v>7</v>
      </c>
      <c r="G184" s="61" t="s">
        <v>8</v>
      </c>
    </row>
    <row r="185" spans="1:7" s="2" customFormat="1" ht="15.75" customHeight="1">
      <c r="A185" s="947" t="s">
        <v>9</v>
      </c>
      <c r="B185" s="944"/>
      <c r="C185" s="51" t="s">
        <v>3</v>
      </c>
      <c r="D185" s="56">
        <v>0.05</v>
      </c>
      <c r="E185" s="133">
        <f>G198</f>
        <v>54682</v>
      </c>
      <c r="F185" s="55">
        <f>E185*D185</f>
        <v>2734.1000000000004</v>
      </c>
      <c r="G185" s="57">
        <f>SUM(F184:F185)</f>
        <v>2734.1000000000004</v>
      </c>
    </row>
    <row r="186" spans="1:7" s="2" customFormat="1" ht="15.75" customHeight="1">
      <c r="A186" s="1071" t="s">
        <v>10</v>
      </c>
      <c r="B186" s="944"/>
      <c r="C186" s="944"/>
      <c r="D186" s="944"/>
      <c r="E186" s="944"/>
      <c r="F186" s="944"/>
      <c r="G186" s="1072"/>
    </row>
    <row r="187" spans="1:7" s="2" customFormat="1" ht="15.75" customHeight="1">
      <c r="A187" s="1074" t="s">
        <v>2</v>
      </c>
      <c r="B187" s="944"/>
      <c r="C187" s="53" t="s">
        <v>3</v>
      </c>
      <c r="D187" s="53" t="s">
        <v>4</v>
      </c>
      <c r="E187" s="53" t="s">
        <v>6</v>
      </c>
      <c r="F187" s="53" t="s">
        <v>11</v>
      </c>
      <c r="G187" s="1075" t="s">
        <v>8</v>
      </c>
    </row>
    <row r="188" spans="1:7" s="2" customFormat="1" ht="15.75" customHeight="1">
      <c r="A188" s="947" t="s">
        <v>395</v>
      </c>
      <c r="B188" s="944"/>
      <c r="C188" s="16" t="s">
        <v>3</v>
      </c>
      <c r="D188" s="16">
        <v>1</v>
      </c>
      <c r="E188" s="17">
        <v>45900</v>
      </c>
      <c r="F188" s="55">
        <f>E188*D188</f>
        <v>45900</v>
      </c>
      <c r="G188" s="1075"/>
    </row>
    <row r="189" spans="1:7" s="2" customFormat="1" ht="15.75" customHeight="1">
      <c r="A189" s="947" t="s">
        <v>283</v>
      </c>
      <c r="B189" s="944"/>
      <c r="C189" s="16" t="s">
        <v>39</v>
      </c>
      <c r="D189" s="16">
        <v>0.05</v>
      </c>
      <c r="E189" s="17">
        <v>400813</v>
      </c>
      <c r="F189" s="55">
        <f>E189*D189</f>
        <v>20040.650000000001</v>
      </c>
      <c r="G189" s="1075"/>
    </row>
    <row r="190" spans="1:7" s="2" customFormat="1" ht="15.75" customHeight="1">
      <c r="A190" s="947" t="s">
        <v>396</v>
      </c>
      <c r="B190" s="944"/>
      <c r="C190" s="16" t="s">
        <v>3</v>
      </c>
      <c r="D190" s="58">
        <v>1</v>
      </c>
      <c r="E190" s="17">
        <v>229000</v>
      </c>
      <c r="F190" s="55">
        <f>E190*D190</f>
        <v>229000</v>
      </c>
      <c r="G190" s="1075"/>
    </row>
    <row r="191" spans="1:7" s="2" customFormat="1" ht="15.75" customHeight="1">
      <c r="A191" s="947" t="s">
        <v>397</v>
      </c>
      <c r="B191" s="944"/>
      <c r="C191" s="16" t="s">
        <v>37</v>
      </c>
      <c r="D191" s="58">
        <v>0.7</v>
      </c>
      <c r="E191" s="17">
        <v>18500</v>
      </c>
      <c r="F191" s="55">
        <f>E191*D191</f>
        <v>12950</v>
      </c>
      <c r="G191" s="57">
        <f>SUM(F187:F191)</f>
        <v>307890.65000000002</v>
      </c>
    </row>
    <row r="192" spans="1:7" s="2" customFormat="1" ht="15.75" customHeight="1">
      <c r="A192" s="1071" t="s">
        <v>15</v>
      </c>
      <c r="B192" s="944"/>
      <c r="C192" s="944"/>
      <c r="D192" s="944"/>
      <c r="E192" s="944"/>
      <c r="F192" s="944"/>
      <c r="G192" s="1072"/>
    </row>
    <row r="193" spans="1:11" s="2" customFormat="1" ht="15.75" customHeight="1">
      <c r="A193" s="1074" t="s">
        <v>2</v>
      </c>
      <c r="B193" s="944"/>
      <c r="C193" s="53" t="s">
        <v>3</v>
      </c>
      <c r="D193" s="53" t="s">
        <v>4</v>
      </c>
      <c r="E193" s="53" t="s">
        <v>6</v>
      </c>
      <c r="F193" s="53" t="s">
        <v>11</v>
      </c>
      <c r="G193" s="61" t="s">
        <v>8</v>
      </c>
    </row>
    <row r="194" spans="1:11" s="2" customFormat="1" ht="15.75" customHeight="1">
      <c r="A194" s="943" t="s">
        <v>335</v>
      </c>
      <c r="B194" s="1078"/>
      <c r="C194" s="51" t="s">
        <v>3</v>
      </c>
      <c r="D194" s="54">
        <v>3.5000000000000003E-2</v>
      </c>
      <c r="E194" s="118">
        <f>G185</f>
        <v>2734.1000000000004</v>
      </c>
      <c r="F194" s="55">
        <f>E194*D194</f>
        <v>95.693500000000029</v>
      </c>
      <c r="G194" s="61"/>
    </row>
    <row r="195" spans="1:11" s="2" customFormat="1" ht="15.75" customHeight="1">
      <c r="A195" s="943" t="s">
        <v>17</v>
      </c>
      <c r="B195" s="1078"/>
      <c r="C195" s="16" t="s">
        <v>3</v>
      </c>
      <c r="D195" s="54">
        <v>3.5000000000000003E-2</v>
      </c>
      <c r="E195" s="111">
        <f>+G191</f>
        <v>307890.65000000002</v>
      </c>
      <c r="F195" s="55">
        <f>E195*D195</f>
        <v>10776.172750000002</v>
      </c>
      <c r="G195" s="57">
        <f>SUM(F194:F195)</f>
        <v>10871.866250000001</v>
      </c>
    </row>
    <row r="196" spans="1:11" s="2" customFormat="1" ht="13.8">
      <c r="A196" s="1071" t="s">
        <v>19</v>
      </c>
      <c r="B196" s="944"/>
      <c r="C196" s="944"/>
      <c r="D196" s="944"/>
      <c r="E196" s="944"/>
      <c r="F196" s="944"/>
      <c r="G196" s="1072"/>
    </row>
    <row r="197" spans="1:11" s="2" customFormat="1" ht="15.75" customHeight="1">
      <c r="A197" s="1074" t="s">
        <v>2</v>
      </c>
      <c r="B197" s="944"/>
      <c r="C197" s="53" t="s">
        <v>3</v>
      </c>
      <c r="D197" s="53" t="s">
        <v>4</v>
      </c>
      <c r="E197" s="53" t="s">
        <v>6</v>
      </c>
      <c r="F197" s="53" t="s">
        <v>11</v>
      </c>
      <c r="G197" s="61" t="s">
        <v>8</v>
      </c>
    </row>
    <row r="198" spans="1:11" s="2" customFormat="1" ht="15.75" customHeight="1">
      <c r="A198" s="978" t="str">
        <f>SALARIOS!$A$69</f>
        <v>CUADRILLA BB INSTALACIONES 1:1</v>
      </c>
      <c r="B198" s="979"/>
      <c r="C198" s="13" t="s">
        <v>1245</v>
      </c>
      <c r="D198" s="32">
        <v>2</v>
      </c>
      <c r="E198" s="13">
        <f>SALARIOS!$C$69</f>
        <v>27341</v>
      </c>
      <c r="F198" s="55">
        <f>+D198*E198</f>
        <v>54682</v>
      </c>
      <c r="G198" s="57">
        <f>SUM(F197:F198)</f>
        <v>54682</v>
      </c>
    </row>
    <row r="199" spans="1:11" s="2" customFormat="1" ht="15.75" customHeight="1">
      <c r="A199" s="1076" t="s">
        <v>25</v>
      </c>
      <c r="B199" s="944"/>
      <c r="C199" s="944"/>
      <c r="D199" s="944"/>
      <c r="E199" s="944"/>
      <c r="F199" s="944"/>
      <c r="G199" s="1072"/>
    </row>
    <row r="200" spans="1:11" s="2" customFormat="1" ht="15.75" customHeight="1">
      <c r="A200" s="1077"/>
      <c r="B200" s="944"/>
      <c r="C200" s="944"/>
      <c r="D200" s="944"/>
      <c r="E200" s="944"/>
      <c r="F200" s="944"/>
      <c r="G200" s="62">
        <f>G198+G195+G191+G185</f>
        <v>376178.61625000002</v>
      </c>
      <c r="K200" s="35"/>
    </row>
    <row r="201" spans="1:11" s="2" customFormat="1" ht="15.75" customHeight="1">
      <c r="A201" s="132"/>
      <c r="B201" s="74"/>
      <c r="C201" s="74"/>
      <c r="D201" s="74"/>
      <c r="E201" s="74"/>
      <c r="F201" s="74"/>
      <c r="G201" s="94"/>
    </row>
    <row r="202" spans="1:11" s="2" customFormat="1" ht="15.75" customHeight="1">
      <c r="A202" s="970" t="s">
        <v>1</v>
      </c>
      <c r="B202" s="957"/>
      <c r="C202" s="953" t="s">
        <v>0</v>
      </c>
      <c r="D202" s="954"/>
      <c r="E202" s="954"/>
      <c r="F202" s="954"/>
      <c r="G202" s="955"/>
    </row>
    <row r="203" spans="1:11" s="2" customFormat="1" ht="44.25" customHeight="1">
      <c r="A203" s="971"/>
      <c r="B203" s="957"/>
      <c r="C203" s="954"/>
      <c r="D203" s="954"/>
      <c r="E203" s="954"/>
      <c r="F203" s="954"/>
      <c r="G203" s="955"/>
    </row>
    <row r="204" spans="1:11" s="2" customFormat="1" ht="15.75" customHeight="1">
      <c r="A204" s="971"/>
      <c r="B204" s="957"/>
      <c r="C204" s="956"/>
      <c r="D204" s="957"/>
      <c r="E204" s="957"/>
      <c r="F204" s="957"/>
      <c r="G204" s="958"/>
    </row>
    <row r="205" spans="1:11" s="2" customFormat="1" ht="15.75" customHeight="1">
      <c r="A205" s="971"/>
      <c r="B205" s="957"/>
      <c r="C205" s="959" t="s">
        <v>2</v>
      </c>
      <c r="D205" s="957"/>
      <c r="E205" s="957"/>
      <c r="F205" s="23" t="s">
        <v>3</v>
      </c>
      <c r="G205" s="24" t="s">
        <v>4</v>
      </c>
    </row>
    <row r="206" spans="1:11" s="2" customFormat="1" ht="68.25" customHeight="1">
      <c r="A206" s="1073" t="s">
        <v>398</v>
      </c>
      <c r="B206" s="944"/>
      <c r="C206" s="980" t="s">
        <v>399</v>
      </c>
      <c r="D206" s="944"/>
      <c r="E206" s="944"/>
      <c r="F206" s="51" t="s">
        <v>28</v>
      </c>
      <c r="G206" s="52">
        <v>27</v>
      </c>
    </row>
    <row r="207" spans="1:11" s="35" customFormat="1" ht="13.8">
      <c r="A207" s="1071" t="s">
        <v>5</v>
      </c>
      <c r="B207" s="944"/>
      <c r="C207" s="944"/>
      <c r="D207" s="944"/>
      <c r="E207" s="944"/>
      <c r="F207" s="944"/>
      <c r="G207" s="1072"/>
      <c r="H207" s="2"/>
      <c r="I207" s="2"/>
      <c r="J207" s="2"/>
      <c r="K207" s="2"/>
    </row>
    <row r="208" spans="1:11" s="2" customFormat="1" ht="15.75" customHeight="1">
      <c r="A208" s="1074" t="s">
        <v>2</v>
      </c>
      <c r="B208" s="944"/>
      <c r="C208" s="53" t="s">
        <v>3</v>
      </c>
      <c r="D208" s="53" t="s">
        <v>4</v>
      </c>
      <c r="E208" s="53" t="s">
        <v>6</v>
      </c>
      <c r="F208" s="53" t="s">
        <v>7</v>
      </c>
      <c r="G208" s="1075" t="s">
        <v>8</v>
      </c>
    </row>
    <row r="209" spans="1:7" s="2" customFormat="1" ht="15.75" customHeight="1">
      <c r="A209" s="947" t="s">
        <v>167</v>
      </c>
      <c r="B209" s="944"/>
      <c r="C209" s="51" t="s">
        <v>3</v>
      </c>
      <c r="D209" s="16">
        <v>0.05</v>
      </c>
      <c r="E209" s="17">
        <f>G226</f>
        <v>27341</v>
      </c>
      <c r="F209" s="55">
        <f>D209*E209</f>
        <v>1367.0500000000002</v>
      </c>
      <c r="G209" s="1072"/>
    </row>
    <row r="210" spans="1:7" s="2" customFormat="1" ht="15.75" customHeight="1">
      <c r="A210" s="1079"/>
      <c r="B210" s="944"/>
      <c r="C210" s="56"/>
      <c r="D210" s="56"/>
      <c r="E210" s="56"/>
      <c r="F210" s="55"/>
      <c r="G210" s="57">
        <f>SUM(F208:F210)</f>
        <v>1367.0500000000002</v>
      </c>
    </row>
    <row r="211" spans="1:7" s="2" customFormat="1" ht="15.75" customHeight="1">
      <c r="A211" s="1071" t="s">
        <v>10</v>
      </c>
      <c r="B211" s="944"/>
      <c r="C211" s="944"/>
      <c r="D211" s="944"/>
      <c r="E211" s="944"/>
      <c r="F211" s="944"/>
      <c r="G211" s="1072"/>
    </row>
    <row r="212" spans="1:7" s="2" customFormat="1" ht="15.75" customHeight="1">
      <c r="A212" s="1074" t="s">
        <v>2</v>
      </c>
      <c r="B212" s="944"/>
      <c r="C212" s="53" t="s">
        <v>3</v>
      </c>
      <c r="D212" s="53" t="s">
        <v>4</v>
      </c>
      <c r="E212" s="53" t="s">
        <v>6</v>
      </c>
      <c r="F212" s="53" t="s">
        <v>11</v>
      </c>
      <c r="G212" s="1075" t="s">
        <v>8</v>
      </c>
    </row>
    <row r="213" spans="1:7" s="2" customFormat="1" ht="30" customHeight="1">
      <c r="A213" s="947" t="s">
        <v>400</v>
      </c>
      <c r="B213" s="944"/>
      <c r="C213" s="16" t="s">
        <v>3</v>
      </c>
      <c r="D213" s="16">
        <v>1</v>
      </c>
      <c r="E213" s="17">
        <f>'INSUMOS '!E332+'INSUMOS '!E33</f>
        <v>264900</v>
      </c>
      <c r="F213" s="55">
        <f>D213*E213</f>
        <v>264900</v>
      </c>
      <c r="G213" s="1075"/>
    </row>
    <row r="214" spans="1:7" s="2" customFormat="1" ht="15.75" customHeight="1">
      <c r="A214" s="947" t="s">
        <v>381</v>
      </c>
      <c r="B214" s="980"/>
      <c r="C214" s="16" t="s">
        <v>3</v>
      </c>
      <c r="D214" s="16">
        <v>1</v>
      </c>
      <c r="E214" s="17">
        <f>'INSUMOS '!E102</f>
        <v>27650</v>
      </c>
      <c r="F214" s="55">
        <f>E214*D214</f>
        <v>27650</v>
      </c>
      <c r="G214" s="1075"/>
    </row>
    <row r="215" spans="1:7" s="2" customFormat="1" ht="15.75" customHeight="1">
      <c r="A215" s="947" t="s">
        <v>382</v>
      </c>
      <c r="B215" s="980"/>
      <c r="C215" s="16" t="s">
        <v>3</v>
      </c>
      <c r="D215" s="16">
        <v>1</v>
      </c>
      <c r="E215" s="17">
        <f>'INSUMOS '!E103</f>
        <v>47900</v>
      </c>
      <c r="F215" s="55">
        <f>E215*D215</f>
        <v>47900</v>
      </c>
      <c r="G215" s="1075"/>
    </row>
    <row r="216" spans="1:7" s="2" customFormat="1" ht="15.75" customHeight="1">
      <c r="A216" s="947" t="s">
        <v>383</v>
      </c>
      <c r="B216" s="944"/>
      <c r="C216" s="16" t="s">
        <v>3</v>
      </c>
      <c r="D216" s="16">
        <v>1</v>
      </c>
      <c r="E216" s="17">
        <f>'INSUMOS '!E33</f>
        <v>30900</v>
      </c>
      <c r="F216" s="55">
        <f>E216*D216</f>
        <v>30900</v>
      </c>
      <c r="G216" s="1075"/>
    </row>
    <row r="217" spans="1:7" s="2" customFormat="1" ht="15.75" customHeight="1">
      <c r="A217" s="947" t="s">
        <v>401</v>
      </c>
      <c r="B217" s="980"/>
      <c r="C217" s="16" t="s">
        <v>100</v>
      </c>
      <c r="D217" s="16">
        <v>0.4</v>
      </c>
      <c r="E217" s="17">
        <f>'INSUMOS '!E107</f>
        <v>21900</v>
      </c>
      <c r="F217" s="55">
        <f>E217*D217</f>
        <v>8760</v>
      </c>
      <c r="G217" s="1075"/>
    </row>
    <row r="218" spans="1:7" s="2" customFormat="1" ht="15.75" customHeight="1">
      <c r="A218" s="947" t="s">
        <v>384</v>
      </c>
      <c r="B218" s="944"/>
      <c r="C218" s="16" t="s">
        <v>3</v>
      </c>
      <c r="D218" s="16">
        <v>1</v>
      </c>
      <c r="E218" s="17">
        <f>'INSUMOS '!E34</f>
        <v>15000</v>
      </c>
      <c r="F218" s="55">
        <f>E218*D218</f>
        <v>15000</v>
      </c>
      <c r="G218" s="57">
        <f>SUM(F212:F218)</f>
        <v>395110</v>
      </c>
    </row>
    <row r="219" spans="1:7" s="2" customFormat="1" ht="15.75" customHeight="1">
      <c r="A219" s="1071" t="s">
        <v>15</v>
      </c>
      <c r="B219" s="944"/>
      <c r="C219" s="944"/>
      <c r="D219" s="944"/>
      <c r="E219" s="944"/>
      <c r="F219" s="944"/>
      <c r="G219" s="1072"/>
    </row>
    <row r="220" spans="1:7" s="2" customFormat="1" ht="15.75" customHeight="1">
      <c r="A220" s="1074" t="s">
        <v>2</v>
      </c>
      <c r="B220" s="944"/>
      <c r="C220" s="53" t="s">
        <v>3</v>
      </c>
      <c r="D220" s="53" t="s">
        <v>4</v>
      </c>
      <c r="E220" s="53" t="s">
        <v>6</v>
      </c>
      <c r="F220" s="53" t="s">
        <v>11</v>
      </c>
      <c r="G220" s="1075" t="s">
        <v>8</v>
      </c>
    </row>
    <row r="221" spans="1:7" s="2" customFormat="1" ht="15.75" customHeight="1">
      <c r="A221" s="943" t="s">
        <v>225</v>
      </c>
      <c r="B221" s="1078"/>
      <c r="C221" s="16" t="s">
        <v>3</v>
      </c>
      <c r="D221" s="54">
        <v>3.5000000000000003E-2</v>
      </c>
      <c r="E221" s="17">
        <f>+G218</f>
        <v>395110</v>
      </c>
      <c r="F221" s="55">
        <f>E221*D221</f>
        <v>13828.850000000002</v>
      </c>
      <c r="G221" s="1075"/>
    </row>
    <row r="222" spans="1:7" s="2" customFormat="1" ht="15.75" customHeight="1">
      <c r="A222" s="943" t="s">
        <v>335</v>
      </c>
      <c r="B222" s="1078"/>
      <c r="C222" s="16" t="s">
        <v>3</v>
      </c>
      <c r="D222" s="54">
        <v>3.5000000000000003E-2</v>
      </c>
      <c r="E222" s="17">
        <f>G210</f>
        <v>1367.0500000000002</v>
      </c>
      <c r="F222" s="55">
        <f>E222*D222</f>
        <v>47.846750000000014</v>
      </c>
      <c r="G222" s="1075"/>
    </row>
    <row r="223" spans="1:7" s="2" customFormat="1" ht="15.75" customHeight="1">
      <c r="A223" s="59"/>
      <c r="B223" s="60"/>
      <c r="C223" s="60"/>
      <c r="D223" s="60"/>
      <c r="E223" s="60"/>
      <c r="F223" s="60"/>
      <c r="G223" s="57">
        <f>SUM(F221:F223)</f>
        <v>13876.696750000003</v>
      </c>
    </row>
    <row r="224" spans="1:7" s="2" customFormat="1" ht="15.75" customHeight="1">
      <c r="A224" s="1071" t="s">
        <v>19</v>
      </c>
      <c r="B224" s="944"/>
      <c r="C224" s="944"/>
      <c r="D224" s="944"/>
      <c r="E224" s="944"/>
      <c r="F224" s="944"/>
      <c r="G224" s="1072"/>
    </row>
    <row r="225" spans="1:11" s="2" customFormat="1" ht="15.75" customHeight="1">
      <c r="A225" s="1074" t="s">
        <v>2</v>
      </c>
      <c r="B225" s="944"/>
      <c r="C225" s="53" t="s">
        <v>3</v>
      </c>
      <c r="D225" s="53" t="s">
        <v>4</v>
      </c>
      <c r="E225" s="53" t="s">
        <v>6</v>
      </c>
      <c r="F225" s="53" t="s">
        <v>11</v>
      </c>
      <c r="G225" s="61" t="s">
        <v>8</v>
      </c>
    </row>
    <row r="226" spans="1:11" s="2" customFormat="1" ht="15.75" customHeight="1">
      <c r="A226" s="978" t="str">
        <f>SALARIOS!$A$69</f>
        <v>CUADRILLA BB INSTALACIONES 1:1</v>
      </c>
      <c r="B226" s="979"/>
      <c r="C226" s="13" t="s">
        <v>1245</v>
      </c>
      <c r="D226" s="32">
        <v>1</v>
      </c>
      <c r="E226" s="13">
        <f>SALARIOS!$C$69</f>
        <v>27341</v>
      </c>
      <c r="F226" s="55">
        <f>+D226*E226</f>
        <v>27341</v>
      </c>
      <c r="G226" s="57">
        <f>SUM(F225:F226)</f>
        <v>27341</v>
      </c>
    </row>
    <row r="227" spans="1:11" s="2" customFormat="1" ht="15.75" customHeight="1">
      <c r="A227" s="1076" t="s">
        <v>25</v>
      </c>
      <c r="B227" s="944"/>
      <c r="C227" s="944"/>
      <c r="D227" s="944"/>
      <c r="E227" s="944"/>
      <c r="F227" s="944"/>
      <c r="G227" s="1072"/>
    </row>
    <row r="228" spans="1:11" s="2" customFormat="1" ht="15.75" customHeight="1">
      <c r="A228" s="1077"/>
      <c r="B228" s="944"/>
      <c r="C228" s="944"/>
      <c r="D228" s="944"/>
      <c r="E228" s="944"/>
      <c r="F228" s="944"/>
      <c r="G228" s="62">
        <f>G226+G223+G218+G210</f>
        <v>437694.74674999999</v>
      </c>
      <c r="K228" s="35"/>
    </row>
    <row r="229" spans="1:11" s="2" customFormat="1" ht="15.75" customHeight="1">
      <c r="A229" s="63"/>
      <c r="B229" s="42"/>
      <c r="C229" s="42"/>
      <c r="D229" s="42"/>
      <c r="E229" s="42"/>
      <c r="F229" s="42"/>
      <c r="G229" s="64"/>
    </row>
    <row r="230" spans="1:11" s="2" customFormat="1" ht="15.75" customHeight="1">
      <c r="A230" s="970" t="s">
        <v>1</v>
      </c>
      <c r="B230" s="957"/>
      <c r="C230" s="953" t="s">
        <v>0</v>
      </c>
      <c r="D230" s="954"/>
      <c r="E230" s="954"/>
      <c r="F230" s="954"/>
      <c r="G230" s="955"/>
    </row>
    <row r="231" spans="1:11" s="2" customFormat="1" ht="50.25" customHeight="1">
      <c r="A231" s="971"/>
      <c r="B231" s="957"/>
      <c r="C231" s="954"/>
      <c r="D231" s="954"/>
      <c r="E231" s="954"/>
      <c r="F231" s="954"/>
      <c r="G231" s="955"/>
    </row>
    <row r="232" spans="1:11" s="2" customFormat="1" ht="17.399999999999999">
      <c r="A232" s="971"/>
      <c r="B232" s="957"/>
      <c r="C232" s="956"/>
      <c r="D232" s="957"/>
      <c r="E232" s="957"/>
      <c r="F232" s="957"/>
      <c r="G232" s="958"/>
    </row>
    <row r="233" spans="1:11" s="2" customFormat="1" ht="13.8">
      <c r="A233" s="971"/>
      <c r="B233" s="957"/>
      <c r="C233" s="959" t="s">
        <v>2</v>
      </c>
      <c r="D233" s="957"/>
      <c r="E233" s="957"/>
      <c r="F233" s="23" t="s">
        <v>3</v>
      </c>
      <c r="G233" s="24" t="s">
        <v>4</v>
      </c>
    </row>
    <row r="234" spans="1:11" s="2" customFormat="1" ht="66.75" customHeight="1">
      <c r="A234" s="1073" t="s">
        <v>1852</v>
      </c>
      <c r="B234" s="944"/>
      <c r="C234" s="980" t="s">
        <v>1853</v>
      </c>
      <c r="D234" s="944"/>
      <c r="E234" s="944"/>
      <c r="F234" s="16" t="s">
        <v>28</v>
      </c>
      <c r="G234" s="52">
        <v>1</v>
      </c>
    </row>
    <row r="235" spans="1:11" s="35" customFormat="1" ht="13.8">
      <c r="A235" s="1071" t="s">
        <v>5</v>
      </c>
      <c r="B235" s="944"/>
      <c r="C235" s="944"/>
      <c r="D235" s="944"/>
      <c r="E235" s="944"/>
      <c r="F235" s="944"/>
      <c r="G235" s="1072"/>
      <c r="H235" s="2"/>
      <c r="I235" s="2"/>
      <c r="J235" s="2"/>
      <c r="K235" s="2"/>
    </row>
    <row r="236" spans="1:11" s="2" customFormat="1" ht="15.75" customHeight="1">
      <c r="A236" s="1074" t="s">
        <v>2</v>
      </c>
      <c r="B236" s="944"/>
      <c r="C236" s="53" t="s">
        <v>3</v>
      </c>
      <c r="D236" s="53" t="s">
        <v>4</v>
      </c>
      <c r="E236" s="53" t="s">
        <v>6</v>
      </c>
      <c r="F236" s="53" t="s">
        <v>7</v>
      </c>
      <c r="G236" s="61" t="s">
        <v>8</v>
      </c>
    </row>
    <row r="237" spans="1:11" s="2" customFormat="1" ht="15.75" customHeight="1">
      <c r="A237" s="947" t="s">
        <v>328</v>
      </c>
      <c r="B237" s="944"/>
      <c r="C237" s="51" t="s">
        <v>3</v>
      </c>
      <c r="D237" s="54">
        <v>0.05</v>
      </c>
      <c r="E237" s="17">
        <f>G252</f>
        <v>27341</v>
      </c>
      <c r="F237" s="55">
        <f>D237*E237</f>
        <v>1367.0500000000002</v>
      </c>
      <c r="G237" s="57">
        <f>F237</f>
        <v>1367.0500000000002</v>
      </c>
    </row>
    <row r="238" spans="1:11" s="2" customFormat="1" ht="15.75" customHeight="1">
      <c r="A238" s="1071" t="s">
        <v>10</v>
      </c>
      <c r="B238" s="944"/>
      <c r="C238" s="944"/>
      <c r="D238" s="944"/>
      <c r="E238" s="944"/>
      <c r="F238" s="944"/>
      <c r="G238" s="1072"/>
    </row>
    <row r="239" spans="1:11" s="2" customFormat="1" ht="13.8">
      <c r="A239" s="1074" t="s">
        <v>2</v>
      </c>
      <c r="B239" s="944"/>
      <c r="C239" s="53" t="s">
        <v>3</v>
      </c>
      <c r="D239" s="53" t="s">
        <v>4</v>
      </c>
      <c r="E239" s="53" t="s">
        <v>6</v>
      </c>
      <c r="F239" s="53" t="s">
        <v>11</v>
      </c>
      <c r="G239" s="1029" t="s">
        <v>8</v>
      </c>
    </row>
    <row r="240" spans="1:11" s="2" customFormat="1" ht="13.8">
      <c r="A240" s="947" t="s">
        <v>2446</v>
      </c>
      <c r="B240" s="944"/>
      <c r="C240" s="16" t="s">
        <v>3</v>
      </c>
      <c r="D240" s="16">
        <v>1</v>
      </c>
      <c r="E240" s="17">
        <f>'INSUMOS '!E34</f>
        <v>15000</v>
      </c>
      <c r="F240" s="55">
        <f>D240*E240</f>
        <v>15000</v>
      </c>
      <c r="G240" s="1030"/>
    </row>
    <row r="241" spans="1:11" s="2" customFormat="1" ht="13.8">
      <c r="A241" s="947" t="s">
        <v>2447</v>
      </c>
      <c r="B241" s="944"/>
      <c r="C241" s="16" t="s">
        <v>3</v>
      </c>
      <c r="D241" s="16">
        <v>1</v>
      </c>
      <c r="E241" s="17">
        <f>'INSUMOS '!E105</f>
        <v>67900</v>
      </c>
      <c r="F241" s="55">
        <f>D241*E241</f>
        <v>67900</v>
      </c>
      <c r="G241" s="1030"/>
    </row>
    <row r="242" spans="1:11" s="2" customFormat="1" ht="13.8">
      <c r="A242" s="1015" t="s">
        <v>2448</v>
      </c>
      <c r="B242" s="1016"/>
      <c r="C242" s="16" t="s">
        <v>3</v>
      </c>
      <c r="D242" s="16">
        <v>1</v>
      </c>
      <c r="E242" s="17">
        <f>'INSUMOS '!E338</f>
        <v>631900</v>
      </c>
      <c r="F242" s="55">
        <f>D242*E242</f>
        <v>631900</v>
      </c>
      <c r="G242" s="1030"/>
    </row>
    <row r="243" spans="1:11" s="2" customFormat="1" ht="13.8">
      <c r="A243" s="1015" t="s">
        <v>2452</v>
      </c>
      <c r="B243" s="1016"/>
      <c r="C243" s="16" t="s">
        <v>3</v>
      </c>
      <c r="D243" s="16">
        <v>1</v>
      </c>
      <c r="E243" s="17">
        <f>'INSUMOS '!E339</f>
        <v>54900</v>
      </c>
      <c r="F243" s="55">
        <f>D243*E243</f>
        <v>54900</v>
      </c>
      <c r="G243" s="1030"/>
    </row>
    <row r="244" spans="1:11" s="2" customFormat="1" ht="13.8">
      <c r="A244" s="1015" t="s">
        <v>250</v>
      </c>
      <c r="B244" s="1016"/>
      <c r="C244" s="16" t="s">
        <v>39</v>
      </c>
      <c r="D244" s="16">
        <v>0.01</v>
      </c>
      <c r="E244" s="17">
        <f>SUBANÁLISIS!G89</f>
        <v>431833.82500000001</v>
      </c>
      <c r="F244" s="55">
        <f>D244*E244</f>
        <v>4318.3382499999998</v>
      </c>
      <c r="G244" s="1031"/>
    </row>
    <row r="245" spans="1:11" s="2" customFormat="1" ht="15.75" customHeight="1">
      <c r="A245" s="947"/>
      <c r="B245" s="944"/>
      <c r="C245" s="16"/>
      <c r="D245" s="58"/>
      <c r="E245" s="17"/>
      <c r="F245" s="55"/>
      <c r="G245" s="57">
        <f>SUM(F239:F245)</f>
        <v>774018.33825000003</v>
      </c>
    </row>
    <row r="246" spans="1:11" s="2" customFormat="1" ht="15.75" customHeight="1">
      <c r="A246" s="1071" t="s">
        <v>15</v>
      </c>
      <c r="B246" s="944"/>
      <c r="C246" s="944"/>
      <c r="D246" s="944"/>
      <c r="E246" s="944"/>
      <c r="F246" s="944"/>
      <c r="G246" s="1072"/>
    </row>
    <row r="247" spans="1:11" s="2" customFormat="1" ht="15.75" customHeight="1">
      <c r="A247" s="1074" t="s">
        <v>2</v>
      </c>
      <c r="B247" s="944"/>
      <c r="C247" s="53" t="s">
        <v>3</v>
      </c>
      <c r="D247" s="53" t="s">
        <v>4</v>
      </c>
      <c r="E247" s="53" t="s">
        <v>6</v>
      </c>
      <c r="F247" s="53" t="s">
        <v>11</v>
      </c>
      <c r="G247" s="1075" t="s">
        <v>8</v>
      </c>
    </row>
    <row r="248" spans="1:11" s="2" customFormat="1" ht="15.75" customHeight="1">
      <c r="A248" s="943" t="s">
        <v>173</v>
      </c>
      <c r="B248" s="944"/>
      <c r="C248" s="16" t="s">
        <v>3</v>
      </c>
      <c r="D248" s="54">
        <v>3.5000000000000003E-2</v>
      </c>
      <c r="E248" s="17">
        <f>G245</f>
        <v>774018.33825000003</v>
      </c>
      <c r="F248" s="55">
        <f>E248*D248</f>
        <v>27090.641838750005</v>
      </c>
      <c r="G248" s="1072"/>
    </row>
    <row r="249" spans="1:11" s="2" customFormat="1" ht="15.75" customHeight="1">
      <c r="A249" s="59"/>
      <c r="B249" s="60"/>
      <c r="C249" s="60"/>
      <c r="D249" s="60"/>
      <c r="E249" s="60"/>
      <c r="F249" s="60"/>
      <c r="G249" s="57">
        <f>SUM(F248:F249)</f>
        <v>27090.641838750005</v>
      </c>
    </row>
    <row r="250" spans="1:11" s="2" customFormat="1" ht="15.75" customHeight="1">
      <c r="A250" s="1071" t="s">
        <v>19</v>
      </c>
      <c r="B250" s="944"/>
      <c r="C250" s="944"/>
      <c r="D250" s="944"/>
      <c r="E250" s="944"/>
      <c r="F250" s="944"/>
      <c r="G250" s="1072"/>
    </row>
    <row r="251" spans="1:11" s="2" customFormat="1" ht="15.75" customHeight="1">
      <c r="A251" s="1074" t="s">
        <v>2</v>
      </c>
      <c r="B251" s="944"/>
      <c r="C251" s="53" t="s">
        <v>3</v>
      </c>
      <c r="D251" s="53" t="s">
        <v>4</v>
      </c>
      <c r="E251" s="53" t="s">
        <v>6</v>
      </c>
      <c r="F251" s="53" t="s">
        <v>11</v>
      </c>
      <c r="G251" s="61" t="s">
        <v>8</v>
      </c>
    </row>
    <row r="252" spans="1:11" s="2" customFormat="1" ht="15.75" customHeight="1">
      <c r="A252" s="978" t="str">
        <f>SALARIOS!$A$69</f>
        <v>CUADRILLA BB INSTALACIONES 1:1</v>
      </c>
      <c r="B252" s="979"/>
      <c r="C252" s="13" t="s">
        <v>1245</v>
      </c>
      <c r="D252" s="32">
        <v>1</v>
      </c>
      <c r="E252" s="13">
        <f>SALARIOS!$C$69</f>
        <v>27341</v>
      </c>
      <c r="F252" s="55">
        <f>+D252*E252</f>
        <v>27341</v>
      </c>
      <c r="G252" s="57">
        <f>SUM(F251:F252)</f>
        <v>27341</v>
      </c>
      <c r="K252" s="35"/>
    </row>
    <row r="253" spans="1:11" s="2" customFormat="1" ht="13.8">
      <c r="A253" s="1076" t="s">
        <v>25</v>
      </c>
      <c r="B253" s="944"/>
      <c r="C253" s="944"/>
      <c r="D253" s="944"/>
      <c r="E253" s="944"/>
      <c r="F253" s="944"/>
      <c r="G253" s="1072"/>
    </row>
    <row r="254" spans="1:11" s="2" customFormat="1" ht="15.75" customHeight="1">
      <c r="A254" s="1077"/>
      <c r="B254" s="944"/>
      <c r="C254" s="944"/>
      <c r="D254" s="944"/>
      <c r="E254" s="944"/>
      <c r="F254" s="944"/>
      <c r="G254" s="62">
        <f>G252+G249+G245+G237</f>
        <v>829817.03008875006</v>
      </c>
    </row>
    <row r="255" spans="1:11" s="2" customFormat="1" ht="15.75" customHeight="1">
      <c r="A255" s="63"/>
      <c r="B255" s="42"/>
      <c r="C255" s="42"/>
      <c r="D255" s="42"/>
      <c r="E255" s="42"/>
      <c r="F255" s="42"/>
      <c r="G255" s="64"/>
    </row>
    <row r="256" spans="1:11" s="2" customFormat="1" ht="15.75" customHeight="1">
      <c r="A256" s="970" t="s">
        <v>1</v>
      </c>
      <c r="B256" s="957"/>
      <c r="C256" s="953" t="s">
        <v>0</v>
      </c>
      <c r="D256" s="954"/>
      <c r="E256" s="954"/>
      <c r="F256" s="954"/>
      <c r="G256" s="955"/>
    </row>
    <row r="257" spans="1:11" s="2" customFormat="1" ht="50.25" customHeight="1">
      <c r="A257" s="971"/>
      <c r="B257" s="957"/>
      <c r="C257" s="954"/>
      <c r="D257" s="954"/>
      <c r="E257" s="954"/>
      <c r="F257" s="954"/>
      <c r="G257" s="955"/>
    </row>
    <row r="258" spans="1:11" s="2" customFormat="1" ht="17.399999999999999">
      <c r="A258" s="971"/>
      <c r="B258" s="957"/>
      <c r="C258" s="956"/>
      <c r="D258" s="957"/>
      <c r="E258" s="957"/>
      <c r="F258" s="957"/>
      <c r="G258" s="958"/>
    </row>
    <row r="259" spans="1:11" s="2" customFormat="1" ht="13.8">
      <c r="A259" s="971"/>
      <c r="B259" s="957"/>
      <c r="C259" s="959" t="s">
        <v>2</v>
      </c>
      <c r="D259" s="957"/>
      <c r="E259" s="957"/>
      <c r="F259" s="23" t="s">
        <v>3</v>
      </c>
      <c r="G259" s="24" t="s">
        <v>4</v>
      </c>
    </row>
    <row r="260" spans="1:11" s="2" customFormat="1" ht="59.25" customHeight="1">
      <c r="A260" s="1073" t="s">
        <v>402</v>
      </c>
      <c r="B260" s="944"/>
      <c r="C260" s="980" t="s">
        <v>403</v>
      </c>
      <c r="D260" s="944"/>
      <c r="E260" s="944"/>
      <c r="F260" s="16" t="s">
        <v>28</v>
      </c>
      <c r="G260" s="52">
        <v>1</v>
      </c>
    </row>
    <row r="261" spans="1:11" s="35" customFormat="1" ht="13.8">
      <c r="A261" s="1071" t="s">
        <v>5</v>
      </c>
      <c r="B261" s="944"/>
      <c r="C261" s="944"/>
      <c r="D261" s="944"/>
      <c r="E261" s="944"/>
      <c r="F261" s="944"/>
      <c r="G261" s="1072"/>
      <c r="H261" s="2"/>
      <c r="I261" s="2"/>
      <c r="J261" s="2"/>
      <c r="K261" s="2"/>
    </row>
    <row r="262" spans="1:11" s="2" customFormat="1" ht="15.75" customHeight="1">
      <c r="A262" s="1074" t="s">
        <v>2</v>
      </c>
      <c r="B262" s="944"/>
      <c r="C262" s="53" t="s">
        <v>3</v>
      </c>
      <c r="D262" s="53" t="s">
        <v>4</v>
      </c>
      <c r="E262" s="53" t="s">
        <v>6</v>
      </c>
      <c r="F262" s="53" t="s">
        <v>7</v>
      </c>
      <c r="G262" s="61" t="s">
        <v>8</v>
      </c>
    </row>
    <row r="263" spans="1:11" s="2" customFormat="1" ht="15.75" customHeight="1">
      <c r="A263" s="947" t="s">
        <v>328</v>
      </c>
      <c r="B263" s="944"/>
      <c r="C263" s="51" t="s">
        <v>3</v>
      </c>
      <c r="D263" s="54">
        <v>0.05</v>
      </c>
      <c r="E263" s="17">
        <f>G274</f>
        <v>27341</v>
      </c>
      <c r="F263" s="55">
        <f>D263*E263</f>
        <v>1367.0500000000002</v>
      </c>
      <c r="G263" s="57">
        <f>F263</f>
        <v>1367.0500000000002</v>
      </c>
    </row>
    <row r="264" spans="1:11" s="2" customFormat="1" ht="15.75" customHeight="1">
      <c r="A264" s="1071" t="s">
        <v>10</v>
      </c>
      <c r="B264" s="944"/>
      <c r="C264" s="944"/>
      <c r="D264" s="944"/>
      <c r="E264" s="944"/>
      <c r="F264" s="944"/>
      <c r="G264" s="1072"/>
    </row>
    <row r="265" spans="1:11" s="2" customFormat="1" ht="13.8">
      <c r="A265" s="1074" t="s">
        <v>2</v>
      </c>
      <c r="B265" s="944"/>
      <c r="C265" s="53" t="s">
        <v>3</v>
      </c>
      <c r="D265" s="53" t="s">
        <v>4</v>
      </c>
      <c r="E265" s="53" t="s">
        <v>6</v>
      </c>
      <c r="F265" s="53" t="s">
        <v>11</v>
      </c>
      <c r="G265" s="1075" t="s">
        <v>8</v>
      </c>
    </row>
    <row r="266" spans="1:11" s="2" customFormat="1" ht="69.75" customHeight="1">
      <c r="A266" s="947" t="s">
        <v>2398</v>
      </c>
      <c r="B266" s="944"/>
      <c r="C266" s="16" t="s">
        <v>3</v>
      </c>
      <c r="D266" s="16">
        <v>1</v>
      </c>
      <c r="E266" s="17">
        <f>'INSUMOS '!E183</f>
        <v>180000</v>
      </c>
      <c r="F266" s="55">
        <f>D266*E266</f>
        <v>180000</v>
      </c>
      <c r="G266" s="1072"/>
    </row>
    <row r="267" spans="1:11" s="2" customFormat="1" ht="15.75" customHeight="1">
      <c r="A267" s="947"/>
      <c r="B267" s="944"/>
      <c r="C267" s="16"/>
      <c r="D267" s="58"/>
      <c r="E267" s="17"/>
      <c r="F267" s="55"/>
      <c r="G267" s="57">
        <f>SUM(F265:F267)</f>
        <v>180000</v>
      </c>
    </row>
    <row r="268" spans="1:11" s="2" customFormat="1" ht="15.75" customHeight="1">
      <c r="A268" s="1071" t="s">
        <v>15</v>
      </c>
      <c r="B268" s="944"/>
      <c r="C268" s="944"/>
      <c r="D268" s="944"/>
      <c r="E268" s="944"/>
      <c r="F268" s="944"/>
      <c r="G268" s="1072"/>
    </row>
    <row r="269" spans="1:11" s="2" customFormat="1" ht="15.75" customHeight="1">
      <c r="A269" s="1074" t="s">
        <v>2</v>
      </c>
      <c r="B269" s="944"/>
      <c r="C269" s="53" t="s">
        <v>3</v>
      </c>
      <c r="D269" s="53" t="s">
        <v>4</v>
      </c>
      <c r="E269" s="53" t="s">
        <v>6</v>
      </c>
      <c r="F269" s="53" t="s">
        <v>11</v>
      </c>
      <c r="G269" s="1075" t="s">
        <v>8</v>
      </c>
    </row>
    <row r="270" spans="1:11" s="2" customFormat="1" ht="15.75" customHeight="1">
      <c r="A270" s="943" t="s">
        <v>173</v>
      </c>
      <c r="B270" s="944"/>
      <c r="C270" s="16" t="s">
        <v>3</v>
      </c>
      <c r="D270" s="54">
        <v>3.5000000000000003E-2</v>
      </c>
      <c r="E270" s="17">
        <f>G267</f>
        <v>180000</v>
      </c>
      <c r="F270" s="55">
        <f>E270*D270</f>
        <v>6300.0000000000009</v>
      </c>
      <c r="G270" s="1072"/>
    </row>
    <row r="271" spans="1:11" s="2" customFormat="1" ht="15.75" customHeight="1">
      <c r="A271" s="59"/>
      <c r="B271" s="60"/>
      <c r="C271" s="60"/>
      <c r="D271" s="60"/>
      <c r="E271" s="60"/>
      <c r="F271" s="60"/>
      <c r="G271" s="57">
        <f>SUM(F270:F271)</f>
        <v>6300.0000000000009</v>
      </c>
    </row>
    <row r="272" spans="1:11" s="2" customFormat="1" ht="15.75" customHeight="1">
      <c r="A272" s="1071" t="s">
        <v>19</v>
      </c>
      <c r="B272" s="944"/>
      <c r="C272" s="944"/>
      <c r="D272" s="944"/>
      <c r="E272" s="944"/>
      <c r="F272" s="944"/>
      <c r="G272" s="1072"/>
    </row>
    <row r="273" spans="1:11" s="2" customFormat="1" ht="15.75" customHeight="1">
      <c r="A273" s="1074" t="s">
        <v>2</v>
      </c>
      <c r="B273" s="944"/>
      <c r="C273" s="53" t="s">
        <v>3</v>
      </c>
      <c r="D273" s="53" t="s">
        <v>4</v>
      </c>
      <c r="E273" s="53" t="s">
        <v>6</v>
      </c>
      <c r="F273" s="53" t="s">
        <v>11</v>
      </c>
      <c r="G273" s="61" t="s">
        <v>8</v>
      </c>
    </row>
    <row r="274" spans="1:11" s="2" customFormat="1" ht="15.75" customHeight="1">
      <c r="A274" s="978" t="str">
        <f>SALARIOS!$A$69</f>
        <v>CUADRILLA BB INSTALACIONES 1:1</v>
      </c>
      <c r="B274" s="979"/>
      <c r="C274" s="13" t="s">
        <v>1245</v>
      </c>
      <c r="D274" s="32">
        <v>1</v>
      </c>
      <c r="E274" s="13">
        <f>SALARIOS!$C$69</f>
        <v>27341</v>
      </c>
      <c r="F274" s="55">
        <f>+D274*E274</f>
        <v>27341</v>
      </c>
      <c r="G274" s="57">
        <f>SUM(F273:F274)</f>
        <v>27341</v>
      </c>
      <c r="K274" s="35"/>
    </row>
    <row r="275" spans="1:11" s="2" customFormat="1" ht="13.8">
      <c r="A275" s="1076" t="s">
        <v>25</v>
      </c>
      <c r="B275" s="944"/>
      <c r="C275" s="944"/>
      <c r="D275" s="944"/>
      <c r="E275" s="944"/>
      <c r="F275" s="944"/>
      <c r="G275" s="1072"/>
    </row>
    <row r="276" spans="1:11" s="2" customFormat="1" ht="15.75" customHeight="1">
      <c r="A276" s="1077"/>
      <c r="B276" s="944"/>
      <c r="C276" s="944"/>
      <c r="D276" s="944"/>
      <c r="E276" s="944"/>
      <c r="F276" s="944"/>
      <c r="G276" s="62">
        <f>G274+G271+G267+G263</f>
        <v>215008.05</v>
      </c>
    </row>
    <row r="277" spans="1:11" s="2" customFormat="1" ht="15.75" customHeight="1">
      <c r="A277" s="63"/>
      <c r="B277" s="42"/>
      <c r="C277" s="42"/>
      <c r="D277" s="42"/>
      <c r="E277" s="42"/>
      <c r="F277" s="42"/>
      <c r="G277" s="64"/>
    </row>
    <row r="278" spans="1:11" s="2" customFormat="1" ht="15.75" customHeight="1">
      <c r="A278" s="970" t="s">
        <v>1</v>
      </c>
      <c r="B278" s="957"/>
      <c r="C278" s="953" t="s">
        <v>0</v>
      </c>
      <c r="D278" s="954"/>
      <c r="E278" s="954"/>
      <c r="F278" s="954"/>
      <c r="G278" s="955"/>
    </row>
    <row r="279" spans="1:11" s="2" customFormat="1" ht="54" customHeight="1">
      <c r="A279" s="971"/>
      <c r="B279" s="957"/>
      <c r="C279" s="954"/>
      <c r="D279" s="954"/>
      <c r="E279" s="954"/>
      <c r="F279" s="954"/>
      <c r="G279" s="955"/>
    </row>
    <row r="280" spans="1:11" s="2" customFormat="1" ht="15.75" customHeight="1">
      <c r="A280" s="971"/>
      <c r="B280" s="957"/>
      <c r="C280" s="956"/>
      <c r="D280" s="957"/>
      <c r="E280" s="957"/>
      <c r="F280" s="957"/>
      <c r="G280" s="958"/>
    </row>
    <row r="281" spans="1:11" s="35" customFormat="1" ht="13.8">
      <c r="A281" s="971"/>
      <c r="B281" s="957"/>
      <c r="C281" s="959" t="s">
        <v>2</v>
      </c>
      <c r="D281" s="957"/>
      <c r="E281" s="957"/>
      <c r="F281" s="23" t="s">
        <v>3</v>
      </c>
      <c r="G281" s="24" t="s">
        <v>4</v>
      </c>
      <c r="H281" s="2"/>
      <c r="I281" s="2"/>
      <c r="J281" s="2"/>
      <c r="K281" s="2"/>
    </row>
    <row r="282" spans="1:11" s="2" customFormat="1" ht="67.5" customHeight="1">
      <c r="A282" s="1073" t="s">
        <v>404</v>
      </c>
      <c r="B282" s="944"/>
      <c r="C282" s="980" t="s">
        <v>405</v>
      </c>
      <c r="D282" s="944"/>
      <c r="E282" s="944"/>
      <c r="F282" s="51" t="s">
        <v>28</v>
      </c>
      <c r="G282" s="134">
        <v>1</v>
      </c>
    </row>
    <row r="283" spans="1:11" s="2" customFormat="1" ht="15.75" customHeight="1">
      <c r="A283" s="1071" t="s">
        <v>5</v>
      </c>
      <c r="B283" s="944"/>
      <c r="C283" s="944"/>
      <c r="D283" s="944"/>
      <c r="E283" s="944"/>
      <c r="F283" s="944"/>
      <c r="G283" s="1072"/>
    </row>
    <row r="284" spans="1:11" s="2" customFormat="1" ht="15.75" customHeight="1">
      <c r="A284" s="1074" t="s">
        <v>2</v>
      </c>
      <c r="B284" s="944"/>
      <c r="C284" s="53" t="s">
        <v>3</v>
      </c>
      <c r="D284" s="53" t="s">
        <v>4</v>
      </c>
      <c r="E284" s="53" t="s">
        <v>6</v>
      </c>
      <c r="F284" s="53" t="s">
        <v>11</v>
      </c>
      <c r="G284" s="61" t="s">
        <v>8</v>
      </c>
    </row>
    <row r="285" spans="1:11" s="2" customFormat="1" ht="15.75" customHeight="1">
      <c r="A285" s="947" t="s">
        <v>328</v>
      </c>
      <c r="B285" s="944"/>
      <c r="C285" s="51" t="s">
        <v>3</v>
      </c>
      <c r="D285" s="54">
        <v>0.05</v>
      </c>
      <c r="E285" s="17">
        <f>G296</f>
        <v>27341</v>
      </c>
      <c r="F285" s="55">
        <f>D285*E285</f>
        <v>1367.0500000000002</v>
      </c>
      <c r="G285" s="57">
        <f>F285</f>
        <v>1367.0500000000002</v>
      </c>
    </row>
    <row r="286" spans="1:11" s="2" customFormat="1" ht="15.75" customHeight="1">
      <c r="A286" s="1071" t="s">
        <v>10</v>
      </c>
      <c r="B286" s="944"/>
      <c r="C286" s="944"/>
      <c r="D286" s="944"/>
      <c r="E286" s="944"/>
      <c r="F286" s="944"/>
      <c r="G286" s="1072"/>
    </row>
    <row r="287" spans="1:11" s="2" customFormat="1" ht="25.5" customHeight="1">
      <c r="A287" s="1074" t="s">
        <v>2</v>
      </c>
      <c r="B287" s="944"/>
      <c r="C287" s="53" t="s">
        <v>3</v>
      </c>
      <c r="D287" s="53" t="s">
        <v>4</v>
      </c>
      <c r="E287" s="53" t="s">
        <v>6</v>
      </c>
      <c r="F287" s="53" t="s">
        <v>11</v>
      </c>
      <c r="G287" s="1075" t="s">
        <v>8</v>
      </c>
    </row>
    <row r="288" spans="1:11" s="2" customFormat="1" ht="81" customHeight="1">
      <c r="A288" s="947" t="s">
        <v>2400</v>
      </c>
      <c r="B288" s="944"/>
      <c r="C288" s="16" t="s">
        <v>3</v>
      </c>
      <c r="D288" s="16">
        <v>1</v>
      </c>
      <c r="E288" s="17">
        <f>'INSUMOS '!E184</f>
        <v>3015000</v>
      </c>
      <c r="F288" s="55">
        <f>D288*E288</f>
        <v>3015000</v>
      </c>
      <c r="G288" s="1072"/>
    </row>
    <row r="289" spans="1:11" s="2" customFormat="1" ht="15.75" customHeight="1">
      <c r="A289" s="947"/>
      <c r="B289" s="944"/>
      <c r="C289" s="16"/>
      <c r="D289" s="58"/>
      <c r="E289" s="17"/>
      <c r="F289" s="55"/>
      <c r="G289" s="57">
        <f>SUM(F287:F289)</f>
        <v>3015000</v>
      </c>
    </row>
    <row r="290" spans="1:11" s="2" customFormat="1" ht="15.75" customHeight="1">
      <c r="A290" s="1071" t="s">
        <v>15</v>
      </c>
      <c r="B290" s="944"/>
      <c r="C290" s="944"/>
      <c r="D290" s="944"/>
      <c r="E290" s="944"/>
      <c r="F290" s="944"/>
      <c r="G290" s="1072"/>
    </row>
    <row r="291" spans="1:11" s="2" customFormat="1" ht="15.75" customHeight="1">
      <c r="A291" s="1074" t="s">
        <v>2</v>
      </c>
      <c r="B291" s="944"/>
      <c r="C291" s="53" t="s">
        <v>3</v>
      </c>
      <c r="D291" s="53" t="s">
        <v>4</v>
      </c>
      <c r="E291" s="53" t="s">
        <v>6</v>
      </c>
      <c r="F291" s="53" t="s">
        <v>11</v>
      </c>
      <c r="G291" s="1075" t="s">
        <v>8</v>
      </c>
    </row>
    <row r="292" spans="1:11" s="2" customFormat="1" ht="13.8">
      <c r="A292" s="943" t="s">
        <v>173</v>
      </c>
      <c r="B292" s="944"/>
      <c r="C292" s="16" t="s">
        <v>3</v>
      </c>
      <c r="D292" s="54">
        <v>3.5000000000000003E-2</v>
      </c>
      <c r="E292" s="17">
        <f>G289</f>
        <v>3015000</v>
      </c>
      <c r="F292" s="55">
        <f>E292*D292</f>
        <v>105525.00000000001</v>
      </c>
      <c r="G292" s="1072"/>
    </row>
    <row r="293" spans="1:11" s="2" customFormat="1" ht="15.75" customHeight="1">
      <c r="A293" s="59"/>
      <c r="B293" s="60"/>
      <c r="C293" s="60"/>
      <c r="D293" s="60"/>
      <c r="E293" s="60"/>
      <c r="F293" s="60"/>
      <c r="G293" s="57">
        <f>SUM(F292:F293)</f>
        <v>105525.00000000001</v>
      </c>
    </row>
    <row r="294" spans="1:11" s="2" customFormat="1" ht="15.75" customHeight="1">
      <c r="A294" s="1071" t="s">
        <v>19</v>
      </c>
      <c r="B294" s="944"/>
      <c r="C294" s="944"/>
      <c r="D294" s="944"/>
      <c r="E294" s="944"/>
      <c r="F294" s="944"/>
      <c r="G294" s="1072"/>
    </row>
    <row r="295" spans="1:11" s="2" customFormat="1" ht="15.75" customHeight="1">
      <c r="A295" s="1074" t="s">
        <v>2</v>
      </c>
      <c r="B295" s="944"/>
      <c r="C295" s="53" t="s">
        <v>3</v>
      </c>
      <c r="D295" s="53" t="s">
        <v>4</v>
      </c>
      <c r="E295" s="53" t="s">
        <v>6</v>
      </c>
      <c r="F295" s="53" t="s">
        <v>11</v>
      </c>
      <c r="G295" s="61" t="s">
        <v>8</v>
      </c>
    </row>
    <row r="296" spans="1:11" s="2" customFormat="1" ht="15.75" customHeight="1">
      <c r="A296" s="978" t="str">
        <f>SALARIOS!$A$69</f>
        <v>CUADRILLA BB INSTALACIONES 1:1</v>
      </c>
      <c r="B296" s="979"/>
      <c r="C296" s="13" t="s">
        <v>1245</v>
      </c>
      <c r="D296" s="32">
        <v>1</v>
      </c>
      <c r="E296" s="13">
        <f>SALARIOS!$C$69</f>
        <v>27341</v>
      </c>
      <c r="F296" s="55">
        <f>+D296*E296</f>
        <v>27341</v>
      </c>
      <c r="G296" s="57">
        <f>SUM(F295:F296)</f>
        <v>27341</v>
      </c>
      <c r="K296" s="35"/>
    </row>
    <row r="297" spans="1:11" s="2" customFormat="1" ht="15.75" customHeight="1">
      <c r="A297" s="1076" t="s">
        <v>25</v>
      </c>
      <c r="B297" s="944"/>
      <c r="C297" s="944"/>
      <c r="D297" s="944"/>
      <c r="E297" s="944"/>
      <c r="F297" s="944"/>
      <c r="G297" s="1072"/>
    </row>
    <row r="298" spans="1:11" s="2" customFormat="1" ht="15.75" customHeight="1">
      <c r="A298" s="1077"/>
      <c r="B298" s="944"/>
      <c r="C298" s="944"/>
      <c r="D298" s="944"/>
      <c r="E298" s="944"/>
      <c r="F298" s="944"/>
      <c r="G298" s="62">
        <f>G296+G293+G289+G285</f>
        <v>3149233.05</v>
      </c>
    </row>
    <row r="299" spans="1:11" s="2" customFormat="1" ht="15.75" customHeight="1">
      <c r="A299" s="63"/>
      <c r="B299" s="42"/>
      <c r="C299" s="42"/>
      <c r="D299" s="42"/>
      <c r="E299" s="42"/>
      <c r="F299" s="42"/>
      <c r="G299" s="64"/>
    </row>
    <row r="300" spans="1:11" s="2" customFormat="1" ht="15.75" customHeight="1">
      <c r="A300" s="970" t="s">
        <v>1</v>
      </c>
      <c r="B300" s="957"/>
      <c r="C300" s="953" t="s">
        <v>0</v>
      </c>
      <c r="D300" s="954"/>
      <c r="E300" s="954"/>
      <c r="F300" s="954"/>
      <c r="G300" s="955"/>
    </row>
    <row r="301" spans="1:11" s="2" customFormat="1" ht="63.75" customHeight="1">
      <c r="A301" s="971"/>
      <c r="B301" s="957"/>
      <c r="C301" s="954"/>
      <c r="D301" s="954"/>
      <c r="E301" s="954"/>
      <c r="F301" s="954"/>
      <c r="G301" s="955"/>
    </row>
    <row r="302" spans="1:11" s="2" customFormat="1" ht="15.75" customHeight="1">
      <c r="A302" s="971"/>
      <c r="B302" s="957"/>
      <c r="C302" s="956"/>
      <c r="D302" s="957"/>
      <c r="E302" s="957"/>
      <c r="F302" s="957"/>
      <c r="G302" s="958"/>
    </row>
    <row r="303" spans="1:11" s="35" customFormat="1" ht="13.8">
      <c r="A303" s="971"/>
      <c r="B303" s="957"/>
      <c r="C303" s="959" t="s">
        <v>2</v>
      </c>
      <c r="D303" s="957"/>
      <c r="E303" s="957"/>
      <c r="F303" s="23" t="s">
        <v>3</v>
      </c>
      <c r="G303" s="24" t="s">
        <v>4</v>
      </c>
      <c r="H303" s="2"/>
      <c r="I303" s="2"/>
      <c r="J303" s="2"/>
      <c r="K303" s="2"/>
    </row>
    <row r="304" spans="1:11" s="2" customFormat="1" ht="60" customHeight="1">
      <c r="A304" s="1073" t="s">
        <v>406</v>
      </c>
      <c r="B304" s="944"/>
      <c r="C304" s="980" t="s">
        <v>407</v>
      </c>
      <c r="D304" s="944"/>
      <c r="E304" s="944"/>
      <c r="F304" s="51" t="s">
        <v>28</v>
      </c>
      <c r="G304" s="52">
        <v>1</v>
      </c>
    </row>
    <row r="305" spans="1:11" s="2" customFormat="1" ht="15.75" customHeight="1">
      <c r="A305" s="1071" t="s">
        <v>5</v>
      </c>
      <c r="B305" s="944"/>
      <c r="C305" s="944"/>
      <c r="D305" s="944"/>
      <c r="E305" s="944"/>
      <c r="F305" s="944"/>
      <c r="G305" s="1072"/>
    </row>
    <row r="306" spans="1:11" s="2" customFormat="1" ht="15.75" customHeight="1">
      <c r="A306" s="1074" t="s">
        <v>2</v>
      </c>
      <c r="B306" s="944"/>
      <c r="C306" s="53" t="s">
        <v>3</v>
      </c>
      <c r="D306" s="53" t="s">
        <v>4</v>
      </c>
      <c r="E306" s="53" t="s">
        <v>6</v>
      </c>
      <c r="F306" s="53" t="s">
        <v>7</v>
      </c>
      <c r="G306" s="61" t="s">
        <v>8</v>
      </c>
    </row>
    <row r="307" spans="1:11" s="2" customFormat="1" ht="15.75" customHeight="1">
      <c r="A307" s="947" t="s">
        <v>328</v>
      </c>
      <c r="B307" s="944"/>
      <c r="C307" s="51" t="s">
        <v>3</v>
      </c>
      <c r="D307" s="54">
        <v>0.05</v>
      </c>
      <c r="E307" s="17">
        <f>G318</f>
        <v>27341</v>
      </c>
      <c r="F307" s="55">
        <f>D307*E307</f>
        <v>1367.0500000000002</v>
      </c>
      <c r="G307" s="57">
        <f>F307</f>
        <v>1367.0500000000002</v>
      </c>
    </row>
    <row r="308" spans="1:11" s="2" customFormat="1" ht="15.75" customHeight="1">
      <c r="A308" s="1071" t="s">
        <v>10</v>
      </c>
      <c r="B308" s="944"/>
      <c r="C308" s="944"/>
      <c r="D308" s="944"/>
      <c r="E308" s="944"/>
      <c r="F308" s="944"/>
      <c r="G308" s="1072"/>
    </row>
    <row r="309" spans="1:11" s="2" customFormat="1" ht="38.25" customHeight="1">
      <c r="A309" s="1074" t="s">
        <v>2</v>
      </c>
      <c r="B309" s="944"/>
      <c r="C309" s="53" t="s">
        <v>3</v>
      </c>
      <c r="D309" s="53" t="s">
        <v>4</v>
      </c>
      <c r="E309" s="53" t="s">
        <v>6</v>
      </c>
      <c r="F309" s="53" t="s">
        <v>11</v>
      </c>
      <c r="G309" s="1075" t="s">
        <v>8</v>
      </c>
    </row>
    <row r="310" spans="1:11" s="2" customFormat="1" ht="60.75" customHeight="1">
      <c r="A310" s="947" t="s">
        <v>2399</v>
      </c>
      <c r="B310" s="944"/>
      <c r="C310" s="16" t="s">
        <v>3</v>
      </c>
      <c r="D310" s="16">
        <v>1</v>
      </c>
      <c r="E310" s="17">
        <f>'INSUMOS '!E185</f>
        <v>4350000</v>
      </c>
      <c r="F310" s="55">
        <f>D310*E310</f>
        <v>4350000</v>
      </c>
      <c r="G310" s="1072"/>
    </row>
    <row r="311" spans="1:11" s="2" customFormat="1" ht="13.8">
      <c r="A311" s="947"/>
      <c r="B311" s="944"/>
      <c r="C311" s="16"/>
      <c r="D311" s="58"/>
      <c r="E311" s="17"/>
      <c r="F311" s="55"/>
      <c r="G311" s="57">
        <f>SUM(F309:F311)</f>
        <v>4350000</v>
      </c>
    </row>
    <row r="312" spans="1:11" s="2" customFormat="1" ht="15.75" customHeight="1">
      <c r="A312" s="1071" t="s">
        <v>15</v>
      </c>
      <c r="B312" s="944"/>
      <c r="C312" s="944"/>
      <c r="D312" s="944"/>
      <c r="E312" s="944"/>
      <c r="F312" s="944"/>
      <c r="G312" s="1072"/>
    </row>
    <row r="313" spans="1:11" s="2" customFormat="1" ht="15.75" customHeight="1">
      <c r="A313" s="1074" t="s">
        <v>2</v>
      </c>
      <c r="B313" s="944"/>
      <c r="C313" s="53" t="s">
        <v>3</v>
      </c>
      <c r="D313" s="53" t="s">
        <v>4</v>
      </c>
      <c r="E313" s="53" t="s">
        <v>6</v>
      </c>
      <c r="F313" s="53" t="s">
        <v>11</v>
      </c>
      <c r="G313" s="1075" t="s">
        <v>8</v>
      </c>
    </row>
    <row r="314" spans="1:11" s="2" customFormat="1" ht="15.75" customHeight="1">
      <c r="A314" s="943" t="s">
        <v>173</v>
      </c>
      <c r="B314" s="944"/>
      <c r="C314" s="16" t="s">
        <v>3</v>
      </c>
      <c r="D314" s="54">
        <v>3.5000000000000003E-2</v>
      </c>
      <c r="E314" s="17">
        <f>G311</f>
        <v>4350000</v>
      </c>
      <c r="F314" s="55">
        <f>E314*D314</f>
        <v>152250</v>
      </c>
      <c r="G314" s="1072"/>
    </row>
    <row r="315" spans="1:11" s="2" customFormat="1" ht="15.75" customHeight="1">
      <c r="A315" s="59"/>
      <c r="B315" s="60"/>
      <c r="C315" s="60"/>
      <c r="D315" s="60"/>
      <c r="E315" s="60"/>
      <c r="F315" s="60"/>
      <c r="G315" s="57">
        <f>SUM(F314:F315)</f>
        <v>152250</v>
      </c>
    </row>
    <row r="316" spans="1:11" s="2" customFormat="1" ht="37.5" customHeight="1">
      <c r="A316" s="1071" t="s">
        <v>19</v>
      </c>
      <c r="B316" s="944"/>
      <c r="C316" s="944"/>
      <c r="D316" s="944"/>
      <c r="E316" s="944"/>
      <c r="F316" s="944"/>
      <c r="G316" s="1072"/>
    </row>
    <row r="317" spans="1:11" s="2" customFormat="1" ht="15.75" customHeight="1">
      <c r="A317" s="1074" t="s">
        <v>2</v>
      </c>
      <c r="B317" s="944"/>
      <c r="C317" s="53" t="s">
        <v>3</v>
      </c>
      <c r="D317" s="53" t="s">
        <v>4</v>
      </c>
      <c r="E317" s="53" t="s">
        <v>6</v>
      </c>
      <c r="F317" s="53" t="s">
        <v>11</v>
      </c>
      <c r="G317" s="61" t="s">
        <v>8</v>
      </c>
      <c r="K317" s="35"/>
    </row>
    <row r="318" spans="1:11" s="2" customFormat="1" ht="15.75" customHeight="1">
      <c r="A318" s="978" t="str">
        <f>SALARIOS!$A$69</f>
        <v>CUADRILLA BB INSTALACIONES 1:1</v>
      </c>
      <c r="B318" s="979"/>
      <c r="C318" s="13" t="s">
        <v>1245</v>
      </c>
      <c r="D318" s="32">
        <v>1</v>
      </c>
      <c r="E318" s="13">
        <f>SALARIOS!$C$69</f>
        <v>27341</v>
      </c>
      <c r="F318" s="55">
        <f>+D318*E318</f>
        <v>27341</v>
      </c>
      <c r="G318" s="57">
        <f>SUM(F317:F318)</f>
        <v>27341</v>
      </c>
    </row>
    <row r="319" spans="1:11" s="2" customFormat="1" ht="15.75" customHeight="1">
      <c r="A319" s="1076" t="s">
        <v>25</v>
      </c>
      <c r="B319" s="944"/>
      <c r="C319" s="944"/>
      <c r="D319" s="944"/>
      <c r="E319" s="944"/>
      <c r="F319" s="944"/>
      <c r="G319" s="1072"/>
    </row>
    <row r="320" spans="1:11" s="2" customFormat="1" ht="15.75" customHeight="1">
      <c r="A320" s="1077"/>
      <c r="B320" s="944"/>
      <c r="C320" s="944"/>
      <c r="D320" s="944"/>
      <c r="E320" s="944"/>
      <c r="F320" s="944"/>
      <c r="G320" s="62">
        <f>G318+G315+G311+G307</f>
        <v>4530958.05</v>
      </c>
    </row>
    <row r="321" spans="1:11" s="2" customFormat="1" ht="15.75" customHeight="1">
      <c r="A321" s="63"/>
      <c r="B321" s="42"/>
      <c r="C321" s="42"/>
      <c r="D321" s="42"/>
      <c r="E321" s="42"/>
      <c r="F321" s="42"/>
      <c r="G321" s="64"/>
    </row>
    <row r="322" spans="1:11" s="2" customFormat="1" ht="15.75" customHeight="1">
      <c r="A322" s="970" t="s">
        <v>1</v>
      </c>
      <c r="B322" s="957"/>
      <c r="C322" s="953" t="s">
        <v>0</v>
      </c>
      <c r="D322" s="954"/>
      <c r="E322" s="954"/>
      <c r="F322" s="954"/>
      <c r="G322" s="955"/>
    </row>
    <row r="323" spans="1:11" s="2" customFormat="1" ht="54.75" customHeight="1">
      <c r="A323" s="971"/>
      <c r="B323" s="957"/>
      <c r="C323" s="954"/>
      <c r="D323" s="954"/>
      <c r="E323" s="954"/>
      <c r="F323" s="954"/>
      <c r="G323" s="955"/>
    </row>
    <row r="324" spans="1:11" s="35" customFormat="1" ht="17.399999999999999">
      <c r="A324" s="971"/>
      <c r="B324" s="957"/>
      <c r="C324" s="956"/>
      <c r="D324" s="957"/>
      <c r="E324" s="957"/>
      <c r="F324" s="957"/>
      <c r="G324" s="958"/>
      <c r="H324" s="2"/>
      <c r="I324" s="2"/>
      <c r="J324" s="2"/>
      <c r="K324" s="2"/>
    </row>
    <row r="325" spans="1:11" s="2" customFormat="1" ht="15.75" customHeight="1">
      <c r="A325" s="971"/>
      <c r="B325" s="957"/>
      <c r="C325" s="959" t="s">
        <v>2</v>
      </c>
      <c r="D325" s="957"/>
      <c r="E325" s="957"/>
      <c r="F325" s="23" t="s">
        <v>3</v>
      </c>
      <c r="G325" s="24" t="s">
        <v>4</v>
      </c>
    </row>
    <row r="326" spans="1:11" s="2" customFormat="1" ht="61.5" customHeight="1">
      <c r="A326" s="1073" t="s">
        <v>408</v>
      </c>
      <c r="B326" s="944"/>
      <c r="C326" s="980" t="s">
        <v>409</v>
      </c>
      <c r="D326" s="944"/>
      <c r="E326" s="944"/>
      <c r="F326" s="51" t="s">
        <v>28</v>
      </c>
      <c r="G326" s="52">
        <v>1</v>
      </c>
    </row>
    <row r="327" spans="1:11" s="2" customFormat="1" ht="15.75" customHeight="1">
      <c r="A327" s="1071" t="s">
        <v>5</v>
      </c>
      <c r="B327" s="944"/>
      <c r="C327" s="944"/>
      <c r="D327" s="944"/>
      <c r="E327" s="944"/>
      <c r="F327" s="944"/>
      <c r="G327" s="1072"/>
    </row>
    <row r="328" spans="1:11" s="2" customFormat="1" ht="15.75" customHeight="1">
      <c r="A328" s="1074" t="s">
        <v>2</v>
      </c>
      <c r="B328" s="944"/>
      <c r="C328" s="53" t="s">
        <v>3</v>
      </c>
      <c r="D328" s="53" t="s">
        <v>4</v>
      </c>
      <c r="E328" s="53" t="s">
        <v>6</v>
      </c>
      <c r="F328" s="53" t="s">
        <v>7</v>
      </c>
      <c r="G328" s="61" t="s">
        <v>8</v>
      </c>
    </row>
    <row r="329" spans="1:11" s="2" customFormat="1" ht="15.75" customHeight="1">
      <c r="A329" s="947" t="s">
        <v>328</v>
      </c>
      <c r="B329" s="944"/>
      <c r="C329" s="51" t="s">
        <v>3</v>
      </c>
      <c r="D329" s="54">
        <v>0.05</v>
      </c>
      <c r="E329" s="17">
        <f>G340</f>
        <v>27341</v>
      </c>
      <c r="F329" s="55">
        <f>D329*E329</f>
        <v>1367.0500000000002</v>
      </c>
      <c r="G329" s="57">
        <f>F329</f>
        <v>1367.0500000000002</v>
      </c>
    </row>
    <row r="330" spans="1:11" s="2" customFormat="1" ht="15.75" customHeight="1">
      <c r="A330" s="1071" t="s">
        <v>10</v>
      </c>
      <c r="B330" s="944"/>
      <c r="C330" s="944"/>
      <c r="D330" s="944"/>
      <c r="E330" s="944"/>
      <c r="F330" s="944"/>
      <c r="G330" s="1072"/>
    </row>
    <row r="331" spans="1:11" s="2" customFormat="1" ht="15.75" customHeight="1">
      <c r="A331" s="1074" t="s">
        <v>2</v>
      </c>
      <c r="B331" s="944"/>
      <c r="C331" s="53" t="s">
        <v>3</v>
      </c>
      <c r="D331" s="53" t="s">
        <v>4</v>
      </c>
      <c r="E331" s="53" t="s">
        <v>6</v>
      </c>
      <c r="F331" s="53" t="s">
        <v>11</v>
      </c>
      <c r="G331" s="1075" t="s">
        <v>8</v>
      </c>
    </row>
    <row r="332" spans="1:11" s="2" customFormat="1" ht="72.75" customHeight="1">
      <c r="A332" s="947" t="s">
        <v>2401</v>
      </c>
      <c r="B332" s="944"/>
      <c r="C332" s="16" t="s">
        <v>3</v>
      </c>
      <c r="D332" s="16">
        <v>1</v>
      </c>
      <c r="E332" s="17">
        <f>'INSUMOS '!E186</f>
        <v>3675000</v>
      </c>
      <c r="F332" s="55">
        <f>D332*E332</f>
        <v>3675000</v>
      </c>
      <c r="G332" s="1072"/>
    </row>
    <row r="333" spans="1:11" s="2" customFormat="1" ht="15.75" customHeight="1">
      <c r="A333" s="947"/>
      <c r="B333" s="944"/>
      <c r="C333" s="16"/>
      <c r="D333" s="58"/>
      <c r="E333" s="17"/>
      <c r="F333" s="55"/>
      <c r="G333" s="57">
        <f>SUM(F331:F333)</f>
        <v>3675000</v>
      </c>
    </row>
    <row r="334" spans="1:11" s="2" customFormat="1" ht="15.75" customHeight="1">
      <c r="A334" s="1071" t="s">
        <v>15</v>
      </c>
      <c r="B334" s="944"/>
      <c r="C334" s="944"/>
      <c r="D334" s="944"/>
      <c r="E334" s="944"/>
      <c r="F334" s="944"/>
      <c r="G334" s="1072"/>
    </row>
    <row r="335" spans="1:11" s="2" customFormat="1" ht="15.75" customHeight="1">
      <c r="A335" s="1074" t="s">
        <v>2</v>
      </c>
      <c r="B335" s="944"/>
      <c r="C335" s="53" t="s">
        <v>3</v>
      </c>
      <c r="D335" s="53" t="s">
        <v>4</v>
      </c>
      <c r="E335" s="53" t="s">
        <v>6</v>
      </c>
      <c r="F335" s="53" t="s">
        <v>11</v>
      </c>
      <c r="G335" s="1075" t="s">
        <v>8</v>
      </c>
    </row>
    <row r="336" spans="1:11" s="2" customFormat="1" ht="15.75" customHeight="1">
      <c r="A336" s="943" t="s">
        <v>173</v>
      </c>
      <c r="B336" s="944"/>
      <c r="C336" s="16" t="s">
        <v>3</v>
      </c>
      <c r="D336" s="54">
        <v>3.5000000000000003E-2</v>
      </c>
      <c r="E336" s="17">
        <f>G333</f>
        <v>3675000</v>
      </c>
      <c r="F336" s="55">
        <f>E336*D336</f>
        <v>128625.00000000001</v>
      </c>
      <c r="G336" s="1072"/>
    </row>
    <row r="337" spans="1:11" s="2" customFormat="1" ht="15.75" customHeight="1">
      <c r="A337" s="59"/>
      <c r="B337" s="60"/>
      <c r="C337" s="60"/>
      <c r="D337" s="60"/>
      <c r="E337" s="60"/>
      <c r="F337" s="60"/>
      <c r="G337" s="57">
        <f>SUM(F336:F337)</f>
        <v>128625.00000000001</v>
      </c>
    </row>
    <row r="338" spans="1:11" s="2" customFormat="1" ht="15.75" customHeight="1">
      <c r="A338" s="1071" t="s">
        <v>19</v>
      </c>
      <c r="B338" s="944"/>
      <c r="C338" s="944"/>
      <c r="D338" s="944"/>
      <c r="E338" s="944"/>
      <c r="F338" s="944"/>
      <c r="G338" s="1072"/>
    </row>
    <row r="339" spans="1:11" s="2" customFormat="1" ht="15.75" customHeight="1">
      <c r="A339" s="1074" t="s">
        <v>2</v>
      </c>
      <c r="B339" s="944"/>
      <c r="C339" s="53" t="s">
        <v>3</v>
      </c>
      <c r="D339" s="53" t="s">
        <v>4</v>
      </c>
      <c r="E339" s="53" t="s">
        <v>6</v>
      </c>
      <c r="F339" s="53" t="s">
        <v>11</v>
      </c>
      <c r="G339" s="61" t="s">
        <v>8</v>
      </c>
    </row>
    <row r="340" spans="1:11" s="2" customFormat="1" ht="15.75" customHeight="1">
      <c r="A340" s="978" t="str">
        <f>SALARIOS!$A$69</f>
        <v>CUADRILLA BB INSTALACIONES 1:1</v>
      </c>
      <c r="B340" s="979"/>
      <c r="C340" s="13" t="s">
        <v>1245</v>
      </c>
      <c r="D340" s="32">
        <v>1</v>
      </c>
      <c r="E340" s="13">
        <f>SALARIOS!$C$69</f>
        <v>27341</v>
      </c>
      <c r="F340" s="55">
        <f>+D340*E340</f>
        <v>27341</v>
      </c>
      <c r="G340" s="57">
        <f>SUM(F339:F340)</f>
        <v>27341</v>
      </c>
    </row>
    <row r="341" spans="1:11" s="2" customFormat="1" ht="15.75" customHeight="1">
      <c r="A341" s="1076" t="s">
        <v>25</v>
      </c>
      <c r="B341" s="944"/>
      <c r="C341" s="944"/>
      <c r="D341" s="944"/>
      <c r="E341" s="944"/>
      <c r="F341" s="944"/>
      <c r="G341" s="1072"/>
    </row>
    <row r="342" spans="1:11" s="2" customFormat="1" ht="15.75" customHeight="1">
      <c r="A342" s="1077"/>
      <c r="B342" s="944"/>
      <c r="C342" s="944"/>
      <c r="D342" s="944"/>
      <c r="E342" s="944"/>
      <c r="F342" s="944"/>
      <c r="G342" s="62">
        <f>G340+G337+G333+G329</f>
        <v>3832333.05</v>
      </c>
      <c r="K342" s="35"/>
    </row>
    <row r="343" spans="1:11" s="2" customFormat="1" ht="15.75" customHeight="1">
      <c r="A343" s="63"/>
      <c r="B343" s="42"/>
      <c r="C343" s="42"/>
      <c r="D343" s="42"/>
      <c r="E343" s="42"/>
      <c r="F343" s="42"/>
      <c r="G343" s="64"/>
    </row>
    <row r="344" spans="1:11" s="2" customFormat="1" ht="15.75" customHeight="1">
      <c r="A344" s="970" t="s">
        <v>1</v>
      </c>
      <c r="B344" s="957"/>
      <c r="C344" s="953" t="s">
        <v>0</v>
      </c>
      <c r="D344" s="954"/>
      <c r="E344" s="954"/>
      <c r="F344" s="954"/>
      <c r="G344" s="955"/>
    </row>
    <row r="345" spans="1:11" s="2" customFormat="1" ht="60.75" customHeight="1">
      <c r="A345" s="971"/>
      <c r="B345" s="957"/>
      <c r="C345" s="954"/>
      <c r="D345" s="954"/>
      <c r="E345" s="954"/>
      <c r="F345" s="954"/>
      <c r="G345" s="955"/>
    </row>
    <row r="346" spans="1:11" s="2" customFormat="1" ht="15.75" customHeight="1">
      <c r="A346" s="971"/>
      <c r="B346" s="957"/>
      <c r="C346" s="956"/>
      <c r="D346" s="957"/>
      <c r="E346" s="957"/>
      <c r="F346" s="957"/>
      <c r="G346" s="958"/>
    </row>
    <row r="347" spans="1:11" s="2" customFormat="1" ht="15.75" customHeight="1">
      <c r="A347" s="971"/>
      <c r="B347" s="957"/>
      <c r="C347" s="959" t="s">
        <v>2</v>
      </c>
      <c r="D347" s="957"/>
      <c r="E347" s="957"/>
      <c r="F347" s="23" t="s">
        <v>3</v>
      </c>
      <c r="G347" s="24" t="s">
        <v>4</v>
      </c>
    </row>
    <row r="348" spans="1:11" s="2" customFormat="1" ht="66" customHeight="1">
      <c r="A348" s="1073" t="s">
        <v>410</v>
      </c>
      <c r="B348" s="944"/>
      <c r="C348" s="980" t="s">
        <v>411</v>
      </c>
      <c r="D348" s="944"/>
      <c r="E348" s="944"/>
      <c r="F348" s="51" t="s">
        <v>28</v>
      </c>
      <c r="G348" s="52">
        <v>1</v>
      </c>
    </row>
    <row r="349" spans="1:11" s="35" customFormat="1" ht="13.8">
      <c r="A349" s="1071" t="s">
        <v>5</v>
      </c>
      <c r="B349" s="944"/>
      <c r="C349" s="944"/>
      <c r="D349" s="944"/>
      <c r="E349" s="944"/>
      <c r="F349" s="944"/>
      <c r="G349" s="1072"/>
      <c r="H349" s="2"/>
      <c r="I349" s="2"/>
      <c r="J349" s="2"/>
      <c r="K349" s="2"/>
    </row>
    <row r="350" spans="1:11" s="2" customFormat="1" ht="15.75" customHeight="1">
      <c r="A350" s="1074" t="s">
        <v>2</v>
      </c>
      <c r="B350" s="944"/>
      <c r="C350" s="53" t="s">
        <v>3</v>
      </c>
      <c r="D350" s="53" t="s">
        <v>4</v>
      </c>
      <c r="E350" s="53" t="s">
        <v>6</v>
      </c>
      <c r="F350" s="53" t="s">
        <v>7</v>
      </c>
      <c r="G350" s="61" t="s">
        <v>8</v>
      </c>
    </row>
    <row r="351" spans="1:11" s="2" customFormat="1" ht="15.75" customHeight="1">
      <c r="A351" s="947" t="s">
        <v>328</v>
      </c>
      <c r="B351" s="944"/>
      <c r="C351" s="51" t="s">
        <v>3</v>
      </c>
      <c r="D351" s="54">
        <v>0.05</v>
      </c>
      <c r="E351" s="17">
        <f>G362</f>
        <v>27341</v>
      </c>
      <c r="F351" s="55">
        <f>D351*E351</f>
        <v>1367.0500000000002</v>
      </c>
      <c r="G351" s="57">
        <f>F351</f>
        <v>1367.0500000000002</v>
      </c>
    </row>
    <row r="352" spans="1:11" s="2" customFormat="1" ht="15.75" customHeight="1">
      <c r="A352" s="1071" t="s">
        <v>10</v>
      </c>
      <c r="B352" s="944"/>
      <c r="C352" s="944"/>
      <c r="D352" s="944"/>
      <c r="E352" s="944"/>
      <c r="F352" s="944"/>
      <c r="G352" s="1072"/>
    </row>
    <row r="353" spans="1:11" s="2" customFormat="1" ht="15.75" customHeight="1">
      <c r="A353" s="1074" t="s">
        <v>2</v>
      </c>
      <c r="B353" s="944"/>
      <c r="C353" s="53" t="s">
        <v>3</v>
      </c>
      <c r="D353" s="53" t="s">
        <v>4</v>
      </c>
      <c r="E353" s="53" t="s">
        <v>6</v>
      </c>
      <c r="F353" s="53" t="s">
        <v>11</v>
      </c>
      <c r="G353" s="1075" t="s">
        <v>8</v>
      </c>
    </row>
    <row r="354" spans="1:11" s="2" customFormat="1" ht="56.25" customHeight="1">
      <c r="A354" s="947" t="s">
        <v>2402</v>
      </c>
      <c r="B354" s="944"/>
      <c r="C354" s="16" t="s">
        <v>3</v>
      </c>
      <c r="D354" s="16">
        <v>1</v>
      </c>
      <c r="E354" s="17">
        <f>'INSUMOS '!E187</f>
        <v>3525000</v>
      </c>
      <c r="F354" s="55">
        <f>D354*E354</f>
        <v>3525000</v>
      </c>
      <c r="G354" s="1072"/>
    </row>
    <row r="355" spans="1:11" s="2" customFormat="1" ht="15.75" customHeight="1">
      <c r="A355" s="947"/>
      <c r="B355" s="944"/>
      <c r="C355" s="16"/>
      <c r="D355" s="58"/>
      <c r="E355" s="17"/>
      <c r="F355" s="55"/>
      <c r="G355" s="57">
        <f>SUM(F353:F355)</f>
        <v>3525000</v>
      </c>
    </row>
    <row r="356" spans="1:11" s="2" customFormat="1" ht="15.75" customHeight="1">
      <c r="A356" s="1071" t="s">
        <v>15</v>
      </c>
      <c r="B356" s="944"/>
      <c r="C356" s="944"/>
      <c r="D356" s="944"/>
      <c r="E356" s="944"/>
      <c r="F356" s="944"/>
      <c r="G356" s="1072"/>
    </row>
    <row r="357" spans="1:11" s="2" customFormat="1" ht="15.75" customHeight="1">
      <c r="A357" s="1074" t="s">
        <v>2</v>
      </c>
      <c r="B357" s="944"/>
      <c r="C357" s="53" t="s">
        <v>3</v>
      </c>
      <c r="D357" s="53" t="s">
        <v>4</v>
      </c>
      <c r="E357" s="53" t="s">
        <v>6</v>
      </c>
      <c r="F357" s="53" t="s">
        <v>11</v>
      </c>
      <c r="G357" s="1075" t="s">
        <v>8</v>
      </c>
    </row>
    <row r="358" spans="1:11" s="2" customFormat="1" ht="15.75" customHeight="1">
      <c r="A358" s="943" t="s">
        <v>173</v>
      </c>
      <c r="B358" s="944"/>
      <c r="C358" s="16" t="s">
        <v>3</v>
      </c>
      <c r="D358" s="54">
        <v>3.5000000000000003E-2</v>
      </c>
      <c r="E358" s="17">
        <f>G355</f>
        <v>3525000</v>
      </c>
      <c r="F358" s="55">
        <f>E358*D358</f>
        <v>123375.00000000001</v>
      </c>
      <c r="G358" s="1072"/>
    </row>
    <row r="359" spans="1:11" s="2" customFormat="1" ht="15.75" customHeight="1">
      <c r="A359" s="59"/>
      <c r="B359" s="60"/>
      <c r="C359" s="60"/>
      <c r="D359" s="60"/>
      <c r="E359" s="60"/>
      <c r="F359" s="60"/>
      <c r="G359" s="57">
        <f>SUM(F358:F359)</f>
        <v>123375.00000000001</v>
      </c>
    </row>
    <row r="360" spans="1:11" s="2" customFormat="1" ht="15.75" customHeight="1">
      <c r="A360" s="1071" t="s">
        <v>19</v>
      </c>
      <c r="B360" s="944"/>
      <c r="C360" s="944"/>
      <c r="D360" s="944"/>
      <c r="E360" s="944"/>
      <c r="F360" s="944"/>
      <c r="G360" s="1072"/>
    </row>
    <row r="361" spans="1:11" s="2" customFormat="1" ht="15.75" customHeight="1">
      <c r="A361" s="1074" t="s">
        <v>2</v>
      </c>
      <c r="B361" s="944"/>
      <c r="C361" s="53" t="s">
        <v>3</v>
      </c>
      <c r="D361" s="53" t="s">
        <v>4</v>
      </c>
      <c r="E361" s="53" t="s">
        <v>6</v>
      </c>
      <c r="F361" s="53" t="s">
        <v>11</v>
      </c>
      <c r="G361" s="61" t="s">
        <v>8</v>
      </c>
    </row>
    <row r="362" spans="1:11" s="2" customFormat="1" ht="15.75" customHeight="1">
      <c r="A362" s="978" t="str">
        <f>SALARIOS!$A$69</f>
        <v>CUADRILLA BB INSTALACIONES 1:1</v>
      </c>
      <c r="B362" s="979"/>
      <c r="C362" s="13" t="s">
        <v>1245</v>
      </c>
      <c r="D362" s="32">
        <v>1</v>
      </c>
      <c r="E362" s="13">
        <f>SALARIOS!$C$69</f>
        <v>27341</v>
      </c>
      <c r="F362" s="55">
        <f>+D362*E362</f>
        <v>27341</v>
      </c>
      <c r="G362" s="57">
        <f>SUM(F361:F362)</f>
        <v>27341</v>
      </c>
    </row>
    <row r="363" spans="1:11" s="2" customFormat="1" ht="15.75" customHeight="1">
      <c r="A363" s="1076" t="s">
        <v>25</v>
      </c>
      <c r="B363" s="944"/>
      <c r="C363" s="944"/>
      <c r="D363" s="944"/>
      <c r="E363" s="944"/>
      <c r="F363" s="944"/>
      <c r="G363" s="1072"/>
    </row>
    <row r="364" spans="1:11" s="2" customFormat="1" ht="15.75" customHeight="1">
      <c r="A364" s="1077"/>
      <c r="B364" s="944"/>
      <c r="C364" s="944"/>
      <c r="D364" s="944"/>
      <c r="E364" s="944"/>
      <c r="F364" s="944"/>
      <c r="G364" s="62">
        <f>G362+G359+G355+G351</f>
        <v>3677083.05</v>
      </c>
      <c r="K364" s="35"/>
    </row>
    <row r="365" spans="1:11" s="2" customFormat="1" ht="15.75" customHeight="1">
      <c r="A365" s="63"/>
      <c r="B365" s="42"/>
      <c r="C365" s="42"/>
      <c r="D365" s="42"/>
      <c r="E365" s="42"/>
      <c r="F365" s="42"/>
      <c r="G365" s="64"/>
    </row>
    <row r="366" spans="1:11" s="2" customFormat="1" ht="15.75" customHeight="1">
      <c r="A366" s="970" t="s">
        <v>1</v>
      </c>
      <c r="B366" s="957"/>
      <c r="C366" s="953" t="s">
        <v>0</v>
      </c>
      <c r="D366" s="954"/>
      <c r="E366" s="954"/>
      <c r="F366" s="954"/>
      <c r="G366" s="955"/>
    </row>
    <row r="367" spans="1:11" s="2" customFormat="1" ht="49.5" customHeight="1">
      <c r="A367" s="971"/>
      <c r="B367" s="957"/>
      <c r="C367" s="954"/>
      <c r="D367" s="954"/>
      <c r="E367" s="954"/>
      <c r="F367" s="954"/>
      <c r="G367" s="955"/>
    </row>
    <row r="368" spans="1:11" s="2" customFormat="1" ht="15.75" customHeight="1">
      <c r="A368" s="971"/>
      <c r="B368" s="957"/>
      <c r="C368" s="956"/>
      <c r="D368" s="957"/>
      <c r="E368" s="957"/>
      <c r="F368" s="957"/>
      <c r="G368" s="958"/>
    </row>
    <row r="369" spans="1:11" s="2" customFormat="1" ht="15.75" customHeight="1">
      <c r="A369" s="971"/>
      <c r="B369" s="957"/>
      <c r="C369" s="959" t="s">
        <v>2</v>
      </c>
      <c r="D369" s="957"/>
      <c r="E369" s="957"/>
      <c r="F369" s="23" t="s">
        <v>3</v>
      </c>
      <c r="G369" s="24" t="s">
        <v>4</v>
      </c>
    </row>
    <row r="370" spans="1:11" s="2" customFormat="1" ht="51.75" customHeight="1">
      <c r="A370" s="1073" t="s">
        <v>412</v>
      </c>
      <c r="B370" s="944"/>
      <c r="C370" s="980" t="s">
        <v>413</v>
      </c>
      <c r="D370" s="944"/>
      <c r="E370" s="944"/>
      <c r="F370" s="51" t="s">
        <v>28</v>
      </c>
      <c r="G370" s="52">
        <v>1</v>
      </c>
    </row>
    <row r="371" spans="1:11" s="35" customFormat="1" ht="13.8">
      <c r="A371" s="1071" t="s">
        <v>5</v>
      </c>
      <c r="B371" s="944"/>
      <c r="C371" s="944"/>
      <c r="D371" s="944"/>
      <c r="E371" s="944"/>
      <c r="F371" s="944"/>
      <c r="G371" s="1072"/>
      <c r="H371" s="2"/>
      <c r="I371" s="2"/>
      <c r="J371" s="2"/>
      <c r="K371" s="2"/>
    </row>
    <row r="372" spans="1:11" s="2" customFormat="1" ht="15.75" customHeight="1">
      <c r="A372" s="1027" t="s">
        <v>2</v>
      </c>
      <c r="B372" s="1028"/>
      <c r="C372" s="53" t="s">
        <v>3</v>
      </c>
      <c r="D372" s="53" t="s">
        <v>4</v>
      </c>
      <c r="E372" s="53" t="s">
        <v>6</v>
      </c>
      <c r="F372" s="53" t="s">
        <v>7</v>
      </c>
      <c r="G372" s="61" t="s">
        <v>8</v>
      </c>
    </row>
    <row r="373" spans="1:11" s="2" customFormat="1" ht="15.75" customHeight="1">
      <c r="A373" s="947" t="s">
        <v>328</v>
      </c>
      <c r="B373" s="944"/>
      <c r="C373" s="51" t="s">
        <v>3</v>
      </c>
      <c r="D373" s="54">
        <v>0.05</v>
      </c>
      <c r="E373" s="17">
        <f>G384</f>
        <v>27341</v>
      </c>
      <c r="F373" s="55">
        <f>D373*E373</f>
        <v>1367.0500000000002</v>
      </c>
      <c r="G373" s="57">
        <f>F373</f>
        <v>1367.0500000000002</v>
      </c>
    </row>
    <row r="374" spans="1:11" s="2" customFormat="1" ht="15.75" customHeight="1">
      <c r="A374" s="1071" t="s">
        <v>10</v>
      </c>
      <c r="B374" s="944"/>
      <c r="C374" s="944"/>
      <c r="D374" s="944"/>
      <c r="E374" s="944"/>
      <c r="F374" s="944"/>
      <c r="G374" s="1072"/>
    </row>
    <row r="375" spans="1:11" s="2" customFormat="1" ht="15.75" customHeight="1">
      <c r="A375" s="1074" t="s">
        <v>2</v>
      </c>
      <c r="B375" s="944"/>
      <c r="C375" s="53" t="s">
        <v>3</v>
      </c>
      <c r="D375" s="53" t="s">
        <v>4</v>
      </c>
      <c r="E375" s="53" t="s">
        <v>6</v>
      </c>
      <c r="F375" s="53" t="s">
        <v>11</v>
      </c>
      <c r="G375" s="1075" t="s">
        <v>8</v>
      </c>
    </row>
    <row r="376" spans="1:11" s="2" customFormat="1" ht="49.5" customHeight="1">
      <c r="A376" s="947" t="s">
        <v>2403</v>
      </c>
      <c r="B376" s="944"/>
      <c r="C376" s="16" t="s">
        <v>3</v>
      </c>
      <c r="D376" s="16">
        <v>1</v>
      </c>
      <c r="E376" s="17">
        <f>'INSUMOS '!E188</f>
        <v>4755000</v>
      </c>
      <c r="F376" s="55">
        <f>D376*E376</f>
        <v>4755000</v>
      </c>
      <c r="G376" s="1072"/>
    </row>
    <row r="377" spans="1:11" s="2" customFormat="1" ht="15.75" customHeight="1">
      <c r="A377" s="947"/>
      <c r="B377" s="944"/>
      <c r="C377" s="16"/>
      <c r="D377" s="58"/>
      <c r="E377" s="17"/>
      <c r="F377" s="55"/>
      <c r="G377" s="57">
        <f>SUM(F375:F377)</f>
        <v>4755000</v>
      </c>
    </row>
    <row r="378" spans="1:11" s="2" customFormat="1" ht="15.75" customHeight="1">
      <c r="A378" s="1071" t="s">
        <v>15</v>
      </c>
      <c r="B378" s="944"/>
      <c r="C378" s="944"/>
      <c r="D378" s="944"/>
      <c r="E378" s="944"/>
      <c r="F378" s="944"/>
      <c r="G378" s="1072"/>
    </row>
    <row r="379" spans="1:11" s="2" customFormat="1" ht="15.75" customHeight="1">
      <c r="A379" s="1074" t="s">
        <v>2</v>
      </c>
      <c r="B379" s="944"/>
      <c r="C379" s="53" t="s">
        <v>3</v>
      </c>
      <c r="D379" s="53" t="s">
        <v>4</v>
      </c>
      <c r="E379" s="53" t="s">
        <v>6</v>
      </c>
      <c r="F379" s="53" t="s">
        <v>11</v>
      </c>
      <c r="G379" s="1075" t="s">
        <v>8</v>
      </c>
    </row>
    <row r="380" spans="1:11" s="2" customFormat="1" ht="15.75" customHeight="1">
      <c r="A380" s="943" t="s">
        <v>173</v>
      </c>
      <c r="B380" s="944"/>
      <c r="C380" s="16" t="s">
        <v>3</v>
      </c>
      <c r="D380" s="54">
        <v>3.5000000000000003E-2</v>
      </c>
      <c r="E380" s="17">
        <f>G377</f>
        <v>4755000</v>
      </c>
      <c r="F380" s="55">
        <f>E380*D380</f>
        <v>166425.00000000003</v>
      </c>
      <c r="G380" s="1072"/>
    </row>
    <row r="381" spans="1:11" s="2" customFormat="1" ht="15.75" customHeight="1">
      <c r="A381" s="59"/>
      <c r="B381" s="60"/>
      <c r="C381" s="60"/>
      <c r="D381" s="60"/>
      <c r="E381" s="60"/>
      <c r="F381" s="60"/>
      <c r="G381" s="57">
        <f>SUM(F380:F381)</f>
        <v>166425.00000000003</v>
      </c>
    </row>
    <row r="382" spans="1:11" s="2" customFormat="1" ht="15.75" customHeight="1">
      <c r="A382" s="1071" t="s">
        <v>19</v>
      </c>
      <c r="B382" s="944"/>
      <c r="C382" s="944"/>
      <c r="D382" s="944"/>
      <c r="E382" s="944"/>
      <c r="F382" s="944"/>
      <c r="G382" s="1072"/>
    </row>
    <row r="383" spans="1:11" s="2" customFormat="1" ht="15.75" customHeight="1">
      <c r="A383" s="1074" t="s">
        <v>2</v>
      </c>
      <c r="B383" s="944"/>
      <c r="C383" s="53" t="s">
        <v>3</v>
      </c>
      <c r="D383" s="53" t="s">
        <v>4</v>
      </c>
      <c r="E383" s="53" t="s">
        <v>6</v>
      </c>
      <c r="F383" s="53" t="s">
        <v>11</v>
      </c>
      <c r="G383" s="61" t="s">
        <v>8</v>
      </c>
    </row>
    <row r="384" spans="1:11" s="2" customFormat="1" ht="15.75" customHeight="1">
      <c r="A384" s="978" t="str">
        <f>SALARIOS!$A$69</f>
        <v>CUADRILLA BB INSTALACIONES 1:1</v>
      </c>
      <c r="B384" s="979"/>
      <c r="C384" s="13" t="s">
        <v>1245</v>
      </c>
      <c r="D384" s="32">
        <v>1</v>
      </c>
      <c r="E384" s="13">
        <f>SALARIOS!$C$69</f>
        <v>27341</v>
      </c>
      <c r="F384" s="55">
        <f>+D384*E384</f>
        <v>27341</v>
      </c>
      <c r="G384" s="57">
        <f>SUM(F383:F384)</f>
        <v>27341</v>
      </c>
    </row>
    <row r="385" spans="1:11" s="2" customFormat="1" ht="15.75" customHeight="1">
      <c r="A385" s="1076" t="s">
        <v>25</v>
      </c>
      <c r="B385" s="944"/>
      <c r="C385" s="944"/>
      <c r="D385" s="944"/>
      <c r="E385" s="944"/>
      <c r="F385" s="944"/>
      <c r="G385" s="1072"/>
    </row>
    <row r="386" spans="1:11" s="2" customFormat="1" ht="15.75" customHeight="1">
      <c r="A386" s="1077"/>
      <c r="B386" s="944"/>
      <c r="C386" s="944"/>
      <c r="D386" s="944"/>
      <c r="E386" s="944"/>
      <c r="F386" s="944"/>
      <c r="G386" s="62">
        <f>G384+G381+G377+G373</f>
        <v>4950133.05</v>
      </c>
    </row>
    <row r="387" spans="1:11" s="2" customFormat="1" ht="15.75" customHeight="1">
      <c r="A387" s="63"/>
      <c r="B387" s="42"/>
      <c r="C387" s="42"/>
      <c r="D387" s="42"/>
      <c r="E387" s="42"/>
      <c r="F387" s="42"/>
      <c r="G387" s="64"/>
      <c r="K387" s="35"/>
    </row>
    <row r="388" spans="1:11" s="2" customFormat="1" ht="15.75" customHeight="1">
      <c r="A388" s="1081" t="s">
        <v>1</v>
      </c>
      <c r="B388" s="1082"/>
      <c r="C388" s="953" t="s">
        <v>0</v>
      </c>
      <c r="D388" s="954"/>
      <c r="E388" s="954"/>
      <c r="F388" s="954"/>
      <c r="G388" s="955"/>
    </row>
    <row r="389" spans="1:11" s="2" customFormat="1" ht="54.75" customHeight="1">
      <c r="A389" s="1083"/>
      <c r="B389" s="1082"/>
      <c r="C389" s="954"/>
      <c r="D389" s="954"/>
      <c r="E389" s="954"/>
      <c r="F389" s="954"/>
      <c r="G389" s="955"/>
    </row>
    <row r="390" spans="1:11" s="2" customFormat="1" ht="15.75" customHeight="1">
      <c r="A390" s="1083"/>
      <c r="B390" s="1082"/>
      <c r="C390" s="1084"/>
      <c r="D390" s="1082"/>
      <c r="E390" s="1082"/>
      <c r="F390" s="1082"/>
      <c r="G390" s="1085"/>
    </row>
    <row r="391" spans="1:11" s="2" customFormat="1" ht="15.75" customHeight="1">
      <c r="A391" s="1083"/>
      <c r="B391" s="1082"/>
      <c r="C391" s="1086" t="s">
        <v>2</v>
      </c>
      <c r="D391" s="1082"/>
      <c r="E391" s="1082"/>
      <c r="F391" s="126" t="s">
        <v>3</v>
      </c>
      <c r="G391" s="127" t="s">
        <v>4</v>
      </c>
    </row>
    <row r="392" spans="1:11" s="2" customFormat="1" ht="67.5" customHeight="1">
      <c r="A392" s="1073" t="s">
        <v>414</v>
      </c>
      <c r="B392" s="944"/>
      <c r="C392" s="980" t="s">
        <v>415</v>
      </c>
      <c r="D392" s="944"/>
      <c r="E392" s="944"/>
      <c r="F392" s="51" t="s">
        <v>28</v>
      </c>
      <c r="G392" s="52">
        <v>1</v>
      </c>
    </row>
    <row r="393" spans="1:11" s="2" customFormat="1" ht="15.75" customHeight="1">
      <c r="A393" s="1071" t="s">
        <v>5</v>
      </c>
      <c r="B393" s="944"/>
      <c r="C393" s="944"/>
      <c r="D393" s="944"/>
      <c r="E393" s="944"/>
      <c r="F393" s="944"/>
      <c r="G393" s="1072"/>
    </row>
    <row r="394" spans="1:11" s="35" customFormat="1" ht="13.8">
      <c r="A394" s="1074" t="s">
        <v>2</v>
      </c>
      <c r="B394" s="944"/>
      <c r="C394" s="53" t="s">
        <v>3</v>
      </c>
      <c r="D394" s="53" t="s">
        <v>4</v>
      </c>
      <c r="E394" s="53" t="s">
        <v>6</v>
      </c>
      <c r="F394" s="53" t="s">
        <v>7</v>
      </c>
      <c r="G394" s="61" t="s">
        <v>8</v>
      </c>
      <c r="H394" s="2"/>
      <c r="I394" s="2"/>
      <c r="J394" s="2"/>
      <c r="K394" s="2"/>
    </row>
    <row r="395" spans="1:11" s="2" customFormat="1" ht="15.75" customHeight="1">
      <c r="A395" s="947" t="s">
        <v>328</v>
      </c>
      <c r="B395" s="944"/>
      <c r="C395" s="51" t="s">
        <v>3</v>
      </c>
      <c r="D395" s="54">
        <v>0.05</v>
      </c>
      <c r="E395" s="17">
        <f>G406</f>
        <v>27341</v>
      </c>
      <c r="F395" s="55">
        <f>D395*E395</f>
        <v>1367.0500000000002</v>
      </c>
      <c r="G395" s="57">
        <f>F395</f>
        <v>1367.0500000000002</v>
      </c>
    </row>
    <row r="396" spans="1:11" s="2" customFormat="1" ht="15.75" customHeight="1">
      <c r="A396" s="1071" t="s">
        <v>10</v>
      </c>
      <c r="B396" s="944"/>
      <c r="C396" s="944"/>
      <c r="D396" s="944"/>
      <c r="E396" s="944"/>
      <c r="F396" s="944"/>
      <c r="G396" s="1072"/>
    </row>
    <row r="397" spans="1:11" s="2" customFormat="1" ht="15.75" customHeight="1">
      <c r="A397" s="1074" t="s">
        <v>2</v>
      </c>
      <c r="B397" s="944"/>
      <c r="C397" s="53" t="s">
        <v>3</v>
      </c>
      <c r="D397" s="53" t="s">
        <v>4</v>
      </c>
      <c r="E397" s="53" t="s">
        <v>6</v>
      </c>
      <c r="F397" s="53" t="s">
        <v>11</v>
      </c>
      <c r="G397" s="1075" t="s">
        <v>8</v>
      </c>
    </row>
    <row r="398" spans="1:11" s="2" customFormat="1" ht="55.5" customHeight="1">
      <c r="A398" s="947" t="s">
        <v>2404</v>
      </c>
      <c r="B398" s="944"/>
      <c r="C398" s="16" t="s">
        <v>3</v>
      </c>
      <c r="D398" s="16">
        <v>1</v>
      </c>
      <c r="E398" s="17">
        <f>'INSUMOS '!E189</f>
        <v>2925000</v>
      </c>
      <c r="F398" s="55">
        <f>D398*E398</f>
        <v>2925000</v>
      </c>
      <c r="G398" s="1072"/>
    </row>
    <row r="399" spans="1:11" s="2" customFormat="1" ht="15.75" customHeight="1">
      <c r="A399" s="947"/>
      <c r="B399" s="944"/>
      <c r="C399" s="16"/>
      <c r="D399" s="58"/>
      <c r="E399" s="17"/>
      <c r="F399" s="55"/>
      <c r="G399" s="57">
        <f>SUM(F397:F399)</f>
        <v>2925000</v>
      </c>
    </row>
    <row r="400" spans="1:11" s="2" customFormat="1" ht="15.75" customHeight="1">
      <c r="A400" s="1071" t="s">
        <v>15</v>
      </c>
      <c r="B400" s="944"/>
      <c r="C400" s="944"/>
      <c r="D400" s="944"/>
      <c r="E400" s="944"/>
      <c r="F400" s="944"/>
      <c r="G400" s="1072"/>
    </row>
    <row r="401" spans="1:11" s="2" customFormat="1" ht="15.75" customHeight="1">
      <c r="A401" s="1074" t="s">
        <v>2</v>
      </c>
      <c r="B401" s="944"/>
      <c r="C401" s="53" t="s">
        <v>3</v>
      </c>
      <c r="D401" s="53" t="s">
        <v>4</v>
      </c>
      <c r="E401" s="53" t="s">
        <v>6</v>
      </c>
      <c r="F401" s="53" t="s">
        <v>11</v>
      </c>
      <c r="G401" s="1075" t="s">
        <v>8</v>
      </c>
    </row>
    <row r="402" spans="1:11" s="2" customFormat="1" ht="15.75" customHeight="1">
      <c r="A402" s="943" t="s">
        <v>173</v>
      </c>
      <c r="B402" s="944"/>
      <c r="C402" s="16" t="s">
        <v>3</v>
      </c>
      <c r="D402" s="54">
        <v>3.5000000000000003E-2</v>
      </c>
      <c r="E402" s="17">
        <f>G399</f>
        <v>2925000</v>
      </c>
      <c r="F402" s="55">
        <f>E402*D402</f>
        <v>102375.00000000001</v>
      </c>
      <c r="G402" s="1072"/>
    </row>
    <row r="403" spans="1:11" s="2" customFormat="1" ht="15.75" customHeight="1">
      <c r="A403" s="59"/>
      <c r="B403" s="60"/>
      <c r="C403" s="60"/>
      <c r="D403" s="60"/>
      <c r="E403" s="60"/>
      <c r="F403" s="60"/>
      <c r="G403" s="57">
        <f>SUM(F402:F403)</f>
        <v>102375.00000000001</v>
      </c>
    </row>
    <row r="404" spans="1:11" s="2" customFormat="1" ht="15.75" customHeight="1">
      <c r="A404" s="1071" t="s">
        <v>19</v>
      </c>
      <c r="B404" s="944"/>
      <c r="C404" s="944"/>
      <c r="D404" s="944"/>
      <c r="E404" s="944"/>
      <c r="F404" s="944"/>
      <c r="G404" s="1072"/>
    </row>
    <row r="405" spans="1:11" s="2" customFormat="1" ht="15.75" customHeight="1">
      <c r="A405" s="1074" t="s">
        <v>2</v>
      </c>
      <c r="B405" s="944"/>
      <c r="C405" s="53" t="s">
        <v>3</v>
      </c>
      <c r="D405" s="53" t="s">
        <v>4</v>
      </c>
      <c r="E405" s="53" t="s">
        <v>6</v>
      </c>
      <c r="F405" s="53" t="s">
        <v>11</v>
      </c>
      <c r="G405" s="61" t="s">
        <v>8</v>
      </c>
    </row>
    <row r="406" spans="1:11" s="2" customFormat="1" ht="15.75" customHeight="1">
      <c r="A406" s="978" t="str">
        <f>SALARIOS!$A$69</f>
        <v>CUADRILLA BB INSTALACIONES 1:1</v>
      </c>
      <c r="B406" s="979"/>
      <c r="C406" s="13" t="s">
        <v>1245</v>
      </c>
      <c r="D406" s="32">
        <v>1</v>
      </c>
      <c r="E406" s="13">
        <f>SALARIOS!$C$69</f>
        <v>27341</v>
      </c>
      <c r="F406" s="55">
        <f>+D406*E406</f>
        <v>27341</v>
      </c>
      <c r="G406" s="57">
        <f>SUM(F405:F406)</f>
        <v>27341</v>
      </c>
    </row>
    <row r="407" spans="1:11" s="2" customFormat="1" ht="15.75" customHeight="1">
      <c r="A407" s="1076" t="s">
        <v>25</v>
      </c>
      <c r="B407" s="944"/>
      <c r="C407" s="944"/>
      <c r="D407" s="944"/>
      <c r="E407" s="944"/>
      <c r="F407" s="944"/>
      <c r="G407" s="1072"/>
    </row>
    <row r="408" spans="1:11" s="2" customFormat="1" ht="15.75" customHeight="1">
      <c r="A408" s="1077"/>
      <c r="B408" s="944"/>
      <c r="C408" s="944"/>
      <c r="D408" s="944"/>
      <c r="E408" s="944"/>
      <c r="F408" s="944"/>
      <c r="G408" s="62">
        <f>G406+G403+G399+G395</f>
        <v>3056083.05</v>
      </c>
      <c r="K408" s="35"/>
    </row>
    <row r="409" spans="1:11" s="2" customFormat="1" ht="15.75" customHeight="1">
      <c r="A409" s="63"/>
      <c r="B409" s="42"/>
      <c r="C409" s="42"/>
      <c r="D409" s="42"/>
      <c r="E409" s="42"/>
      <c r="F409" s="42"/>
      <c r="G409" s="64"/>
    </row>
    <row r="410" spans="1:11" s="2" customFormat="1" ht="15.75" customHeight="1">
      <c r="A410" s="970" t="s">
        <v>1</v>
      </c>
      <c r="B410" s="957"/>
      <c r="C410" s="953" t="s">
        <v>0</v>
      </c>
      <c r="D410" s="954"/>
      <c r="E410" s="954"/>
      <c r="F410" s="954"/>
      <c r="G410" s="955"/>
    </row>
    <row r="411" spans="1:11" s="2" customFormat="1" ht="50.25" customHeight="1">
      <c r="A411" s="971"/>
      <c r="B411" s="957"/>
      <c r="C411" s="954"/>
      <c r="D411" s="954"/>
      <c r="E411" s="954"/>
      <c r="F411" s="954"/>
      <c r="G411" s="955"/>
    </row>
    <row r="412" spans="1:11" s="2" customFormat="1" ht="15.75" customHeight="1">
      <c r="A412" s="971"/>
      <c r="B412" s="957"/>
      <c r="C412" s="956"/>
      <c r="D412" s="957"/>
      <c r="E412" s="957"/>
      <c r="F412" s="957"/>
      <c r="G412" s="958"/>
    </row>
    <row r="413" spans="1:11" s="2" customFormat="1" ht="15.75" customHeight="1">
      <c r="A413" s="971"/>
      <c r="B413" s="957"/>
      <c r="C413" s="959" t="s">
        <v>2</v>
      </c>
      <c r="D413" s="957"/>
      <c r="E413" s="957"/>
      <c r="F413" s="23" t="s">
        <v>3</v>
      </c>
      <c r="G413" s="24" t="s">
        <v>4</v>
      </c>
    </row>
    <row r="414" spans="1:11" s="2" customFormat="1" ht="69" customHeight="1">
      <c r="A414" s="1073" t="s">
        <v>416</v>
      </c>
      <c r="B414" s="944"/>
      <c r="C414" s="980" t="s">
        <v>417</v>
      </c>
      <c r="D414" s="944"/>
      <c r="E414" s="944"/>
      <c r="F414" s="51" t="s">
        <v>28</v>
      </c>
      <c r="G414" s="52">
        <v>1</v>
      </c>
    </row>
    <row r="415" spans="1:11" s="35" customFormat="1" ht="13.8">
      <c r="A415" s="1071" t="s">
        <v>5</v>
      </c>
      <c r="B415" s="944"/>
      <c r="C415" s="944"/>
      <c r="D415" s="944"/>
      <c r="E415" s="944"/>
      <c r="F415" s="944"/>
      <c r="G415" s="1072"/>
      <c r="H415" s="2"/>
      <c r="I415" s="2"/>
      <c r="J415" s="2"/>
      <c r="K415" s="2"/>
    </row>
    <row r="416" spans="1:11" s="2" customFormat="1" ht="15.75" customHeight="1">
      <c r="A416" s="1074" t="s">
        <v>2</v>
      </c>
      <c r="B416" s="944"/>
      <c r="C416" s="53" t="s">
        <v>3</v>
      </c>
      <c r="D416" s="53" t="s">
        <v>4</v>
      </c>
      <c r="E416" s="53" t="s">
        <v>6</v>
      </c>
      <c r="F416" s="53" t="s">
        <v>7</v>
      </c>
      <c r="G416" s="61" t="s">
        <v>8</v>
      </c>
    </row>
    <row r="417" spans="1:11" s="2" customFormat="1" ht="15.75" customHeight="1">
      <c r="A417" s="947" t="s">
        <v>328</v>
      </c>
      <c r="B417" s="944"/>
      <c r="C417" s="51" t="s">
        <v>3</v>
      </c>
      <c r="D417" s="54">
        <v>0.05</v>
      </c>
      <c r="E417" s="17">
        <f>G428</f>
        <v>27341</v>
      </c>
      <c r="F417" s="55">
        <f>D417*E417</f>
        <v>1367.0500000000002</v>
      </c>
      <c r="G417" s="57">
        <f>F417</f>
        <v>1367.0500000000002</v>
      </c>
    </row>
    <row r="418" spans="1:11" s="2" customFormat="1" ht="15.75" customHeight="1">
      <c r="A418" s="1071" t="s">
        <v>10</v>
      </c>
      <c r="B418" s="944"/>
      <c r="C418" s="944"/>
      <c r="D418" s="944"/>
      <c r="E418" s="944"/>
      <c r="F418" s="944"/>
      <c r="G418" s="1072"/>
    </row>
    <row r="419" spans="1:11" s="2" customFormat="1" ht="15.75" customHeight="1">
      <c r="A419" s="1074" t="s">
        <v>2</v>
      </c>
      <c r="B419" s="944"/>
      <c r="C419" s="53" t="s">
        <v>3</v>
      </c>
      <c r="D419" s="53" t="s">
        <v>4</v>
      </c>
      <c r="E419" s="53" t="s">
        <v>6</v>
      </c>
      <c r="F419" s="53" t="s">
        <v>11</v>
      </c>
      <c r="G419" s="1075" t="s">
        <v>8</v>
      </c>
    </row>
    <row r="420" spans="1:11" s="2" customFormat="1" ht="37.5" customHeight="1">
      <c r="A420" s="947" t="s">
        <v>2405</v>
      </c>
      <c r="B420" s="944"/>
      <c r="C420" s="16" t="s">
        <v>3</v>
      </c>
      <c r="D420" s="16">
        <v>1</v>
      </c>
      <c r="E420" s="17">
        <f>'INSUMOS '!E190</f>
        <v>3705000</v>
      </c>
      <c r="F420" s="55">
        <f>D420*E420</f>
        <v>3705000</v>
      </c>
      <c r="G420" s="1072"/>
    </row>
    <row r="421" spans="1:11" s="2" customFormat="1" ht="15.75" customHeight="1">
      <c r="A421" s="947"/>
      <c r="B421" s="944"/>
      <c r="C421" s="16"/>
      <c r="D421" s="58"/>
      <c r="E421" s="17"/>
      <c r="F421" s="55"/>
      <c r="G421" s="57">
        <f>SUM(F419:F421)</f>
        <v>3705000</v>
      </c>
    </row>
    <row r="422" spans="1:11" s="2" customFormat="1" ht="15.75" customHeight="1">
      <c r="A422" s="1071" t="s">
        <v>15</v>
      </c>
      <c r="B422" s="944"/>
      <c r="C422" s="944"/>
      <c r="D422" s="944"/>
      <c r="E422" s="944"/>
      <c r="F422" s="944"/>
      <c r="G422" s="1072"/>
    </row>
    <row r="423" spans="1:11" s="2" customFormat="1" ht="15.75" customHeight="1">
      <c r="A423" s="1074" t="s">
        <v>2</v>
      </c>
      <c r="B423" s="944"/>
      <c r="C423" s="53" t="s">
        <v>3</v>
      </c>
      <c r="D423" s="53" t="s">
        <v>4</v>
      </c>
      <c r="E423" s="53" t="s">
        <v>6</v>
      </c>
      <c r="F423" s="53" t="s">
        <v>11</v>
      </c>
      <c r="G423" s="1075" t="s">
        <v>8</v>
      </c>
    </row>
    <row r="424" spans="1:11" s="2" customFormat="1" ht="15.75" customHeight="1">
      <c r="A424" s="943" t="s">
        <v>173</v>
      </c>
      <c r="B424" s="944"/>
      <c r="C424" s="16" t="s">
        <v>3</v>
      </c>
      <c r="D424" s="54">
        <v>3.5000000000000003E-2</v>
      </c>
      <c r="E424" s="17">
        <f>G421</f>
        <v>3705000</v>
      </c>
      <c r="F424" s="55">
        <f>E424*D424</f>
        <v>129675.00000000001</v>
      </c>
      <c r="G424" s="1072"/>
    </row>
    <row r="425" spans="1:11" s="2" customFormat="1" ht="15.75" customHeight="1">
      <c r="A425" s="59"/>
      <c r="B425" s="60"/>
      <c r="C425" s="60"/>
      <c r="D425" s="60"/>
      <c r="E425" s="60"/>
      <c r="F425" s="60"/>
      <c r="G425" s="57">
        <f>SUM(F424:F425)</f>
        <v>129675.00000000001</v>
      </c>
    </row>
    <row r="426" spans="1:11" s="2" customFormat="1" ht="15.75" customHeight="1">
      <c r="A426" s="1071" t="s">
        <v>19</v>
      </c>
      <c r="B426" s="944"/>
      <c r="C426" s="944"/>
      <c r="D426" s="944"/>
      <c r="E426" s="944"/>
      <c r="F426" s="944"/>
      <c r="G426" s="1072"/>
    </row>
    <row r="427" spans="1:11" s="2" customFormat="1" ht="15.75" customHeight="1">
      <c r="A427" s="1074" t="s">
        <v>2</v>
      </c>
      <c r="B427" s="944"/>
      <c r="C427" s="53" t="s">
        <v>3</v>
      </c>
      <c r="D427" s="53" t="s">
        <v>4</v>
      </c>
      <c r="E427" s="53" t="s">
        <v>6</v>
      </c>
      <c r="F427" s="53" t="s">
        <v>11</v>
      </c>
      <c r="G427" s="61" t="s">
        <v>8</v>
      </c>
    </row>
    <row r="428" spans="1:11" s="2" customFormat="1" ht="15.75" customHeight="1">
      <c r="A428" s="978" t="str">
        <f>SALARIOS!$A$69</f>
        <v>CUADRILLA BB INSTALACIONES 1:1</v>
      </c>
      <c r="B428" s="979"/>
      <c r="C428" s="13" t="s">
        <v>1245</v>
      </c>
      <c r="D428" s="32">
        <v>1</v>
      </c>
      <c r="E428" s="13">
        <f>SALARIOS!$C$69</f>
        <v>27341</v>
      </c>
      <c r="F428" s="55">
        <f>+D428*E428</f>
        <v>27341</v>
      </c>
      <c r="G428" s="57">
        <f>SUM(F427:F428)</f>
        <v>27341</v>
      </c>
    </row>
    <row r="429" spans="1:11" s="2" customFormat="1" ht="15.75" customHeight="1">
      <c r="A429" s="1076" t="s">
        <v>25</v>
      </c>
      <c r="B429" s="944"/>
      <c r="C429" s="944"/>
      <c r="D429" s="944"/>
      <c r="E429" s="944"/>
      <c r="F429" s="944"/>
      <c r="G429" s="1072"/>
    </row>
    <row r="430" spans="1:11" s="2" customFormat="1" ht="15.75" customHeight="1">
      <c r="A430" s="1077"/>
      <c r="B430" s="944"/>
      <c r="C430" s="944"/>
      <c r="D430" s="944"/>
      <c r="E430" s="944"/>
      <c r="F430" s="944"/>
      <c r="G430" s="62">
        <f>G428+G425+G421+G417</f>
        <v>3863383.05</v>
      </c>
      <c r="K430" s="35"/>
    </row>
    <row r="431" spans="1:11" s="2" customFormat="1" ht="15.75" customHeight="1">
      <c r="A431" s="63"/>
      <c r="B431" s="42"/>
      <c r="C431" s="42"/>
      <c r="D431" s="42"/>
      <c r="E431" s="42"/>
      <c r="F431" s="42"/>
      <c r="G431" s="64"/>
    </row>
    <row r="432" spans="1:11" s="2" customFormat="1" ht="15.75" customHeight="1">
      <c r="A432" s="970" t="s">
        <v>1</v>
      </c>
      <c r="B432" s="957"/>
      <c r="C432" s="953" t="s">
        <v>0</v>
      </c>
      <c r="D432" s="954"/>
      <c r="E432" s="954"/>
      <c r="F432" s="954"/>
      <c r="G432" s="955"/>
    </row>
    <row r="433" spans="1:11" s="2" customFormat="1" ht="60" customHeight="1">
      <c r="A433" s="971"/>
      <c r="B433" s="957"/>
      <c r="C433" s="954"/>
      <c r="D433" s="954"/>
      <c r="E433" s="954"/>
      <c r="F433" s="954"/>
      <c r="G433" s="955"/>
    </row>
    <row r="434" spans="1:11" s="2" customFormat="1" ht="15.75" customHeight="1">
      <c r="A434" s="971"/>
      <c r="B434" s="957"/>
      <c r="C434" s="956"/>
      <c r="D434" s="957"/>
      <c r="E434" s="957"/>
      <c r="F434" s="957"/>
      <c r="G434" s="958"/>
    </row>
    <row r="435" spans="1:11" s="2" customFormat="1" ht="15.75" customHeight="1">
      <c r="A435" s="971"/>
      <c r="B435" s="957"/>
      <c r="C435" s="959" t="s">
        <v>2</v>
      </c>
      <c r="D435" s="957"/>
      <c r="E435" s="957"/>
      <c r="F435" s="23" t="s">
        <v>3</v>
      </c>
      <c r="G435" s="24" t="s">
        <v>4</v>
      </c>
    </row>
    <row r="436" spans="1:11" s="2" customFormat="1" ht="77.25" customHeight="1">
      <c r="A436" s="1073" t="s">
        <v>418</v>
      </c>
      <c r="B436" s="944"/>
      <c r="C436" s="980" t="s">
        <v>419</v>
      </c>
      <c r="D436" s="944"/>
      <c r="E436" s="944"/>
      <c r="F436" s="51" t="s">
        <v>28</v>
      </c>
      <c r="G436" s="52">
        <v>2</v>
      </c>
    </row>
    <row r="437" spans="1:11" s="35" customFormat="1" ht="13.8">
      <c r="A437" s="1071" t="s">
        <v>5</v>
      </c>
      <c r="B437" s="944"/>
      <c r="C437" s="944"/>
      <c r="D437" s="944"/>
      <c r="E437" s="944"/>
      <c r="F437" s="944"/>
      <c r="G437" s="1072"/>
      <c r="H437" s="2"/>
      <c r="I437" s="2"/>
      <c r="J437" s="2"/>
      <c r="K437" s="2"/>
    </row>
    <row r="438" spans="1:11" s="2" customFormat="1" ht="15.75" customHeight="1">
      <c r="A438" s="1074" t="s">
        <v>2</v>
      </c>
      <c r="B438" s="944"/>
      <c r="C438" s="53" t="s">
        <v>3</v>
      </c>
      <c r="D438" s="53" t="s">
        <v>4</v>
      </c>
      <c r="E438" s="53" t="s">
        <v>6</v>
      </c>
      <c r="F438" s="53" t="s">
        <v>7</v>
      </c>
      <c r="G438" s="61" t="s">
        <v>8</v>
      </c>
    </row>
    <row r="439" spans="1:11" s="2" customFormat="1" ht="15.75" customHeight="1">
      <c r="A439" s="947" t="s">
        <v>328</v>
      </c>
      <c r="B439" s="944"/>
      <c r="C439" s="51" t="s">
        <v>3</v>
      </c>
      <c r="D439" s="54">
        <v>0.05</v>
      </c>
      <c r="E439" s="17">
        <f>G450</f>
        <v>27341</v>
      </c>
      <c r="F439" s="55">
        <f>D439*E439</f>
        <v>1367.0500000000002</v>
      </c>
      <c r="G439" s="57">
        <f>F439</f>
        <v>1367.0500000000002</v>
      </c>
    </row>
    <row r="440" spans="1:11" s="2" customFormat="1" ht="15.75" customHeight="1">
      <c r="A440" s="1071" t="s">
        <v>10</v>
      </c>
      <c r="B440" s="944"/>
      <c r="C440" s="944"/>
      <c r="D440" s="944"/>
      <c r="E440" s="944"/>
      <c r="F440" s="944"/>
      <c r="G440" s="1072"/>
    </row>
    <row r="441" spans="1:11" s="2" customFormat="1" ht="15.75" customHeight="1">
      <c r="A441" s="1074" t="s">
        <v>2</v>
      </c>
      <c r="B441" s="944"/>
      <c r="C441" s="53" t="s">
        <v>3</v>
      </c>
      <c r="D441" s="53" t="s">
        <v>4</v>
      </c>
      <c r="E441" s="53" t="s">
        <v>6</v>
      </c>
      <c r="F441" s="53" t="s">
        <v>11</v>
      </c>
      <c r="G441" s="1075" t="s">
        <v>8</v>
      </c>
    </row>
    <row r="442" spans="1:11" s="2" customFormat="1" ht="60.75" customHeight="1">
      <c r="A442" s="947" t="s">
        <v>2406</v>
      </c>
      <c r="B442" s="944"/>
      <c r="C442" s="16" t="s">
        <v>3</v>
      </c>
      <c r="D442" s="16">
        <v>1</v>
      </c>
      <c r="E442" s="17">
        <f>'INSUMOS '!E191</f>
        <v>3045000</v>
      </c>
      <c r="F442" s="55">
        <f>D442*E442</f>
        <v>3045000</v>
      </c>
      <c r="G442" s="1072"/>
    </row>
    <row r="443" spans="1:11" s="2" customFormat="1" ht="15.75" customHeight="1">
      <c r="A443" s="947"/>
      <c r="B443" s="944"/>
      <c r="C443" s="16"/>
      <c r="D443" s="58"/>
      <c r="E443" s="17"/>
      <c r="F443" s="55"/>
      <c r="G443" s="57">
        <f>SUM(F441:F443)</f>
        <v>3045000</v>
      </c>
    </row>
    <row r="444" spans="1:11" s="2" customFormat="1" ht="15.75" customHeight="1">
      <c r="A444" s="1071" t="s">
        <v>15</v>
      </c>
      <c r="B444" s="944"/>
      <c r="C444" s="944"/>
      <c r="D444" s="944"/>
      <c r="E444" s="944"/>
      <c r="F444" s="944"/>
      <c r="G444" s="1072"/>
    </row>
    <row r="445" spans="1:11" s="2" customFormat="1" ht="15.75" customHeight="1">
      <c r="A445" s="1074" t="s">
        <v>2</v>
      </c>
      <c r="B445" s="944"/>
      <c r="C445" s="53" t="s">
        <v>3</v>
      </c>
      <c r="D445" s="53" t="s">
        <v>4</v>
      </c>
      <c r="E445" s="53" t="s">
        <v>6</v>
      </c>
      <c r="F445" s="53" t="s">
        <v>11</v>
      </c>
      <c r="G445" s="1075" t="s">
        <v>8</v>
      </c>
    </row>
    <row r="446" spans="1:11" s="2" customFormat="1" ht="15.75" customHeight="1">
      <c r="A446" s="943" t="s">
        <v>173</v>
      </c>
      <c r="B446" s="944"/>
      <c r="C446" s="16" t="s">
        <v>3</v>
      </c>
      <c r="D446" s="54">
        <v>3.5000000000000003E-2</v>
      </c>
      <c r="E446" s="17">
        <f>G443</f>
        <v>3045000</v>
      </c>
      <c r="F446" s="55">
        <f>E446*D446</f>
        <v>106575.00000000001</v>
      </c>
      <c r="G446" s="1072"/>
    </row>
    <row r="447" spans="1:11" s="2" customFormat="1" ht="15.75" customHeight="1">
      <c r="A447" s="59"/>
      <c r="B447" s="60"/>
      <c r="C447" s="60"/>
      <c r="D447" s="60"/>
      <c r="E447" s="60"/>
      <c r="F447" s="60"/>
      <c r="G447" s="57">
        <f>SUM(F446:F447)</f>
        <v>106575.00000000001</v>
      </c>
    </row>
    <row r="448" spans="1:11" s="2" customFormat="1" ht="15.75" customHeight="1">
      <c r="A448" s="1071" t="s">
        <v>19</v>
      </c>
      <c r="B448" s="944"/>
      <c r="C448" s="944"/>
      <c r="D448" s="944"/>
      <c r="E448" s="944"/>
      <c r="F448" s="944"/>
      <c r="G448" s="1072"/>
    </row>
    <row r="449" spans="1:11" s="2" customFormat="1" ht="15.75" customHeight="1">
      <c r="A449" s="1074" t="s">
        <v>2</v>
      </c>
      <c r="B449" s="944"/>
      <c r="C449" s="53" t="s">
        <v>3</v>
      </c>
      <c r="D449" s="53" t="s">
        <v>4</v>
      </c>
      <c r="E449" s="53" t="s">
        <v>6</v>
      </c>
      <c r="F449" s="53" t="s">
        <v>11</v>
      </c>
      <c r="G449" s="61" t="s">
        <v>8</v>
      </c>
    </row>
    <row r="450" spans="1:11" s="2" customFormat="1" ht="15.75" customHeight="1">
      <c r="A450" s="978" t="str">
        <f>SALARIOS!$A$69</f>
        <v>CUADRILLA BB INSTALACIONES 1:1</v>
      </c>
      <c r="B450" s="979"/>
      <c r="C450" s="13" t="s">
        <v>1245</v>
      </c>
      <c r="D450" s="32">
        <v>1</v>
      </c>
      <c r="E450" s="13">
        <f>SALARIOS!$C$69</f>
        <v>27341</v>
      </c>
      <c r="F450" s="55">
        <f>+D450*E450</f>
        <v>27341</v>
      </c>
      <c r="G450" s="57">
        <f>SUM(F449:F450)</f>
        <v>27341</v>
      </c>
    </row>
    <row r="451" spans="1:11" s="2" customFormat="1" ht="15.75" customHeight="1">
      <c r="A451" s="1076" t="s">
        <v>25</v>
      </c>
      <c r="B451" s="944"/>
      <c r="C451" s="944"/>
      <c r="D451" s="944"/>
      <c r="E451" s="944"/>
      <c r="F451" s="944"/>
      <c r="G451" s="1072"/>
    </row>
    <row r="452" spans="1:11" s="2" customFormat="1" ht="15.75" customHeight="1">
      <c r="A452" s="1077"/>
      <c r="B452" s="944"/>
      <c r="C452" s="944"/>
      <c r="D452" s="944"/>
      <c r="E452" s="944"/>
      <c r="F452" s="944"/>
      <c r="G452" s="62">
        <f>G450+G447+G443+G439</f>
        <v>3180283.05</v>
      </c>
      <c r="K452" s="35"/>
    </row>
    <row r="453" spans="1:11" s="2" customFormat="1" ht="15.75" customHeight="1">
      <c r="A453" s="63"/>
      <c r="B453" s="42"/>
      <c r="C453" s="42"/>
      <c r="D453" s="42"/>
      <c r="E453" s="42"/>
      <c r="F453" s="42"/>
      <c r="G453" s="64"/>
    </row>
    <row r="454" spans="1:11" s="2" customFormat="1" ht="15.75" customHeight="1">
      <c r="A454" s="970" t="s">
        <v>1</v>
      </c>
      <c r="B454" s="957"/>
      <c r="C454" s="953" t="s">
        <v>0</v>
      </c>
      <c r="D454" s="954"/>
      <c r="E454" s="954"/>
      <c r="F454" s="954"/>
      <c r="G454" s="955"/>
    </row>
    <row r="455" spans="1:11" s="2" customFormat="1" ht="57" customHeight="1">
      <c r="A455" s="971"/>
      <c r="B455" s="957"/>
      <c r="C455" s="954"/>
      <c r="D455" s="954"/>
      <c r="E455" s="954"/>
      <c r="F455" s="954"/>
      <c r="G455" s="955"/>
    </row>
    <row r="456" spans="1:11" s="2" customFormat="1" ht="15.75" customHeight="1">
      <c r="A456" s="971"/>
      <c r="B456" s="957"/>
      <c r="C456" s="956"/>
      <c r="D456" s="957"/>
      <c r="E456" s="957"/>
      <c r="F456" s="957"/>
      <c r="G456" s="958"/>
    </row>
    <row r="457" spans="1:11" s="2" customFormat="1" ht="15.75" customHeight="1">
      <c r="A457" s="971"/>
      <c r="B457" s="957"/>
      <c r="C457" s="959" t="s">
        <v>2</v>
      </c>
      <c r="D457" s="957"/>
      <c r="E457" s="957"/>
      <c r="F457" s="23" t="s">
        <v>3</v>
      </c>
      <c r="G457" s="24" t="s">
        <v>4</v>
      </c>
    </row>
    <row r="458" spans="1:11" s="2" customFormat="1" ht="70.5" customHeight="1">
      <c r="A458" s="1073" t="s">
        <v>420</v>
      </c>
      <c r="B458" s="944"/>
      <c r="C458" s="980" t="s">
        <v>421</v>
      </c>
      <c r="D458" s="944"/>
      <c r="E458" s="944"/>
      <c r="F458" s="51" t="s">
        <v>100</v>
      </c>
      <c r="G458" s="52">
        <v>24.650000000000002</v>
      </c>
    </row>
    <row r="459" spans="1:11" s="35" customFormat="1" ht="13.8">
      <c r="A459" s="1071" t="s">
        <v>5</v>
      </c>
      <c r="B459" s="944"/>
      <c r="C459" s="944"/>
      <c r="D459" s="944"/>
      <c r="E459" s="944"/>
      <c r="F459" s="944"/>
      <c r="G459" s="1072"/>
      <c r="H459" s="2"/>
      <c r="I459" s="2"/>
      <c r="J459" s="2"/>
      <c r="K459" s="2"/>
    </row>
    <row r="460" spans="1:11" s="2" customFormat="1" ht="15.75" customHeight="1">
      <c r="A460" s="1074" t="s">
        <v>2</v>
      </c>
      <c r="B460" s="944"/>
      <c r="C460" s="53" t="s">
        <v>3</v>
      </c>
      <c r="D460" s="53" t="s">
        <v>4</v>
      </c>
      <c r="E460" s="53" t="s">
        <v>6</v>
      </c>
      <c r="F460" s="53" t="s">
        <v>7</v>
      </c>
      <c r="G460" s="61" t="s">
        <v>8</v>
      </c>
    </row>
    <row r="461" spans="1:11" s="2" customFormat="1" ht="15.75" customHeight="1">
      <c r="A461" s="947" t="s">
        <v>328</v>
      </c>
      <c r="B461" s="944"/>
      <c r="C461" s="51" t="s">
        <v>3</v>
      </c>
      <c r="D461" s="54">
        <v>0.05</v>
      </c>
      <c r="E461" s="17">
        <f>G472</f>
        <v>27341</v>
      </c>
      <c r="F461" s="55">
        <f>D461*E461</f>
        <v>1367.0500000000002</v>
      </c>
      <c r="G461" s="57">
        <f>F461</f>
        <v>1367.0500000000002</v>
      </c>
    </row>
    <row r="462" spans="1:11" s="2" customFormat="1" ht="15.75" customHeight="1">
      <c r="A462" s="1071" t="s">
        <v>10</v>
      </c>
      <c r="B462" s="944"/>
      <c r="C462" s="944"/>
      <c r="D462" s="944"/>
      <c r="E462" s="944"/>
      <c r="F462" s="944"/>
      <c r="G462" s="1072"/>
    </row>
    <row r="463" spans="1:11" s="2" customFormat="1" ht="15.75" customHeight="1">
      <c r="A463" s="1074" t="s">
        <v>2</v>
      </c>
      <c r="B463" s="944"/>
      <c r="C463" s="53" t="s">
        <v>3</v>
      </c>
      <c r="D463" s="53" t="s">
        <v>4</v>
      </c>
      <c r="E463" s="53" t="s">
        <v>6</v>
      </c>
      <c r="F463" s="53" t="s">
        <v>11</v>
      </c>
      <c r="G463" s="1075" t="s">
        <v>8</v>
      </c>
    </row>
    <row r="464" spans="1:11" s="2" customFormat="1" ht="42.75" customHeight="1">
      <c r="A464" s="947" t="s">
        <v>422</v>
      </c>
      <c r="B464" s="944"/>
      <c r="C464" s="51" t="s">
        <v>100</v>
      </c>
      <c r="D464" s="16">
        <v>1</v>
      </c>
      <c r="E464" s="17">
        <f>'INSUMOS '!E194</f>
        <v>1903125</v>
      </c>
      <c r="F464" s="55">
        <f>D464*E464</f>
        <v>1903125</v>
      </c>
      <c r="G464" s="1072"/>
    </row>
    <row r="465" spans="1:11" s="2" customFormat="1" ht="15.75" customHeight="1">
      <c r="A465" s="947"/>
      <c r="B465" s="944"/>
      <c r="C465" s="16"/>
      <c r="D465" s="58"/>
      <c r="E465" s="17"/>
      <c r="F465" s="55">
        <f>E465*D465</f>
        <v>0</v>
      </c>
      <c r="G465" s="57">
        <f>SUM(F463:F465)</f>
        <v>1903125</v>
      </c>
    </row>
    <row r="466" spans="1:11" s="2" customFormat="1" ht="15.75" customHeight="1">
      <c r="A466" s="1071" t="s">
        <v>15</v>
      </c>
      <c r="B466" s="944"/>
      <c r="C466" s="944"/>
      <c r="D466" s="944"/>
      <c r="E466" s="944"/>
      <c r="F466" s="944"/>
      <c r="G466" s="1072"/>
    </row>
    <row r="467" spans="1:11" s="2" customFormat="1" ht="15.75" customHeight="1">
      <c r="A467" s="1074" t="s">
        <v>2</v>
      </c>
      <c r="B467" s="944"/>
      <c r="C467" s="53" t="s">
        <v>3</v>
      </c>
      <c r="D467" s="53" t="s">
        <v>4</v>
      </c>
      <c r="E467" s="53" t="s">
        <v>6</v>
      </c>
      <c r="F467" s="53" t="s">
        <v>11</v>
      </c>
      <c r="G467" s="1075" t="s">
        <v>8</v>
      </c>
      <c r="K467" s="35"/>
    </row>
    <row r="468" spans="1:11" s="2" customFormat="1" ht="15.75" customHeight="1">
      <c r="A468" s="943" t="s">
        <v>173</v>
      </c>
      <c r="B468" s="944"/>
      <c r="C468" s="16" t="s">
        <v>3</v>
      </c>
      <c r="D468" s="54">
        <v>3.5000000000000003E-2</v>
      </c>
      <c r="E468" s="17">
        <f>+G465</f>
        <v>1903125</v>
      </c>
      <c r="F468" s="55">
        <f>E468*D468</f>
        <v>66609.375</v>
      </c>
      <c r="G468" s="1072"/>
    </row>
    <row r="469" spans="1:11" s="2" customFormat="1" ht="15.75" customHeight="1">
      <c r="A469" s="59"/>
      <c r="B469" s="60"/>
      <c r="C469" s="60"/>
      <c r="D469" s="60"/>
      <c r="E469" s="60"/>
      <c r="F469" s="60"/>
      <c r="G469" s="57">
        <f>SUM(F468:F469)</f>
        <v>66609.375</v>
      </c>
    </row>
    <row r="470" spans="1:11" s="2" customFormat="1" ht="15.75" customHeight="1">
      <c r="A470" s="1071" t="s">
        <v>19</v>
      </c>
      <c r="B470" s="944"/>
      <c r="C470" s="944"/>
      <c r="D470" s="944"/>
      <c r="E470" s="944"/>
      <c r="F470" s="944"/>
      <c r="G470" s="1072"/>
    </row>
    <row r="471" spans="1:11" s="2" customFormat="1" ht="15.75" customHeight="1">
      <c r="A471" s="1074" t="s">
        <v>2</v>
      </c>
      <c r="B471" s="944"/>
      <c r="C471" s="53" t="s">
        <v>3</v>
      </c>
      <c r="D471" s="53" t="s">
        <v>4</v>
      </c>
      <c r="E471" s="53" t="s">
        <v>6</v>
      </c>
      <c r="F471" s="53" t="s">
        <v>11</v>
      </c>
      <c r="G471" s="61" t="s">
        <v>8</v>
      </c>
    </row>
    <row r="472" spans="1:11" s="2" customFormat="1" ht="15.75" customHeight="1">
      <c r="A472" s="978" t="str">
        <f>SALARIOS!$A$69</f>
        <v>CUADRILLA BB INSTALACIONES 1:1</v>
      </c>
      <c r="B472" s="979"/>
      <c r="C472" s="13" t="s">
        <v>1245</v>
      </c>
      <c r="D472" s="32">
        <v>1</v>
      </c>
      <c r="E472" s="13">
        <f>SALARIOS!$C$69</f>
        <v>27341</v>
      </c>
      <c r="F472" s="55">
        <f>+D472*E472</f>
        <v>27341</v>
      </c>
      <c r="G472" s="57">
        <f>SUM(F471:F472)</f>
        <v>27341</v>
      </c>
    </row>
    <row r="473" spans="1:11" s="2" customFormat="1" ht="15.75" customHeight="1">
      <c r="A473" s="1076" t="s">
        <v>25</v>
      </c>
      <c r="B473" s="944"/>
      <c r="C473" s="944"/>
      <c r="D473" s="944"/>
      <c r="E473" s="944"/>
      <c r="F473" s="944"/>
      <c r="G473" s="1072"/>
    </row>
    <row r="474" spans="1:11" s="35" customFormat="1" ht="17.399999999999999">
      <c r="A474" s="1077"/>
      <c r="B474" s="944"/>
      <c r="C474" s="944"/>
      <c r="D474" s="944"/>
      <c r="E474" s="944"/>
      <c r="F474" s="944"/>
      <c r="G474" s="62">
        <f>G472+G469+G465+G461</f>
        <v>1998442.425</v>
      </c>
      <c r="H474" s="2"/>
      <c r="I474" s="2"/>
      <c r="J474" s="2"/>
      <c r="K474" s="2"/>
    </row>
    <row r="475" spans="1:11" s="2" customFormat="1" ht="15.75" customHeight="1">
      <c r="A475" s="63"/>
      <c r="B475" s="42"/>
      <c r="C475" s="42"/>
      <c r="D475" s="42"/>
      <c r="E475" s="42"/>
      <c r="F475" s="42"/>
      <c r="G475" s="64"/>
    </row>
    <row r="476" spans="1:11" s="2" customFormat="1" ht="15.75" customHeight="1">
      <c r="A476" s="970" t="s">
        <v>1</v>
      </c>
      <c r="B476" s="957"/>
      <c r="C476" s="953" t="s">
        <v>0</v>
      </c>
      <c r="D476" s="954"/>
      <c r="E476" s="954"/>
      <c r="F476" s="954"/>
      <c r="G476" s="955"/>
    </row>
    <row r="477" spans="1:11" s="2" customFormat="1" ht="60" customHeight="1">
      <c r="A477" s="971"/>
      <c r="B477" s="957"/>
      <c r="C477" s="954"/>
      <c r="D477" s="954"/>
      <c r="E477" s="954"/>
      <c r="F477" s="954"/>
      <c r="G477" s="955"/>
    </row>
    <row r="478" spans="1:11" s="2" customFormat="1" ht="15.75" customHeight="1">
      <c r="A478" s="971"/>
      <c r="B478" s="957"/>
      <c r="C478" s="956"/>
      <c r="D478" s="957"/>
      <c r="E478" s="957"/>
      <c r="F478" s="957"/>
      <c r="G478" s="958"/>
    </row>
    <row r="479" spans="1:11" s="2" customFormat="1" ht="15.75" customHeight="1">
      <c r="A479" s="971"/>
      <c r="B479" s="957"/>
      <c r="C479" s="959" t="s">
        <v>2</v>
      </c>
      <c r="D479" s="957"/>
      <c r="E479" s="957"/>
      <c r="F479" s="23" t="s">
        <v>3</v>
      </c>
      <c r="G479" s="24" t="s">
        <v>4</v>
      </c>
    </row>
    <row r="480" spans="1:11" s="2" customFormat="1" ht="61.5" customHeight="1">
      <c r="A480" s="1073" t="s">
        <v>423</v>
      </c>
      <c r="B480" s="944"/>
      <c r="C480" s="980" t="s">
        <v>424</v>
      </c>
      <c r="D480" s="944"/>
      <c r="E480" s="944"/>
      <c r="F480" s="51" t="s">
        <v>100</v>
      </c>
      <c r="G480" s="52">
        <v>22.22</v>
      </c>
    </row>
    <row r="481" spans="1:11" s="2" customFormat="1" ht="15.75" customHeight="1">
      <c r="A481" s="1071" t="s">
        <v>5</v>
      </c>
      <c r="B481" s="944"/>
      <c r="C481" s="944"/>
      <c r="D481" s="944"/>
      <c r="E481" s="944"/>
      <c r="F481" s="944"/>
      <c r="G481" s="1072"/>
    </row>
    <row r="482" spans="1:11" s="2" customFormat="1" ht="15.75" customHeight="1">
      <c r="A482" s="1074" t="s">
        <v>2</v>
      </c>
      <c r="B482" s="944"/>
      <c r="C482" s="53" t="s">
        <v>3</v>
      </c>
      <c r="D482" s="53" t="s">
        <v>4</v>
      </c>
      <c r="E482" s="53" t="s">
        <v>6</v>
      </c>
      <c r="F482" s="53" t="s">
        <v>7</v>
      </c>
      <c r="G482" s="61" t="s">
        <v>8</v>
      </c>
    </row>
    <row r="483" spans="1:11" s="2" customFormat="1" ht="15.75" customHeight="1">
      <c r="A483" s="947" t="s">
        <v>328</v>
      </c>
      <c r="B483" s="944"/>
      <c r="C483" s="51" t="s">
        <v>3</v>
      </c>
      <c r="D483" s="54">
        <v>0.05</v>
      </c>
      <c r="E483" s="17">
        <f>G494</f>
        <v>27341</v>
      </c>
      <c r="F483" s="55">
        <f>D483*E483</f>
        <v>1367.0500000000002</v>
      </c>
      <c r="G483" s="57">
        <f>F483</f>
        <v>1367.0500000000002</v>
      </c>
    </row>
    <row r="484" spans="1:11" s="2" customFormat="1" ht="15.75" customHeight="1">
      <c r="A484" s="1071" t="s">
        <v>10</v>
      </c>
      <c r="B484" s="944"/>
      <c r="C484" s="944"/>
      <c r="D484" s="944"/>
      <c r="E484" s="944"/>
      <c r="F484" s="944"/>
      <c r="G484" s="1072"/>
    </row>
    <row r="485" spans="1:11" s="2" customFormat="1" ht="15.75" customHeight="1">
      <c r="A485" s="1074" t="s">
        <v>2</v>
      </c>
      <c r="B485" s="944"/>
      <c r="C485" s="53" t="s">
        <v>3</v>
      </c>
      <c r="D485" s="53" t="s">
        <v>4</v>
      </c>
      <c r="E485" s="53" t="s">
        <v>6</v>
      </c>
      <c r="F485" s="53" t="s">
        <v>11</v>
      </c>
      <c r="G485" s="1075" t="s">
        <v>8</v>
      </c>
    </row>
    <row r="486" spans="1:11" s="2" customFormat="1" ht="28.5" customHeight="1">
      <c r="A486" s="947" t="s">
        <v>424</v>
      </c>
      <c r="B486" s="944"/>
      <c r="C486" s="51" t="s">
        <v>100</v>
      </c>
      <c r="D486" s="16">
        <v>1</v>
      </c>
      <c r="E486" s="17">
        <f>'INSUMOS '!E194</f>
        <v>1903125</v>
      </c>
      <c r="F486" s="55">
        <f>D486*E486</f>
        <v>1903125</v>
      </c>
      <c r="G486" s="1072"/>
    </row>
    <row r="487" spans="1:11" s="2" customFormat="1" ht="15.75" customHeight="1">
      <c r="A487" s="947"/>
      <c r="B487" s="944"/>
      <c r="C487" s="16"/>
      <c r="D487" s="58"/>
      <c r="E487" s="17"/>
      <c r="F487" s="55">
        <f>E487*D487</f>
        <v>0</v>
      </c>
      <c r="G487" s="57">
        <f>SUM(F485:F487)</f>
        <v>1903125</v>
      </c>
    </row>
    <row r="488" spans="1:11" s="2" customFormat="1" ht="15.75" customHeight="1">
      <c r="A488" s="1071" t="s">
        <v>15</v>
      </c>
      <c r="B488" s="944"/>
      <c r="C488" s="944"/>
      <c r="D488" s="944"/>
      <c r="E488" s="944"/>
      <c r="F488" s="944"/>
      <c r="G488" s="1072"/>
      <c r="K488" s="35"/>
    </row>
    <row r="489" spans="1:11" s="2" customFormat="1" ht="15.75" customHeight="1">
      <c r="A489" s="1074" t="s">
        <v>2</v>
      </c>
      <c r="B489" s="944"/>
      <c r="C489" s="53" t="s">
        <v>3</v>
      </c>
      <c r="D489" s="53" t="s">
        <v>4</v>
      </c>
      <c r="E489" s="53" t="s">
        <v>6</v>
      </c>
      <c r="F489" s="53" t="s">
        <v>11</v>
      </c>
      <c r="G489" s="1075" t="s">
        <v>8</v>
      </c>
    </row>
    <row r="490" spans="1:11" s="2" customFormat="1" ht="15.75" customHeight="1">
      <c r="A490" s="943" t="s">
        <v>173</v>
      </c>
      <c r="B490" s="944"/>
      <c r="C490" s="16" t="s">
        <v>3</v>
      </c>
      <c r="D490" s="54">
        <v>3.5000000000000003E-2</v>
      </c>
      <c r="E490" s="17">
        <f>+G487</f>
        <v>1903125</v>
      </c>
      <c r="F490" s="55">
        <f>E490*D490</f>
        <v>66609.375</v>
      </c>
      <c r="G490" s="1072"/>
    </row>
    <row r="491" spans="1:11" s="2" customFormat="1" ht="15.75" customHeight="1">
      <c r="A491" s="59"/>
      <c r="B491" s="60"/>
      <c r="C491" s="60"/>
      <c r="D491" s="60"/>
      <c r="E491" s="60"/>
      <c r="F491" s="60"/>
      <c r="G491" s="57">
        <f>SUM(F490:F491)</f>
        <v>66609.375</v>
      </c>
    </row>
    <row r="492" spans="1:11" s="2" customFormat="1" ht="15.75" customHeight="1">
      <c r="A492" s="1071" t="s">
        <v>19</v>
      </c>
      <c r="B492" s="944"/>
      <c r="C492" s="944"/>
      <c r="D492" s="944"/>
      <c r="E492" s="944"/>
      <c r="F492" s="944"/>
      <c r="G492" s="1072"/>
    </row>
    <row r="493" spans="1:11" s="2" customFormat="1" ht="15.75" customHeight="1">
      <c r="A493" s="1074" t="s">
        <v>2</v>
      </c>
      <c r="B493" s="944"/>
      <c r="C493" s="53" t="s">
        <v>3</v>
      </c>
      <c r="D493" s="53" t="s">
        <v>4</v>
      </c>
      <c r="E493" s="53" t="s">
        <v>6</v>
      </c>
      <c r="F493" s="53" t="s">
        <v>11</v>
      </c>
      <c r="G493" s="61" t="s">
        <v>8</v>
      </c>
    </row>
    <row r="494" spans="1:11" s="2" customFormat="1" ht="15.75" customHeight="1">
      <c r="A494" s="978" t="str">
        <f>SALARIOS!$A$69</f>
        <v>CUADRILLA BB INSTALACIONES 1:1</v>
      </c>
      <c r="B494" s="979"/>
      <c r="C494" s="13" t="s">
        <v>1245</v>
      </c>
      <c r="D494" s="32">
        <v>1</v>
      </c>
      <c r="E494" s="13">
        <f>SALARIOS!$C$69</f>
        <v>27341</v>
      </c>
      <c r="F494" s="55">
        <f>+D494*E494</f>
        <v>27341</v>
      </c>
      <c r="G494" s="57">
        <f>SUM(F493:F494)</f>
        <v>27341</v>
      </c>
    </row>
    <row r="495" spans="1:11" s="35" customFormat="1" ht="13.8">
      <c r="A495" s="1076" t="s">
        <v>25</v>
      </c>
      <c r="B495" s="944"/>
      <c r="C495" s="944"/>
      <c r="D495" s="944"/>
      <c r="E495" s="944"/>
      <c r="F495" s="944"/>
      <c r="G495" s="1072"/>
      <c r="H495" s="2"/>
      <c r="I495" s="2"/>
      <c r="J495" s="2"/>
      <c r="K495" s="2"/>
    </row>
    <row r="496" spans="1:11" s="2" customFormat="1" ht="15.75" customHeight="1">
      <c r="A496" s="1077"/>
      <c r="B496" s="944"/>
      <c r="C496" s="944"/>
      <c r="D496" s="944"/>
      <c r="E496" s="944"/>
      <c r="F496" s="944"/>
      <c r="G496" s="62">
        <f>G494+G491+G487+G483</f>
        <v>1998442.425</v>
      </c>
    </row>
    <row r="497" spans="1:7" s="2" customFormat="1" ht="15.75" customHeight="1">
      <c r="A497" s="63"/>
      <c r="B497" s="42"/>
      <c r="C497" s="42"/>
      <c r="D497" s="42"/>
      <c r="E497" s="42"/>
      <c r="F497" s="42"/>
      <c r="G497" s="64"/>
    </row>
    <row r="498" spans="1:7" s="2" customFormat="1" ht="14.25" customHeight="1">
      <c r="A498" s="970" t="s">
        <v>1</v>
      </c>
      <c r="B498" s="957"/>
      <c r="C498" s="953" t="s">
        <v>0</v>
      </c>
      <c r="D498" s="954"/>
      <c r="E498" s="954"/>
      <c r="F498" s="954"/>
      <c r="G498" s="955"/>
    </row>
    <row r="499" spans="1:7" s="2" customFormat="1" ht="66" customHeight="1">
      <c r="A499" s="971"/>
      <c r="B499" s="957"/>
      <c r="C499" s="954"/>
      <c r="D499" s="954"/>
      <c r="E499" s="954"/>
      <c r="F499" s="954"/>
      <c r="G499" s="955"/>
    </row>
    <row r="500" spans="1:7" s="2" customFormat="1" ht="15.75" customHeight="1">
      <c r="A500" s="971"/>
      <c r="B500" s="957"/>
      <c r="C500" s="956"/>
      <c r="D500" s="957"/>
      <c r="E500" s="957"/>
      <c r="F500" s="957"/>
      <c r="G500" s="958"/>
    </row>
    <row r="501" spans="1:7" s="2" customFormat="1" ht="15.75" customHeight="1">
      <c r="A501" s="971"/>
      <c r="B501" s="957"/>
      <c r="C501" s="959" t="s">
        <v>2</v>
      </c>
      <c r="D501" s="957"/>
      <c r="E501" s="957"/>
      <c r="F501" s="23" t="s">
        <v>3</v>
      </c>
      <c r="G501" s="24" t="s">
        <v>4</v>
      </c>
    </row>
    <row r="502" spans="1:7" s="2" customFormat="1" ht="44.25" customHeight="1">
      <c r="A502" s="1073" t="s">
        <v>425</v>
      </c>
      <c r="B502" s="944"/>
      <c r="C502" s="980" t="s">
        <v>426</v>
      </c>
      <c r="D502" s="944"/>
      <c r="E502" s="944"/>
      <c r="F502" s="51" t="s">
        <v>37</v>
      </c>
      <c r="G502" s="52">
        <v>2.68</v>
      </c>
    </row>
    <row r="503" spans="1:7" s="2" customFormat="1" ht="15.75" customHeight="1">
      <c r="A503" s="1071" t="s">
        <v>5</v>
      </c>
      <c r="B503" s="944"/>
      <c r="C503" s="944"/>
      <c r="D503" s="944"/>
      <c r="E503" s="944"/>
      <c r="F503" s="944"/>
      <c r="G503" s="1072"/>
    </row>
    <row r="504" spans="1:7" s="2" customFormat="1" ht="15.75" customHeight="1">
      <c r="A504" s="1074" t="s">
        <v>2</v>
      </c>
      <c r="B504" s="944"/>
      <c r="C504" s="53" t="s">
        <v>3</v>
      </c>
      <c r="D504" s="53" t="s">
        <v>4</v>
      </c>
      <c r="E504" s="53" t="s">
        <v>6</v>
      </c>
      <c r="F504" s="53" t="s">
        <v>7</v>
      </c>
      <c r="G504" s="61" t="s">
        <v>8</v>
      </c>
    </row>
    <row r="505" spans="1:7" s="2" customFormat="1" ht="15.75" customHeight="1">
      <c r="A505" s="947" t="s">
        <v>328</v>
      </c>
      <c r="B505" s="944"/>
      <c r="C505" s="51" t="s">
        <v>3</v>
      </c>
      <c r="D505" s="54">
        <v>0.05</v>
      </c>
      <c r="E505" s="17">
        <f>G516</f>
        <v>27341</v>
      </c>
      <c r="F505" s="55">
        <f>D505*E505</f>
        <v>1367.0500000000002</v>
      </c>
      <c r="G505" s="57">
        <f>F505</f>
        <v>1367.0500000000002</v>
      </c>
    </row>
    <row r="506" spans="1:7" s="2" customFormat="1" ht="15.75" customHeight="1">
      <c r="A506" s="1071" t="s">
        <v>10</v>
      </c>
      <c r="B506" s="944"/>
      <c r="C506" s="944"/>
      <c r="D506" s="944"/>
      <c r="E506" s="944"/>
      <c r="F506" s="944"/>
      <c r="G506" s="1072"/>
    </row>
    <row r="507" spans="1:7" s="2" customFormat="1" ht="15.75" customHeight="1">
      <c r="A507" s="1074" t="s">
        <v>2</v>
      </c>
      <c r="B507" s="944"/>
      <c r="C507" s="53" t="s">
        <v>3</v>
      </c>
      <c r="D507" s="53" t="s">
        <v>4</v>
      </c>
      <c r="E507" s="53" t="s">
        <v>6</v>
      </c>
      <c r="F507" s="53" t="s">
        <v>11</v>
      </c>
      <c r="G507" s="1075" t="s">
        <v>8</v>
      </c>
    </row>
    <row r="508" spans="1:7" s="2" customFormat="1" ht="30.75" customHeight="1">
      <c r="A508" s="947" t="s">
        <v>427</v>
      </c>
      <c r="B508" s="944"/>
      <c r="C508" s="51" t="s">
        <v>37</v>
      </c>
      <c r="D508" s="16">
        <v>1</v>
      </c>
      <c r="E508" s="17">
        <f>'INSUMOS '!E195</f>
        <v>1301218.1616832779</v>
      </c>
      <c r="F508" s="55">
        <f>D508*E508</f>
        <v>1301218.1616832779</v>
      </c>
      <c r="G508" s="1072"/>
    </row>
    <row r="509" spans="1:7" s="2" customFormat="1" ht="15.75" customHeight="1">
      <c r="A509" s="947"/>
      <c r="B509" s="944"/>
      <c r="C509" s="16"/>
      <c r="D509" s="58"/>
      <c r="E509" s="17"/>
      <c r="F509" s="55">
        <f>E509*D509</f>
        <v>0</v>
      </c>
      <c r="G509" s="57">
        <f>SUM(F507:F509)</f>
        <v>1301218.1616832779</v>
      </c>
    </row>
    <row r="510" spans="1:7" s="2" customFormat="1" ht="15.75" customHeight="1">
      <c r="A510" s="1071" t="s">
        <v>15</v>
      </c>
      <c r="B510" s="944"/>
      <c r="C510" s="944"/>
      <c r="D510" s="944"/>
      <c r="E510" s="944"/>
      <c r="F510" s="944"/>
      <c r="G510" s="1072"/>
    </row>
    <row r="511" spans="1:7" s="2" customFormat="1" ht="15.75" customHeight="1">
      <c r="A511" s="1074" t="s">
        <v>2</v>
      </c>
      <c r="B511" s="944"/>
      <c r="C511" s="53" t="s">
        <v>3</v>
      </c>
      <c r="D511" s="53" t="s">
        <v>4</v>
      </c>
      <c r="E511" s="53" t="s">
        <v>6</v>
      </c>
      <c r="F511" s="53" t="s">
        <v>11</v>
      </c>
      <c r="G511" s="1075" t="s">
        <v>8</v>
      </c>
    </row>
    <row r="512" spans="1:7" s="2" customFormat="1" ht="15.75" customHeight="1">
      <c r="A512" s="943" t="s">
        <v>173</v>
      </c>
      <c r="B512" s="944"/>
      <c r="C512" s="16" t="s">
        <v>3</v>
      </c>
      <c r="D512" s="54">
        <v>3.5000000000000003E-2</v>
      </c>
      <c r="E512" s="17">
        <f>+G509</f>
        <v>1301218.1616832779</v>
      </c>
      <c r="F512" s="55">
        <f>E512*D512</f>
        <v>45542.635658914733</v>
      </c>
      <c r="G512" s="1072"/>
    </row>
    <row r="513" spans="1:7" s="2" customFormat="1" ht="15.75" customHeight="1">
      <c r="A513" s="59"/>
      <c r="B513" s="60"/>
      <c r="C513" s="60"/>
      <c r="D513" s="60"/>
      <c r="E513" s="60"/>
      <c r="F513" s="60"/>
      <c r="G513" s="57">
        <f>SUM(F512:F513)</f>
        <v>45542.635658914733</v>
      </c>
    </row>
    <row r="514" spans="1:7" s="2" customFormat="1" ht="15.75" customHeight="1">
      <c r="A514" s="1071" t="s">
        <v>19</v>
      </c>
      <c r="B514" s="944"/>
      <c r="C514" s="944"/>
      <c r="D514" s="944"/>
      <c r="E514" s="944"/>
      <c r="F514" s="944"/>
      <c r="G514" s="1072"/>
    </row>
    <row r="515" spans="1:7" s="2" customFormat="1" ht="15.75" customHeight="1">
      <c r="A515" s="1074" t="s">
        <v>2</v>
      </c>
      <c r="B515" s="944"/>
      <c r="C515" s="53" t="s">
        <v>3</v>
      </c>
      <c r="D515" s="53" t="s">
        <v>4</v>
      </c>
      <c r="E515" s="53" t="s">
        <v>6</v>
      </c>
      <c r="F515" s="53" t="s">
        <v>11</v>
      </c>
      <c r="G515" s="61" t="s">
        <v>8</v>
      </c>
    </row>
    <row r="516" spans="1:7" s="2" customFormat="1" ht="15.75" customHeight="1">
      <c r="A516" s="978" t="str">
        <f>SALARIOS!$A$69</f>
        <v>CUADRILLA BB INSTALACIONES 1:1</v>
      </c>
      <c r="B516" s="979"/>
      <c r="C516" s="13" t="s">
        <v>1245</v>
      </c>
      <c r="D516" s="32">
        <v>1</v>
      </c>
      <c r="E516" s="13">
        <f>SALARIOS!$C$69</f>
        <v>27341</v>
      </c>
      <c r="F516" s="55">
        <f>+D516*E516</f>
        <v>27341</v>
      </c>
      <c r="G516" s="57">
        <f>SUM(F515:F516)</f>
        <v>27341</v>
      </c>
    </row>
    <row r="517" spans="1:7" s="2" customFormat="1" ht="15.75" customHeight="1">
      <c r="A517" s="1076" t="s">
        <v>25</v>
      </c>
      <c r="B517" s="944"/>
      <c r="C517" s="944"/>
      <c r="D517" s="944"/>
      <c r="E517" s="944"/>
      <c r="F517" s="944"/>
      <c r="G517" s="1072"/>
    </row>
    <row r="518" spans="1:7" s="2" customFormat="1" ht="15.75" customHeight="1">
      <c r="A518" s="1077"/>
      <c r="B518" s="944"/>
      <c r="C518" s="944"/>
      <c r="D518" s="944"/>
      <c r="E518" s="944"/>
      <c r="F518" s="944"/>
      <c r="G518" s="62">
        <f>G516+G513+G509+G505</f>
        <v>1375468.8473421927</v>
      </c>
    </row>
    <row r="519" spans="1:7" s="2" customFormat="1" ht="13.8">
      <c r="A519" s="63"/>
      <c r="B519" s="42"/>
      <c r="C519" s="42"/>
      <c r="D519" s="42"/>
      <c r="E519" s="42"/>
      <c r="F519" s="42"/>
      <c r="G519" s="64"/>
    </row>
    <row r="520" spans="1:7" s="2" customFormat="1" ht="15.75" customHeight="1">
      <c r="A520" s="970" t="s">
        <v>1</v>
      </c>
      <c r="B520" s="957"/>
      <c r="C520" s="953" t="s">
        <v>0</v>
      </c>
      <c r="D520" s="954"/>
      <c r="E520" s="954"/>
      <c r="F520" s="954"/>
      <c r="G520" s="955"/>
    </row>
    <row r="521" spans="1:7" s="2" customFormat="1" ht="46.5" customHeight="1">
      <c r="A521" s="971"/>
      <c r="B521" s="957"/>
      <c r="C521" s="954"/>
      <c r="D521" s="954"/>
      <c r="E521" s="954"/>
      <c r="F521" s="954"/>
      <c r="G521" s="955"/>
    </row>
    <row r="522" spans="1:7" s="2" customFormat="1" ht="15.75" customHeight="1">
      <c r="A522" s="971"/>
      <c r="B522" s="957"/>
      <c r="C522" s="956"/>
      <c r="D522" s="957"/>
      <c r="E522" s="957"/>
      <c r="F522" s="957"/>
      <c r="G522" s="958"/>
    </row>
    <row r="523" spans="1:7" s="2" customFormat="1" ht="15.75" customHeight="1">
      <c r="A523" s="971"/>
      <c r="B523" s="957"/>
      <c r="C523" s="959" t="s">
        <v>2</v>
      </c>
      <c r="D523" s="957"/>
      <c r="E523" s="957"/>
      <c r="F523" s="23" t="s">
        <v>3</v>
      </c>
      <c r="G523" s="24" t="s">
        <v>4</v>
      </c>
    </row>
    <row r="524" spans="1:7" s="2" customFormat="1" ht="52.5" customHeight="1">
      <c r="A524" s="1073" t="s">
        <v>428</v>
      </c>
      <c r="B524" s="944"/>
      <c r="C524" s="980" t="s">
        <v>429</v>
      </c>
      <c r="D524" s="944"/>
      <c r="E524" s="944"/>
      <c r="F524" s="51" t="s">
        <v>100</v>
      </c>
      <c r="G524" s="52">
        <v>38.11</v>
      </c>
    </row>
    <row r="525" spans="1:7" s="2" customFormat="1" ht="15.75" customHeight="1">
      <c r="A525" s="1071" t="s">
        <v>5</v>
      </c>
      <c r="B525" s="944"/>
      <c r="C525" s="944"/>
      <c r="D525" s="944"/>
      <c r="E525" s="944"/>
      <c r="F525" s="944"/>
      <c r="G525" s="1072"/>
    </row>
    <row r="526" spans="1:7" s="2" customFormat="1" ht="15.75" customHeight="1">
      <c r="A526" s="1074" t="s">
        <v>2</v>
      </c>
      <c r="B526" s="1092"/>
      <c r="C526" s="53" t="s">
        <v>3</v>
      </c>
      <c r="D526" s="53" t="s">
        <v>4</v>
      </c>
      <c r="E526" s="53" t="s">
        <v>6</v>
      </c>
      <c r="F526" s="53" t="s">
        <v>7</v>
      </c>
      <c r="G526" s="61" t="s">
        <v>8</v>
      </c>
    </row>
    <row r="527" spans="1:7" s="2" customFormat="1" ht="15.75" customHeight="1">
      <c r="A527" s="947" t="s">
        <v>328</v>
      </c>
      <c r="B527" s="944"/>
      <c r="C527" s="51" t="s">
        <v>3</v>
      </c>
      <c r="D527" s="54">
        <v>0.05</v>
      </c>
      <c r="E527" s="17">
        <f>G538</f>
        <v>27341</v>
      </c>
      <c r="F527" s="55">
        <f>D527*E527</f>
        <v>1367.0500000000002</v>
      </c>
      <c r="G527" s="57">
        <f>F527</f>
        <v>1367.0500000000002</v>
      </c>
    </row>
    <row r="528" spans="1:7" s="2" customFormat="1" ht="15.75" customHeight="1">
      <c r="A528" s="1071" t="s">
        <v>10</v>
      </c>
      <c r="B528" s="1093"/>
      <c r="C528" s="1093"/>
      <c r="D528" s="1093"/>
      <c r="E528" s="1093"/>
      <c r="F528" s="1093"/>
      <c r="G528" s="1094"/>
    </row>
    <row r="529" spans="1:11" s="2" customFormat="1" ht="15.75" customHeight="1">
      <c r="A529" s="1074" t="s">
        <v>2</v>
      </c>
      <c r="B529" s="1092"/>
      <c r="C529" s="53" t="s">
        <v>3</v>
      </c>
      <c r="D529" s="53" t="s">
        <v>4</v>
      </c>
      <c r="E529" s="53" t="s">
        <v>6</v>
      </c>
      <c r="F529" s="53" t="s">
        <v>11</v>
      </c>
      <c r="G529" s="1075" t="s">
        <v>8</v>
      </c>
    </row>
    <row r="530" spans="1:11" s="2" customFormat="1" ht="33.75" customHeight="1">
      <c r="A530" s="947" t="s">
        <v>2407</v>
      </c>
      <c r="B530" s="980"/>
      <c r="C530" s="16" t="s">
        <v>100</v>
      </c>
      <c r="D530" s="16">
        <v>1</v>
      </c>
      <c r="E530" s="17">
        <f>'INSUMOS '!E210</f>
        <v>2023000</v>
      </c>
      <c r="F530" s="55">
        <f>D530*E530</f>
        <v>2023000</v>
      </c>
      <c r="G530" s="1075"/>
    </row>
    <row r="531" spans="1:11" s="2" customFormat="1" ht="15.75" customHeight="1">
      <c r="A531" s="947"/>
      <c r="B531" s="980"/>
      <c r="C531" s="16"/>
      <c r="D531" s="58"/>
      <c r="E531" s="17"/>
      <c r="F531" s="55"/>
      <c r="G531" s="57">
        <f>SUM(F529:F531)</f>
        <v>2023000</v>
      </c>
    </row>
    <row r="532" spans="1:11" s="2" customFormat="1" ht="15.75" customHeight="1">
      <c r="A532" s="1071" t="s">
        <v>15</v>
      </c>
      <c r="B532" s="1093"/>
      <c r="C532" s="1093"/>
      <c r="D532" s="1093"/>
      <c r="E532" s="1093"/>
      <c r="F532" s="1093"/>
      <c r="G532" s="1094"/>
    </row>
    <row r="533" spans="1:11" s="2" customFormat="1" ht="15.75" customHeight="1">
      <c r="A533" s="1074" t="s">
        <v>2</v>
      </c>
      <c r="B533" s="944"/>
      <c r="C533" s="53" t="s">
        <v>3</v>
      </c>
      <c r="D533" s="53" t="s">
        <v>4</v>
      </c>
      <c r="E533" s="53" t="s">
        <v>6</v>
      </c>
      <c r="F533" s="53" t="s">
        <v>11</v>
      </c>
      <c r="G533" s="1075" t="s">
        <v>8</v>
      </c>
    </row>
    <row r="534" spans="1:11" s="2" customFormat="1" ht="15.75" customHeight="1">
      <c r="A534" s="943" t="s">
        <v>173</v>
      </c>
      <c r="B534" s="1078"/>
      <c r="C534" s="16" t="s">
        <v>3</v>
      </c>
      <c r="D534" s="54">
        <v>3.5000000000000003E-2</v>
      </c>
      <c r="E534" s="17">
        <f>G531</f>
        <v>2023000</v>
      </c>
      <c r="F534" s="55">
        <f>E534*D534</f>
        <v>70805</v>
      </c>
      <c r="G534" s="1075"/>
    </row>
    <row r="535" spans="1:11" s="2" customFormat="1" ht="15.75" customHeight="1">
      <c r="A535" s="59"/>
      <c r="B535" s="60"/>
      <c r="C535" s="60"/>
      <c r="D535" s="60"/>
      <c r="E535" s="60"/>
      <c r="F535" s="60"/>
      <c r="G535" s="57">
        <f>SUM(F534:F535)</f>
        <v>70805</v>
      </c>
    </row>
    <row r="536" spans="1:11" s="2" customFormat="1" ht="15.75" customHeight="1">
      <c r="A536" s="1071" t="s">
        <v>19</v>
      </c>
      <c r="B536" s="1093"/>
      <c r="C536" s="1093"/>
      <c r="D536" s="1093"/>
      <c r="E536" s="1093"/>
      <c r="F536" s="1093"/>
      <c r="G536" s="1094"/>
    </row>
    <row r="537" spans="1:11" s="2" customFormat="1" ht="15.75" customHeight="1">
      <c r="A537" s="1074" t="s">
        <v>2</v>
      </c>
      <c r="B537" s="944"/>
      <c r="C537" s="53" t="s">
        <v>3</v>
      </c>
      <c r="D537" s="53" t="s">
        <v>4</v>
      </c>
      <c r="E537" s="53" t="s">
        <v>6</v>
      </c>
      <c r="F537" s="53" t="s">
        <v>11</v>
      </c>
      <c r="G537" s="61" t="s">
        <v>8</v>
      </c>
      <c r="K537" s="35"/>
    </row>
    <row r="538" spans="1:11" s="2" customFormat="1" ht="15.75" customHeight="1">
      <c r="A538" s="978" t="str">
        <f>SALARIOS!$A$69</f>
        <v>CUADRILLA BB INSTALACIONES 1:1</v>
      </c>
      <c r="B538" s="979"/>
      <c r="C538" s="13" t="s">
        <v>1245</v>
      </c>
      <c r="D538" s="32">
        <v>1</v>
      </c>
      <c r="E538" s="13">
        <f>SALARIOS!$C$69</f>
        <v>27341</v>
      </c>
      <c r="F538" s="55">
        <f>+D538*E538</f>
        <v>27341</v>
      </c>
      <c r="G538" s="57">
        <f>SUM(F537:F538)</f>
        <v>27341</v>
      </c>
    </row>
    <row r="539" spans="1:11" s="2" customFormat="1" ht="15.75" customHeight="1">
      <c r="A539" s="1076" t="s">
        <v>25</v>
      </c>
      <c r="B539" s="1095"/>
      <c r="C539" s="1095"/>
      <c r="D539" s="1095"/>
      <c r="E539" s="1095"/>
      <c r="F539" s="1095"/>
      <c r="G539" s="1096"/>
    </row>
    <row r="540" spans="1:11" s="2" customFormat="1" ht="15.75" customHeight="1">
      <c r="A540" s="1077"/>
      <c r="B540" s="1097"/>
      <c r="C540" s="1097"/>
      <c r="D540" s="1097"/>
      <c r="E540" s="1097"/>
      <c r="F540" s="1097"/>
      <c r="G540" s="62">
        <f>G538+G535+G531+G527</f>
        <v>2122513.0499999998</v>
      </c>
    </row>
    <row r="541" spans="1:11" s="2" customFormat="1" ht="15.75" customHeight="1">
      <c r="A541" s="63"/>
      <c r="B541" s="42"/>
      <c r="C541" s="42"/>
      <c r="D541" s="42"/>
      <c r="E541" s="42"/>
      <c r="F541" s="42"/>
      <c r="G541" s="64"/>
    </row>
    <row r="542" spans="1:11" s="2" customFormat="1" ht="15.75" customHeight="1">
      <c r="A542" s="970" t="s">
        <v>1</v>
      </c>
      <c r="B542" s="957"/>
      <c r="C542" s="953" t="s">
        <v>0</v>
      </c>
      <c r="D542" s="954"/>
      <c r="E542" s="954"/>
      <c r="F542" s="954"/>
      <c r="G542" s="955"/>
    </row>
    <row r="543" spans="1:11" s="2" customFormat="1" ht="47.25" customHeight="1">
      <c r="A543" s="971"/>
      <c r="B543" s="957"/>
      <c r="C543" s="954"/>
      <c r="D543" s="954"/>
      <c r="E543" s="954"/>
      <c r="F543" s="954"/>
      <c r="G543" s="955"/>
    </row>
    <row r="544" spans="1:11" s="35" customFormat="1" ht="17.399999999999999">
      <c r="A544" s="971"/>
      <c r="B544" s="957"/>
      <c r="C544" s="956"/>
      <c r="D544" s="957"/>
      <c r="E544" s="957"/>
      <c r="F544" s="957"/>
      <c r="G544" s="958"/>
      <c r="H544" s="2"/>
      <c r="I544" s="2"/>
      <c r="J544" s="2"/>
      <c r="K544" s="2"/>
    </row>
    <row r="545" spans="1:11" s="2" customFormat="1" ht="15.75" customHeight="1">
      <c r="A545" s="971"/>
      <c r="B545" s="957"/>
      <c r="C545" s="959" t="s">
        <v>2</v>
      </c>
      <c r="D545" s="957"/>
      <c r="E545" s="957"/>
      <c r="F545" s="23" t="s">
        <v>3</v>
      </c>
      <c r="G545" s="24" t="s">
        <v>4</v>
      </c>
    </row>
    <row r="546" spans="1:11" s="2" customFormat="1" ht="42" customHeight="1">
      <c r="A546" s="1073" t="s">
        <v>430</v>
      </c>
      <c r="B546" s="944"/>
      <c r="C546" s="980" t="s">
        <v>431</v>
      </c>
      <c r="D546" s="944"/>
      <c r="E546" s="944"/>
      <c r="F546" s="51" t="s">
        <v>28</v>
      </c>
      <c r="G546" s="52">
        <v>7</v>
      </c>
    </row>
    <row r="547" spans="1:11" s="2" customFormat="1" ht="13.8">
      <c r="A547" s="1071" t="s">
        <v>5</v>
      </c>
      <c r="B547" s="944"/>
      <c r="C547" s="944"/>
      <c r="D547" s="944"/>
      <c r="E547" s="944"/>
      <c r="F547" s="944"/>
      <c r="G547" s="1072"/>
    </row>
    <row r="548" spans="1:11" s="2" customFormat="1" ht="15.75" customHeight="1">
      <c r="A548" s="1074" t="s">
        <v>2</v>
      </c>
      <c r="B548" s="1092"/>
      <c r="C548" s="53" t="s">
        <v>3</v>
      </c>
      <c r="D548" s="53" t="s">
        <v>4</v>
      </c>
      <c r="E548" s="53" t="s">
        <v>6</v>
      </c>
      <c r="F548" s="53" t="s">
        <v>7</v>
      </c>
      <c r="G548" s="61" t="s">
        <v>8</v>
      </c>
    </row>
    <row r="549" spans="1:11" s="2" customFormat="1" ht="15.75" customHeight="1">
      <c r="A549" s="947" t="s">
        <v>328</v>
      </c>
      <c r="B549" s="944"/>
      <c r="C549" s="51" t="s">
        <v>3</v>
      </c>
      <c r="D549" s="54">
        <v>0.05</v>
      </c>
      <c r="E549" s="17">
        <f>G560</f>
        <v>27341</v>
      </c>
      <c r="F549" s="55">
        <f>D549*E549</f>
        <v>1367.0500000000002</v>
      </c>
      <c r="G549" s="57">
        <f>F549</f>
        <v>1367.0500000000002</v>
      </c>
    </row>
    <row r="550" spans="1:11" s="2" customFormat="1" ht="15.75" customHeight="1">
      <c r="A550" s="1071" t="s">
        <v>10</v>
      </c>
      <c r="B550" s="1093"/>
      <c r="C550" s="1093"/>
      <c r="D550" s="1093"/>
      <c r="E550" s="1093"/>
      <c r="F550" s="1093"/>
      <c r="G550" s="1094"/>
    </row>
    <row r="551" spans="1:11" s="2" customFormat="1" ht="15.75" customHeight="1">
      <c r="A551" s="1074" t="s">
        <v>2</v>
      </c>
      <c r="B551" s="1092"/>
      <c r="C551" s="53" t="s">
        <v>3</v>
      </c>
      <c r="D551" s="53" t="s">
        <v>4</v>
      </c>
      <c r="E551" s="53" t="s">
        <v>6</v>
      </c>
      <c r="F551" s="53" t="s">
        <v>11</v>
      </c>
      <c r="G551" s="1075" t="s">
        <v>8</v>
      </c>
    </row>
    <row r="552" spans="1:11" s="2" customFormat="1" ht="15.75" customHeight="1">
      <c r="A552" s="947" t="s">
        <v>2407</v>
      </c>
      <c r="B552" s="980"/>
      <c r="C552" s="16" t="s">
        <v>3</v>
      </c>
      <c r="D552" s="16">
        <v>1</v>
      </c>
      <c r="E552" s="17">
        <f>'INSUMOS '!E212</f>
        <v>630700</v>
      </c>
      <c r="F552" s="55">
        <f>D552*E552</f>
        <v>630700</v>
      </c>
      <c r="G552" s="1075"/>
    </row>
    <row r="553" spans="1:11" s="2" customFormat="1" ht="15.75" customHeight="1">
      <c r="A553" s="947"/>
      <c r="B553" s="980"/>
      <c r="C553" s="16"/>
      <c r="D553" s="58"/>
      <c r="E553" s="17"/>
      <c r="F553" s="55"/>
      <c r="G553" s="57">
        <f>SUM(F551:F553)</f>
        <v>630700</v>
      </c>
    </row>
    <row r="554" spans="1:11" s="2" customFormat="1" ht="15.75" customHeight="1">
      <c r="A554" s="1071" t="s">
        <v>15</v>
      </c>
      <c r="B554" s="1093"/>
      <c r="C554" s="1093"/>
      <c r="D554" s="1093"/>
      <c r="E554" s="1093"/>
      <c r="F554" s="1093"/>
      <c r="G554" s="1094"/>
    </row>
    <row r="555" spans="1:11" s="2" customFormat="1" ht="15.75" customHeight="1">
      <c r="A555" s="1074" t="s">
        <v>2</v>
      </c>
      <c r="B555" s="944"/>
      <c r="C555" s="53" t="s">
        <v>3</v>
      </c>
      <c r="D555" s="53" t="s">
        <v>4</v>
      </c>
      <c r="E555" s="53" t="s">
        <v>6</v>
      </c>
      <c r="F555" s="53" t="s">
        <v>11</v>
      </c>
      <c r="G555" s="1075" t="s">
        <v>8</v>
      </c>
    </row>
    <row r="556" spans="1:11" s="2" customFormat="1" ht="15.75" customHeight="1">
      <c r="A556" s="943" t="s">
        <v>173</v>
      </c>
      <c r="B556" s="1078"/>
      <c r="C556" s="16" t="s">
        <v>3</v>
      </c>
      <c r="D556" s="54">
        <v>3.5000000000000003E-2</v>
      </c>
      <c r="E556" s="17">
        <f>G553</f>
        <v>630700</v>
      </c>
      <c r="F556" s="55">
        <f>E556*D556</f>
        <v>22074.500000000004</v>
      </c>
      <c r="G556" s="1075"/>
    </row>
    <row r="557" spans="1:11" s="2" customFormat="1" ht="15.75" customHeight="1">
      <c r="A557" s="59"/>
      <c r="B557" s="60"/>
      <c r="C557" s="60"/>
      <c r="D557" s="60"/>
      <c r="E557" s="60"/>
      <c r="F557" s="60"/>
      <c r="G557" s="57">
        <f>SUM(F556:F557)</f>
        <v>22074.500000000004</v>
      </c>
    </row>
    <row r="558" spans="1:11" s="2" customFormat="1" ht="15.75" customHeight="1">
      <c r="A558" s="1071" t="s">
        <v>19</v>
      </c>
      <c r="B558" s="1093"/>
      <c r="C558" s="1093"/>
      <c r="D558" s="1093"/>
      <c r="E558" s="1093"/>
      <c r="F558" s="1093"/>
      <c r="G558" s="1094"/>
    </row>
    <row r="559" spans="1:11" s="2" customFormat="1" ht="13.8">
      <c r="A559" s="1074" t="s">
        <v>2</v>
      </c>
      <c r="B559" s="944"/>
      <c r="C559" s="53" t="s">
        <v>3</v>
      </c>
      <c r="D559" s="53" t="s">
        <v>4</v>
      </c>
      <c r="E559" s="53" t="s">
        <v>6</v>
      </c>
      <c r="F559" s="53" t="s">
        <v>11</v>
      </c>
      <c r="G559" s="61" t="s">
        <v>8</v>
      </c>
      <c r="K559" s="35"/>
    </row>
    <row r="560" spans="1:11" s="2" customFormat="1" ht="15.75" customHeight="1">
      <c r="A560" s="978" t="str">
        <f>SALARIOS!$A$69</f>
        <v>CUADRILLA BB INSTALACIONES 1:1</v>
      </c>
      <c r="B560" s="979"/>
      <c r="C560" s="13" t="s">
        <v>1245</v>
      </c>
      <c r="D560" s="32">
        <v>1</v>
      </c>
      <c r="E560" s="13">
        <f>SALARIOS!$C$69</f>
        <v>27341</v>
      </c>
      <c r="F560" s="55">
        <f>+D560*E560</f>
        <v>27341</v>
      </c>
      <c r="G560" s="57">
        <f>SUM(F559:F560)</f>
        <v>27341</v>
      </c>
    </row>
    <row r="561" spans="1:11" s="2" customFormat="1" ht="15.75" customHeight="1">
      <c r="A561" s="1076" t="s">
        <v>25</v>
      </c>
      <c r="B561" s="1095"/>
      <c r="C561" s="1095"/>
      <c r="D561" s="1095"/>
      <c r="E561" s="1095"/>
      <c r="F561" s="1095"/>
      <c r="G561" s="1096"/>
    </row>
    <row r="562" spans="1:11" s="2" customFormat="1" ht="15.75" customHeight="1">
      <c r="A562" s="1077"/>
      <c r="B562" s="1097"/>
      <c r="C562" s="1097"/>
      <c r="D562" s="1097"/>
      <c r="E562" s="1097"/>
      <c r="F562" s="1097"/>
      <c r="G562" s="62">
        <f>G560+G557+G553+G549</f>
        <v>681482.55</v>
      </c>
    </row>
    <row r="563" spans="1:11" s="2" customFormat="1" ht="15.75" customHeight="1">
      <c r="A563" s="63"/>
      <c r="B563" s="42"/>
      <c r="C563" s="42"/>
      <c r="D563" s="42"/>
      <c r="E563" s="42"/>
      <c r="F563" s="42"/>
      <c r="G563" s="64"/>
    </row>
    <row r="564" spans="1:11" s="2" customFormat="1" ht="15.75" customHeight="1">
      <c r="A564" s="970" t="s">
        <v>1</v>
      </c>
      <c r="B564" s="957"/>
      <c r="C564" s="953" t="s">
        <v>0</v>
      </c>
      <c r="D564" s="954"/>
      <c r="E564" s="954"/>
      <c r="F564" s="954"/>
      <c r="G564" s="955"/>
    </row>
    <row r="565" spans="1:11" s="2" customFormat="1" ht="52.5" customHeight="1">
      <c r="A565" s="971"/>
      <c r="B565" s="957"/>
      <c r="C565" s="954"/>
      <c r="D565" s="954"/>
      <c r="E565" s="954"/>
      <c r="F565" s="954"/>
      <c r="G565" s="955"/>
    </row>
    <row r="566" spans="1:11" s="35" customFormat="1" ht="17.399999999999999">
      <c r="A566" s="971"/>
      <c r="B566" s="957"/>
      <c r="C566" s="956"/>
      <c r="D566" s="957"/>
      <c r="E566" s="957"/>
      <c r="F566" s="957"/>
      <c r="G566" s="958"/>
      <c r="H566" s="2"/>
      <c r="I566" s="2"/>
      <c r="J566" s="2"/>
      <c r="K566" s="2"/>
    </row>
    <row r="567" spans="1:11" s="2" customFormat="1" ht="15.75" customHeight="1">
      <c r="A567" s="971"/>
      <c r="B567" s="957"/>
      <c r="C567" s="959" t="s">
        <v>2</v>
      </c>
      <c r="D567" s="957"/>
      <c r="E567" s="957"/>
      <c r="F567" s="23" t="s">
        <v>3</v>
      </c>
      <c r="G567" s="24" t="s">
        <v>4</v>
      </c>
    </row>
    <row r="568" spans="1:11" s="2" customFormat="1" ht="60.75" customHeight="1">
      <c r="A568" s="1073" t="s">
        <v>432</v>
      </c>
      <c r="B568" s="944"/>
      <c r="C568" s="980" t="s">
        <v>433</v>
      </c>
      <c r="D568" s="944"/>
      <c r="E568" s="944"/>
      <c r="F568" s="51" t="s">
        <v>28</v>
      </c>
      <c r="G568" s="52">
        <v>25</v>
      </c>
    </row>
    <row r="569" spans="1:11" s="2" customFormat="1" ht="13.8">
      <c r="A569" s="1071" t="s">
        <v>5</v>
      </c>
      <c r="B569" s="944"/>
      <c r="C569" s="944"/>
      <c r="D569" s="944"/>
      <c r="E569" s="944"/>
      <c r="F569" s="944"/>
      <c r="G569" s="1072"/>
    </row>
    <row r="570" spans="1:11" s="2" customFormat="1" ht="15.75" customHeight="1">
      <c r="A570" s="1074" t="s">
        <v>2</v>
      </c>
      <c r="B570" s="1092"/>
      <c r="C570" s="53" t="s">
        <v>3</v>
      </c>
      <c r="D570" s="53" t="s">
        <v>4</v>
      </c>
      <c r="E570" s="53" t="s">
        <v>6</v>
      </c>
      <c r="F570" s="53" t="s">
        <v>7</v>
      </c>
      <c r="G570" s="61" t="s">
        <v>8</v>
      </c>
    </row>
    <row r="571" spans="1:11" s="2" customFormat="1" ht="15.75" customHeight="1">
      <c r="A571" s="947" t="s">
        <v>328</v>
      </c>
      <c r="B571" s="944"/>
      <c r="C571" s="51" t="s">
        <v>3</v>
      </c>
      <c r="D571" s="54">
        <v>0.05</v>
      </c>
      <c r="E571" s="17">
        <f>G582</f>
        <v>27341</v>
      </c>
      <c r="F571" s="55">
        <f>D571*E571</f>
        <v>1367.0500000000002</v>
      </c>
      <c r="G571" s="57">
        <f>F571</f>
        <v>1367.0500000000002</v>
      </c>
    </row>
    <row r="572" spans="1:11" s="2" customFormat="1" ht="15.75" customHeight="1">
      <c r="A572" s="1071" t="s">
        <v>10</v>
      </c>
      <c r="B572" s="1093"/>
      <c r="C572" s="1093"/>
      <c r="D572" s="1093"/>
      <c r="E572" s="1093"/>
      <c r="F572" s="1093"/>
      <c r="G572" s="1094"/>
    </row>
    <row r="573" spans="1:11" s="2" customFormat="1" ht="15.75" customHeight="1">
      <c r="A573" s="1074" t="s">
        <v>2</v>
      </c>
      <c r="B573" s="1092"/>
      <c r="C573" s="53" t="s">
        <v>3</v>
      </c>
      <c r="D573" s="53" t="s">
        <v>4</v>
      </c>
      <c r="E573" s="53" t="s">
        <v>6</v>
      </c>
      <c r="F573" s="53" t="s">
        <v>11</v>
      </c>
      <c r="G573" s="1075" t="s">
        <v>8</v>
      </c>
    </row>
    <row r="574" spans="1:11" s="2" customFormat="1" ht="13.8">
      <c r="A574" s="947" t="s">
        <v>433</v>
      </c>
      <c r="B574" s="980"/>
      <c r="C574" s="16" t="s">
        <v>3</v>
      </c>
      <c r="D574" s="16">
        <v>1</v>
      </c>
      <c r="E574" s="17">
        <f>'INSUMOS '!E214</f>
        <v>1666000</v>
      </c>
      <c r="F574" s="55">
        <f>D574*E574</f>
        <v>1666000</v>
      </c>
      <c r="G574" s="1075"/>
    </row>
    <row r="575" spans="1:11" s="2" customFormat="1" ht="15.75" customHeight="1">
      <c r="A575" s="947"/>
      <c r="B575" s="980"/>
      <c r="C575" s="16"/>
      <c r="D575" s="58"/>
      <c r="E575" s="17"/>
      <c r="F575" s="55"/>
      <c r="G575" s="57">
        <f>SUM(F573:F575)</f>
        <v>1666000</v>
      </c>
    </row>
    <row r="576" spans="1:11" s="2" customFormat="1" ht="15.75" customHeight="1">
      <c r="A576" s="1071" t="s">
        <v>15</v>
      </c>
      <c r="B576" s="1093"/>
      <c r="C576" s="1093"/>
      <c r="D576" s="1093"/>
      <c r="E576" s="1093"/>
      <c r="F576" s="1093"/>
      <c r="G576" s="1094"/>
    </row>
    <row r="577" spans="1:11" s="2" customFormat="1" ht="15.75" customHeight="1">
      <c r="A577" s="1074" t="s">
        <v>2</v>
      </c>
      <c r="B577" s="944"/>
      <c r="C577" s="53" t="s">
        <v>3</v>
      </c>
      <c r="D577" s="53" t="s">
        <v>4</v>
      </c>
      <c r="E577" s="53" t="s">
        <v>6</v>
      </c>
      <c r="F577" s="53" t="s">
        <v>11</v>
      </c>
      <c r="G577" s="1075" t="s">
        <v>8</v>
      </c>
    </row>
    <row r="578" spans="1:11" s="2" customFormat="1" ht="15.75" customHeight="1">
      <c r="A578" s="943" t="s">
        <v>173</v>
      </c>
      <c r="B578" s="1078"/>
      <c r="C578" s="16" t="s">
        <v>3</v>
      </c>
      <c r="D578" s="54">
        <v>3.5000000000000003E-2</v>
      </c>
      <c r="E578" s="17">
        <f>G575</f>
        <v>1666000</v>
      </c>
      <c r="F578" s="55">
        <f>E578*D578</f>
        <v>58310.000000000007</v>
      </c>
      <c r="G578" s="1075"/>
    </row>
    <row r="579" spans="1:11" s="2" customFormat="1" ht="15.75" customHeight="1">
      <c r="A579" s="59"/>
      <c r="B579" s="60"/>
      <c r="C579" s="60"/>
      <c r="D579" s="60"/>
      <c r="E579" s="60"/>
      <c r="F579" s="60"/>
      <c r="G579" s="57">
        <f>SUM(F578:F579)</f>
        <v>58310.000000000007</v>
      </c>
    </row>
    <row r="580" spans="1:11" s="2" customFormat="1" ht="15.75" customHeight="1">
      <c r="A580" s="1071" t="s">
        <v>19</v>
      </c>
      <c r="B580" s="1093"/>
      <c r="C580" s="1093"/>
      <c r="D580" s="1093"/>
      <c r="E580" s="1093"/>
      <c r="F580" s="1093"/>
      <c r="G580" s="1094"/>
    </row>
    <row r="581" spans="1:11" s="2" customFormat="1" ht="15.75" customHeight="1">
      <c r="A581" s="1074" t="s">
        <v>2</v>
      </c>
      <c r="B581" s="944"/>
      <c r="C581" s="53" t="s">
        <v>3</v>
      </c>
      <c r="D581" s="53" t="s">
        <v>4</v>
      </c>
      <c r="E581" s="53" t="s">
        <v>6</v>
      </c>
      <c r="F581" s="53" t="s">
        <v>11</v>
      </c>
      <c r="G581" s="61" t="s">
        <v>8</v>
      </c>
      <c r="K581" s="35"/>
    </row>
    <row r="582" spans="1:11" s="2" customFormat="1" ht="15.75" customHeight="1">
      <c r="A582" s="978" t="str">
        <f>SALARIOS!$A$69</f>
        <v>CUADRILLA BB INSTALACIONES 1:1</v>
      </c>
      <c r="B582" s="979"/>
      <c r="C582" s="13" t="s">
        <v>1245</v>
      </c>
      <c r="D582" s="32">
        <v>1</v>
      </c>
      <c r="E582" s="13">
        <f>SALARIOS!$C$69</f>
        <v>27341</v>
      </c>
      <c r="F582" s="55">
        <f>+D582*E582</f>
        <v>27341</v>
      </c>
      <c r="G582" s="57">
        <f>SUM(F581:F582)</f>
        <v>27341</v>
      </c>
    </row>
    <row r="583" spans="1:11" s="2" customFormat="1" ht="15.75" customHeight="1">
      <c r="A583" s="1076" t="s">
        <v>25</v>
      </c>
      <c r="B583" s="1095"/>
      <c r="C583" s="1095"/>
      <c r="D583" s="1095"/>
      <c r="E583" s="1095"/>
      <c r="F583" s="1095"/>
      <c r="G583" s="1096"/>
    </row>
    <row r="584" spans="1:11" s="2" customFormat="1" ht="15.75" customHeight="1">
      <c r="A584" s="1077"/>
      <c r="B584" s="1097"/>
      <c r="C584" s="1097"/>
      <c r="D584" s="1097"/>
      <c r="E584" s="1097"/>
      <c r="F584" s="1097"/>
      <c r="G584" s="62">
        <f>G582+G579+G575+G571</f>
        <v>1753018.05</v>
      </c>
    </row>
    <row r="585" spans="1:11" s="2" customFormat="1" ht="15.75" customHeight="1">
      <c r="A585" s="63"/>
      <c r="B585" s="42"/>
      <c r="C585" s="42"/>
      <c r="D585" s="42"/>
      <c r="E585" s="42"/>
      <c r="F585" s="42"/>
      <c r="G585" s="64"/>
    </row>
    <row r="586" spans="1:11" s="2" customFormat="1" ht="15.75" customHeight="1">
      <c r="A586" s="970" t="s">
        <v>1</v>
      </c>
      <c r="B586" s="957"/>
      <c r="C586" s="953" t="s">
        <v>0</v>
      </c>
      <c r="D586" s="954"/>
      <c r="E586" s="954"/>
      <c r="F586" s="954"/>
      <c r="G586" s="955"/>
    </row>
    <row r="587" spans="1:11" s="2" customFormat="1" ht="51.75" customHeight="1">
      <c r="A587" s="971"/>
      <c r="B587" s="957"/>
      <c r="C587" s="954"/>
      <c r="D587" s="954"/>
      <c r="E587" s="954"/>
      <c r="F587" s="954"/>
      <c r="G587" s="955"/>
    </row>
    <row r="588" spans="1:11" s="35" customFormat="1" ht="17.399999999999999">
      <c r="A588" s="971"/>
      <c r="B588" s="957"/>
      <c r="C588" s="956"/>
      <c r="D588" s="957"/>
      <c r="E588" s="957"/>
      <c r="F588" s="957"/>
      <c r="G588" s="958"/>
      <c r="H588" s="2"/>
      <c r="I588" s="2"/>
      <c r="J588" s="2"/>
      <c r="K588" s="2"/>
    </row>
    <row r="589" spans="1:11" s="2" customFormat="1" ht="15.75" customHeight="1">
      <c r="A589" s="971"/>
      <c r="B589" s="957"/>
      <c r="C589" s="959" t="s">
        <v>2</v>
      </c>
      <c r="D589" s="957"/>
      <c r="E589" s="957"/>
      <c r="F589" s="23" t="s">
        <v>3</v>
      </c>
      <c r="G589" s="24" t="s">
        <v>4</v>
      </c>
    </row>
    <row r="590" spans="1:11" s="2" customFormat="1" ht="67.5" customHeight="1">
      <c r="A590" s="1073" t="s">
        <v>434</v>
      </c>
      <c r="B590" s="944"/>
      <c r="C590" s="980" t="s">
        <v>435</v>
      </c>
      <c r="D590" s="944"/>
      <c r="E590" s="944"/>
      <c r="F590" s="51" t="s">
        <v>28</v>
      </c>
      <c r="G590" s="52">
        <v>7</v>
      </c>
    </row>
    <row r="591" spans="1:11" s="2" customFormat="1" ht="13.8">
      <c r="A591" s="1071" t="s">
        <v>5</v>
      </c>
      <c r="B591" s="944"/>
      <c r="C591" s="944"/>
      <c r="D591" s="944"/>
      <c r="E591" s="944"/>
      <c r="F591" s="944"/>
      <c r="G591" s="1072"/>
    </row>
    <row r="592" spans="1:11" s="2" customFormat="1" ht="15.75" customHeight="1">
      <c r="A592" s="1074" t="s">
        <v>2</v>
      </c>
      <c r="B592" s="944"/>
      <c r="C592" s="53" t="s">
        <v>3</v>
      </c>
      <c r="D592" s="53" t="s">
        <v>4</v>
      </c>
      <c r="E592" s="53" t="s">
        <v>6</v>
      </c>
      <c r="F592" s="53" t="s">
        <v>7</v>
      </c>
      <c r="G592" s="1075" t="s">
        <v>8</v>
      </c>
    </row>
    <row r="593" spans="1:11" s="2" customFormat="1" ht="15.75" customHeight="1">
      <c r="A593" s="947" t="s">
        <v>167</v>
      </c>
      <c r="B593" s="944"/>
      <c r="C593" s="51" t="s">
        <v>3</v>
      </c>
      <c r="D593" s="54">
        <v>0.05</v>
      </c>
      <c r="E593" s="17">
        <f>G606</f>
        <v>27341</v>
      </c>
      <c r="F593" s="55">
        <f>D593*E593</f>
        <v>1367.0500000000002</v>
      </c>
      <c r="G593" s="1072"/>
    </row>
    <row r="594" spans="1:11" s="2" customFormat="1" ht="15.75" customHeight="1">
      <c r="A594" s="1079"/>
      <c r="B594" s="944"/>
      <c r="C594" s="56"/>
      <c r="D594" s="56"/>
      <c r="E594" s="56"/>
      <c r="F594" s="55"/>
      <c r="G594" s="57">
        <f>SUM(F592:F594)</f>
        <v>1367.0500000000002</v>
      </c>
    </row>
    <row r="595" spans="1:11" s="2" customFormat="1" ht="15.75" customHeight="1">
      <c r="A595" s="1071" t="s">
        <v>10</v>
      </c>
      <c r="B595" s="944"/>
      <c r="C595" s="944"/>
      <c r="D595" s="944"/>
      <c r="E595" s="944"/>
      <c r="F595" s="944"/>
      <c r="G595" s="1072"/>
    </row>
    <row r="596" spans="1:11" s="2" customFormat="1" ht="15.75" customHeight="1">
      <c r="A596" s="1074" t="s">
        <v>2</v>
      </c>
      <c r="B596" s="944"/>
      <c r="C596" s="53" t="s">
        <v>3</v>
      </c>
      <c r="D596" s="53" t="s">
        <v>4</v>
      </c>
      <c r="E596" s="53" t="s">
        <v>6</v>
      </c>
      <c r="F596" s="53" t="s">
        <v>11</v>
      </c>
      <c r="G596" s="1075" t="s">
        <v>8</v>
      </c>
    </row>
    <row r="597" spans="1:11" s="2" customFormat="1" ht="15.75" customHeight="1">
      <c r="A597" s="947" t="s">
        <v>2408</v>
      </c>
      <c r="B597" s="944"/>
      <c r="C597" s="16" t="s">
        <v>3</v>
      </c>
      <c r="D597" s="16">
        <v>1</v>
      </c>
      <c r="E597" s="17">
        <f>'INSUMOS '!E111</f>
        <v>440300</v>
      </c>
      <c r="F597" s="55">
        <f>D597*E597</f>
        <v>440300</v>
      </c>
      <c r="G597" s="1072"/>
    </row>
    <row r="598" spans="1:11" s="2" customFormat="1" ht="15.75" customHeight="1">
      <c r="A598" s="947" t="s">
        <v>437</v>
      </c>
      <c r="B598" s="980"/>
      <c r="C598" s="16" t="s">
        <v>3</v>
      </c>
      <c r="D598" s="16">
        <v>0.1</v>
      </c>
      <c r="E598" s="17">
        <f>'INSUMOS '!E145</f>
        <v>57800</v>
      </c>
      <c r="F598" s="55">
        <f>D598*E598</f>
        <v>5780</v>
      </c>
      <c r="G598" s="123"/>
    </row>
    <row r="599" spans="1:11" s="2" customFormat="1" ht="15.75" customHeight="1">
      <c r="A599" s="947"/>
      <c r="B599" s="944"/>
      <c r="C599" s="16"/>
      <c r="D599" s="58"/>
      <c r="E599" s="17"/>
      <c r="F599" s="55"/>
      <c r="G599" s="57">
        <f>SUM(F596:F599)</f>
        <v>446080</v>
      </c>
    </row>
    <row r="600" spans="1:11" s="2" customFormat="1" ht="15.75" customHeight="1">
      <c r="A600" s="1071" t="s">
        <v>15</v>
      </c>
      <c r="B600" s="944"/>
      <c r="C600" s="944"/>
      <c r="D600" s="944"/>
      <c r="E600" s="944"/>
      <c r="F600" s="944"/>
      <c r="G600" s="1072"/>
    </row>
    <row r="601" spans="1:11" s="2" customFormat="1" ht="15.75" customHeight="1">
      <c r="A601" s="1074" t="s">
        <v>2</v>
      </c>
      <c r="B601" s="944"/>
      <c r="C601" s="53" t="s">
        <v>3</v>
      </c>
      <c r="D601" s="53" t="s">
        <v>4</v>
      </c>
      <c r="E601" s="53" t="s">
        <v>6</v>
      </c>
      <c r="F601" s="53" t="s">
        <v>11</v>
      </c>
      <c r="G601" s="1075" t="s">
        <v>8</v>
      </c>
    </row>
    <row r="602" spans="1:11" s="2" customFormat="1" ht="15.75" customHeight="1">
      <c r="A602" s="943" t="s">
        <v>17</v>
      </c>
      <c r="B602" s="944"/>
      <c r="C602" s="16" t="s">
        <v>3</v>
      </c>
      <c r="D602" s="54">
        <v>3.5000000000000003E-2</v>
      </c>
      <c r="E602" s="17">
        <f>+G599</f>
        <v>446080</v>
      </c>
      <c r="F602" s="55">
        <f>E602*D602</f>
        <v>15612.800000000001</v>
      </c>
      <c r="G602" s="1072"/>
    </row>
    <row r="603" spans="1:11" s="2" customFormat="1" ht="15.75" customHeight="1">
      <c r="A603" s="59"/>
      <c r="B603" s="60"/>
      <c r="C603" s="60"/>
      <c r="D603" s="60"/>
      <c r="E603" s="60"/>
      <c r="F603" s="60"/>
      <c r="G603" s="57">
        <f>SUM(F602:F603)</f>
        <v>15612.800000000001</v>
      </c>
    </row>
    <row r="604" spans="1:11" s="2" customFormat="1" ht="15.75" customHeight="1">
      <c r="A604" s="1071" t="s">
        <v>19</v>
      </c>
      <c r="B604" s="944"/>
      <c r="C604" s="944"/>
      <c r="D604" s="944"/>
      <c r="E604" s="944"/>
      <c r="F604" s="944"/>
      <c r="G604" s="1072"/>
    </row>
    <row r="605" spans="1:11" s="2" customFormat="1" ht="15.75" customHeight="1">
      <c r="A605" s="1074" t="s">
        <v>2</v>
      </c>
      <c r="B605" s="944"/>
      <c r="C605" s="53" t="s">
        <v>3</v>
      </c>
      <c r="D605" s="53" t="s">
        <v>4</v>
      </c>
      <c r="E605" s="53" t="s">
        <v>6</v>
      </c>
      <c r="F605" s="53" t="s">
        <v>11</v>
      </c>
      <c r="G605" s="61" t="s">
        <v>8</v>
      </c>
      <c r="K605" s="35"/>
    </row>
    <row r="606" spans="1:11" s="2" customFormat="1" ht="15.75" customHeight="1">
      <c r="A606" s="978" t="str">
        <f>SALARIOS!$A$69</f>
        <v>CUADRILLA BB INSTALACIONES 1:1</v>
      </c>
      <c r="B606" s="979"/>
      <c r="C606" s="13" t="s">
        <v>1245</v>
      </c>
      <c r="D606" s="32">
        <v>1</v>
      </c>
      <c r="E606" s="13">
        <f>SALARIOS!$C$69</f>
        <v>27341</v>
      </c>
      <c r="F606" s="55">
        <f>+D606*E606</f>
        <v>27341</v>
      </c>
      <c r="G606" s="57">
        <f>SUM(F605:F606)</f>
        <v>27341</v>
      </c>
    </row>
    <row r="607" spans="1:11" s="2" customFormat="1" ht="15.75" customHeight="1">
      <c r="A607" s="1076" t="s">
        <v>25</v>
      </c>
      <c r="B607" s="944"/>
      <c r="C607" s="944"/>
      <c r="D607" s="944"/>
      <c r="E607" s="944"/>
      <c r="F607" s="944"/>
      <c r="G607" s="1072"/>
    </row>
    <row r="608" spans="1:11" s="2" customFormat="1" ht="15.75" customHeight="1">
      <c r="A608" s="1077"/>
      <c r="B608" s="944"/>
      <c r="C608" s="944"/>
      <c r="D608" s="944"/>
      <c r="E608" s="944"/>
      <c r="F608" s="944"/>
      <c r="G608" s="62">
        <f>G606+G603+G599+G594</f>
        <v>490400.85</v>
      </c>
    </row>
    <row r="609" spans="1:11" s="2" customFormat="1" ht="15.75" customHeight="1">
      <c r="A609" s="63"/>
      <c r="B609" s="42"/>
      <c r="C609" s="42"/>
      <c r="D609" s="42"/>
      <c r="E609" s="42"/>
      <c r="F609" s="42"/>
      <c r="G609" s="64"/>
    </row>
    <row r="610" spans="1:11" s="2" customFormat="1" ht="15.75" customHeight="1">
      <c r="A610" s="970" t="s">
        <v>1</v>
      </c>
      <c r="B610" s="957"/>
      <c r="C610" s="953" t="s">
        <v>0</v>
      </c>
      <c r="D610" s="954"/>
      <c r="E610" s="954"/>
      <c r="F610" s="954"/>
      <c r="G610" s="955"/>
    </row>
    <row r="611" spans="1:11" s="2" customFormat="1" ht="66.75" customHeight="1">
      <c r="A611" s="971"/>
      <c r="B611" s="957"/>
      <c r="C611" s="954"/>
      <c r="D611" s="954"/>
      <c r="E611" s="954"/>
      <c r="F611" s="954"/>
      <c r="G611" s="955"/>
    </row>
    <row r="612" spans="1:11" s="35" customFormat="1" ht="17.399999999999999">
      <c r="A612" s="971"/>
      <c r="B612" s="957"/>
      <c r="C612" s="956"/>
      <c r="D612" s="957"/>
      <c r="E612" s="957"/>
      <c r="F612" s="957"/>
      <c r="G612" s="958"/>
      <c r="H612" s="2"/>
      <c r="I612" s="2"/>
      <c r="J612" s="2"/>
      <c r="K612" s="2"/>
    </row>
    <row r="613" spans="1:11" s="2" customFormat="1" ht="15.75" customHeight="1">
      <c r="A613" s="971"/>
      <c r="B613" s="957"/>
      <c r="C613" s="959" t="s">
        <v>2</v>
      </c>
      <c r="D613" s="957"/>
      <c r="E613" s="957"/>
      <c r="F613" s="23" t="s">
        <v>3</v>
      </c>
      <c r="G613" s="24" t="s">
        <v>4</v>
      </c>
    </row>
    <row r="614" spans="1:11" s="2" customFormat="1" ht="60.75" customHeight="1">
      <c r="A614" s="1073" t="s">
        <v>438</v>
      </c>
      <c r="B614" s="944"/>
      <c r="C614" s="980" t="s">
        <v>439</v>
      </c>
      <c r="D614" s="944"/>
      <c r="E614" s="944"/>
      <c r="F614" s="51" t="s">
        <v>28</v>
      </c>
      <c r="G614" s="52">
        <v>2</v>
      </c>
    </row>
    <row r="615" spans="1:11" s="2" customFormat="1" ht="13.8">
      <c r="A615" s="1071" t="s">
        <v>5</v>
      </c>
      <c r="B615" s="944"/>
      <c r="C615" s="944"/>
      <c r="D615" s="944"/>
      <c r="E615" s="944"/>
      <c r="F615" s="944"/>
      <c r="G615" s="1072"/>
    </row>
    <row r="616" spans="1:11" s="2" customFormat="1" ht="15.75" customHeight="1">
      <c r="A616" s="1074" t="s">
        <v>2</v>
      </c>
      <c r="B616" s="944"/>
      <c r="C616" s="53" t="s">
        <v>3</v>
      </c>
      <c r="D616" s="53" t="s">
        <v>4</v>
      </c>
      <c r="E616" s="53" t="s">
        <v>6</v>
      </c>
      <c r="F616" s="53" t="s">
        <v>7</v>
      </c>
      <c r="G616" s="1075" t="s">
        <v>8</v>
      </c>
    </row>
    <row r="617" spans="1:11" s="2" customFormat="1" ht="15.75" customHeight="1">
      <c r="A617" s="947" t="s">
        <v>167</v>
      </c>
      <c r="B617" s="944"/>
      <c r="C617" s="51" t="s">
        <v>3</v>
      </c>
      <c r="D617" s="54">
        <v>0.05</v>
      </c>
      <c r="E617" s="17">
        <f>G630</f>
        <v>27341</v>
      </c>
      <c r="F617" s="55">
        <f>D617*E617</f>
        <v>1367.0500000000002</v>
      </c>
      <c r="G617" s="1072"/>
    </row>
    <row r="618" spans="1:11" s="2" customFormat="1" ht="15.75" customHeight="1">
      <c r="A618" s="1079"/>
      <c r="B618" s="944"/>
      <c r="C618" s="56"/>
      <c r="D618" s="56"/>
      <c r="E618" s="56"/>
      <c r="F618" s="55"/>
      <c r="G618" s="57">
        <f>SUM(F616:F618)</f>
        <v>1367.0500000000002</v>
      </c>
    </row>
    <row r="619" spans="1:11" s="2" customFormat="1" ht="15.75" customHeight="1">
      <c r="A619" s="1071" t="s">
        <v>10</v>
      </c>
      <c r="B619" s="944"/>
      <c r="C619" s="944"/>
      <c r="D619" s="944"/>
      <c r="E619" s="944"/>
      <c r="F619" s="944"/>
      <c r="G619" s="1072"/>
    </row>
    <row r="620" spans="1:11" s="2" customFormat="1" ht="15.75" customHeight="1">
      <c r="A620" s="1074" t="s">
        <v>2</v>
      </c>
      <c r="B620" s="944"/>
      <c r="C620" s="53" t="s">
        <v>3</v>
      </c>
      <c r="D620" s="53" t="s">
        <v>4</v>
      </c>
      <c r="E620" s="53" t="s">
        <v>6</v>
      </c>
      <c r="F620" s="53" t="s">
        <v>11</v>
      </c>
      <c r="G620" s="1075" t="s">
        <v>8</v>
      </c>
    </row>
    <row r="621" spans="1:11" s="2" customFormat="1" ht="15.75" customHeight="1">
      <c r="A621" s="947" t="s">
        <v>436</v>
      </c>
      <c r="B621" s="944"/>
      <c r="C621" s="16" t="s">
        <v>3</v>
      </c>
      <c r="D621" s="16">
        <v>1</v>
      </c>
      <c r="E621" s="17">
        <f>'INSUMOS '!E112</f>
        <v>185164</v>
      </c>
      <c r="F621" s="55">
        <f>D621*E621</f>
        <v>185164</v>
      </c>
      <c r="G621" s="1072"/>
    </row>
    <row r="622" spans="1:11" s="2" customFormat="1" ht="15.75" customHeight="1">
      <c r="A622" s="947" t="s">
        <v>437</v>
      </c>
      <c r="B622" s="980"/>
      <c r="C622" s="16" t="s">
        <v>3</v>
      </c>
      <c r="D622" s="16">
        <v>0.04</v>
      </c>
      <c r="E622" s="17">
        <f>'INSUMOS '!E145</f>
        <v>57800</v>
      </c>
      <c r="F622" s="55">
        <f>D622*E622</f>
        <v>2312</v>
      </c>
      <c r="G622" s="123"/>
    </row>
    <row r="623" spans="1:11" s="2" customFormat="1" ht="15.75" customHeight="1">
      <c r="A623" s="947"/>
      <c r="B623" s="944"/>
      <c r="C623" s="16"/>
      <c r="D623" s="58"/>
      <c r="E623" s="17"/>
      <c r="F623" s="55"/>
      <c r="G623" s="57">
        <f>SUM(F620:F623)</f>
        <v>187476</v>
      </c>
    </row>
    <row r="624" spans="1:11" s="2" customFormat="1" ht="15.75" customHeight="1">
      <c r="A624" s="1071" t="s">
        <v>15</v>
      </c>
      <c r="B624" s="944"/>
      <c r="C624" s="944"/>
      <c r="D624" s="944"/>
      <c r="E624" s="944"/>
      <c r="F624" s="944"/>
      <c r="G624" s="1072"/>
    </row>
    <row r="625" spans="1:11" s="2" customFormat="1" ht="15.75" customHeight="1">
      <c r="A625" s="1074" t="s">
        <v>2</v>
      </c>
      <c r="B625" s="944"/>
      <c r="C625" s="53" t="s">
        <v>3</v>
      </c>
      <c r="D625" s="53" t="s">
        <v>4</v>
      </c>
      <c r="E625" s="53" t="s">
        <v>6</v>
      </c>
      <c r="F625" s="53" t="s">
        <v>11</v>
      </c>
      <c r="G625" s="1075" t="s">
        <v>8</v>
      </c>
    </row>
    <row r="626" spans="1:11" s="2" customFormat="1" ht="15.75" customHeight="1">
      <c r="A626" s="943" t="s">
        <v>17</v>
      </c>
      <c r="B626" s="944"/>
      <c r="C626" s="16" t="s">
        <v>3</v>
      </c>
      <c r="D626" s="54">
        <v>3.5000000000000003E-2</v>
      </c>
      <c r="E626" s="17">
        <f>+G623</f>
        <v>187476</v>
      </c>
      <c r="F626" s="55">
        <f>E626*D626</f>
        <v>6561.6600000000008</v>
      </c>
      <c r="G626" s="1072"/>
    </row>
    <row r="627" spans="1:11" s="2" customFormat="1" ht="15.75" customHeight="1">
      <c r="A627" s="59"/>
      <c r="B627" s="60"/>
      <c r="C627" s="60"/>
      <c r="D627" s="60"/>
      <c r="E627" s="60"/>
      <c r="F627" s="60"/>
      <c r="G627" s="57">
        <f>SUM(F626:F627)</f>
        <v>6561.6600000000008</v>
      </c>
    </row>
    <row r="628" spans="1:11" s="2" customFormat="1" ht="15.75" customHeight="1">
      <c r="A628" s="1071" t="s">
        <v>19</v>
      </c>
      <c r="B628" s="944"/>
      <c r="C628" s="944"/>
      <c r="D628" s="944"/>
      <c r="E628" s="944"/>
      <c r="F628" s="944"/>
      <c r="G628" s="1072"/>
    </row>
    <row r="629" spans="1:11" s="2" customFormat="1" ht="15.75" customHeight="1">
      <c r="A629" s="1074" t="s">
        <v>2</v>
      </c>
      <c r="B629" s="944"/>
      <c r="C629" s="53" t="s">
        <v>3</v>
      </c>
      <c r="D629" s="53" t="s">
        <v>4</v>
      </c>
      <c r="E629" s="53" t="s">
        <v>6</v>
      </c>
      <c r="F629" s="53" t="s">
        <v>11</v>
      </c>
      <c r="G629" s="61" t="s">
        <v>8</v>
      </c>
      <c r="K629" s="35"/>
    </row>
    <row r="630" spans="1:11" s="2" customFormat="1" ht="15.75" customHeight="1">
      <c r="A630" s="978" t="str">
        <f>SALARIOS!$A$69</f>
        <v>CUADRILLA BB INSTALACIONES 1:1</v>
      </c>
      <c r="B630" s="979"/>
      <c r="C630" s="13" t="s">
        <v>1245</v>
      </c>
      <c r="D630" s="32">
        <v>1</v>
      </c>
      <c r="E630" s="13">
        <f>SALARIOS!$C$69</f>
        <v>27341</v>
      </c>
      <c r="F630" s="55">
        <f>+D630*E630</f>
        <v>27341</v>
      </c>
      <c r="G630" s="57">
        <f>SUM(F629:F630)</f>
        <v>27341</v>
      </c>
    </row>
    <row r="631" spans="1:11" s="2" customFormat="1" ht="15.75" customHeight="1">
      <c r="A631" s="1076" t="s">
        <v>25</v>
      </c>
      <c r="B631" s="944"/>
      <c r="C631" s="944"/>
      <c r="D631" s="944"/>
      <c r="E631" s="944"/>
      <c r="F631" s="944"/>
      <c r="G631" s="1072"/>
    </row>
    <row r="632" spans="1:11" s="2" customFormat="1" ht="15.75" customHeight="1">
      <c r="A632" s="1077"/>
      <c r="B632" s="944"/>
      <c r="C632" s="944"/>
      <c r="D632" s="944"/>
      <c r="E632" s="944"/>
      <c r="F632" s="944"/>
      <c r="G632" s="62">
        <f>G630+G627+G623+G618</f>
        <v>222745.71</v>
      </c>
    </row>
    <row r="633" spans="1:11" s="2" customFormat="1" ht="15.75" customHeight="1">
      <c r="A633" s="63"/>
      <c r="B633" s="42"/>
      <c r="C633" s="42"/>
      <c r="D633" s="42"/>
      <c r="E633" s="42"/>
      <c r="F633" s="42"/>
      <c r="G633" s="64"/>
    </row>
    <row r="634" spans="1:11" s="2" customFormat="1" ht="15.75" customHeight="1">
      <c r="A634" s="970" t="s">
        <v>1</v>
      </c>
      <c r="B634" s="957"/>
      <c r="C634" s="953" t="s">
        <v>0</v>
      </c>
      <c r="D634" s="954"/>
      <c r="E634" s="954"/>
      <c r="F634" s="954"/>
      <c r="G634" s="955"/>
    </row>
    <row r="635" spans="1:11" s="2" customFormat="1" ht="82.5" customHeight="1">
      <c r="A635" s="971"/>
      <c r="B635" s="957"/>
      <c r="C635" s="954"/>
      <c r="D635" s="954"/>
      <c r="E635" s="954"/>
      <c r="F635" s="954"/>
      <c r="G635" s="955"/>
    </row>
    <row r="636" spans="1:11" s="35" customFormat="1" ht="17.399999999999999">
      <c r="A636" s="971"/>
      <c r="B636" s="957"/>
      <c r="C636" s="956"/>
      <c r="D636" s="957"/>
      <c r="E636" s="957"/>
      <c r="F636" s="957"/>
      <c r="G636" s="958"/>
      <c r="H636" s="2"/>
      <c r="I636" s="2"/>
      <c r="J636" s="2"/>
      <c r="K636" s="2"/>
    </row>
    <row r="637" spans="1:11" s="2" customFormat="1" ht="15.75" customHeight="1">
      <c r="A637" s="971"/>
      <c r="B637" s="957"/>
      <c r="C637" s="959" t="s">
        <v>2</v>
      </c>
      <c r="D637" s="957"/>
      <c r="E637" s="957"/>
      <c r="F637" s="23" t="s">
        <v>3</v>
      </c>
      <c r="G637" s="24" t="s">
        <v>4</v>
      </c>
    </row>
    <row r="638" spans="1:11" s="2" customFormat="1" ht="54" customHeight="1">
      <c r="A638" s="1073" t="s">
        <v>440</v>
      </c>
      <c r="B638" s="944"/>
      <c r="C638" s="980" t="s">
        <v>441</v>
      </c>
      <c r="D638" s="944"/>
      <c r="E638" s="944"/>
      <c r="F638" s="51" t="s">
        <v>28</v>
      </c>
      <c r="G638" s="52">
        <v>20</v>
      </c>
    </row>
    <row r="639" spans="1:11" s="2" customFormat="1" ht="13.8">
      <c r="A639" s="1071" t="s">
        <v>5</v>
      </c>
      <c r="B639" s="944"/>
      <c r="C639" s="944"/>
      <c r="D639" s="944"/>
      <c r="E639" s="944"/>
      <c r="F639" s="944"/>
      <c r="G639" s="1072"/>
    </row>
    <row r="640" spans="1:11" s="2" customFormat="1" ht="15.75" customHeight="1">
      <c r="A640" s="1074" t="s">
        <v>2</v>
      </c>
      <c r="B640" s="944"/>
      <c r="C640" s="53" t="s">
        <v>3</v>
      </c>
      <c r="D640" s="53" t="s">
        <v>4</v>
      </c>
      <c r="E640" s="53" t="s">
        <v>6</v>
      </c>
      <c r="F640" s="53" t="s">
        <v>7</v>
      </c>
      <c r="G640" s="1075" t="s">
        <v>8</v>
      </c>
    </row>
    <row r="641" spans="1:11" s="2" customFormat="1" ht="15.75" customHeight="1">
      <c r="A641" s="947" t="s">
        <v>167</v>
      </c>
      <c r="B641" s="944"/>
      <c r="C641" s="51" t="s">
        <v>3</v>
      </c>
      <c r="D641" s="54">
        <v>0.05</v>
      </c>
      <c r="E641" s="17">
        <f>G653</f>
        <v>27341</v>
      </c>
      <c r="F641" s="55">
        <f>D641*E641</f>
        <v>1367.0500000000002</v>
      </c>
      <c r="G641" s="1072"/>
    </row>
    <row r="642" spans="1:11" s="2" customFormat="1" ht="15.75" customHeight="1">
      <c r="A642" s="1079"/>
      <c r="B642" s="944"/>
      <c r="C642" s="56"/>
      <c r="D642" s="56"/>
      <c r="E642" s="56"/>
      <c r="F642" s="55"/>
      <c r="G642" s="57">
        <f>SUM(F640:F642)</f>
        <v>1367.0500000000002</v>
      </c>
    </row>
    <row r="643" spans="1:11" s="2" customFormat="1" ht="15.75" customHeight="1">
      <c r="A643" s="1071" t="s">
        <v>10</v>
      </c>
      <c r="B643" s="944"/>
      <c r="C643" s="944"/>
      <c r="D643" s="944"/>
      <c r="E643" s="944"/>
      <c r="F643" s="944"/>
      <c r="G643" s="1072"/>
    </row>
    <row r="644" spans="1:11" s="2" customFormat="1" ht="15.75" customHeight="1">
      <c r="A644" s="1074" t="s">
        <v>2</v>
      </c>
      <c r="B644" s="944"/>
      <c r="C644" s="53" t="s">
        <v>3</v>
      </c>
      <c r="D644" s="53" t="s">
        <v>4</v>
      </c>
      <c r="E644" s="53" t="s">
        <v>6</v>
      </c>
      <c r="F644" s="53" t="s">
        <v>11</v>
      </c>
      <c r="G644" s="1075" t="s">
        <v>8</v>
      </c>
    </row>
    <row r="645" spans="1:11" s="2" customFormat="1" ht="15.75" customHeight="1">
      <c r="A645" s="947" t="s">
        <v>442</v>
      </c>
      <c r="B645" s="944"/>
      <c r="C645" s="16" t="s">
        <v>3</v>
      </c>
      <c r="D645" s="16">
        <v>1</v>
      </c>
      <c r="E645" s="17">
        <f>'INSUMOS '!E113</f>
        <v>44900</v>
      </c>
      <c r="F645" s="55">
        <f>D645*E645</f>
        <v>44900</v>
      </c>
      <c r="G645" s="1072"/>
    </row>
    <row r="646" spans="1:11" s="2" customFormat="1" ht="15.75" customHeight="1">
      <c r="A646" s="947"/>
      <c r="B646" s="944"/>
      <c r="C646" s="16"/>
      <c r="D646" s="58"/>
      <c r="E646" s="17"/>
      <c r="F646" s="55">
        <f>E646*D646</f>
        <v>0</v>
      </c>
      <c r="G646" s="57">
        <f>SUM(F644:F646)</f>
        <v>44900</v>
      </c>
    </row>
    <row r="647" spans="1:11" s="2" customFormat="1" ht="15.75" customHeight="1">
      <c r="A647" s="1071" t="s">
        <v>15</v>
      </c>
      <c r="B647" s="944"/>
      <c r="C647" s="944"/>
      <c r="D647" s="944"/>
      <c r="E647" s="944"/>
      <c r="F647" s="944"/>
      <c r="G647" s="1072"/>
    </row>
    <row r="648" spans="1:11" s="2" customFormat="1" ht="15.75" customHeight="1">
      <c r="A648" s="1074" t="s">
        <v>2</v>
      </c>
      <c r="B648" s="944"/>
      <c r="C648" s="53" t="s">
        <v>3</v>
      </c>
      <c r="D648" s="53" t="s">
        <v>4</v>
      </c>
      <c r="E648" s="53" t="s">
        <v>6</v>
      </c>
      <c r="F648" s="53" t="s">
        <v>11</v>
      </c>
      <c r="G648" s="1075" t="s">
        <v>8</v>
      </c>
    </row>
    <row r="649" spans="1:11" s="2" customFormat="1" ht="15.75" customHeight="1">
      <c r="A649" s="943" t="s">
        <v>225</v>
      </c>
      <c r="B649" s="944"/>
      <c r="C649" s="16" t="s">
        <v>3</v>
      </c>
      <c r="D649" s="54">
        <v>3.5000000000000003E-2</v>
      </c>
      <c r="E649" s="17">
        <f>+G646</f>
        <v>44900</v>
      </c>
      <c r="F649" s="55">
        <f>E649*D649</f>
        <v>1571.5000000000002</v>
      </c>
      <c r="G649" s="1072"/>
    </row>
    <row r="650" spans="1:11" s="2" customFormat="1" ht="15.75" customHeight="1">
      <c r="A650" s="59"/>
      <c r="B650" s="60"/>
      <c r="C650" s="60"/>
      <c r="D650" s="60"/>
      <c r="E650" s="60"/>
      <c r="F650" s="60"/>
      <c r="G650" s="57">
        <f>SUM(F649:F650)</f>
        <v>1571.5000000000002</v>
      </c>
    </row>
    <row r="651" spans="1:11" s="2" customFormat="1" ht="15.75" customHeight="1">
      <c r="A651" s="1071" t="s">
        <v>19</v>
      </c>
      <c r="B651" s="944"/>
      <c r="C651" s="944"/>
      <c r="D651" s="944"/>
      <c r="E651" s="944"/>
      <c r="F651" s="944"/>
      <c r="G651" s="1072"/>
    </row>
    <row r="652" spans="1:11" s="2" customFormat="1" ht="15.75" customHeight="1">
      <c r="A652" s="1074" t="s">
        <v>2</v>
      </c>
      <c r="B652" s="944"/>
      <c r="C652" s="53" t="s">
        <v>3</v>
      </c>
      <c r="D652" s="53" t="s">
        <v>4</v>
      </c>
      <c r="E652" s="53" t="s">
        <v>6</v>
      </c>
      <c r="F652" s="53" t="s">
        <v>11</v>
      </c>
      <c r="G652" s="61" t="s">
        <v>8</v>
      </c>
      <c r="K652" s="35"/>
    </row>
    <row r="653" spans="1:11" s="2" customFormat="1" ht="15.75" customHeight="1">
      <c r="A653" s="978" t="str">
        <f>SALARIOS!$A$69</f>
        <v>CUADRILLA BB INSTALACIONES 1:1</v>
      </c>
      <c r="B653" s="979"/>
      <c r="C653" s="13" t="s">
        <v>1245</v>
      </c>
      <c r="D653" s="32">
        <v>1</v>
      </c>
      <c r="E653" s="13">
        <f>SALARIOS!$C$69</f>
        <v>27341</v>
      </c>
      <c r="F653" s="55">
        <f>+D653*E653</f>
        <v>27341</v>
      </c>
      <c r="G653" s="57">
        <f>SUM(F652:F653)</f>
        <v>27341</v>
      </c>
    </row>
    <row r="654" spans="1:11" s="2" customFormat="1" ht="15.75" customHeight="1">
      <c r="A654" s="1076" t="s">
        <v>25</v>
      </c>
      <c r="B654" s="944"/>
      <c r="C654" s="944"/>
      <c r="D654" s="944"/>
      <c r="E654" s="944"/>
      <c r="F654" s="944"/>
      <c r="G654" s="1072"/>
    </row>
    <row r="655" spans="1:11" s="2" customFormat="1" ht="15.75" customHeight="1">
      <c r="A655" s="1077"/>
      <c r="B655" s="944"/>
      <c r="C655" s="944"/>
      <c r="D655" s="944"/>
      <c r="E655" s="944"/>
      <c r="F655" s="944"/>
      <c r="G655" s="62">
        <f>G653+G650+G646+G642</f>
        <v>75179.55</v>
      </c>
    </row>
    <row r="656" spans="1:11" s="2" customFormat="1" ht="15.75" customHeight="1">
      <c r="A656" s="63"/>
      <c r="B656" s="42"/>
      <c r="C656" s="42"/>
      <c r="D656" s="42"/>
      <c r="E656" s="42"/>
      <c r="F656" s="42"/>
      <c r="G656" s="64"/>
    </row>
    <row r="657" spans="1:11" s="2" customFormat="1" ht="15.75" customHeight="1">
      <c r="A657" s="970" t="s">
        <v>1</v>
      </c>
      <c r="B657" s="957"/>
      <c r="C657" s="953" t="s">
        <v>0</v>
      </c>
      <c r="D657" s="954"/>
      <c r="E657" s="954"/>
      <c r="F657" s="954"/>
      <c r="G657" s="955"/>
    </row>
    <row r="658" spans="1:11" s="2" customFormat="1" ht="50.25" customHeight="1">
      <c r="A658" s="971"/>
      <c r="B658" s="957"/>
      <c r="C658" s="954"/>
      <c r="D658" s="954"/>
      <c r="E658" s="954"/>
      <c r="F658" s="954"/>
      <c r="G658" s="955"/>
    </row>
    <row r="659" spans="1:11" s="35" customFormat="1" ht="17.399999999999999">
      <c r="A659" s="971"/>
      <c r="B659" s="957"/>
      <c r="C659" s="956"/>
      <c r="D659" s="957"/>
      <c r="E659" s="957"/>
      <c r="F659" s="957"/>
      <c r="G659" s="958"/>
      <c r="H659" s="2"/>
      <c r="I659" s="2"/>
      <c r="J659" s="2"/>
      <c r="K659" s="2"/>
    </row>
    <row r="660" spans="1:11" s="2" customFormat="1" ht="15.75" customHeight="1">
      <c r="A660" s="971"/>
      <c r="B660" s="957"/>
      <c r="C660" s="959" t="s">
        <v>2</v>
      </c>
      <c r="D660" s="957"/>
      <c r="E660" s="957"/>
      <c r="F660" s="23" t="s">
        <v>3</v>
      </c>
      <c r="G660" s="24" t="s">
        <v>4</v>
      </c>
    </row>
    <row r="661" spans="1:11" s="2" customFormat="1" ht="95.25" customHeight="1">
      <c r="A661" s="1073" t="s">
        <v>443</v>
      </c>
      <c r="B661" s="944"/>
      <c r="C661" s="980" t="s">
        <v>444</v>
      </c>
      <c r="D661" s="944"/>
      <c r="E661" s="944"/>
      <c r="F661" s="51" t="s">
        <v>28</v>
      </c>
      <c r="G661" s="52">
        <v>25</v>
      </c>
    </row>
    <row r="662" spans="1:11" s="2" customFormat="1" ht="13.8">
      <c r="A662" s="1071" t="s">
        <v>5</v>
      </c>
      <c r="B662" s="944"/>
      <c r="C662" s="944"/>
      <c r="D662" s="944"/>
      <c r="E662" s="944"/>
      <c r="F662" s="944"/>
      <c r="G662" s="1072"/>
    </row>
    <row r="663" spans="1:11" s="2" customFormat="1" ht="15.75" customHeight="1">
      <c r="A663" s="1074" t="s">
        <v>2</v>
      </c>
      <c r="B663" s="944"/>
      <c r="C663" s="53" t="s">
        <v>3</v>
      </c>
      <c r="D663" s="53" t="s">
        <v>4</v>
      </c>
      <c r="E663" s="53" t="s">
        <v>6</v>
      </c>
      <c r="F663" s="53" t="s">
        <v>7</v>
      </c>
      <c r="G663" s="1075" t="s">
        <v>8</v>
      </c>
    </row>
    <row r="664" spans="1:11" s="2" customFormat="1" ht="15.75" customHeight="1">
      <c r="A664" s="947" t="s">
        <v>328</v>
      </c>
      <c r="B664" s="944"/>
      <c r="C664" s="51" t="s">
        <v>3</v>
      </c>
      <c r="D664" s="54">
        <v>0.05</v>
      </c>
      <c r="E664" s="17">
        <f>G677</f>
        <v>17212</v>
      </c>
      <c r="F664" s="55">
        <f>D664*E664</f>
        <v>860.6</v>
      </c>
      <c r="G664" s="1072"/>
    </row>
    <row r="665" spans="1:11" s="2" customFormat="1" ht="15.75" customHeight="1">
      <c r="A665" s="1079"/>
      <c r="B665" s="944"/>
      <c r="C665" s="56"/>
      <c r="D665" s="56"/>
      <c r="E665" s="56"/>
      <c r="F665" s="55"/>
      <c r="G665" s="57">
        <f>SUM(F663:F665)</f>
        <v>860.6</v>
      </c>
    </row>
    <row r="666" spans="1:11" s="2" customFormat="1" ht="15.75" customHeight="1">
      <c r="A666" s="1071" t="s">
        <v>10</v>
      </c>
      <c r="B666" s="944"/>
      <c r="C666" s="944"/>
      <c r="D666" s="944"/>
      <c r="E666" s="944"/>
      <c r="F666" s="944"/>
      <c r="G666" s="1072"/>
    </row>
    <row r="667" spans="1:11" s="2" customFormat="1" ht="15.75" customHeight="1">
      <c r="A667" s="1074" t="s">
        <v>2</v>
      </c>
      <c r="B667" s="944"/>
      <c r="C667" s="53" t="s">
        <v>3</v>
      </c>
      <c r="D667" s="53" t="s">
        <v>4</v>
      </c>
      <c r="E667" s="53" t="s">
        <v>6</v>
      </c>
      <c r="F667" s="53" t="s">
        <v>11</v>
      </c>
      <c r="G667" s="1075" t="s">
        <v>8</v>
      </c>
    </row>
    <row r="668" spans="1:11" s="2" customFormat="1" ht="15.75" customHeight="1">
      <c r="A668" s="947" t="s">
        <v>445</v>
      </c>
      <c r="B668" s="944"/>
      <c r="C668" s="16" t="s">
        <v>3</v>
      </c>
      <c r="D668" s="16">
        <v>1</v>
      </c>
      <c r="E668" s="17">
        <f>'INSUMOS '!E115</f>
        <v>201400</v>
      </c>
      <c r="F668" s="55">
        <f>D668*E668</f>
        <v>201400</v>
      </c>
      <c r="G668" s="1072"/>
    </row>
    <row r="669" spans="1:11" s="2" customFormat="1" ht="15.75" customHeight="1">
      <c r="A669" s="947"/>
      <c r="B669" s="944"/>
      <c r="C669" s="16"/>
      <c r="D669" s="58"/>
      <c r="E669" s="17"/>
      <c r="F669" s="55"/>
      <c r="G669" s="57">
        <f>SUM(F667:F669)</f>
        <v>201400</v>
      </c>
    </row>
    <row r="670" spans="1:11" s="2" customFormat="1" ht="15.75" customHeight="1">
      <c r="A670" s="1071" t="s">
        <v>15</v>
      </c>
      <c r="B670" s="944"/>
      <c r="C670" s="944"/>
      <c r="D670" s="944"/>
      <c r="E670" s="944"/>
      <c r="F670" s="944"/>
      <c r="G670" s="1072"/>
    </row>
    <row r="671" spans="1:11" s="2" customFormat="1" ht="15.75" customHeight="1">
      <c r="A671" s="1074" t="s">
        <v>2</v>
      </c>
      <c r="B671" s="944"/>
      <c r="C671" s="53" t="s">
        <v>3</v>
      </c>
      <c r="D671" s="53" t="s">
        <v>4</v>
      </c>
      <c r="E671" s="53" t="s">
        <v>6</v>
      </c>
      <c r="F671" s="53" t="s">
        <v>11</v>
      </c>
      <c r="G671" s="1075" t="s">
        <v>8</v>
      </c>
    </row>
    <row r="672" spans="1:11" s="2" customFormat="1" ht="15.75" customHeight="1">
      <c r="A672" s="943" t="s">
        <v>17</v>
      </c>
      <c r="B672" s="944"/>
      <c r="C672" s="16" t="s">
        <v>3</v>
      </c>
      <c r="D672" s="54">
        <v>3.5000000000000003E-2</v>
      </c>
      <c r="E672" s="17">
        <f>+G669</f>
        <v>201400</v>
      </c>
      <c r="F672" s="55">
        <f>E672*D672</f>
        <v>7049.0000000000009</v>
      </c>
      <c r="G672" s="1072"/>
    </row>
    <row r="673" spans="1:11" s="2" customFormat="1" ht="15.75" customHeight="1">
      <c r="A673" s="943" t="s">
        <v>446</v>
      </c>
      <c r="B673" s="944"/>
      <c r="C673" s="16" t="s">
        <v>3</v>
      </c>
      <c r="D673" s="54">
        <v>3.5000000000000003E-2</v>
      </c>
      <c r="E673" s="17">
        <f>G665</f>
        <v>860.6</v>
      </c>
      <c r="F673" s="55">
        <f>E673*D673</f>
        <v>30.121000000000002</v>
      </c>
      <c r="G673" s="123"/>
    </row>
    <row r="674" spans="1:11" s="2" customFormat="1" ht="15.75" customHeight="1">
      <c r="A674" s="59"/>
      <c r="B674" s="60"/>
      <c r="C674" s="60"/>
      <c r="D674" s="60"/>
      <c r="E674" s="60"/>
      <c r="F674" s="60"/>
      <c r="G674" s="57">
        <f>SUM(F672:F674)</f>
        <v>7079.121000000001</v>
      </c>
    </row>
    <row r="675" spans="1:11" s="2" customFormat="1" ht="15.75" customHeight="1">
      <c r="A675" s="1071" t="s">
        <v>19</v>
      </c>
      <c r="B675" s="944"/>
      <c r="C675" s="944"/>
      <c r="D675" s="944"/>
      <c r="E675" s="944"/>
      <c r="F675" s="944"/>
      <c r="G675" s="1072"/>
    </row>
    <row r="676" spans="1:11" s="2" customFormat="1" ht="15.75" customHeight="1">
      <c r="A676" s="1074" t="s">
        <v>2</v>
      </c>
      <c r="B676" s="944"/>
      <c r="C676" s="53" t="s">
        <v>3</v>
      </c>
      <c r="D676" s="53" t="s">
        <v>4</v>
      </c>
      <c r="E676" s="53" t="s">
        <v>6</v>
      </c>
      <c r="F676" s="53" t="s">
        <v>11</v>
      </c>
      <c r="G676" s="61" t="s">
        <v>8</v>
      </c>
      <c r="K676" s="35"/>
    </row>
    <row r="677" spans="1:11" s="2" customFormat="1" ht="15.75" customHeight="1">
      <c r="A677" s="978" t="str">
        <f>SALARIOS!$A$68</f>
        <v>CUADRILLA BB INSTALACIONES 1:0</v>
      </c>
      <c r="B677" s="979"/>
      <c r="C677" s="13" t="s">
        <v>1245</v>
      </c>
      <c r="D677" s="32">
        <v>1</v>
      </c>
      <c r="E677" s="13">
        <f>SALARIOS!$C$68</f>
        <v>17212</v>
      </c>
      <c r="F677" s="55">
        <f>+D677*E677</f>
        <v>17212</v>
      </c>
      <c r="G677" s="57">
        <f>SUM(F676:F677)</f>
        <v>17212</v>
      </c>
    </row>
    <row r="678" spans="1:11" s="2" customFormat="1" ht="15.75" customHeight="1">
      <c r="A678" s="1076" t="s">
        <v>25</v>
      </c>
      <c r="B678" s="944"/>
      <c r="C678" s="944"/>
      <c r="D678" s="944"/>
      <c r="E678" s="944"/>
      <c r="F678" s="944"/>
      <c r="G678" s="1072"/>
    </row>
    <row r="679" spans="1:11" s="2" customFormat="1" ht="15.75" customHeight="1">
      <c r="A679" s="1077"/>
      <c r="B679" s="944"/>
      <c r="C679" s="944"/>
      <c r="D679" s="944"/>
      <c r="E679" s="944"/>
      <c r="F679" s="944"/>
      <c r="G679" s="62">
        <f>G677+G674+G669+G665</f>
        <v>226551.72099999999</v>
      </c>
    </row>
    <row r="680" spans="1:11" s="2" customFormat="1" ht="15.75" customHeight="1">
      <c r="A680" s="63"/>
      <c r="B680" s="42"/>
      <c r="C680" s="42"/>
      <c r="D680" s="42"/>
      <c r="E680" s="42"/>
      <c r="F680" s="42"/>
      <c r="G680" s="64"/>
    </row>
    <row r="681" spans="1:11" s="2" customFormat="1" ht="15.75" customHeight="1">
      <c r="A681" s="970" t="s">
        <v>1</v>
      </c>
      <c r="B681" s="957"/>
      <c r="C681" s="953" t="s">
        <v>0</v>
      </c>
      <c r="D681" s="954"/>
      <c r="E681" s="954"/>
      <c r="F681" s="954"/>
      <c r="G681" s="955"/>
    </row>
    <row r="682" spans="1:11" s="2" customFormat="1" ht="62.25" customHeight="1">
      <c r="A682" s="971"/>
      <c r="B682" s="957"/>
      <c r="C682" s="954"/>
      <c r="D682" s="954"/>
      <c r="E682" s="954"/>
      <c r="F682" s="954"/>
      <c r="G682" s="955"/>
    </row>
    <row r="683" spans="1:11" s="35" customFormat="1" ht="17.399999999999999">
      <c r="A683" s="971"/>
      <c r="B683" s="957"/>
      <c r="C683" s="956"/>
      <c r="D683" s="957"/>
      <c r="E683" s="957"/>
      <c r="F683" s="957"/>
      <c r="G683" s="958"/>
      <c r="H683" s="2"/>
      <c r="I683" s="2"/>
      <c r="J683" s="2"/>
      <c r="K683" s="2"/>
    </row>
    <row r="684" spans="1:11" s="2" customFormat="1" ht="15.75" customHeight="1">
      <c r="A684" s="971"/>
      <c r="B684" s="957"/>
      <c r="C684" s="959" t="s">
        <v>2</v>
      </c>
      <c r="D684" s="957"/>
      <c r="E684" s="957"/>
      <c r="F684" s="23" t="s">
        <v>3</v>
      </c>
      <c r="G684" s="24" t="s">
        <v>4</v>
      </c>
    </row>
    <row r="685" spans="1:11" s="2" customFormat="1" ht="55.5" customHeight="1">
      <c r="A685" s="1073" t="s">
        <v>447</v>
      </c>
      <c r="B685" s="944"/>
      <c r="C685" s="980" t="s">
        <v>448</v>
      </c>
      <c r="D685" s="944"/>
      <c r="E685" s="944"/>
      <c r="F685" s="51" t="s">
        <v>28</v>
      </c>
      <c r="G685" s="52">
        <v>1</v>
      </c>
    </row>
    <row r="686" spans="1:11" s="2" customFormat="1" ht="13.8">
      <c r="A686" s="1071" t="s">
        <v>5</v>
      </c>
      <c r="B686" s="944"/>
      <c r="C686" s="944"/>
      <c r="D686" s="944"/>
      <c r="E686" s="944"/>
      <c r="F686" s="944"/>
      <c r="G686" s="1072"/>
    </row>
    <row r="687" spans="1:11" s="2" customFormat="1" ht="15.75" customHeight="1">
      <c r="A687" s="1074" t="s">
        <v>2</v>
      </c>
      <c r="B687" s="944"/>
      <c r="C687" s="53" t="s">
        <v>3</v>
      </c>
      <c r="D687" s="53" t="s">
        <v>4</v>
      </c>
      <c r="E687" s="53" t="s">
        <v>6</v>
      </c>
      <c r="F687" s="53" t="s">
        <v>7</v>
      </c>
      <c r="G687" s="1075" t="s">
        <v>8</v>
      </c>
    </row>
    <row r="688" spans="1:11" s="2" customFormat="1" ht="15.75" customHeight="1">
      <c r="A688" s="947" t="s">
        <v>328</v>
      </c>
      <c r="B688" s="944"/>
      <c r="C688" s="51" t="s">
        <v>3</v>
      </c>
      <c r="D688" s="54">
        <v>0.05</v>
      </c>
      <c r="E688" s="17">
        <f>G704</f>
        <v>17212</v>
      </c>
      <c r="F688" s="55">
        <f>D688*E688</f>
        <v>860.6</v>
      </c>
      <c r="G688" s="1072"/>
    </row>
    <row r="689" spans="1:11" s="2" customFormat="1" ht="15.75" customHeight="1">
      <c r="A689" s="1079"/>
      <c r="B689" s="944"/>
      <c r="C689" s="56"/>
      <c r="D689" s="56"/>
      <c r="E689" s="56"/>
      <c r="F689" s="55"/>
      <c r="G689" s="57">
        <f>SUM(F687:F689)</f>
        <v>860.6</v>
      </c>
    </row>
    <row r="690" spans="1:11" s="2" customFormat="1" ht="15.75" customHeight="1">
      <c r="A690" s="1071" t="s">
        <v>10</v>
      </c>
      <c r="B690" s="944"/>
      <c r="C690" s="944"/>
      <c r="D690" s="944"/>
      <c r="E690" s="944"/>
      <c r="F690" s="944"/>
      <c r="G690" s="1072"/>
    </row>
    <row r="691" spans="1:11" s="2" customFormat="1" ht="15.75" customHeight="1">
      <c r="A691" s="1074" t="s">
        <v>2</v>
      </c>
      <c r="B691" s="944"/>
      <c r="C691" s="53" t="s">
        <v>3</v>
      </c>
      <c r="D691" s="53" t="s">
        <v>4</v>
      </c>
      <c r="E691" s="53" t="s">
        <v>6</v>
      </c>
      <c r="F691" s="53" t="s">
        <v>11</v>
      </c>
      <c r="G691" s="1075" t="s">
        <v>8</v>
      </c>
    </row>
    <row r="692" spans="1:11" s="2" customFormat="1" ht="15.75" customHeight="1">
      <c r="A692" s="947" t="s">
        <v>449</v>
      </c>
      <c r="B692" s="944"/>
      <c r="C692" s="16" t="s">
        <v>3</v>
      </c>
      <c r="D692" s="16">
        <v>1</v>
      </c>
      <c r="E692" s="17">
        <f>'INSUMOS '!E118</f>
        <v>610700</v>
      </c>
      <c r="F692" s="55">
        <f>D692*E692</f>
        <v>610700</v>
      </c>
      <c r="G692" s="1072"/>
    </row>
    <row r="693" spans="1:11" s="2" customFormat="1" ht="15.75" customHeight="1">
      <c r="A693" s="947" t="s">
        <v>450</v>
      </c>
      <c r="B693" s="980"/>
      <c r="C693" s="16" t="s">
        <v>3</v>
      </c>
      <c r="D693" s="16">
        <v>0.03</v>
      </c>
      <c r="E693" s="17">
        <f>'INSUMOS '!E114</f>
        <v>13900</v>
      </c>
      <c r="F693" s="55">
        <f>D693*E693</f>
        <v>417</v>
      </c>
      <c r="G693" s="123"/>
    </row>
    <row r="694" spans="1:11" s="2" customFormat="1" ht="15.75" customHeight="1">
      <c r="A694" s="947" t="s">
        <v>451</v>
      </c>
      <c r="B694" s="980"/>
      <c r="C694" s="16" t="s">
        <v>3</v>
      </c>
      <c r="D694" s="16">
        <v>1</v>
      </c>
      <c r="E694" s="17">
        <v>250</v>
      </c>
      <c r="F694" s="55">
        <f>D694*E694</f>
        <v>250</v>
      </c>
      <c r="G694" s="123"/>
    </row>
    <row r="695" spans="1:11" s="2" customFormat="1" ht="15.75" customHeight="1">
      <c r="A695" s="947" t="s">
        <v>452</v>
      </c>
      <c r="B695" s="980"/>
      <c r="C695" s="16" t="s">
        <v>3</v>
      </c>
      <c r="D695" s="16">
        <v>0.01</v>
      </c>
      <c r="E695" s="17">
        <f>'INSUMOS '!E116</f>
        <v>90900</v>
      </c>
      <c r="F695" s="55">
        <f>D695*E695</f>
        <v>909</v>
      </c>
      <c r="G695" s="123"/>
    </row>
    <row r="696" spans="1:11" s="2" customFormat="1" ht="15.75" customHeight="1">
      <c r="A696" s="947"/>
      <c r="B696" s="944"/>
      <c r="C696" s="16"/>
      <c r="D696" s="58"/>
      <c r="E696" s="17"/>
      <c r="F696" s="55"/>
      <c r="G696" s="57">
        <f>SUM(F691:F696)</f>
        <v>612276</v>
      </c>
    </row>
    <row r="697" spans="1:11" s="2" customFormat="1" ht="15.75" customHeight="1">
      <c r="A697" s="1071" t="s">
        <v>15</v>
      </c>
      <c r="B697" s="944"/>
      <c r="C697" s="944"/>
      <c r="D697" s="944"/>
      <c r="E697" s="944"/>
      <c r="F697" s="944"/>
      <c r="G697" s="1072"/>
    </row>
    <row r="698" spans="1:11" s="2" customFormat="1" ht="15.75" customHeight="1">
      <c r="A698" s="1074" t="s">
        <v>2</v>
      </c>
      <c r="B698" s="944"/>
      <c r="C698" s="53" t="s">
        <v>3</v>
      </c>
      <c r="D698" s="53" t="s">
        <v>4</v>
      </c>
      <c r="E698" s="53" t="s">
        <v>6</v>
      </c>
      <c r="F698" s="53" t="s">
        <v>11</v>
      </c>
      <c r="G698" s="1075" t="s">
        <v>8</v>
      </c>
    </row>
    <row r="699" spans="1:11" s="2" customFormat="1" ht="15.75" customHeight="1">
      <c r="A699" s="943" t="s">
        <v>335</v>
      </c>
      <c r="B699" s="944"/>
      <c r="C699" s="16" t="s">
        <v>3</v>
      </c>
      <c r="D699" s="54">
        <v>3.5000000000000003E-2</v>
      </c>
      <c r="E699" s="118">
        <f>G689</f>
        <v>860.6</v>
      </c>
      <c r="F699" s="55">
        <f>E699*D699</f>
        <v>30.121000000000002</v>
      </c>
      <c r="G699" s="1075"/>
    </row>
    <row r="700" spans="1:11" s="2" customFormat="1" ht="15.75" customHeight="1">
      <c r="A700" s="943" t="s">
        <v>225</v>
      </c>
      <c r="B700" s="944"/>
      <c r="C700" s="16" t="s">
        <v>3</v>
      </c>
      <c r="D700" s="54">
        <v>3.5000000000000003E-2</v>
      </c>
      <c r="E700" s="17">
        <f>+G696</f>
        <v>612276</v>
      </c>
      <c r="F700" s="55">
        <f>E700*D700</f>
        <v>21429.660000000003</v>
      </c>
      <c r="G700" s="1072"/>
    </row>
    <row r="701" spans="1:11" s="2" customFormat="1" ht="15.75" customHeight="1">
      <c r="A701" s="59"/>
      <c r="B701" s="60"/>
      <c r="C701" s="60"/>
      <c r="D701" s="60"/>
      <c r="E701" s="60"/>
      <c r="F701" s="60"/>
      <c r="G701" s="57">
        <f>SUM(F699:F701)</f>
        <v>21459.781000000003</v>
      </c>
    </row>
    <row r="702" spans="1:11" s="2" customFormat="1" ht="15.75" customHeight="1">
      <c r="A702" s="1071" t="s">
        <v>19</v>
      </c>
      <c r="B702" s="944"/>
      <c r="C702" s="944"/>
      <c r="D702" s="944"/>
      <c r="E702" s="944"/>
      <c r="F702" s="944"/>
      <c r="G702" s="1072"/>
    </row>
    <row r="703" spans="1:11" s="2" customFormat="1" ht="15.75" customHeight="1">
      <c r="A703" s="1074" t="s">
        <v>2</v>
      </c>
      <c r="B703" s="944"/>
      <c r="C703" s="53" t="s">
        <v>3</v>
      </c>
      <c r="D703" s="53" t="s">
        <v>4</v>
      </c>
      <c r="E703" s="53" t="s">
        <v>6</v>
      </c>
      <c r="F703" s="53" t="s">
        <v>11</v>
      </c>
      <c r="G703" s="61" t="s">
        <v>8</v>
      </c>
      <c r="K703" s="35"/>
    </row>
    <row r="704" spans="1:11" s="2" customFormat="1" ht="15.75" customHeight="1">
      <c r="A704" s="978" t="str">
        <f>SALARIOS!$A$68</f>
        <v>CUADRILLA BB INSTALACIONES 1:0</v>
      </c>
      <c r="B704" s="979"/>
      <c r="C704" s="13" t="s">
        <v>1245</v>
      </c>
      <c r="D704" s="32">
        <v>1</v>
      </c>
      <c r="E704" s="13">
        <f>SALARIOS!$C$68</f>
        <v>17212</v>
      </c>
      <c r="F704" s="55">
        <f>+D704*E704</f>
        <v>17212</v>
      </c>
      <c r="G704" s="57">
        <f>SUM(F703:F704)</f>
        <v>17212</v>
      </c>
    </row>
    <row r="705" spans="1:11" s="2" customFormat="1" ht="15.75" customHeight="1">
      <c r="A705" s="1076" t="s">
        <v>25</v>
      </c>
      <c r="B705" s="944"/>
      <c r="C705" s="944"/>
      <c r="D705" s="944"/>
      <c r="E705" s="944"/>
      <c r="F705" s="944"/>
      <c r="G705" s="1072"/>
    </row>
    <row r="706" spans="1:11" s="2" customFormat="1" ht="15.75" customHeight="1">
      <c r="A706" s="1077"/>
      <c r="B706" s="944"/>
      <c r="C706" s="944"/>
      <c r="D706" s="944"/>
      <c r="E706" s="944"/>
      <c r="F706" s="944"/>
      <c r="G706" s="62">
        <f>G704+G701+G696+G689</f>
        <v>651808.38099999994</v>
      </c>
    </row>
    <row r="707" spans="1:11" s="2" customFormat="1" ht="15.75" customHeight="1">
      <c r="A707" s="63"/>
      <c r="B707" s="42"/>
      <c r="C707" s="42"/>
      <c r="D707" s="42"/>
      <c r="E707" s="42"/>
      <c r="F707" s="42"/>
      <c r="G707" s="64"/>
    </row>
    <row r="708" spans="1:11" s="2" customFormat="1" ht="15.75" customHeight="1">
      <c r="A708" s="970" t="s">
        <v>1</v>
      </c>
      <c r="B708" s="957"/>
      <c r="C708" s="953" t="s">
        <v>0</v>
      </c>
      <c r="D708" s="954"/>
      <c r="E708" s="954"/>
      <c r="F708" s="954"/>
      <c r="G708" s="955"/>
    </row>
    <row r="709" spans="1:11" s="2" customFormat="1" ht="42" customHeight="1">
      <c r="A709" s="971"/>
      <c r="B709" s="957"/>
      <c r="C709" s="954"/>
      <c r="D709" s="954"/>
      <c r="E709" s="954"/>
      <c r="F709" s="954"/>
      <c r="G709" s="955"/>
    </row>
    <row r="710" spans="1:11" s="35" customFormat="1" ht="17.399999999999999">
      <c r="A710" s="971"/>
      <c r="B710" s="957"/>
      <c r="C710" s="956"/>
      <c r="D710" s="957"/>
      <c r="E710" s="957"/>
      <c r="F710" s="957"/>
      <c r="G710" s="958"/>
      <c r="H710" s="2"/>
      <c r="I710" s="2"/>
      <c r="J710" s="2"/>
      <c r="K710" s="2"/>
    </row>
    <row r="711" spans="1:11" s="2" customFormat="1" ht="15.75" customHeight="1">
      <c r="A711" s="971"/>
      <c r="B711" s="957"/>
      <c r="C711" s="959" t="s">
        <v>2</v>
      </c>
      <c r="D711" s="957"/>
      <c r="E711" s="957"/>
      <c r="F711" s="23" t="s">
        <v>3</v>
      </c>
      <c r="G711" s="24" t="s">
        <v>4</v>
      </c>
    </row>
    <row r="712" spans="1:11" s="2" customFormat="1" ht="61.5" customHeight="1">
      <c r="A712" s="1073" t="s">
        <v>453</v>
      </c>
      <c r="B712" s="944"/>
      <c r="C712" s="980" t="s">
        <v>454</v>
      </c>
      <c r="D712" s="944"/>
      <c r="E712" s="944"/>
      <c r="F712" s="51" t="s">
        <v>28</v>
      </c>
      <c r="G712" s="52">
        <v>3</v>
      </c>
    </row>
    <row r="713" spans="1:11" s="2" customFormat="1" ht="13.8">
      <c r="A713" s="1071" t="s">
        <v>5</v>
      </c>
      <c r="B713" s="944"/>
      <c r="C713" s="944"/>
      <c r="D713" s="944"/>
      <c r="E713" s="944"/>
      <c r="F713" s="944"/>
      <c r="G713" s="1072"/>
    </row>
    <row r="714" spans="1:11" s="2" customFormat="1" ht="15.75" customHeight="1">
      <c r="A714" s="1074" t="s">
        <v>2</v>
      </c>
      <c r="B714" s="944"/>
      <c r="C714" s="53" t="s">
        <v>3</v>
      </c>
      <c r="D714" s="53" t="s">
        <v>4</v>
      </c>
      <c r="E714" s="53" t="s">
        <v>6</v>
      </c>
      <c r="F714" s="53" t="s">
        <v>7</v>
      </c>
      <c r="G714" s="1075" t="s">
        <v>8</v>
      </c>
    </row>
    <row r="715" spans="1:11" s="2" customFormat="1" ht="14.25" customHeight="1">
      <c r="A715" s="947" t="s">
        <v>328</v>
      </c>
      <c r="B715" s="944"/>
      <c r="C715" s="51" t="s">
        <v>3</v>
      </c>
      <c r="D715" s="54">
        <v>0.05</v>
      </c>
      <c r="E715" s="17">
        <f>G728</f>
        <v>17212</v>
      </c>
      <c r="F715" s="55">
        <f>D715*E715</f>
        <v>860.6</v>
      </c>
      <c r="G715" s="1072"/>
    </row>
    <row r="716" spans="1:11" s="2" customFormat="1" ht="15.75" customHeight="1">
      <c r="A716" s="1079"/>
      <c r="B716" s="944"/>
      <c r="C716" s="56"/>
      <c r="D716" s="56"/>
      <c r="E716" s="56"/>
      <c r="F716" s="55"/>
      <c r="G716" s="57">
        <f>SUM(F714:F716)</f>
        <v>860.6</v>
      </c>
    </row>
    <row r="717" spans="1:11" s="2" customFormat="1" ht="15.75" customHeight="1">
      <c r="A717" s="1071" t="s">
        <v>10</v>
      </c>
      <c r="B717" s="944"/>
      <c r="C717" s="944"/>
      <c r="D717" s="944"/>
      <c r="E717" s="944"/>
      <c r="F717" s="944"/>
      <c r="G717" s="1072"/>
    </row>
    <row r="718" spans="1:11" s="2" customFormat="1" ht="15.75" customHeight="1">
      <c r="A718" s="1074" t="s">
        <v>2</v>
      </c>
      <c r="B718" s="944"/>
      <c r="C718" s="53" t="s">
        <v>3</v>
      </c>
      <c r="D718" s="53" t="s">
        <v>4</v>
      </c>
      <c r="E718" s="53" t="s">
        <v>6</v>
      </c>
      <c r="F718" s="53" t="s">
        <v>11</v>
      </c>
      <c r="G718" s="1075" t="s">
        <v>8</v>
      </c>
    </row>
    <row r="719" spans="1:11" s="2" customFormat="1" ht="44.25" customHeight="1">
      <c r="A719" s="947" t="s">
        <v>455</v>
      </c>
      <c r="B719" s="985"/>
      <c r="C719" s="16" t="s">
        <v>3</v>
      </c>
      <c r="D719" s="16">
        <v>1</v>
      </c>
      <c r="E719" s="17">
        <f>'INSUMOS '!E119</f>
        <v>2330000</v>
      </c>
      <c r="F719" s="55">
        <f>D719*E719</f>
        <v>2330000</v>
      </c>
      <c r="G719" s="1072"/>
    </row>
    <row r="720" spans="1:11" s="2" customFormat="1" ht="15.75" customHeight="1">
      <c r="A720" s="947"/>
      <c r="B720" s="944"/>
      <c r="C720" s="16"/>
      <c r="D720" s="58"/>
      <c r="E720" s="17"/>
      <c r="F720" s="55"/>
      <c r="G720" s="57">
        <f>SUM(F718:F720)</f>
        <v>2330000</v>
      </c>
    </row>
    <row r="721" spans="1:11" s="2" customFormat="1" ht="15.75" customHeight="1">
      <c r="A721" s="1071" t="s">
        <v>15</v>
      </c>
      <c r="B721" s="944"/>
      <c r="C721" s="944"/>
      <c r="D721" s="944"/>
      <c r="E721" s="944"/>
      <c r="F721" s="944"/>
      <c r="G721" s="1072"/>
    </row>
    <row r="722" spans="1:11" s="2" customFormat="1" ht="15.75" customHeight="1">
      <c r="A722" s="1074" t="s">
        <v>2</v>
      </c>
      <c r="B722" s="944"/>
      <c r="C722" s="53" t="s">
        <v>3</v>
      </c>
      <c r="D722" s="53" t="s">
        <v>4</v>
      </c>
      <c r="E722" s="53" t="s">
        <v>6</v>
      </c>
      <c r="F722" s="53" t="s">
        <v>11</v>
      </c>
      <c r="G722" s="1075" t="s">
        <v>8</v>
      </c>
    </row>
    <row r="723" spans="1:11" s="2" customFormat="1" ht="15.75" customHeight="1">
      <c r="A723" s="943" t="s">
        <v>225</v>
      </c>
      <c r="B723" s="944"/>
      <c r="C723" s="16" t="s">
        <v>3</v>
      </c>
      <c r="D723" s="54">
        <v>3.5000000000000003E-2</v>
      </c>
      <c r="E723" s="17">
        <f>+G720</f>
        <v>2330000</v>
      </c>
      <c r="F723" s="55">
        <f>E723*D723</f>
        <v>81550.000000000015</v>
      </c>
      <c r="G723" s="1075"/>
    </row>
    <row r="724" spans="1:11" s="2" customFormat="1" ht="15.75" customHeight="1">
      <c r="A724" s="943" t="s">
        <v>335</v>
      </c>
      <c r="B724" s="1078"/>
      <c r="C724" s="16" t="s">
        <v>3</v>
      </c>
      <c r="D724" s="54">
        <v>3.5000000000000003E-2</v>
      </c>
      <c r="E724" s="17">
        <f>G716</f>
        <v>860.6</v>
      </c>
      <c r="F724" s="55">
        <f>E724*D724</f>
        <v>30.121000000000002</v>
      </c>
      <c r="G724" s="1075"/>
      <c r="I724"/>
      <c r="J724"/>
      <c r="K724"/>
    </row>
    <row r="725" spans="1:11" s="2" customFormat="1" ht="15.75" customHeight="1">
      <c r="A725" s="59"/>
      <c r="B725" s="60"/>
      <c r="C725" s="60"/>
      <c r="D725" s="60"/>
      <c r="E725" s="60"/>
      <c r="F725" s="60"/>
      <c r="G725" s="57">
        <f>SUM(F723:F725)</f>
        <v>81580.121000000014</v>
      </c>
      <c r="I725"/>
      <c r="J725"/>
      <c r="K725"/>
    </row>
    <row r="726" spans="1:11" s="2" customFormat="1" ht="15.75" customHeight="1">
      <c r="A726" s="1071" t="s">
        <v>19</v>
      </c>
      <c r="B726" s="944"/>
      <c r="C726" s="944"/>
      <c r="D726" s="944"/>
      <c r="E726" s="944"/>
      <c r="F726" s="944"/>
      <c r="G726" s="1072"/>
      <c r="I726"/>
      <c r="J726"/>
      <c r="K726"/>
    </row>
    <row r="727" spans="1:11" s="2" customFormat="1" ht="15.75" customHeight="1">
      <c r="A727" s="1074" t="s">
        <v>2</v>
      </c>
      <c r="B727" s="944"/>
      <c r="C727" s="53" t="s">
        <v>3</v>
      </c>
      <c r="D727" s="53" t="s">
        <v>4</v>
      </c>
      <c r="E727" s="53" t="s">
        <v>6</v>
      </c>
      <c r="F727" s="53" t="s">
        <v>11</v>
      </c>
      <c r="G727" s="61" t="s">
        <v>8</v>
      </c>
      <c r="I727"/>
      <c r="J727"/>
      <c r="K727"/>
    </row>
    <row r="728" spans="1:11" s="2" customFormat="1" ht="15.75" customHeight="1">
      <c r="A728" s="978" t="str">
        <f>SALARIOS!$A$68</f>
        <v>CUADRILLA BB INSTALACIONES 1:0</v>
      </c>
      <c r="B728" s="979"/>
      <c r="C728" s="13" t="s">
        <v>1245</v>
      </c>
      <c r="D728" s="32">
        <v>1</v>
      </c>
      <c r="E728" s="13">
        <f>SALARIOS!$C$68</f>
        <v>17212</v>
      </c>
      <c r="F728" s="55">
        <f>+D728*E728</f>
        <v>17212</v>
      </c>
      <c r="G728" s="57">
        <f>SUM(F727:F728)</f>
        <v>17212</v>
      </c>
      <c r="I728"/>
      <c r="J728"/>
      <c r="K728"/>
    </row>
    <row r="729" spans="1:11" s="2" customFormat="1" ht="15.75" customHeight="1">
      <c r="A729" s="1076" t="s">
        <v>25</v>
      </c>
      <c r="B729" s="944"/>
      <c r="C729" s="944"/>
      <c r="D729" s="944"/>
      <c r="E729" s="944"/>
      <c r="F729" s="944"/>
      <c r="G729" s="1072"/>
      <c r="I729"/>
      <c r="J729"/>
      <c r="K729"/>
    </row>
    <row r="730" spans="1:11" s="2" customFormat="1" ht="15.75" customHeight="1">
      <c r="A730" s="1077"/>
      <c r="B730" s="944"/>
      <c r="C730" s="944"/>
      <c r="D730" s="944"/>
      <c r="E730" s="944"/>
      <c r="F730" s="944"/>
      <c r="G730" s="62">
        <f>G728+G725+G720+G716</f>
        <v>2429652.7209999999</v>
      </c>
      <c r="I730"/>
      <c r="J730"/>
      <c r="K730"/>
    </row>
    <row r="731" spans="1:11">
      <c r="B731" s="468"/>
      <c r="F731" s="455"/>
    </row>
    <row r="732" spans="1:11">
      <c r="B732" s="468"/>
      <c r="F732" s="620"/>
    </row>
    <row r="733" spans="1:11">
      <c r="B733" s="468"/>
      <c r="F733" s="620"/>
      <c r="H733" s="480"/>
    </row>
    <row r="734" spans="1:11">
      <c r="B734" s="468"/>
      <c r="F734" s="455"/>
    </row>
    <row r="735" spans="1:11">
      <c r="B735" s="468"/>
      <c r="F735" s="455"/>
    </row>
    <row r="736" spans="1:11">
      <c r="B736" s="468"/>
      <c r="F736" s="455"/>
    </row>
    <row r="737" spans="2:6">
      <c r="B737" s="966"/>
      <c r="C737" s="966"/>
      <c r="F737" s="455"/>
    </row>
    <row r="738" spans="2:6">
      <c r="B738" s="966"/>
      <c r="C738" s="966"/>
      <c r="F738" s="455"/>
    </row>
    <row r="739" spans="2:6">
      <c r="B739" s="468"/>
      <c r="F739" s="455"/>
    </row>
  </sheetData>
  <mergeCells count="774">
    <mergeCell ref="B737:C737"/>
    <mergeCell ref="B738:C738"/>
    <mergeCell ref="A703:B703"/>
    <mergeCell ref="A727:B727"/>
    <mergeCell ref="A151:B151"/>
    <mergeCell ref="A174:B174"/>
    <mergeCell ref="A198:B198"/>
    <mergeCell ref="A449:B449"/>
    <mergeCell ref="A471:B471"/>
    <mergeCell ref="A493:B493"/>
    <mergeCell ref="A515:B515"/>
    <mergeCell ref="A537:B537"/>
    <mergeCell ref="A559:B559"/>
    <mergeCell ref="A581:B581"/>
    <mergeCell ref="A605:B605"/>
    <mergeCell ref="A629:B629"/>
    <mergeCell ref="A173:B173"/>
    <mergeCell ref="A197:B197"/>
    <mergeCell ref="A225:B225"/>
    <mergeCell ref="A295:B295"/>
    <mergeCell ref="A317:B317"/>
    <mergeCell ref="A339:B339"/>
    <mergeCell ref="A361:B361"/>
    <mergeCell ref="A383:B383"/>
    <mergeCell ref="A106:B109"/>
    <mergeCell ref="C106:G107"/>
    <mergeCell ref="C108:G108"/>
    <mergeCell ref="C109:E109"/>
    <mergeCell ref="A135:B135"/>
    <mergeCell ref="C135:E135"/>
    <mergeCell ref="C134:E134"/>
    <mergeCell ref="A120:B120"/>
    <mergeCell ref="A121:G121"/>
    <mergeCell ref="A122:B122"/>
    <mergeCell ref="A110:B110"/>
    <mergeCell ref="C110:E110"/>
    <mergeCell ref="A111:G111"/>
    <mergeCell ref="A112:B112"/>
    <mergeCell ref="A113:B113"/>
    <mergeCell ref="A114:G114"/>
    <mergeCell ref="A115:B115"/>
    <mergeCell ref="G115:G119"/>
    <mergeCell ref="A116:B116"/>
    <mergeCell ref="A117:B117"/>
    <mergeCell ref="A118:B118"/>
    <mergeCell ref="A119:B119"/>
    <mergeCell ref="G122:G123"/>
    <mergeCell ref="A123:B123"/>
    <mergeCell ref="A155:B158"/>
    <mergeCell ref="C155:G156"/>
    <mergeCell ref="C157:G157"/>
    <mergeCell ref="C158:E158"/>
    <mergeCell ref="A140:B140"/>
    <mergeCell ref="G140:G143"/>
    <mergeCell ref="A136:G136"/>
    <mergeCell ref="A137:B137"/>
    <mergeCell ref="A138:B138"/>
    <mergeCell ref="A139:G139"/>
    <mergeCell ref="A141:B141"/>
    <mergeCell ref="A142:B142"/>
    <mergeCell ref="A143:B143"/>
    <mergeCell ref="A144:B144"/>
    <mergeCell ref="A145:G145"/>
    <mergeCell ref="A146:B146"/>
    <mergeCell ref="A147:B147"/>
    <mergeCell ref="A148:B148"/>
    <mergeCell ref="A149:G149"/>
    <mergeCell ref="A152:G152"/>
    <mergeCell ref="A150:B150"/>
    <mergeCell ref="A124:B124"/>
    <mergeCell ref="A153:F153"/>
    <mergeCell ref="A125:G125"/>
    <mergeCell ref="A128:G128"/>
    <mergeCell ref="A129:F129"/>
    <mergeCell ref="A131:B134"/>
    <mergeCell ref="C131:G132"/>
    <mergeCell ref="C133:G133"/>
    <mergeCell ref="A126:B126"/>
    <mergeCell ref="A127:B127"/>
    <mergeCell ref="A167:B167"/>
    <mergeCell ref="A168:G168"/>
    <mergeCell ref="A169:B169"/>
    <mergeCell ref="A170:B170"/>
    <mergeCell ref="A172:G172"/>
    <mergeCell ref="A175:G175"/>
    <mergeCell ref="A171:B171"/>
    <mergeCell ref="A162:B162"/>
    <mergeCell ref="A159:B159"/>
    <mergeCell ref="C159:E159"/>
    <mergeCell ref="A163:G163"/>
    <mergeCell ref="A164:B164"/>
    <mergeCell ref="G164:G165"/>
    <mergeCell ref="A165:B165"/>
    <mergeCell ref="A166:B166"/>
    <mergeCell ref="A160:G160"/>
    <mergeCell ref="A161:B161"/>
    <mergeCell ref="A217:B217"/>
    <mergeCell ref="A207:G207"/>
    <mergeCell ref="A194:B194"/>
    <mergeCell ref="A195:B195"/>
    <mergeCell ref="A196:G196"/>
    <mergeCell ref="A199:G199"/>
    <mergeCell ref="A187:B187"/>
    <mergeCell ref="G187:G190"/>
    <mergeCell ref="A188:B188"/>
    <mergeCell ref="A189:B189"/>
    <mergeCell ref="A190:B190"/>
    <mergeCell ref="A191:B191"/>
    <mergeCell ref="A192:G192"/>
    <mergeCell ref="A193:B193"/>
    <mergeCell ref="A216:B216"/>
    <mergeCell ref="A273:B273"/>
    <mergeCell ref="A237:B237"/>
    <mergeCell ref="A206:B206"/>
    <mergeCell ref="C206:E206"/>
    <mergeCell ref="A260:B260"/>
    <mergeCell ref="C260:E260"/>
    <mergeCell ref="A261:G261"/>
    <mergeCell ref="A262:B262"/>
    <mergeCell ref="A218:B218"/>
    <mergeCell ref="A219:G219"/>
    <mergeCell ref="A220:B220"/>
    <mergeCell ref="G220:G222"/>
    <mergeCell ref="A208:B208"/>
    <mergeCell ref="G208:G209"/>
    <mergeCell ref="A209:B209"/>
    <mergeCell ref="A210:B210"/>
    <mergeCell ref="A211:G211"/>
    <mergeCell ref="A238:G238"/>
    <mergeCell ref="A239:B239"/>
    <mergeCell ref="A241:B241"/>
    <mergeCell ref="A245:B245"/>
    <mergeCell ref="A246:G246"/>
    <mergeCell ref="A247:B247"/>
    <mergeCell ref="G247:G248"/>
    <mergeCell ref="A265:B265"/>
    <mergeCell ref="G265:G266"/>
    <mergeCell ref="A266:B266"/>
    <mergeCell ref="A267:B267"/>
    <mergeCell ref="A263:B263"/>
    <mergeCell ref="A264:G264"/>
    <mergeCell ref="A224:G224"/>
    <mergeCell ref="A227:G227"/>
    <mergeCell ref="A228:F228"/>
    <mergeCell ref="A256:B259"/>
    <mergeCell ref="C256:G257"/>
    <mergeCell ref="C258:G258"/>
    <mergeCell ref="C259:E259"/>
    <mergeCell ref="A226:B226"/>
    <mergeCell ref="A248:B248"/>
    <mergeCell ref="A250:G250"/>
    <mergeCell ref="A251:B251"/>
    <mergeCell ref="A252:B252"/>
    <mergeCell ref="A253:G253"/>
    <mergeCell ref="A254:F254"/>
    <mergeCell ref="A240:B240"/>
    <mergeCell ref="A244:B244"/>
    <mergeCell ref="G239:G244"/>
    <mergeCell ref="A242:B242"/>
    <mergeCell ref="A268:G268"/>
    <mergeCell ref="A269:B269"/>
    <mergeCell ref="G269:G270"/>
    <mergeCell ref="A270:B270"/>
    <mergeCell ref="A304:B304"/>
    <mergeCell ref="C304:E304"/>
    <mergeCell ref="C302:G302"/>
    <mergeCell ref="C303:E303"/>
    <mergeCell ref="A287:B287"/>
    <mergeCell ref="G287:G288"/>
    <mergeCell ref="A285:B285"/>
    <mergeCell ref="A286:G286"/>
    <mergeCell ref="A272:G272"/>
    <mergeCell ref="A275:G275"/>
    <mergeCell ref="A276:F276"/>
    <mergeCell ref="A278:B281"/>
    <mergeCell ref="C278:G279"/>
    <mergeCell ref="C280:G280"/>
    <mergeCell ref="C281:E281"/>
    <mergeCell ref="A282:B282"/>
    <mergeCell ref="C282:E282"/>
    <mergeCell ref="A283:G283"/>
    <mergeCell ref="A284:B284"/>
    <mergeCell ref="A274:B274"/>
    <mergeCell ref="A328:B328"/>
    <mergeCell ref="A329:B329"/>
    <mergeCell ref="A330:G330"/>
    <mergeCell ref="A288:B288"/>
    <mergeCell ref="A289:B289"/>
    <mergeCell ref="A290:G290"/>
    <mergeCell ref="A291:B291"/>
    <mergeCell ref="G291:G292"/>
    <mergeCell ref="A292:B292"/>
    <mergeCell ref="A305:G305"/>
    <mergeCell ref="A306:B306"/>
    <mergeCell ref="A307:B307"/>
    <mergeCell ref="A296:B296"/>
    <mergeCell ref="A308:G308"/>
    <mergeCell ref="A294:G294"/>
    <mergeCell ref="A297:G297"/>
    <mergeCell ref="A298:F298"/>
    <mergeCell ref="A300:B303"/>
    <mergeCell ref="C300:G301"/>
    <mergeCell ref="A319:G319"/>
    <mergeCell ref="A320:F320"/>
    <mergeCell ref="A322:B325"/>
    <mergeCell ref="C322:G323"/>
    <mergeCell ref="C324:G324"/>
    <mergeCell ref="C325:E325"/>
    <mergeCell ref="A326:B326"/>
    <mergeCell ref="C326:E326"/>
    <mergeCell ref="A327:G327"/>
    <mergeCell ref="A309:B309"/>
    <mergeCell ref="G309:G310"/>
    <mergeCell ref="A310:B310"/>
    <mergeCell ref="A311:B311"/>
    <mergeCell ref="A312:G312"/>
    <mergeCell ref="A313:B313"/>
    <mergeCell ref="G313:G314"/>
    <mergeCell ref="A314:B314"/>
    <mergeCell ref="A316:G316"/>
    <mergeCell ref="A318:B318"/>
    <mergeCell ref="A372:B372"/>
    <mergeCell ref="A373:B373"/>
    <mergeCell ref="A374:G374"/>
    <mergeCell ref="A331:B331"/>
    <mergeCell ref="G331:G332"/>
    <mergeCell ref="A332:B332"/>
    <mergeCell ref="A333:B333"/>
    <mergeCell ref="A334:G334"/>
    <mergeCell ref="A335:B335"/>
    <mergeCell ref="G335:G336"/>
    <mergeCell ref="A336:B336"/>
    <mergeCell ref="A338:G338"/>
    <mergeCell ref="A341:G341"/>
    <mergeCell ref="A342:F342"/>
    <mergeCell ref="A344:B347"/>
    <mergeCell ref="C344:G345"/>
    <mergeCell ref="C346:G346"/>
    <mergeCell ref="C347:E347"/>
    <mergeCell ref="A348:B348"/>
    <mergeCell ref="C348:E348"/>
    <mergeCell ref="A349:G349"/>
    <mergeCell ref="A350:B350"/>
    <mergeCell ref="A351:B351"/>
    <mergeCell ref="A352:G352"/>
    <mergeCell ref="A363:G363"/>
    <mergeCell ref="A364:F364"/>
    <mergeCell ref="A366:B369"/>
    <mergeCell ref="C366:G367"/>
    <mergeCell ref="C368:G368"/>
    <mergeCell ref="C369:E369"/>
    <mergeCell ref="A370:B370"/>
    <mergeCell ref="C370:E370"/>
    <mergeCell ref="A371:G371"/>
    <mergeCell ref="A353:B353"/>
    <mergeCell ref="G353:G354"/>
    <mergeCell ref="A354:B354"/>
    <mergeCell ref="A355:B355"/>
    <mergeCell ref="A356:G356"/>
    <mergeCell ref="A357:B357"/>
    <mergeCell ref="G357:G358"/>
    <mergeCell ref="A358:B358"/>
    <mergeCell ref="A360:G360"/>
    <mergeCell ref="A418:G418"/>
    <mergeCell ref="A375:B375"/>
    <mergeCell ref="G375:G376"/>
    <mergeCell ref="A376:B376"/>
    <mergeCell ref="A377:B377"/>
    <mergeCell ref="A378:G378"/>
    <mergeCell ref="A379:B379"/>
    <mergeCell ref="G379:G380"/>
    <mergeCell ref="A380:B380"/>
    <mergeCell ref="A382:G382"/>
    <mergeCell ref="A385:G385"/>
    <mergeCell ref="A386:F386"/>
    <mergeCell ref="A388:B391"/>
    <mergeCell ref="C388:G389"/>
    <mergeCell ref="C390:G390"/>
    <mergeCell ref="C391:E391"/>
    <mergeCell ref="A392:B392"/>
    <mergeCell ref="C392:E392"/>
    <mergeCell ref="A393:G393"/>
    <mergeCell ref="A394:B394"/>
    <mergeCell ref="A395:B395"/>
    <mergeCell ref="A396:G396"/>
    <mergeCell ref="A405:B405"/>
    <mergeCell ref="A422:G422"/>
    <mergeCell ref="A423:B423"/>
    <mergeCell ref="G423:G424"/>
    <mergeCell ref="A424:B424"/>
    <mergeCell ref="A426:G426"/>
    <mergeCell ref="A429:G429"/>
    <mergeCell ref="A427:B427"/>
    <mergeCell ref="A399:B399"/>
    <mergeCell ref="A400:G400"/>
    <mergeCell ref="A401:B401"/>
    <mergeCell ref="G401:G402"/>
    <mergeCell ref="A402:B402"/>
    <mergeCell ref="A404:G404"/>
    <mergeCell ref="A407:G407"/>
    <mergeCell ref="A408:F408"/>
    <mergeCell ref="A410:B413"/>
    <mergeCell ref="C410:G411"/>
    <mergeCell ref="C412:G412"/>
    <mergeCell ref="C413:E413"/>
    <mergeCell ref="A414:B414"/>
    <mergeCell ref="C414:E414"/>
    <mergeCell ref="A415:G415"/>
    <mergeCell ref="A416:B416"/>
    <mergeCell ref="A417:B417"/>
    <mergeCell ref="A482:B482"/>
    <mergeCell ref="A483:B483"/>
    <mergeCell ref="A484:G484"/>
    <mergeCell ref="A441:B441"/>
    <mergeCell ref="G441:G442"/>
    <mergeCell ref="A442:B442"/>
    <mergeCell ref="A443:B443"/>
    <mergeCell ref="A444:G444"/>
    <mergeCell ref="A445:B445"/>
    <mergeCell ref="G445:G446"/>
    <mergeCell ref="A446:B446"/>
    <mergeCell ref="A448:G448"/>
    <mergeCell ref="A451:G451"/>
    <mergeCell ref="A452:F452"/>
    <mergeCell ref="A454:B457"/>
    <mergeCell ref="C454:G455"/>
    <mergeCell ref="C456:G456"/>
    <mergeCell ref="C457:E457"/>
    <mergeCell ref="A458:B458"/>
    <mergeCell ref="C458:E458"/>
    <mergeCell ref="A459:G459"/>
    <mergeCell ref="A460:B460"/>
    <mergeCell ref="A461:B461"/>
    <mergeCell ref="A462:G462"/>
    <mergeCell ref="A473:G473"/>
    <mergeCell ref="A474:F474"/>
    <mergeCell ref="A476:B479"/>
    <mergeCell ref="C476:G477"/>
    <mergeCell ref="C478:G478"/>
    <mergeCell ref="C479:E479"/>
    <mergeCell ref="A480:B480"/>
    <mergeCell ref="C480:E480"/>
    <mergeCell ref="A481:G481"/>
    <mergeCell ref="A463:B463"/>
    <mergeCell ref="G463:G464"/>
    <mergeCell ref="A464:B464"/>
    <mergeCell ref="A465:B465"/>
    <mergeCell ref="A466:G466"/>
    <mergeCell ref="A467:B467"/>
    <mergeCell ref="G467:G468"/>
    <mergeCell ref="A468:B468"/>
    <mergeCell ref="A470:G470"/>
    <mergeCell ref="A526:B526"/>
    <mergeCell ref="A527:B527"/>
    <mergeCell ref="A528:G528"/>
    <mergeCell ref="A485:B485"/>
    <mergeCell ref="G485:G486"/>
    <mergeCell ref="A486:B486"/>
    <mergeCell ref="A487:B487"/>
    <mergeCell ref="A488:G488"/>
    <mergeCell ref="A489:B489"/>
    <mergeCell ref="G489:G490"/>
    <mergeCell ref="A490:B490"/>
    <mergeCell ref="A492:G492"/>
    <mergeCell ref="A495:G495"/>
    <mergeCell ref="A496:F496"/>
    <mergeCell ref="A498:B501"/>
    <mergeCell ref="C498:G499"/>
    <mergeCell ref="C500:G500"/>
    <mergeCell ref="C501:E501"/>
    <mergeCell ref="A502:B502"/>
    <mergeCell ref="C502:E502"/>
    <mergeCell ref="A503:G503"/>
    <mergeCell ref="A504:B504"/>
    <mergeCell ref="A505:B505"/>
    <mergeCell ref="A506:G506"/>
    <mergeCell ref="A517:G517"/>
    <mergeCell ref="A518:F518"/>
    <mergeCell ref="A520:B523"/>
    <mergeCell ref="C520:G521"/>
    <mergeCell ref="C522:G522"/>
    <mergeCell ref="C523:E523"/>
    <mergeCell ref="A524:B524"/>
    <mergeCell ref="C524:E524"/>
    <mergeCell ref="A525:G525"/>
    <mergeCell ref="A507:B507"/>
    <mergeCell ref="G507:G508"/>
    <mergeCell ref="A508:B508"/>
    <mergeCell ref="A509:B509"/>
    <mergeCell ref="A510:G510"/>
    <mergeCell ref="A511:B511"/>
    <mergeCell ref="G511:G512"/>
    <mergeCell ref="A512:B512"/>
    <mergeCell ref="A514:G514"/>
    <mergeCell ref="A570:B570"/>
    <mergeCell ref="A571:B571"/>
    <mergeCell ref="A572:G572"/>
    <mergeCell ref="A529:B529"/>
    <mergeCell ref="G529:G530"/>
    <mergeCell ref="A530:B530"/>
    <mergeCell ref="A531:B531"/>
    <mergeCell ref="A532:G532"/>
    <mergeCell ref="A533:B533"/>
    <mergeCell ref="G533:G534"/>
    <mergeCell ref="A534:B534"/>
    <mergeCell ref="A536:G536"/>
    <mergeCell ref="A539:G539"/>
    <mergeCell ref="A540:F540"/>
    <mergeCell ref="A542:B545"/>
    <mergeCell ref="C542:G543"/>
    <mergeCell ref="C544:G544"/>
    <mergeCell ref="C545:E545"/>
    <mergeCell ref="A546:B546"/>
    <mergeCell ref="C546:E546"/>
    <mergeCell ref="A547:G547"/>
    <mergeCell ref="A548:B548"/>
    <mergeCell ref="A549:B549"/>
    <mergeCell ref="A550:G550"/>
    <mergeCell ref="A561:G561"/>
    <mergeCell ref="A562:F562"/>
    <mergeCell ref="A564:B567"/>
    <mergeCell ref="C564:G565"/>
    <mergeCell ref="C566:G566"/>
    <mergeCell ref="C567:E567"/>
    <mergeCell ref="A568:B568"/>
    <mergeCell ref="C568:E568"/>
    <mergeCell ref="A569:G569"/>
    <mergeCell ref="A551:B551"/>
    <mergeCell ref="G551:G552"/>
    <mergeCell ref="A552:B552"/>
    <mergeCell ref="A553:B553"/>
    <mergeCell ref="A554:G554"/>
    <mergeCell ref="A555:B555"/>
    <mergeCell ref="G555:G556"/>
    <mergeCell ref="A556:B556"/>
    <mergeCell ref="A558:G558"/>
    <mergeCell ref="C613:E613"/>
    <mergeCell ref="A573:B573"/>
    <mergeCell ref="G573:G574"/>
    <mergeCell ref="A574:B574"/>
    <mergeCell ref="A575:B575"/>
    <mergeCell ref="A576:G576"/>
    <mergeCell ref="A577:B577"/>
    <mergeCell ref="G577:G578"/>
    <mergeCell ref="A578:B578"/>
    <mergeCell ref="A580:G580"/>
    <mergeCell ref="A583:G583"/>
    <mergeCell ref="A584:F584"/>
    <mergeCell ref="A586:B589"/>
    <mergeCell ref="C586:G587"/>
    <mergeCell ref="C588:G588"/>
    <mergeCell ref="C589:E589"/>
    <mergeCell ref="A590:B590"/>
    <mergeCell ref="C590:E590"/>
    <mergeCell ref="A591:G591"/>
    <mergeCell ref="A592:B592"/>
    <mergeCell ref="G592:G593"/>
    <mergeCell ref="A593:B593"/>
    <mergeCell ref="A622:B622"/>
    <mergeCell ref="A623:B623"/>
    <mergeCell ref="A624:G624"/>
    <mergeCell ref="A625:B625"/>
    <mergeCell ref="G625:G626"/>
    <mergeCell ref="A626:B626"/>
    <mergeCell ref="A628:G628"/>
    <mergeCell ref="A594:B594"/>
    <mergeCell ref="A595:G595"/>
    <mergeCell ref="A596:B596"/>
    <mergeCell ref="G596:G597"/>
    <mergeCell ref="A597:B597"/>
    <mergeCell ref="A598:B598"/>
    <mergeCell ref="A599:B599"/>
    <mergeCell ref="A600:G600"/>
    <mergeCell ref="A601:B601"/>
    <mergeCell ref="G601:G602"/>
    <mergeCell ref="A602:B602"/>
    <mergeCell ref="A604:G604"/>
    <mergeCell ref="A607:G607"/>
    <mergeCell ref="A608:F608"/>
    <mergeCell ref="A610:B613"/>
    <mergeCell ref="C610:G611"/>
    <mergeCell ref="C612:G612"/>
    <mergeCell ref="A614:B614"/>
    <mergeCell ref="C614:E614"/>
    <mergeCell ref="A615:G615"/>
    <mergeCell ref="A616:B616"/>
    <mergeCell ref="G616:G617"/>
    <mergeCell ref="A617:B617"/>
    <mergeCell ref="A618:B618"/>
    <mergeCell ref="A619:G619"/>
    <mergeCell ref="A620:B620"/>
    <mergeCell ref="G620:G621"/>
    <mergeCell ref="A621:B621"/>
    <mergeCell ref="A666:G666"/>
    <mergeCell ref="A631:G631"/>
    <mergeCell ref="A632:F632"/>
    <mergeCell ref="A634:B637"/>
    <mergeCell ref="C634:G635"/>
    <mergeCell ref="C636:G636"/>
    <mergeCell ref="C637:E637"/>
    <mergeCell ref="A638:B638"/>
    <mergeCell ref="C638:E638"/>
    <mergeCell ref="A639:G639"/>
    <mergeCell ref="A640:B640"/>
    <mergeCell ref="G640:G641"/>
    <mergeCell ref="A641:B641"/>
    <mergeCell ref="A642:B642"/>
    <mergeCell ref="A643:G643"/>
    <mergeCell ref="A644:B644"/>
    <mergeCell ref="G644:G645"/>
    <mergeCell ref="A645:B645"/>
    <mergeCell ref="A646:B646"/>
    <mergeCell ref="A652:B652"/>
    <mergeCell ref="A685:B685"/>
    <mergeCell ref="C685:E685"/>
    <mergeCell ref="A686:G686"/>
    <mergeCell ref="A687:B687"/>
    <mergeCell ref="G687:G688"/>
    <mergeCell ref="A688:B688"/>
    <mergeCell ref="A647:G647"/>
    <mergeCell ref="A648:B648"/>
    <mergeCell ref="G648:G649"/>
    <mergeCell ref="A649:B649"/>
    <mergeCell ref="A651:G651"/>
    <mergeCell ref="A654:G654"/>
    <mergeCell ref="A655:F655"/>
    <mergeCell ref="A657:B660"/>
    <mergeCell ref="C657:G658"/>
    <mergeCell ref="C659:G659"/>
    <mergeCell ref="C660:E660"/>
    <mergeCell ref="A661:B661"/>
    <mergeCell ref="C661:E661"/>
    <mergeCell ref="A662:G662"/>
    <mergeCell ref="A663:B663"/>
    <mergeCell ref="G663:G664"/>
    <mergeCell ref="A664:B664"/>
    <mergeCell ref="A665:B665"/>
    <mergeCell ref="A671:B671"/>
    <mergeCell ref="G671:G672"/>
    <mergeCell ref="A672:B672"/>
    <mergeCell ref="A673:B673"/>
    <mergeCell ref="A675:G675"/>
    <mergeCell ref="A678:G678"/>
    <mergeCell ref="A679:F679"/>
    <mergeCell ref="A681:B684"/>
    <mergeCell ref="C681:G682"/>
    <mergeCell ref="C683:G683"/>
    <mergeCell ref="C684:E684"/>
    <mergeCell ref="A676:B676"/>
    <mergeCell ref="A677:B677"/>
    <mergeCell ref="A692:B692"/>
    <mergeCell ref="A693:B693"/>
    <mergeCell ref="A694:B694"/>
    <mergeCell ref="A695:B695"/>
    <mergeCell ref="A696:B696"/>
    <mergeCell ref="A697:G697"/>
    <mergeCell ref="A698:B698"/>
    <mergeCell ref="G698:G700"/>
    <mergeCell ref="A699:B699"/>
    <mergeCell ref="A700:B700"/>
    <mergeCell ref="A729:G729"/>
    <mergeCell ref="A730:F730"/>
    <mergeCell ref="C2:G2"/>
    <mergeCell ref="A712:B712"/>
    <mergeCell ref="C712:E712"/>
    <mergeCell ref="A713:G713"/>
    <mergeCell ref="A714:B714"/>
    <mergeCell ref="G714:G715"/>
    <mergeCell ref="A715:B715"/>
    <mergeCell ref="A716:B716"/>
    <mergeCell ref="A717:G717"/>
    <mergeCell ref="A718:B718"/>
    <mergeCell ref="G718:G719"/>
    <mergeCell ref="A719:B719"/>
    <mergeCell ref="A720:B720"/>
    <mergeCell ref="A721:G721"/>
    <mergeCell ref="A722:B722"/>
    <mergeCell ref="G722:G724"/>
    <mergeCell ref="A723:B723"/>
    <mergeCell ref="A724:B724"/>
    <mergeCell ref="A726:G726"/>
    <mergeCell ref="A689:B689"/>
    <mergeCell ref="A690:G690"/>
    <mergeCell ref="A691:B691"/>
    <mergeCell ref="A340:B340"/>
    <mergeCell ref="A362:B362"/>
    <mergeCell ref="A384:B384"/>
    <mergeCell ref="A406:B406"/>
    <mergeCell ref="A428:B428"/>
    <mergeCell ref="A450:B450"/>
    <mergeCell ref="A419:B419"/>
    <mergeCell ref="A430:F430"/>
    <mergeCell ref="A432:B435"/>
    <mergeCell ref="C432:G433"/>
    <mergeCell ref="C434:G434"/>
    <mergeCell ref="C435:E435"/>
    <mergeCell ref="A436:B436"/>
    <mergeCell ref="C436:E436"/>
    <mergeCell ref="A437:G437"/>
    <mergeCell ref="A438:B438"/>
    <mergeCell ref="A439:B439"/>
    <mergeCell ref="A440:G440"/>
    <mergeCell ref="A397:B397"/>
    <mergeCell ref="G397:G398"/>
    <mergeCell ref="A398:B398"/>
    <mergeCell ref="G419:G420"/>
    <mergeCell ref="A420:B420"/>
    <mergeCell ref="A421:B421"/>
    <mergeCell ref="A704:B704"/>
    <mergeCell ref="A728:B728"/>
    <mergeCell ref="A472:B472"/>
    <mergeCell ref="A494:B494"/>
    <mergeCell ref="A516:B516"/>
    <mergeCell ref="A538:B538"/>
    <mergeCell ref="A560:B560"/>
    <mergeCell ref="A582:B582"/>
    <mergeCell ref="A606:B606"/>
    <mergeCell ref="A630:B630"/>
    <mergeCell ref="A653:B653"/>
    <mergeCell ref="A702:G702"/>
    <mergeCell ref="A705:G705"/>
    <mergeCell ref="A706:F706"/>
    <mergeCell ref="A708:B711"/>
    <mergeCell ref="C708:G709"/>
    <mergeCell ref="C710:G710"/>
    <mergeCell ref="C711:E711"/>
    <mergeCell ref="A667:B667"/>
    <mergeCell ref="G667:G668"/>
    <mergeCell ref="A668:B668"/>
    <mergeCell ref="A669:B669"/>
    <mergeCell ref="A670:G670"/>
    <mergeCell ref="G691:G692"/>
    <mergeCell ref="A4:B7"/>
    <mergeCell ref="C4:G5"/>
    <mergeCell ref="C6:G6"/>
    <mergeCell ref="C7:E7"/>
    <mergeCell ref="A8:B8"/>
    <mergeCell ref="C8:E8"/>
    <mergeCell ref="A9:G9"/>
    <mergeCell ref="A10:B10"/>
    <mergeCell ref="A11:B11"/>
    <mergeCell ref="A12:G12"/>
    <mergeCell ref="A13:B13"/>
    <mergeCell ref="G13:G18"/>
    <mergeCell ref="A14:B14"/>
    <mergeCell ref="A15:B15"/>
    <mergeCell ref="A17:B17"/>
    <mergeCell ref="A18:B18"/>
    <mergeCell ref="A19:B19"/>
    <mergeCell ref="A20:G20"/>
    <mergeCell ref="A16:B16"/>
    <mergeCell ref="A21:B21"/>
    <mergeCell ref="G21:G22"/>
    <mergeCell ref="A22:B22"/>
    <mergeCell ref="A23:B23"/>
    <mergeCell ref="A24:G24"/>
    <mergeCell ref="A25:B25"/>
    <mergeCell ref="A26:B26"/>
    <mergeCell ref="A27:G27"/>
    <mergeCell ref="A28:F28"/>
    <mergeCell ref="A30:B33"/>
    <mergeCell ref="C30:G31"/>
    <mergeCell ref="C32:G32"/>
    <mergeCell ref="C33:E33"/>
    <mergeCell ref="A34:B34"/>
    <mergeCell ref="C34:E34"/>
    <mergeCell ref="A35:G35"/>
    <mergeCell ref="A36:B36"/>
    <mergeCell ref="A37:B37"/>
    <mergeCell ref="A38:G38"/>
    <mergeCell ref="A39:B39"/>
    <mergeCell ref="G39:G44"/>
    <mergeCell ref="A40:B40"/>
    <mergeCell ref="A41:B41"/>
    <mergeCell ref="A42:B42"/>
    <mergeCell ref="A43:B43"/>
    <mergeCell ref="A44:B44"/>
    <mergeCell ref="A45:B45"/>
    <mergeCell ref="A67:B67"/>
    <mergeCell ref="A68:B68"/>
    <mergeCell ref="A69:B69"/>
    <mergeCell ref="A70:B70"/>
    <mergeCell ref="A54:F54"/>
    <mergeCell ref="A46:G46"/>
    <mergeCell ref="A47:B47"/>
    <mergeCell ref="G47:G48"/>
    <mergeCell ref="A48:B48"/>
    <mergeCell ref="A49:B49"/>
    <mergeCell ref="A50:G50"/>
    <mergeCell ref="A51:B51"/>
    <mergeCell ref="A52:B52"/>
    <mergeCell ref="A53:G53"/>
    <mergeCell ref="A79:G79"/>
    <mergeCell ref="A80:F80"/>
    <mergeCell ref="A56:B59"/>
    <mergeCell ref="C56:G57"/>
    <mergeCell ref="C58:G58"/>
    <mergeCell ref="C59:E59"/>
    <mergeCell ref="A60:B60"/>
    <mergeCell ref="C60:E60"/>
    <mergeCell ref="A61:G61"/>
    <mergeCell ref="A62:B62"/>
    <mergeCell ref="A71:B71"/>
    <mergeCell ref="A72:G72"/>
    <mergeCell ref="A73:B73"/>
    <mergeCell ref="G73:G74"/>
    <mergeCell ref="A74:B74"/>
    <mergeCell ref="A75:B75"/>
    <mergeCell ref="A76:G76"/>
    <mergeCell ref="A77:B77"/>
    <mergeCell ref="A78:B78"/>
    <mergeCell ref="A63:B63"/>
    <mergeCell ref="A64:G64"/>
    <mergeCell ref="A65:B65"/>
    <mergeCell ref="G65:G70"/>
    <mergeCell ref="A66:B66"/>
    <mergeCell ref="A90:G90"/>
    <mergeCell ref="A91:B91"/>
    <mergeCell ref="G91:G94"/>
    <mergeCell ref="A92:B92"/>
    <mergeCell ref="A93:B93"/>
    <mergeCell ref="A94:B94"/>
    <mergeCell ref="A95:B95"/>
    <mergeCell ref="A82:B85"/>
    <mergeCell ref="C82:G83"/>
    <mergeCell ref="C84:G84"/>
    <mergeCell ref="C85:E85"/>
    <mergeCell ref="A86:B86"/>
    <mergeCell ref="C86:E86"/>
    <mergeCell ref="A87:G87"/>
    <mergeCell ref="A88:B88"/>
    <mergeCell ref="A89:B89"/>
    <mergeCell ref="A96:G96"/>
    <mergeCell ref="A97:B97"/>
    <mergeCell ref="G97:G98"/>
    <mergeCell ref="A98:B98"/>
    <mergeCell ref="A99:B99"/>
    <mergeCell ref="A100:G100"/>
    <mergeCell ref="A101:B101"/>
    <mergeCell ref="A102:B102"/>
    <mergeCell ref="A103:G103"/>
    <mergeCell ref="A182:B182"/>
    <mergeCell ref="C182:E182"/>
    <mergeCell ref="A183:G183"/>
    <mergeCell ref="A184:B184"/>
    <mergeCell ref="A176:F176"/>
    <mergeCell ref="A178:B181"/>
    <mergeCell ref="C178:G179"/>
    <mergeCell ref="C180:G180"/>
    <mergeCell ref="C181:E181"/>
    <mergeCell ref="A243:B243"/>
    <mergeCell ref="A104:F104"/>
    <mergeCell ref="A230:B233"/>
    <mergeCell ref="C230:G231"/>
    <mergeCell ref="C232:G232"/>
    <mergeCell ref="C233:E233"/>
    <mergeCell ref="A234:B234"/>
    <mergeCell ref="C234:E234"/>
    <mergeCell ref="A235:G235"/>
    <mergeCell ref="A236:B236"/>
    <mergeCell ref="A221:B221"/>
    <mergeCell ref="A222:B222"/>
    <mergeCell ref="A200:F200"/>
    <mergeCell ref="A202:B205"/>
    <mergeCell ref="C202:G203"/>
    <mergeCell ref="C204:G204"/>
    <mergeCell ref="C205:E205"/>
    <mergeCell ref="A185:B185"/>
    <mergeCell ref="A186:G186"/>
    <mergeCell ref="A212:B212"/>
    <mergeCell ref="G212:G217"/>
    <mergeCell ref="A213:B213"/>
    <mergeCell ref="A214:B214"/>
    <mergeCell ref="A215:B215"/>
  </mergeCells>
  <pageMargins left="0.25" right="0.25" top="0.75" bottom="0.75" header="0.3" footer="0.3"/>
  <pageSetup paperSize="9" scale="79"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pageSetUpPr fitToPage="1"/>
  </sheetPr>
  <dimension ref="A2:K1187"/>
  <sheetViews>
    <sheetView topLeftCell="A1174" zoomScaleNormal="100" workbookViewId="0">
      <selection activeCell="B1181" sqref="B1181:C1186"/>
    </sheetView>
  </sheetViews>
  <sheetFormatPr baseColWidth="10" defaultColWidth="10.6640625" defaultRowHeight="14.4"/>
  <cols>
    <col min="1" max="2" width="18.6640625" customWidth="1"/>
    <col min="3" max="5" width="16.6640625" customWidth="1"/>
    <col min="6" max="6" width="17.33203125" customWidth="1"/>
    <col min="7" max="7" width="17.6640625" customWidth="1"/>
  </cols>
  <sheetData>
    <row r="2" spans="1:7" s="2" customFormat="1" ht="116.25" customHeight="1">
      <c r="A2" s="177"/>
      <c r="B2" s="177"/>
      <c r="C2" s="922" t="s">
        <v>0</v>
      </c>
      <c r="D2" s="922"/>
      <c r="E2" s="922"/>
      <c r="F2" s="922"/>
      <c r="G2" s="923"/>
    </row>
    <row r="3" spans="1:7" s="2" customFormat="1" ht="15.75" customHeight="1">
      <c r="A3" s="63"/>
      <c r="B3" s="42"/>
      <c r="C3" s="42"/>
      <c r="D3" s="42"/>
      <c r="E3" s="42"/>
      <c r="F3" s="42"/>
      <c r="G3" s="64"/>
    </row>
    <row r="4" spans="1:7" s="2" customFormat="1" ht="15.75" customHeight="1">
      <c r="A4" s="970" t="s">
        <v>1</v>
      </c>
      <c r="B4" s="957"/>
      <c r="C4" s="992" t="s">
        <v>0</v>
      </c>
      <c r="D4" s="1107"/>
      <c r="E4" s="1107"/>
      <c r="F4" s="1107"/>
      <c r="G4" s="1108"/>
    </row>
    <row r="5" spans="1:7" s="2" customFormat="1" ht="44.25" customHeight="1">
      <c r="A5" s="971"/>
      <c r="B5" s="957"/>
      <c r="C5" s="1109"/>
      <c r="D5" s="1110"/>
      <c r="E5" s="1110"/>
      <c r="F5" s="1110"/>
      <c r="G5" s="1111"/>
    </row>
    <row r="6" spans="1:7" s="2" customFormat="1" ht="13.8">
      <c r="A6" s="971"/>
      <c r="B6" s="957"/>
      <c r="C6" s="1001"/>
      <c r="D6" s="1002"/>
      <c r="E6" s="1002"/>
      <c r="F6" s="1002"/>
      <c r="G6" s="1003"/>
    </row>
    <row r="7" spans="1:7" s="2" customFormat="1" ht="15.75" customHeight="1">
      <c r="A7" s="971"/>
      <c r="B7" s="957"/>
      <c r="C7" s="959" t="s">
        <v>2</v>
      </c>
      <c r="D7" s="957"/>
      <c r="E7" s="957"/>
      <c r="F7" s="23" t="s">
        <v>3</v>
      </c>
      <c r="G7" s="24" t="s">
        <v>4</v>
      </c>
    </row>
    <row r="8" spans="1:7" s="2" customFormat="1" ht="130.5" customHeight="1">
      <c r="A8" s="1073" t="s">
        <v>456</v>
      </c>
      <c r="B8" s="944"/>
      <c r="C8" s="980" t="s">
        <v>457</v>
      </c>
      <c r="D8" s="944"/>
      <c r="E8" s="944"/>
      <c r="F8" s="51" t="s">
        <v>458</v>
      </c>
      <c r="G8" s="52">
        <v>8</v>
      </c>
    </row>
    <row r="9" spans="1:7" s="2" customFormat="1" ht="13.8">
      <c r="A9" s="1071" t="s">
        <v>5</v>
      </c>
      <c r="B9" s="944"/>
      <c r="C9" s="944"/>
      <c r="D9" s="944"/>
      <c r="E9" s="944"/>
      <c r="F9" s="944"/>
      <c r="G9" s="1072"/>
    </row>
    <row r="10" spans="1:7" s="2" customFormat="1" ht="15.75" customHeight="1">
      <c r="A10" s="1074" t="s">
        <v>2</v>
      </c>
      <c r="B10" s="1092"/>
      <c r="C10" s="53" t="s">
        <v>3</v>
      </c>
      <c r="D10" s="53" t="s">
        <v>4</v>
      </c>
      <c r="E10" s="53" t="s">
        <v>6</v>
      </c>
      <c r="F10" s="53" t="s">
        <v>7</v>
      </c>
      <c r="G10" s="61" t="s">
        <v>8</v>
      </c>
    </row>
    <row r="11" spans="1:7" s="2" customFormat="1" ht="15.75" customHeight="1">
      <c r="A11" s="1015" t="s">
        <v>9</v>
      </c>
      <c r="B11" s="1016"/>
      <c r="C11" s="51" t="s">
        <v>3</v>
      </c>
      <c r="D11" s="51">
        <v>0.05</v>
      </c>
      <c r="E11" s="133">
        <f>G22</f>
        <v>27341</v>
      </c>
      <c r="F11" s="55">
        <f>E11*D11</f>
        <v>1367.0500000000002</v>
      </c>
      <c r="G11" s="57">
        <f>SUM(F10:F11)</f>
        <v>1367.0500000000002</v>
      </c>
    </row>
    <row r="12" spans="1:7" s="2" customFormat="1" ht="15.75" customHeight="1">
      <c r="A12" s="1071" t="s">
        <v>10</v>
      </c>
      <c r="B12" s="1093"/>
      <c r="C12" s="1093"/>
      <c r="D12" s="1093"/>
      <c r="E12" s="1093"/>
      <c r="F12" s="1093"/>
      <c r="G12" s="1094"/>
    </row>
    <row r="13" spans="1:7" s="2" customFormat="1" ht="15.75" customHeight="1">
      <c r="A13" s="1074" t="s">
        <v>2</v>
      </c>
      <c r="B13" s="1092"/>
      <c r="C13" s="53" t="s">
        <v>3</v>
      </c>
      <c r="D13" s="53" t="s">
        <v>4</v>
      </c>
      <c r="E13" s="53" t="s">
        <v>6</v>
      </c>
      <c r="F13" s="53" t="s">
        <v>11</v>
      </c>
      <c r="G13" s="1075" t="s">
        <v>8</v>
      </c>
    </row>
    <row r="14" spans="1:7" s="2" customFormat="1" ht="137.25" customHeight="1">
      <c r="A14" s="947" t="s">
        <v>1564</v>
      </c>
      <c r="B14" s="980"/>
      <c r="C14" s="16" t="s">
        <v>3</v>
      </c>
      <c r="D14" s="16">
        <v>1</v>
      </c>
      <c r="E14" s="17">
        <v>2800000</v>
      </c>
      <c r="F14" s="55">
        <f>D14*E14</f>
        <v>2800000</v>
      </c>
      <c r="G14" s="1075"/>
    </row>
    <row r="15" spans="1:7" s="2" customFormat="1" ht="15.75" customHeight="1">
      <c r="A15" s="947"/>
      <c r="B15" s="980"/>
      <c r="C15" s="16"/>
      <c r="D15" s="58"/>
      <c r="E15" s="17"/>
      <c r="F15" s="55"/>
      <c r="G15" s="57">
        <f>SUM(F13:F15)</f>
        <v>2800000</v>
      </c>
    </row>
    <row r="16" spans="1:7" s="2" customFormat="1" ht="15.75" customHeight="1">
      <c r="A16" s="1071" t="s">
        <v>15</v>
      </c>
      <c r="B16" s="1093"/>
      <c r="C16" s="1093"/>
      <c r="D16" s="1093"/>
      <c r="E16" s="1093"/>
      <c r="F16" s="1093"/>
      <c r="G16" s="1094"/>
    </row>
    <row r="17" spans="1:11" s="2" customFormat="1" ht="15.75" customHeight="1">
      <c r="A17" s="1074" t="s">
        <v>2</v>
      </c>
      <c r="B17" s="1092"/>
      <c r="C17" s="53" t="s">
        <v>3</v>
      </c>
      <c r="D17" s="53" t="s">
        <v>4</v>
      </c>
      <c r="E17" s="53" t="s">
        <v>6</v>
      </c>
      <c r="F17" s="53" t="s">
        <v>11</v>
      </c>
      <c r="G17" s="1075" t="s">
        <v>8</v>
      </c>
    </row>
    <row r="18" spans="1:11" s="2" customFormat="1" ht="15.75" customHeight="1">
      <c r="A18" s="943" t="s">
        <v>173</v>
      </c>
      <c r="B18" s="1078"/>
      <c r="C18" s="16" t="s">
        <v>3</v>
      </c>
      <c r="D18" s="54">
        <v>3.5000000000000003E-2</v>
      </c>
      <c r="E18" s="17">
        <f>G15</f>
        <v>2800000</v>
      </c>
      <c r="F18" s="55">
        <f>E18*D18</f>
        <v>98000.000000000015</v>
      </c>
      <c r="G18" s="1075"/>
    </row>
    <row r="19" spans="1:11" s="2" customFormat="1" ht="15.75" customHeight="1">
      <c r="A19" s="59"/>
      <c r="B19" s="60"/>
      <c r="C19" s="60"/>
      <c r="D19" s="60"/>
      <c r="E19" s="60"/>
      <c r="F19" s="60"/>
      <c r="G19" s="57">
        <f>SUM(F18:F19)</f>
        <v>98000.000000000015</v>
      </c>
    </row>
    <row r="20" spans="1:11" s="2" customFormat="1" ht="15.75" customHeight="1">
      <c r="A20" s="1071" t="s">
        <v>19</v>
      </c>
      <c r="B20" s="1093"/>
      <c r="C20" s="1093"/>
      <c r="D20" s="1093"/>
      <c r="E20" s="1093"/>
      <c r="F20" s="1093"/>
      <c r="G20" s="1094"/>
    </row>
    <row r="21" spans="1:11" s="2" customFormat="1" ht="15.75" customHeight="1">
      <c r="A21" s="1074" t="s">
        <v>2</v>
      </c>
      <c r="B21" s="1092"/>
      <c r="C21" s="53" t="s">
        <v>3</v>
      </c>
      <c r="D21" s="53" t="s">
        <v>4</v>
      </c>
      <c r="E21" s="53" t="s">
        <v>6</v>
      </c>
      <c r="F21" s="53" t="s">
        <v>11</v>
      </c>
      <c r="G21" s="456" t="s">
        <v>8</v>
      </c>
    </row>
    <row r="22" spans="1:11" s="2" customFormat="1" ht="15.75" customHeight="1">
      <c r="A22" s="978" t="str">
        <f>SALARIOS!$A$69</f>
        <v>CUADRILLA BB INSTALACIONES 1:1</v>
      </c>
      <c r="B22" s="979"/>
      <c r="C22" s="13" t="s">
        <v>1245</v>
      </c>
      <c r="D22" s="32">
        <v>1</v>
      </c>
      <c r="E22" s="13">
        <f>SALARIOS!$C$69</f>
        <v>27341</v>
      </c>
      <c r="F22" s="55">
        <f>+D22*E22</f>
        <v>27341</v>
      </c>
      <c r="G22" s="57">
        <f>SUM(F21:F22)</f>
        <v>27341</v>
      </c>
    </row>
    <row r="23" spans="1:11" s="2" customFormat="1" ht="15.75" customHeight="1">
      <c r="A23" s="1076" t="s">
        <v>25</v>
      </c>
      <c r="B23" s="1095"/>
      <c r="C23" s="1095"/>
      <c r="D23" s="1095"/>
      <c r="E23" s="1095"/>
      <c r="F23" s="1095"/>
      <c r="G23" s="1096"/>
    </row>
    <row r="24" spans="1:11" s="2" customFormat="1" ht="15.75" customHeight="1">
      <c r="A24" s="1077"/>
      <c r="B24" s="1097"/>
      <c r="C24" s="1097"/>
      <c r="D24" s="1097"/>
      <c r="E24" s="1097"/>
      <c r="F24" s="1097"/>
      <c r="G24" s="62">
        <f>G22+G19+G15+G11</f>
        <v>2926708.05</v>
      </c>
    </row>
    <row r="25" spans="1:11" s="2" customFormat="1" ht="15.75" customHeight="1">
      <c r="A25" s="63"/>
      <c r="B25" s="42"/>
      <c r="C25" s="42"/>
      <c r="D25" s="42"/>
      <c r="E25" s="42"/>
      <c r="F25" s="42"/>
      <c r="G25" s="64"/>
    </row>
    <row r="26" spans="1:11" s="2" customFormat="1" ht="15.75" customHeight="1">
      <c r="A26" s="970" t="s">
        <v>1</v>
      </c>
      <c r="B26" s="957"/>
      <c r="C26" s="953" t="s">
        <v>0</v>
      </c>
      <c r="D26" s="954"/>
      <c r="E26" s="954"/>
      <c r="F26" s="954"/>
      <c r="G26" s="955"/>
    </row>
    <row r="27" spans="1:11" s="2" customFormat="1" ht="54.75" customHeight="1">
      <c r="A27" s="971"/>
      <c r="B27" s="957"/>
      <c r="C27" s="954"/>
      <c r="D27" s="954"/>
      <c r="E27" s="954"/>
      <c r="F27" s="954"/>
      <c r="G27" s="955"/>
    </row>
    <row r="28" spans="1:11" s="35" customFormat="1" ht="17.399999999999999">
      <c r="A28" s="971"/>
      <c r="B28" s="957"/>
      <c r="C28" s="956"/>
      <c r="D28" s="957"/>
      <c r="E28" s="957"/>
      <c r="F28" s="957"/>
      <c r="G28" s="958"/>
      <c r="H28" s="2"/>
      <c r="I28" s="2"/>
      <c r="J28" s="2"/>
      <c r="K28" s="2"/>
    </row>
    <row r="29" spans="1:11" s="2" customFormat="1" ht="15.75" customHeight="1">
      <c r="A29" s="971"/>
      <c r="B29" s="957"/>
      <c r="C29" s="959" t="s">
        <v>2</v>
      </c>
      <c r="D29" s="957"/>
      <c r="E29" s="957"/>
      <c r="F29" s="23" t="s">
        <v>3</v>
      </c>
      <c r="G29" s="24" t="s">
        <v>4</v>
      </c>
    </row>
    <row r="30" spans="1:11" s="2" customFormat="1" ht="119.25" customHeight="1">
      <c r="A30" s="1073" t="s">
        <v>459</v>
      </c>
      <c r="B30" s="944"/>
      <c r="C30" s="980" t="s">
        <v>460</v>
      </c>
      <c r="D30" s="944"/>
      <c r="E30" s="944"/>
      <c r="F30" s="51" t="s">
        <v>28</v>
      </c>
      <c r="G30" s="52">
        <v>2</v>
      </c>
    </row>
    <row r="31" spans="1:11" s="2" customFormat="1" ht="13.8">
      <c r="A31" s="1071" t="s">
        <v>5</v>
      </c>
      <c r="B31" s="944"/>
      <c r="C31" s="944"/>
      <c r="D31" s="944"/>
      <c r="E31" s="944"/>
      <c r="F31" s="944"/>
      <c r="G31" s="1072"/>
    </row>
    <row r="32" spans="1:11" s="2" customFormat="1" ht="15.75" customHeight="1">
      <c r="A32" s="1074" t="s">
        <v>2</v>
      </c>
      <c r="B32" s="1092"/>
      <c r="C32" s="53" t="s">
        <v>3</v>
      </c>
      <c r="D32" s="53" t="s">
        <v>4</v>
      </c>
      <c r="E32" s="53" t="s">
        <v>6</v>
      </c>
      <c r="F32" s="53" t="s">
        <v>7</v>
      </c>
      <c r="G32" s="61" t="s">
        <v>8</v>
      </c>
    </row>
    <row r="33" spans="1:7" s="2" customFormat="1" ht="15.75" customHeight="1">
      <c r="A33" s="947" t="s">
        <v>9</v>
      </c>
      <c r="B33" s="944"/>
      <c r="C33" s="51" t="s">
        <v>3</v>
      </c>
      <c r="D33" s="51">
        <v>0.05</v>
      </c>
      <c r="E33" s="133">
        <f>G44</f>
        <v>27341</v>
      </c>
      <c r="F33" s="55">
        <f>E33*D33</f>
        <v>1367.0500000000002</v>
      </c>
      <c r="G33" s="57">
        <f>SUM(F32:F33)</f>
        <v>1367.0500000000002</v>
      </c>
    </row>
    <row r="34" spans="1:7" s="2" customFormat="1" ht="15.75" customHeight="1">
      <c r="A34" s="1071" t="s">
        <v>10</v>
      </c>
      <c r="B34" s="1093"/>
      <c r="C34" s="1093"/>
      <c r="D34" s="1093"/>
      <c r="E34" s="1093"/>
      <c r="F34" s="1093"/>
      <c r="G34" s="1094"/>
    </row>
    <row r="35" spans="1:7" s="2" customFormat="1" ht="15.75" customHeight="1">
      <c r="A35" s="1074" t="s">
        <v>2</v>
      </c>
      <c r="B35" s="1092"/>
      <c r="C35" s="53" t="s">
        <v>3</v>
      </c>
      <c r="D35" s="53" t="s">
        <v>4</v>
      </c>
      <c r="E35" s="53" t="s">
        <v>6</v>
      </c>
      <c r="F35" s="53" t="s">
        <v>11</v>
      </c>
      <c r="G35" s="1075" t="s">
        <v>8</v>
      </c>
    </row>
    <row r="36" spans="1:7" s="2" customFormat="1" ht="129.75" customHeight="1">
      <c r="A36" s="947" t="s">
        <v>1564</v>
      </c>
      <c r="B36" s="980"/>
      <c r="C36" s="16" t="s">
        <v>3</v>
      </c>
      <c r="D36" s="16">
        <v>1</v>
      </c>
      <c r="E36" s="17">
        <v>2200000</v>
      </c>
      <c r="F36" s="55">
        <f>D36*E36</f>
        <v>2200000</v>
      </c>
      <c r="G36" s="1075"/>
    </row>
    <row r="37" spans="1:7" s="2" customFormat="1" ht="15.75" customHeight="1">
      <c r="A37" s="947"/>
      <c r="B37" s="980"/>
      <c r="C37" s="16"/>
      <c r="D37" s="58"/>
      <c r="E37" s="17"/>
      <c r="F37" s="55"/>
      <c r="G37" s="57">
        <f>SUM(F35:F37)</f>
        <v>2200000</v>
      </c>
    </row>
    <row r="38" spans="1:7" s="2" customFormat="1" ht="15.75" customHeight="1">
      <c r="A38" s="1071" t="s">
        <v>15</v>
      </c>
      <c r="B38" s="1093"/>
      <c r="C38" s="1093"/>
      <c r="D38" s="1093"/>
      <c r="E38" s="1093"/>
      <c r="F38" s="1093"/>
      <c r="G38" s="1094"/>
    </row>
    <row r="39" spans="1:7" s="2" customFormat="1" ht="15.75" customHeight="1">
      <c r="A39" s="1074" t="s">
        <v>2</v>
      </c>
      <c r="B39" s="1092"/>
      <c r="C39" s="53" t="s">
        <v>3</v>
      </c>
      <c r="D39" s="53" t="s">
        <v>4</v>
      </c>
      <c r="E39" s="53" t="s">
        <v>6</v>
      </c>
      <c r="F39" s="53" t="s">
        <v>11</v>
      </c>
      <c r="G39" s="1075" t="s">
        <v>8</v>
      </c>
    </row>
    <row r="40" spans="1:7" s="2" customFormat="1" ht="15.75" customHeight="1">
      <c r="A40" s="943" t="s">
        <v>173</v>
      </c>
      <c r="B40" s="1078"/>
      <c r="C40" s="16" t="s">
        <v>3</v>
      </c>
      <c r="D40" s="54">
        <v>3.5000000000000003E-2</v>
      </c>
      <c r="E40" s="17">
        <f>G37</f>
        <v>2200000</v>
      </c>
      <c r="F40" s="55">
        <f>E40*D40</f>
        <v>77000.000000000015</v>
      </c>
      <c r="G40" s="1075"/>
    </row>
    <row r="41" spans="1:7" s="2" customFormat="1" ht="15.75" customHeight="1">
      <c r="A41" s="59"/>
      <c r="B41" s="60"/>
      <c r="C41" s="60"/>
      <c r="D41" s="60"/>
      <c r="E41" s="60"/>
      <c r="F41" s="60"/>
      <c r="G41" s="57">
        <f>SUM(F40:F41)</f>
        <v>77000.000000000015</v>
      </c>
    </row>
    <row r="42" spans="1:7" s="2" customFormat="1" ht="15.75" customHeight="1">
      <c r="A42" s="1071" t="s">
        <v>19</v>
      </c>
      <c r="B42" s="1093"/>
      <c r="C42" s="1093"/>
      <c r="D42" s="1093"/>
      <c r="E42" s="1093"/>
      <c r="F42" s="1093"/>
      <c r="G42" s="1094"/>
    </row>
    <row r="43" spans="1:7" s="2" customFormat="1" ht="15.75" customHeight="1">
      <c r="A43" s="1074" t="s">
        <v>2</v>
      </c>
      <c r="B43" s="1092"/>
      <c r="C43" s="53" t="s">
        <v>3</v>
      </c>
      <c r="D43" s="53" t="s">
        <v>4</v>
      </c>
      <c r="E43" s="53" t="s">
        <v>6</v>
      </c>
      <c r="F43" s="53" t="s">
        <v>11</v>
      </c>
      <c r="G43" s="456" t="s">
        <v>8</v>
      </c>
    </row>
    <row r="44" spans="1:7" s="2" customFormat="1" ht="15.75" customHeight="1">
      <c r="A44" s="978" t="str">
        <f>SALARIOS!$A$69</f>
        <v>CUADRILLA BB INSTALACIONES 1:1</v>
      </c>
      <c r="B44" s="979"/>
      <c r="C44" s="13" t="s">
        <v>1245</v>
      </c>
      <c r="D44" s="32">
        <v>1</v>
      </c>
      <c r="E44" s="13">
        <f>SALARIOS!$C$69</f>
        <v>27341</v>
      </c>
      <c r="F44" s="55">
        <f>+D44*E44</f>
        <v>27341</v>
      </c>
      <c r="G44" s="57">
        <f>SUM(F43:F44)</f>
        <v>27341</v>
      </c>
    </row>
    <row r="45" spans="1:7" s="2" customFormat="1" ht="15.75" customHeight="1">
      <c r="A45" s="1076" t="s">
        <v>25</v>
      </c>
      <c r="B45" s="1095"/>
      <c r="C45" s="1095"/>
      <c r="D45" s="1095"/>
      <c r="E45" s="1095"/>
      <c r="F45" s="1095"/>
      <c r="G45" s="1096"/>
    </row>
    <row r="46" spans="1:7" s="2" customFormat="1" ht="15.75" customHeight="1">
      <c r="A46" s="1077"/>
      <c r="B46" s="1097"/>
      <c r="C46" s="1097"/>
      <c r="D46" s="1097"/>
      <c r="E46" s="1097"/>
      <c r="F46" s="1097"/>
      <c r="G46" s="62">
        <f>G44+G41+G37+G33</f>
        <v>2305708.0499999998</v>
      </c>
    </row>
    <row r="47" spans="1:7" s="2" customFormat="1" ht="15.75" customHeight="1">
      <c r="A47" s="63"/>
      <c r="B47" s="42"/>
      <c r="C47" s="42"/>
      <c r="D47" s="42"/>
      <c r="E47" s="42"/>
      <c r="F47" s="42"/>
      <c r="G47" s="64"/>
    </row>
    <row r="48" spans="1:7" s="2" customFormat="1" ht="15.75" customHeight="1">
      <c r="A48" s="970" t="s">
        <v>1</v>
      </c>
      <c r="B48" s="957"/>
      <c r="C48" s="953" t="s">
        <v>0</v>
      </c>
      <c r="D48" s="954"/>
      <c r="E48" s="954"/>
      <c r="F48" s="954"/>
      <c r="G48" s="955"/>
    </row>
    <row r="49" spans="1:11" s="2" customFormat="1" ht="41.25" customHeight="1">
      <c r="A49" s="971"/>
      <c r="B49" s="957"/>
      <c r="C49" s="954"/>
      <c r="D49" s="954"/>
      <c r="E49" s="954"/>
      <c r="F49" s="954"/>
      <c r="G49" s="955"/>
    </row>
    <row r="50" spans="1:11" s="35" customFormat="1" ht="17.399999999999999">
      <c r="A50" s="971"/>
      <c r="B50" s="957"/>
      <c r="C50" s="956"/>
      <c r="D50" s="957"/>
      <c r="E50" s="957"/>
      <c r="F50" s="957"/>
      <c r="G50" s="958"/>
      <c r="H50" s="2"/>
      <c r="I50" s="2"/>
      <c r="J50" s="2"/>
      <c r="K50" s="2"/>
    </row>
    <row r="51" spans="1:11" s="2" customFormat="1" ht="15.75" customHeight="1">
      <c r="A51" s="971"/>
      <c r="B51" s="957"/>
      <c r="C51" s="959" t="s">
        <v>2</v>
      </c>
      <c r="D51" s="957"/>
      <c r="E51" s="957"/>
      <c r="F51" s="23" t="s">
        <v>3</v>
      </c>
      <c r="G51" s="24" t="s">
        <v>4</v>
      </c>
    </row>
    <row r="52" spans="1:11" s="2" customFormat="1" ht="130.5" customHeight="1">
      <c r="A52" s="1073" t="s">
        <v>461</v>
      </c>
      <c r="B52" s="944"/>
      <c r="C52" s="980" t="s">
        <v>462</v>
      </c>
      <c r="D52" s="944"/>
      <c r="E52" s="944"/>
      <c r="F52" s="51" t="s">
        <v>28</v>
      </c>
      <c r="G52" s="52">
        <v>1</v>
      </c>
    </row>
    <row r="53" spans="1:11" s="2" customFormat="1" ht="13.8">
      <c r="A53" s="1071" t="s">
        <v>5</v>
      </c>
      <c r="B53" s="944"/>
      <c r="C53" s="944"/>
      <c r="D53" s="944"/>
      <c r="E53" s="944"/>
      <c r="F53" s="944"/>
      <c r="G53" s="1072"/>
    </row>
    <row r="54" spans="1:11" s="2" customFormat="1" ht="15.75" customHeight="1">
      <c r="A54" s="1074" t="s">
        <v>2</v>
      </c>
      <c r="B54" s="1092"/>
      <c r="C54" s="53" t="s">
        <v>3</v>
      </c>
      <c r="D54" s="53" t="s">
        <v>4</v>
      </c>
      <c r="E54" s="53" t="s">
        <v>6</v>
      </c>
      <c r="F54" s="53" t="s">
        <v>7</v>
      </c>
      <c r="G54" s="61" t="s">
        <v>8</v>
      </c>
    </row>
    <row r="55" spans="1:11" s="2" customFormat="1" ht="15.75" customHeight="1">
      <c r="A55" s="1015" t="s">
        <v>9</v>
      </c>
      <c r="B55" s="1016"/>
      <c r="C55" s="51" t="s">
        <v>3</v>
      </c>
      <c r="D55" s="51">
        <v>0.05</v>
      </c>
      <c r="E55" s="133">
        <f>G66</f>
        <v>27341</v>
      </c>
      <c r="F55" s="55">
        <f>E55*D55</f>
        <v>1367.0500000000002</v>
      </c>
      <c r="G55" s="57">
        <f>SUM(F54:F55)</f>
        <v>1367.0500000000002</v>
      </c>
    </row>
    <row r="56" spans="1:11" s="2" customFormat="1" ht="15.75" customHeight="1">
      <c r="A56" s="1071" t="s">
        <v>10</v>
      </c>
      <c r="B56" s="1093"/>
      <c r="C56" s="1093"/>
      <c r="D56" s="1093"/>
      <c r="E56" s="1093"/>
      <c r="F56" s="1093"/>
      <c r="G56" s="1094"/>
    </row>
    <row r="57" spans="1:11" s="2" customFormat="1" ht="15.75" customHeight="1">
      <c r="A57" s="1074" t="s">
        <v>2</v>
      </c>
      <c r="B57" s="1092"/>
      <c r="C57" s="53" t="s">
        <v>3</v>
      </c>
      <c r="D57" s="53" t="s">
        <v>4</v>
      </c>
      <c r="E57" s="53" t="s">
        <v>6</v>
      </c>
      <c r="F57" s="53" t="s">
        <v>11</v>
      </c>
      <c r="G57" s="1075" t="s">
        <v>8</v>
      </c>
    </row>
    <row r="58" spans="1:11" s="2" customFormat="1" ht="125.25" customHeight="1">
      <c r="A58" s="947" t="s">
        <v>1565</v>
      </c>
      <c r="B58" s="980"/>
      <c r="C58" s="16" t="s">
        <v>3</v>
      </c>
      <c r="D58" s="16">
        <v>1</v>
      </c>
      <c r="E58" s="17">
        <v>2500000</v>
      </c>
      <c r="F58" s="55">
        <f>D58*E58</f>
        <v>2500000</v>
      </c>
      <c r="G58" s="1075"/>
    </row>
    <row r="59" spans="1:11" s="2" customFormat="1" ht="15.75" customHeight="1">
      <c r="A59" s="947"/>
      <c r="B59" s="980"/>
      <c r="C59" s="16"/>
      <c r="D59" s="58"/>
      <c r="E59" s="17"/>
      <c r="F59" s="55"/>
      <c r="G59" s="57">
        <f>SUM(F57:F59)</f>
        <v>2500000</v>
      </c>
    </row>
    <row r="60" spans="1:11" s="2" customFormat="1" ht="15.75" customHeight="1">
      <c r="A60" s="1071" t="s">
        <v>15</v>
      </c>
      <c r="B60" s="1093"/>
      <c r="C60" s="1093"/>
      <c r="D60" s="1093"/>
      <c r="E60" s="1093"/>
      <c r="F60" s="1093"/>
      <c r="G60" s="1094"/>
    </row>
    <row r="61" spans="1:11" s="2" customFormat="1" ht="15.75" customHeight="1">
      <c r="A61" s="1074" t="s">
        <v>2</v>
      </c>
      <c r="B61" s="1092"/>
      <c r="C61" s="53" t="s">
        <v>3</v>
      </c>
      <c r="D61" s="53" t="s">
        <v>4</v>
      </c>
      <c r="E61" s="53" t="s">
        <v>6</v>
      </c>
      <c r="F61" s="53" t="s">
        <v>11</v>
      </c>
      <c r="G61" s="1075" t="s">
        <v>8</v>
      </c>
    </row>
    <row r="62" spans="1:11" s="2" customFormat="1" ht="15.75" customHeight="1">
      <c r="A62" s="943" t="s">
        <v>173</v>
      </c>
      <c r="B62" s="1078"/>
      <c r="C62" s="16" t="s">
        <v>3</v>
      </c>
      <c r="D62" s="54">
        <v>3.5000000000000003E-2</v>
      </c>
      <c r="E62" s="17">
        <f>G59</f>
        <v>2500000</v>
      </c>
      <c r="F62" s="55">
        <f>E62*D62</f>
        <v>87500.000000000015</v>
      </c>
      <c r="G62" s="1075"/>
    </row>
    <row r="63" spans="1:11" s="2" customFormat="1" ht="15.75" customHeight="1">
      <c r="A63" s="59"/>
      <c r="B63" s="60"/>
      <c r="C63" s="60"/>
      <c r="D63" s="60"/>
      <c r="E63" s="60"/>
      <c r="F63" s="60"/>
      <c r="G63" s="57">
        <f>SUM(F62:F63)</f>
        <v>87500.000000000015</v>
      </c>
    </row>
    <row r="64" spans="1:11" s="2" customFormat="1" ht="15.75" customHeight="1">
      <c r="A64" s="1071" t="s">
        <v>19</v>
      </c>
      <c r="B64" s="1093"/>
      <c r="C64" s="1093"/>
      <c r="D64" s="1093"/>
      <c r="E64" s="1093"/>
      <c r="F64" s="1093"/>
      <c r="G64" s="1094"/>
    </row>
    <row r="65" spans="1:11" s="2" customFormat="1" ht="15.75" customHeight="1">
      <c r="A65" s="1074" t="s">
        <v>2</v>
      </c>
      <c r="B65" s="1092"/>
      <c r="C65" s="53" t="s">
        <v>3</v>
      </c>
      <c r="D65" s="53" t="s">
        <v>4</v>
      </c>
      <c r="E65" s="53" t="s">
        <v>6</v>
      </c>
      <c r="F65" s="53" t="s">
        <v>11</v>
      </c>
      <c r="G65" s="456" t="s">
        <v>8</v>
      </c>
    </row>
    <row r="66" spans="1:11" s="2" customFormat="1" ht="15.75" customHeight="1">
      <c r="A66" s="978" t="str">
        <f>SALARIOS!$A$69</f>
        <v>CUADRILLA BB INSTALACIONES 1:1</v>
      </c>
      <c r="B66" s="979"/>
      <c r="C66" s="13" t="s">
        <v>1245</v>
      </c>
      <c r="D66" s="32">
        <v>1</v>
      </c>
      <c r="E66" s="13">
        <f>SALARIOS!$C$69</f>
        <v>27341</v>
      </c>
      <c r="F66" s="55">
        <f>+D66*E66</f>
        <v>27341</v>
      </c>
      <c r="G66" s="57">
        <f>SUM(F65:F66)</f>
        <v>27341</v>
      </c>
    </row>
    <row r="67" spans="1:11" s="2" customFormat="1" ht="15.75" customHeight="1">
      <c r="A67" s="1076" t="s">
        <v>25</v>
      </c>
      <c r="B67" s="1095"/>
      <c r="C67" s="1095"/>
      <c r="D67" s="1095"/>
      <c r="E67" s="1095"/>
      <c r="F67" s="1095"/>
      <c r="G67" s="1096"/>
    </row>
    <row r="68" spans="1:11" s="2" customFormat="1" ht="15.75" customHeight="1">
      <c r="A68" s="1077"/>
      <c r="B68" s="1097"/>
      <c r="C68" s="1097"/>
      <c r="D68" s="1097"/>
      <c r="E68" s="1097"/>
      <c r="F68" s="1097"/>
      <c r="G68" s="62">
        <f>G66+G63+G59+G55</f>
        <v>2616208.0499999998</v>
      </c>
    </row>
    <row r="69" spans="1:11" s="2" customFormat="1" ht="15.75" customHeight="1">
      <c r="A69" s="63"/>
      <c r="B69" s="42"/>
      <c r="C69" s="42"/>
      <c r="D69" s="42"/>
      <c r="E69" s="42"/>
      <c r="F69" s="42"/>
      <c r="G69" s="64"/>
    </row>
    <row r="70" spans="1:11" s="2" customFormat="1" ht="15.75" customHeight="1">
      <c r="A70" s="970" t="s">
        <v>1</v>
      </c>
      <c r="B70" s="957"/>
      <c r="C70" s="953" t="s">
        <v>0</v>
      </c>
      <c r="D70" s="954"/>
      <c r="E70" s="954"/>
      <c r="F70" s="954"/>
      <c r="G70" s="955"/>
    </row>
    <row r="71" spans="1:11" s="2" customFormat="1" ht="60" customHeight="1">
      <c r="A71" s="971"/>
      <c r="B71" s="957"/>
      <c r="C71" s="954"/>
      <c r="D71" s="954"/>
      <c r="E71" s="954"/>
      <c r="F71" s="954"/>
      <c r="G71" s="955"/>
    </row>
    <row r="72" spans="1:11" s="35" customFormat="1" ht="17.399999999999999">
      <c r="A72" s="971"/>
      <c r="B72" s="957"/>
      <c r="C72" s="956"/>
      <c r="D72" s="957"/>
      <c r="E72" s="957"/>
      <c r="F72" s="957"/>
      <c r="G72" s="958"/>
      <c r="H72" s="2"/>
      <c r="I72" s="2"/>
      <c r="J72" s="2"/>
      <c r="K72" s="2"/>
    </row>
    <row r="73" spans="1:11" s="2" customFormat="1" ht="15.75" customHeight="1">
      <c r="A73" s="971"/>
      <c r="B73" s="957"/>
      <c r="C73" s="959" t="s">
        <v>2</v>
      </c>
      <c r="D73" s="957"/>
      <c r="E73" s="957"/>
      <c r="F73" s="23" t="s">
        <v>3</v>
      </c>
      <c r="G73" s="24" t="s">
        <v>4</v>
      </c>
    </row>
    <row r="74" spans="1:11" s="2" customFormat="1" ht="82.5" customHeight="1">
      <c r="A74" s="1073" t="s">
        <v>463</v>
      </c>
      <c r="B74" s="944"/>
      <c r="C74" s="980" t="s">
        <v>464</v>
      </c>
      <c r="D74" s="944"/>
      <c r="E74" s="944"/>
      <c r="F74" s="51" t="s">
        <v>28</v>
      </c>
      <c r="G74" s="52">
        <v>10</v>
      </c>
    </row>
    <row r="75" spans="1:11" s="2" customFormat="1" ht="13.8">
      <c r="A75" s="1071" t="s">
        <v>5</v>
      </c>
      <c r="B75" s="944"/>
      <c r="C75" s="944"/>
      <c r="D75" s="944"/>
      <c r="E75" s="944"/>
      <c r="F75" s="944"/>
      <c r="G75" s="1072"/>
    </row>
    <row r="76" spans="1:11" s="2" customFormat="1" ht="15.75" customHeight="1">
      <c r="A76" s="1074" t="s">
        <v>2</v>
      </c>
      <c r="B76" s="1092"/>
      <c r="C76" s="53" t="s">
        <v>3</v>
      </c>
      <c r="D76" s="53" t="s">
        <v>4</v>
      </c>
      <c r="E76" s="53" t="s">
        <v>6</v>
      </c>
      <c r="F76" s="53" t="s">
        <v>7</v>
      </c>
      <c r="G76" s="61" t="s">
        <v>8</v>
      </c>
    </row>
    <row r="77" spans="1:11" s="2" customFormat="1" ht="15.75" customHeight="1">
      <c r="A77" s="1015" t="s">
        <v>9</v>
      </c>
      <c r="B77" s="1016"/>
      <c r="C77" s="51" t="s">
        <v>3</v>
      </c>
      <c r="D77" s="51">
        <v>0.05</v>
      </c>
      <c r="E77" s="133">
        <f>G88</f>
        <v>27341</v>
      </c>
      <c r="F77" s="55">
        <f>E77*D77</f>
        <v>1367.0500000000002</v>
      </c>
      <c r="G77" s="57">
        <f>SUM(F76:F77)</f>
        <v>1367.0500000000002</v>
      </c>
    </row>
    <row r="78" spans="1:11" s="2" customFormat="1" ht="15.75" customHeight="1">
      <c r="A78" s="1071" t="s">
        <v>10</v>
      </c>
      <c r="B78" s="1093"/>
      <c r="C78" s="1093"/>
      <c r="D78" s="1093"/>
      <c r="E78" s="1093"/>
      <c r="F78" s="1093"/>
      <c r="G78" s="1094"/>
    </row>
    <row r="79" spans="1:11" s="2" customFormat="1" ht="15.75" customHeight="1">
      <c r="A79" s="1074" t="s">
        <v>2</v>
      </c>
      <c r="B79" s="1092"/>
      <c r="C79" s="53" t="s">
        <v>3</v>
      </c>
      <c r="D79" s="53" t="s">
        <v>4</v>
      </c>
      <c r="E79" s="53" t="s">
        <v>6</v>
      </c>
      <c r="F79" s="53" t="s">
        <v>11</v>
      </c>
      <c r="G79" s="1075" t="s">
        <v>8</v>
      </c>
    </row>
    <row r="80" spans="1:11" s="2" customFormat="1" ht="122.25" customHeight="1">
      <c r="A80" s="947" t="s">
        <v>1566</v>
      </c>
      <c r="B80" s="980"/>
      <c r="C80" s="16" t="s">
        <v>3</v>
      </c>
      <c r="D80" s="16">
        <v>1</v>
      </c>
      <c r="E80" s="17">
        <v>3100000</v>
      </c>
      <c r="F80" s="55">
        <f>D80*E80</f>
        <v>3100000</v>
      </c>
      <c r="G80" s="1075"/>
    </row>
    <row r="81" spans="1:11" s="2" customFormat="1" ht="15.75" customHeight="1">
      <c r="A81" s="947"/>
      <c r="B81" s="980"/>
      <c r="C81" s="16"/>
      <c r="D81" s="58"/>
      <c r="E81" s="17"/>
      <c r="F81" s="55"/>
      <c r="G81" s="57">
        <f>SUM(F79:F81)</f>
        <v>3100000</v>
      </c>
    </row>
    <row r="82" spans="1:11" s="2" customFormat="1" ht="15.75" customHeight="1">
      <c r="A82" s="1071" t="s">
        <v>15</v>
      </c>
      <c r="B82" s="1093"/>
      <c r="C82" s="1093"/>
      <c r="D82" s="1093"/>
      <c r="E82" s="1093"/>
      <c r="F82" s="1093"/>
      <c r="G82" s="1094"/>
    </row>
    <row r="83" spans="1:11" s="2" customFormat="1" ht="15.75" customHeight="1">
      <c r="A83" s="1074" t="s">
        <v>2</v>
      </c>
      <c r="B83" s="1092"/>
      <c r="C83" s="53" t="s">
        <v>3</v>
      </c>
      <c r="D83" s="53" t="s">
        <v>4</v>
      </c>
      <c r="E83" s="53" t="s">
        <v>6</v>
      </c>
      <c r="F83" s="53" t="s">
        <v>11</v>
      </c>
      <c r="G83" s="1075" t="s">
        <v>8</v>
      </c>
    </row>
    <row r="84" spans="1:11" s="2" customFormat="1" ht="15.75" customHeight="1">
      <c r="A84" s="943" t="s">
        <v>173</v>
      </c>
      <c r="B84" s="1078"/>
      <c r="C84" s="16" t="s">
        <v>3</v>
      </c>
      <c r="D84" s="54">
        <v>3.5000000000000003E-2</v>
      </c>
      <c r="E84" s="17">
        <f>G81</f>
        <v>3100000</v>
      </c>
      <c r="F84" s="55">
        <f>E84*D84</f>
        <v>108500.00000000001</v>
      </c>
      <c r="G84" s="1075"/>
    </row>
    <row r="85" spans="1:11" s="2" customFormat="1" ht="15.75" customHeight="1">
      <c r="A85" s="59"/>
      <c r="B85" s="60"/>
      <c r="C85" s="60"/>
      <c r="D85" s="60"/>
      <c r="E85" s="60"/>
      <c r="F85" s="60"/>
      <c r="G85" s="57">
        <f>SUM(F84:F85)</f>
        <v>108500.00000000001</v>
      </c>
    </row>
    <row r="86" spans="1:11" s="2" customFormat="1" ht="15.75" customHeight="1">
      <c r="A86" s="1071" t="s">
        <v>19</v>
      </c>
      <c r="B86" s="1093"/>
      <c r="C86" s="1093"/>
      <c r="D86" s="1093"/>
      <c r="E86" s="1093"/>
      <c r="F86" s="1093"/>
      <c r="G86" s="1094"/>
    </row>
    <row r="87" spans="1:11" s="2" customFormat="1" ht="15.75" customHeight="1">
      <c r="A87" s="1074" t="s">
        <v>2</v>
      </c>
      <c r="B87" s="1092"/>
      <c r="C87" s="53" t="s">
        <v>3</v>
      </c>
      <c r="D87" s="53" t="s">
        <v>4</v>
      </c>
      <c r="E87" s="53" t="s">
        <v>6</v>
      </c>
      <c r="F87" s="53" t="s">
        <v>11</v>
      </c>
      <c r="G87" s="456" t="s">
        <v>8</v>
      </c>
    </row>
    <row r="88" spans="1:11" s="2" customFormat="1" ht="15.75" customHeight="1">
      <c r="A88" s="978" t="str">
        <f>SALARIOS!$A$69</f>
        <v>CUADRILLA BB INSTALACIONES 1:1</v>
      </c>
      <c r="B88" s="979"/>
      <c r="C88" s="13" t="s">
        <v>1245</v>
      </c>
      <c r="D88" s="32">
        <v>1</v>
      </c>
      <c r="E88" s="13">
        <f>SALARIOS!$C$69</f>
        <v>27341</v>
      </c>
      <c r="F88" s="55">
        <f>+D88*E88</f>
        <v>27341</v>
      </c>
      <c r="G88" s="57">
        <f>SUM(F87:F88)</f>
        <v>27341</v>
      </c>
    </row>
    <row r="89" spans="1:11" s="2" customFormat="1" ht="15.75" customHeight="1">
      <c r="A89" s="1076" t="s">
        <v>25</v>
      </c>
      <c r="B89" s="1095"/>
      <c r="C89" s="1095"/>
      <c r="D89" s="1095"/>
      <c r="E89" s="1095"/>
      <c r="F89" s="1095"/>
      <c r="G89" s="1096"/>
    </row>
    <row r="90" spans="1:11" s="2" customFormat="1" ht="15.75" customHeight="1">
      <c r="A90" s="1077"/>
      <c r="B90" s="1097"/>
      <c r="C90" s="1097"/>
      <c r="D90" s="1097"/>
      <c r="E90" s="1097"/>
      <c r="F90" s="1097"/>
      <c r="G90" s="62">
        <f>G88+G85+G81+G77</f>
        <v>3237208.05</v>
      </c>
    </row>
    <row r="91" spans="1:11" s="2" customFormat="1" ht="15.75" customHeight="1">
      <c r="A91" s="63"/>
      <c r="B91" s="42"/>
      <c r="C91" s="42"/>
      <c r="D91" s="42"/>
      <c r="E91" s="42"/>
      <c r="F91" s="42"/>
      <c r="G91" s="64"/>
    </row>
    <row r="92" spans="1:11" s="2" customFormat="1" ht="15.75" customHeight="1">
      <c r="A92" s="970" t="s">
        <v>1</v>
      </c>
      <c r="B92" s="957"/>
      <c r="C92" s="953" t="s">
        <v>0</v>
      </c>
      <c r="D92" s="954"/>
      <c r="E92" s="954"/>
      <c r="F92" s="954"/>
      <c r="G92" s="955"/>
    </row>
    <row r="93" spans="1:11" s="2" customFormat="1" ht="54" customHeight="1">
      <c r="A93" s="971"/>
      <c r="B93" s="957"/>
      <c r="C93" s="954"/>
      <c r="D93" s="954"/>
      <c r="E93" s="954"/>
      <c r="F93" s="954"/>
      <c r="G93" s="955"/>
    </row>
    <row r="94" spans="1:11" s="35" customFormat="1" ht="17.399999999999999">
      <c r="A94" s="971"/>
      <c r="B94" s="957"/>
      <c r="C94" s="956"/>
      <c r="D94" s="957"/>
      <c r="E94" s="957"/>
      <c r="F94" s="957"/>
      <c r="G94" s="958"/>
      <c r="H94" s="2"/>
      <c r="I94" s="2"/>
      <c r="J94" s="2"/>
      <c r="K94" s="2"/>
    </row>
    <row r="95" spans="1:11" s="2" customFormat="1" ht="15.75" customHeight="1">
      <c r="A95" s="971"/>
      <c r="B95" s="957"/>
      <c r="C95" s="959" t="s">
        <v>2</v>
      </c>
      <c r="D95" s="957"/>
      <c r="E95" s="957"/>
      <c r="F95" s="23" t="s">
        <v>3</v>
      </c>
      <c r="G95" s="24" t="s">
        <v>4</v>
      </c>
    </row>
    <row r="96" spans="1:11" s="2" customFormat="1" ht="126.75" customHeight="1">
      <c r="A96" s="1073" t="s">
        <v>465</v>
      </c>
      <c r="B96" s="944"/>
      <c r="C96" s="980" t="s">
        <v>466</v>
      </c>
      <c r="D96" s="944"/>
      <c r="E96" s="944"/>
      <c r="F96" s="51" t="s">
        <v>28</v>
      </c>
      <c r="G96" s="52">
        <v>2</v>
      </c>
    </row>
    <row r="97" spans="1:7" s="2" customFormat="1" ht="13.8">
      <c r="A97" s="1071" t="s">
        <v>5</v>
      </c>
      <c r="B97" s="944"/>
      <c r="C97" s="944"/>
      <c r="D97" s="944"/>
      <c r="E97" s="944"/>
      <c r="F97" s="944"/>
      <c r="G97" s="1072"/>
    </row>
    <row r="98" spans="1:7" s="2" customFormat="1" ht="15.75" customHeight="1">
      <c r="A98" s="1074" t="s">
        <v>2</v>
      </c>
      <c r="B98" s="1092"/>
      <c r="C98" s="53" t="s">
        <v>3</v>
      </c>
      <c r="D98" s="53" t="s">
        <v>4</v>
      </c>
      <c r="E98" s="53" t="s">
        <v>6</v>
      </c>
      <c r="F98" s="53" t="s">
        <v>7</v>
      </c>
      <c r="G98" s="61" t="s">
        <v>8</v>
      </c>
    </row>
    <row r="99" spans="1:7" s="2" customFormat="1" ht="15.75" customHeight="1">
      <c r="A99" s="1015" t="s">
        <v>9</v>
      </c>
      <c r="B99" s="1016"/>
      <c r="C99" s="51" t="s">
        <v>3</v>
      </c>
      <c r="D99" s="51">
        <v>0.05</v>
      </c>
      <c r="E99" s="133">
        <f>G110</f>
        <v>27341</v>
      </c>
      <c r="F99" s="55">
        <f>E99*D99</f>
        <v>1367.0500000000002</v>
      </c>
      <c r="G99" s="57">
        <f>SUM(F98:F99)</f>
        <v>1367.0500000000002</v>
      </c>
    </row>
    <row r="100" spans="1:7" s="2" customFormat="1" ht="15.75" customHeight="1">
      <c r="A100" s="1071" t="s">
        <v>10</v>
      </c>
      <c r="B100" s="1093"/>
      <c r="C100" s="1093"/>
      <c r="D100" s="1093"/>
      <c r="E100" s="1093"/>
      <c r="F100" s="1093"/>
      <c r="G100" s="1094"/>
    </row>
    <row r="101" spans="1:7" s="2" customFormat="1" ht="15.75" customHeight="1">
      <c r="A101" s="1074" t="s">
        <v>2</v>
      </c>
      <c r="B101" s="1092"/>
      <c r="C101" s="53" t="s">
        <v>3</v>
      </c>
      <c r="D101" s="53" t="s">
        <v>4</v>
      </c>
      <c r="E101" s="53" t="s">
        <v>6</v>
      </c>
      <c r="F101" s="53" t="s">
        <v>11</v>
      </c>
      <c r="G101" s="1075" t="s">
        <v>8</v>
      </c>
    </row>
    <row r="102" spans="1:7" s="2" customFormat="1" ht="123.75" customHeight="1">
      <c r="A102" s="947" t="s">
        <v>1567</v>
      </c>
      <c r="B102" s="980"/>
      <c r="C102" s="16" t="s">
        <v>3</v>
      </c>
      <c r="D102" s="16">
        <v>1</v>
      </c>
      <c r="E102" s="17">
        <v>3900000</v>
      </c>
      <c r="F102" s="55">
        <f>D102*E102</f>
        <v>3900000</v>
      </c>
      <c r="G102" s="1075"/>
    </row>
    <row r="103" spans="1:7" s="2" customFormat="1" ht="15.75" customHeight="1">
      <c r="A103" s="947"/>
      <c r="B103" s="980"/>
      <c r="C103" s="16"/>
      <c r="D103" s="58"/>
      <c r="E103" s="17"/>
      <c r="F103" s="55"/>
      <c r="G103" s="57">
        <f>SUM(F101:F103)</f>
        <v>3900000</v>
      </c>
    </row>
    <row r="104" spans="1:7" s="2" customFormat="1" ht="15.75" customHeight="1">
      <c r="A104" s="1071" t="s">
        <v>15</v>
      </c>
      <c r="B104" s="1093"/>
      <c r="C104" s="1093"/>
      <c r="D104" s="1093"/>
      <c r="E104" s="1093"/>
      <c r="F104" s="1093"/>
      <c r="G104" s="1094"/>
    </row>
    <row r="105" spans="1:7" s="2" customFormat="1" ht="15.75" customHeight="1">
      <c r="A105" s="1074" t="s">
        <v>2</v>
      </c>
      <c r="B105" s="1092"/>
      <c r="C105" s="53" t="s">
        <v>3</v>
      </c>
      <c r="D105" s="53" t="s">
        <v>4</v>
      </c>
      <c r="E105" s="53" t="s">
        <v>6</v>
      </c>
      <c r="F105" s="53" t="s">
        <v>11</v>
      </c>
      <c r="G105" s="1075" t="s">
        <v>8</v>
      </c>
    </row>
    <row r="106" spans="1:7" s="2" customFormat="1" ht="15.75" customHeight="1">
      <c r="A106" s="943" t="s">
        <v>173</v>
      </c>
      <c r="B106" s="1078"/>
      <c r="C106" s="16" t="s">
        <v>3</v>
      </c>
      <c r="D106" s="54">
        <v>3.5000000000000003E-2</v>
      </c>
      <c r="E106" s="17">
        <f>G103</f>
        <v>3900000</v>
      </c>
      <c r="F106" s="55">
        <f>E106*D106</f>
        <v>136500</v>
      </c>
      <c r="G106" s="1075"/>
    </row>
    <row r="107" spans="1:7" s="2" customFormat="1" ht="15.75" customHeight="1">
      <c r="A107" s="59"/>
      <c r="B107" s="60"/>
      <c r="C107" s="60"/>
      <c r="D107" s="60"/>
      <c r="E107" s="60"/>
      <c r="F107" s="60"/>
      <c r="G107" s="57">
        <f>SUM(F106:F107)</f>
        <v>136500</v>
      </c>
    </row>
    <row r="108" spans="1:7" s="2" customFormat="1" ht="15.75" customHeight="1">
      <c r="A108" s="1071" t="s">
        <v>19</v>
      </c>
      <c r="B108" s="1093"/>
      <c r="C108" s="1093"/>
      <c r="D108" s="1093"/>
      <c r="E108" s="1093"/>
      <c r="F108" s="1093"/>
      <c r="G108" s="1094"/>
    </row>
    <row r="109" spans="1:7" s="2" customFormat="1" ht="15.75" customHeight="1">
      <c r="A109" s="1074" t="s">
        <v>2</v>
      </c>
      <c r="B109" s="1092"/>
      <c r="C109" s="53" t="s">
        <v>3</v>
      </c>
      <c r="D109" s="53" t="s">
        <v>4</v>
      </c>
      <c r="E109" s="53" t="s">
        <v>6</v>
      </c>
      <c r="F109" s="53" t="s">
        <v>11</v>
      </c>
      <c r="G109" s="456" t="s">
        <v>8</v>
      </c>
    </row>
    <row r="110" spans="1:7" s="2" customFormat="1" ht="15.75" customHeight="1">
      <c r="A110" s="978" t="str">
        <f>SALARIOS!$A$69</f>
        <v>CUADRILLA BB INSTALACIONES 1:1</v>
      </c>
      <c r="B110" s="979"/>
      <c r="C110" s="13" t="s">
        <v>1245</v>
      </c>
      <c r="D110" s="32">
        <v>1</v>
      </c>
      <c r="E110" s="13">
        <f>SALARIOS!$C$69</f>
        <v>27341</v>
      </c>
      <c r="F110" s="55">
        <f>+D110*E110</f>
        <v>27341</v>
      </c>
      <c r="G110" s="57">
        <f>SUM(F109:F110)</f>
        <v>27341</v>
      </c>
    </row>
    <row r="111" spans="1:7" s="2" customFormat="1" ht="15.75" customHeight="1">
      <c r="A111" s="1076" t="s">
        <v>25</v>
      </c>
      <c r="B111" s="1095"/>
      <c r="C111" s="1095"/>
      <c r="D111" s="1095"/>
      <c r="E111" s="1095"/>
      <c r="F111" s="1095"/>
      <c r="G111" s="1096"/>
    </row>
    <row r="112" spans="1:7" s="2" customFormat="1" ht="15.75" customHeight="1">
      <c r="A112" s="1077"/>
      <c r="B112" s="1097"/>
      <c r="C112" s="1097"/>
      <c r="D112" s="1097"/>
      <c r="E112" s="1097"/>
      <c r="F112" s="1097"/>
      <c r="G112" s="62">
        <f>G110+G107+G103+G99</f>
        <v>4065208.05</v>
      </c>
    </row>
    <row r="113" spans="1:11" s="2" customFormat="1" ht="15.75" customHeight="1">
      <c r="A113" s="63"/>
      <c r="B113" s="42"/>
      <c r="C113" s="42"/>
      <c r="D113" s="42"/>
      <c r="E113" s="42"/>
      <c r="F113" s="42"/>
      <c r="G113" s="64"/>
    </row>
    <row r="114" spans="1:11" s="2" customFormat="1" ht="15.75" customHeight="1">
      <c r="A114" s="970" t="s">
        <v>1</v>
      </c>
      <c r="B114" s="957"/>
      <c r="C114" s="953" t="s">
        <v>0</v>
      </c>
      <c r="D114" s="954"/>
      <c r="E114" s="954"/>
      <c r="F114" s="954"/>
      <c r="G114" s="955"/>
    </row>
    <row r="115" spans="1:11" s="2" customFormat="1" ht="54" customHeight="1">
      <c r="A115" s="971"/>
      <c r="B115" s="957"/>
      <c r="C115" s="954"/>
      <c r="D115" s="954"/>
      <c r="E115" s="954"/>
      <c r="F115" s="954"/>
      <c r="G115" s="955"/>
    </row>
    <row r="116" spans="1:11" s="35" customFormat="1" ht="17.399999999999999">
      <c r="A116" s="971"/>
      <c r="B116" s="957"/>
      <c r="C116" s="956"/>
      <c r="D116" s="957"/>
      <c r="E116" s="957"/>
      <c r="F116" s="957"/>
      <c r="G116" s="958"/>
      <c r="H116" s="2"/>
      <c r="I116" s="2"/>
      <c r="J116" s="2"/>
      <c r="K116" s="2"/>
    </row>
    <row r="117" spans="1:11" s="2" customFormat="1" ht="13.8">
      <c r="A117" s="971"/>
      <c r="B117" s="957"/>
      <c r="C117" s="959" t="s">
        <v>2</v>
      </c>
      <c r="D117" s="957"/>
      <c r="E117" s="957"/>
      <c r="F117" s="23" t="s">
        <v>3</v>
      </c>
      <c r="G117" s="24" t="s">
        <v>4</v>
      </c>
    </row>
    <row r="118" spans="1:11" s="2" customFormat="1" ht="122.25" customHeight="1">
      <c r="A118" s="1073" t="s">
        <v>467</v>
      </c>
      <c r="B118" s="944"/>
      <c r="C118" s="980" t="s">
        <v>468</v>
      </c>
      <c r="D118" s="944"/>
      <c r="E118" s="944"/>
      <c r="F118" s="51" t="s">
        <v>28</v>
      </c>
      <c r="G118" s="52">
        <v>2</v>
      </c>
    </row>
    <row r="119" spans="1:11" s="2" customFormat="1" ht="13.8">
      <c r="A119" s="1071" t="s">
        <v>5</v>
      </c>
      <c r="B119" s="944"/>
      <c r="C119" s="944"/>
      <c r="D119" s="944"/>
      <c r="E119" s="944"/>
      <c r="F119" s="944"/>
      <c r="G119" s="1072"/>
    </row>
    <row r="120" spans="1:11" s="2" customFormat="1" ht="15.75" customHeight="1">
      <c r="A120" s="1074" t="s">
        <v>2</v>
      </c>
      <c r="B120" s="1092"/>
      <c r="C120" s="53" t="s">
        <v>3</v>
      </c>
      <c r="D120" s="53" t="s">
        <v>4</v>
      </c>
      <c r="E120" s="53" t="s">
        <v>6</v>
      </c>
      <c r="F120" s="53" t="s">
        <v>7</v>
      </c>
      <c r="G120" s="61" t="s">
        <v>8</v>
      </c>
    </row>
    <row r="121" spans="1:11" s="2" customFormat="1" ht="15.75" customHeight="1">
      <c r="A121" s="1015" t="s">
        <v>9</v>
      </c>
      <c r="B121" s="1016"/>
      <c r="C121" s="51" t="s">
        <v>3</v>
      </c>
      <c r="D121" s="51">
        <v>0.05</v>
      </c>
      <c r="E121" s="133">
        <f>G132</f>
        <v>27341</v>
      </c>
      <c r="F121" s="55">
        <f>E121*D121</f>
        <v>1367.0500000000002</v>
      </c>
      <c r="G121" s="57">
        <f>SUM(F120:F121)</f>
        <v>1367.0500000000002</v>
      </c>
    </row>
    <row r="122" spans="1:11" s="2" customFormat="1" ht="15.75" customHeight="1">
      <c r="A122" s="1071" t="s">
        <v>10</v>
      </c>
      <c r="B122" s="1093"/>
      <c r="C122" s="1093"/>
      <c r="D122" s="1093"/>
      <c r="E122" s="1093"/>
      <c r="F122" s="1093"/>
      <c r="G122" s="1094"/>
    </row>
    <row r="123" spans="1:11" s="2" customFormat="1" ht="15.75" customHeight="1">
      <c r="A123" s="1074" t="s">
        <v>2</v>
      </c>
      <c r="B123" s="1092"/>
      <c r="C123" s="53" t="s">
        <v>3</v>
      </c>
      <c r="D123" s="53" t="s">
        <v>4</v>
      </c>
      <c r="E123" s="53" t="s">
        <v>6</v>
      </c>
      <c r="F123" s="53" t="s">
        <v>11</v>
      </c>
      <c r="G123" s="1075" t="s">
        <v>8</v>
      </c>
    </row>
    <row r="124" spans="1:11" s="2" customFormat="1" ht="127.5" customHeight="1">
      <c r="A124" s="947" t="s">
        <v>1568</v>
      </c>
      <c r="B124" s="980"/>
      <c r="C124" s="16" t="s">
        <v>3</v>
      </c>
      <c r="D124" s="16">
        <v>1</v>
      </c>
      <c r="E124" s="17">
        <v>4000000</v>
      </c>
      <c r="F124" s="55">
        <f>D124*E124</f>
        <v>4000000</v>
      </c>
      <c r="G124" s="1075"/>
    </row>
    <row r="125" spans="1:11" s="2" customFormat="1" ht="15.75" customHeight="1">
      <c r="A125" s="947"/>
      <c r="B125" s="980"/>
      <c r="C125" s="16"/>
      <c r="D125" s="58"/>
      <c r="E125" s="17"/>
      <c r="F125" s="55"/>
      <c r="G125" s="57">
        <f>SUM(F123:F125)</f>
        <v>4000000</v>
      </c>
    </row>
    <row r="126" spans="1:11" s="2" customFormat="1" ht="15.75" customHeight="1">
      <c r="A126" s="1071" t="s">
        <v>15</v>
      </c>
      <c r="B126" s="1093"/>
      <c r="C126" s="1093"/>
      <c r="D126" s="1093"/>
      <c r="E126" s="1093"/>
      <c r="F126" s="1093"/>
      <c r="G126" s="1094"/>
    </row>
    <row r="127" spans="1:11" s="2" customFormat="1" ht="15.75" customHeight="1">
      <c r="A127" s="1074" t="s">
        <v>2</v>
      </c>
      <c r="B127" s="1092"/>
      <c r="C127" s="53" t="s">
        <v>3</v>
      </c>
      <c r="D127" s="53" t="s">
        <v>4</v>
      </c>
      <c r="E127" s="53" t="s">
        <v>6</v>
      </c>
      <c r="F127" s="53" t="s">
        <v>11</v>
      </c>
      <c r="G127" s="1075" t="s">
        <v>8</v>
      </c>
    </row>
    <row r="128" spans="1:11" s="2" customFormat="1" ht="15.75" customHeight="1">
      <c r="A128" s="943" t="s">
        <v>173</v>
      </c>
      <c r="B128" s="1078"/>
      <c r="C128" s="16" t="s">
        <v>3</v>
      </c>
      <c r="D128" s="54">
        <v>3.5000000000000003E-2</v>
      </c>
      <c r="E128" s="17">
        <f>G125</f>
        <v>4000000</v>
      </c>
      <c r="F128" s="55">
        <f>E128*D128</f>
        <v>140000</v>
      </c>
      <c r="G128" s="1075"/>
    </row>
    <row r="129" spans="1:11" s="2" customFormat="1" ht="15.75" customHeight="1">
      <c r="A129" s="59"/>
      <c r="B129" s="60"/>
      <c r="C129" s="60"/>
      <c r="D129" s="60"/>
      <c r="E129" s="60"/>
      <c r="F129" s="60"/>
      <c r="G129" s="57">
        <f>SUM(F128:F129)</f>
        <v>140000</v>
      </c>
    </row>
    <row r="130" spans="1:11" s="2" customFormat="1" ht="15.75" customHeight="1">
      <c r="A130" s="1071" t="s">
        <v>19</v>
      </c>
      <c r="B130" s="1093"/>
      <c r="C130" s="1093"/>
      <c r="D130" s="1093"/>
      <c r="E130" s="1093"/>
      <c r="F130" s="1093"/>
      <c r="G130" s="1094"/>
    </row>
    <row r="131" spans="1:11" s="2" customFormat="1" ht="15.75" customHeight="1">
      <c r="A131" s="1074" t="s">
        <v>2</v>
      </c>
      <c r="B131" s="1092"/>
      <c r="C131" s="53" t="s">
        <v>3</v>
      </c>
      <c r="D131" s="53" t="s">
        <v>4</v>
      </c>
      <c r="E131" s="53" t="s">
        <v>6</v>
      </c>
      <c r="F131" s="53" t="s">
        <v>11</v>
      </c>
      <c r="G131" s="456" t="s">
        <v>8</v>
      </c>
    </row>
    <row r="132" spans="1:11" s="2" customFormat="1" ht="15.75" customHeight="1">
      <c r="A132" s="978" t="str">
        <f>SALARIOS!$A$69</f>
        <v>CUADRILLA BB INSTALACIONES 1:1</v>
      </c>
      <c r="B132" s="979"/>
      <c r="C132" s="13" t="s">
        <v>1245</v>
      </c>
      <c r="D132" s="32">
        <v>1</v>
      </c>
      <c r="E132" s="13">
        <f>SALARIOS!$C$69</f>
        <v>27341</v>
      </c>
      <c r="F132" s="55">
        <f>+D132*E132</f>
        <v>27341</v>
      </c>
      <c r="G132" s="57">
        <f>SUM(F131:F132)</f>
        <v>27341</v>
      </c>
    </row>
    <row r="133" spans="1:11" s="2" customFormat="1" ht="15.75" customHeight="1">
      <c r="A133" s="1076" t="s">
        <v>25</v>
      </c>
      <c r="B133" s="1095"/>
      <c r="C133" s="1095"/>
      <c r="D133" s="1095"/>
      <c r="E133" s="1095"/>
      <c r="F133" s="1095"/>
      <c r="G133" s="1096"/>
    </row>
    <row r="134" spans="1:11" s="2" customFormat="1" ht="15.75" customHeight="1">
      <c r="A134" s="1077"/>
      <c r="B134" s="1097"/>
      <c r="C134" s="1097"/>
      <c r="D134" s="1097"/>
      <c r="E134" s="1097"/>
      <c r="F134" s="1097"/>
      <c r="G134" s="62">
        <f>G132+G129+G125+G121</f>
        <v>4168708.05</v>
      </c>
    </row>
    <row r="135" spans="1:11" s="2" customFormat="1" ht="15.75" customHeight="1">
      <c r="A135" s="63"/>
      <c r="B135" s="42"/>
      <c r="C135" s="42"/>
      <c r="D135" s="42"/>
      <c r="E135" s="42"/>
      <c r="F135" s="42"/>
      <c r="G135" s="64"/>
    </row>
    <row r="136" spans="1:11" s="2" customFormat="1" ht="15.75" customHeight="1">
      <c r="A136" s="970" t="s">
        <v>1</v>
      </c>
      <c r="B136" s="957"/>
      <c r="C136" s="953" t="s">
        <v>0</v>
      </c>
      <c r="D136" s="954"/>
      <c r="E136" s="954"/>
      <c r="F136" s="954"/>
      <c r="G136" s="955"/>
    </row>
    <row r="137" spans="1:11" s="2" customFormat="1" ht="54" customHeight="1">
      <c r="A137" s="971"/>
      <c r="B137" s="957"/>
      <c r="C137" s="954"/>
      <c r="D137" s="954"/>
      <c r="E137" s="954"/>
      <c r="F137" s="954"/>
      <c r="G137" s="955"/>
    </row>
    <row r="138" spans="1:11" s="35" customFormat="1" ht="17.399999999999999">
      <c r="A138" s="971"/>
      <c r="B138" s="957"/>
      <c r="C138" s="956"/>
      <c r="D138" s="957"/>
      <c r="E138" s="957"/>
      <c r="F138" s="957"/>
      <c r="G138" s="958"/>
      <c r="H138" s="2"/>
      <c r="I138" s="2"/>
      <c r="J138" s="2"/>
      <c r="K138" s="2"/>
    </row>
    <row r="139" spans="1:11" s="2" customFormat="1" ht="15.75" customHeight="1">
      <c r="A139" s="971"/>
      <c r="B139" s="957"/>
      <c r="C139" s="959" t="s">
        <v>2</v>
      </c>
      <c r="D139" s="957"/>
      <c r="E139" s="957"/>
      <c r="F139" s="23" t="s">
        <v>3</v>
      </c>
      <c r="G139" s="24" t="s">
        <v>4</v>
      </c>
    </row>
    <row r="140" spans="1:11" s="2" customFormat="1" ht="138" customHeight="1">
      <c r="A140" s="1073" t="s">
        <v>469</v>
      </c>
      <c r="B140" s="944"/>
      <c r="C140" s="980" t="s">
        <v>470</v>
      </c>
      <c r="D140" s="944"/>
      <c r="E140" s="944"/>
      <c r="F140" s="51" t="s">
        <v>28</v>
      </c>
      <c r="G140" s="52">
        <v>3</v>
      </c>
    </row>
    <row r="141" spans="1:11" s="2" customFormat="1" ht="13.8">
      <c r="A141" s="1071" t="s">
        <v>5</v>
      </c>
      <c r="B141" s="944"/>
      <c r="C141" s="944"/>
      <c r="D141" s="944"/>
      <c r="E141" s="944"/>
      <c r="F141" s="944"/>
      <c r="G141" s="1072"/>
    </row>
    <row r="142" spans="1:11" s="2" customFormat="1" ht="15.75" customHeight="1">
      <c r="A142" s="1074" t="s">
        <v>2</v>
      </c>
      <c r="B142" s="1092"/>
      <c r="C142" s="53" t="s">
        <v>3</v>
      </c>
      <c r="D142" s="53" t="s">
        <v>4</v>
      </c>
      <c r="E142" s="53" t="s">
        <v>6</v>
      </c>
      <c r="F142" s="53" t="s">
        <v>7</v>
      </c>
      <c r="G142" s="61" t="s">
        <v>8</v>
      </c>
    </row>
    <row r="143" spans="1:11" s="2" customFormat="1" ht="15.75" customHeight="1">
      <c r="A143" s="1015" t="s">
        <v>9</v>
      </c>
      <c r="B143" s="1016"/>
      <c r="C143" s="51" t="s">
        <v>3</v>
      </c>
      <c r="D143" s="51">
        <v>0.05</v>
      </c>
      <c r="E143" s="133">
        <f>G154</f>
        <v>27341</v>
      </c>
      <c r="F143" s="55">
        <f>E143*D143</f>
        <v>1367.0500000000002</v>
      </c>
      <c r="G143" s="57">
        <f>SUM(F142:F143)</f>
        <v>1367.0500000000002</v>
      </c>
    </row>
    <row r="144" spans="1:11" s="2" customFormat="1" ht="15.75" customHeight="1">
      <c r="A144" s="1071" t="s">
        <v>10</v>
      </c>
      <c r="B144" s="1093"/>
      <c r="C144" s="1093"/>
      <c r="D144" s="1093"/>
      <c r="E144" s="1093"/>
      <c r="F144" s="1093"/>
      <c r="G144" s="1094"/>
    </row>
    <row r="145" spans="1:11" s="2" customFormat="1" ht="15.75" customHeight="1">
      <c r="A145" s="1074" t="s">
        <v>2</v>
      </c>
      <c r="B145" s="1092"/>
      <c r="C145" s="53" t="s">
        <v>3</v>
      </c>
      <c r="D145" s="53" t="s">
        <v>4</v>
      </c>
      <c r="E145" s="53" t="s">
        <v>6</v>
      </c>
      <c r="F145" s="53" t="s">
        <v>11</v>
      </c>
      <c r="G145" s="1075" t="s">
        <v>8</v>
      </c>
    </row>
    <row r="146" spans="1:11" s="2" customFormat="1" ht="142.5" customHeight="1">
      <c r="A146" s="947" t="s">
        <v>1569</v>
      </c>
      <c r="B146" s="980"/>
      <c r="C146" s="16" t="s">
        <v>3</v>
      </c>
      <c r="D146" s="16">
        <v>1</v>
      </c>
      <c r="E146" s="17">
        <v>3210000</v>
      </c>
      <c r="F146" s="55">
        <f>D146*E146</f>
        <v>3210000</v>
      </c>
      <c r="G146" s="1075"/>
    </row>
    <row r="147" spans="1:11" s="2" customFormat="1" ht="15.75" customHeight="1">
      <c r="A147" s="947"/>
      <c r="B147" s="980"/>
      <c r="C147" s="16"/>
      <c r="D147" s="58"/>
      <c r="E147" s="17"/>
      <c r="F147" s="55"/>
      <c r="G147" s="57">
        <f>SUM(F145:F147)</f>
        <v>3210000</v>
      </c>
    </row>
    <row r="148" spans="1:11" s="2" customFormat="1" ht="15.75" customHeight="1">
      <c r="A148" s="1071" t="s">
        <v>15</v>
      </c>
      <c r="B148" s="1093"/>
      <c r="C148" s="1093"/>
      <c r="D148" s="1093"/>
      <c r="E148" s="1093"/>
      <c r="F148" s="1093"/>
      <c r="G148" s="1094"/>
    </row>
    <row r="149" spans="1:11" s="2" customFormat="1" ht="15.75" customHeight="1">
      <c r="A149" s="1074" t="s">
        <v>2</v>
      </c>
      <c r="B149" s="1092"/>
      <c r="C149" s="53" t="s">
        <v>3</v>
      </c>
      <c r="D149" s="53" t="s">
        <v>4</v>
      </c>
      <c r="E149" s="53" t="s">
        <v>6</v>
      </c>
      <c r="F149" s="53" t="s">
        <v>11</v>
      </c>
      <c r="G149" s="1075" t="s">
        <v>8</v>
      </c>
    </row>
    <row r="150" spans="1:11" s="2" customFormat="1" ht="15.75" customHeight="1">
      <c r="A150" s="943" t="s">
        <v>173</v>
      </c>
      <c r="B150" s="1078"/>
      <c r="C150" s="16" t="s">
        <v>3</v>
      </c>
      <c r="D150" s="54">
        <v>3.5000000000000003E-2</v>
      </c>
      <c r="E150" s="17">
        <f>G147</f>
        <v>3210000</v>
      </c>
      <c r="F150" s="55">
        <f>E150*D150</f>
        <v>112350.00000000001</v>
      </c>
      <c r="G150" s="1075"/>
    </row>
    <row r="151" spans="1:11" s="2" customFormat="1" ht="15.75" customHeight="1">
      <c r="A151" s="59"/>
      <c r="B151" s="60"/>
      <c r="C151" s="60"/>
      <c r="D151" s="60"/>
      <c r="E151" s="60"/>
      <c r="F151" s="60"/>
      <c r="G151" s="57">
        <f>SUM(F150:F151)</f>
        <v>112350.00000000001</v>
      </c>
    </row>
    <row r="152" spans="1:11" s="2" customFormat="1" ht="15.75" customHeight="1">
      <c r="A152" s="1071" t="s">
        <v>19</v>
      </c>
      <c r="B152" s="1093"/>
      <c r="C152" s="1093"/>
      <c r="D152" s="1093"/>
      <c r="E152" s="1093"/>
      <c r="F152" s="1093"/>
      <c r="G152" s="1094"/>
    </row>
    <row r="153" spans="1:11" s="2" customFormat="1" ht="15.75" customHeight="1">
      <c r="A153" s="1074" t="s">
        <v>2</v>
      </c>
      <c r="B153" s="1092"/>
      <c r="C153" s="53" t="s">
        <v>3</v>
      </c>
      <c r="D153" s="53" t="s">
        <v>4</v>
      </c>
      <c r="E153" s="53" t="s">
        <v>6</v>
      </c>
      <c r="F153" s="53" t="s">
        <v>11</v>
      </c>
      <c r="G153" s="456" t="s">
        <v>8</v>
      </c>
    </row>
    <row r="154" spans="1:11" s="2" customFormat="1" ht="15.75" customHeight="1">
      <c r="A154" s="978" t="str">
        <f>SALARIOS!$A$69</f>
        <v>CUADRILLA BB INSTALACIONES 1:1</v>
      </c>
      <c r="B154" s="979"/>
      <c r="C154" s="13" t="s">
        <v>1245</v>
      </c>
      <c r="D154" s="32">
        <v>1</v>
      </c>
      <c r="E154" s="13">
        <f>SALARIOS!$C$69</f>
        <v>27341</v>
      </c>
      <c r="F154" s="55">
        <f>+D154*E154</f>
        <v>27341</v>
      </c>
      <c r="G154" s="57">
        <f>SUM(F153:F154)</f>
        <v>27341</v>
      </c>
    </row>
    <row r="155" spans="1:11" s="2" customFormat="1" ht="15.75" customHeight="1">
      <c r="A155" s="1076" t="s">
        <v>25</v>
      </c>
      <c r="B155" s="1095"/>
      <c r="C155" s="1095"/>
      <c r="D155" s="1095"/>
      <c r="E155" s="1095"/>
      <c r="F155" s="1095"/>
      <c r="G155" s="1096"/>
    </row>
    <row r="156" spans="1:11" s="2" customFormat="1" ht="15.75" customHeight="1">
      <c r="A156" s="1077"/>
      <c r="B156" s="1097"/>
      <c r="C156" s="1097"/>
      <c r="D156" s="1097"/>
      <c r="E156" s="1097"/>
      <c r="F156" s="1097"/>
      <c r="G156" s="62">
        <f>G154+G151+G147+G143</f>
        <v>3351058.05</v>
      </c>
    </row>
    <row r="157" spans="1:11" s="2" customFormat="1" ht="15.75" customHeight="1">
      <c r="A157" s="63"/>
      <c r="B157" s="42"/>
      <c r="C157" s="42"/>
      <c r="D157" s="42"/>
      <c r="E157" s="42"/>
      <c r="F157" s="42"/>
      <c r="G157" s="64"/>
    </row>
    <row r="158" spans="1:11" s="2" customFormat="1" ht="15.75" customHeight="1">
      <c r="A158" s="970" t="s">
        <v>1</v>
      </c>
      <c r="B158" s="957"/>
      <c r="C158" s="953" t="s">
        <v>0</v>
      </c>
      <c r="D158" s="954"/>
      <c r="E158" s="954"/>
      <c r="F158" s="954"/>
      <c r="G158" s="955"/>
    </row>
    <row r="159" spans="1:11" s="2" customFormat="1" ht="54.75" customHeight="1">
      <c r="A159" s="971"/>
      <c r="B159" s="957"/>
      <c r="C159" s="954"/>
      <c r="D159" s="954"/>
      <c r="E159" s="954"/>
      <c r="F159" s="954"/>
      <c r="G159" s="955"/>
    </row>
    <row r="160" spans="1:11" s="35" customFormat="1" ht="17.399999999999999">
      <c r="A160" s="971"/>
      <c r="B160" s="957"/>
      <c r="C160" s="956"/>
      <c r="D160" s="957"/>
      <c r="E160" s="957"/>
      <c r="F160" s="957"/>
      <c r="G160" s="958"/>
      <c r="H160" s="2"/>
      <c r="I160" s="2"/>
      <c r="J160" s="2"/>
      <c r="K160" s="2"/>
    </row>
    <row r="161" spans="1:7" s="2" customFormat="1" ht="15.75" customHeight="1">
      <c r="A161" s="971"/>
      <c r="B161" s="957"/>
      <c r="C161" s="959" t="s">
        <v>2</v>
      </c>
      <c r="D161" s="957"/>
      <c r="E161" s="957"/>
      <c r="F161" s="23" t="s">
        <v>3</v>
      </c>
      <c r="G161" s="24" t="s">
        <v>4</v>
      </c>
    </row>
    <row r="162" spans="1:7" s="2" customFormat="1" ht="126" customHeight="1">
      <c r="A162" s="1073" t="s">
        <v>471</v>
      </c>
      <c r="B162" s="944"/>
      <c r="C162" s="980" t="s">
        <v>472</v>
      </c>
      <c r="D162" s="944"/>
      <c r="E162" s="944"/>
      <c r="F162" s="51" t="s">
        <v>28</v>
      </c>
      <c r="G162" s="52">
        <v>29</v>
      </c>
    </row>
    <row r="163" spans="1:7" s="2" customFormat="1" ht="13.8">
      <c r="A163" s="1071" t="s">
        <v>5</v>
      </c>
      <c r="B163" s="944"/>
      <c r="C163" s="944"/>
      <c r="D163" s="944"/>
      <c r="E163" s="944"/>
      <c r="F163" s="944"/>
      <c r="G163" s="1072"/>
    </row>
    <row r="164" spans="1:7" s="2" customFormat="1" ht="15.75" customHeight="1">
      <c r="A164" s="1074" t="s">
        <v>2</v>
      </c>
      <c r="B164" s="1092"/>
      <c r="C164" s="53" t="s">
        <v>3</v>
      </c>
      <c r="D164" s="53" t="s">
        <v>4</v>
      </c>
      <c r="E164" s="53" t="s">
        <v>6</v>
      </c>
      <c r="F164" s="53" t="s">
        <v>7</v>
      </c>
      <c r="G164" s="61" t="s">
        <v>8</v>
      </c>
    </row>
    <row r="165" spans="1:7" s="2" customFormat="1" ht="15.75" customHeight="1">
      <c r="A165" s="1015" t="s">
        <v>9</v>
      </c>
      <c r="B165" s="1016"/>
      <c r="C165" s="51" t="s">
        <v>3</v>
      </c>
      <c r="D165" s="51">
        <v>0.05</v>
      </c>
      <c r="E165" s="133">
        <f>G176</f>
        <v>27341</v>
      </c>
      <c r="F165" s="55">
        <f>E165*D165</f>
        <v>1367.0500000000002</v>
      </c>
      <c r="G165" s="57">
        <f>SUM(F164:F165)</f>
        <v>1367.0500000000002</v>
      </c>
    </row>
    <row r="166" spans="1:7" s="2" customFormat="1" ht="15.75" customHeight="1">
      <c r="A166" s="1071" t="s">
        <v>10</v>
      </c>
      <c r="B166" s="1093"/>
      <c r="C166" s="1093"/>
      <c r="D166" s="1093"/>
      <c r="E166" s="1093"/>
      <c r="F166" s="1093"/>
      <c r="G166" s="1094"/>
    </row>
    <row r="167" spans="1:7" s="2" customFormat="1" ht="15.75" customHeight="1">
      <c r="A167" s="1074" t="s">
        <v>2</v>
      </c>
      <c r="B167" s="1092"/>
      <c r="C167" s="53" t="s">
        <v>3</v>
      </c>
      <c r="D167" s="53" t="s">
        <v>4</v>
      </c>
      <c r="E167" s="53" t="s">
        <v>6</v>
      </c>
      <c r="F167" s="53" t="s">
        <v>11</v>
      </c>
      <c r="G167" s="1075" t="s">
        <v>8</v>
      </c>
    </row>
    <row r="168" spans="1:7" s="2" customFormat="1" ht="99.75" customHeight="1">
      <c r="A168" s="947" t="s">
        <v>1570</v>
      </c>
      <c r="B168" s="980"/>
      <c r="C168" s="16" t="s">
        <v>3</v>
      </c>
      <c r="D168" s="16">
        <v>1</v>
      </c>
      <c r="E168" s="17">
        <v>2300000</v>
      </c>
      <c r="F168" s="55">
        <f>D168*E168</f>
        <v>2300000</v>
      </c>
      <c r="G168" s="1075"/>
    </row>
    <row r="169" spans="1:7" s="2" customFormat="1" ht="15.75" customHeight="1">
      <c r="A169" s="947"/>
      <c r="B169" s="980"/>
      <c r="C169" s="16"/>
      <c r="D169" s="58"/>
      <c r="E169" s="17"/>
      <c r="F169" s="55"/>
      <c r="G169" s="57">
        <f>SUM(F167:F169)</f>
        <v>2300000</v>
      </c>
    </row>
    <row r="170" spans="1:7" s="2" customFormat="1" ht="15.75" customHeight="1">
      <c r="A170" s="1071" t="s">
        <v>15</v>
      </c>
      <c r="B170" s="1093"/>
      <c r="C170" s="1093"/>
      <c r="D170" s="1093"/>
      <c r="E170" s="1093"/>
      <c r="F170" s="1093"/>
      <c r="G170" s="1094"/>
    </row>
    <row r="171" spans="1:7" s="2" customFormat="1" ht="15.75" customHeight="1">
      <c r="A171" s="1074" t="s">
        <v>2</v>
      </c>
      <c r="B171" s="1092"/>
      <c r="C171" s="53" t="s">
        <v>3</v>
      </c>
      <c r="D171" s="53" t="s">
        <v>4</v>
      </c>
      <c r="E171" s="53" t="s">
        <v>6</v>
      </c>
      <c r="F171" s="53" t="s">
        <v>11</v>
      </c>
      <c r="G171" s="1075" t="s">
        <v>8</v>
      </c>
    </row>
    <row r="172" spans="1:7" s="2" customFormat="1" ht="15.75" customHeight="1">
      <c r="A172" s="943" t="s">
        <v>173</v>
      </c>
      <c r="B172" s="1078"/>
      <c r="C172" s="16" t="s">
        <v>3</v>
      </c>
      <c r="D172" s="54">
        <v>3.5000000000000003E-2</v>
      </c>
      <c r="E172" s="17">
        <f>G169</f>
        <v>2300000</v>
      </c>
      <c r="F172" s="55">
        <f>E172*D172</f>
        <v>80500.000000000015</v>
      </c>
      <c r="G172" s="1075"/>
    </row>
    <row r="173" spans="1:7" s="2" customFormat="1" ht="15.75" customHeight="1">
      <c r="A173" s="59"/>
      <c r="B173" s="60"/>
      <c r="C173" s="60"/>
      <c r="D173" s="60"/>
      <c r="E173" s="60"/>
      <c r="F173" s="60"/>
      <c r="G173" s="57">
        <f>SUM(F172:F173)</f>
        <v>80500.000000000015</v>
      </c>
    </row>
    <row r="174" spans="1:7" s="2" customFormat="1" ht="15.75" customHeight="1">
      <c r="A174" s="1071" t="s">
        <v>19</v>
      </c>
      <c r="B174" s="1093"/>
      <c r="C174" s="1093"/>
      <c r="D174" s="1093"/>
      <c r="E174" s="1093"/>
      <c r="F174" s="1093"/>
      <c r="G174" s="1094"/>
    </row>
    <row r="175" spans="1:7" s="2" customFormat="1" ht="15.75" customHeight="1">
      <c r="A175" s="1074" t="s">
        <v>2</v>
      </c>
      <c r="B175" s="1092"/>
      <c r="C175" s="53" t="s">
        <v>3</v>
      </c>
      <c r="D175" s="53" t="s">
        <v>4</v>
      </c>
      <c r="E175" s="53" t="s">
        <v>6</v>
      </c>
      <c r="F175" s="53" t="s">
        <v>11</v>
      </c>
      <c r="G175" s="456" t="s">
        <v>8</v>
      </c>
    </row>
    <row r="176" spans="1:7" s="2" customFormat="1" ht="15.75" customHeight="1">
      <c r="A176" s="978" t="str">
        <f>SALARIOS!$A$69</f>
        <v>CUADRILLA BB INSTALACIONES 1:1</v>
      </c>
      <c r="B176" s="979"/>
      <c r="C176" s="13" t="s">
        <v>1245</v>
      </c>
      <c r="D176" s="32">
        <v>1</v>
      </c>
      <c r="E176" s="13">
        <f>SALARIOS!$C$69</f>
        <v>27341</v>
      </c>
      <c r="F176" s="55">
        <f>+D176*E176</f>
        <v>27341</v>
      </c>
      <c r="G176" s="57">
        <f>SUM(F175:F176)</f>
        <v>27341</v>
      </c>
    </row>
    <row r="177" spans="1:11" s="2" customFormat="1" ht="15.75" customHeight="1">
      <c r="A177" s="1076" t="s">
        <v>25</v>
      </c>
      <c r="B177" s="1095"/>
      <c r="C177" s="1095"/>
      <c r="D177" s="1095"/>
      <c r="E177" s="1095"/>
      <c r="F177" s="1095"/>
      <c r="G177" s="1096"/>
    </row>
    <row r="178" spans="1:11" s="2" customFormat="1" ht="15.75" customHeight="1">
      <c r="A178" s="1077"/>
      <c r="B178" s="1097"/>
      <c r="C178" s="1097"/>
      <c r="D178" s="1097"/>
      <c r="E178" s="1097"/>
      <c r="F178" s="1097"/>
      <c r="G178" s="62">
        <f>G176+G173+G169+G165</f>
        <v>2409208.0499999998</v>
      </c>
    </row>
    <row r="179" spans="1:11" s="2" customFormat="1" ht="15.75" customHeight="1">
      <c r="A179" s="63"/>
      <c r="B179" s="42"/>
      <c r="C179" s="42"/>
      <c r="D179" s="42"/>
      <c r="E179" s="42"/>
      <c r="F179" s="42"/>
      <c r="G179" s="64"/>
    </row>
    <row r="180" spans="1:11" s="2" customFormat="1" ht="15.75" customHeight="1">
      <c r="A180" s="970" t="s">
        <v>1</v>
      </c>
      <c r="B180" s="957"/>
      <c r="C180" s="953" t="s">
        <v>0</v>
      </c>
      <c r="D180" s="954"/>
      <c r="E180" s="954"/>
      <c r="F180" s="954"/>
      <c r="G180" s="955"/>
    </row>
    <row r="181" spans="1:11" s="2" customFormat="1" ht="59.25" customHeight="1">
      <c r="A181" s="971"/>
      <c r="B181" s="957"/>
      <c r="C181" s="954"/>
      <c r="D181" s="954"/>
      <c r="E181" s="954"/>
      <c r="F181" s="954"/>
      <c r="G181" s="955"/>
    </row>
    <row r="182" spans="1:11" s="35" customFormat="1" ht="17.399999999999999">
      <c r="A182" s="971"/>
      <c r="B182" s="957"/>
      <c r="C182" s="956"/>
      <c r="D182" s="957"/>
      <c r="E182" s="957"/>
      <c r="F182" s="957"/>
      <c r="G182" s="958"/>
      <c r="H182" s="2"/>
      <c r="I182" s="2"/>
      <c r="J182" s="2"/>
      <c r="K182" s="2"/>
    </row>
    <row r="183" spans="1:11" s="2" customFormat="1" ht="15.75" customHeight="1">
      <c r="A183" s="971"/>
      <c r="B183" s="957"/>
      <c r="C183" s="959" t="s">
        <v>2</v>
      </c>
      <c r="D183" s="957"/>
      <c r="E183" s="957"/>
      <c r="F183" s="23" t="s">
        <v>3</v>
      </c>
      <c r="G183" s="24" t="s">
        <v>4</v>
      </c>
    </row>
    <row r="184" spans="1:11" s="2" customFormat="1" ht="105" customHeight="1">
      <c r="A184" s="1073" t="s">
        <v>473</v>
      </c>
      <c r="B184" s="944"/>
      <c r="C184" s="980" t="s">
        <v>474</v>
      </c>
      <c r="D184" s="944"/>
      <c r="E184" s="944"/>
      <c r="F184" s="51" t="s">
        <v>28</v>
      </c>
      <c r="G184" s="52">
        <v>1</v>
      </c>
    </row>
    <row r="185" spans="1:11" s="2" customFormat="1" ht="13.8">
      <c r="A185" s="1071" t="s">
        <v>5</v>
      </c>
      <c r="B185" s="944"/>
      <c r="C185" s="944"/>
      <c r="D185" s="944"/>
      <c r="E185" s="944"/>
      <c r="F185" s="944"/>
      <c r="G185" s="1072"/>
    </row>
    <row r="186" spans="1:11" s="2" customFormat="1" ht="15.75" customHeight="1">
      <c r="A186" s="1074" t="s">
        <v>2</v>
      </c>
      <c r="B186" s="1092"/>
      <c r="C186" s="53" t="s">
        <v>3</v>
      </c>
      <c r="D186" s="53" t="s">
        <v>4</v>
      </c>
      <c r="E186" s="53" t="s">
        <v>6</v>
      </c>
      <c r="F186" s="53" t="s">
        <v>7</v>
      </c>
      <c r="G186" s="61" t="s">
        <v>8</v>
      </c>
    </row>
    <row r="187" spans="1:11" s="2" customFormat="1" ht="15.75" customHeight="1">
      <c r="A187" s="1015" t="s">
        <v>9</v>
      </c>
      <c r="B187" s="1016"/>
      <c r="C187" s="51" t="s">
        <v>3</v>
      </c>
      <c r="D187" s="51">
        <v>0.05</v>
      </c>
      <c r="E187" s="133">
        <f>G198</f>
        <v>27341</v>
      </c>
      <c r="F187" s="55">
        <f>E187*D187</f>
        <v>1367.0500000000002</v>
      </c>
      <c r="G187" s="57">
        <f>SUM(F186:F187)</f>
        <v>1367.0500000000002</v>
      </c>
    </row>
    <row r="188" spans="1:11" s="2" customFormat="1" ht="15.75" customHeight="1">
      <c r="A188" s="1071" t="s">
        <v>10</v>
      </c>
      <c r="B188" s="1093"/>
      <c r="C188" s="1093"/>
      <c r="D188" s="1093"/>
      <c r="E188" s="1093"/>
      <c r="F188" s="1093"/>
      <c r="G188" s="1094"/>
    </row>
    <row r="189" spans="1:11" s="2" customFormat="1" ht="15.75" customHeight="1">
      <c r="A189" s="1074" t="s">
        <v>2</v>
      </c>
      <c r="B189" s="1092"/>
      <c r="C189" s="53" t="s">
        <v>3</v>
      </c>
      <c r="D189" s="53" t="s">
        <v>4</v>
      </c>
      <c r="E189" s="53" t="s">
        <v>6</v>
      </c>
      <c r="F189" s="53" t="s">
        <v>11</v>
      </c>
      <c r="G189" s="1075" t="s">
        <v>8</v>
      </c>
    </row>
    <row r="190" spans="1:11" s="2" customFormat="1" ht="106.5" customHeight="1">
      <c r="A190" s="947" t="s">
        <v>1571</v>
      </c>
      <c r="B190" s="980"/>
      <c r="C190" s="16" t="s">
        <v>3</v>
      </c>
      <c r="D190" s="16">
        <v>1</v>
      </c>
      <c r="E190" s="17">
        <v>2500000</v>
      </c>
      <c r="F190" s="55">
        <f>D190*E190</f>
        <v>2500000</v>
      </c>
      <c r="G190" s="1075"/>
    </row>
    <row r="191" spans="1:11" s="2" customFormat="1" ht="15.75" customHeight="1">
      <c r="A191" s="947"/>
      <c r="B191" s="980"/>
      <c r="C191" s="16"/>
      <c r="D191" s="58"/>
      <c r="E191" s="17"/>
      <c r="F191" s="55"/>
      <c r="G191" s="57">
        <f>SUM(F189:F191)</f>
        <v>2500000</v>
      </c>
    </row>
    <row r="192" spans="1:11" s="2" customFormat="1" ht="15.75" customHeight="1">
      <c r="A192" s="1071" t="s">
        <v>15</v>
      </c>
      <c r="B192" s="1093"/>
      <c r="C192" s="1093"/>
      <c r="D192" s="1093"/>
      <c r="E192" s="1093"/>
      <c r="F192" s="1093"/>
      <c r="G192" s="1094"/>
    </row>
    <row r="193" spans="1:11" s="2" customFormat="1" ht="15.75" customHeight="1">
      <c r="A193" s="1074" t="s">
        <v>2</v>
      </c>
      <c r="B193" s="1092"/>
      <c r="C193" s="53" t="s">
        <v>3</v>
      </c>
      <c r="D193" s="53" t="s">
        <v>4</v>
      </c>
      <c r="E193" s="53" t="s">
        <v>6</v>
      </c>
      <c r="F193" s="53" t="s">
        <v>11</v>
      </c>
      <c r="G193" s="1075" t="s">
        <v>8</v>
      </c>
    </row>
    <row r="194" spans="1:11" s="2" customFormat="1" ht="15.75" customHeight="1">
      <c r="A194" s="943" t="s">
        <v>173</v>
      </c>
      <c r="B194" s="1078"/>
      <c r="C194" s="16" t="s">
        <v>3</v>
      </c>
      <c r="D194" s="54">
        <v>3.5000000000000003E-2</v>
      </c>
      <c r="E194" s="17">
        <f>G191</f>
        <v>2500000</v>
      </c>
      <c r="F194" s="55">
        <f>E194*D194</f>
        <v>87500.000000000015</v>
      </c>
      <c r="G194" s="1075"/>
    </row>
    <row r="195" spans="1:11" s="2" customFormat="1" ht="15.75" customHeight="1">
      <c r="A195" s="59"/>
      <c r="B195" s="60"/>
      <c r="C195" s="60"/>
      <c r="D195" s="60"/>
      <c r="E195" s="60"/>
      <c r="F195" s="60"/>
      <c r="G195" s="57">
        <f>SUM(F194:F195)</f>
        <v>87500.000000000015</v>
      </c>
    </row>
    <row r="196" spans="1:11" s="2" customFormat="1" ht="15.75" customHeight="1">
      <c r="A196" s="1071" t="s">
        <v>19</v>
      </c>
      <c r="B196" s="1093"/>
      <c r="C196" s="1093"/>
      <c r="D196" s="1093"/>
      <c r="E196" s="1093"/>
      <c r="F196" s="1093"/>
      <c r="G196" s="1094"/>
    </row>
    <row r="197" spans="1:11" s="2" customFormat="1" ht="15.75" customHeight="1">
      <c r="A197" s="1074" t="s">
        <v>2</v>
      </c>
      <c r="B197" s="1092"/>
      <c r="C197" s="53" t="s">
        <v>3</v>
      </c>
      <c r="D197" s="53" t="s">
        <v>4</v>
      </c>
      <c r="E197" s="53" t="s">
        <v>6</v>
      </c>
      <c r="F197" s="53" t="s">
        <v>11</v>
      </c>
      <c r="G197" s="456" t="s">
        <v>8</v>
      </c>
    </row>
    <row r="198" spans="1:11" s="2" customFormat="1" ht="15.75" customHeight="1">
      <c r="A198" s="978" t="str">
        <f>SALARIOS!$A$69</f>
        <v>CUADRILLA BB INSTALACIONES 1:1</v>
      </c>
      <c r="B198" s="979"/>
      <c r="C198" s="13" t="s">
        <v>1245</v>
      </c>
      <c r="D198" s="32">
        <v>1</v>
      </c>
      <c r="E198" s="13">
        <f>SALARIOS!$C$69</f>
        <v>27341</v>
      </c>
      <c r="F198" s="55">
        <f>+D198*E198</f>
        <v>27341</v>
      </c>
      <c r="G198" s="57">
        <f>SUM(F197:F198)</f>
        <v>27341</v>
      </c>
    </row>
    <row r="199" spans="1:11" s="2" customFormat="1" ht="15.75" customHeight="1">
      <c r="A199" s="1076" t="s">
        <v>25</v>
      </c>
      <c r="B199" s="1095"/>
      <c r="C199" s="1095"/>
      <c r="D199" s="1095"/>
      <c r="E199" s="1095"/>
      <c r="F199" s="1095"/>
      <c r="G199" s="1096"/>
    </row>
    <row r="200" spans="1:11" s="2" customFormat="1" ht="15.75" customHeight="1">
      <c r="A200" s="1077"/>
      <c r="B200" s="1097"/>
      <c r="C200" s="1097"/>
      <c r="D200" s="1097"/>
      <c r="E200" s="1097"/>
      <c r="F200" s="1097"/>
      <c r="G200" s="62">
        <f>G198+G195+G191+G187</f>
        <v>2616208.0499999998</v>
      </c>
    </row>
    <row r="201" spans="1:11" s="2" customFormat="1" ht="15.75" customHeight="1">
      <c r="A201" s="63"/>
      <c r="B201" s="42"/>
      <c r="C201" s="42"/>
      <c r="D201" s="42"/>
      <c r="E201" s="42"/>
      <c r="F201" s="42"/>
      <c r="G201" s="64"/>
    </row>
    <row r="202" spans="1:11" s="2" customFormat="1" ht="15.75" customHeight="1">
      <c r="A202" s="970" t="s">
        <v>1</v>
      </c>
      <c r="B202" s="957"/>
      <c r="C202" s="953" t="s">
        <v>0</v>
      </c>
      <c r="D202" s="954"/>
      <c r="E202" s="954"/>
      <c r="F202" s="954"/>
      <c r="G202" s="955"/>
    </row>
    <row r="203" spans="1:11" s="2" customFormat="1" ht="66" customHeight="1">
      <c r="A203" s="971"/>
      <c r="B203" s="957"/>
      <c r="C203" s="954"/>
      <c r="D203" s="954"/>
      <c r="E203" s="954"/>
      <c r="F203" s="954"/>
      <c r="G203" s="955"/>
    </row>
    <row r="204" spans="1:11" s="35" customFormat="1" ht="17.399999999999999">
      <c r="A204" s="971"/>
      <c r="B204" s="957"/>
      <c r="C204" s="956"/>
      <c r="D204" s="957"/>
      <c r="E204" s="957"/>
      <c r="F204" s="957"/>
      <c r="G204" s="958"/>
      <c r="H204" s="2"/>
      <c r="I204" s="2"/>
      <c r="J204" s="2"/>
      <c r="K204" s="2"/>
    </row>
    <row r="205" spans="1:11" s="2" customFormat="1" ht="15.75" customHeight="1">
      <c r="A205" s="971"/>
      <c r="B205" s="957"/>
      <c r="C205" s="959" t="s">
        <v>2</v>
      </c>
      <c r="D205" s="957"/>
      <c r="E205" s="957"/>
      <c r="F205" s="23" t="s">
        <v>3</v>
      </c>
      <c r="G205" s="24" t="s">
        <v>4</v>
      </c>
    </row>
    <row r="206" spans="1:11" s="2" customFormat="1" ht="116.25" customHeight="1">
      <c r="A206" s="1073" t="s">
        <v>475</v>
      </c>
      <c r="B206" s="944"/>
      <c r="C206" s="980" t="s">
        <v>476</v>
      </c>
      <c r="D206" s="944"/>
      <c r="E206" s="944"/>
      <c r="F206" s="51" t="s">
        <v>28</v>
      </c>
      <c r="G206" s="52">
        <v>18</v>
      </c>
    </row>
    <row r="207" spans="1:11" s="2" customFormat="1" ht="13.8">
      <c r="A207" s="1071" t="s">
        <v>5</v>
      </c>
      <c r="B207" s="944"/>
      <c r="C207" s="944"/>
      <c r="D207" s="944"/>
      <c r="E207" s="944"/>
      <c r="F207" s="944"/>
      <c r="G207" s="1072"/>
    </row>
    <row r="208" spans="1:11" s="2" customFormat="1" ht="15.75" customHeight="1">
      <c r="A208" s="1074" t="s">
        <v>2</v>
      </c>
      <c r="B208" s="1092"/>
      <c r="C208" s="53" t="s">
        <v>3</v>
      </c>
      <c r="D208" s="53" t="s">
        <v>4</v>
      </c>
      <c r="E208" s="53" t="s">
        <v>6</v>
      </c>
      <c r="F208" s="53" t="s">
        <v>7</v>
      </c>
      <c r="G208" s="61" t="s">
        <v>8</v>
      </c>
    </row>
    <row r="209" spans="1:7" s="2" customFormat="1" ht="15.75" customHeight="1">
      <c r="A209" s="1015" t="s">
        <v>9</v>
      </c>
      <c r="B209" s="1016"/>
      <c r="C209" s="51" t="s">
        <v>3</v>
      </c>
      <c r="D209" s="51">
        <v>0.05</v>
      </c>
      <c r="E209" s="133">
        <f>G220</f>
        <v>27341</v>
      </c>
      <c r="F209" s="55">
        <f>E209*D209</f>
        <v>1367.0500000000002</v>
      </c>
      <c r="G209" s="57">
        <f>SUM(F208:F209)</f>
        <v>1367.0500000000002</v>
      </c>
    </row>
    <row r="210" spans="1:7" s="2" customFormat="1" ht="15.75" customHeight="1">
      <c r="A210" s="1071" t="s">
        <v>10</v>
      </c>
      <c r="B210" s="1093"/>
      <c r="C210" s="1093"/>
      <c r="D210" s="1093"/>
      <c r="E210" s="1093"/>
      <c r="F210" s="1093"/>
      <c r="G210" s="1094"/>
    </row>
    <row r="211" spans="1:7" s="2" customFormat="1" ht="15.75" customHeight="1">
      <c r="A211" s="1074" t="s">
        <v>2</v>
      </c>
      <c r="B211" s="1092"/>
      <c r="C211" s="53" t="s">
        <v>3</v>
      </c>
      <c r="D211" s="53" t="s">
        <v>4</v>
      </c>
      <c r="E211" s="53" t="s">
        <v>6</v>
      </c>
      <c r="F211" s="53" t="s">
        <v>11</v>
      </c>
      <c r="G211" s="1075" t="s">
        <v>8</v>
      </c>
    </row>
    <row r="212" spans="1:7" s="2" customFormat="1" ht="99.75" customHeight="1">
      <c r="A212" s="947" t="s">
        <v>1572</v>
      </c>
      <c r="B212" s="980"/>
      <c r="C212" s="16" t="s">
        <v>3</v>
      </c>
      <c r="D212" s="16">
        <v>1</v>
      </c>
      <c r="E212" s="17">
        <v>2500000</v>
      </c>
      <c r="F212" s="55">
        <f>D212*E212</f>
        <v>2500000</v>
      </c>
      <c r="G212" s="1075"/>
    </row>
    <row r="213" spans="1:7" s="2" customFormat="1" ht="15.75" customHeight="1">
      <c r="A213" s="947"/>
      <c r="B213" s="980"/>
      <c r="C213" s="16"/>
      <c r="D213" s="58"/>
      <c r="E213" s="17"/>
      <c r="F213" s="55"/>
      <c r="G213" s="57">
        <f>SUM(F211:F213)</f>
        <v>2500000</v>
      </c>
    </row>
    <row r="214" spans="1:7" s="2" customFormat="1" ht="15.75" customHeight="1">
      <c r="A214" s="1071" t="s">
        <v>15</v>
      </c>
      <c r="B214" s="1093"/>
      <c r="C214" s="1093"/>
      <c r="D214" s="1093"/>
      <c r="E214" s="1093"/>
      <c r="F214" s="1093"/>
      <c r="G214" s="1094"/>
    </row>
    <row r="215" spans="1:7" s="2" customFormat="1" ht="15.75" customHeight="1">
      <c r="A215" s="1074" t="s">
        <v>2</v>
      </c>
      <c r="B215" s="1092"/>
      <c r="C215" s="53" t="s">
        <v>3</v>
      </c>
      <c r="D215" s="53" t="s">
        <v>4</v>
      </c>
      <c r="E215" s="53" t="s">
        <v>6</v>
      </c>
      <c r="F215" s="53" t="s">
        <v>11</v>
      </c>
      <c r="G215" s="1075" t="s">
        <v>8</v>
      </c>
    </row>
    <row r="216" spans="1:7" s="2" customFormat="1" ht="15.75" customHeight="1">
      <c r="A216" s="943" t="s">
        <v>173</v>
      </c>
      <c r="B216" s="1078"/>
      <c r="C216" s="16" t="s">
        <v>3</v>
      </c>
      <c r="D216" s="54">
        <v>3.5000000000000003E-2</v>
      </c>
      <c r="E216" s="17">
        <f>G213</f>
        <v>2500000</v>
      </c>
      <c r="F216" s="55">
        <f>E216*D216</f>
        <v>87500.000000000015</v>
      </c>
      <c r="G216" s="1075"/>
    </row>
    <row r="217" spans="1:7" s="2" customFormat="1" ht="15.75" customHeight="1">
      <c r="A217" s="59"/>
      <c r="B217" s="60"/>
      <c r="C217" s="60"/>
      <c r="D217" s="60"/>
      <c r="E217" s="60"/>
      <c r="F217" s="60"/>
      <c r="G217" s="57">
        <f>SUM(F216:F217)</f>
        <v>87500.000000000015</v>
      </c>
    </row>
    <row r="218" spans="1:7" s="2" customFormat="1" ht="15.75" customHeight="1">
      <c r="A218" s="1071" t="s">
        <v>19</v>
      </c>
      <c r="B218" s="1093"/>
      <c r="C218" s="1093"/>
      <c r="D218" s="1093"/>
      <c r="E218" s="1093"/>
      <c r="F218" s="1093"/>
      <c r="G218" s="1094"/>
    </row>
    <row r="219" spans="1:7" s="2" customFormat="1" ht="15.75" customHeight="1">
      <c r="A219" s="1074" t="s">
        <v>2</v>
      </c>
      <c r="B219" s="1092"/>
      <c r="C219" s="53" t="s">
        <v>3</v>
      </c>
      <c r="D219" s="53" t="s">
        <v>4</v>
      </c>
      <c r="E219" s="53" t="s">
        <v>6</v>
      </c>
      <c r="F219" s="53" t="s">
        <v>11</v>
      </c>
      <c r="G219" s="456" t="s">
        <v>8</v>
      </c>
    </row>
    <row r="220" spans="1:7" s="2" customFormat="1" ht="15.75" customHeight="1">
      <c r="A220" s="978" t="str">
        <f>SALARIOS!$A$69</f>
        <v>CUADRILLA BB INSTALACIONES 1:1</v>
      </c>
      <c r="B220" s="979"/>
      <c r="C220" s="13" t="s">
        <v>1245</v>
      </c>
      <c r="D220" s="32">
        <v>1</v>
      </c>
      <c r="E220" s="13">
        <f>SALARIOS!$C$69</f>
        <v>27341</v>
      </c>
      <c r="F220" s="55">
        <f>+D220*E220</f>
        <v>27341</v>
      </c>
      <c r="G220" s="57">
        <f>SUM(F219:F220)</f>
        <v>27341</v>
      </c>
    </row>
    <row r="221" spans="1:7" s="2" customFormat="1" ht="15.75" customHeight="1">
      <c r="A221" s="1076" t="s">
        <v>25</v>
      </c>
      <c r="B221" s="1095"/>
      <c r="C221" s="1095"/>
      <c r="D221" s="1095"/>
      <c r="E221" s="1095"/>
      <c r="F221" s="1095"/>
      <c r="G221" s="1096"/>
    </row>
    <row r="222" spans="1:7" s="2" customFormat="1" ht="15.75" customHeight="1">
      <c r="A222" s="1077"/>
      <c r="B222" s="1097"/>
      <c r="C222" s="1097"/>
      <c r="D222" s="1097"/>
      <c r="E222" s="1097"/>
      <c r="F222" s="1097"/>
      <c r="G222" s="62">
        <f>G220+G217+G213+G209</f>
        <v>2616208.0499999998</v>
      </c>
    </row>
    <row r="223" spans="1:7" s="2" customFormat="1" ht="15.75" customHeight="1">
      <c r="A223" s="63"/>
      <c r="B223" s="42"/>
      <c r="C223" s="42"/>
      <c r="D223" s="42"/>
      <c r="E223" s="42"/>
      <c r="F223" s="42"/>
      <c r="G223" s="64"/>
    </row>
    <row r="224" spans="1:7" s="2" customFormat="1" ht="15.75" customHeight="1">
      <c r="A224" s="970" t="s">
        <v>1</v>
      </c>
      <c r="B224" s="957"/>
      <c r="C224" s="953" t="s">
        <v>0</v>
      </c>
      <c r="D224" s="954"/>
      <c r="E224" s="954"/>
      <c r="F224" s="954"/>
      <c r="G224" s="955"/>
    </row>
    <row r="225" spans="1:11" s="2" customFormat="1" ht="60.75" customHeight="1">
      <c r="A225" s="971"/>
      <c r="B225" s="957"/>
      <c r="C225" s="954"/>
      <c r="D225" s="954"/>
      <c r="E225" s="954"/>
      <c r="F225" s="954"/>
      <c r="G225" s="955"/>
    </row>
    <row r="226" spans="1:11" s="35" customFormat="1" ht="17.399999999999999">
      <c r="A226" s="971"/>
      <c r="B226" s="957"/>
      <c r="C226" s="956"/>
      <c r="D226" s="957"/>
      <c r="E226" s="957"/>
      <c r="F226" s="957"/>
      <c r="G226" s="958"/>
      <c r="H226" s="2"/>
      <c r="I226" s="2"/>
      <c r="J226" s="2"/>
      <c r="K226" s="2"/>
    </row>
    <row r="227" spans="1:11" s="2" customFormat="1" ht="15.75" customHeight="1">
      <c r="A227" s="971"/>
      <c r="B227" s="957"/>
      <c r="C227" s="959" t="s">
        <v>2</v>
      </c>
      <c r="D227" s="957"/>
      <c r="E227" s="957"/>
      <c r="F227" s="23" t="s">
        <v>3</v>
      </c>
      <c r="G227" s="24" t="s">
        <v>4</v>
      </c>
    </row>
    <row r="228" spans="1:11" s="2" customFormat="1" ht="108" customHeight="1">
      <c r="A228" s="1073" t="s">
        <v>477</v>
      </c>
      <c r="B228" s="944"/>
      <c r="C228" s="980" t="s">
        <v>478</v>
      </c>
      <c r="D228" s="944"/>
      <c r="E228" s="944"/>
      <c r="F228" s="51" t="s">
        <v>28</v>
      </c>
      <c r="G228" s="52">
        <v>1</v>
      </c>
    </row>
    <row r="229" spans="1:11" s="2" customFormat="1" ht="13.8">
      <c r="A229" s="1071" t="s">
        <v>5</v>
      </c>
      <c r="B229" s="944"/>
      <c r="C229" s="944"/>
      <c r="D229" s="944"/>
      <c r="E229" s="944"/>
      <c r="F229" s="944"/>
      <c r="G229" s="1072"/>
    </row>
    <row r="230" spans="1:11" s="2" customFormat="1" ht="15.75" customHeight="1">
      <c r="A230" s="1074" t="s">
        <v>2</v>
      </c>
      <c r="B230" s="1092"/>
      <c r="C230" s="53" t="s">
        <v>3</v>
      </c>
      <c r="D230" s="53" t="s">
        <v>4</v>
      </c>
      <c r="E230" s="53" t="s">
        <v>6</v>
      </c>
      <c r="F230" s="53" t="s">
        <v>7</v>
      </c>
      <c r="G230" s="61" t="s">
        <v>8</v>
      </c>
    </row>
    <row r="231" spans="1:11" s="2" customFormat="1" ht="15.75" customHeight="1">
      <c r="A231" s="1015" t="s">
        <v>9</v>
      </c>
      <c r="B231" s="1016"/>
      <c r="C231" s="51" t="s">
        <v>3</v>
      </c>
      <c r="D231" s="51">
        <v>0.05</v>
      </c>
      <c r="E231" s="133">
        <f>G242</f>
        <v>27341</v>
      </c>
      <c r="F231" s="55">
        <f>E231*D231</f>
        <v>1367.0500000000002</v>
      </c>
      <c r="G231" s="57">
        <f>SUM(F230:F231)</f>
        <v>1367.0500000000002</v>
      </c>
    </row>
    <row r="232" spans="1:11" s="2" customFormat="1" ht="15.75" customHeight="1">
      <c r="A232" s="1071" t="s">
        <v>10</v>
      </c>
      <c r="B232" s="1093"/>
      <c r="C232" s="1093"/>
      <c r="D232" s="1093"/>
      <c r="E232" s="1093"/>
      <c r="F232" s="1093"/>
      <c r="G232" s="1094"/>
    </row>
    <row r="233" spans="1:11" s="2" customFormat="1" ht="15.75" customHeight="1">
      <c r="A233" s="1074" t="s">
        <v>2</v>
      </c>
      <c r="B233" s="1092"/>
      <c r="C233" s="53" t="s">
        <v>3</v>
      </c>
      <c r="D233" s="53" t="s">
        <v>4</v>
      </c>
      <c r="E233" s="53" t="s">
        <v>6</v>
      </c>
      <c r="F233" s="53" t="s">
        <v>11</v>
      </c>
      <c r="G233" s="1075" t="s">
        <v>8</v>
      </c>
    </row>
    <row r="234" spans="1:11" s="2" customFormat="1" ht="110.25" customHeight="1">
      <c r="A234" s="947" t="s">
        <v>1573</v>
      </c>
      <c r="B234" s="980"/>
      <c r="C234" s="16" t="s">
        <v>3</v>
      </c>
      <c r="D234" s="16">
        <v>1</v>
      </c>
      <c r="E234" s="17">
        <v>2200000</v>
      </c>
      <c r="F234" s="55">
        <f>D234*E234</f>
        <v>2200000</v>
      </c>
      <c r="G234" s="1075"/>
    </row>
    <row r="235" spans="1:11" s="2" customFormat="1" ht="15.75" customHeight="1">
      <c r="A235" s="947"/>
      <c r="B235" s="980"/>
      <c r="C235" s="16"/>
      <c r="D235" s="58"/>
      <c r="E235" s="17"/>
      <c r="F235" s="55"/>
      <c r="G235" s="57">
        <f>SUM(F233:F235)</f>
        <v>2200000</v>
      </c>
    </row>
    <row r="236" spans="1:11" s="2" customFormat="1" ht="15.75" customHeight="1">
      <c r="A236" s="1071" t="s">
        <v>15</v>
      </c>
      <c r="B236" s="1093"/>
      <c r="C236" s="1093"/>
      <c r="D236" s="1093"/>
      <c r="E236" s="1093"/>
      <c r="F236" s="1093"/>
      <c r="G236" s="1094"/>
    </row>
    <row r="237" spans="1:11" s="2" customFormat="1" ht="15.75" customHeight="1">
      <c r="A237" s="1074" t="s">
        <v>2</v>
      </c>
      <c r="B237" s="1092"/>
      <c r="C237" s="53" t="s">
        <v>3</v>
      </c>
      <c r="D237" s="53" t="s">
        <v>4</v>
      </c>
      <c r="E237" s="53" t="s">
        <v>6</v>
      </c>
      <c r="F237" s="53" t="s">
        <v>11</v>
      </c>
      <c r="G237" s="1075" t="s">
        <v>8</v>
      </c>
    </row>
    <row r="238" spans="1:11" s="2" customFormat="1" ht="15.75" customHeight="1">
      <c r="A238" s="943" t="s">
        <v>173</v>
      </c>
      <c r="B238" s="1078"/>
      <c r="C238" s="16" t="s">
        <v>3</v>
      </c>
      <c r="D238" s="54">
        <v>3.5000000000000003E-2</v>
      </c>
      <c r="E238" s="17">
        <f>G235</f>
        <v>2200000</v>
      </c>
      <c r="F238" s="55">
        <f>E238*D238</f>
        <v>77000.000000000015</v>
      </c>
      <c r="G238" s="1075"/>
    </row>
    <row r="239" spans="1:11" s="2" customFormat="1" ht="15.75" customHeight="1">
      <c r="A239" s="59"/>
      <c r="B239" s="60"/>
      <c r="C239" s="60"/>
      <c r="D239" s="60"/>
      <c r="E239" s="60"/>
      <c r="F239" s="60"/>
      <c r="G239" s="57">
        <f>SUM(F238:F239)</f>
        <v>77000.000000000015</v>
      </c>
    </row>
    <row r="240" spans="1:11" s="2" customFormat="1" ht="15.75" customHeight="1">
      <c r="A240" s="1071" t="s">
        <v>19</v>
      </c>
      <c r="B240" s="1093"/>
      <c r="C240" s="1093"/>
      <c r="D240" s="1093"/>
      <c r="E240" s="1093"/>
      <c r="F240" s="1093"/>
      <c r="G240" s="1094"/>
    </row>
    <row r="241" spans="1:11" s="2" customFormat="1" ht="15.75" customHeight="1">
      <c r="A241" s="1074" t="s">
        <v>2</v>
      </c>
      <c r="B241" s="1092"/>
      <c r="C241" s="53" t="s">
        <v>3</v>
      </c>
      <c r="D241" s="53" t="s">
        <v>4</v>
      </c>
      <c r="E241" s="53" t="s">
        <v>6</v>
      </c>
      <c r="F241" s="53" t="s">
        <v>11</v>
      </c>
      <c r="G241" s="456" t="s">
        <v>8</v>
      </c>
    </row>
    <row r="242" spans="1:11" s="2" customFormat="1" ht="15.75" customHeight="1">
      <c r="A242" s="978" t="str">
        <f>SALARIOS!$A$69</f>
        <v>CUADRILLA BB INSTALACIONES 1:1</v>
      </c>
      <c r="B242" s="979"/>
      <c r="C242" s="13" t="s">
        <v>1245</v>
      </c>
      <c r="D242" s="32">
        <v>1</v>
      </c>
      <c r="E242" s="13">
        <f>SALARIOS!$C$69</f>
        <v>27341</v>
      </c>
      <c r="F242" s="55">
        <f>+D242*E242</f>
        <v>27341</v>
      </c>
      <c r="G242" s="57">
        <f>SUM(F241:F242)</f>
        <v>27341</v>
      </c>
    </row>
    <row r="243" spans="1:11" s="2" customFormat="1" ht="15.75" customHeight="1">
      <c r="A243" s="1076" t="s">
        <v>25</v>
      </c>
      <c r="B243" s="1095"/>
      <c r="C243" s="1095"/>
      <c r="D243" s="1095"/>
      <c r="E243" s="1095"/>
      <c r="F243" s="1095"/>
      <c r="G243" s="1096"/>
    </row>
    <row r="244" spans="1:11" s="2" customFormat="1" ht="15.75" customHeight="1">
      <c r="A244" s="1077"/>
      <c r="B244" s="1097"/>
      <c r="C244" s="1097"/>
      <c r="D244" s="1097"/>
      <c r="E244" s="1097"/>
      <c r="F244" s="1097"/>
      <c r="G244" s="62">
        <f>G242+G239+G235+G231</f>
        <v>2305708.0499999998</v>
      </c>
    </row>
    <row r="245" spans="1:11" s="2" customFormat="1" ht="15.75" customHeight="1">
      <c r="A245" s="63"/>
      <c r="B245" s="42"/>
      <c r="C245" s="42"/>
      <c r="D245" s="42"/>
      <c r="E245" s="42"/>
      <c r="F245" s="42"/>
      <c r="G245" s="64"/>
    </row>
    <row r="246" spans="1:11" s="2" customFormat="1" ht="15.75" customHeight="1">
      <c r="A246" s="970" t="s">
        <v>1</v>
      </c>
      <c r="B246" s="957"/>
      <c r="C246" s="953" t="s">
        <v>0</v>
      </c>
      <c r="D246" s="954"/>
      <c r="E246" s="954"/>
      <c r="F246" s="954"/>
      <c r="G246" s="955"/>
    </row>
    <row r="247" spans="1:11" s="2" customFormat="1" ht="79.5" customHeight="1">
      <c r="A247" s="971"/>
      <c r="B247" s="957"/>
      <c r="C247" s="954"/>
      <c r="D247" s="954"/>
      <c r="E247" s="954"/>
      <c r="F247" s="954"/>
      <c r="G247" s="955"/>
    </row>
    <row r="248" spans="1:11" s="35" customFormat="1" ht="17.399999999999999">
      <c r="A248" s="971"/>
      <c r="B248" s="957"/>
      <c r="C248" s="956"/>
      <c r="D248" s="957"/>
      <c r="E248" s="957"/>
      <c r="F248" s="957"/>
      <c r="G248" s="958"/>
      <c r="H248" s="2"/>
      <c r="I248" s="2"/>
      <c r="J248" s="2"/>
      <c r="K248" s="2"/>
    </row>
    <row r="249" spans="1:11" s="2" customFormat="1" ht="15.75" customHeight="1">
      <c r="A249" s="971"/>
      <c r="B249" s="957"/>
      <c r="C249" s="959" t="s">
        <v>2</v>
      </c>
      <c r="D249" s="957"/>
      <c r="E249" s="957"/>
      <c r="F249" s="23" t="s">
        <v>3</v>
      </c>
      <c r="G249" s="24" t="s">
        <v>4</v>
      </c>
    </row>
    <row r="250" spans="1:11" s="2" customFormat="1" ht="119.25" customHeight="1">
      <c r="A250" s="1073" t="s">
        <v>479</v>
      </c>
      <c r="B250" s="944"/>
      <c r="C250" s="980" t="s">
        <v>480</v>
      </c>
      <c r="D250" s="944"/>
      <c r="E250" s="944"/>
      <c r="F250" s="51" t="s">
        <v>28</v>
      </c>
      <c r="G250" s="52">
        <v>2</v>
      </c>
    </row>
    <row r="251" spans="1:11" s="2" customFormat="1" ht="13.8">
      <c r="A251" s="1071" t="s">
        <v>5</v>
      </c>
      <c r="B251" s="944"/>
      <c r="C251" s="944"/>
      <c r="D251" s="944"/>
      <c r="E251" s="944"/>
      <c r="F251" s="944"/>
      <c r="G251" s="1072"/>
    </row>
    <row r="252" spans="1:11" s="2" customFormat="1" ht="15.75" customHeight="1">
      <c r="A252" s="1074" t="s">
        <v>2</v>
      </c>
      <c r="B252" s="1092"/>
      <c r="C252" s="53" t="s">
        <v>3</v>
      </c>
      <c r="D252" s="53" t="s">
        <v>4</v>
      </c>
      <c r="E252" s="53" t="s">
        <v>6</v>
      </c>
      <c r="F252" s="53" t="s">
        <v>7</v>
      </c>
      <c r="G252" s="61" t="s">
        <v>8</v>
      </c>
    </row>
    <row r="253" spans="1:11" s="2" customFormat="1" ht="15.75" customHeight="1">
      <c r="A253" s="1015" t="s">
        <v>9</v>
      </c>
      <c r="B253" s="1016"/>
      <c r="C253" s="51" t="s">
        <v>3</v>
      </c>
      <c r="D253" s="51">
        <v>0.05</v>
      </c>
      <c r="E253" s="133">
        <f>G264</f>
        <v>27341</v>
      </c>
      <c r="F253" s="55">
        <f>E253*D253</f>
        <v>1367.0500000000002</v>
      </c>
      <c r="G253" s="57">
        <f>SUM(F252:F253)</f>
        <v>1367.0500000000002</v>
      </c>
    </row>
    <row r="254" spans="1:11" s="2" customFormat="1" ht="15.75" customHeight="1">
      <c r="A254" s="1071" t="s">
        <v>10</v>
      </c>
      <c r="B254" s="1093"/>
      <c r="C254" s="1093"/>
      <c r="D254" s="1093"/>
      <c r="E254" s="1093"/>
      <c r="F254" s="1093"/>
      <c r="G254" s="1094"/>
    </row>
    <row r="255" spans="1:11" s="2" customFormat="1" ht="15.75" customHeight="1">
      <c r="A255" s="1074" t="s">
        <v>2</v>
      </c>
      <c r="B255" s="1092"/>
      <c r="C255" s="53" t="s">
        <v>3</v>
      </c>
      <c r="D255" s="53" t="s">
        <v>4</v>
      </c>
      <c r="E255" s="53" t="s">
        <v>6</v>
      </c>
      <c r="F255" s="53" t="s">
        <v>11</v>
      </c>
      <c r="G255" s="1075" t="s">
        <v>8</v>
      </c>
    </row>
    <row r="256" spans="1:11" s="2" customFormat="1" ht="105" customHeight="1">
      <c r="A256" s="947" t="s">
        <v>1574</v>
      </c>
      <c r="B256" s="980"/>
      <c r="C256" s="16" t="s">
        <v>3</v>
      </c>
      <c r="D256" s="16">
        <v>1</v>
      </c>
      <c r="E256" s="17">
        <v>3900000</v>
      </c>
      <c r="F256" s="55">
        <f>D256*E256</f>
        <v>3900000</v>
      </c>
      <c r="G256" s="1075"/>
    </row>
    <row r="257" spans="1:11" s="2" customFormat="1" ht="15.75" customHeight="1">
      <c r="A257" s="947"/>
      <c r="B257" s="980"/>
      <c r="C257" s="16"/>
      <c r="D257" s="58"/>
      <c r="E257" s="17"/>
      <c r="F257" s="55"/>
      <c r="G257" s="57">
        <f>SUM(F255:F257)</f>
        <v>3900000</v>
      </c>
    </row>
    <row r="258" spans="1:11" s="2" customFormat="1" ht="15.75" customHeight="1">
      <c r="A258" s="1071" t="s">
        <v>15</v>
      </c>
      <c r="B258" s="1093"/>
      <c r="C258" s="1093"/>
      <c r="D258" s="1093"/>
      <c r="E258" s="1093"/>
      <c r="F258" s="1093"/>
      <c r="G258" s="1094"/>
    </row>
    <row r="259" spans="1:11" s="2" customFormat="1" ht="15.75" customHeight="1">
      <c r="A259" s="1074" t="s">
        <v>2</v>
      </c>
      <c r="B259" s="1092"/>
      <c r="C259" s="53" t="s">
        <v>3</v>
      </c>
      <c r="D259" s="53" t="s">
        <v>4</v>
      </c>
      <c r="E259" s="53" t="s">
        <v>6</v>
      </c>
      <c r="F259" s="53" t="s">
        <v>11</v>
      </c>
      <c r="G259" s="1075" t="s">
        <v>8</v>
      </c>
    </row>
    <row r="260" spans="1:11" s="2" customFormat="1" ht="15.75" customHeight="1">
      <c r="A260" s="943" t="s">
        <v>173</v>
      </c>
      <c r="B260" s="1078"/>
      <c r="C260" s="16" t="s">
        <v>3</v>
      </c>
      <c r="D260" s="54">
        <v>3.5000000000000003E-2</v>
      </c>
      <c r="E260" s="17">
        <f>G257</f>
        <v>3900000</v>
      </c>
      <c r="F260" s="55">
        <f>E260*D260</f>
        <v>136500</v>
      </c>
      <c r="G260" s="1075"/>
    </row>
    <row r="261" spans="1:11" s="2" customFormat="1" ht="15.75" customHeight="1">
      <c r="A261" s="59"/>
      <c r="B261" s="60"/>
      <c r="C261" s="60"/>
      <c r="D261" s="60"/>
      <c r="E261" s="60"/>
      <c r="F261" s="60"/>
      <c r="G261" s="57">
        <f>SUM(F260:F261)</f>
        <v>136500</v>
      </c>
    </row>
    <row r="262" spans="1:11" s="2" customFormat="1" ht="15.75" customHeight="1">
      <c r="A262" s="1071" t="s">
        <v>19</v>
      </c>
      <c r="B262" s="1093"/>
      <c r="C262" s="1093"/>
      <c r="D262" s="1093"/>
      <c r="E262" s="1093"/>
      <c r="F262" s="1093"/>
      <c r="G262" s="1094"/>
    </row>
    <row r="263" spans="1:11" s="2" customFormat="1" ht="15.75" customHeight="1">
      <c r="A263" s="1074" t="s">
        <v>2</v>
      </c>
      <c r="B263" s="1092"/>
      <c r="C263" s="53" t="s">
        <v>3</v>
      </c>
      <c r="D263" s="53" t="s">
        <v>4</v>
      </c>
      <c r="E263" s="53" t="s">
        <v>6</v>
      </c>
      <c r="F263" s="53" t="s">
        <v>11</v>
      </c>
      <c r="G263" s="456" t="s">
        <v>8</v>
      </c>
    </row>
    <row r="264" spans="1:11" s="2" customFormat="1" ht="15.75" customHeight="1">
      <c r="A264" s="978" t="str">
        <f>SALARIOS!$A$69</f>
        <v>CUADRILLA BB INSTALACIONES 1:1</v>
      </c>
      <c r="B264" s="979"/>
      <c r="C264" s="13" t="s">
        <v>1245</v>
      </c>
      <c r="D264" s="32">
        <v>1</v>
      </c>
      <c r="E264" s="13">
        <f>SALARIOS!$C$69</f>
        <v>27341</v>
      </c>
      <c r="F264" s="55">
        <f>+D264*E264</f>
        <v>27341</v>
      </c>
      <c r="G264" s="57">
        <f>SUM(F263:F264)</f>
        <v>27341</v>
      </c>
    </row>
    <row r="265" spans="1:11" s="2" customFormat="1" ht="15.75" customHeight="1">
      <c r="A265" s="1076" t="s">
        <v>25</v>
      </c>
      <c r="B265" s="1095"/>
      <c r="C265" s="1095"/>
      <c r="D265" s="1095"/>
      <c r="E265" s="1095"/>
      <c r="F265" s="1095"/>
      <c r="G265" s="1096"/>
    </row>
    <row r="266" spans="1:11" s="2" customFormat="1" ht="15.75" customHeight="1">
      <c r="A266" s="1077"/>
      <c r="B266" s="1097"/>
      <c r="C266" s="1097"/>
      <c r="D266" s="1097"/>
      <c r="E266" s="1097"/>
      <c r="F266" s="1097"/>
      <c r="G266" s="62">
        <f>G264+G261+G257+G253</f>
        <v>4065208.05</v>
      </c>
    </row>
    <row r="267" spans="1:11" s="2" customFormat="1" ht="15.75" customHeight="1">
      <c r="A267" s="63"/>
      <c r="B267" s="42"/>
      <c r="C267" s="42"/>
      <c r="D267" s="42"/>
      <c r="E267" s="42"/>
      <c r="F267" s="42"/>
      <c r="G267" s="64"/>
    </row>
    <row r="268" spans="1:11" s="2" customFormat="1" ht="15.75" customHeight="1">
      <c r="A268" s="970" t="s">
        <v>1</v>
      </c>
      <c r="B268" s="957"/>
      <c r="C268" s="953" t="s">
        <v>0</v>
      </c>
      <c r="D268" s="954"/>
      <c r="E268" s="954"/>
      <c r="F268" s="954"/>
      <c r="G268" s="955"/>
    </row>
    <row r="269" spans="1:11" s="2" customFormat="1" ht="66.75" customHeight="1">
      <c r="A269" s="971"/>
      <c r="B269" s="957"/>
      <c r="C269" s="954"/>
      <c r="D269" s="954"/>
      <c r="E269" s="954"/>
      <c r="F269" s="954"/>
      <c r="G269" s="955"/>
    </row>
    <row r="270" spans="1:11" s="35" customFormat="1" ht="17.399999999999999">
      <c r="A270" s="971"/>
      <c r="B270" s="957"/>
      <c r="C270" s="956"/>
      <c r="D270" s="957"/>
      <c r="E270" s="957"/>
      <c r="F270" s="957"/>
      <c r="G270" s="958"/>
      <c r="H270" s="2"/>
      <c r="I270" s="2"/>
      <c r="J270" s="2"/>
      <c r="K270" s="2"/>
    </row>
    <row r="271" spans="1:11" s="2" customFormat="1" ht="15.75" customHeight="1">
      <c r="A271" s="971"/>
      <c r="B271" s="957"/>
      <c r="C271" s="959" t="s">
        <v>2</v>
      </c>
      <c r="D271" s="957"/>
      <c r="E271" s="957"/>
      <c r="F271" s="23" t="s">
        <v>3</v>
      </c>
      <c r="G271" s="24" t="s">
        <v>4</v>
      </c>
    </row>
    <row r="272" spans="1:11" s="2" customFormat="1" ht="111" customHeight="1">
      <c r="A272" s="1073" t="s">
        <v>481</v>
      </c>
      <c r="B272" s="944"/>
      <c r="C272" s="980" t="s">
        <v>482</v>
      </c>
      <c r="D272" s="944"/>
      <c r="E272" s="944"/>
      <c r="F272" s="51" t="s">
        <v>28</v>
      </c>
      <c r="G272" s="52">
        <v>1</v>
      </c>
    </row>
    <row r="273" spans="1:7" s="2" customFormat="1" ht="13.8">
      <c r="A273" s="1071" t="s">
        <v>5</v>
      </c>
      <c r="B273" s="944"/>
      <c r="C273" s="944"/>
      <c r="D273" s="944"/>
      <c r="E273" s="944"/>
      <c r="F273" s="944"/>
      <c r="G273" s="1072"/>
    </row>
    <row r="274" spans="1:7" s="2" customFormat="1" ht="15.75" customHeight="1">
      <c r="A274" s="1074" t="s">
        <v>2</v>
      </c>
      <c r="B274" s="1092"/>
      <c r="C274" s="53" t="s">
        <v>3</v>
      </c>
      <c r="D274" s="53" t="s">
        <v>4</v>
      </c>
      <c r="E274" s="53" t="s">
        <v>6</v>
      </c>
      <c r="F274" s="53" t="s">
        <v>7</v>
      </c>
      <c r="G274" s="61" t="s">
        <v>8</v>
      </c>
    </row>
    <row r="275" spans="1:7" s="2" customFormat="1" ht="15.75" customHeight="1">
      <c r="A275" s="1015" t="s">
        <v>9</v>
      </c>
      <c r="B275" s="1016"/>
      <c r="C275" s="51" t="s">
        <v>3</v>
      </c>
      <c r="D275" s="51">
        <v>0.05</v>
      </c>
      <c r="E275" s="133">
        <f>G286</f>
        <v>27341</v>
      </c>
      <c r="F275" s="55">
        <f>E275*D275</f>
        <v>1367.0500000000002</v>
      </c>
      <c r="G275" s="57">
        <f>SUM(F274:F275)</f>
        <v>1367.0500000000002</v>
      </c>
    </row>
    <row r="276" spans="1:7" s="2" customFormat="1" ht="15.75" customHeight="1">
      <c r="A276" s="1071" t="s">
        <v>10</v>
      </c>
      <c r="B276" s="1093"/>
      <c r="C276" s="1093"/>
      <c r="D276" s="1093"/>
      <c r="E276" s="1093"/>
      <c r="F276" s="1093"/>
      <c r="G276" s="1094"/>
    </row>
    <row r="277" spans="1:7" s="2" customFormat="1" ht="15.75" customHeight="1">
      <c r="A277" s="1074" t="s">
        <v>2</v>
      </c>
      <c r="B277" s="1092"/>
      <c r="C277" s="53" t="s">
        <v>3</v>
      </c>
      <c r="D277" s="53" t="s">
        <v>4</v>
      </c>
      <c r="E277" s="53" t="s">
        <v>6</v>
      </c>
      <c r="F277" s="53" t="s">
        <v>11</v>
      </c>
      <c r="G277" s="1075" t="s">
        <v>8</v>
      </c>
    </row>
    <row r="278" spans="1:7" s="2" customFormat="1" ht="109.5" customHeight="1">
      <c r="A278" s="947" t="s">
        <v>1575</v>
      </c>
      <c r="B278" s="980"/>
      <c r="C278" s="16" t="s">
        <v>3</v>
      </c>
      <c r="D278" s="16">
        <v>1</v>
      </c>
      <c r="E278" s="17">
        <v>2300000</v>
      </c>
      <c r="F278" s="55">
        <f>D278*E278</f>
        <v>2300000</v>
      </c>
      <c r="G278" s="1075"/>
    </row>
    <row r="279" spans="1:7" s="2" customFormat="1" ht="15.75" customHeight="1">
      <c r="A279" s="947"/>
      <c r="B279" s="980"/>
      <c r="C279" s="16"/>
      <c r="D279" s="58"/>
      <c r="E279" s="17"/>
      <c r="F279" s="55"/>
      <c r="G279" s="57">
        <f>SUM(F277:F279)</f>
        <v>2300000</v>
      </c>
    </row>
    <row r="280" spans="1:7" s="2" customFormat="1" ht="15.75" customHeight="1">
      <c r="A280" s="1071" t="s">
        <v>15</v>
      </c>
      <c r="B280" s="1093"/>
      <c r="C280" s="1093"/>
      <c r="D280" s="1093"/>
      <c r="E280" s="1093"/>
      <c r="F280" s="1093"/>
      <c r="G280" s="1094"/>
    </row>
    <row r="281" spans="1:7" s="2" customFormat="1" ht="15.75" customHeight="1">
      <c r="A281" s="1074" t="s">
        <v>2</v>
      </c>
      <c r="B281" s="1092"/>
      <c r="C281" s="53" t="s">
        <v>3</v>
      </c>
      <c r="D281" s="53" t="s">
        <v>4</v>
      </c>
      <c r="E281" s="53" t="s">
        <v>6</v>
      </c>
      <c r="F281" s="53" t="s">
        <v>11</v>
      </c>
      <c r="G281" s="1075" t="s">
        <v>8</v>
      </c>
    </row>
    <row r="282" spans="1:7" s="2" customFormat="1" ht="15.75" customHeight="1">
      <c r="A282" s="943" t="s">
        <v>173</v>
      </c>
      <c r="B282" s="1078"/>
      <c r="C282" s="16" t="s">
        <v>3</v>
      </c>
      <c r="D282" s="54">
        <v>3.5000000000000003E-2</v>
      </c>
      <c r="E282" s="17">
        <f>G279</f>
        <v>2300000</v>
      </c>
      <c r="F282" s="55">
        <f>E282*D282</f>
        <v>80500.000000000015</v>
      </c>
      <c r="G282" s="1075"/>
    </row>
    <row r="283" spans="1:7" s="2" customFormat="1" ht="15.75" customHeight="1">
      <c r="A283" s="59"/>
      <c r="B283" s="60"/>
      <c r="C283" s="60"/>
      <c r="D283" s="60"/>
      <c r="E283" s="60"/>
      <c r="F283" s="60"/>
      <c r="G283" s="57">
        <f>SUM(F282:F283)</f>
        <v>80500.000000000015</v>
      </c>
    </row>
    <row r="284" spans="1:7" s="2" customFormat="1" ht="15.75" customHeight="1">
      <c r="A284" s="1071" t="s">
        <v>19</v>
      </c>
      <c r="B284" s="1093"/>
      <c r="C284" s="1093"/>
      <c r="D284" s="1093"/>
      <c r="E284" s="1093"/>
      <c r="F284" s="1093"/>
      <c r="G284" s="1094"/>
    </row>
    <row r="285" spans="1:7" s="2" customFormat="1" ht="15.75" customHeight="1">
      <c r="A285" s="1074" t="s">
        <v>2</v>
      </c>
      <c r="B285" s="1092"/>
      <c r="C285" s="53" t="s">
        <v>3</v>
      </c>
      <c r="D285" s="53" t="s">
        <v>4</v>
      </c>
      <c r="E285" s="53" t="s">
        <v>6</v>
      </c>
      <c r="F285" s="53" t="s">
        <v>11</v>
      </c>
      <c r="G285" s="456" t="s">
        <v>8</v>
      </c>
    </row>
    <row r="286" spans="1:7" s="2" customFormat="1" ht="15.75" customHeight="1">
      <c r="A286" s="978" t="str">
        <f>SALARIOS!$A$69</f>
        <v>CUADRILLA BB INSTALACIONES 1:1</v>
      </c>
      <c r="B286" s="979"/>
      <c r="C286" s="13" t="s">
        <v>1245</v>
      </c>
      <c r="D286" s="32">
        <v>1</v>
      </c>
      <c r="E286" s="13">
        <f>SALARIOS!$C$69</f>
        <v>27341</v>
      </c>
      <c r="F286" s="55">
        <f>+D286*E286</f>
        <v>27341</v>
      </c>
      <c r="G286" s="57">
        <f>SUM(F285:F286)</f>
        <v>27341</v>
      </c>
    </row>
    <row r="287" spans="1:7" s="2" customFormat="1" ht="15.75" customHeight="1">
      <c r="A287" s="1076" t="s">
        <v>25</v>
      </c>
      <c r="B287" s="1095"/>
      <c r="C287" s="1095"/>
      <c r="D287" s="1095"/>
      <c r="E287" s="1095"/>
      <c r="F287" s="1095"/>
      <c r="G287" s="1096"/>
    </row>
    <row r="288" spans="1:7" s="2" customFormat="1" ht="17.399999999999999">
      <c r="A288" s="1077"/>
      <c r="B288" s="1097"/>
      <c r="C288" s="1097"/>
      <c r="D288" s="1097"/>
      <c r="E288" s="1097"/>
      <c r="F288" s="1097"/>
      <c r="G288" s="62">
        <f>G286+G283+G279+G275</f>
        <v>2409208.0499999998</v>
      </c>
    </row>
    <row r="289" spans="1:11" s="2" customFormat="1" ht="15.75" customHeight="1">
      <c r="A289" s="63"/>
      <c r="B289" s="42"/>
      <c r="C289" s="42"/>
      <c r="D289" s="42"/>
      <c r="E289" s="42"/>
      <c r="F289" s="42"/>
      <c r="G289" s="64"/>
    </row>
    <row r="290" spans="1:11" s="2" customFormat="1" ht="15.75" customHeight="1">
      <c r="A290" s="970" t="s">
        <v>1</v>
      </c>
      <c r="B290" s="957"/>
      <c r="C290" s="953" t="s">
        <v>0</v>
      </c>
      <c r="D290" s="954"/>
      <c r="E290" s="954"/>
      <c r="F290" s="954"/>
      <c r="G290" s="955"/>
    </row>
    <row r="291" spans="1:11" s="2" customFormat="1" ht="74.25" customHeight="1">
      <c r="A291" s="971"/>
      <c r="B291" s="957"/>
      <c r="C291" s="954"/>
      <c r="D291" s="954"/>
      <c r="E291" s="954"/>
      <c r="F291" s="954"/>
      <c r="G291" s="955"/>
    </row>
    <row r="292" spans="1:11" s="35" customFormat="1" ht="17.399999999999999">
      <c r="A292" s="971"/>
      <c r="B292" s="957"/>
      <c r="C292" s="956"/>
      <c r="D292" s="957"/>
      <c r="E292" s="957"/>
      <c r="F292" s="957"/>
      <c r="G292" s="958"/>
      <c r="H292" s="2"/>
      <c r="I292" s="2"/>
      <c r="J292" s="2"/>
      <c r="K292" s="2"/>
    </row>
    <row r="293" spans="1:11" s="2" customFormat="1" ht="15.75" customHeight="1">
      <c r="A293" s="971"/>
      <c r="B293" s="957"/>
      <c r="C293" s="959" t="s">
        <v>2</v>
      </c>
      <c r="D293" s="957"/>
      <c r="E293" s="957"/>
      <c r="F293" s="23" t="s">
        <v>3</v>
      </c>
      <c r="G293" s="24" t="s">
        <v>4</v>
      </c>
    </row>
    <row r="294" spans="1:11" s="2" customFormat="1" ht="132.75" customHeight="1">
      <c r="A294" s="1073" t="s">
        <v>483</v>
      </c>
      <c r="B294" s="944"/>
      <c r="C294" s="980" t="s">
        <v>484</v>
      </c>
      <c r="D294" s="944"/>
      <c r="E294" s="944"/>
      <c r="F294" s="51" t="s">
        <v>28</v>
      </c>
      <c r="G294" s="52">
        <v>1</v>
      </c>
    </row>
    <row r="295" spans="1:11" s="2" customFormat="1" ht="13.8">
      <c r="A295" s="1071" t="s">
        <v>5</v>
      </c>
      <c r="B295" s="944"/>
      <c r="C295" s="944"/>
      <c r="D295" s="944"/>
      <c r="E295" s="944"/>
      <c r="F295" s="944"/>
      <c r="G295" s="1072"/>
    </row>
    <row r="296" spans="1:11" s="2" customFormat="1" ht="15.75" customHeight="1">
      <c r="A296" s="1074" t="s">
        <v>2</v>
      </c>
      <c r="B296" s="1092"/>
      <c r="C296" s="53" t="s">
        <v>3</v>
      </c>
      <c r="D296" s="53" t="s">
        <v>4</v>
      </c>
      <c r="E296" s="53" t="s">
        <v>6</v>
      </c>
      <c r="F296" s="53" t="s">
        <v>7</v>
      </c>
      <c r="G296" s="61" t="s">
        <v>8</v>
      </c>
    </row>
    <row r="297" spans="1:11" s="2" customFormat="1" ht="15.75" customHeight="1">
      <c r="A297" s="1015" t="s">
        <v>9</v>
      </c>
      <c r="B297" s="1016"/>
      <c r="C297" s="51" t="s">
        <v>3</v>
      </c>
      <c r="D297" s="51">
        <v>0.05</v>
      </c>
      <c r="E297" s="133">
        <f>G308</f>
        <v>27341</v>
      </c>
      <c r="F297" s="55">
        <f>E297*D297</f>
        <v>1367.0500000000002</v>
      </c>
      <c r="G297" s="57">
        <f>SUM(F296:F297)</f>
        <v>1367.0500000000002</v>
      </c>
    </row>
    <row r="298" spans="1:11" s="2" customFormat="1" ht="15.75" customHeight="1">
      <c r="A298" s="1071" t="s">
        <v>10</v>
      </c>
      <c r="B298" s="1093"/>
      <c r="C298" s="1093"/>
      <c r="D298" s="1093"/>
      <c r="E298" s="1093"/>
      <c r="F298" s="1093"/>
      <c r="G298" s="1094"/>
    </row>
    <row r="299" spans="1:11" s="2" customFormat="1" ht="15.75" customHeight="1">
      <c r="A299" s="1074" t="s">
        <v>2</v>
      </c>
      <c r="B299" s="1092"/>
      <c r="C299" s="53" t="s">
        <v>3</v>
      </c>
      <c r="D299" s="53" t="s">
        <v>4</v>
      </c>
      <c r="E299" s="53" t="s">
        <v>6</v>
      </c>
      <c r="F299" s="53" t="s">
        <v>11</v>
      </c>
      <c r="G299" s="1075" t="s">
        <v>8</v>
      </c>
    </row>
    <row r="300" spans="1:11" s="2" customFormat="1" ht="123.75" customHeight="1">
      <c r="A300" s="947" t="s">
        <v>1576</v>
      </c>
      <c r="B300" s="980"/>
      <c r="C300" s="16" t="s">
        <v>3</v>
      </c>
      <c r="D300" s="16">
        <v>1</v>
      </c>
      <c r="E300" s="17">
        <v>2400000</v>
      </c>
      <c r="F300" s="55">
        <f>D300*E300</f>
        <v>2400000</v>
      </c>
      <c r="G300" s="1075"/>
    </row>
    <row r="301" spans="1:11" s="2" customFormat="1" ht="15.75" customHeight="1">
      <c r="A301" s="947"/>
      <c r="B301" s="980"/>
      <c r="C301" s="16"/>
      <c r="D301" s="58"/>
      <c r="E301" s="17"/>
      <c r="F301" s="55"/>
      <c r="G301" s="57">
        <f>SUM(F299:F301)</f>
        <v>2400000</v>
      </c>
    </row>
    <row r="302" spans="1:11" s="2" customFormat="1" ht="15.75" customHeight="1">
      <c r="A302" s="1071" t="s">
        <v>15</v>
      </c>
      <c r="B302" s="1093"/>
      <c r="C302" s="1093"/>
      <c r="D302" s="1093"/>
      <c r="E302" s="1093"/>
      <c r="F302" s="1093"/>
      <c r="G302" s="1094"/>
    </row>
    <row r="303" spans="1:11" s="2" customFormat="1" ht="15.75" customHeight="1">
      <c r="A303" s="1074" t="s">
        <v>2</v>
      </c>
      <c r="B303" s="1092"/>
      <c r="C303" s="53" t="s">
        <v>3</v>
      </c>
      <c r="D303" s="53" t="s">
        <v>4</v>
      </c>
      <c r="E303" s="53" t="s">
        <v>6</v>
      </c>
      <c r="F303" s="53" t="s">
        <v>11</v>
      </c>
      <c r="G303" s="1075" t="s">
        <v>8</v>
      </c>
    </row>
    <row r="304" spans="1:11" s="2" customFormat="1" ht="15.75" customHeight="1">
      <c r="A304" s="943" t="s">
        <v>173</v>
      </c>
      <c r="B304" s="1078"/>
      <c r="C304" s="16" t="s">
        <v>3</v>
      </c>
      <c r="D304" s="54">
        <v>3.5000000000000003E-2</v>
      </c>
      <c r="E304" s="17">
        <f>G301</f>
        <v>2400000</v>
      </c>
      <c r="F304" s="55">
        <f>E304*D304</f>
        <v>84000.000000000015</v>
      </c>
      <c r="G304" s="1075"/>
    </row>
    <row r="305" spans="1:11" s="2" customFormat="1" ht="15.75" customHeight="1">
      <c r="A305" s="59"/>
      <c r="B305" s="60"/>
      <c r="C305" s="60"/>
      <c r="D305" s="60"/>
      <c r="E305" s="60"/>
      <c r="F305" s="60"/>
      <c r="G305" s="57">
        <f>SUM(F304:F305)</f>
        <v>84000.000000000015</v>
      </c>
    </row>
    <row r="306" spans="1:11" s="2" customFormat="1" ht="15.75" customHeight="1">
      <c r="A306" s="1071" t="s">
        <v>19</v>
      </c>
      <c r="B306" s="1093"/>
      <c r="C306" s="1093"/>
      <c r="D306" s="1093"/>
      <c r="E306" s="1093"/>
      <c r="F306" s="1093"/>
      <c r="G306" s="1094"/>
    </row>
    <row r="307" spans="1:11" s="2" customFormat="1" ht="15.75" customHeight="1">
      <c r="A307" s="1074" t="s">
        <v>2</v>
      </c>
      <c r="B307" s="1092"/>
      <c r="C307" s="53" t="s">
        <v>3</v>
      </c>
      <c r="D307" s="53" t="s">
        <v>4</v>
      </c>
      <c r="E307" s="53" t="s">
        <v>6</v>
      </c>
      <c r="F307" s="53" t="s">
        <v>11</v>
      </c>
      <c r="G307" s="456" t="s">
        <v>8</v>
      </c>
    </row>
    <row r="308" spans="1:11" s="2" customFormat="1" ht="15.75" customHeight="1">
      <c r="A308" s="978" t="str">
        <f>SALARIOS!$A$69</f>
        <v>CUADRILLA BB INSTALACIONES 1:1</v>
      </c>
      <c r="B308" s="979"/>
      <c r="C308" s="13" t="s">
        <v>1245</v>
      </c>
      <c r="D308" s="32">
        <v>1</v>
      </c>
      <c r="E308" s="13">
        <f>SALARIOS!$C$69</f>
        <v>27341</v>
      </c>
      <c r="F308" s="55">
        <f>+D308*E308</f>
        <v>27341</v>
      </c>
      <c r="G308" s="57">
        <f>SUM(F307:F308)</f>
        <v>27341</v>
      </c>
    </row>
    <row r="309" spans="1:11" s="2" customFormat="1" ht="15.75" customHeight="1">
      <c r="A309" s="1076" t="s">
        <v>25</v>
      </c>
      <c r="B309" s="1095"/>
      <c r="C309" s="1095"/>
      <c r="D309" s="1095"/>
      <c r="E309" s="1095"/>
      <c r="F309" s="1095"/>
      <c r="G309" s="1096"/>
    </row>
    <row r="310" spans="1:11" s="2" customFormat="1" ht="15.75" customHeight="1">
      <c r="A310" s="1077"/>
      <c r="B310" s="1097"/>
      <c r="C310" s="1097"/>
      <c r="D310" s="1097"/>
      <c r="E310" s="1097"/>
      <c r="F310" s="1097"/>
      <c r="G310" s="62">
        <f>G308+G305+G301+G297</f>
        <v>2512708.0499999998</v>
      </c>
    </row>
    <row r="311" spans="1:11" s="2" customFormat="1" ht="15.75" customHeight="1">
      <c r="A311" s="63"/>
      <c r="B311" s="42"/>
      <c r="C311" s="42"/>
      <c r="D311" s="42"/>
      <c r="E311" s="42"/>
      <c r="F311" s="42"/>
      <c r="G311" s="64"/>
    </row>
    <row r="312" spans="1:11" s="2" customFormat="1" ht="15.75" customHeight="1">
      <c r="A312" s="970" t="s">
        <v>1</v>
      </c>
      <c r="B312" s="957"/>
      <c r="C312" s="953" t="s">
        <v>0</v>
      </c>
      <c r="D312" s="954"/>
      <c r="E312" s="954"/>
      <c r="F312" s="954"/>
      <c r="G312" s="955"/>
    </row>
    <row r="313" spans="1:11" s="2" customFormat="1" ht="59.25" customHeight="1">
      <c r="A313" s="971"/>
      <c r="B313" s="957"/>
      <c r="C313" s="954"/>
      <c r="D313" s="954"/>
      <c r="E313" s="954"/>
      <c r="F313" s="954"/>
      <c r="G313" s="955"/>
    </row>
    <row r="314" spans="1:11" s="35" customFormat="1" ht="17.399999999999999">
      <c r="A314" s="971"/>
      <c r="B314" s="957"/>
      <c r="C314" s="956"/>
      <c r="D314" s="957"/>
      <c r="E314" s="957"/>
      <c r="F314" s="957"/>
      <c r="G314" s="958"/>
      <c r="H314" s="2"/>
      <c r="I314" s="2"/>
      <c r="J314" s="2"/>
      <c r="K314" s="2"/>
    </row>
    <row r="315" spans="1:11" s="2" customFormat="1" ht="15.75" customHeight="1">
      <c r="A315" s="971"/>
      <c r="B315" s="957"/>
      <c r="C315" s="959" t="s">
        <v>2</v>
      </c>
      <c r="D315" s="957"/>
      <c r="E315" s="957"/>
      <c r="F315" s="23" t="s">
        <v>3</v>
      </c>
      <c r="G315" s="24" t="s">
        <v>4</v>
      </c>
    </row>
    <row r="316" spans="1:11" s="2" customFormat="1" ht="107.25" customHeight="1">
      <c r="A316" s="1073" t="s">
        <v>485</v>
      </c>
      <c r="B316" s="944"/>
      <c r="C316" s="980" t="s">
        <v>486</v>
      </c>
      <c r="D316" s="944"/>
      <c r="E316" s="944"/>
      <c r="F316" s="51" t="s">
        <v>28</v>
      </c>
      <c r="G316" s="52">
        <v>2</v>
      </c>
    </row>
    <row r="317" spans="1:11" s="2" customFormat="1" ht="13.8">
      <c r="A317" s="1071" t="s">
        <v>5</v>
      </c>
      <c r="B317" s="944"/>
      <c r="C317" s="944"/>
      <c r="D317" s="944"/>
      <c r="E317" s="944"/>
      <c r="F317" s="944"/>
      <c r="G317" s="1072"/>
    </row>
    <row r="318" spans="1:11" s="2" customFormat="1" ht="15.75" customHeight="1">
      <c r="A318" s="1074" t="s">
        <v>2</v>
      </c>
      <c r="B318" s="1092"/>
      <c r="C318" s="53" t="s">
        <v>3</v>
      </c>
      <c r="D318" s="53" t="s">
        <v>4</v>
      </c>
      <c r="E318" s="53" t="s">
        <v>6</v>
      </c>
      <c r="F318" s="53" t="s">
        <v>7</v>
      </c>
      <c r="G318" s="61" t="s">
        <v>8</v>
      </c>
    </row>
    <row r="319" spans="1:11" s="2" customFormat="1" ht="15.75" customHeight="1">
      <c r="A319" s="1015" t="s">
        <v>9</v>
      </c>
      <c r="B319" s="1016"/>
      <c r="C319" s="51" t="s">
        <v>3</v>
      </c>
      <c r="D319" s="51">
        <v>0.05</v>
      </c>
      <c r="E319" s="133">
        <f>G330</f>
        <v>27341</v>
      </c>
      <c r="F319" s="55">
        <f>E319*D319</f>
        <v>1367.0500000000002</v>
      </c>
      <c r="G319" s="57">
        <f>SUM(F318:F319)</f>
        <v>1367.0500000000002</v>
      </c>
    </row>
    <row r="320" spans="1:11" s="2" customFormat="1" ht="15.75" customHeight="1">
      <c r="A320" s="1071" t="s">
        <v>10</v>
      </c>
      <c r="B320" s="1093"/>
      <c r="C320" s="1093"/>
      <c r="D320" s="1093"/>
      <c r="E320" s="1093"/>
      <c r="F320" s="1093"/>
      <c r="G320" s="1094"/>
    </row>
    <row r="321" spans="1:11" s="2" customFormat="1" ht="15.75" customHeight="1">
      <c r="A321" s="1074" t="s">
        <v>2</v>
      </c>
      <c r="B321" s="1092"/>
      <c r="C321" s="53" t="s">
        <v>3</v>
      </c>
      <c r="D321" s="53" t="s">
        <v>4</v>
      </c>
      <c r="E321" s="53" t="s">
        <v>6</v>
      </c>
      <c r="F321" s="53" t="s">
        <v>11</v>
      </c>
      <c r="G321" s="1075" t="s">
        <v>8</v>
      </c>
    </row>
    <row r="322" spans="1:11" s="2" customFormat="1" ht="116.25" customHeight="1">
      <c r="A322" s="947" t="s">
        <v>1577</v>
      </c>
      <c r="B322" s="980"/>
      <c r="C322" s="16" t="s">
        <v>3</v>
      </c>
      <c r="D322" s="16">
        <v>1</v>
      </c>
      <c r="E322" s="17">
        <v>2500000</v>
      </c>
      <c r="F322" s="55">
        <f>D322*E322</f>
        <v>2500000</v>
      </c>
      <c r="G322" s="1075"/>
    </row>
    <row r="323" spans="1:11" s="2" customFormat="1" ht="15.75" customHeight="1">
      <c r="A323" s="947"/>
      <c r="B323" s="980"/>
      <c r="C323" s="16"/>
      <c r="D323" s="58"/>
      <c r="E323" s="17"/>
      <c r="F323" s="55"/>
      <c r="G323" s="57">
        <f>SUM(F321:F323)</f>
        <v>2500000</v>
      </c>
    </row>
    <row r="324" spans="1:11" s="2" customFormat="1" ht="15.75" customHeight="1">
      <c r="A324" s="1071" t="s">
        <v>15</v>
      </c>
      <c r="B324" s="1093"/>
      <c r="C324" s="1093"/>
      <c r="D324" s="1093"/>
      <c r="E324" s="1093"/>
      <c r="F324" s="1093"/>
      <c r="G324" s="1094"/>
    </row>
    <row r="325" spans="1:11" s="2" customFormat="1" ht="15.75" customHeight="1">
      <c r="A325" s="1074" t="s">
        <v>2</v>
      </c>
      <c r="B325" s="1092"/>
      <c r="C325" s="53" t="s">
        <v>3</v>
      </c>
      <c r="D325" s="53" t="s">
        <v>4</v>
      </c>
      <c r="E325" s="53" t="s">
        <v>6</v>
      </c>
      <c r="F325" s="53" t="s">
        <v>11</v>
      </c>
      <c r="G325" s="1075" t="s">
        <v>8</v>
      </c>
    </row>
    <row r="326" spans="1:11" s="2" customFormat="1" ht="15.75" customHeight="1">
      <c r="A326" s="943" t="s">
        <v>173</v>
      </c>
      <c r="B326" s="1078"/>
      <c r="C326" s="16" t="s">
        <v>3</v>
      </c>
      <c r="D326" s="54">
        <v>3.5000000000000003E-2</v>
      </c>
      <c r="E326" s="17">
        <f>G323</f>
        <v>2500000</v>
      </c>
      <c r="F326" s="55">
        <f>E326*D326</f>
        <v>87500.000000000015</v>
      </c>
      <c r="G326" s="1075"/>
    </row>
    <row r="327" spans="1:11" s="2" customFormat="1" ht="15.75" customHeight="1">
      <c r="A327" s="59"/>
      <c r="B327" s="60"/>
      <c r="C327" s="60"/>
      <c r="D327" s="60"/>
      <c r="E327" s="60"/>
      <c r="F327" s="60"/>
      <c r="G327" s="57">
        <f>SUM(F326:F327)</f>
        <v>87500.000000000015</v>
      </c>
    </row>
    <row r="328" spans="1:11" s="2" customFormat="1" ht="15.75" customHeight="1">
      <c r="A328" s="1071" t="s">
        <v>19</v>
      </c>
      <c r="B328" s="1093"/>
      <c r="C328" s="1093"/>
      <c r="D328" s="1093"/>
      <c r="E328" s="1093"/>
      <c r="F328" s="1093"/>
      <c r="G328" s="1094"/>
    </row>
    <row r="329" spans="1:11" s="2" customFormat="1" ht="15.75" customHeight="1">
      <c r="A329" s="1074" t="s">
        <v>2</v>
      </c>
      <c r="B329" s="1092"/>
      <c r="C329" s="53" t="s">
        <v>3</v>
      </c>
      <c r="D329" s="53" t="s">
        <v>4</v>
      </c>
      <c r="E329" s="53" t="s">
        <v>6</v>
      </c>
      <c r="F329" s="53" t="s">
        <v>11</v>
      </c>
      <c r="G329" s="456" t="s">
        <v>8</v>
      </c>
    </row>
    <row r="330" spans="1:11" s="2" customFormat="1" ht="15.75" customHeight="1">
      <c r="A330" s="978" t="str">
        <f>SALARIOS!$A$69</f>
        <v>CUADRILLA BB INSTALACIONES 1:1</v>
      </c>
      <c r="B330" s="979"/>
      <c r="C330" s="13" t="s">
        <v>1245</v>
      </c>
      <c r="D330" s="32">
        <v>1</v>
      </c>
      <c r="E330" s="13">
        <f>SALARIOS!$C$69</f>
        <v>27341</v>
      </c>
      <c r="F330" s="55">
        <f>+D330*E330</f>
        <v>27341</v>
      </c>
      <c r="G330" s="57">
        <f>SUM(F329:F330)</f>
        <v>27341</v>
      </c>
    </row>
    <row r="331" spans="1:11" s="2" customFormat="1" ht="15.75" customHeight="1">
      <c r="A331" s="1076" t="s">
        <v>25</v>
      </c>
      <c r="B331" s="1095"/>
      <c r="C331" s="1095"/>
      <c r="D331" s="1095"/>
      <c r="E331" s="1095"/>
      <c r="F331" s="1095"/>
      <c r="G331" s="1096"/>
    </row>
    <row r="332" spans="1:11" s="2" customFormat="1" ht="15.75" customHeight="1">
      <c r="A332" s="1077"/>
      <c r="B332" s="1097"/>
      <c r="C332" s="1097"/>
      <c r="D332" s="1097"/>
      <c r="E332" s="1097"/>
      <c r="F332" s="1097"/>
      <c r="G332" s="62">
        <f>G330+G327+G323+G319</f>
        <v>2616208.0499999998</v>
      </c>
    </row>
    <row r="333" spans="1:11" s="2" customFormat="1" ht="15.75" customHeight="1">
      <c r="A333" s="63"/>
      <c r="B333" s="42"/>
      <c r="C333" s="42"/>
      <c r="D333" s="42"/>
      <c r="E333" s="42"/>
      <c r="F333" s="42"/>
      <c r="G333" s="64"/>
    </row>
    <row r="334" spans="1:11" s="2" customFormat="1" ht="15.75" customHeight="1">
      <c r="A334" s="970" t="s">
        <v>1</v>
      </c>
      <c r="B334" s="957"/>
      <c r="C334" s="953" t="s">
        <v>0</v>
      </c>
      <c r="D334" s="954"/>
      <c r="E334" s="954"/>
      <c r="F334" s="954"/>
      <c r="G334" s="955"/>
    </row>
    <row r="335" spans="1:11" s="2" customFormat="1" ht="75.75" customHeight="1">
      <c r="A335" s="971"/>
      <c r="B335" s="957"/>
      <c r="C335" s="954"/>
      <c r="D335" s="954"/>
      <c r="E335" s="954"/>
      <c r="F335" s="954"/>
      <c r="G335" s="955"/>
    </row>
    <row r="336" spans="1:11" s="35" customFormat="1" ht="17.399999999999999">
      <c r="A336" s="971"/>
      <c r="B336" s="957"/>
      <c r="C336" s="956"/>
      <c r="D336" s="957"/>
      <c r="E336" s="957"/>
      <c r="F336" s="957"/>
      <c r="G336" s="958"/>
      <c r="H336" s="2"/>
      <c r="I336" s="2"/>
      <c r="J336" s="2"/>
      <c r="K336" s="2"/>
    </row>
    <row r="337" spans="1:7" s="2" customFormat="1" ht="15.75" customHeight="1">
      <c r="A337" s="971"/>
      <c r="B337" s="957"/>
      <c r="C337" s="959" t="s">
        <v>2</v>
      </c>
      <c r="D337" s="957"/>
      <c r="E337" s="957"/>
      <c r="F337" s="23" t="s">
        <v>3</v>
      </c>
      <c r="G337" s="24" t="s">
        <v>4</v>
      </c>
    </row>
    <row r="338" spans="1:7" s="2" customFormat="1" ht="119.25" customHeight="1">
      <c r="A338" s="1073" t="s">
        <v>487</v>
      </c>
      <c r="B338" s="944"/>
      <c r="C338" s="980" t="s">
        <v>488</v>
      </c>
      <c r="D338" s="944"/>
      <c r="E338" s="944"/>
      <c r="F338" s="51" t="s">
        <v>28</v>
      </c>
      <c r="G338" s="52">
        <v>3</v>
      </c>
    </row>
    <row r="339" spans="1:7" s="2" customFormat="1" ht="13.8">
      <c r="A339" s="1071" t="s">
        <v>5</v>
      </c>
      <c r="B339" s="944"/>
      <c r="C339" s="944"/>
      <c r="D339" s="944"/>
      <c r="E339" s="944"/>
      <c r="F339" s="944"/>
      <c r="G339" s="1072"/>
    </row>
    <row r="340" spans="1:7" s="2" customFormat="1" ht="17.25" customHeight="1">
      <c r="A340" s="1074" t="s">
        <v>2</v>
      </c>
      <c r="B340" s="1092"/>
      <c r="C340" s="53" t="s">
        <v>3</v>
      </c>
      <c r="D340" s="53" t="s">
        <v>4</v>
      </c>
      <c r="E340" s="53" t="s">
        <v>6</v>
      </c>
      <c r="F340" s="53" t="s">
        <v>7</v>
      </c>
      <c r="G340" s="61" t="s">
        <v>8</v>
      </c>
    </row>
    <row r="341" spans="1:7" s="2" customFormat="1" ht="15.75" customHeight="1">
      <c r="A341" s="1015" t="s">
        <v>9</v>
      </c>
      <c r="B341" s="1016"/>
      <c r="C341" s="51" t="s">
        <v>3</v>
      </c>
      <c r="D341" s="51">
        <v>0.05</v>
      </c>
      <c r="E341" s="133">
        <f>G352</f>
        <v>27341</v>
      </c>
      <c r="F341" s="55">
        <f>E341*D341</f>
        <v>1367.0500000000002</v>
      </c>
      <c r="G341" s="57">
        <f>SUM(F340:F341)</f>
        <v>1367.0500000000002</v>
      </c>
    </row>
    <row r="342" spans="1:7" s="2" customFormat="1" ht="15.75" customHeight="1">
      <c r="A342" s="1071" t="s">
        <v>10</v>
      </c>
      <c r="B342" s="1093"/>
      <c r="C342" s="1093"/>
      <c r="D342" s="1093"/>
      <c r="E342" s="1093"/>
      <c r="F342" s="1093"/>
      <c r="G342" s="1094"/>
    </row>
    <row r="343" spans="1:7" s="2" customFormat="1" ht="15.75" customHeight="1">
      <c r="A343" s="1074" t="s">
        <v>2</v>
      </c>
      <c r="B343" s="1092"/>
      <c r="C343" s="53" t="s">
        <v>3</v>
      </c>
      <c r="D343" s="53" t="s">
        <v>4</v>
      </c>
      <c r="E343" s="53" t="s">
        <v>6</v>
      </c>
      <c r="F343" s="53" t="s">
        <v>11</v>
      </c>
      <c r="G343" s="1075" t="s">
        <v>8</v>
      </c>
    </row>
    <row r="344" spans="1:7" s="2" customFormat="1" ht="109.5" customHeight="1">
      <c r="A344" s="947" t="s">
        <v>1578</v>
      </c>
      <c r="B344" s="980"/>
      <c r="C344" s="16" t="s">
        <v>3</v>
      </c>
      <c r="D344" s="16">
        <v>1</v>
      </c>
      <c r="E344" s="17">
        <v>2500000</v>
      </c>
      <c r="F344" s="55">
        <f>D344*E344</f>
        <v>2500000</v>
      </c>
      <c r="G344" s="1075"/>
    </row>
    <row r="345" spans="1:7" s="2" customFormat="1" ht="15.75" customHeight="1">
      <c r="A345" s="947"/>
      <c r="B345" s="980"/>
      <c r="C345" s="16"/>
      <c r="D345" s="58"/>
      <c r="E345" s="17"/>
      <c r="F345" s="55"/>
      <c r="G345" s="57">
        <f>SUM(F343:F345)</f>
        <v>2500000</v>
      </c>
    </row>
    <row r="346" spans="1:7" s="2" customFormat="1" ht="15.75" customHeight="1">
      <c r="A346" s="1071" t="s">
        <v>15</v>
      </c>
      <c r="B346" s="1093"/>
      <c r="C346" s="1093"/>
      <c r="D346" s="1093"/>
      <c r="E346" s="1093"/>
      <c r="F346" s="1093"/>
      <c r="G346" s="1094"/>
    </row>
    <row r="347" spans="1:7" s="2" customFormat="1" ht="15.75" customHeight="1">
      <c r="A347" s="1074" t="s">
        <v>2</v>
      </c>
      <c r="B347" s="1092"/>
      <c r="C347" s="53" t="s">
        <v>3</v>
      </c>
      <c r="D347" s="53" t="s">
        <v>4</v>
      </c>
      <c r="E347" s="53" t="s">
        <v>6</v>
      </c>
      <c r="F347" s="53" t="s">
        <v>11</v>
      </c>
      <c r="G347" s="1075" t="s">
        <v>8</v>
      </c>
    </row>
    <row r="348" spans="1:7" s="2" customFormat="1" ht="15.75" customHeight="1">
      <c r="A348" s="943" t="s">
        <v>173</v>
      </c>
      <c r="B348" s="1078"/>
      <c r="C348" s="16" t="s">
        <v>3</v>
      </c>
      <c r="D348" s="54">
        <v>3.5000000000000003E-2</v>
      </c>
      <c r="E348" s="17">
        <f>G345</f>
        <v>2500000</v>
      </c>
      <c r="F348" s="55">
        <f>E348*D348</f>
        <v>87500.000000000015</v>
      </c>
      <c r="G348" s="1075"/>
    </row>
    <row r="349" spans="1:7" s="2" customFormat="1" ht="15.75" customHeight="1">
      <c r="A349" s="59"/>
      <c r="B349" s="60"/>
      <c r="C349" s="60"/>
      <c r="D349" s="60"/>
      <c r="E349" s="60"/>
      <c r="F349" s="60"/>
      <c r="G349" s="57">
        <f>SUM(F348:F349)</f>
        <v>87500.000000000015</v>
      </c>
    </row>
    <row r="350" spans="1:7" s="2" customFormat="1" ht="15.75" customHeight="1">
      <c r="A350" s="1071" t="s">
        <v>19</v>
      </c>
      <c r="B350" s="1093"/>
      <c r="C350" s="1093"/>
      <c r="D350" s="1093"/>
      <c r="E350" s="1093"/>
      <c r="F350" s="1093"/>
      <c r="G350" s="1094"/>
    </row>
    <row r="351" spans="1:7" s="2" customFormat="1" ht="15.75" customHeight="1">
      <c r="A351" s="1074" t="s">
        <v>2</v>
      </c>
      <c r="B351" s="1092"/>
      <c r="C351" s="53" t="s">
        <v>3</v>
      </c>
      <c r="D351" s="53" t="s">
        <v>4</v>
      </c>
      <c r="E351" s="53" t="s">
        <v>6</v>
      </c>
      <c r="F351" s="53" t="s">
        <v>11</v>
      </c>
      <c r="G351" s="456" t="s">
        <v>8</v>
      </c>
    </row>
    <row r="352" spans="1:7" s="2" customFormat="1" ht="15.75" customHeight="1">
      <c r="A352" s="978" t="str">
        <f>SALARIOS!$A$69</f>
        <v>CUADRILLA BB INSTALACIONES 1:1</v>
      </c>
      <c r="B352" s="979"/>
      <c r="C352" s="13" t="s">
        <v>1245</v>
      </c>
      <c r="D352" s="32">
        <v>1</v>
      </c>
      <c r="E352" s="13">
        <f>SALARIOS!$C$69</f>
        <v>27341</v>
      </c>
      <c r="F352" s="55">
        <f>+D352*E352</f>
        <v>27341</v>
      </c>
      <c r="G352" s="57">
        <f>SUM(F351:F352)</f>
        <v>27341</v>
      </c>
    </row>
    <row r="353" spans="1:11" s="2" customFormat="1" ht="15.75" customHeight="1">
      <c r="A353" s="1076" t="s">
        <v>25</v>
      </c>
      <c r="B353" s="1095"/>
      <c r="C353" s="1095"/>
      <c r="D353" s="1095"/>
      <c r="E353" s="1095"/>
      <c r="F353" s="1095"/>
      <c r="G353" s="1096"/>
    </row>
    <row r="354" spans="1:11" s="2" customFormat="1" ht="15.75" customHeight="1">
      <c r="A354" s="1077"/>
      <c r="B354" s="1097"/>
      <c r="C354" s="1097"/>
      <c r="D354" s="1097"/>
      <c r="E354" s="1097"/>
      <c r="F354" s="1097"/>
      <c r="G354" s="62">
        <f>G352+G349+G345+G341</f>
        <v>2616208.0499999998</v>
      </c>
    </row>
    <row r="355" spans="1:11" s="2" customFormat="1" ht="15.75" customHeight="1">
      <c r="A355" s="63"/>
      <c r="B355" s="42"/>
      <c r="C355" s="42"/>
      <c r="D355" s="42"/>
      <c r="E355" s="42"/>
      <c r="F355" s="42"/>
      <c r="G355" s="64"/>
    </row>
    <row r="356" spans="1:11" s="2" customFormat="1" ht="15.75" customHeight="1">
      <c r="A356" s="970" t="s">
        <v>1</v>
      </c>
      <c r="B356" s="957"/>
      <c r="C356" s="953" t="s">
        <v>0</v>
      </c>
      <c r="D356" s="954"/>
      <c r="E356" s="954"/>
      <c r="F356" s="954"/>
      <c r="G356" s="955"/>
    </row>
    <row r="357" spans="1:11" s="2" customFormat="1" ht="81.75" customHeight="1">
      <c r="A357" s="971"/>
      <c r="B357" s="957"/>
      <c r="C357" s="954"/>
      <c r="D357" s="954"/>
      <c r="E357" s="954"/>
      <c r="F357" s="954"/>
      <c r="G357" s="955"/>
    </row>
    <row r="358" spans="1:11" s="35" customFormat="1" ht="17.399999999999999">
      <c r="A358" s="971"/>
      <c r="B358" s="957"/>
      <c r="C358" s="956"/>
      <c r="D358" s="957"/>
      <c r="E358" s="957"/>
      <c r="F358" s="957"/>
      <c r="G358" s="958"/>
      <c r="H358" s="2"/>
      <c r="I358" s="2"/>
      <c r="J358" s="2"/>
      <c r="K358" s="2"/>
    </row>
    <row r="359" spans="1:11" s="2" customFormat="1" ht="15.75" customHeight="1">
      <c r="A359" s="971"/>
      <c r="B359" s="957"/>
      <c r="C359" s="959" t="s">
        <v>2</v>
      </c>
      <c r="D359" s="957"/>
      <c r="E359" s="957"/>
      <c r="F359" s="23" t="s">
        <v>3</v>
      </c>
      <c r="G359" s="24" t="s">
        <v>4</v>
      </c>
    </row>
    <row r="360" spans="1:11" s="2" customFormat="1" ht="129" customHeight="1">
      <c r="A360" s="1073" t="s">
        <v>489</v>
      </c>
      <c r="B360" s="944"/>
      <c r="C360" s="980" t="s">
        <v>490</v>
      </c>
      <c r="D360" s="944"/>
      <c r="E360" s="944"/>
      <c r="F360" s="51" t="s">
        <v>37</v>
      </c>
      <c r="G360" s="52">
        <v>7.4249999999999998</v>
      </c>
    </row>
    <row r="361" spans="1:11" s="2" customFormat="1" ht="13.8">
      <c r="A361" s="1071" t="s">
        <v>5</v>
      </c>
      <c r="B361" s="944"/>
      <c r="C361" s="944"/>
      <c r="D361" s="944"/>
      <c r="E361" s="944"/>
      <c r="F361" s="944"/>
      <c r="G361" s="1072"/>
    </row>
    <row r="362" spans="1:11" s="2" customFormat="1" ht="15.75" customHeight="1">
      <c r="A362" s="1074" t="s">
        <v>2</v>
      </c>
      <c r="B362" s="1092"/>
      <c r="C362" s="53" t="s">
        <v>3</v>
      </c>
      <c r="D362" s="53" t="s">
        <v>4</v>
      </c>
      <c r="E362" s="53" t="s">
        <v>6</v>
      </c>
      <c r="F362" s="53" t="s">
        <v>7</v>
      </c>
      <c r="G362" s="61" t="s">
        <v>8</v>
      </c>
    </row>
    <row r="363" spans="1:11" s="2" customFormat="1" ht="15.75" customHeight="1">
      <c r="A363" s="1015" t="s">
        <v>9</v>
      </c>
      <c r="B363" s="1016"/>
      <c r="C363" s="51" t="s">
        <v>3</v>
      </c>
      <c r="D363" s="51">
        <v>0.05</v>
      </c>
      <c r="E363" s="133">
        <f>G374</f>
        <v>27341</v>
      </c>
      <c r="F363" s="55">
        <f>E363*D363</f>
        <v>1367.0500000000002</v>
      </c>
      <c r="G363" s="57">
        <f>SUM(F362:F363)</f>
        <v>1367.0500000000002</v>
      </c>
    </row>
    <row r="364" spans="1:11" s="2" customFormat="1" ht="15.75" customHeight="1">
      <c r="A364" s="1071" t="s">
        <v>10</v>
      </c>
      <c r="B364" s="1093"/>
      <c r="C364" s="1093"/>
      <c r="D364" s="1093"/>
      <c r="E364" s="1093"/>
      <c r="F364" s="1093"/>
      <c r="G364" s="1094"/>
    </row>
    <row r="365" spans="1:11" s="2" customFormat="1" ht="15.75" customHeight="1">
      <c r="A365" s="1074" t="s">
        <v>2</v>
      </c>
      <c r="B365" s="1092"/>
      <c r="C365" s="53" t="s">
        <v>3</v>
      </c>
      <c r="D365" s="53" t="s">
        <v>4</v>
      </c>
      <c r="E365" s="53" t="s">
        <v>6</v>
      </c>
      <c r="F365" s="53" t="s">
        <v>11</v>
      </c>
      <c r="G365" s="1075" t="s">
        <v>8</v>
      </c>
    </row>
    <row r="366" spans="1:11" s="2" customFormat="1" ht="132.75" customHeight="1">
      <c r="A366" s="947" t="s">
        <v>1579</v>
      </c>
      <c r="B366" s="980"/>
      <c r="C366" s="16" t="s">
        <v>37</v>
      </c>
      <c r="D366" s="16">
        <v>1</v>
      </c>
      <c r="E366" s="17">
        <v>1500000</v>
      </c>
      <c r="F366" s="55">
        <f>D366*E366</f>
        <v>1500000</v>
      </c>
      <c r="G366" s="1075"/>
    </row>
    <row r="367" spans="1:11" s="2" customFormat="1" ht="15.75" customHeight="1">
      <c r="A367" s="947"/>
      <c r="B367" s="980"/>
      <c r="C367" s="16"/>
      <c r="D367" s="58"/>
      <c r="E367" s="17"/>
      <c r="F367" s="55"/>
      <c r="G367" s="57">
        <f>SUM(F365:F367)</f>
        <v>1500000</v>
      </c>
    </row>
    <row r="368" spans="1:11" s="2" customFormat="1" ht="15.75" customHeight="1">
      <c r="A368" s="1071" t="s">
        <v>15</v>
      </c>
      <c r="B368" s="1093"/>
      <c r="C368" s="1093"/>
      <c r="D368" s="1093"/>
      <c r="E368" s="1093"/>
      <c r="F368" s="1093"/>
      <c r="G368" s="1094"/>
    </row>
    <row r="369" spans="1:11" s="2" customFormat="1" ht="15.75" customHeight="1">
      <c r="A369" s="1074" t="s">
        <v>2</v>
      </c>
      <c r="B369" s="1092"/>
      <c r="C369" s="53" t="s">
        <v>3</v>
      </c>
      <c r="D369" s="53" t="s">
        <v>4</v>
      </c>
      <c r="E369" s="53" t="s">
        <v>6</v>
      </c>
      <c r="F369" s="53" t="s">
        <v>11</v>
      </c>
      <c r="G369" s="1075" t="s">
        <v>8</v>
      </c>
    </row>
    <row r="370" spans="1:11" s="2" customFormat="1" ht="15.75" customHeight="1">
      <c r="A370" s="943" t="s">
        <v>173</v>
      </c>
      <c r="B370" s="1078"/>
      <c r="C370" s="16" t="s">
        <v>3</v>
      </c>
      <c r="D370" s="54">
        <v>3.5000000000000003E-2</v>
      </c>
      <c r="E370" s="17">
        <f>G367</f>
        <v>1500000</v>
      </c>
      <c r="F370" s="55">
        <f>E370*D370</f>
        <v>52500.000000000007</v>
      </c>
      <c r="G370" s="1075"/>
    </row>
    <row r="371" spans="1:11" s="2" customFormat="1" ht="15.75" customHeight="1">
      <c r="A371" s="59"/>
      <c r="B371" s="60"/>
      <c r="C371" s="60"/>
      <c r="D371" s="60"/>
      <c r="E371" s="60"/>
      <c r="F371" s="60"/>
      <c r="G371" s="57">
        <f>SUM(F370:F371)</f>
        <v>52500.000000000007</v>
      </c>
    </row>
    <row r="372" spans="1:11" s="2" customFormat="1" ht="15.75" customHeight="1">
      <c r="A372" s="1071" t="s">
        <v>19</v>
      </c>
      <c r="B372" s="1093"/>
      <c r="C372" s="1093"/>
      <c r="D372" s="1093"/>
      <c r="E372" s="1093"/>
      <c r="F372" s="1093"/>
      <c r="G372" s="1094"/>
    </row>
    <row r="373" spans="1:11" s="2" customFormat="1" ht="15.75" customHeight="1">
      <c r="A373" s="1074" t="s">
        <v>2</v>
      </c>
      <c r="B373" s="1092"/>
      <c r="C373" s="53" t="s">
        <v>3</v>
      </c>
      <c r="D373" s="53" t="s">
        <v>4</v>
      </c>
      <c r="E373" s="53" t="s">
        <v>6</v>
      </c>
      <c r="F373" s="53" t="s">
        <v>11</v>
      </c>
      <c r="G373" s="456" t="s">
        <v>8</v>
      </c>
    </row>
    <row r="374" spans="1:11" s="2" customFormat="1" ht="15.75" customHeight="1">
      <c r="A374" s="978" t="str">
        <f>SALARIOS!$A$69</f>
        <v>CUADRILLA BB INSTALACIONES 1:1</v>
      </c>
      <c r="B374" s="979"/>
      <c r="C374" s="13" t="s">
        <v>1245</v>
      </c>
      <c r="D374" s="32">
        <v>1</v>
      </c>
      <c r="E374" s="13">
        <f>SALARIOS!$C$69</f>
        <v>27341</v>
      </c>
      <c r="F374" s="55">
        <f>+D374*E374</f>
        <v>27341</v>
      </c>
      <c r="G374" s="57">
        <f>SUM(F373:F374)</f>
        <v>27341</v>
      </c>
    </row>
    <row r="375" spans="1:11" s="2" customFormat="1" ht="15.75" customHeight="1">
      <c r="A375" s="1076" t="s">
        <v>25</v>
      </c>
      <c r="B375" s="1095"/>
      <c r="C375" s="1095"/>
      <c r="D375" s="1095"/>
      <c r="E375" s="1095"/>
      <c r="F375" s="1095"/>
      <c r="G375" s="1096"/>
    </row>
    <row r="376" spans="1:11" s="2" customFormat="1" ht="15.75" customHeight="1">
      <c r="A376" s="1077"/>
      <c r="B376" s="1097"/>
      <c r="C376" s="1097"/>
      <c r="D376" s="1097"/>
      <c r="E376" s="1097"/>
      <c r="F376" s="1097"/>
      <c r="G376" s="62">
        <f>G374+G371+G367+G363</f>
        <v>1581208.05</v>
      </c>
    </row>
    <row r="377" spans="1:11" s="2" customFormat="1" ht="15.75" customHeight="1">
      <c r="A377" s="63"/>
      <c r="B377" s="42"/>
      <c r="C377" s="42"/>
      <c r="D377" s="42"/>
      <c r="E377" s="42"/>
      <c r="F377" s="42"/>
      <c r="G377" s="64"/>
    </row>
    <row r="378" spans="1:11" s="2" customFormat="1" ht="15.75" customHeight="1">
      <c r="A378" s="970" t="s">
        <v>1</v>
      </c>
      <c r="B378" s="957"/>
      <c r="C378" s="953" t="s">
        <v>0</v>
      </c>
      <c r="D378" s="954"/>
      <c r="E378" s="954"/>
      <c r="F378" s="954"/>
      <c r="G378" s="955"/>
    </row>
    <row r="379" spans="1:11" s="2" customFormat="1" ht="56.25" customHeight="1">
      <c r="A379" s="971"/>
      <c r="B379" s="957"/>
      <c r="C379" s="954"/>
      <c r="D379" s="954"/>
      <c r="E379" s="954"/>
      <c r="F379" s="954"/>
      <c r="G379" s="955"/>
    </row>
    <row r="380" spans="1:11" s="35" customFormat="1" ht="17.399999999999999">
      <c r="A380" s="971"/>
      <c r="B380" s="957"/>
      <c r="C380" s="956"/>
      <c r="D380" s="957"/>
      <c r="E380" s="957"/>
      <c r="F380" s="957"/>
      <c r="G380" s="958"/>
      <c r="H380" s="2"/>
      <c r="I380" s="2"/>
      <c r="J380" s="2"/>
      <c r="K380" s="2"/>
    </row>
    <row r="381" spans="1:11" s="2" customFormat="1" ht="15.75" customHeight="1">
      <c r="A381" s="971"/>
      <c r="B381" s="957"/>
      <c r="C381" s="959" t="s">
        <v>2</v>
      </c>
      <c r="D381" s="957"/>
      <c r="E381" s="957"/>
      <c r="F381" s="23" t="s">
        <v>3</v>
      </c>
      <c r="G381" s="24" t="s">
        <v>4</v>
      </c>
    </row>
    <row r="382" spans="1:11" s="2" customFormat="1" ht="130.5" customHeight="1">
      <c r="A382" s="1073" t="s">
        <v>491</v>
      </c>
      <c r="B382" s="944"/>
      <c r="C382" s="980" t="s">
        <v>492</v>
      </c>
      <c r="D382" s="944"/>
      <c r="E382" s="944"/>
      <c r="F382" s="51" t="s">
        <v>37</v>
      </c>
      <c r="G382" s="52">
        <v>53.297999999999995</v>
      </c>
    </row>
    <row r="383" spans="1:11" s="2" customFormat="1" ht="13.8">
      <c r="A383" s="1071" t="s">
        <v>5</v>
      </c>
      <c r="B383" s="944"/>
      <c r="C383" s="944"/>
      <c r="D383" s="944"/>
      <c r="E383" s="944"/>
      <c r="F383" s="944"/>
      <c r="G383" s="1072"/>
    </row>
    <row r="384" spans="1:11" s="2" customFormat="1" ht="15.75" customHeight="1">
      <c r="A384" s="1074" t="s">
        <v>2</v>
      </c>
      <c r="B384" s="1092"/>
      <c r="C384" s="53" t="s">
        <v>3</v>
      </c>
      <c r="D384" s="53" t="s">
        <v>4</v>
      </c>
      <c r="E384" s="53" t="s">
        <v>6</v>
      </c>
      <c r="F384" s="53" t="s">
        <v>7</v>
      </c>
      <c r="G384" s="61" t="s">
        <v>8</v>
      </c>
    </row>
    <row r="385" spans="1:7" s="2" customFormat="1" ht="15.75" customHeight="1">
      <c r="A385" s="1015" t="s">
        <v>9</v>
      </c>
      <c r="B385" s="1016"/>
      <c r="C385" s="51" t="s">
        <v>3</v>
      </c>
      <c r="D385" s="51">
        <v>0.05</v>
      </c>
      <c r="E385" s="133">
        <f>G396</f>
        <v>27341</v>
      </c>
      <c r="F385" s="55">
        <f>E385*D385</f>
        <v>1367.0500000000002</v>
      </c>
      <c r="G385" s="57">
        <f>SUM(F384:F385)</f>
        <v>1367.0500000000002</v>
      </c>
    </row>
    <row r="386" spans="1:7" s="2" customFormat="1" ht="15.75" customHeight="1">
      <c r="A386" s="1071" t="s">
        <v>10</v>
      </c>
      <c r="B386" s="1093"/>
      <c r="C386" s="1093"/>
      <c r="D386" s="1093"/>
      <c r="E386" s="1093"/>
      <c r="F386" s="1093"/>
      <c r="G386" s="1094"/>
    </row>
    <row r="387" spans="1:7" s="2" customFormat="1" ht="15.75" customHeight="1">
      <c r="A387" s="1074" t="s">
        <v>2</v>
      </c>
      <c r="B387" s="1092"/>
      <c r="C387" s="53" t="s">
        <v>3</v>
      </c>
      <c r="D387" s="53" t="s">
        <v>4</v>
      </c>
      <c r="E387" s="53" t="s">
        <v>6</v>
      </c>
      <c r="F387" s="53" t="s">
        <v>11</v>
      </c>
      <c r="G387" s="1075" t="s">
        <v>8</v>
      </c>
    </row>
    <row r="388" spans="1:7" s="2" customFormat="1" ht="135" customHeight="1">
      <c r="A388" s="947" t="s">
        <v>1580</v>
      </c>
      <c r="B388" s="980"/>
      <c r="C388" s="16" t="s">
        <v>3</v>
      </c>
      <c r="D388" s="16">
        <v>1</v>
      </c>
      <c r="E388" s="17">
        <v>1800000</v>
      </c>
      <c r="F388" s="55">
        <f>D388*E388</f>
        <v>1800000</v>
      </c>
      <c r="G388" s="1075"/>
    </row>
    <row r="389" spans="1:7" s="2" customFormat="1" ht="15.75" customHeight="1">
      <c r="A389" s="947"/>
      <c r="B389" s="980"/>
      <c r="C389" s="16"/>
      <c r="D389" s="58"/>
      <c r="E389" s="17"/>
      <c r="F389" s="55"/>
      <c r="G389" s="57">
        <f>SUM(F387:F389)</f>
        <v>1800000</v>
      </c>
    </row>
    <row r="390" spans="1:7" s="2" customFormat="1" ht="15.75" customHeight="1">
      <c r="A390" s="1071" t="s">
        <v>15</v>
      </c>
      <c r="B390" s="1093"/>
      <c r="C390" s="1093"/>
      <c r="D390" s="1093"/>
      <c r="E390" s="1093"/>
      <c r="F390" s="1093"/>
      <c r="G390" s="1094"/>
    </row>
    <row r="391" spans="1:7" s="2" customFormat="1" ht="15.75" customHeight="1">
      <c r="A391" s="1074" t="s">
        <v>2</v>
      </c>
      <c r="B391" s="1092"/>
      <c r="C391" s="53" t="s">
        <v>3</v>
      </c>
      <c r="D391" s="53" t="s">
        <v>4</v>
      </c>
      <c r="E391" s="53" t="s">
        <v>6</v>
      </c>
      <c r="F391" s="53" t="s">
        <v>11</v>
      </c>
      <c r="G391" s="1075" t="s">
        <v>8</v>
      </c>
    </row>
    <row r="392" spans="1:7" s="2" customFormat="1" ht="15.75" customHeight="1">
      <c r="A392" s="943" t="s">
        <v>173</v>
      </c>
      <c r="B392" s="1078"/>
      <c r="C392" s="16" t="s">
        <v>3</v>
      </c>
      <c r="D392" s="54">
        <v>3.5000000000000003E-2</v>
      </c>
      <c r="E392" s="17">
        <f>G389</f>
        <v>1800000</v>
      </c>
      <c r="F392" s="55">
        <f>E392*D392</f>
        <v>63000.000000000007</v>
      </c>
      <c r="G392" s="1075"/>
    </row>
    <row r="393" spans="1:7" s="2" customFormat="1" ht="15.75" customHeight="1">
      <c r="A393" s="59"/>
      <c r="B393" s="60"/>
      <c r="C393" s="60"/>
      <c r="D393" s="60"/>
      <c r="E393" s="60"/>
      <c r="F393" s="60"/>
      <c r="G393" s="57">
        <f>SUM(F392:F393)</f>
        <v>63000.000000000007</v>
      </c>
    </row>
    <row r="394" spans="1:7" s="2" customFormat="1" ht="15.75" customHeight="1">
      <c r="A394" s="1071" t="s">
        <v>19</v>
      </c>
      <c r="B394" s="1093"/>
      <c r="C394" s="1093"/>
      <c r="D394" s="1093"/>
      <c r="E394" s="1093"/>
      <c r="F394" s="1093"/>
      <c r="G394" s="1094"/>
    </row>
    <row r="395" spans="1:7" s="2" customFormat="1" ht="15.75" customHeight="1">
      <c r="A395" s="1074" t="s">
        <v>2</v>
      </c>
      <c r="B395" s="1092"/>
      <c r="C395" s="53" t="s">
        <v>3</v>
      </c>
      <c r="D395" s="53" t="s">
        <v>4</v>
      </c>
      <c r="E395" s="53" t="s">
        <v>6</v>
      </c>
      <c r="F395" s="53" t="s">
        <v>11</v>
      </c>
      <c r="G395" s="456" t="s">
        <v>8</v>
      </c>
    </row>
    <row r="396" spans="1:7" s="2" customFormat="1" ht="15.75" customHeight="1">
      <c r="A396" s="978" t="str">
        <f>SALARIOS!$A$69</f>
        <v>CUADRILLA BB INSTALACIONES 1:1</v>
      </c>
      <c r="B396" s="979"/>
      <c r="C396" s="13" t="s">
        <v>1245</v>
      </c>
      <c r="D396" s="32">
        <v>1</v>
      </c>
      <c r="E396" s="13">
        <f>SALARIOS!$C$69</f>
        <v>27341</v>
      </c>
      <c r="F396" s="55">
        <f>+D396*E396</f>
        <v>27341</v>
      </c>
      <c r="G396" s="57">
        <f>SUM(F395:F396)</f>
        <v>27341</v>
      </c>
    </row>
    <row r="397" spans="1:7" s="2" customFormat="1" ht="15.75" customHeight="1">
      <c r="A397" s="1076" t="s">
        <v>25</v>
      </c>
      <c r="B397" s="1095"/>
      <c r="C397" s="1095"/>
      <c r="D397" s="1095"/>
      <c r="E397" s="1095"/>
      <c r="F397" s="1095"/>
      <c r="G397" s="1096"/>
    </row>
    <row r="398" spans="1:7" s="2" customFormat="1" ht="15.75" customHeight="1">
      <c r="A398" s="1077"/>
      <c r="B398" s="1097"/>
      <c r="C398" s="1097"/>
      <c r="D398" s="1097"/>
      <c r="E398" s="1097"/>
      <c r="F398" s="1097"/>
      <c r="G398" s="62">
        <f>G396+G393+G389+G385</f>
        <v>1891708.05</v>
      </c>
    </row>
    <row r="399" spans="1:7" s="2" customFormat="1" ht="15.75" customHeight="1">
      <c r="A399" s="63"/>
      <c r="B399" s="42"/>
      <c r="C399" s="42"/>
      <c r="D399" s="42"/>
      <c r="E399" s="42"/>
      <c r="F399" s="42"/>
      <c r="G399" s="64"/>
    </row>
    <row r="400" spans="1:7" s="2" customFormat="1" ht="15.75" customHeight="1">
      <c r="A400" s="970" t="s">
        <v>1</v>
      </c>
      <c r="B400" s="957"/>
      <c r="C400" s="953" t="s">
        <v>0</v>
      </c>
      <c r="D400" s="954"/>
      <c r="E400" s="954"/>
      <c r="F400" s="954"/>
      <c r="G400" s="955"/>
    </row>
    <row r="401" spans="1:11" s="2" customFormat="1" ht="75.75" customHeight="1">
      <c r="A401" s="971"/>
      <c r="B401" s="957"/>
      <c r="C401" s="954"/>
      <c r="D401" s="954"/>
      <c r="E401" s="954"/>
      <c r="F401" s="954"/>
      <c r="G401" s="955"/>
    </row>
    <row r="402" spans="1:11" s="35" customFormat="1" ht="17.399999999999999">
      <c r="A402" s="971"/>
      <c r="B402" s="957"/>
      <c r="C402" s="956"/>
      <c r="D402" s="957"/>
      <c r="E402" s="957"/>
      <c r="F402" s="957"/>
      <c r="G402" s="958"/>
      <c r="H402" s="2"/>
      <c r="I402" s="2"/>
      <c r="J402" s="2"/>
      <c r="K402" s="2"/>
    </row>
    <row r="403" spans="1:11" s="2" customFormat="1" ht="15.75" customHeight="1">
      <c r="A403" s="971"/>
      <c r="B403" s="957"/>
      <c r="C403" s="959" t="s">
        <v>2</v>
      </c>
      <c r="D403" s="957"/>
      <c r="E403" s="957"/>
      <c r="F403" s="23" t="s">
        <v>3</v>
      </c>
      <c r="G403" s="24" t="s">
        <v>4</v>
      </c>
    </row>
    <row r="404" spans="1:11" s="2" customFormat="1" ht="54.75" customHeight="1">
      <c r="A404" s="1073" t="s">
        <v>493</v>
      </c>
      <c r="B404" s="944"/>
      <c r="C404" s="980" t="s">
        <v>494</v>
      </c>
      <c r="D404" s="944"/>
      <c r="E404" s="944"/>
      <c r="F404" s="51" t="s">
        <v>28</v>
      </c>
      <c r="G404" s="52">
        <v>3</v>
      </c>
    </row>
    <row r="405" spans="1:11" s="2" customFormat="1" ht="13.8">
      <c r="A405" s="1071" t="s">
        <v>5</v>
      </c>
      <c r="B405" s="944"/>
      <c r="C405" s="944"/>
      <c r="D405" s="944"/>
      <c r="E405" s="944"/>
      <c r="F405" s="944"/>
      <c r="G405" s="1072"/>
    </row>
    <row r="406" spans="1:11" s="2" customFormat="1" ht="15.75" customHeight="1">
      <c r="A406" s="1074" t="s">
        <v>2</v>
      </c>
      <c r="B406" s="1092"/>
      <c r="C406" s="53" t="s">
        <v>3</v>
      </c>
      <c r="D406" s="53" t="s">
        <v>4</v>
      </c>
      <c r="E406" s="53" t="s">
        <v>6</v>
      </c>
      <c r="F406" s="53" t="s">
        <v>7</v>
      </c>
      <c r="G406" s="61" t="s">
        <v>8</v>
      </c>
    </row>
    <row r="407" spans="1:11" s="2" customFormat="1" ht="15.75" customHeight="1">
      <c r="A407" s="1015" t="s">
        <v>9</v>
      </c>
      <c r="B407" s="1016"/>
      <c r="C407" s="51" t="s">
        <v>3</v>
      </c>
      <c r="D407" s="51">
        <v>0.05</v>
      </c>
      <c r="E407" s="133">
        <f>G418</f>
        <v>27341</v>
      </c>
      <c r="F407" s="55">
        <f>E407*D407</f>
        <v>1367.0500000000002</v>
      </c>
      <c r="G407" s="57">
        <f>SUM(F406:F407)</f>
        <v>1367.0500000000002</v>
      </c>
    </row>
    <row r="408" spans="1:11" s="2" customFormat="1" ht="15.75" customHeight="1">
      <c r="A408" s="1071" t="s">
        <v>10</v>
      </c>
      <c r="B408" s="1093"/>
      <c r="C408" s="1093"/>
      <c r="D408" s="1093"/>
      <c r="E408" s="1093"/>
      <c r="F408" s="1093"/>
      <c r="G408" s="1094"/>
    </row>
    <row r="409" spans="1:11" s="2" customFormat="1" ht="15.75" customHeight="1">
      <c r="A409" s="1074" t="s">
        <v>2</v>
      </c>
      <c r="B409" s="1092"/>
      <c r="C409" s="53" t="s">
        <v>3</v>
      </c>
      <c r="D409" s="53" t="s">
        <v>4</v>
      </c>
      <c r="E409" s="53" t="s">
        <v>6</v>
      </c>
      <c r="F409" s="53" t="s">
        <v>11</v>
      </c>
      <c r="G409" s="1075" t="s">
        <v>8</v>
      </c>
    </row>
    <row r="410" spans="1:11" s="2" customFormat="1" ht="78.75" customHeight="1">
      <c r="A410" s="947" t="s">
        <v>1581</v>
      </c>
      <c r="B410" s="980"/>
      <c r="C410" s="16" t="s">
        <v>3</v>
      </c>
      <c r="D410" s="16">
        <v>1</v>
      </c>
      <c r="E410" s="17">
        <v>3400000</v>
      </c>
      <c r="F410" s="55">
        <f>D410*E410</f>
        <v>3400000</v>
      </c>
      <c r="G410" s="1075"/>
    </row>
    <row r="411" spans="1:11" s="2" customFormat="1" ht="15.75" customHeight="1">
      <c r="A411" s="947"/>
      <c r="B411" s="980"/>
      <c r="C411" s="16"/>
      <c r="D411" s="58"/>
      <c r="E411" s="17"/>
      <c r="F411" s="55"/>
      <c r="G411" s="57">
        <f>SUM(F409:F411)</f>
        <v>3400000</v>
      </c>
    </row>
    <row r="412" spans="1:11" s="2" customFormat="1" ht="15.75" customHeight="1">
      <c r="A412" s="1071" t="s">
        <v>15</v>
      </c>
      <c r="B412" s="1093"/>
      <c r="C412" s="1093"/>
      <c r="D412" s="1093"/>
      <c r="E412" s="1093"/>
      <c r="F412" s="1093"/>
      <c r="G412" s="1094"/>
    </row>
    <row r="413" spans="1:11" s="2" customFormat="1" ht="15.75" customHeight="1">
      <c r="A413" s="1074" t="s">
        <v>2</v>
      </c>
      <c r="B413" s="1092"/>
      <c r="C413" s="53" t="s">
        <v>3</v>
      </c>
      <c r="D413" s="53" t="s">
        <v>4</v>
      </c>
      <c r="E413" s="53" t="s">
        <v>6</v>
      </c>
      <c r="F413" s="53" t="s">
        <v>11</v>
      </c>
      <c r="G413" s="1075" t="s">
        <v>8</v>
      </c>
    </row>
    <row r="414" spans="1:11" s="2" customFormat="1" ht="15.75" customHeight="1">
      <c r="A414" s="943" t="s">
        <v>173</v>
      </c>
      <c r="B414" s="1078"/>
      <c r="C414" s="16" t="s">
        <v>3</v>
      </c>
      <c r="D414" s="54">
        <v>3.5000000000000003E-2</v>
      </c>
      <c r="E414" s="17">
        <f>G411</f>
        <v>3400000</v>
      </c>
      <c r="F414" s="55">
        <f>E414*D414</f>
        <v>119000.00000000001</v>
      </c>
      <c r="G414" s="1075"/>
    </row>
    <row r="415" spans="1:11" s="2" customFormat="1" ht="15.75" customHeight="1">
      <c r="A415" s="59"/>
      <c r="B415" s="60"/>
      <c r="C415" s="60"/>
      <c r="D415" s="60"/>
      <c r="E415" s="60"/>
      <c r="F415" s="60"/>
      <c r="G415" s="57">
        <f>SUM(F414:F415)</f>
        <v>119000.00000000001</v>
      </c>
    </row>
    <row r="416" spans="1:11" s="2" customFormat="1" ht="15.75" customHeight="1">
      <c r="A416" s="1071" t="s">
        <v>19</v>
      </c>
      <c r="B416" s="1093"/>
      <c r="C416" s="1093"/>
      <c r="D416" s="1093"/>
      <c r="E416" s="1093"/>
      <c r="F416" s="1093"/>
      <c r="G416" s="1094"/>
    </row>
    <row r="417" spans="1:11" s="2" customFormat="1" ht="15.75" customHeight="1">
      <c r="A417" s="1074" t="s">
        <v>2</v>
      </c>
      <c r="B417" s="1092"/>
      <c r="C417" s="53" t="s">
        <v>3</v>
      </c>
      <c r="D417" s="53" t="s">
        <v>4</v>
      </c>
      <c r="E417" s="53" t="s">
        <v>6</v>
      </c>
      <c r="F417" s="53" t="s">
        <v>11</v>
      </c>
      <c r="G417" s="456" t="s">
        <v>8</v>
      </c>
    </row>
    <row r="418" spans="1:11" s="2" customFormat="1" ht="15.75" customHeight="1">
      <c r="A418" s="978" t="str">
        <f>SALARIOS!$A$69</f>
        <v>CUADRILLA BB INSTALACIONES 1:1</v>
      </c>
      <c r="B418" s="979"/>
      <c r="C418" s="13" t="s">
        <v>1245</v>
      </c>
      <c r="D418" s="32">
        <v>1</v>
      </c>
      <c r="E418" s="13">
        <f>SALARIOS!$C$69</f>
        <v>27341</v>
      </c>
      <c r="F418" s="55">
        <f>+D418*E418</f>
        <v>27341</v>
      </c>
      <c r="G418" s="57">
        <f>SUM(F417:F418)</f>
        <v>27341</v>
      </c>
    </row>
    <row r="419" spans="1:11" s="2" customFormat="1" ht="15.75" customHeight="1">
      <c r="A419" s="1076" t="s">
        <v>25</v>
      </c>
      <c r="B419" s="1095"/>
      <c r="C419" s="1095"/>
      <c r="D419" s="1095"/>
      <c r="E419" s="1095"/>
      <c r="F419" s="1095"/>
      <c r="G419" s="1096"/>
    </row>
    <row r="420" spans="1:11" s="2" customFormat="1" ht="15.75" customHeight="1">
      <c r="A420" s="1077"/>
      <c r="B420" s="1097"/>
      <c r="C420" s="1097"/>
      <c r="D420" s="1097"/>
      <c r="E420" s="1097"/>
      <c r="F420" s="1097"/>
      <c r="G420" s="62">
        <f>G418+G415+G411+G407</f>
        <v>3547708.05</v>
      </c>
    </row>
    <row r="421" spans="1:11" s="2" customFormat="1" ht="15.75" customHeight="1">
      <c r="A421" s="63"/>
      <c r="B421" s="42"/>
      <c r="C421" s="42"/>
      <c r="D421" s="42"/>
      <c r="E421" s="42"/>
      <c r="F421" s="42"/>
      <c r="G421" s="64"/>
    </row>
    <row r="422" spans="1:11" s="2" customFormat="1" ht="112.5" customHeight="1">
      <c r="A422" s="970" t="s">
        <v>1</v>
      </c>
      <c r="B422" s="957"/>
      <c r="C422" s="953" t="s">
        <v>0</v>
      </c>
      <c r="D422" s="954"/>
      <c r="E422" s="954"/>
      <c r="F422" s="954"/>
      <c r="G422" s="955"/>
    </row>
    <row r="423" spans="1:11" s="2" customFormat="1" ht="15.75" customHeight="1">
      <c r="A423" s="971"/>
      <c r="B423" s="957"/>
      <c r="C423" s="954"/>
      <c r="D423" s="954"/>
      <c r="E423" s="954"/>
      <c r="F423" s="954"/>
      <c r="G423" s="955"/>
    </row>
    <row r="424" spans="1:11" s="35" customFormat="1" ht="17.399999999999999">
      <c r="A424" s="971"/>
      <c r="B424" s="957"/>
      <c r="C424" s="956"/>
      <c r="D424" s="957"/>
      <c r="E424" s="957"/>
      <c r="F424" s="957"/>
      <c r="G424" s="958"/>
      <c r="H424" s="2"/>
      <c r="I424" s="2"/>
      <c r="J424" s="2"/>
      <c r="K424" s="2"/>
    </row>
    <row r="425" spans="1:11" s="2" customFormat="1" ht="15.75" customHeight="1">
      <c r="A425" s="971"/>
      <c r="B425" s="957"/>
      <c r="C425" s="959" t="s">
        <v>2</v>
      </c>
      <c r="D425" s="957"/>
      <c r="E425" s="957"/>
      <c r="F425" s="23" t="s">
        <v>3</v>
      </c>
      <c r="G425" s="24" t="s">
        <v>4</v>
      </c>
    </row>
    <row r="426" spans="1:11" s="2" customFormat="1" ht="59.25" customHeight="1">
      <c r="A426" s="1073" t="s">
        <v>495</v>
      </c>
      <c r="B426" s="944"/>
      <c r="C426" s="980" t="s">
        <v>496</v>
      </c>
      <c r="D426" s="944"/>
      <c r="E426" s="944"/>
      <c r="F426" s="51" t="s">
        <v>28</v>
      </c>
      <c r="G426" s="52">
        <v>1</v>
      </c>
    </row>
    <row r="427" spans="1:11" s="2" customFormat="1" ht="13.8">
      <c r="A427" s="1071" t="s">
        <v>5</v>
      </c>
      <c r="B427" s="944"/>
      <c r="C427" s="944"/>
      <c r="D427" s="944"/>
      <c r="E427" s="944"/>
      <c r="F427" s="944"/>
      <c r="G427" s="1072"/>
    </row>
    <row r="428" spans="1:11" s="2" customFormat="1" ht="15.75" customHeight="1">
      <c r="A428" s="1074" t="s">
        <v>2</v>
      </c>
      <c r="B428" s="1092"/>
      <c r="C428" s="53" t="s">
        <v>3</v>
      </c>
      <c r="D428" s="53" t="s">
        <v>4</v>
      </c>
      <c r="E428" s="53" t="s">
        <v>6</v>
      </c>
      <c r="F428" s="53" t="s">
        <v>7</v>
      </c>
      <c r="G428" s="61" t="s">
        <v>8</v>
      </c>
    </row>
    <row r="429" spans="1:11" s="2" customFormat="1" ht="15.75" customHeight="1">
      <c r="A429" s="1015" t="s">
        <v>9</v>
      </c>
      <c r="B429" s="1016"/>
      <c r="C429" s="51" t="s">
        <v>3</v>
      </c>
      <c r="D429" s="51">
        <v>0.05</v>
      </c>
      <c r="E429" s="133">
        <f>G440</f>
        <v>27341</v>
      </c>
      <c r="F429" s="55">
        <f>E429*D429</f>
        <v>1367.0500000000002</v>
      </c>
      <c r="G429" s="57">
        <f>SUM(F428:F429)</f>
        <v>1367.0500000000002</v>
      </c>
    </row>
    <row r="430" spans="1:11" s="2" customFormat="1" ht="15.75" customHeight="1">
      <c r="A430" s="1071" t="s">
        <v>10</v>
      </c>
      <c r="B430" s="1093"/>
      <c r="C430" s="1093"/>
      <c r="D430" s="1093"/>
      <c r="E430" s="1093"/>
      <c r="F430" s="1093"/>
      <c r="G430" s="1094"/>
    </row>
    <row r="431" spans="1:11" s="2" customFormat="1" ht="15.75" customHeight="1">
      <c r="A431" s="1074" t="s">
        <v>2</v>
      </c>
      <c r="B431" s="1092"/>
      <c r="C431" s="53" t="s">
        <v>3</v>
      </c>
      <c r="D431" s="53" t="s">
        <v>4</v>
      </c>
      <c r="E431" s="53" t="s">
        <v>6</v>
      </c>
      <c r="F431" s="53" t="s">
        <v>11</v>
      </c>
      <c r="G431" s="1075" t="s">
        <v>8</v>
      </c>
    </row>
    <row r="432" spans="1:11" s="2" customFormat="1" ht="74.25" customHeight="1">
      <c r="A432" s="947" t="s">
        <v>1582</v>
      </c>
      <c r="B432" s="980"/>
      <c r="C432" s="16" t="s">
        <v>3</v>
      </c>
      <c r="D432" s="16">
        <v>1</v>
      </c>
      <c r="E432" s="17">
        <v>2400000</v>
      </c>
      <c r="F432" s="55">
        <f>D432*E432</f>
        <v>2400000</v>
      </c>
      <c r="G432" s="1075"/>
    </row>
    <row r="433" spans="1:11" s="2" customFormat="1" ht="15.75" customHeight="1">
      <c r="A433" s="947"/>
      <c r="B433" s="980"/>
      <c r="C433" s="16"/>
      <c r="D433" s="58"/>
      <c r="E433" s="17"/>
      <c r="F433" s="55"/>
      <c r="G433" s="57">
        <f>SUM(F431:F433)</f>
        <v>2400000</v>
      </c>
    </row>
    <row r="434" spans="1:11" s="2" customFormat="1" ht="15.75" customHeight="1">
      <c r="A434" s="1071" t="s">
        <v>15</v>
      </c>
      <c r="B434" s="1093"/>
      <c r="C434" s="1093"/>
      <c r="D434" s="1093"/>
      <c r="E434" s="1093"/>
      <c r="F434" s="1093"/>
      <c r="G434" s="1094"/>
    </row>
    <row r="435" spans="1:11" s="2" customFormat="1" ht="15.75" customHeight="1">
      <c r="A435" s="1074" t="s">
        <v>2</v>
      </c>
      <c r="B435" s="1092"/>
      <c r="C435" s="53" t="s">
        <v>3</v>
      </c>
      <c r="D435" s="53" t="s">
        <v>4</v>
      </c>
      <c r="E435" s="53" t="s">
        <v>6</v>
      </c>
      <c r="F435" s="53" t="s">
        <v>11</v>
      </c>
      <c r="G435" s="1075" t="s">
        <v>8</v>
      </c>
    </row>
    <row r="436" spans="1:11" s="2" customFormat="1" ht="15.75" customHeight="1">
      <c r="A436" s="943" t="s">
        <v>173</v>
      </c>
      <c r="B436" s="1078"/>
      <c r="C436" s="16" t="s">
        <v>3</v>
      </c>
      <c r="D436" s="54">
        <v>3.5000000000000003E-2</v>
      </c>
      <c r="E436" s="17">
        <f>G433</f>
        <v>2400000</v>
      </c>
      <c r="F436" s="55">
        <f>E436*D436</f>
        <v>84000.000000000015</v>
      </c>
      <c r="G436" s="1075"/>
    </row>
    <row r="437" spans="1:11" s="2" customFormat="1" ht="15.75" customHeight="1">
      <c r="A437" s="59"/>
      <c r="B437" s="60"/>
      <c r="C437" s="60"/>
      <c r="D437" s="60"/>
      <c r="E437" s="60"/>
      <c r="F437" s="60"/>
      <c r="G437" s="57">
        <f>SUM(F436:F437)</f>
        <v>84000.000000000015</v>
      </c>
    </row>
    <row r="438" spans="1:11" s="2" customFormat="1" ht="15.75" customHeight="1">
      <c r="A438" s="1071" t="s">
        <v>19</v>
      </c>
      <c r="B438" s="1093"/>
      <c r="C438" s="1093"/>
      <c r="D438" s="1093"/>
      <c r="E438" s="1093"/>
      <c r="F438" s="1093"/>
      <c r="G438" s="1094"/>
    </row>
    <row r="439" spans="1:11" s="2" customFormat="1" ht="15.75" customHeight="1">
      <c r="A439" s="1074" t="s">
        <v>2</v>
      </c>
      <c r="B439" s="1092"/>
      <c r="C439" s="53" t="s">
        <v>3</v>
      </c>
      <c r="D439" s="53" t="s">
        <v>4</v>
      </c>
      <c r="E439" s="53" t="s">
        <v>6</v>
      </c>
      <c r="F439" s="53" t="s">
        <v>11</v>
      </c>
      <c r="G439" s="456" t="s">
        <v>8</v>
      </c>
    </row>
    <row r="440" spans="1:11" s="2" customFormat="1" ht="15.75" customHeight="1">
      <c r="A440" s="978" t="str">
        <f>SALARIOS!$A$69</f>
        <v>CUADRILLA BB INSTALACIONES 1:1</v>
      </c>
      <c r="B440" s="979"/>
      <c r="C440" s="13" t="s">
        <v>1245</v>
      </c>
      <c r="D440" s="32">
        <v>1</v>
      </c>
      <c r="E440" s="13">
        <f>SALARIOS!$C$69</f>
        <v>27341</v>
      </c>
      <c r="F440" s="55">
        <f>+D440*E440</f>
        <v>27341</v>
      </c>
      <c r="G440" s="57">
        <f>SUM(F439:F440)</f>
        <v>27341</v>
      </c>
    </row>
    <row r="441" spans="1:11" s="2" customFormat="1" ht="15.75" customHeight="1">
      <c r="A441" s="1076" t="s">
        <v>25</v>
      </c>
      <c r="B441" s="1095"/>
      <c r="C441" s="1095"/>
      <c r="D441" s="1095"/>
      <c r="E441" s="1095"/>
      <c r="F441" s="1095"/>
      <c r="G441" s="1096"/>
    </row>
    <row r="442" spans="1:11" s="2" customFormat="1" ht="15.75" customHeight="1">
      <c r="A442" s="1077"/>
      <c r="B442" s="1097"/>
      <c r="C442" s="1097"/>
      <c r="D442" s="1097"/>
      <c r="E442" s="1097"/>
      <c r="F442" s="1097"/>
      <c r="G442" s="62">
        <f>G440+G437+G433+G429</f>
        <v>2512708.0499999998</v>
      </c>
    </row>
    <row r="443" spans="1:11" s="2" customFormat="1" ht="15.75" customHeight="1">
      <c r="A443" s="63"/>
      <c r="B443" s="42"/>
      <c r="C443" s="42"/>
      <c r="D443" s="42"/>
      <c r="E443" s="42"/>
      <c r="F443" s="42"/>
      <c r="G443" s="64"/>
    </row>
    <row r="444" spans="1:11" s="2" customFormat="1" ht="15.75" customHeight="1">
      <c r="A444" s="970" t="s">
        <v>1</v>
      </c>
      <c r="B444" s="957"/>
      <c r="C444" s="953" t="s">
        <v>0</v>
      </c>
      <c r="D444" s="954"/>
      <c r="E444" s="954"/>
      <c r="F444" s="954"/>
      <c r="G444" s="955"/>
    </row>
    <row r="445" spans="1:11" s="2" customFormat="1" ht="70.5" customHeight="1">
      <c r="A445" s="971"/>
      <c r="B445" s="957"/>
      <c r="C445" s="954"/>
      <c r="D445" s="954"/>
      <c r="E445" s="954"/>
      <c r="F445" s="954"/>
      <c r="G445" s="955"/>
    </row>
    <row r="446" spans="1:11" s="35" customFormat="1" ht="17.399999999999999">
      <c r="A446" s="971"/>
      <c r="B446" s="957"/>
      <c r="C446" s="956"/>
      <c r="D446" s="957"/>
      <c r="E446" s="957"/>
      <c r="F446" s="957"/>
      <c r="G446" s="958"/>
      <c r="H446" s="2"/>
      <c r="I446" s="2"/>
      <c r="J446" s="2"/>
      <c r="K446" s="2"/>
    </row>
    <row r="447" spans="1:11" s="2" customFormat="1" ht="15.75" customHeight="1">
      <c r="A447" s="971"/>
      <c r="B447" s="957"/>
      <c r="C447" s="959" t="s">
        <v>2</v>
      </c>
      <c r="D447" s="957"/>
      <c r="E447" s="957"/>
      <c r="F447" s="23" t="s">
        <v>3</v>
      </c>
      <c r="G447" s="24" t="s">
        <v>4</v>
      </c>
    </row>
    <row r="448" spans="1:11" s="2" customFormat="1" ht="67.5" customHeight="1">
      <c r="A448" s="1073" t="s">
        <v>497</v>
      </c>
      <c r="B448" s="944"/>
      <c r="C448" s="980" t="s">
        <v>498</v>
      </c>
      <c r="D448" s="944"/>
      <c r="E448" s="944"/>
      <c r="F448" s="51" t="s">
        <v>100</v>
      </c>
      <c r="G448" s="52">
        <v>6.4</v>
      </c>
    </row>
    <row r="449" spans="1:7" s="2" customFormat="1" ht="13.8">
      <c r="A449" s="1071" t="s">
        <v>5</v>
      </c>
      <c r="B449" s="944"/>
      <c r="C449" s="944"/>
      <c r="D449" s="944"/>
      <c r="E449" s="944"/>
      <c r="F449" s="944"/>
      <c r="G449" s="1072"/>
    </row>
    <row r="450" spans="1:7" s="2" customFormat="1" ht="15.75" customHeight="1">
      <c r="A450" s="1074" t="s">
        <v>2</v>
      </c>
      <c r="B450" s="944"/>
      <c r="C450" s="53" t="s">
        <v>3</v>
      </c>
      <c r="D450" s="53" t="s">
        <v>4</v>
      </c>
      <c r="E450" s="53" t="s">
        <v>6</v>
      </c>
      <c r="F450" s="53" t="s">
        <v>7</v>
      </c>
      <c r="G450" s="1075" t="s">
        <v>8</v>
      </c>
    </row>
    <row r="451" spans="1:7" s="2" customFormat="1" ht="15.75" customHeight="1">
      <c r="A451" s="947" t="s">
        <v>167</v>
      </c>
      <c r="B451" s="944"/>
      <c r="C451" s="51" t="s">
        <v>3</v>
      </c>
      <c r="D451" s="54">
        <v>0.05</v>
      </c>
      <c r="E451" s="17">
        <f>G467</f>
        <v>18734.5</v>
      </c>
      <c r="F451" s="55">
        <f>D451*E451</f>
        <v>936.72500000000002</v>
      </c>
      <c r="G451" s="1072"/>
    </row>
    <row r="452" spans="1:7" s="2" customFormat="1" ht="15.75" customHeight="1">
      <c r="A452" s="1079"/>
      <c r="B452" s="944"/>
      <c r="C452" s="56"/>
      <c r="D452" s="56"/>
      <c r="E452" s="56"/>
      <c r="F452" s="55"/>
      <c r="G452" s="57">
        <f>SUM(F450:F452)</f>
        <v>936.72500000000002</v>
      </c>
    </row>
    <row r="453" spans="1:7" s="2" customFormat="1" ht="15.75" customHeight="1">
      <c r="A453" s="1071" t="s">
        <v>10</v>
      </c>
      <c r="B453" s="944"/>
      <c r="C453" s="944"/>
      <c r="D453" s="944"/>
      <c r="E453" s="944"/>
      <c r="F453" s="944"/>
      <c r="G453" s="1072"/>
    </row>
    <row r="454" spans="1:7" s="2" customFormat="1" ht="15.75" customHeight="1">
      <c r="A454" s="1074" t="s">
        <v>2</v>
      </c>
      <c r="B454" s="944"/>
      <c r="C454" s="53" t="s">
        <v>3</v>
      </c>
      <c r="D454" s="53" t="s">
        <v>4</v>
      </c>
      <c r="E454" s="53" t="s">
        <v>6</v>
      </c>
      <c r="F454" s="53" t="s">
        <v>11</v>
      </c>
      <c r="G454" s="1075" t="s">
        <v>8</v>
      </c>
    </row>
    <row r="455" spans="1:7" s="2" customFormat="1" ht="30.75" customHeight="1">
      <c r="A455" s="947" t="s">
        <v>499</v>
      </c>
      <c r="B455" s="944"/>
      <c r="C455" s="16" t="s">
        <v>3</v>
      </c>
      <c r="D455" s="16">
        <v>3</v>
      </c>
      <c r="E455" s="17">
        <f>'INSUMOS '!E151</f>
        <v>15050</v>
      </c>
      <c r="F455" s="55">
        <f>D455*E455</f>
        <v>45150</v>
      </c>
      <c r="G455" s="1075"/>
    </row>
    <row r="456" spans="1:7" s="2" customFormat="1" ht="15.75" customHeight="1">
      <c r="A456" s="947" t="s">
        <v>500</v>
      </c>
      <c r="B456" s="944"/>
      <c r="C456" s="16" t="s">
        <v>3</v>
      </c>
      <c r="D456" s="16">
        <v>0.2</v>
      </c>
      <c r="E456" s="17">
        <f>'INSUMOS '!E148</f>
        <v>302900</v>
      </c>
      <c r="F456" s="55">
        <f>E456*D456</f>
        <v>60580</v>
      </c>
      <c r="G456" s="1075"/>
    </row>
    <row r="457" spans="1:7" s="2" customFormat="1" ht="31.5" customHeight="1">
      <c r="A457" s="947" t="s">
        <v>501</v>
      </c>
      <c r="B457" s="944"/>
      <c r="C457" s="16" t="s">
        <v>3</v>
      </c>
      <c r="D457" s="16">
        <v>0.2</v>
      </c>
      <c r="E457" s="17">
        <f>'INSUMOS '!E149</f>
        <v>107900</v>
      </c>
      <c r="F457" s="55">
        <f>E457*D457</f>
        <v>21580</v>
      </c>
      <c r="G457" s="1075"/>
    </row>
    <row r="458" spans="1:7" s="2" customFormat="1" ht="13.8">
      <c r="A458" s="947" t="s">
        <v>502</v>
      </c>
      <c r="B458" s="980"/>
      <c r="C458" s="16" t="s">
        <v>37</v>
      </c>
      <c r="D458" s="16">
        <v>1.6</v>
      </c>
      <c r="E458" s="17">
        <f>'INSUMOS '!E129</f>
        <v>52560</v>
      </c>
      <c r="F458" s="55">
        <f>E458*D458</f>
        <v>84096</v>
      </c>
      <c r="G458" s="1075"/>
    </row>
    <row r="459" spans="1:7" s="2" customFormat="1" ht="15.75" customHeight="1">
      <c r="A459" s="947" t="s">
        <v>306</v>
      </c>
      <c r="B459" s="980"/>
      <c r="C459" s="16" t="s">
        <v>39</v>
      </c>
      <c r="D459" s="16">
        <v>0.1</v>
      </c>
      <c r="E459" s="17">
        <f>SUBANÁLISIS!G31</f>
        <v>570669.8666666667</v>
      </c>
      <c r="F459" s="55">
        <f>E459*D459</f>
        <v>57066.986666666671</v>
      </c>
      <c r="G459" s="1075"/>
    </row>
    <row r="460" spans="1:7" s="2" customFormat="1" ht="15.75" customHeight="1">
      <c r="A460" s="947"/>
      <c r="B460" s="944"/>
      <c r="C460" s="16"/>
      <c r="D460" s="58"/>
      <c r="E460" s="17"/>
      <c r="F460" s="55"/>
      <c r="G460" s="57">
        <f>SUM(F454:F460)</f>
        <v>268472.98666666669</v>
      </c>
    </row>
    <row r="461" spans="1:7" s="2" customFormat="1" ht="15.75" customHeight="1">
      <c r="A461" s="1071" t="s">
        <v>15</v>
      </c>
      <c r="B461" s="944"/>
      <c r="C461" s="944"/>
      <c r="D461" s="944"/>
      <c r="E461" s="944"/>
      <c r="F461" s="944"/>
      <c r="G461" s="1072"/>
    </row>
    <row r="462" spans="1:7" s="2" customFormat="1" ht="15.75" customHeight="1">
      <c r="A462" s="1074" t="s">
        <v>2</v>
      </c>
      <c r="B462" s="1092"/>
      <c r="C462" s="53" t="s">
        <v>3</v>
      </c>
      <c r="D462" s="53" t="s">
        <v>4</v>
      </c>
      <c r="E462" s="53" t="s">
        <v>6</v>
      </c>
      <c r="F462" s="53" t="s">
        <v>11</v>
      </c>
      <c r="G462" s="1075" t="s">
        <v>8</v>
      </c>
    </row>
    <row r="463" spans="1:7" s="2" customFormat="1" ht="15.75" customHeight="1">
      <c r="A463" s="943" t="s">
        <v>17</v>
      </c>
      <c r="B463" s="944"/>
      <c r="C463" s="16" t="s">
        <v>3</v>
      </c>
      <c r="D463" s="54">
        <v>3.5000000000000003E-2</v>
      </c>
      <c r="E463" s="17">
        <f>+G460</f>
        <v>268472.98666666669</v>
      </c>
      <c r="F463" s="55">
        <f>E463*D463</f>
        <v>9396.5545333333357</v>
      </c>
      <c r="G463" s="1072"/>
    </row>
    <row r="464" spans="1:7" s="2" customFormat="1" ht="15.75" customHeight="1">
      <c r="A464" s="59"/>
      <c r="B464" s="60"/>
      <c r="C464" s="60"/>
      <c r="D464" s="60"/>
      <c r="E464" s="60"/>
      <c r="F464" s="60"/>
      <c r="G464" s="57">
        <f>SUM(F463:F464)</f>
        <v>9396.5545333333357</v>
      </c>
    </row>
    <row r="465" spans="1:11" s="2" customFormat="1" ht="15.75" customHeight="1">
      <c r="A465" s="1071" t="s">
        <v>19</v>
      </c>
      <c r="B465" s="944"/>
      <c r="C465" s="944"/>
      <c r="D465" s="944"/>
      <c r="E465" s="944"/>
      <c r="F465" s="944"/>
      <c r="G465" s="1072"/>
    </row>
    <row r="466" spans="1:11" s="2" customFormat="1" ht="15.75" customHeight="1">
      <c r="A466" s="1074" t="s">
        <v>2</v>
      </c>
      <c r="B466" s="1092"/>
      <c r="C466" s="53" t="s">
        <v>3</v>
      </c>
      <c r="D466" s="53" t="s">
        <v>4</v>
      </c>
      <c r="E466" s="53" t="s">
        <v>6</v>
      </c>
      <c r="F466" s="53" t="s">
        <v>11</v>
      </c>
      <c r="G466" s="456" t="s">
        <v>8</v>
      </c>
    </row>
    <row r="467" spans="1:11" s="2" customFormat="1" ht="15.75" customHeight="1">
      <c r="A467" s="978" t="str">
        <f>SALARIOS!$A$70</f>
        <v>CUADRILLA BB INSTALACIONES 1:2</v>
      </c>
      <c r="B467" s="979"/>
      <c r="C467" s="13" t="s">
        <v>1245</v>
      </c>
      <c r="D467" s="32">
        <v>0.5</v>
      </c>
      <c r="E467" s="13">
        <f>SALARIOS!$C$70</f>
        <v>37469</v>
      </c>
      <c r="F467" s="55">
        <f>+D467*E467</f>
        <v>18734.5</v>
      </c>
      <c r="G467" s="57">
        <f>SUM(F466:F467)</f>
        <v>18734.5</v>
      </c>
    </row>
    <row r="468" spans="1:11" s="2" customFormat="1" ht="15.75" customHeight="1">
      <c r="A468" s="1076" t="s">
        <v>25</v>
      </c>
      <c r="B468" s="944"/>
      <c r="C468" s="944"/>
      <c r="D468" s="944"/>
      <c r="E468" s="944"/>
      <c r="F468" s="944"/>
      <c r="G468" s="1072"/>
    </row>
    <row r="469" spans="1:11" s="2" customFormat="1" ht="15.75" customHeight="1">
      <c r="A469" s="1077"/>
      <c r="B469" s="944"/>
      <c r="C469" s="944"/>
      <c r="D469" s="944"/>
      <c r="E469" s="944"/>
      <c r="F469" s="944"/>
      <c r="G469" s="62">
        <f>G467+G464+G460+G452</f>
        <v>297540.76620000001</v>
      </c>
    </row>
    <row r="470" spans="1:11" s="2" customFormat="1" ht="15.75" customHeight="1">
      <c r="A470" s="63"/>
      <c r="B470" s="42"/>
      <c r="C470" s="42"/>
      <c r="D470" s="42"/>
      <c r="E470" s="42"/>
      <c r="F470" s="42"/>
      <c r="G470" s="64"/>
    </row>
    <row r="471" spans="1:11" s="2" customFormat="1" ht="15.75" customHeight="1">
      <c r="A471" s="970" t="s">
        <v>1</v>
      </c>
      <c r="B471" s="957"/>
      <c r="C471" s="953" t="s">
        <v>0</v>
      </c>
      <c r="D471" s="954"/>
      <c r="E471" s="954"/>
      <c r="F471" s="954"/>
      <c r="G471" s="955"/>
    </row>
    <row r="472" spans="1:11" s="2" customFormat="1" ht="57.75" customHeight="1">
      <c r="A472" s="971"/>
      <c r="B472" s="957"/>
      <c r="C472" s="954"/>
      <c r="D472" s="954"/>
      <c r="E472" s="954"/>
      <c r="F472" s="954"/>
      <c r="G472" s="955"/>
    </row>
    <row r="473" spans="1:11" s="35" customFormat="1" ht="17.399999999999999">
      <c r="A473" s="971"/>
      <c r="B473" s="957"/>
      <c r="C473" s="956"/>
      <c r="D473" s="957"/>
      <c r="E473" s="957"/>
      <c r="F473" s="957"/>
      <c r="G473" s="958"/>
      <c r="H473" s="2"/>
      <c r="I473" s="2"/>
      <c r="J473" s="2"/>
      <c r="K473" s="2"/>
    </row>
    <row r="474" spans="1:11" s="2" customFormat="1" ht="15.75" customHeight="1">
      <c r="A474" s="971"/>
      <c r="B474" s="957"/>
      <c r="C474" s="959" t="s">
        <v>2</v>
      </c>
      <c r="D474" s="957"/>
      <c r="E474" s="957"/>
      <c r="F474" s="23" t="s">
        <v>3</v>
      </c>
      <c r="G474" s="24" t="s">
        <v>4</v>
      </c>
    </row>
    <row r="475" spans="1:11" s="2" customFormat="1" ht="134.25" customHeight="1">
      <c r="A475" s="1073" t="s">
        <v>503</v>
      </c>
      <c r="B475" s="944"/>
      <c r="C475" s="980" t="s">
        <v>504</v>
      </c>
      <c r="D475" s="944"/>
      <c r="E475" s="944"/>
      <c r="F475" s="51" t="s">
        <v>100</v>
      </c>
      <c r="G475" s="52">
        <v>318.17</v>
      </c>
    </row>
    <row r="476" spans="1:11" s="2" customFormat="1" ht="13.8">
      <c r="A476" s="1071" t="s">
        <v>5</v>
      </c>
      <c r="B476" s="944"/>
      <c r="C476" s="944"/>
      <c r="D476" s="944"/>
      <c r="E476" s="944"/>
      <c r="F476" s="944"/>
      <c r="G476" s="1072"/>
    </row>
    <row r="477" spans="1:11" s="2" customFormat="1" ht="15.75" customHeight="1">
      <c r="A477" s="1074" t="s">
        <v>2</v>
      </c>
      <c r="B477" s="944"/>
      <c r="C477" s="53" t="s">
        <v>3</v>
      </c>
      <c r="D477" s="53" t="s">
        <v>4</v>
      </c>
      <c r="E477" s="53" t="s">
        <v>6</v>
      </c>
      <c r="F477" s="53" t="s">
        <v>7</v>
      </c>
      <c r="G477" s="1075" t="s">
        <v>8</v>
      </c>
    </row>
    <row r="478" spans="1:11" s="2" customFormat="1" ht="15.75" customHeight="1">
      <c r="A478" s="947" t="s">
        <v>167</v>
      </c>
      <c r="B478" s="944"/>
      <c r="C478" s="51" t="s">
        <v>3</v>
      </c>
      <c r="D478" s="54">
        <v>0.05</v>
      </c>
      <c r="E478" s="17">
        <f>G494</f>
        <v>18734.5</v>
      </c>
      <c r="F478" s="55">
        <f>D478*E478</f>
        <v>936.72500000000002</v>
      </c>
      <c r="G478" s="1072"/>
    </row>
    <row r="479" spans="1:11" s="2" customFormat="1" ht="15.75" customHeight="1">
      <c r="A479" s="1079"/>
      <c r="B479" s="944"/>
      <c r="C479" s="56"/>
      <c r="D479" s="56"/>
      <c r="E479" s="56"/>
      <c r="F479" s="55"/>
      <c r="G479" s="57">
        <f>SUM(F477:F479)</f>
        <v>936.72500000000002</v>
      </c>
    </row>
    <row r="480" spans="1:11" s="2" customFormat="1" ht="15.75" customHeight="1">
      <c r="A480" s="1071" t="s">
        <v>10</v>
      </c>
      <c r="B480" s="944"/>
      <c r="C480" s="944"/>
      <c r="D480" s="944"/>
      <c r="E480" s="944"/>
      <c r="F480" s="944"/>
      <c r="G480" s="1072"/>
    </row>
    <row r="481" spans="1:7" s="2" customFormat="1" ht="15.75" customHeight="1">
      <c r="A481" s="1074" t="s">
        <v>2</v>
      </c>
      <c r="B481" s="944"/>
      <c r="C481" s="53" t="s">
        <v>3</v>
      </c>
      <c r="D481" s="53" t="s">
        <v>4</v>
      </c>
      <c r="E481" s="53" t="s">
        <v>6</v>
      </c>
      <c r="F481" s="53" t="s">
        <v>11</v>
      </c>
      <c r="G481" s="1075" t="s">
        <v>8</v>
      </c>
    </row>
    <row r="482" spans="1:7" s="2" customFormat="1" ht="30.75" customHeight="1">
      <c r="A482" s="947" t="s">
        <v>499</v>
      </c>
      <c r="B482" s="944"/>
      <c r="C482" s="16" t="s">
        <v>3</v>
      </c>
      <c r="D482" s="16">
        <v>3</v>
      </c>
      <c r="E482" s="17">
        <f>'INSUMOS '!E150</f>
        <v>90300</v>
      </c>
      <c r="F482" s="55">
        <f>D482*E482</f>
        <v>270900</v>
      </c>
      <c r="G482" s="1075"/>
    </row>
    <row r="483" spans="1:7" s="2" customFormat="1" ht="15.75" customHeight="1">
      <c r="A483" s="947" t="s">
        <v>500</v>
      </c>
      <c r="B483" s="944"/>
      <c r="C483" s="16" t="s">
        <v>3</v>
      </c>
      <c r="D483" s="16">
        <v>0.2</v>
      </c>
      <c r="E483" s="17">
        <f>'INSUMOS '!E148</f>
        <v>302900</v>
      </c>
      <c r="F483" s="55">
        <f>E483*D483</f>
        <v>60580</v>
      </c>
      <c r="G483" s="1075"/>
    </row>
    <row r="484" spans="1:7" s="2" customFormat="1" ht="15.75" customHeight="1">
      <c r="A484" s="947" t="s">
        <v>501</v>
      </c>
      <c r="B484" s="944"/>
      <c r="C484" s="16" t="s">
        <v>3</v>
      </c>
      <c r="D484" s="16">
        <v>0.2</v>
      </c>
      <c r="E484" s="17">
        <f>'INSUMOS '!E149</f>
        <v>107900</v>
      </c>
      <c r="F484" s="55">
        <f>E484*D484</f>
        <v>21580</v>
      </c>
      <c r="G484" s="1075"/>
    </row>
    <row r="485" spans="1:7" s="2" customFormat="1" ht="32.25" customHeight="1">
      <c r="A485" s="947" t="s">
        <v>1586</v>
      </c>
      <c r="B485" s="980"/>
      <c r="C485" s="16" t="s">
        <v>37</v>
      </c>
      <c r="D485" s="16">
        <v>1.6</v>
      </c>
      <c r="E485" s="17">
        <f>'INSUMOS '!E129</f>
        <v>52560</v>
      </c>
      <c r="F485" s="55">
        <f>E485*D485</f>
        <v>84096</v>
      </c>
      <c r="G485" s="1075"/>
    </row>
    <row r="486" spans="1:7" s="2" customFormat="1" ht="15.75" customHeight="1">
      <c r="A486" s="947" t="s">
        <v>306</v>
      </c>
      <c r="B486" s="980"/>
      <c r="C486" s="16" t="s">
        <v>39</v>
      </c>
      <c r="D486" s="16">
        <v>0.1</v>
      </c>
      <c r="E486" s="17">
        <f>SUBANÁLISIS!G31</f>
        <v>570669.8666666667</v>
      </c>
      <c r="F486" s="55">
        <f>E486*D486</f>
        <v>57066.986666666671</v>
      </c>
      <c r="G486" s="1075"/>
    </row>
    <row r="487" spans="1:7" s="2" customFormat="1" ht="15.75" customHeight="1">
      <c r="A487" s="947"/>
      <c r="B487" s="944"/>
      <c r="C487" s="16"/>
      <c r="D487" s="58"/>
      <c r="E487" s="17"/>
      <c r="F487" s="55"/>
      <c r="G487" s="57">
        <f>SUM(F481:F487)</f>
        <v>494222.98666666669</v>
      </c>
    </row>
    <row r="488" spans="1:7" s="2" customFormat="1" ht="15.75" customHeight="1">
      <c r="A488" s="1071" t="s">
        <v>15</v>
      </c>
      <c r="B488" s="944"/>
      <c r="C488" s="944"/>
      <c r="D488" s="944"/>
      <c r="E488" s="944"/>
      <c r="F488" s="944"/>
      <c r="G488" s="1072"/>
    </row>
    <row r="489" spans="1:7" s="2" customFormat="1" ht="15.75" customHeight="1">
      <c r="A489" s="1074" t="s">
        <v>2</v>
      </c>
      <c r="B489" s="1092"/>
      <c r="C489" s="53" t="s">
        <v>3</v>
      </c>
      <c r="D489" s="53" t="s">
        <v>4</v>
      </c>
      <c r="E489" s="53" t="s">
        <v>6</v>
      </c>
      <c r="F489" s="53" t="s">
        <v>11</v>
      </c>
      <c r="G489" s="1075" t="s">
        <v>8</v>
      </c>
    </row>
    <row r="490" spans="1:7" s="2" customFormat="1" ht="15.75" customHeight="1">
      <c r="A490" s="943" t="s">
        <v>17</v>
      </c>
      <c r="B490" s="944"/>
      <c r="C490" s="16" t="s">
        <v>3</v>
      </c>
      <c r="D490" s="54">
        <v>3.5000000000000003E-2</v>
      </c>
      <c r="E490" s="17">
        <f>+G487</f>
        <v>494222.98666666669</v>
      </c>
      <c r="F490" s="55">
        <f>E490*D490</f>
        <v>17297.804533333336</v>
      </c>
      <c r="G490" s="1072"/>
    </row>
    <row r="491" spans="1:7" s="2" customFormat="1" ht="15.75" customHeight="1">
      <c r="A491" s="59"/>
      <c r="B491" s="60"/>
      <c r="C491" s="60"/>
      <c r="D491" s="60"/>
      <c r="E491" s="60"/>
      <c r="F491" s="60"/>
      <c r="G491" s="57">
        <f>SUM(F490:F491)</f>
        <v>17297.804533333336</v>
      </c>
    </row>
    <row r="492" spans="1:7" s="2" customFormat="1" ht="15.75" customHeight="1">
      <c r="A492" s="1071" t="s">
        <v>19</v>
      </c>
      <c r="B492" s="944"/>
      <c r="C492" s="944"/>
      <c r="D492" s="944"/>
      <c r="E492" s="944"/>
      <c r="F492" s="944"/>
      <c r="G492" s="1072"/>
    </row>
    <row r="493" spans="1:7" s="2" customFormat="1" ht="15.75" customHeight="1">
      <c r="A493" s="1074" t="s">
        <v>2</v>
      </c>
      <c r="B493" s="1092"/>
      <c r="C493" s="53" t="s">
        <v>3</v>
      </c>
      <c r="D493" s="53" t="s">
        <v>4</v>
      </c>
      <c r="E493" s="53" t="s">
        <v>6</v>
      </c>
      <c r="F493" s="53" t="s">
        <v>11</v>
      </c>
      <c r="G493" s="456" t="s">
        <v>8</v>
      </c>
    </row>
    <row r="494" spans="1:7" s="2" customFormat="1" ht="15.75" customHeight="1">
      <c r="A494" s="978" t="str">
        <f>SALARIOS!$A$70</f>
        <v>CUADRILLA BB INSTALACIONES 1:2</v>
      </c>
      <c r="B494" s="979"/>
      <c r="C494" s="13" t="s">
        <v>1245</v>
      </c>
      <c r="D494" s="32">
        <v>0.5</v>
      </c>
      <c r="E494" s="13">
        <f>SALARIOS!$C$70</f>
        <v>37469</v>
      </c>
      <c r="F494" s="55">
        <f>+D494*E494</f>
        <v>18734.5</v>
      </c>
      <c r="G494" s="57">
        <f>SUM(F493:F494)</f>
        <v>18734.5</v>
      </c>
    </row>
    <row r="495" spans="1:7" s="2" customFormat="1" ht="15.75" customHeight="1">
      <c r="A495" s="1076" t="s">
        <v>25</v>
      </c>
      <c r="B495" s="944"/>
      <c r="C495" s="944"/>
      <c r="D495" s="944"/>
      <c r="E495" s="944"/>
      <c r="F495" s="944"/>
      <c r="G495" s="1072"/>
    </row>
    <row r="496" spans="1:7" s="2" customFormat="1" ht="15.75" customHeight="1">
      <c r="A496" s="1077"/>
      <c r="B496" s="944"/>
      <c r="C496" s="944"/>
      <c r="D496" s="944"/>
      <c r="E496" s="944"/>
      <c r="F496" s="944"/>
      <c r="G496" s="62">
        <f>G494+G491+G487+G479</f>
        <v>531192.01619999995</v>
      </c>
    </row>
    <row r="497" spans="1:11" s="2" customFormat="1" ht="15.75" customHeight="1">
      <c r="A497" s="63"/>
      <c r="B497" s="42"/>
      <c r="C497" s="42"/>
      <c r="D497" s="42"/>
      <c r="E497" s="42"/>
      <c r="F497" s="42"/>
      <c r="G497" s="64"/>
    </row>
    <row r="498" spans="1:11" s="2" customFormat="1" ht="15.75" customHeight="1">
      <c r="A498" s="970" t="s">
        <v>1</v>
      </c>
      <c r="B498" s="1105"/>
      <c r="C498" s="953" t="s">
        <v>0</v>
      </c>
      <c r="D498" s="953"/>
      <c r="E498" s="953"/>
      <c r="F498" s="953"/>
      <c r="G498" s="1103"/>
    </row>
    <row r="499" spans="1:11" s="2" customFormat="1" ht="50.25" customHeight="1">
      <c r="A499" s="970"/>
      <c r="B499" s="1105"/>
      <c r="C499" s="953"/>
      <c r="D499" s="953"/>
      <c r="E499" s="953"/>
      <c r="F499" s="953"/>
      <c r="G499" s="1103"/>
    </row>
    <row r="500" spans="1:11" s="35" customFormat="1" ht="17.399999999999999">
      <c r="A500" s="970"/>
      <c r="B500" s="1105"/>
      <c r="C500" s="956"/>
      <c r="D500" s="956"/>
      <c r="E500" s="956"/>
      <c r="F500" s="956"/>
      <c r="G500" s="1106"/>
      <c r="H500" s="2"/>
      <c r="I500" s="2"/>
      <c r="J500" s="2"/>
      <c r="K500" s="2"/>
    </row>
    <row r="501" spans="1:11" s="2" customFormat="1" ht="15.75" customHeight="1">
      <c r="A501" s="970"/>
      <c r="B501" s="1105"/>
      <c r="C501" s="959" t="s">
        <v>2</v>
      </c>
      <c r="D501" s="959"/>
      <c r="E501" s="959"/>
      <c r="F501" s="23" t="s">
        <v>3</v>
      </c>
      <c r="G501" s="24" t="s">
        <v>4</v>
      </c>
    </row>
    <row r="502" spans="1:11" s="2" customFormat="1" ht="108.75" customHeight="1">
      <c r="A502" s="1073" t="s">
        <v>505</v>
      </c>
      <c r="B502" s="1104"/>
      <c r="C502" s="980" t="s">
        <v>506</v>
      </c>
      <c r="D502" s="980"/>
      <c r="E502" s="980"/>
      <c r="F502" s="51" t="s">
        <v>37</v>
      </c>
      <c r="G502" s="52">
        <v>67.87</v>
      </c>
    </row>
    <row r="503" spans="1:11" s="2" customFormat="1" ht="13.8">
      <c r="A503" s="1071" t="s">
        <v>5</v>
      </c>
      <c r="B503" s="1093"/>
      <c r="C503" s="1093"/>
      <c r="D503" s="1093"/>
      <c r="E503" s="1093"/>
      <c r="F503" s="1093"/>
      <c r="G503" s="1094"/>
    </row>
    <row r="504" spans="1:11" s="2" customFormat="1" ht="15.75" customHeight="1">
      <c r="A504" s="1074" t="s">
        <v>2</v>
      </c>
      <c r="B504" s="1092"/>
      <c r="C504" s="53" t="s">
        <v>3</v>
      </c>
      <c r="D504" s="53" t="s">
        <v>4</v>
      </c>
      <c r="E504" s="53" t="s">
        <v>6</v>
      </c>
      <c r="F504" s="53" t="s">
        <v>7</v>
      </c>
      <c r="G504" s="61" t="s">
        <v>8</v>
      </c>
    </row>
    <row r="505" spans="1:11" s="2" customFormat="1" ht="15.75" customHeight="1">
      <c r="A505" s="1015" t="s">
        <v>9</v>
      </c>
      <c r="B505" s="1016"/>
      <c r="C505" s="51" t="s">
        <v>3</v>
      </c>
      <c r="D505" s="51">
        <v>0.05</v>
      </c>
      <c r="E505" s="133">
        <f>G516</f>
        <v>27341</v>
      </c>
      <c r="F505" s="55">
        <f>E505*D505</f>
        <v>1367.0500000000002</v>
      </c>
      <c r="G505" s="57">
        <f>SUM(F504:F505)</f>
        <v>1367.0500000000002</v>
      </c>
    </row>
    <row r="506" spans="1:11" s="2" customFormat="1" ht="15.75" customHeight="1">
      <c r="A506" s="1071" t="s">
        <v>10</v>
      </c>
      <c r="B506" s="1093"/>
      <c r="C506" s="1093"/>
      <c r="D506" s="1093"/>
      <c r="E506" s="1093"/>
      <c r="F506" s="1093"/>
      <c r="G506" s="1094"/>
    </row>
    <row r="507" spans="1:11" s="2" customFormat="1" ht="15.75" customHeight="1">
      <c r="A507" s="1074" t="s">
        <v>2</v>
      </c>
      <c r="B507" s="1092"/>
      <c r="C507" s="53" t="s">
        <v>3</v>
      </c>
      <c r="D507" s="53" t="s">
        <v>4</v>
      </c>
      <c r="E507" s="53" t="s">
        <v>6</v>
      </c>
      <c r="F507" s="53" t="s">
        <v>11</v>
      </c>
      <c r="G507" s="1075" t="s">
        <v>8</v>
      </c>
    </row>
    <row r="508" spans="1:11" s="2" customFormat="1" ht="94.5" customHeight="1">
      <c r="A508" s="947" t="s">
        <v>1587</v>
      </c>
      <c r="B508" s="980"/>
      <c r="C508" s="16" t="s">
        <v>37</v>
      </c>
      <c r="D508" s="16">
        <v>1</v>
      </c>
      <c r="E508" s="17">
        <v>1500000</v>
      </c>
      <c r="F508" s="55">
        <f>D508*E508</f>
        <v>1500000</v>
      </c>
      <c r="G508" s="1075"/>
    </row>
    <row r="509" spans="1:11" s="2" customFormat="1" ht="15.75" customHeight="1">
      <c r="A509" s="947"/>
      <c r="B509" s="980"/>
      <c r="C509" s="16"/>
      <c r="D509" s="58"/>
      <c r="E509" s="17"/>
      <c r="F509" s="55"/>
      <c r="G509" s="57">
        <f>SUM(F507:F509)</f>
        <v>1500000</v>
      </c>
    </row>
    <row r="510" spans="1:11" s="2" customFormat="1" ht="15.75" customHeight="1">
      <c r="A510" s="1071" t="s">
        <v>15</v>
      </c>
      <c r="B510" s="1093"/>
      <c r="C510" s="1093"/>
      <c r="D510" s="1093"/>
      <c r="E510" s="1093"/>
      <c r="F510" s="1093"/>
      <c r="G510" s="1094"/>
    </row>
    <row r="511" spans="1:11" s="2" customFormat="1" ht="15.75" customHeight="1">
      <c r="A511" s="1074" t="s">
        <v>2</v>
      </c>
      <c r="B511" s="1092"/>
      <c r="C511" s="53" t="s">
        <v>3</v>
      </c>
      <c r="D511" s="53" t="s">
        <v>4</v>
      </c>
      <c r="E511" s="53" t="s">
        <v>6</v>
      </c>
      <c r="F511" s="53" t="s">
        <v>11</v>
      </c>
      <c r="G511" s="1075" t="s">
        <v>8</v>
      </c>
    </row>
    <row r="512" spans="1:11" s="2" customFormat="1" ht="15.75" customHeight="1">
      <c r="A512" s="943" t="s">
        <v>173</v>
      </c>
      <c r="B512" s="1078"/>
      <c r="C512" s="16" t="s">
        <v>3</v>
      </c>
      <c r="D512" s="54">
        <v>3.5000000000000003E-2</v>
      </c>
      <c r="E512" s="17">
        <f>G509</f>
        <v>1500000</v>
      </c>
      <c r="F512" s="55">
        <f>E512*D512</f>
        <v>52500.000000000007</v>
      </c>
      <c r="G512" s="1075"/>
    </row>
    <row r="513" spans="1:11" s="2" customFormat="1" ht="15.75" customHeight="1">
      <c r="A513" s="59"/>
      <c r="B513" s="60"/>
      <c r="C513" s="60"/>
      <c r="D513" s="60"/>
      <c r="E513" s="60"/>
      <c r="F513" s="60"/>
      <c r="G513" s="57">
        <f>SUM(F512:F513)</f>
        <v>52500.000000000007</v>
      </c>
    </row>
    <row r="514" spans="1:11" s="2" customFormat="1" ht="15.75" customHeight="1">
      <c r="A514" s="1071" t="s">
        <v>19</v>
      </c>
      <c r="B514" s="1093"/>
      <c r="C514" s="1093"/>
      <c r="D514" s="1093"/>
      <c r="E514" s="1093"/>
      <c r="F514" s="1093"/>
      <c r="G514" s="1094"/>
    </row>
    <row r="515" spans="1:11" s="2" customFormat="1" ht="15.75" customHeight="1">
      <c r="A515" s="1074" t="s">
        <v>2</v>
      </c>
      <c r="B515" s="1092"/>
      <c r="C515" s="53" t="s">
        <v>3</v>
      </c>
      <c r="D515" s="53" t="s">
        <v>4</v>
      </c>
      <c r="E515" s="53" t="s">
        <v>6</v>
      </c>
      <c r="F515" s="53" t="s">
        <v>11</v>
      </c>
      <c r="G515" s="456" t="s">
        <v>8</v>
      </c>
    </row>
    <row r="516" spans="1:11" s="2" customFormat="1" ht="15.75" customHeight="1">
      <c r="A516" s="978" t="str">
        <f>SALARIOS!$A$69</f>
        <v>CUADRILLA BB INSTALACIONES 1:1</v>
      </c>
      <c r="B516" s="979"/>
      <c r="C516" s="13" t="s">
        <v>1245</v>
      </c>
      <c r="D516" s="32">
        <v>1</v>
      </c>
      <c r="E516" s="13">
        <f>SALARIOS!$C$69</f>
        <v>27341</v>
      </c>
      <c r="F516" s="55">
        <f>+D516*E516</f>
        <v>27341</v>
      </c>
      <c r="G516" s="57">
        <f>SUM(F515:F516)</f>
        <v>27341</v>
      </c>
    </row>
    <row r="517" spans="1:11" s="2" customFormat="1" ht="15.75" customHeight="1">
      <c r="A517" s="1076" t="s">
        <v>25</v>
      </c>
      <c r="B517" s="1095"/>
      <c r="C517" s="1095"/>
      <c r="D517" s="1095"/>
      <c r="E517" s="1095"/>
      <c r="F517" s="1095"/>
      <c r="G517" s="1096"/>
    </row>
    <row r="518" spans="1:11" s="2" customFormat="1" ht="15.75" customHeight="1">
      <c r="A518" s="1077"/>
      <c r="B518" s="1097"/>
      <c r="C518" s="1097"/>
      <c r="D518" s="1097"/>
      <c r="E518" s="1097"/>
      <c r="F518" s="1097"/>
      <c r="G518" s="62">
        <f>G516+G513+G509+G505</f>
        <v>1581208.05</v>
      </c>
    </row>
    <row r="519" spans="1:11" s="2" customFormat="1" ht="15.75" customHeight="1">
      <c r="A519" s="63"/>
      <c r="B519" s="42"/>
      <c r="C519" s="42"/>
      <c r="D519" s="42"/>
      <c r="E519" s="42"/>
      <c r="F519" s="42"/>
      <c r="G519" s="64"/>
    </row>
    <row r="520" spans="1:11" s="2" customFormat="1" ht="15.75" customHeight="1">
      <c r="A520" s="970" t="s">
        <v>1</v>
      </c>
      <c r="B520" s="1105"/>
      <c r="C520" s="953" t="s">
        <v>0</v>
      </c>
      <c r="D520" s="953"/>
      <c r="E520" s="953"/>
      <c r="F520" s="953"/>
      <c r="G520" s="1103"/>
    </row>
    <row r="521" spans="1:11" s="2" customFormat="1" ht="50.25" customHeight="1">
      <c r="A521" s="970"/>
      <c r="B521" s="1105"/>
      <c r="C521" s="953"/>
      <c r="D521" s="953"/>
      <c r="E521" s="953"/>
      <c r="F521" s="953"/>
      <c r="G521" s="1103"/>
    </row>
    <row r="522" spans="1:11" s="35" customFormat="1" ht="17.399999999999999">
      <c r="A522" s="970"/>
      <c r="B522" s="1105"/>
      <c r="C522" s="956"/>
      <c r="D522" s="956"/>
      <c r="E522" s="956"/>
      <c r="F522" s="956"/>
      <c r="G522" s="1106"/>
      <c r="H522" s="2"/>
      <c r="I522" s="2"/>
      <c r="J522" s="2"/>
      <c r="K522" s="2"/>
    </row>
    <row r="523" spans="1:11" s="2" customFormat="1" ht="15.75" customHeight="1">
      <c r="A523" s="970"/>
      <c r="B523" s="1105"/>
      <c r="C523" s="959" t="s">
        <v>2</v>
      </c>
      <c r="D523" s="959"/>
      <c r="E523" s="959"/>
      <c r="F523" s="23" t="s">
        <v>3</v>
      </c>
      <c r="G523" s="24" t="s">
        <v>4</v>
      </c>
    </row>
    <row r="524" spans="1:11" s="2" customFormat="1" ht="96" customHeight="1">
      <c r="A524" s="1073" t="s">
        <v>507</v>
      </c>
      <c r="B524" s="1104"/>
      <c r="C524" s="980" t="s">
        <v>508</v>
      </c>
      <c r="D524" s="980"/>
      <c r="E524" s="980"/>
      <c r="F524" s="51" t="s">
        <v>37</v>
      </c>
      <c r="G524" s="52">
        <v>13.95</v>
      </c>
    </row>
    <row r="525" spans="1:11" s="2" customFormat="1" ht="13.8">
      <c r="A525" s="1071" t="s">
        <v>5</v>
      </c>
      <c r="B525" s="1093"/>
      <c r="C525" s="1093"/>
      <c r="D525" s="1093"/>
      <c r="E525" s="1093"/>
      <c r="F525" s="1093"/>
      <c r="G525" s="1094"/>
    </row>
    <row r="526" spans="1:11" s="2" customFormat="1" ht="15.75" customHeight="1">
      <c r="A526" s="1074" t="s">
        <v>2</v>
      </c>
      <c r="B526" s="1092"/>
      <c r="C526" s="53" t="s">
        <v>3</v>
      </c>
      <c r="D526" s="53" t="s">
        <v>4</v>
      </c>
      <c r="E526" s="53" t="s">
        <v>6</v>
      </c>
      <c r="F526" s="53" t="s">
        <v>7</v>
      </c>
      <c r="G526" s="61" t="s">
        <v>8</v>
      </c>
    </row>
    <row r="527" spans="1:11" s="2" customFormat="1" ht="15.75" customHeight="1">
      <c r="A527" s="1015" t="s">
        <v>9</v>
      </c>
      <c r="B527" s="1016"/>
      <c r="C527" s="51" t="s">
        <v>3</v>
      </c>
      <c r="D527" s="51">
        <v>0.05</v>
      </c>
      <c r="E527" s="133">
        <f>G538</f>
        <v>27341</v>
      </c>
      <c r="F527" s="55">
        <f>E527*D527</f>
        <v>1367.0500000000002</v>
      </c>
      <c r="G527" s="57">
        <f>SUM(F526:F527)</f>
        <v>1367.0500000000002</v>
      </c>
    </row>
    <row r="528" spans="1:11" s="2" customFormat="1" ht="15.75" customHeight="1">
      <c r="A528" s="1071" t="s">
        <v>10</v>
      </c>
      <c r="B528" s="1093"/>
      <c r="C528" s="1093"/>
      <c r="D528" s="1093"/>
      <c r="E528" s="1093"/>
      <c r="F528" s="1093"/>
      <c r="G528" s="1094"/>
    </row>
    <row r="529" spans="1:11" s="2" customFormat="1" ht="15.75" customHeight="1">
      <c r="A529" s="1074" t="s">
        <v>2</v>
      </c>
      <c r="B529" s="1092"/>
      <c r="C529" s="53" t="s">
        <v>3</v>
      </c>
      <c r="D529" s="53" t="s">
        <v>4</v>
      </c>
      <c r="E529" s="53" t="s">
        <v>6</v>
      </c>
      <c r="F529" s="53" t="s">
        <v>11</v>
      </c>
      <c r="G529" s="1075" t="s">
        <v>8</v>
      </c>
    </row>
    <row r="530" spans="1:11" s="2" customFormat="1" ht="92.25" customHeight="1">
      <c r="A530" s="947" t="s">
        <v>1588</v>
      </c>
      <c r="B530" s="980"/>
      <c r="C530" s="16" t="s">
        <v>37</v>
      </c>
      <c r="D530" s="16">
        <v>1</v>
      </c>
      <c r="E530" s="17">
        <f>'INSUMOS '!E256</f>
        <v>746927.59856630815</v>
      </c>
      <c r="F530" s="55">
        <f>D530*E530</f>
        <v>746927.59856630815</v>
      </c>
      <c r="G530" s="1075"/>
    </row>
    <row r="531" spans="1:11" s="2" customFormat="1" ht="15.75" customHeight="1">
      <c r="A531" s="947"/>
      <c r="B531" s="980"/>
      <c r="C531" s="16"/>
      <c r="D531" s="58"/>
      <c r="E531" s="17"/>
      <c r="F531" s="55">
        <f>E531*D531</f>
        <v>0</v>
      </c>
      <c r="G531" s="57">
        <f>SUM(F529:F531)</f>
        <v>746927.59856630815</v>
      </c>
    </row>
    <row r="532" spans="1:11" s="2" customFormat="1" ht="15.75" customHeight="1">
      <c r="A532" s="1071" t="s">
        <v>15</v>
      </c>
      <c r="B532" s="1093"/>
      <c r="C532" s="1093"/>
      <c r="D532" s="1093"/>
      <c r="E532" s="1093"/>
      <c r="F532" s="1093"/>
      <c r="G532" s="1094"/>
    </row>
    <row r="533" spans="1:11" s="2" customFormat="1" ht="15.75" customHeight="1">
      <c r="A533" s="1074" t="s">
        <v>2</v>
      </c>
      <c r="B533" s="1092"/>
      <c r="C533" s="53" t="s">
        <v>3</v>
      </c>
      <c r="D533" s="53" t="s">
        <v>4</v>
      </c>
      <c r="E533" s="53" t="s">
        <v>6</v>
      </c>
      <c r="F533" s="53" t="s">
        <v>11</v>
      </c>
      <c r="G533" s="1075" t="s">
        <v>8</v>
      </c>
    </row>
    <row r="534" spans="1:11" s="2" customFormat="1" ht="15.75" customHeight="1">
      <c r="A534" s="943" t="s">
        <v>173</v>
      </c>
      <c r="B534" s="1078"/>
      <c r="C534" s="16" t="s">
        <v>3</v>
      </c>
      <c r="D534" s="54">
        <v>3.5000000000000003E-2</v>
      </c>
      <c r="E534" s="17">
        <f>G531</f>
        <v>746927.59856630815</v>
      </c>
      <c r="F534" s="55">
        <f>E534*D534</f>
        <v>26142.465949820788</v>
      </c>
      <c r="G534" s="1075"/>
    </row>
    <row r="535" spans="1:11" s="2" customFormat="1" ht="15.75" customHeight="1">
      <c r="A535" s="59"/>
      <c r="B535" s="60"/>
      <c r="C535" s="60"/>
      <c r="D535" s="60"/>
      <c r="E535" s="60"/>
      <c r="F535" s="60"/>
      <c r="G535" s="57">
        <f>SUM(F534:F535)</f>
        <v>26142.465949820788</v>
      </c>
    </row>
    <row r="536" spans="1:11" s="2" customFormat="1" ht="15.75" customHeight="1">
      <c r="A536" s="1071" t="s">
        <v>19</v>
      </c>
      <c r="B536" s="1093"/>
      <c r="C536" s="1093"/>
      <c r="D536" s="1093"/>
      <c r="E536" s="1093"/>
      <c r="F536" s="1093"/>
      <c r="G536" s="1094"/>
    </row>
    <row r="537" spans="1:11" s="2" customFormat="1" ht="15.75" customHeight="1">
      <c r="A537" s="1074" t="s">
        <v>2</v>
      </c>
      <c r="B537" s="1092"/>
      <c r="C537" s="53" t="s">
        <v>3</v>
      </c>
      <c r="D537" s="53" t="s">
        <v>4</v>
      </c>
      <c r="E537" s="53" t="s">
        <v>6</v>
      </c>
      <c r="F537" s="53" t="s">
        <v>11</v>
      </c>
      <c r="G537" s="456" t="s">
        <v>8</v>
      </c>
    </row>
    <row r="538" spans="1:11" s="2" customFormat="1" ht="15.75" customHeight="1">
      <c r="A538" s="978" t="str">
        <f>SALARIOS!$A$69</f>
        <v>CUADRILLA BB INSTALACIONES 1:1</v>
      </c>
      <c r="B538" s="979"/>
      <c r="C538" s="13" t="s">
        <v>1245</v>
      </c>
      <c r="D538" s="32">
        <v>1</v>
      </c>
      <c r="E538" s="13">
        <f>SALARIOS!$C$69</f>
        <v>27341</v>
      </c>
      <c r="F538" s="55">
        <f>+D538*E538</f>
        <v>27341</v>
      </c>
      <c r="G538" s="57">
        <f>SUM(F537:F538)</f>
        <v>27341</v>
      </c>
    </row>
    <row r="539" spans="1:11" s="2" customFormat="1" ht="15.75" customHeight="1">
      <c r="A539" s="1076" t="s">
        <v>25</v>
      </c>
      <c r="B539" s="1095"/>
      <c r="C539" s="1095"/>
      <c r="D539" s="1095"/>
      <c r="E539" s="1095"/>
      <c r="F539" s="1095"/>
      <c r="G539" s="1096"/>
    </row>
    <row r="540" spans="1:11" s="2" customFormat="1" ht="15.75" customHeight="1">
      <c r="A540" s="1077"/>
      <c r="B540" s="1097"/>
      <c r="C540" s="1097"/>
      <c r="D540" s="1097"/>
      <c r="E540" s="1097"/>
      <c r="F540" s="1097"/>
      <c r="G540" s="62">
        <f>G538+G535+G531+G527</f>
        <v>801778.11451612902</v>
      </c>
    </row>
    <row r="541" spans="1:11" s="2" customFormat="1" ht="15.75" customHeight="1">
      <c r="A541" s="63"/>
      <c r="B541" s="42"/>
      <c r="C541" s="42"/>
      <c r="D541" s="42"/>
      <c r="E541" s="42"/>
      <c r="F541" s="42"/>
      <c r="G541" s="64"/>
    </row>
    <row r="542" spans="1:11" s="2" customFormat="1" ht="15.75" customHeight="1">
      <c r="A542" s="970" t="s">
        <v>1</v>
      </c>
      <c r="B542" s="1105"/>
      <c r="C542" s="953" t="s">
        <v>0</v>
      </c>
      <c r="D542" s="953"/>
      <c r="E542" s="953"/>
      <c r="F542" s="953"/>
      <c r="G542" s="1103"/>
    </row>
    <row r="543" spans="1:11" s="2" customFormat="1" ht="50.25" customHeight="1">
      <c r="A543" s="970"/>
      <c r="B543" s="1105"/>
      <c r="C543" s="953"/>
      <c r="D543" s="953"/>
      <c r="E543" s="953"/>
      <c r="F543" s="953"/>
      <c r="G543" s="1103"/>
    </row>
    <row r="544" spans="1:11" s="35" customFormat="1" ht="17.399999999999999">
      <c r="A544" s="970"/>
      <c r="B544" s="1105"/>
      <c r="C544" s="956"/>
      <c r="D544" s="956"/>
      <c r="E544" s="956"/>
      <c r="F544" s="956"/>
      <c r="G544" s="1106"/>
      <c r="H544" s="2"/>
      <c r="I544" s="2"/>
      <c r="J544" s="2"/>
      <c r="K544" s="2"/>
    </row>
    <row r="545" spans="1:7" s="2" customFormat="1" ht="15.75" customHeight="1">
      <c r="A545" s="970"/>
      <c r="B545" s="1105"/>
      <c r="C545" s="959" t="s">
        <v>2</v>
      </c>
      <c r="D545" s="959"/>
      <c r="E545" s="959"/>
      <c r="F545" s="23" t="s">
        <v>3</v>
      </c>
      <c r="G545" s="24" t="s">
        <v>4</v>
      </c>
    </row>
    <row r="546" spans="1:7" s="2" customFormat="1" ht="100.5" customHeight="1">
      <c r="A546" s="1073" t="s">
        <v>509</v>
      </c>
      <c r="B546" s="1104"/>
      <c r="C546" s="980" t="s">
        <v>510</v>
      </c>
      <c r="D546" s="980"/>
      <c r="E546" s="980"/>
      <c r="F546" s="51" t="s">
        <v>37</v>
      </c>
      <c r="G546" s="52">
        <v>37.76</v>
      </c>
    </row>
    <row r="547" spans="1:7" s="2" customFormat="1" ht="13.8">
      <c r="A547" s="1071" t="s">
        <v>5</v>
      </c>
      <c r="B547" s="1093"/>
      <c r="C547" s="1093"/>
      <c r="D547" s="1093"/>
      <c r="E547" s="1093"/>
      <c r="F547" s="1093"/>
      <c r="G547" s="1094"/>
    </row>
    <row r="548" spans="1:7" s="2" customFormat="1" ht="15.75" customHeight="1">
      <c r="A548" s="1074" t="s">
        <v>2</v>
      </c>
      <c r="B548" s="1092"/>
      <c r="C548" s="53" t="s">
        <v>3</v>
      </c>
      <c r="D548" s="53" t="s">
        <v>4</v>
      </c>
      <c r="E548" s="53" t="s">
        <v>6</v>
      </c>
      <c r="F548" s="53" t="s">
        <v>7</v>
      </c>
      <c r="G548" s="61" t="s">
        <v>8</v>
      </c>
    </row>
    <row r="549" spans="1:7" s="2" customFormat="1" ht="15.75" customHeight="1">
      <c r="A549" s="1015" t="s">
        <v>9</v>
      </c>
      <c r="B549" s="1016"/>
      <c r="C549" s="51" t="s">
        <v>3</v>
      </c>
      <c r="D549" s="51">
        <v>0.05</v>
      </c>
      <c r="E549" s="133">
        <f>G560</f>
        <v>27341</v>
      </c>
      <c r="F549" s="55">
        <f>E549*D549</f>
        <v>1367.0500000000002</v>
      </c>
      <c r="G549" s="57">
        <f>SUM(F548:F549)</f>
        <v>1367.0500000000002</v>
      </c>
    </row>
    <row r="550" spans="1:7" s="2" customFormat="1" ht="15.75" customHeight="1">
      <c r="A550" s="1071" t="s">
        <v>10</v>
      </c>
      <c r="B550" s="1093"/>
      <c r="C550" s="1093"/>
      <c r="D550" s="1093"/>
      <c r="E550" s="1093"/>
      <c r="F550" s="1093"/>
      <c r="G550" s="1094"/>
    </row>
    <row r="551" spans="1:7" s="2" customFormat="1" ht="15.75" customHeight="1">
      <c r="A551" s="1074" t="s">
        <v>2</v>
      </c>
      <c r="B551" s="1092"/>
      <c r="C551" s="53" t="s">
        <v>3</v>
      </c>
      <c r="D551" s="53" t="s">
        <v>4</v>
      </c>
      <c r="E551" s="53" t="s">
        <v>6</v>
      </c>
      <c r="F551" s="53" t="s">
        <v>11</v>
      </c>
      <c r="G551" s="1075" t="s">
        <v>8</v>
      </c>
    </row>
    <row r="552" spans="1:7" s="2" customFormat="1" ht="79.5" customHeight="1">
      <c r="A552" s="947" t="s">
        <v>1589</v>
      </c>
      <c r="B552" s="980"/>
      <c r="C552" s="16" t="s">
        <v>37</v>
      </c>
      <c r="D552" s="16">
        <v>1</v>
      </c>
      <c r="E552" s="17">
        <f>'INSUMOS '!E258</f>
        <v>713999.99999999988</v>
      </c>
      <c r="F552" s="55">
        <f>D552*E552</f>
        <v>713999.99999999988</v>
      </c>
      <c r="G552" s="1075"/>
    </row>
    <row r="553" spans="1:7" s="2" customFormat="1" ht="15.75" customHeight="1">
      <c r="A553" s="947"/>
      <c r="B553" s="980"/>
      <c r="C553" s="16"/>
      <c r="D553" s="58"/>
      <c r="E553" s="17"/>
      <c r="F553" s="55"/>
      <c r="G553" s="57">
        <f>SUM(F551:F553)</f>
        <v>713999.99999999988</v>
      </c>
    </row>
    <row r="554" spans="1:7" s="2" customFormat="1" ht="15.75" customHeight="1">
      <c r="A554" s="1071" t="s">
        <v>15</v>
      </c>
      <c r="B554" s="1093"/>
      <c r="C554" s="1093"/>
      <c r="D554" s="1093"/>
      <c r="E554" s="1093"/>
      <c r="F554" s="1093"/>
      <c r="G554" s="1094"/>
    </row>
    <row r="555" spans="1:7" s="2" customFormat="1" ht="15.75" customHeight="1">
      <c r="A555" s="1074" t="s">
        <v>2</v>
      </c>
      <c r="B555" s="1092"/>
      <c r="C555" s="53" t="s">
        <v>3</v>
      </c>
      <c r="D555" s="53" t="s">
        <v>4</v>
      </c>
      <c r="E555" s="53" t="s">
        <v>6</v>
      </c>
      <c r="F555" s="53" t="s">
        <v>11</v>
      </c>
      <c r="G555" s="1075" t="s">
        <v>8</v>
      </c>
    </row>
    <row r="556" spans="1:7" s="2" customFormat="1" ht="15.75" customHeight="1">
      <c r="A556" s="943" t="s">
        <v>173</v>
      </c>
      <c r="B556" s="1078"/>
      <c r="C556" s="16" t="s">
        <v>3</v>
      </c>
      <c r="D556" s="54">
        <v>3.5000000000000003E-2</v>
      </c>
      <c r="E556" s="17">
        <f>G553</f>
        <v>713999.99999999988</v>
      </c>
      <c r="F556" s="55">
        <f>E556*D556</f>
        <v>24990</v>
      </c>
      <c r="G556" s="1075"/>
    </row>
    <row r="557" spans="1:7" s="2" customFormat="1" ht="15.75" customHeight="1">
      <c r="A557" s="59"/>
      <c r="B557" s="60"/>
      <c r="C557" s="60"/>
      <c r="D557" s="60"/>
      <c r="E557" s="60"/>
      <c r="F557" s="60"/>
      <c r="G557" s="57">
        <f>SUM(F556:F557)</f>
        <v>24990</v>
      </c>
    </row>
    <row r="558" spans="1:7" s="2" customFormat="1" ht="15.75" customHeight="1">
      <c r="A558" s="1071" t="s">
        <v>19</v>
      </c>
      <c r="B558" s="1093"/>
      <c r="C558" s="1093"/>
      <c r="D558" s="1093"/>
      <c r="E558" s="1093"/>
      <c r="F558" s="1093"/>
      <c r="G558" s="1094"/>
    </row>
    <row r="559" spans="1:7" s="2" customFormat="1" ht="15.75" customHeight="1">
      <c r="A559" s="1074" t="s">
        <v>2</v>
      </c>
      <c r="B559" s="1092"/>
      <c r="C559" s="53" t="s">
        <v>3</v>
      </c>
      <c r="D559" s="53" t="s">
        <v>4</v>
      </c>
      <c r="E559" s="53" t="s">
        <v>6</v>
      </c>
      <c r="F559" s="53" t="s">
        <v>11</v>
      </c>
      <c r="G559" s="456" t="s">
        <v>8</v>
      </c>
    </row>
    <row r="560" spans="1:7" s="2" customFormat="1" ht="15.75" customHeight="1">
      <c r="A560" s="978" t="str">
        <f>SALARIOS!$A$69</f>
        <v>CUADRILLA BB INSTALACIONES 1:1</v>
      </c>
      <c r="B560" s="979"/>
      <c r="C560" s="13" t="s">
        <v>1245</v>
      </c>
      <c r="D560" s="32">
        <v>1</v>
      </c>
      <c r="E560" s="13">
        <f>SALARIOS!$C$69</f>
        <v>27341</v>
      </c>
      <c r="F560" s="55">
        <f>+D560*E560</f>
        <v>27341</v>
      </c>
      <c r="G560" s="57">
        <f>SUM(F559:F560)</f>
        <v>27341</v>
      </c>
    </row>
    <row r="561" spans="1:11" s="2" customFormat="1" ht="15.75" customHeight="1">
      <c r="A561" s="1076" t="s">
        <v>25</v>
      </c>
      <c r="B561" s="1095"/>
      <c r="C561" s="1095"/>
      <c r="D561" s="1095"/>
      <c r="E561" s="1095"/>
      <c r="F561" s="1095"/>
      <c r="G561" s="1096"/>
    </row>
    <row r="562" spans="1:11" s="2" customFormat="1" ht="15.75" customHeight="1">
      <c r="A562" s="1077"/>
      <c r="B562" s="1097"/>
      <c r="C562" s="1097"/>
      <c r="D562" s="1097"/>
      <c r="E562" s="1097"/>
      <c r="F562" s="1097"/>
      <c r="G562" s="62">
        <f>G560+G557+G553+G549</f>
        <v>767698.04999999993</v>
      </c>
    </row>
    <row r="563" spans="1:11" s="2" customFormat="1" ht="15.75" customHeight="1">
      <c r="A563" s="63"/>
      <c r="B563" s="42"/>
      <c r="C563" s="42"/>
      <c r="D563" s="42"/>
      <c r="E563" s="42"/>
      <c r="F563" s="42"/>
      <c r="G563" s="64"/>
    </row>
    <row r="564" spans="1:11" s="2" customFormat="1" ht="15.75" customHeight="1">
      <c r="A564" s="970" t="s">
        <v>1</v>
      </c>
      <c r="B564" s="1105"/>
      <c r="C564" s="953" t="s">
        <v>0</v>
      </c>
      <c r="D564" s="953"/>
      <c r="E564" s="953"/>
      <c r="F564" s="953"/>
      <c r="G564" s="1103"/>
    </row>
    <row r="565" spans="1:11" s="2" customFormat="1" ht="50.25" customHeight="1">
      <c r="A565" s="970"/>
      <c r="B565" s="1105"/>
      <c r="C565" s="953"/>
      <c r="D565" s="953"/>
      <c r="E565" s="953"/>
      <c r="F565" s="953"/>
      <c r="G565" s="1103"/>
    </row>
    <row r="566" spans="1:11" s="35" customFormat="1" ht="17.399999999999999">
      <c r="A566" s="970"/>
      <c r="B566" s="1105"/>
      <c r="C566" s="956"/>
      <c r="D566" s="956"/>
      <c r="E566" s="956"/>
      <c r="F566" s="956"/>
      <c r="G566" s="1106"/>
      <c r="H566" s="2"/>
      <c r="I566" s="2"/>
      <c r="J566" s="2"/>
      <c r="K566" s="2"/>
    </row>
    <row r="567" spans="1:11" s="2" customFormat="1" ht="15.75" customHeight="1">
      <c r="A567" s="970"/>
      <c r="B567" s="1105"/>
      <c r="C567" s="959" t="s">
        <v>2</v>
      </c>
      <c r="D567" s="959"/>
      <c r="E567" s="959"/>
      <c r="F567" s="23" t="s">
        <v>3</v>
      </c>
      <c r="G567" s="24" t="s">
        <v>4</v>
      </c>
    </row>
    <row r="568" spans="1:11" s="2" customFormat="1" ht="99.75" customHeight="1">
      <c r="A568" s="1073" t="s">
        <v>511</v>
      </c>
      <c r="B568" s="1104"/>
      <c r="C568" s="980" t="s">
        <v>512</v>
      </c>
      <c r="D568" s="980"/>
      <c r="E568" s="980"/>
      <c r="F568" s="51" t="s">
        <v>37</v>
      </c>
      <c r="G568" s="52">
        <v>22.59</v>
      </c>
    </row>
    <row r="569" spans="1:11" s="2" customFormat="1" ht="13.8">
      <c r="A569" s="1071" t="s">
        <v>5</v>
      </c>
      <c r="B569" s="1093"/>
      <c r="C569" s="1093"/>
      <c r="D569" s="1093"/>
      <c r="E569" s="1093"/>
      <c r="F569" s="1093"/>
      <c r="G569" s="1094"/>
    </row>
    <row r="570" spans="1:11" s="2" customFormat="1" ht="15.75" customHeight="1">
      <c r="A570" s="1074" t="s">
        <v>2</v>
      </c>
      <c r="B570" s="1092"/>
      <c r="C570" s="53" t="s">
        <v>3</v>
      </c>
      <c r="D570" s="53" t="s">
        <v>4</v>
      </c>
      <c r="E570" s="53" t="s">
        <v>6</v>
      </c>
      <c r="F570" s="53" t="s">
        <v>7</v>
      </c>
      <c r="G570" s="61" t="s">
        <v>8</v>
      </c>
    </row>
    <row r="571" spans="1:11" s="2" customFormat="1" ht="15.75" customHeight="1">
      <c r="A571" s="1015" t="s">
        <v>9</v>
      </c>
      <c r="B571" s="1016"/>
      <c r="C571" s="51" t="s">
        <v>3</v>
      </c>
      <c r="D571" s="51">
        <v>0.05</v>
      </c>
      <c r="E571" s="133">
        <f>G582</f>
        <v>27341</v>
      </c>
      <c r="F571" s="55">
        <f>E571*D571</f>
        <v>1367.0500000000002</v>
      </c>
      <c r="G571" s="57">
        <f>SUM(F570:F571)</f>
        <v>1367.0500000000002</v>
      </c>
    </row>
    <row r="572" spans="1:11" s="2" customFormat="1" ht="15.75" customHeight="1">
      <c r="A572" s="1071" t="s">
        <v>10</v>
      </c>
      <c r="B572" s="1093"/>
      <c r="C572" s="1093"/>
      <c r="D572" s="1093"/>
      <c r="E572" s="1093"/>
      <c r="F572" s="1093"/>
      <c r="G572" s="1094"/>
    </row>
    <row r="573" spans="1:11" s="2" customFormat="1" ht="15.75" customHeight="1">
      <c r="A573" s="1074" t="s">
        <v>2</v>
      </c>
      <c r="B573" s="1092"/>
      <c r="C573" s="53" t="s">
        <v>3</v>
      </c>
      <c r="D573" s="53" t="s">
        <v>4</v>
      </c>
      <c r="E573" s="53" t="s">
        <v>6</v>
      </c>
      <c r="F573" s="53" t="s">
        <v>11</v>
      </c>
      <c r="G573" s="1075" t="s">
        <v>8</v>
      </c>
    </row>
    <row r="574" spans="1:11" s="2" customFormat="1" ht="77.25" customHeight="1">
      <c r="A574" s="947" t="s">
        <v>1590</v>
      </c>
      <c r="B574" s="980"/>
      <c r="C574" s="16" t="s">
        <v>37</v>
      </c>
      <c r="D574" s="16">
        <v>1</v>
      </c>
      <c r="E574" s="17">
        <f>'INSUMOS '!E260</f>
        <v>718045.32577903685</v>
      </c>
      <c r="F574" s="55">
        <f>D574*E574</f>
        <v>718045.32577903685</v>
      </c>
      <c r="G574" s="1075"/>
    </row>
    <row r="575" spans="1:11" s="2" customFormat="1" ht="15.75" customHeight="1">
      <c r="A575" s="947"/>
      <c r="B575" s="980"/>
      <c r="C575" s="16"/>
      <c r="D575" s="58"/>
      <c r="E575" s="17"/>
      <c r="F575" s="55"/>
      <c r="G575" s="57">
        <f>SUM(F573:F575)</f>
        <v>718045.32577903685</v>
      </c>
    </row>
    <row r="576" spans="1:11" s="2" customFormat="1" ht="15.75" customHeight="1">
      <c r="A576" s="1071" t="s">
        <v>15</v>
      </c>
      <c r="B576" s="1093"/>
      <c r="C576" s="1093"/>
      <c r="D576" s="1093"/>
      <c r="E576" s="1093"/>
      <c r="F576" s="1093"/>
      <c r="G576" s="1094"/>
    </row>
    <row r="577" spans="1:11" s="2" customFormat="1" ht="15.75" customHeight="1">
      <c r="A577" s="1074" t="s">
        <v>2</v>
      </c>
      <c r="B577" s="1092"/>
      <c r="C577" s="53" t="s">
        <v>3</v>
      </c>
      <c r="D577" s="53" t="s">
        <v>4</v>
      </c>
      <c r="E577" s="53" t="s">
        <v>6</v>
      </c>
      <c r="F577" s="53" t="s">
        <v>11</v>
      </c>
      <c r="G577" s="1075" t="s">
        <v>8</v>
      </c>
    </row>
    <row r="578" spans="1:11" s="2" customFormat="1" ht="15.75" customHeight="1">
      <c r="A578" s="943" t="s">
        <v>173</v>
      </c>
      <c r="B578" s="1078"/>
      <c r="C578" s="16" t="s">
        <v>3</v>
      </c>
      <c r="D578" s="54">
        <v>3.5000000000000003E-2</v>
      </c>
      <c r="E578" s="17">
        <f>G575</f>
        <v>718045.32577903685</v>
      </c>
      <c r="F578" s="55">
        <f>E578*D578</f>
        <v>25131.586402266294</v>
      </c>
      <c r="G578" s="1075"/>
    </row>
    <row r="579" spans="1:11" s="2" customFormat="1" ht="15.75" customHeight="1">
      <c r="A579" s="59"/>
      <c r="B579" s="60"/>
      <c r="C579" s="60"/>
      <c r="D579" s="60"/>
      <c r="E579" s="60"/>
      <c r="F579" s="60"/>
      <c r="G579" s="57">
        <f>SUM(F578:F579)</f>
        <v>25131.586402266294</v>
      </c>
    </row>
    <row r="580" spans="1:11" s="2" customFormat="1" ht="15.75" customHeight="1">
      <c r="A580" s="1071" t="s">
        <v>19</v>
      </c>
      <c r="B580" s="1093"/>
      <c r="C580" s="1093"/>
      <c r="D580" s="1093"/>
      <c r="E580" s="1093"/>
      <c r="F580" s="1093"/>
      <c r="G580" s="1094"/>
    </row>
    <row r="581" spans="1:11" s="2" customFormat="1" ht="15.75" customHeight="1">
      <c r="A581" s="1074" t="s">
        <v>2</v>
      </c>
      <c r="B581" s="1092"/>
      <c r="C581" s="53" t="s">
        <v>3</v>
      </c>
      <c r="D581" s="53" t="s">
        <v>4</v>
      </c>
      <c r="E581" s="53" t="s">
        <v>6</v>
      </c>
      <c r="F581" s="53" t="s">
        <v>11</v>
      </c>
      <c r="G581" s="456" t="s">
        <v>8</v>
      </c>
    </row>
    <row r="582" spans="1:11" s="2" customFormat="1" ht="15.75" customHeight="1">
      <c r="A582" s="978" t="str">
        <f>SALARIOS!$A$69</f>
        <v>CUADRILLA BB INSTALACIONES 1:1</v>
      </c>
      <c r="B582" s="979"/>
      <c r="C582" s="13" t="s">
        <v>1245</v>
      </c>
      <c r="D582" s="32">
        <v>1</v>
      </c>
      <c r="E582" s="13">
        <f>SALARIOS!$C$69</f>
        <v>27341</v>
      </c>
      <c r="F582" s="55">
        <f>+D582*E582</f>
        <v>27341</v>
      </c>
      <c r="G582" s="57">
        <f>SUM(F581:F582)</f>
        <v>27341</v>
      </c>
    </row>
    <row r="583" spans="1:11" s="2" customFormat="1" ht="15.75" customHeight="1">
      <c r="A583" s="1076" t="s">
        <v>25</v>
      </c>
      <c r="B583" s="1095"/>
      <c r="C583" s="1095"/>
      <c r="D583" s="1095"/>
      <c r="E583" s="1095"/>
      <c r="F583" s="1095"/>
      <c r="G583" s="1096"/>
    </row>
    <row r="584" spans="1:11" s="2" customFormat="1" ht="15.75" customHeight="1">
      <c r="A584" s="1077"/>
      <c r="B584" s="1097"/>
      <c r="C584" s="1097"/>
      <c r="D584" s="1097"/>
      <c r="E584" s="1097"/>
      <c r="F584" s="1097"/>
      <c r="G584" s="62">
        <f>G582+G579+G575+G571</f>
        <v>771884.96218130318</v>
      </c>
    </row>
    <row r="585" spans="1:11" s="2" customFormat="1" ht="15.75" customHeight="1">
      <c r="A585" s="63"/>
      <c r="B585" s="42"/>
      <c r="C585" s="42"/>
      <c r="D585" s="42"/>
      <c r="E585" s="42"/>
      <c r="F585" s="42"/>
      <c r="G585" s="64"/>
    </row>
    <row r="586" spans="1:11" s="2" customFormat="1" ht="15.75" customHeight="1">
      <c r="A586" s="970" t="s">
        <v>1</v>
      </c>
      <c r="B586" s="1105"/>
      <c r="C586" s="953" t="s">
        <v>0</v>
      </c>
      <c r="D586" s="953"/>
      <c r="E586" s="953"/>
      <c r="F586" s="953"/>
      <c r="G586" s="1103"/>
    </row>
    <row r="587" spans="1:11" s="2" customFormat="1" ht="50.25" customHeight="1">
      <c r="A587" s="970"/>
      <c r="B587" s="1105"/>
      <c r="C587" s="953"/>
      <c r="D587" s="953"/>
      <c r="E587" s="953"/>
      <c r="F587" s="953"/>
      <c r="G587" s="1103"/>
    </row>
    <row r="588" spans="1:11" s="35" customFormat="1" ht="17.399999999999999">
      <c r="A588" s="970"/>
      <c r="B588" s="1105"/>
      <c r="C588" s="956"/>
      <c r="D588" s="956"/>
      <c r="E588" s="956"/>
      <c r="F588" s="956"/>
      <c r="G588" s="1106"/>
      <c r="H588" s="2"/>
      <c r="I588" s="2"/>
      <c r="J588" s="2"/>
      <c r="K588" s="2"/>
    </row>
    <row r="589" spans="1:11" s="2" customFormat="1" ht="15.75" customHeight="1">
      <c r="A589" s="970"/>
      <c r="B589" s="1105"/>
      <c r="C589" s="959" t="s">
        <v>2</v>
      </c>
      <c r="D589" s="959"/>
      <c r="E589" s="959"/>
      <c r="F589" s="23" t="s">
        <v>3</v>
      </c>
      <c r="G589" s="24" t="s">
        <v>4</v>
      </c>
    </row>
    <row r="590" spans="1:11" s="2" customFormat="1" ht="107.25" customHeight="1">
      <c r="A590" s="1073" t="s">
        <v>513</v>
      </c>
      <c r="B590" s="1104"/>
      <c r="C590" s="980" t="s">
        <v>514</v>
      </c>
      <c r="D590" s="980"/>
      <c r="E590" s="980"/>
      <c r="F590" s="51" t="s">
        <v>37</v>
      </c>
      <c r="G590" s="52">
        <v>18.399999999999999</v>
      </c>
    </row>
    <row r="591" spans="1:11" s="2" customFormat="1" ht="13.8">
      <c r="A591" s="1071" t="s">
        <v>5</v>
      </c>
      <c r="B591" s="1093"/>
      <c r="C591" s="1093"/>
      <c r="D591" s="1093"/>
      <c r="E591" s="1093"/>
      <c r="F591" s="1093"/>
      <c r="G591" s="1094"/>
    </row>
    <row r="592" spans="1:11" s="2" customFormat="1" ht="15.75" customHeight="1">
      <c r="A592" s="1074" t="s">
        <v>2</v>
      </c>
      <c r="B592" s="1092"/>
      <c r="C592" s="53" t="s">
        <v>3</v>
      </c>
      <c r="D592" s="53" t="s">
        <v>4</v>
      </c>
      <c r="E592" s="53" t="s">
        <v>6</v>
      </c>
      <c r="F592" s="53" t="s">
        <v>7</v>
      </c>
      <c r="G592" s="61" t="s">
        <v>8</v>
      </c>
    </row>
    <row r="593" spans="1:7" s="2" customFormat="1" ht="15.75" customHeight="1">
      <c r="A593" s="1015" t="s">
        <v>9</v>
      </c>
      <c r="B593" s="1016"/>
      <c r="C593" s="51" t="s">
        <v>3</v>
      </c>
      <c r="D593" s="51">
        <v>0.05</v>
      </c>
      <c r="E593" s="133">
        <f>G604</f>
        <v>27341</v>
      </c>
      <c r="F593" s="55">
        <f>E593*D593</f>
        <v>1367.0500000000002</v>
      </c>
      <c r="G593" s="57">
        <f>SUM(F592:F593)</f>
        <v>1367.0500000000002</v>
      </c>
    </row>
    <row r="594" spans="1:7" s="2" customFormat="1" ht="15.75" customHeight="1">
      <c r="A594" s="1071" t="s">
        <v>10</v>
      </c>
      <c r="B594" s="1093"/>
      <c r="C594" s="1093"/>
      <c r="D594" s="1093"/>
      <c r="E594" s="1093"/>
      <c r="F594" s="1093"/>
      <c r="G594" s="1094"/>
    </row>
    <row r="595" spans="1:7" s="2" customFormat="1" ht="15.75" customHeight="1">
      <c r="A595" s="1074" t="s">
        <v>2</v>
      </c>
      <c r="B595" s="1092"/>
      <c r="C595" s="53" t="s">
        <v>3</v>
      </c>
      <c r="D595" s="53" t="s">
        <v>4</v>
      </c>
      <c r="E595" s="53" t="s">
        <v>6</v>
      </c>
      <c r="F595" s="53" t="s">
        <v>11</v>
      </c>
      <c r="G595" s="1075" t="s">
        <v>8</v>
      </c>
    </row>
    <row r="596" spans="1:7" s="2" customFormat="1" ht="84.75" customHeight="1">
      <c r="A596" s="947" t="s">
        <v>1591</v>
      </c>
      <c r="B596" s="980"/>
      <c r="C596" s="16" t="s">
        <v>37</v>
      </c>
      <c r="D596" s="16">
        <v>1</v>
      </c>
      <c r="E596" s="17">
        <f>'INSUMOS '!E262</f>
        <v>751903.70370370382</v>
      </c>
      <c r="F596" s="55">
        <f>D596*E596</f>
        <v>751903.70370370382</v>
      </c>
      <c r="G596" s="1075"/>
    </row>
    <row r="597" spans="1:7" s="2" customFormat="1" ht="15.75" customHeight="1">
      <c r="A597" s="947"/>
      <c r="B597" s="980"/>
      <c r="C597" s="16"/>
      <c r="D597" s="58"/>
      <c r="E597" s="17"/>
      <c r="F597" s="55"/>
      <c r="G597" s="57">
        <f>SUM(F595:F597)</f>
        <v>751903.70370370382</v>
      </c>
    </row>
    <row r="598" spans="1:7" s="2" customFormat="1" ht="15.75" customHeight="1">
      <c r="A598" s="1071" t="s">
        <v>15</v>
      </c>
      <c r="B598" s="1093"/>
      <c r="C598" s="1093"/>
      <c r="D598" s="1093"/>
      <c r="E598" s="1093"/>
      <c r="F598" s="1093"/>
      <c r="G598" s="1094"/>
    </row>
    <row r="599" spans="1:7" s="2" customFormat="1" ht="15.75" customHeight="1">
      <c r="A599" s="1074" t="s">
        <v>2</v>
      </c>
      <c r="B599" s="1092"/>
      <c r="C599" s="53" t="s">
        <v>3</v>
      </c>
      <c r="D599" s="53" t="s">
        <v>4</v>
      </c>
      <c r="E599" s="53" t="s">
        <v>6</v>
      </c>
      <c r="F599" s="53" t="s">
        <v>11</v>
      </c>
      <c r="G599" s="1075" t="s">
        <v>8</v>
      </c>
    </row>
    <row r="600" spans="1:7" s="2" customFormat="1" ht="15.75" customHeight="1">
      <c r="A600" s="943" t="s">
        <v>173</v>
      </c>
      <c r="B600" s="1078"/>
      <c r="C600" s="16" t="s">
        <v>3</v>
      </c>
      <c r="D600" s="54">
        <v>3.5000000000000003E-2</v>
      </c>
      <c r="E600" s="17">
        <f>G597</f>
        <v>751903.70370370382</v>
      </c>
      <c r="F600" s="55">
        <f>E600*D600</f>
        <v>26316.629629629635</v>
      </c>
      <c r="G600" s="1075"/>
    </row>
    <row r="601" spans="1:7" s="2" customFormat="1" ht="15.75" customHeight="1">
      <c r="A601" s="59"/>
      <c r="B601" s="60"/>
      <c r="C601" s="60"/>
      <c r="D601" s="60"/>
      <c r="E601" s="60"/>
      <c r="F601" s="60"/>
      <c r="G601" s="57">
        <f>SUM(F600:F601)</f>
        <v>26316.629629629635</v>
      </c>
    </row>
    <row r="602" spans="1:7" s="2" customFormat="1" ht="15.75" customHeight="1">
      <c r="A602" s="1071" t="s">
        <v>19</v>
      </c>
      <c r="B602" s="1093"/>
      <c r="C602" s="1093"/>
      <c r="D602" s="1093"/>
      <c r="E602" s="1093"/>
      <c r="F602" s="1093"/>
      <c r="G602" s="1094"/>
    </row>
    <row r="603" spans="1:7" s="2" customFormat="1" ht="15.75" customHeight="1">
      <c r="A603" s="1074" t="s">
        <v>2</v>
      </c>
      <c r="B603" s="1092"/>
      <c r="C603" s="53" t="s">
        <v>3</v>
      </c>
      <c r="D603" s="53" t="s">
        <v>4</v>
      </c>
      <c r="E603" s="53" t="s">
        <v>6</v>
      </c>
      <c r="F603" s="53" t="s">
        <v>11</v>
      </c>
      <c r="G603" s="456" t="s">
        <v>8</v>
      </c>
    </row>
    <row r="604" spans="1:7" s="2" customFormat="1" ht="15.75" customHeight="1">
      <c r="A604" s="978" t="str">
        <f>SALARIOS!$A$69</f>
        <v>CUADRILLA BB INSTALACIONES 1:1</v>
      </c>
      <c r="B604" s="979"/>
      <c r="C604" s="13" t="s">
        <v>1245</v>
      </c>
      <c r="D604" s="32">
        <v>1</v>
      </c>
      <c r="E604" s="13">
        <f>SALARIOS!$C$69</f>
        <v>27341</v>
      </c>
      <c r="F604" s="55">
        <f>+D604*E604</f>
        <v>27341</v>
      </c>
      <c r="G604" s="57">
        <f>SUM(F603:F604)</f>
        <v>27341</v>
      </c>
    </row>
    <row r="605" spans="1:7" s="2" customFormat="1" ht="15.75" customHeight="1">
      <c r="A605" s="1076" t="s">
        <v>25</v>
      </c>
      <c r="B605" s="1095"/>
      <c r="C605" s="1095"/>
      <c r="D605" s="1095"/>
      <c r="E605" s="1095"/>
      <c r="F605" s="1095"/>
      <c r="G605" s="1096"/>
    </row>
    <row r="606" spans="1:7" s="2" customFormat="1" ht="15.75" customHeight="1">
      <c r="A606" s="1077"/>
      <c r="B606" s="1097"/>
      <c r="C606" s="1097"/>
      <c r="D606" s="1097"/>
      <c r="E606" s="1097"/>
      <c r="F606" s="1097"/>
      <c r="G606" s="62">
        <f>G604+G601+G597+G593</f>
        <v>806928.38333333354</v>
      </c>
    </row>
    <row r="607" spans="1:7" s="2" customFormat="1" ht="15.75" customHeight="1">
      <c r="A607" s="63"/>
      <c r="B607" s="42"/>
      <c r="C607" s="42"/>
      <c r="D607" s="42"/>
      <c r="E607" s="42"/>
      <c r="F607" s="42"/>
      <c r="G607" s="64"/>
    </row>
    <row r="608" spans="1:7" s="2" customFormat="1" ht="15.75" customHeight="1">
      <c r="A608" s="970" t="s">
        <v>1</v>
      </c>
      <c r="B608" s="1105"/>
      <c r="C608" s="953" t="s">
        <v>0</v>
      </c>
      <c r="D608" s="953"/>
      <c r="E608" s="953"/>
      <c r="F608" s="953"/>
      <c r="G608" s="1103"/>
    </row>
    <row r="609" spans="1:11" s="2" customFormat="1" ht="50.25" customHeight="1">
      <c r="A609" s="970"/>
      <c r="B609" s="1105"/>
      <c r="C609" s="953"/>
      <c r="D609" s="953"/>
      <c r="E609" s="953"/>
      <c r="F609" s="953"/>
      <c r="G609" s="1103"/>
    </row>
    <row r="610" spans="1:11" s="35" customFormat="1" ht="17.399999999999999">
      <c r="A610" s="970"/>
      <c r="B610" s="1105"/>
      <c r="C610" s="956"/>
      <c r="D610" s="956"/>
      <c r="E610" s="956"/>
      <c r="F610" s="956"/>
      <c r="G610" s="1106"/>
      <c r="H610" s="2"/>
      <c r="I610" s="2"/>
      <c r="J610" s="2"/>
      <c r="K610" s="2"/>
    </row>
    <row r="611" spans="1:11" s="2" customFormat="1" ht="15.75" customHeight="1">
      <c r="A611" s="970"/>
      <c r="B611" s="1105"/>
      <c r="C611" s="959" t="s">
        <v>2</v>
      </c>
      <c r="D611" s="959"/>
      <c r="E611" s="959"/>
      <c r="F611" s="23" t="s">
        <v>3</v>
      </c>
      <c r="G611" s="24" t="s">
        <v>4</v>
      </c>
    </row>
    <row r="612" spans="1:11" s="2" customFormat="1" ht="94.5" customHeight="1">
      <c r="A612" s="1073" t="s">
        <v>515</v>
      </c>
      <c r="B612" s="1104"/>
      <c r="C612" s="980" t="s">
        <v>516</v>
      </c>
      <c r="D612" s="980"/>
      <c r="E612" s="980"/>
      <c r="F612" s="51" t="s">
        <v>37</v>
      </c>
      <c r="G612" s="52">
        <v>40.119999999999997</v>
      </c>
    </row>
    <row r="613" spans="1:11" s="2" customFormat="1" ht="13.8">
      <c r="A613" s="1071" t="s">
        <v>5</v>
      </c>
      <c r="B613" s="1093"/>
      <c r="C613" s="1093"/>
      <c r="D613" s="1093"/>
      <c r="E613" s="1093"/>
      <c r="F613" s="1093"/>
      <c r="G613" s="1094"/>
    </row>
    <row r="614" spans="1:11" s="2" customFormat="1" ht="15.75" customHeight="1">
      <c r="A614" s="1074" t="s">
        <v>2</v>
      </c>
      <c r="B614" s="1092"/>
      <c r="C614" s="53" t="s">
        <v>3</v>
      </c>
      <c r="D614" s="53" t="s">
        <v>4</v>
      </c>
      <c r="E614" s="53" t="s">
        <v>6</v>
      </c>
      <c r="F614" s="53" t="s">
        <v>7</v>
      </c>
      <c r="G614" s="61" t="s">
        <v>8</v>
      </c>
    </row>
    <row r="615" spans="1:11" s="2" customFormat="1" ht="15.75" customHeight="1">
      <c r="A615" s="1015" t="s">
        <v>9</v>
      </c>
      <c r="B615" s="1016"/>
      <c r="C615" s="51" t="s">
        <v>3</v>
      </c>
      <c r="D615" s="51">
        <v>0.05</v>
      </c>
      <c r="E615" s="133">
        <f>G626</f>
        <v>27341</v>
      </c>
      <c r="F615" s="55">
        <f>E615*D615</f>
        <v>1367.0500000000002</v>
      </c>
      <c r="G615" s="57">
        <f>SUM(F614:F615)</f>
        <v>1367.0500000000002</v>
      </c>
    </row>
    <row r="616" spans="1:11" s="2" customFormat="1" ht="15.75" customHeight="1">
      <c r="A616" s="1071" t="s">
        <v>10</v>
      </c>
      <c r="B616" s="1093"/>
      <c r="C616" s="1093"/>
      <c r="D616" s="1093"/>
      <c r="E616" s="1093"/>
      <c r="F616" s="1093"/>
      <c r="G616" s="1094"/>
    </row>
    <row r="617" spans="1:11" s="2" customFormat="1" ht="15.75" customHeight="1">
      <c r="A617" s="1074" t="s">
        <v>2</v>
      </c>
      <c r="B617" s="1092"/>
      <c r="C617" s="53" t="s">
        <v>3</v>
      </c>
      <c r="D617" s="53" t="s">
        <v>4</v>
      </c>
      <c r="E617" s="53" t="s">
        <v>6</v>
      </c>
      <c r="F617" s="53" t="s">
        <v>11</v>
      </c>
      <c r="G617" s="1075" t="s">
        <v>8</v>
      </c>
    </row>
    <row r="618" spans="1:11" s="2" customFormat="1" ht="88.5" customHeight="1">
      <c r="A618" s="947" t="s">
        <v>1592</v>
      </c>
      <c r="B618" s="980"/>
      <c r="C618" s="16" t="s">
        <v>37</v>
      </c>
      <c r="D618" s="16">
        <v>1</v>
      </c>
      <c r="E618" s="17">
        <f>'INSUMOS '!E264</f>
        <v>737728.81355932192</v>
      </c>
      <c r="F618" s="55">
        <f>D618*E618</f>
        <v>737728.81355932192</v>
      </c>
      <c r="G618" s="1075"/>
    </row>
    <row r="619" spans="1:11" s="2" customFormat="1" ht="15.75" customHeight="1">
      <c r="A619" s="947"/>
      <c r="B619" s="980"/>
      <c r="C619" s="16"/>
      <c r="D619" s="58"/>
      <c r="E619" s="17"/>
      <c r="F619" s="55"/>
      <c r="G619" s="57">
        <f>SUM(F617:F619)</f>
        <v>737728.81355932192</v>
      </c>
    </row>
    <row r="620" spans="1:11" s="2" customFormat="1" ht="15.75" customHeight="1">
      <c r="A620" s="1071" t="s">
        <v>15</v>
      </c>
      <c r="B620" s="1093"/>
      <c r="C620" s="1093"/>
      <c r="D620" s="1093"/>
      <c r="E620" s="1093"/>
      <c r="F620" s="1093"/>
      <c r="G620" s="1094"/>
    </row>
    <row r="621" spans="1:11" s="2" customFormat="1" ht="15.75" customHeight="1">
      <c r="A621" s="1074" t="s">
        <v>2</v>
      </c>
      <c r="B621" s="1092"/>
      <c r="C621" s="53" t="s">
        <v>3</v>
      </c>
      <c r="D621" s="53" t="s">
        <v>4</v>
      </c>
      <c r="E621" s="53" t="s">
        <v>6</v>
      </c>
      <c r="F621" s="53" t="s">
        <v>11</v>
      </c>
      <c r="G621" s="1075" t="s">
        <v>8</v>
      </c>
    </row>
    <row r="622" spans="1:11" s="2" customFormat="1" ht="15.75" customHeight="1">
      <c r="A622" s="943" t="s">
        <v>173</v>
      </c>
      <c r="B622" s="1078"/>
      <c r="C622" s="16" t="s">
        <v>3</v>
      </c>
      <c r="D622" s="54">
        <v>3.5000000000000003E-2</v>
      </c>
      <c r="E622" s="17">
        <f>G619</f>
        <v>737728.81355932192</v>
      </c>
      <c r="F622" s="55">
        <f>E622*D622</f>
        <v>25820.508474576269</v>
      </c>
      <c r="G622" s="1075"/>
    </row>
    <row r="623" spans="1:11" s="2" customFormat="1" ht="15.75" customHeight="1">
      <c r="A623" s="59"/>
      <c r="B623" s="60"/>
      <c r="C623" s="60"/>
      <c r="D623" s="60"/>
      <c r="E623" s="60"/>
      <c r="F623" s="60"/>
      <c r="G623" s="57">
        <f>SUM(F622:F623)</f>
        <v>25820.508474576269</v>
      </c>
    </row>
    <row r="624" spans="1:11" s="2" customFormat="1" ht="15.75" customHeight="1">
      <c r="A624" s="1071" t="s">
        <v>19</v>
      </c>
      <c r="B624" s="1093"/>
      <c r="C624" s="1093"/>
      <c r="D624" s="1093"/>
      <c r="E624" s="1093"/>
      <c r="F624" s="1093"/>
      <c r="G624" s="1094"/>
    </row>
    <row r="625" spans="1:11" s="2" customFormat="1" ht="15.75" customHeight="1">
      <c r="A625" s="1074" t="s">
        <v>2</v>
      </c>
      <c r="B625" s="1092"/>
      <c r="C625" s="53" t="s">
        <v>3</v>
      </c>
      <c r="D625" s="53" t="s">
        <v>4</v>
      </c>
      <c r="E625" s="53" t="s">
        <v>6</v>
      </c>
      <c r="F625" s="53" t="s">
        <v>11</v>
      </c>
      <c r="G625" s="456" t="s">
        <v>8</v>
      </c>
    </row>
    <row r="626" spans="1:11" s="2" customFormat="1" ht="15.75" customHeight="1">
      <c r="A626" s="978" t="str">
        <f>SALARIOS!$A$69</f>
        <v>CUADRILLA BB INSTALACIONES 1:1</v>
      </c>
      <c r="B626" s="979"/>
      <c r="C626" s="13" t="s">
        <v>1245</v>
      </c>
      <c r="D626" s="32">
        <v>1</v>
      </c>
      <c r="E626" s="13">
        <f>SALARIOS!$C$69</f>
        <v>27341</v>
      </c>
      <c r="F626" s="55">
        <f>+D626*E626</f>
        <v>27341</v>
      </c>
      <c r="G626" s="57">
        <f>SUM(F625:F626)</f>
        <v>27341</v>
      </c>
    </row>
    <row r="627" spans="1:11" s="2" customFormat="1" ht="15.75" customHeight="1">
      <c r="A627" s="1076" t="s">
        <v>25</v>
      </c>
      <c r="B627" s="1095"/>
      <c r="C627" s="1095"/>
      <c r="D627" s="1095"/>
      <c r="E627" s="1095"/>
      <c r="F627" s="1095"/>
      <c r="G627" s="1096"/>
    </row>
    <row r="628" spans="1:11" s="2" customFormat="1" ht="15.75" customHeight="1">
      <c r="A628" s="1077"/>
      <c r="B628" s="1097"/>
      <c r="C628" s="1097"/>
      <c r="D628" s="1097"/>
      <c r="E628" s="1097"/>
      <c r="F628" s="1097"/>
      <c r="G628" s="62">
        <f>G626+G623+G619+G615</f>
        <v>792257.37203389825</v>
      </c>
    </row>
    <row r="629" spans="1:11" s="2" customFormat="1" ht="15.75" customHeight="1">
      <c r="A629" s="63"/>
      <c r="B629" s="42"/>
      <c r="C629" s="42"/>
      <c r="D629" s="42"/>
      <c r="E629" s="42"/>
      <c r="F629" s="42"/>
      <c r="G629" s="64"/>
    </row>
    <row r="630" spans="1:11" s="2" customFormat="1" ht="15.75" customHeight="1">
      <c r="A630" s="970" t="s">
        <v>1</v>
      </c>
      <c r="B630" s="1105"/>
      <c r="C630" s="953" t="s">
        <v>0</v>
      </c>
      <c r="D630" s="953"/>
      <c r="E630" s="953"/>
      <c r="F630" s="953"/>
      <c r="G630" s="1103"/>
    </row>
    <row r="631" spans="1:11" s="2" customFormat="1" ht="50.25" customHeight="1">
      <c r="A631" s="970"/>
      <c r="B631" s="1105"/>
      <c r="C631" s="953"/>
      <c r="D631" s="953"/>
      <c r="E631" s="953"/>
      <c r="F631" s="953"/>
      <c r="G631" s="1103"/>
    </row>
    <row r="632" spans="1:11" s="35" customFormat="1" ht="17.399999999999999">
      <c r="A632" s="970"/>
      <c r="B632" s="1105"/>
      <c r="C632" s="956"/>
      <c r="D632" s="956"/>
      <c r="E632" s="956"/>
      <c r="F632" s="956"/>
      <c r="G632" s="1106"/>
      <c r="H632" s="2"/>
      <c r="I632" s="2"/>
      <c r="J632" s="2"/>
      <c r="K632" s="2"/>
    </row>
    <row r="633" spans="1:11" s="2" customFormat="1" ht="15.75" customHeight="1">
      <c r="A633" s="970"/>
      <c r="B633" s="1105"/>
      <c r="C633" s="959" t="s">
        <v>2</v>
      </c>
      <c r="D633" s="959"/>
      <c r="E633" s="959"/>
      <c r="F633" s="23" t="s">
        <v>3</v>
      </c>
      <c r="G633" s="24" t="s">
        <v>4</v>
      </c>
    </row>
    <row r="634" spans="1:11" s="2" customFormat="1" ht="104.25" customHeight="1">
      <c r="A634" s="1073" t="s">
        <v>517</v>
      </c>
      <c r="B634" s="1104"/>
      <c r="C634" s="980" t="s">
        <v>518</v>
      </c>
      <c r="D634" s="980"/>
      <c r="E634" s="980"/>
      <c r="F634" s="51" t="s">
        <v>37</v>
      </c>
      <c r="G634" s="52">
        <v>11.04</v>
      </c>
    </row>
    <row r="635" spans="1:11" s="2" customFormat="1" ht="13.8">
      <c r="A635" s="1071" t="s">
        <v>5</v>
      </c>
      <c r="B635" s="1093"/>
      <c r="C635" s="1093"/>
      <c r="D635" s="1093"/>
      <c r="E635" s="1093"/>
      <c r="F635" s="1093"/>
      <c r="G635" s="1094"/>
    </row>
    <row r="636" spans="1:11" s="2" customFormat="1" ht="15.75" customHeight="1">
      <c r="A636" s="1074" t="s">
        <v>2</v>
      </c>
      <c r="B636" s="1092"/>
      <c r="C636" s="53" t="s">
        <v>3</v>
      </c>
      <c r="D636" s="53" t="s">
        <v>4</v>
      </c>
      <c r="E636" s="53" t="s">
        <v>6</v>
      </c>
      <c r="F636" s="53" t="s">
        <v>7</v>
      </c>
      <c r="G636" s="61" t="s">
        <v>8</v>
      </c>
    </row>
    <row r="637" spans="1:11" s="2" customFormat="1" ht="15.75" customHeight="1">
      <c r="A637" s="1015" t="s">
        <v>9</v>
      </c>
      <c r="B637" s="1016"/>
      <c r="C637" s="51" t="s">
        <v>3</v>
      </c>
      <c r="D637" s="51">
        <v>0.05</v>
      </c>
      <c r="E637" s="133">
        <f>G648</f>
        <v>27341</v>
      </c>
      <c r="F637" s="55">
        <f>E637*D637</f>
        <v>1367.0500000000002</v>
      </c>
      <c r="G637" s="57">
        <f>SUM(F636:F637)</f>
        <v>1367.0500000000002</v>
      </c>
    </row>
    <row r="638" spans="1:11" s="2" customFormat="1" ht="15.75" customHeight="1">
      <c r="A638" s="1071" t="s">
        <v>10</v>
      </c>
      <c r="B638" s="1093"/>
      <c r="C638" s="1093"/>
      <c r="D638" s="1093"/>
      <c r="E638" s="1093"/>
      <c r="F638" s="1093"/>
      <c r="G638" s="1094"/>
    </row>
    <row r="639" spans="1:11" s="2" customFormat="1" ht="15.75" customHeight="1">
      <c r="A639" s="1074" t="s">
        <v>2</v>
      </c>
      <c r="B639" s="1092"/>
      <c r="C639" s="53" t="s">
        <v>3</v>
      </c>
      <c r="D639" s="53" t="s">
        <v>4</v>
      </c>
      <c r="E639" s="53" t="s">
        <v>6</v>
      </c>
      <c r="F639" s="53" t="s">
        <v>11</v>
      </c>
      <c r="G639" s="1075" t="s">
        <v>8</v>
      </c>
    </row>
    <row r="640" spans="1:11" s="2" customFormat="1" ht="87.75" customHeight="1">
      <c r="A640" s="947" t="s">
        <v>1593</v>
      </c>
      <c r="B640" s="980"/>
      <c r="C640" s="16" t="s">
        <v>37</v>
      </c>
      <c r="D640" s="16">
        <v>1</v>
      </c>
      <c r="E640" s="17">
        <f>'INSUMOS '!E266</f>
        <v>735557.97101449268</v>
      </c>
      <c r="F640" s="55">
        <f>D640*E640</f>
        <v>735557.97101449268</v>
      </c>
      <c r="G640" s="1075"/>
    </row>
    <row r="641" spans="1:11" s="2" customFormat="1" ht="15.75" customHeight="1">
      <c r="A641" s="947"/>
      <c r="B641" s="980"/>
      <c r="C641" s="16"/>
      <c r="D641" s="58"/>
      <c r="E641" s="17"/>
      <c r="F641" s="55"/>
      <c r="G641" s="57">
        <f>SUM(F639:F641)</f>
        <v>735557.97101449268</v>
      </c>
    </row>
    <row r="642" spans="1:11" s="2" customFormat="1" ht="15.75" customHeight="1">
      <c r="A642" s="1071" t="s">
        <v>15</v>
      </c>
      <c r="B642" s="1093"/>
      <c r="C642" s="1093"/>
      <c r="D642" s="1093"/>
      <c r="E642" s="1093"/>
      <c r="F642" s="1093"/>
      <c r="G642" s="1094"/>
    </row>
    <row r="643" spans="1:11" s="2" customFormat="1" ht="15.75" customHeight="1">
      <c r="A643" s="1074" t="s">
        <v>2</v>
      </c>
      <c r="B643" s="1092"/>
      <c r="C643" s="53" t="s">
        <v>3</v>
      </c>
      <c r="D643" s="53" t="s">
        <v>4</v>
      </c>
      <c r="E643" s="53" t="s">
        <v>6</v>
      </c>
      <c r="F643" s="53" t="s">
        <v>11</v>
      </c>
      <c r="G643" s="1075" t="s">
        <v>8</v>
      </c>
    </row>
    <row r="644" spans="1:11" s="2" customFormat="1" ht="15.75" customHeight="1">
      <c r="A644" s="943" t="s">
        <v>173</v>
      </c>
      <c r="B644" s="1078"/>
      <c r="C644" s="16" t="s">
        <v>3</v>
      </c>
      <c r="D644" s="54">
        <v>3.5000000000000003E-2</v>
      </c>
      <c r="E644" s="17">
        <f>G641</f>
        <v>735557.97101449268</v>
      </c>
      <c r="F644" s="55">
        <f>E644*D644</f>
        <v>25744.528985507248</v>
      </c>
      <c r="G644" s="1075"/>
    </row>
    <row r="645" spans="1:11" s="2" customFormat="1" ht="15.75" customHeight="1">
      <c r="A645" s="59"/>
      <c r="B645" s="60"/>
      <c r="C645" s="60"/>
      <c r="D645" s="60"/>
      <c r="E645" s="60"/>
      <c r="F645" s="60"/>
      <c r="G645" s="57">
        <f>SUM(F644:F645)</f>
        <v>25744.528985507248</v>
      </c>
    </row>
    <row r="646" spans="1:11" s="2" customFormat="1" ht="15.75" customHeight="1">
      <c r="A646" s="1071" t="s">
        <v>19</v>
      </c>
      <c r="B646" s="1093"/>
      <c r="C646" s="1093"/>
      <c r="D646" s="1093"/>
      <c r="E646" s="1093"/>
      <c r="F646" s="1093"/>
      <c r="G646" s="1094"/>
    </row>
    <row r="647" spans="1:11" s="2" customFormat="1" ht="15.75" customHeight="1">
      <c r="A647" s="1074" t="s">
        <v>2</v>
      </c>
      <c r="B647" s="1092"/>
      <c r="C647" s="53" t="s">
        <v>3</v>
      </c>
      <c r="D647" s="53" t="s">
        <v>4</v>
      </c>
      <c r="E647" s="53" t="s">
        <v>6</v>
      </c>
      <c r="F647" s="53" t="s">
        <v>11</v>
      </c>
      <c r="G647" s="456" t="s">
        <v>8</v>
      </c>
    </row>
    <row r="648" spans="1:11" s="2" customFormat="1" ht="15.75" customHeight="1">
      <c r="A648" s="978" t="str">
        <f>SALARIOS!$A$69</f>
        <v>CUADRILLA BB INSTALACIONES 1:1</v>
      </c>
      <c r="B648" s="979"/>
      <c r="C648" s="13" t="s">
        <v>1245</v>
      </c>
      <c r="D648" s="32">
        <v>1</v>
      </c>
      <c r="E648" s="13">
        <f>SALARIOS!$C$69</f>
        <v>27341</v>
      </c>
      <c r="F648" s="55">
        <f>+D648*E648</f>
        <v>27341</v>
      </c>
      <c r="G648" s="57">
        <f>SUM(F647:F648)</f>
        <v>27341</v>
      </c>
    </row>
    <row r="649" spans="1:11" s="2" customFormat="1" ht="15.75" customHeight="1">
      <c r="A649" s="1076" t="s">
        <v>25</v>
      </c>
      <c r="B649" s="1095"/>
      <c r="C649" s="1095"/>
      <c r="D649" s="1095"/>
      <c r="E649" s="1095"/>
      <c r="F649" s="1095"/>
      <c r="G649" s="1096"/>
    </row>
    <row r="650" spans="1:11" s="2" customFormat="1" ht="15.75" customHeight="1">
      <c r="A650" s="1077"/>
      <c r="B650" s="1097"/>
      <c r="C650" s="1097"/>
      <c r="D650" s="1097"/>
      <c r="E650" s="1097"/>
      <c r="F650" s="1097"/>
      <c r="G650" s="62">
        <f>G648+G645+G641+G637</f>
        <v>790010.54999999993</v>
      </c>
    </row>
    <row r="651" spans="1:11" s="2" customFormat="1" ht="15.75" customHeight="1">
      <c r="A651" s="63"/>
      <c r="B651" s="42"/>
      <c r="C651" s="42"/>
      <c r="D651" s="42"/>
      <c r="E651" s="42"/>
      <c r="F651" s="42"/>
      <c r="G651" s="64"/>
    </row>
    <row r="652" spans="1:11" s="2" customFormat="1" ht="15.75" customHeight="1">
      <c r="A652" s="970" t="s">
        <v>1</v>
      </c>
      <c r="B652" s="957"/>
      <c r="C652" s="953" t="s">
        <v>0</v>
      </c>
      <c r="D652" s="954"/>
      <c r="E652" s="954"/>
      <c r="F652" s="954"/>
      <c r="G652" s="955"/>
    </row>
    <row r="653" spans="1:11" s="2" customFormat="1" ht="53.25" customHeight="1">
      <c r="A653" s="971"/>
      <c r="B653" s="957"/>
      <c r="C653" s="954"/>
      <c r="D653" s="954"/>
      <c r="E653" s="954"/>
      <c r="F653" s="954"/>
      <c r="G653" s="955"/>
    </row>
    <row r="654" spans="1:11" s="35" customFormat="1" ht="17.399999999999999">
      <c r="A654" s="971"/>
      <c r="B654" s="957"/>
      <c r="C654" s="956"/>
      <c r="D654" s="957"/>
      <c r="E654" s="957"/>
      <c r="F654" s="957"/>
      <c r="G654" s="958"/>
      <c r="H654" s="2"/>
      <c r="I654" s="2"/>
      <c r="J654" s="2"/>
      <c r="K654" s="2"/>
    </row>
    <row r="655" spans="1:11" s="2" customFormat="1" ht="15.75" customHeight="1">
      <c r="A655" s="971"/>
      <c r="B655" s="957"/>
      <c r="C655" s="959" t="s">
        <v>2</v>
      </c>
      <c r="D655" s="957"/>
      <c r="E655" s="957"/>
      <c r="F655" s="23" t="s">
        <v>3</v>
      </c>
      <c r="G655" s="24" t="s">
        <v>4</v>
      </c>
    </row>
    <row r="656" spans="1:11" s="2" customFormat="1" ht="93.75" customHeight="1">
      <c r="A656" s="1073" t="s">
        <v>519</v>
      </c>
      <c r="B656" s="944"/>
      <c r="C656" s="980" t="s">
        <v>520</v>
      </c>
      <c r="D656" s="944"/>
      <c r="E656" s="944"/>
      <c r="F656" s="51" t="s">
        <v>37</v>
      </c>
      <c r="G656" s="52">
        <v>9.66</v>
      </c>
    </row>
    <row r="657" spans="1:7" s="2" customFormat="1" ht="13.8">
      <c r="A657" s="1071" t="s">
        <v>5</v>
      </c>
      <c r="B657" s="944"/>
      <c r="C657" s="944"/>
      <c r="D657" s="944"/>
      <c r="E657" s="944"/>
      <c r="F657" s="944"/>
      <c r="G657" s="1072"/>
    </row>
    <row r="658" spans="1:7" s="2" customFormat="1" ht="15.75" customHeight="1">
      <c r="A658" s="1074" t="s">
        <v>2</v>
      </c>
      <c r="B658" s="1092"/>
      <c r="C658" s="53" t="s">
        <v>3</v>
      </c>
      <c r="D658" s="53" t="s">
        <v>4</v>
      </c>
      <c r="E658" s="53" t="s">
        <v>6</v>
      </c>
      <c r="F658" s="53" t="s">
        <v>7</v>
      </c>
      <c r="G658" s="61" t="s">
        <v>8</v>
      </c>
    </row>
    <row r="659" spans="1:7" s="2" customFormat="1" ht="15.75" customHeight="1">
      <c r="A659" s="1015" t="s">
        <v>9</v>
      </c>
      <c r="B659" s="1016"/>
      <c r="C659" s="51" t="s">
        <v>3</v>
      </c>
      <c r="D659" s="51">
        <v>0.05</v>
      </c>
      <c r="E659" s="133">
        <f>G670</f>
        <v>27341</v>
      </c>
      <c r="F659" s="55">
        <f>E659*D659</f>
        <v>1367.0500000000002</v>
      </c>
      <c r="G659" s="57">
        <f>SUM(F658:F659)</f>
        <v>1367.0500000000002</v>
      </c>
    </row>
    <row r="660" spans="1:7" s="2" customFormat="1" ht="15.75" customHeight="1">
      <c r="A660" s="1071" t="s">
        <v>10</v>
      </c>
      <c r="B660" s="1093"/>
      <c r="C660" s="1093"/>
      <c r="D660" s="1093"/>
      <c r="E660" s="1093"/>
      <c r="F660" s="1093"/>
      <c r="G660" s="1094"/>
    </row>
    <row r="661" spans="1:7" s="2" customFormat="1" ht="15.75" customHeight="1">
      <c r="A661" s="1074" t="s">
        <v>2</v>
      </c>
      <c r="B661" s="1092"/>
      <c r="C661" s="53" t="s">
        <v>3</v>
      </c>
      <c r="D661" s="53" t="s">
        <v>4</v>
      </c>
      <c r="E661" s="53" t="s">
        <v>6</v>
      </c>
      <c r="F661" s="53" t="s">
        <v>11</v>
      </c>
      <c r="G661" s="1075" t="s">
        <v>8</v>
      </c>
    </row>
    <row r="662" spans="1:7" s="2" customFormat="1" ht="78.75" customHeight="1">
      <c r="A662" s="947" t="s">
        <v>1594</v>
      </c>
      <c r="B662" s="980"/>
      <c r="C662" s="16" t="s">
        <v>37</v>
      </c>
      <c r="D662" s="16">
        <v>1</v>
      </c>
      <c r="E662" s="17">
        <f>'INSUMOS '!E268</f>
        <v>714000</v>
      </c>
      <c r="F662" s="55">
        <f>D662*E662</f>
        <v>714000</v>
      </c>
      <c r="G662" s="1075"/>
    </row>
    <row r="663" spans="1:7" s="2" customFormat="1" ht="15.75" customHeight="1">
      <c r="A663" s="947"/>
      <c r="B663" s="980"/>
      <c r="C663" s="16"/>
      <c r="D663" s="58"/>
      <c r="E663" s="17"/>
      <c r="F663" s="55"/>
      <c r="G663" s="57">
        <f>SUM(F661:F663)</f>
        <v>714000</v>
      </c>
    </row>
    <row r="664" spans="1:7" s="2" customFormat="1" ht="15.75" customHeight="1">
      <c r="A664" s="1071" t="s">
        <v>15</v>
      </c>
      <c r="B664" s="1093"/>
      <c r="C664" s="1093"/>
      <c r="D664" s="1093"/>
      <c r="E664" s="1093"/>
      <c r="F664" s="1093"/>
      <c r="G664" s="1094"/>
    </row>
    <row r="665" spans="1:7" s="2" customFormat="1" ht="15.75" customHeight="1">
      <c r="A665" s="1074" t="s">
        <v>2</v>
      </c>
      <c r="B665" s="1092"/>
      <c r="C665" s="53" t="s">
        <v>3</v>
      </c>
      <c r="D665" s="53" t="s">
        <v>4</v>
      </c>
      <c r="E665" s="53" t="s">
        <v>6</v>
      </c>
      <c r="F665" s="53" t="s">
        <v>11</v>
      </c>
      <c r="G665" s="1075" t="s">
        <v>8</v>
      </c>
    </row>
    <row r="666" spans="1:7" s="2" customFormat="1" ht="15.75" customHeight="1">
      <c r="A666" s="943" t="s">
        <v>173</v>
      </c>
      <c r="B666" s="1078"/>
      <c r="C666" s="16" t="s">
        <v>3</v>
      </c>
      <c r="D666" s="54">
        <v>3.5000000000000003E-2</v>
      </c>
      <c r="E666" s="17">
        <f>G663</f>
        <v>714000</v>
      </c>
      <c r="F666" s="55">
        <f>E666*D666</f>
        <v>24990.000000000004</v>
      </c>
      <c r="G666" s="1075"/>
    </row>
    <row r="667" spans="1:7" s="2" customFormat="1" ht="15.75" customHeight="1">
      <c r="A667" s="59"/>
      <c r="B667" s="60"/>
      <c r="C667" s="60"/>
      <c r="D667" s="60"/>
      <c r="E667" s="60"/>
      <c r="F667" s="60"/>
      <c r="G667" s="57">
        <f>SUM(F666:F667)</f>
        <v>24990.000000000004</v>
      </c>
    </row>
    <row r="668" spans="1:7" s="2" customFormat="1" ht="15.75" customHeight="1">
      <c r="A668" s="1071" t="s">
        <v>19</v>
      </c>
      <c r="B668" s="1093"/>
      <c r="C668" s="1093"/>
      <c r="D668" s="1093"/>
      <c r="E668" s="1093"/>
      <c r="F668" s="1093"/>
      <c r="G668" s="1094"/>
    </row>
    <row r="669" spans="1:7" s="2" customFormat="1" ht="15.75" customHeight="1">
      <c r="A669" s="1074" t="s">
        <v>2</v>
      </c>
      <c r="B669" s="1092"/>
      <c r="C669" s="53" t="s">
        <v>3</v>
      </c>
      <c r="D669" s="53" t="s">
        <v>4</v>
      </c>
      <c r="E669" s="53" t="s">
        <v>6</v>
      </c>
      <c r="F669" s="53" t="s">
        <v>11</v>
      </c>
      <c r="G669" s="456" t="s">
        <v>8</v>
      </c>
    </row>
    <row r="670" spans="1:7" s="2" customFormat="1" ht="15.75" customHeight="1">
      <c r="A670" s="978" t="str">
        <f>SALARIOS!$A$69</f>
        <v>CUADRILLA BB INSTALACIONES 1:1</v>
      </c>
      <c r="B670" s="979"/>
      <c r="C670" s="13" t="s">
        <v>1245</v>
      </c>
      <c r="D670" s="32">
        <v>1</v>
      </c>
      <c r="E670" s="13">
        <f>SALARIOS!$C$69</f>
        <v>27341</v>
      </c>
      <c r="F670" s="55">
        <f>+D670*E670</f>
        <v>27341</v>
      </c>
      <c r="G670" s="57">
        <f>SUM(F669:F670)</f>
        <v>27341</v>
      </c>
    </row>
    <row r="671" spans="1:7" s="2" customFormat="1" ht="15.75" customHeight="1">
      <c r="A671" s="1076" t="s">
        <v>25</v>
      </c>
      <c r="B671" s="1095"/>
      <c r="C671" s="1095"/>
      <c r="D671" s="1095"/>
      <c r="E671" s="1095"/>
      <c r="F671" s="1095"/>
      <c r="G671" s="1096"/>
    </row>
    <row r="672" spans="1:7" s="2" customFormat="1" ht="15.75" customHeight="1">
      <c r="A672" s="1077"/>
      <c r="B672" s="1097"/>
      <c r="C672" s="1097"/>
      <c r="D672" s="1097"/>
      <c r="E672" s="1097"/>
      <c r="F672" s="1097"/>
      <c r="G672" s="62">
        <f>G670+G667+G663+G659</f>
        <v>767698.05</v>
      </c>
    </row>
    <row r="673" spans="1:11" s="2" customFormat="1" ht="15.75" customHeight="1">
      <c r="A673" s="63"/>
      <c r="B673" s="42"/>
      <c r="C673" s="42"/>
      <c r="D673" s="42"/>
      <c r="E673" s="42"/>
      <c r="F673" s="42"/>
      <c r="G673" s="64"/>
    </row>
    <row r="674" spans="1:11" s="2" customFormat="1" ht="15.75" customHeight="1">
      <c r="A674" s="970" t="s">
        <v>1</v>
      </c>
      <c r="B674" s="957"/>
      <c r="C674" s="953" t="s">
        <v>0</v>
      </c>
      <c r="D674" s="954"/>
      <c r="E674" s="954"/>
      <c r="F674" s="954"/>
      <c r="G674" s="955"/>
    </row>
    <row r="675" spans="1:11" s="2" customFormat="1" ht="78.75" customHeight="1">
      <c r="A675" s="971"/>
      <c r="B675" s="957"/>
      <c r="C675" s="954"/>
      <c r="D675" s="954"/>
      <c r="E675" s="954"/>
      <c r="F675" s="954"/>
      <c r="G675" s="955"/>
    </row>
    <row r="676" spans="1:11" s="35" customFormat="1" ht="17.399999999999999">
      <c r="A676" s="971"/>
      <c r="B676" s="957"/>
      <c r="C676" s="956"/>
      <c r="D676" s="957"/>
      <c r="E676" s="957"/>
      <c r="F676" s="957"/>
      <c r="G676" s="958"/>
      <c r="H676" s="2"/>
      <c r="I676" s="2"/>
      <c r="J676" s="2"/>
      <c r="K676" s="2"/>
    </row>
    <row r="677" spans="1:11" s="2" customFormat="1" ht="15.75" customHeight="1">
      <c r="A677" s="971"/>
      <c r="B677" s="957"/>
      <c r="C677" s="959" t="s">
        <v>2</v>
      </c>
      <c r="D677" s="957"/>
      <c r="E677" s="957"/>
      <c r="F677" s="23" t="s">
        <v>3</v>
      </c>
      <c r="G677" s="24" t="s">
        <v>4</v>
      </c>
    </row>
    <row r="678" spans="1:11" s="2" customFormat="1" ht="93" customHeight="1">
      <c r="A678" s="1073" t="s">
        <v>521</v>
      </c>
      <c r="B678" s="944"/>
      <c r="C678" s="980" t="s">
        <v>522</v>
      </c>
      <c r="D678" s="944"/>
      <c r="E678" s="944"/>
      <c r="F678" s="51" t="s">
        <v>37</v>
      </c>
      <c r="G678" s="52">
        <v>7.2</v>
      </c>
    </row>
    <row r="679" spans="1:11" s="2" customFormat="1" ht="13.8">
      <c r="A679" s="1071" t="s">
        <v>5</v>
      </c>
      <c r="B679" s="944"/>
      <c r="C679" s="944"/>
      <c r="D679" s="944"/>
      <c r="E679" s="944"/>
      <c r="F679" s="944"/>
      <c r="G679" s="1072"/>
    </row>
    <row r="680" spans="1:11" s="2" customFormat="1" ht="15.75" customHeight="1">
      <c r="A680" s="1074" t="s">
        <v>2</v>
      </c>
      <c r="B680" s="1092"/>
      <c r="C680" s="53" t="s">
        <v>3</v>
      </c>
      <c r="D680" s="53" t="s">
        <v>4</v>
      </c>
      <c r="E680" s="53" t="s">
        <v>6</v>
      </c>
      <c r="F680" s="53" t="s">
        <v>7</v>
      </c>
      <c r="G680" s="61" t="s">
        <v>8</v>
      </c>
    </row>
    <row r="681" spans="1:11" s="2" customFormat="1" ht="15.75" customHeight="1">
      <c r="A681" s="1015" t="s">
        <v>9</v>
      </c>
      <c r="B681" s="1016"/>
      <c r="C681" s="51" t="s">
        <v>3</v>
      </c>
      <c r="D681" s="51">
        <v>0.05</v>
      </c>
      <c r="E681" s="133">
        <f>G692</f>
        <v>27341</v>
      </c>
      <c r="F681" s="55">
        <f>E681*D681</f>
        <v>1367.0500000000002</v>
      </c>
      <c r="G681" s="57">
        <f>SUM(F680:F681)</f>
        <v>1367.0500000000002</v>
      </c>
    </row>
    <row r="682" spans="1:11" s="2" customFormat="1" ht="15.75" customHeight="1">
      <c r="A682" s="1071" t="s">
        <v>10</v>
      </c>
      <c r="B682" s="1093"/>
      <c r="C682" s="1093"/>
      <c r="D682" s="1093"/>
      <c r="E682" s="1093"/>
      <c r="F682" s="1093"/>
      <c r="G682" s="1094"/>
    </row>
    <row r="683" spans="1:11" s="2" customFormat="1" ht="15.75" customHeight="1">
      <c r="A683" s="1074" t="s">
        <v>2</v>
      </c>
      <c r="B683" s="1092"/>
      <c r="C683" s="53" t="s">
        <v>3</v>
      </c>
      <c r="D683" s="53" t="s">
        <v>4</v>
      </c>
      <c r="E683" s="53" t="s">
        <v>6</v>
      </c>
      <c r="F683" s="53" t="s">
        <v>11</v>
      </c>
      <c r="G683" s="1075" t="s">
        <v>8</v>
      </c>
    </row>
    <row r="684" spans="1:11" s="2" customFormat="1" ht="74.25" customHeight="1">
      <c r="A684" s="947" t="s">
        <v>1595</v>
      </c>
      <c r="B684" s="980"/>
      <c r="C684" s="16" t="s">
        <v>37</v>
      </c>
      <c r="D684" s="16">
        <v>1</v>
      </c>
      <c r="E684" s="17">
        <f>'INSUMOS '!E270</f>
        <v>762922.22222222225</v>
      </c>
      <c r="F684" s="55">
        <f>D684*E684</f>
        <v>762922.22222222225</v>
      </c>
      <c r="G684" s="1075"/>
    </row>
    <row r="685" spans="1:11" s="2" customFormat="1" ht="15.75" customHeight="1">
      <c r="A685" s="947"/>
      <c r="B685" s="980"/>
      <c r="C685" s="16"/>
      <c r="D685" s="58"/>
      <c r="E685" s="17"/>
      <c r="F685" s="55"/>
      <c r="G685" s="57">
        <f>SUM(F683:F685)</f>
        <v>762922.22222222225</v>
      </c>
    </row>
    <row r="686" spans="1:11" s="2" customFormat="1" ht="15.75" customHeight="1">
      <c r="A686" s="1071" t="s">
        <v>15</v>
      </c>
      <c r="B686" s="1093"/>
      <c r="C686" s="1093"/>
      <c r="D686" s="1093"/>
      <c r="E686" s="1093"/>
      <c r="F686" s="1093"/>
      <c r="G686" s="1094"/>
    </row>
    <row r="687" spans="1:11" s="2" customFormat="1" ht="15.75" customHeight="1">
      <c r="A687" s="1074" t="s">
        <v>2</v>
      </c>
      <c r="B687" s="1092"/>
      <c r="C687" s="53" t="s">
        <v>3</v>
      </c>
      <c r="D687" s="53" t="s">
        <v>4</v>
      </c>
      <c r="E687" s="53" t="s">
        <v>6</v>
      </c>
      <c r="F687" s="53" t="s">
        <v>11</v>
      </c>
      <c r="G687" s="1075" t="s">
        <v>8</v>
      </c>
    </row>
    <row r="688" spans="1:11" s="2" customFormat="1" ht="15.75" customHeight="1">
      <c r="A688" s="943" t="s">
        <v>173</v>
      </c>
      <c r="B688" s="1078"/>
      <c r="C688" s="16" t="s">
        <v>3</v>
      </c>
      <c r="D688" s="54">
        <v>3.5000000000000003E-2</v>
      </c>
      <c r="E688" s="17">
        <f>G685</f>
        <v>762922.22222222225</v>
      </c>
      <c r="F688" s="55">
        <f>E688*D688</f>
        <v>26702.277777777781</v>
      </c>
      <c r="G688" s="1075"/>
    </row>
    <row r="689" spans="1:11" s="2" customFormat="1" ht="15.75" customHeight="1">
      <c r="A689" s="59"/>
      <c r="B689" s="60"/>
      <c r="C689" s="60"/>
      <c r="D689" s="60"/>
      <c r="E689" s="60"/>
      <c r="F689" s="60"/>
      <c r="G689" s="57">
        <f>SUM(F688:F689)</f>
        <v>26702.277777777781</v>
      </c>
    </row>
    <row r="690" spans="1:11" s="2" customFormat="1" ht="15.75" customHeight="1">
      <c r="A690" s="1071" t="s">
        <v>19</v>
      </c>
      <c r="B690" s="1093"/>
      <c r="C690" s="1093"/>
      <c r="D690" s="1093"/>
      <c r="E690" s="1093"/>
      <c r="F690" s="1093"/>
      <c r="G690" s="1094"/>
    </row>
    <row r="691" spans="1:11" s="2" customFormat="1" ht="15.75" customHeight="1">
      <c r="A691" s="1074" t="s">
        <v>2</v>
      </c>
      <c r="B691" s="1092"/>
      <c r="C691" s="53" t="s">
        <v>3</v>
      </c>
      <c r="D691" s="53" t="s">
        <v>4</v>
      </c>
      <c r="E691" s="53" t="s">
        <v>6</v>
      </c>
      <c r="F691" s="53" t="s">
        <v>11</v>
      </c>
      <c r="G691" s="456" t="s">
        <v>8</v>
      </c>
    </row>
    <row r="692" spans="1:11" s="2" customFormat="1" ht="15.75" customHeight="1">
      <c r="A692" s="978" t="str">
        <f>SALARIOS!$A$69</f>
        <v>CUADRILLA BB INSTALACIONES 1:1</v>
      </c>
      <c r="B692" s="979"/>
      <c r="C692" s="13" t="s">
        <v>1245</v>
      </c>
      <c r="D692" s="32">
        <v>1</v>
      </c>
      <c r="E692" s="13">
        <f>SALARIOS!$C$69</f>
        <v>27341</v>
      </c>
      <c r="F692" s="55">
        <f>+D692*E692</f>
        <v>27341</v>
      </c>
      <c r="G692" s="57">
        <f>SUM(F691:F692)</f>
        <v>27341</v>
      </c>
    </row>
    <row r="693" spans="1:11" s="2" customFormat="1" ht="15.75" customHeight="1">
      <c r="A693" s="1076" t="s">
        <v>25</v>
      </c>
      <c r="B693" s="1095"/>
      <c r="C693" s="1095"/>
      <c r="D693" s="1095"/>
      <c r="E693" s="1095"/>
      <c r="F693" s="1095"/>
      <c r="G693" s="1096"/>
    </row>
    <row r="694" spans="1:11" s="2" customFormat="1" ht="15.75" customHeight="1">
      <c r="A694" s="1077"/>
      <c r="B694" s="1097"/>
      <c r="C694" s="1097"/>
      <c r="D694" s="1097"/>
      <c r="E694" s="1097"/>
      <c r="F694" s="1097"/>
      <c r="G694" s="62">
        <f>G692+G689+G685+G681</f>
        <v>818332.55</v>
      </c>
    </row>
    <row r="695" spans="1:11" s="2" customFormat="1" ht="15.75" customHeight="1">
      <c r="A695" s="63"/>
      <c r="B695" s="42"/>
      <c r="C695" s="42"/>
      <c r="D695" s="42"/>
      <c r="E695" s="42"/>
      <c r="F695" s="42"/>
      <c r="G695" s="64"/>
    </row>
    <row r="696" spans="1:11" s="2" customFormat="1" ht="15.75" customHeight="1">
      <c r="A696" s="970" t="s">
        <v>1</v>
      </c>
      <c r="B696" s="957"/>
      <c r="C696" s="953" t="s">
        <v>0</v>
      </c>
      <c r="D696" s="954"/>
      <c r="E696" s="954"/>
      <c r="F696" s="954"/>
      <c r="G696" s="955"/>
    </row>
    <row r="697" spans="1:11" s="2" customFormat="1" ht="69.75" customHeight="1">
      <c r="A697" s="971"/>
      <c r="B697" s="957"/>
      <c r="C697" s="954"/>
      <c r="D697" s="954"/>
      <c r="E697" s="954"/>
      <c r="F697" s="954"/>
      <c r="G697" s="955"/>
    </row>
    <row r="698" spans="1:11" s="35" customFormat="1" ht="17.399999999999999">
      <c r="A698" s="971"/>
      <c r="B698" s="957"/>
      <c r="C698" s="956"/>
      <c r="D698" s="957"/>
      <c r="E698" s="957"/>
      <c r="F698" s="957"/>
      <c r="G698" s="958"/>
      <c r="H698" s="2"/>
      <c r="I698" s="2"/>
      <c r="J698" s="2"/>
      <c r="K698" s="2"/>
    </row>
    <row r="699" spans="1:11" s="2" customFormat="1" ht="15.75" customHeight="1">
      <c r="A699" s="971"/>
      <c r="B699" s="957"/>
      <c r="C699" s="959" t="s">
        <v>2</v>
      </c>
      <c r="D699" s="957"/>
      <c r="E699" s="957"/>
      <c r="F699" s="23" t="s">
        <v>3</v>
      </c>
      <c r="G699" s="24" t="s">
        <v>4</v>
      </c>
    </row>
    <row r="700" spans="1:11" s="2" customFormat="1" ht="98.25" customHeight="1">
      <c r="A700" s="1073" t="s">
        <v>523</v>
      </c>
      <c r="B700" s="944"/>
      <c r="C700" s="980" t="s">
        <v>524</v>
      </c>
      <c r="D700" s="944"/>
      <c r="E700" s="944"/>
      <c r="F700" s="51" t="s">
        <v>37</v>
      </c>
      <c r="G700" s="52">
        <v>10.3</v>
      </c>
    </row>
    <row r="701" spans="1:11" s="2" customFormat="1" ht="13.8">
      <c r="A701" s="1071" t="s">
        <v>5</v>
      </c>
      <c r="B701" s="944"/>
      <c r="C701" s="944"/>
      <c r="D701" s="944"/>
      <c r="E701" s="944"/>
      <c r="F701" s="944"/>
      <c r="G701" s="1072"/>
    </row>
    <row r="702" spans="1:11" s="2" customFormat="1" ht="15.75" customHeight="1">
      <c r="A702" s="1074" t="s">
        <v>2</v>
      </c>
      <c r="B702" s="1092"/>
      <c r="C702" s="53" t="s">
        <v>3</v>
      </c>
      <c r="D702" s="53" t="s">
        <v>4</v>
      </c>
      <c r="E702" s="53" t="s">
        <v>6</v>
      </c>
      <c r="F702" s="53" t="s">
        <v>7</v>
      </c>
      <c r="G702" s="61" t="s">
        <v>8</v>
      </c>
    </row>
    <row r="703" spans="1:11" s="2" customFormat="1" ht="15.75" customHeight="1">
      <c r="A703" s="1015" t="s">
        <v>9</v>
      </c>
      <c r="B703" s="1016"/>
      <c r="C703" s="51" t="s">
        <v>3</v>
      </c>
      <c r="D703" s="51">
        <v>0.05</v>
      </c>
      <c r="E703" s="133">
        <f>G714</f>
        <v>27341</v>
      </c>
      <c r="F703" s="55">
        <f>E703*D703</f>
        <v>1367.0500000000002</v>
      </c>
      <c r="G703" s="57">
        <f>SUM(F702:F703)</f>
        <v>1367.0500000000002</v>
      </c>
    </row>
    <row r="704" spans="1:11" s="2" customFormat="1" ht="15.75" customHeight="1">
      <c r="A704" s="1071" t="s">
        <v>10</v>
      </c>
      <c r="B704" s="1093"/>
      <c r="C704" s="1093"/>
      <c r="D704" s="1093"/>
      <c r="E704" s="1093"/>
      <c r="F704" s="1093"/>
      <c r="G704" s="1094"/>
    </row>
    <row r="705" spans="1:11" s="2" customFormat="1" ht="15.75" customHeight="1">
      <c r="A705" s="1074" t="s">
        <v>2</v>
      </c>
      <c r="B705" s="1092"/>
      <c r="C705" s="53" t="s">
        <v>3</v>
      </c>
      <c r="D705" s="53" t="s">
        <v>4</v>
      </c>
      <c r="E705" s="53" t="s">
        <v>6</v>
      </c>
      <c r="F705" s="53" t="s">
        <v>11</v>
      </c>
      <c r="G705" s="1075" t="s">
        <v>8</v>
      </c>
    </row>
    <row r="706" spans="1:11" s="2" customFormat="1" ht="75" customHeight="1">
      <c r="A706" s="947" t="s">
        <v>1596</v>
      </c>
      <c r="B706" s="980"/>
      <c r="C706" s="16" t="s">
        <v>37</v>
      </c>
      <c r="D706" s="16">
        <v>1</v>
      </c>
      <c r="E706" s="17">
        <f>'INSUMOS '!E272</f>
        <v>730264.02640264027</v>
      </c>
      <c r="F706" s="55">
        <f>D706*E706</f>
        <v>730264.02640264027</v>
      </c>
      <c r="G706" s="1075"/>
    </row>
    <row r="707" spans="1:11" s="2" customFormat="1" ht="15.75" customHeight="1">
      <c r="A707" s="947"/>
      <c r="B707" s="980"/>
      <c r="C707" s="16"/>
      <c r="D707" s="58"/>
      <c r="E707" s="17"/>
      <c r="F707" s="55"/>
      <c r="G707" s="57">
        <f>SUM(F705:F707)</f>
        <v>730264.02640264027</v>
      </c>
    </row>
    <row r="708" spans="1:11" s="2" customFormat="1" ht="15.75" customHeight="1">
      <c r="A708" s="1071" t="s">
        <v>15</v>
      </c>
      <c r="B708" s="1093"/>
      <c r="C708" s="1093"/>
      <c r="D708" s="1093"/>
      <c r="E708" s="1093"/>
      <c r="F708" s="1093"/>
      <c r="G708" s="1094"/>
    </row>
    <row r="709" spans="1:11" s="2" customFormat="1" ht="15.75" customHeight="1">
      <c r="A709" s="1074" t="s">
        <v>2</v>
      </c>
      <c r="B709" s="1092"/>
      <c r="C709" s="53" t="s">
        <v>3</v>
      </c>
      <c r="D709" s="53" t="s">
        <v>4</v>
      </c>
      <c r="E709" s="53" t="s">
        <v>6</v>
      </c>
      <c r="F709" s="53" t="s">
        <v>11</v>
      </c>
      <c r="G709" s="1075" t="s">
        <v>8</v>
      </c>
    </row>
    <row r="710" spans="1:11" s="2" customFormat="1" ht="15.75" customHeight="1">
      <c r="A710" s="943" t="s">
        <v>173</v>
      </c>
      <c r="B710" s="1078"/>
      <c r="C710" s="16" t="s">
        <v>3</v>
      </c>
      <c r="D710" s="54">
        <v>3.5000000000000003E-2</v>
      </c>
      <c r="E710" s="17">
        <f>G707</f>
        <v>730264.02640264027</v>
      </c>
      <c r="F710" s="55">
        <f>E710*D710</f>
        <v>25559.240924092413</v>
      </c>
      <c r="G710" s="1075"/>
    </row>
    <row r="711" spans="1:11" s="2" customFormat="1" ht="15.75" customHeight="1">
      <c r="A711" s="59"/>
      <c r="B711" s="60"/>
      <c r="C711" s="60"/>
      <c r="D711" s="60"/>
      <c r="E711" s="60"/>
      <c r="F711" s="60"/>
      <c r="G711" s="57">
        <f>SUM(F710:F711)</f>
        <v>25559.240924092413</v>
      </c>
    </row>
    <row r="712" spans="1:11" s="2" customFormat="1" ht="15.75" customHeight="1">
      <c r="A712" s="1071" t="s">
        <v>19</v>
      </c>
      <c r="B712" s="1093"/>
      <c r="C712" s="1093"/>
      <c r="D712" s="1093"/>
      <c r="E712" s="1093"/>
      <c r="F712" s="1093"/>
      <c r="G712" s="1094"/>
    </row>
    <row r="713" spans="1:11" s="2" customFormat="1" ht="15.75" customHeight="1">
      <c r="A713" s="1074" t="s">
        <v>2</v>
      </c>
      <c r="B713" s="1092"/>
      <c r="C713" s="53" t="s">
        <v>3</v>
      </c>
      <c r="D713" s="53" t="s">
        <v>4</v>
      </c>
      <c r="E713" s="53" t="s">
        <v>6</v>
      </c>
      <c r="F713" s="53" t="s">
        <v>11</v>
      </c>
      <c r="G713" s="456" t="s">
        <v>8</v>
      </c>
    </row>
    <row r="714" spans="1:11" s="2" customFormat="1" ht="15.75" customHeight="1">
      <c r="A714" s="978" t="str">
        <f>SALARIOS!$A$69</f>
        <v>CUADRILLA BB INSTALACIONES 1:1</v>
      </c>
      <c r="B714" s="979"/>
      <c r="C714" s="13" t="s">
        <v>1245</v>
      </c>
      <c r="D714" s="32">
        <v>1</v>
      </c>
      <c r="E714" s="13">
        <f>SALARIOS!$C$69</f>
        <v>27341</v>
      </c>
      <c r="F714" s="55">
        <f>+D714*E714</f>
        <v>27341</v>
      </c>
      <c r="G714" s="57">
        <f>SUM(F713:F714)</f>
        <v>27341</v>
      </c>
    </row>
    <row r="715" spans="1:11" s="2" customFormat="1" ht="15.75" customHeight="1">
      <c r="A715" s="1076" t="s">
        <v>25</v>
      </c>
      <c r="B715" s="1095"/>
      <c r="C715" s="1095"/>
      <c r="D715" s="1095"/>
      <c r="E715" s="1095"/>
      <c r="F715" s="1095"/>
      <c r="G715" s="1096"/>
    </row>
    <row r="716" spans="1:11" s="2" customFormat="1" ht="15.75" customHeight="1">
      <c r="A716" s="1077"/>
      <c r="B716" s="1097"/>
      <c r="C716" s="1097"/>
      <c r="D716" s="1097"/>
      <c r="E716" s="1097"/>
      <c r="F716" s="1097"/>
      <c r="G716" s="62">
        <f>G714+G711+G707+G703</f>
        <v>784531.31732673268</v>
      </c>
    </row>
    <row r="717" spans="1:11" s="2" customFormat="1" ht="15.75" customHeight="1">
      <c r="A717" s="63"/>
      <c r="B717" s="42"/>
      <c r="C717" s="42"/>
      <c r="D717" s="42"/>
      <c r="E717" s="42"/>
      <c r="F717" s="42"/>
      <c r="G717" s="64"/>
    </row>
    <row r="718" spans="1:11" s="2" customFormat="1" ht="15.75" customHeight="1">
      <c r="A718" s="970" t="s">
        <v>1</v>
      </c>
      <c r="B718" s="957"/>
      <c r="C718" s="953" t="s">
        <v>0</v>
      </c>
      <c r="D718" s="954"/>
      <c r="E718" s="954"/>
      <c r="F718" s="954"/>
      <c r="G718" s="955"/>
    </row>
    <row r="719" spans="1:11" s="2" customFormat="1" ht="90" customHeight="1">
      <c r="A719" s="971"/>
      <c r="B719" s="957"/>
      <c r="C719" s="954"/>
      <c r="D719" s="954"/>
      <c r="E719" s="954"/>
      <c r="F719" s="954"/>
      <c r="G719" s="955"/>
    </row>
    <row r="720" spans="1:11" s="35" customFormat="1" ht="17.399999999999999">
      <c r="A720" s="971"/>
      <c r="B720" s="957"/>
      <c r="C720" s="956"/>
      <c r="D720" s="957"/>
      <c r="E720" s="957"/>
      <c r="F720" s="957"/>
      <c r="G720" s="958"/>
      <c r="H720" s="2"/>
      <c r="I720" s="2"/>
      <c r="J720" s="2"/>
      <c r="K720" s="2"/>
    </row>
    <row r="721" spans="1:7" s="2" customFormat="1" ht="15.75" customHeight="1">
      <c r="A721" s="971"/>
      <c r="B721" s="957"/>
      <c r="C721" s="959" t="s">
        <v>2</v>
      </c>
      <c r="D721" s="957"/>
      <c r="E721" s="957"/>
      <c r="F721" s="23" t="s">
        <v>3</v>
      </c>
      <c r="G721" s="24" t="s">
        <v>4</v>
      </c>
    </row>
    <row r="722" spans="1:7" s="2" customFormat="1" ht="94.5" customHeight="1">
      <c r="A722" s="1073" t="s">
        <v>525</v>
      </c>
      <c r="B722" s="944"/>
      <c r="C722" s="980" t="s">
        <v>524</v>
      </c>
      <c r="D722" s="944"/>
      <c r="E722" s="944"/>
      <c r="F722" s="51" t="s">
        <v>37</v>
      </c>
      <c r="G722" s="52">
        <v>6.8</v>
      </c>
    </row>
    <row r="723" spans="1:7" s="2" customFormat="1" ht="13.8">
      <c r="A723" s="1071" t="s">
        <v>5</v>
      </c>
      <c r="B723" s="944"/>
      <c r="C723" s="944"/>
      <c r="D723" s="944"/>
      <c r="E723" s="944"/>
      <c r="F723" s="944"/>
      <c r="G723" s="1072"/>
    </row>
    <row r="724" spans="1:7" s="2" customFormat="1" ht="15.75" customHeight="1">
      <c r="A724" s="1074" t="s">
        <v>2</v>
      </c>
      <c r="B724" s="1092"/>
      <c r="C724" s="53" t="s">
        <v>3</v>
      </c>
      <c r="D724" s="53" t="s">
        <v>4</v>
      </c>
      <c r="E724" s="53" t="s">
        <v>6</v>
      </c>
      <c r="F724" s="53" t="s">
        <v>7</v>
      </c>
      <c r="G724" s="61" t="s">
        <v>8</v>
      </c>
    </row>
    <row r="725" spans="1:7" s="2" customFormat="1" ht="15.75" customHeight="1">
      <c r="A725" s="1015" t="s">
        <v>9</v>
      </c>
      <c r="B725" s="1016"/>
      <c r="C725" s="51" t="s">
        <v>3</v>
      </c>
      <c r="D725" s="51">
        <v>0.05</v>
      </c>
      <c r="E725" s="133">
        <f>G736</f>
        <v>27341</v>
      </c>
      <c r="F725" s="55">
        <f>E725*D725</f>
        <v>1367.0500000000002</v>
      </c>
      <c r="G725" s="57">
        <f>SUM(F724:F725)</f>
        <v>1367.0500000000002</v>
      </c>
    </row>
    <row r="726" spans="1:7" s="2" customFormat="1" ht="15.75" customHeight="1">
      <c r="A726" s="1071" t="s">
        <v>10</v>
      </c>
      <c r="B726" s="1093"/>
      <c r="C726" s="1093"/>
      <c r="D726" s="1093"/>
      <c r="E726" s="1093"/>
      <c r="F726" s="1093"/>
      <c r="G726" s="1094"/>
    </row>
    <row r="727" spans="1:7" s="2" customFormat="1" ht="15.75" customHeight="1">
      <c r="A727" s="1074" t="s">
        <v>2</v>
      </c>
      <c r="B727" s="1092"/>
      <c r="C727" s="53" t="s">
        <v>3</v>
      </c>
      <c r="D727" s="53" t="s">
        <v>4</v>
      </c>
      <c r="E727" s="53" t="s">
        <v>6</v>
      </c>
      <c r="F727" s="53" t="s">
        <v>11</v>
      </c>
      <c r="G727" s="1075" t="s">
        <v>8</v>
      </c>
    </row>
    <row r="728" spans="1:7" s="2" customFormat="1" ht="87" customHeight="1">
      <c r="A728" s="947" t="s">
        <v>1596</v>
      </c>
      <c r="B728" s="980"/>
      <c r="C728" s="16" t="s">
        <v>37</v>
      </c>
      <c r="D728" s="16">
        <v>1</v>
      </c>
      <c r="E728" s="17">
        <f>'INSUMOS '!E274</f>
        <v>718712.87128712877</v>
      </c>
      <c r="F728" s="55">
        <f>D728*E728</f>
        <v>718712.87128712877</v>
      </c>
      <c r="G728" s="1075"/>
    </row>
    <row r="729" spans="1:7" s="2" customFormat="1" ht="15.75" customHeight="1">
      <c r="A729" s="947"/>
      <c r="B729" s="980"/>
      <c r="C729" s="16"/>
      <c r="D729" s="58"/>
      <c r="E729" s="17"/>
      <c r="F729" s="55"/>
      <c r="G729" s="57">
        <f>SUM(F727:F729)</f>
        <v>718712.87128712877</v>
      </c>
    </row>
    <row r="730" spans="1:7" s="2" customFormat="1" ht="15.75" customHeight="1">
      <c r="A730" s="1071" t="s">
        <v>15</v>
      </c>
      <c r="B730" s="1093"/>
      <c r="C730" s="1093"/>
      <c r="D730" s="1093"/>
      <c r="E730" s="1093"/>
      <c r="F730" s="1093"/>
      <c r="G730" s="1094"/>
    </row>
    <row r="731" spans="1:7" s="2" customFormat="1" ht="15.75" customHeight="1">
      <c r="A731" s="1074" t="s">
        <v>2</v>
      </c>
      <c r="B731" s="1092"/>
      <c r="C731" s="53" t="s">
        <v>3</v>
      </c>
      <c r="D731" s="53" t="s">
        <v>4</v>
      </c>
      <c r="E731" s="53" t="s">
        <v>6</v>
      </c>
      <c r="F731" s="53" t="s">
        <v>11</v>
      </c>
      <c r="G731" s="1075" t="s">
        <v>8</v>
      </c>
    </row>
    <row r="732" spans="1:7" s="2" customFormat="1" ht="15.75" customHeight="1">
      <c r="A732" s="943" t="s">
        <v>173</v>
      </c>
      <c r="B732" s="1078"/>
      <c r="C732" s="16" t="s">
        <v>3</v>
      </c>
      <c r="D732" s="54">
        <v>3.5000000000000003E-2</v>
      </c>
      <c r="E732" s="17">
        <f>G729</f>
        <v>718712.87128712877</v>
      </c>
      <c r="F732" s="55">
        <f>E732*D732</f>
        <v>25154.95049504951</v>
      </c>
      <c r="G732" s="1075"/>
    </row>
    <row r="733" spans="1:7" s="2" customFormat="1" ht="15.75" customHeight="1">
      <c r="A733" s="59"/>
      <c r="B733" s="60"/>
      <c r="C733" s="60"/>
      <c r="D733" s="60"/>
      <c r="E733" s="60"/>
      <c r="F733" s="60"/>
      <c r="G733" s="57">
        <f>SUM(F732:F733)</f>
        <v>25154.95049504951</v>
      </c>
    </row>
    <row r="734" spans="1:7" s="2" customFormat="1" ht="15.75" customHeight="1">
      <c r="A734" s="1071" t="s">
        <v>19</v>
      </c>
      <c r="B734" s="1093"/>
      <c r="C734" s="1093"/>
      <c r="D734" s="1093"/>
      <c r="E734" s="1093"/>
      <c r="F734" s="1093"/>
      <c r="G734" s="1094"/>
    </row>
    <row r="735" spans="1:7" s="2" customFormat="1" ht="15.75" customHeight="1">
      <c r="A735" s="1074" t="s">
        <v>2</v>
      </c>
      <c r="B735" s="1092"/>
      <c r="C735" s="53" t="s">
        <v>3</v>
      </c>
      <c r="D735" s="53" t="s">
        <v>4</v>
      </c>
      <c r="E735" s="53" t="s">
        <v>6</v>
      </c>
      <c r="F735" s="53" t="s">
        <v>11</v>
      </c>
      <c r="G735" s="456" t="s">
        <v>8</v>
      </c>
    </row>
    <row r="736" spans="1:7" s="2" customFormat="1" ht="15.75" customHeight="1">
      <c r="A736" s="978" t="str">
        <f>SALARIOS!$A$69</f>
        <v>CUADRILLA BB INSTALACIONES 1:1</v>
      </c>
      <c r="B736" s="979"/>
      <c r="C736" s="13" t="s">
        <v>1245</v>
      </c>
      <c r="D736" s="32">
        <v>1</v>
      </c>
      <c r="E736" s="13">
        <f>SALARIOS!$C$69</f>
        <v>27341</v>
      </c>
      <c r="F736" s="55">
        <f>+D736*E736</f>
        <v>27341</v>
      </c>
      <c r="G736" s="57">
        <f>SUM(F735:F736)</f>
        <v>27341</v>
      </c>
    </row>
    <row r="737" spans="1:11" s="2" customFormat="1" ht="15.75" customHeight="1">
      <c r="A737" s="1076" t="s">
        <v>25</v>
      </c>
      <c r="B737" s="1095"/>
      <c r="C737" s="1095"/>
      <c r="D737" s="1095"/>
      <c r="E737" s="1095"/>
      <c r="F737" s="1095"/>
      <c r="G737" s="1096"/>
    </row>
    <row r="738" spans="1:11" s="2" customFormat="1" ht="15.75" customHeight="1">
      <c r="A738" s="1077"/>
      <c r="B738" s="1097"/>
      <c r="C738" s="1097"/>
      <c r="D738" s="1097"/>
      <c r="E738" s="1097"/>
      <c r="F738" s="1097"/>
      <c r="G738" s="62">
        <f>G736+G733+G729+G725</f>
        <v>772575.87178217829</v>
      </c>
    </row>
    <row r="739" spans="1:11" s="2" customFormat="1" ht="15.75" customHeight="1">
      <c r="A739" s="63"/>
      <c r="B739" s="42"/>
      <c r="C739" s="42"/>
      <c r="D739" s="42"/>
      <c r="E739" s="42"/>
      <c r="F739" s="42"/>
      <c r="G739" s="64"/>
    </row>
    <row r="740" spans="1:11" s="2" customFormat="1" ht="15.75" customHeight="1">
      <c r="A740" s="970" t="s">
        <v>1</v>
      </c>
      <c r="B740" s="957"/>
      <c r="C740" s="953" t="s">
        <v>0</v>
      </c>
      <c r="D740" s="954"/>
      <c r="E740" s="954"/>
      <c r="F740" s="954"/>
      <c r="G740" s="955"/>
    </row>
    <row r="741" spans="1:11" s="2" customFormat="1" ht="55.5" customHeight="1">
      <c r="A741" s="971"/>
      <c r="B741" s="957"/>
      <c r="C741" s="954"/>
      <c r="D741" s="954"/>
      <c r="E741" s="954"/>
      <c r="F741" s="954"/>
      <c r="G741" s="955"/>
    </row>
    <row r="742" spans="1:11" s="35" customFormat="1" ht="17.399999999999999">
      <c r="A742" s="971"/>
      <c r="B742" s="957"/>
      <c r="C742" s="956"/>
      <c r="D742" s="957"/>
      <c r="E742" s="957"/>
      <c r="F742" s="957"/>
      <c r="G742" s="958"/>
      <c r="H742" s="2"/>
      <c r="I742" s="2"/>
      <c r="J742" s="2"/>
      <c r="K742" s="2"/>
    </row>
    <row r="743" spans="1:11" s="2" customFormat="1" ht="15.75" customHeight="1">
      <c r="A743" s="971"/>
      <c r="B743" s="957"/>
      <c r="C743" s="959" t="s">
        <v>2</v>
      </c>
      <c r="D743" s="957"/>
      <c r="E743" s="957"/>
      <c r="F743" s="23" t="s">
        <v>3</v>
      </c>
      <c r="G743" s="24" t="s">
        <v>4</v>
      </c>
    </row>
    <row r="744" spans="1:11" s="2" customFormat="1" ht="120" customHeight="1">
      <c r="A744" s="1073" t="s">
        <v>526</v>
      </c>
      <c r="B744" s="944"/>
      <c r="C744" s="980" t="s">
        <v>527</v>
      </c>
      <c r="D744" s="944"/>
      <c r="E744" s="944"/>
      <c r="F744" s="51" t="s">
        <v>37</v>
      </c>
      <c r="G744" s="52">
        <v>7.6</v>
      </c>
    </row>
    <row r="745" spans="1:11" s="2" customFormat="1" ht="13.8">
      <c r="A745" s="1071" t="s">
        <v>5</v>
      </c>
      <c r="B745" s="944"/>
      <c r="C745" s="944"/>
      <c r="D745" s="944"/>
      <c r="E745" s="944"/>
      <c r="F745" s="944"/>
      <c r="G745" s="1072"/>
    </row>
    <row r="746" spans="1:11" s="2" customFormat="1" ht="15.75" customHeight="1">
      <c r="A746" s="1074" t="s">
        <v>2</v>
      </c>
      <c r="B746" s="1092"/>
      <c r="C746" s="53" t="s">
        <v>3</v>
      </c>
      <c r="D746" s="53" t="s">
        <v>4</v>
      </c>
      <c r="E746" s="53" t="s">
        <v>6</v>
      </c>
      <c r="F746" s="53" t="s">
        <v>7</v>
      </c>
      <c r="G746" s="61" t="s">
        <v>8</v>
      </c>
    </row>
    <row r="747" spans="1:11" s="2" customFormat="1" ht="15.75" customHeight="1">
      <c r="A747" s="1015" t="s">
        <v>9</v>
      </c>
      <c r="B747" s="1016"/>
      <c r="C747" s="51" t="s">
        <v>3</v>
      </c>
      <c r="D747" s="51">
        <v>0.05</v>
      </c>
      <c r="E747" s="133">
        <f>G758</f>
        <v>27341</v>
      </c>
      <c r="F747" s="55">
        <f>E747*D747</f>
        <v>1367.0500000000002</v>
      </c>
      <c r="G747" s="57">
        <f>SUM(F746:F747)</f>
        <v>1367.0500000000002</v>
      </c>
    </row>
    <row r="748" spans="1:11" s="2" customFormat="1" ht="15.75" customHeight="1">
      <c r="A748" s="1071" t="s">
        <v>10</v>
      </c>
      <c r="B748" s="1093"/>
      <c r="C748" s="1093"/>
      <c r="D748" s="1093"/>
      <c r="E748" s="1093"/>
      <c r="F748" s="1093"/>
      <c r="G748" s="1094"/>
    </row>
    <row r="749" spans="1:11" s="2" customFormat="1" ht="15.75" customHeight="1">
      <c r="A749" s="1074" t="s">
        <v>2</v>
      </c>
      <c r="B749" s="1092"/>
      <c r="C749" s="53" t="s">
        <v>3</v>
      </c>
      <c r="D749" s="53" t="s">
        <v>4</v>
      </c>
      <c r="E749" s="53" t="s">
        <v>6</v>
      </c>
      <c r="F749" s="53" t="s">
        <v>11</v>
      </c>
      <c r="G749" s="1075" t="s">
        <v>8</v>
      </c>
    </row>
    <row r="750" spans="1:11" s="2" customFormat="1" ht="116.25" customHeight="1">
      <c r="A750" s="947" t="s">
        <v>1597</v>
      </c>
      <c r="B750" s="980"/>
      <c r="C750" s="16" t="s">
        <v>37</v>
      </c>
      <c r="D750" s="16">
        <v>1</v>
      </c>
      <c r="E750" s="17">
        <f>'INSUMOS '!E276</f>
        <v>714000</v>
      </c>
      <c r="F750" s="55">
        <f>D750*E750</f>
        <v>714000</v>
      </c>
      <c r="G750" s="1075"/>
    </row>
    <row r="751" spans="1:11" s="2" customFormat="1" ht="15.75" customHeight="1">
      <c r="A751" s="947"/>
      <c r="B751" s="980"/>
      <c r="C751" s="16"/>
      <c r="D751" s="58"/>
      <c r="E751" s="17"/>
      <c r="F751" s="55"/>
      <c r="G751" s="57">
        <f>SUM(F749:F751)</f>
        <v>714000</v>
      </c>
    </row>
    <row r="752" spans="1:11" s="2" customFormat="1" ht="15.75" customHeight="1">
      <c r="A752" s="1071" t="s">
        <v>15</v>
      </c>
      <c r="B752" s="1093"/>
      <c r="C752" s="1093"/>
      <c r="D752" s="1093"/>
      <c r="E752" s="1093"/>
      <c r="F752" s="1093"/>
      <c r="G752" s="1094"/>
    </row>
    <row r="753" spans="1:11" s="2" customFormat="1" ht="15.75" customHeight="1">
      <c r="A753" s="1074" t="s">
        <v>2</v>
      </c>
      <c r="B753" s="1092"/>
      <c r="C753" s="53" t="s">
        <v>3</v>
      </c>
      <c r="D753" s="53" t="s">
        <v>4</v>
      </c>
      <c r="E753" s="53" t="s">
        <v>6</v>
      </c>
      <c r="F753" s="53" t="s">
        <v>11</v>
      </c>
      <c r="G753" s="1075" t="s">
        <v>8</v>
      </c>
    </row>
    <row r="754" spans="1:11" s="2" customFormat="1" ht="15.75" customHeight="1">
      <c r="A754" s="943" t="s">
        <v>173</v>
      </c>
      <c r="B754" s="1078"/>
      <c r="C754" s="16" t="s">
        <v>3</v>
      </c>
      <c r="D754" s="54">
        <v>3.5000000000000003E-2</v>
      </c>
      <c r="E754" s="17">
        <f>G751</f>
        <v>714000</v>
      </c>
      <c r="F754" s="55">
        <f>E754*D754</f>
        <v>24990.000000000004</v>
      </c>
      <c r="G754" s="1075"/>
    </row>
    <row r="755" spans="1:11" s="2" customFormat="1" ht="15.75" customHeight="1">
      <c r="A755" s="59"/>
      <c r="B755" s="60"/>
      <c r="C755" s="60"/>
      <c r="D755" s="60"/>
      <c r="E755" s="60"/>
      <c r="F755" s="60"/>
      <c r="G755" s="57">
        <f>SUM(F754:F755)</f>
        <v>24990.000000000004</v>
      </c>
    </row>
    <row r="756" spans="1:11" s="2" customFormat="1" ht="15.75" customHeight="1">
      <c r="A756" s="1071" t="s">
        <v>19</v>
      </c>
      <c r="B756" s="1093"/>
      <c r="C756" s="1093"/>
      <c r="D756" s="1093"/>
      <c r="E756" s="1093"/>
      <c r="F756" s="1093"/>
      <c r="G756" s="1094"/>
    </row>
    <row r="757" spans="1:11" s="2" customFormat="1" ht="15.75" customHeight="1">
      <c r="A757" s="1074" t="s">
        <v>2</v>
      </c>
      <c r="B757" s="1092"/>
      <c r="C757" s="53" t="s">
        <v>3</v>
      </c>
      <c r="D757" s="53" t="s">
        <v>4</v>
      </c>
      <c r="E757" s="53" t="s">
        <v>6</v>
      </c>
      <c r="F757" s="53" t="s">
        <v>11</v>
      </c>
      <c r="G757" s="456" t="s">
        <v>8</v>
      </c>
    </row>
    <row r="758" spans="1:11" s="2" customFormat="1" ht="15.75" customHeight="1">
      <c r="A758" s="978" t="str">
        <f>SALARIOS!$A$69</f>
        <v>CUADRILLA BB INSTALACIONES 1:1</v>
      </c>
      <c r="B758" s="979"/>
      <c r="C758" s="13" t="s">
        <v>1245</v>
      </c>
      <c r="D758" s="32">
        <v>1</v>
      </c>
      <c r="E758" s="13">
        <f>SALARIOS!$C$69</f>
        <v>27341</v>
      </c>
      <c r="F758" s="55">
        <f>+D758*E758</f>
        <v>27341</v>
      </c>
      <c r="G758" s="57">
        <f>SUM(F757:F758)</f>
        <v>27341</v>
      </c>
    </row>
    <row r="759" spans="1:11" s="2" customFormat="1" ht="15.75" customHeight="1">
      <c r="A759" s="1076" t="s">
        <v>25</v>
      </c>
      <c r="B759" s="1095"/>
      <c r="C759" s="1095"/>
      <c r="D759" s="1095"/>
      <c r="E759" s="1095"/>
      <c r="F759" s="1095"/>
      <c r="G759" s="1096"/>
    </row>
    <row r="760" spans="1:11" s="2" customFormat="1" ht="15.75" customHeight="1">
      <c r="A760" s="1077"/>
      <c r="B760" s="1097"/>
      <c r="C760" s="1097"/>
      <c r="D760" s="1097"/>
      <c r="E760" s="1097"/>
      <c r="F760" s="1097"/>
      <c r="G760" s="62">
        <f>G758+G755+G751+G747</f>
        <v>767698.05</v>
      </c>
    </row>
    <row r="761" spans="1:11" s="2" customFormat="1" ht="15.75" customHeight="1">
      <c r="A761" s="63"/>
      <c r="B761" s="42"/>
      <c r="C761" s="42"/>
      <c r="D761" s="42"/>
      <c r="E761" s="42"/>
      <c r="F761" s="42"/>
      <c r="G761" s="64"/>
    </row>
    <row r="762" spans="1:11" s="2" customFormat="1" ht="15.75" customHeight="1">
      <c r="A762" s="970" t="s">
        <v>1</v>
      </c>
      <c r="B762" s="957"/>
      <c r="C762" s="953" t="s">
        <v>0</v>
      </c>
      <c r="D762" s="954"/>
      <c r="E762" s="954"/>
      <c r="F762" s="954"/>
      <c r="G762" s="955"/>
    </row>
    <row r="763" spans="1:11" s="2" customFormat="1" ht="54" customHeight="1">
      <c r="A763" s="971"/>
      <c r="B763" s="957"/>
      <c r="C763" s="954"/>
      <c r="D763" s="954"/>
      <c r="E763" s="954"/>
      <c r="F763" s="954"/>
      <c r="G763" s="955"/>
    </row>
    <row r="764" spans="1:11" s="35" customFormat="1" ht="17.399999999999999">
      <c r="A764" s="971"/>
      <c r="B764" s="957"/>
      <c r="C764" s="956"/>
      <c r="D764" s="957"/>
      <c r="E764" s="957"/>
      <c r="F764" s="957"/>
      <c r="G764" s="958"/>
      <c r="H764" s="2"/>
      <c r="I764" s="2"/>
      <c r="J764" s="2"/>
      <c r="K764" s="2"/>
    </row>
    <row r="765" spans="1:11" s="2" customFormat="1" ht="15.75" customHeight="1">
      <c r="A765" s="971"/>
      <c r="B765" s="957"/>
      <c r="C765" s="959" t="s">
        <v>2</v>
      </c>
      <c r="D765" s="957"/>
      <c r="E765" s="957"/>
      <c r="F765" s="23" t="s">
        <v>3</v>
      </c>
      <c r="G765" s="24" t="s">
        <v>4</v>
      </c>
    </row>
    <row r="766" spans="1:11" s="2" customFormat="1" ht="118.5" customHeight="1">
      <c r="A766" s="1073" t="s">
        <v>528</v>
      </c>
      <c r="B766" s="944"/>
      <c r="C766" s="980" t="s">
        <v>529</v>
      </c>
      <c r="D766" s="944"/>
      <c r="E766" s="944"/>
      <c r="F766" s="51" t="s">
        <v>37</v>
      </c>
      <c r="G766" s="52">
        <v>18.920000000000002</v>
      </c>
    </row>
    <row r="767" spans="1:11" s="2" customFormat="1" ht="13.8">
      <c r="A767" s="1071" t="s">
        <v>5</v>
      </c>
      <c r="B767" s="944"/>
      <c r="C767" s="944"/>
      <c r="D767" s="944"/>
      <c r="E767" s="944"/>
      <c r="F767" s="944"/>
      <c r="G767" s="1072"/>
    </row>
    <row r="768" spans="1:11" s="2" customFormat="1" ht="15.75" customHeight="1">
      <c r="A768" s="1074" t="s">
        <v>2</v>
      </c>
      <c r="B768" s="1092"/>
      <c r="C768" s="53" t="s">
        <v>3</v>
      </c>
      <c r="D768" s="53" t="s">
        <v>4</v>
      </c>
      <c r="E768" s="53" t="s">
        <v>6</v>
      </c>
      <c r="F768" s="53" t="s">
        <v>7</v>
      </c>
      <c r="G768" s="61" t="s">
        <v>8</v>
      </c>
    </row>
    <row r="769" spans="1:7" s="2" customFormat="1" ht="15.75" customHeight="1">
      <c r="A769" s="1015" t="s">
        <v>9</v>
      </c>
      <c r="B769" s="1016"/>
      <c r="C769" s="51" t="s">
        <v>3</v>
      </c>
      <c r="D769" s="51">
        <v>0.05</v>
      </c>
      <c r="E769" s="133">
        <f>G780</f>
        <v>27341</v>
      </c>
      <c r="F769" s="55">
        <f>E769*D769</f>
        <v>1367.0500000000002</v>
      </c>
      <c r="G769" s="57">
        <f>SUM(F768:F769)</f>
        <v>1367.0500000000002</v>
      </c>
    </row>
    <row r="770" spans="1:7" s="2" customFormat="1" ht="15.75" customHeight="1">
      <c r="A770" s="1071" t="s">
        <v>10</v>
      </c>
      <c r="B770" s="1093"/>
      <c r="C770" s="1093"/>
      <c r="D770" s="1093"/>
      <c r="E770" s="1093"/>
      <c r="F770" s="1093"/>
      <c r="G770" s="1094"/>
    </row>
    <row r="771" spans="1:7" s="2" customFormat="1" ht="15.75" customHeight="1">
      <c r="A771" s="1074" t="s">
        <v>2</v>
      </c>
      <c r="B771" s="1092"/>
      <c r="C771" s="53" t="s">
        <v>3</v>
      </c>
      <c r="D771" s="53" t="s">
        <v>4</v>
      </c>
      <c r="E771" s="53" t="s">
        <v>6</v>
      </c>
      <c r="F771" s="53" t="s">
        <v>11</v>
      </c>
      <c r="G771" s="1075" t="s">
        <v>8</v>
      </c>
    </row>
    <row r="772" spans="1:7" s="2" customFormat="1" ht="109.5" customHeight="1">
      <c r="A772" s="947" t="s">
        <v>1598</v>
      </c>
      <c r="B772" s="980"/>
      <c r="C772" s="16" t="s">
        <v>37</v>
      </c>
      <c r="D772" s="16">
        <v>1</v>
      </c>
      <c r="E772" s="17">
        <f>'INSUMOS '!E278</f>
        <v>527357.89473684214</v>
      </c>
      <c r="F772" s="55">
        <f>D772*E772</f>
        <v>527357.89473684214</v>
      </c>
      <c r="G772" s="1075"/>
    </row>
    <row r="773" spans="1:7" s="2" customFormat="1" ht="15.75" customHeight="1">
      <c r="A773" s="947"/>
      <c r="B773" s="980"/>
      <c r="C773" s="16"/>
      <c r="D773" s="58"/>
      <c r="E773" s="17"/>
      <c r="F773" s="55"/>
      <c r="G773" s="57">
        <f>SUM(F771:F773)</f>
        <v>527357.89473684214</v>
      </c>
    </row>
    <row r="774" spans="1:7" s="2" customFormat="1" ht="15.75" customHeight="1">
      <c r="A774" s="1071" t="s">
        <v>15</v>
      </c>
      <c r="B774" s="1093"/>
      <c r="C774" s="1093"/>
      <c r="D774" s="1093"/>
      <c r="E774" s="1093"/>
      <c r="F774" s="1093"/>
      <c r="G774" s="1094"/>
    </row>
    <row r="775" spans="1:7" s="2" customFormat="1" ht="15.75" customHeight="1">
      <c r="A775" s="1074" t="s">
        <v>2</v>
      </c>
      <c r="B775" s="1092"/>
      <c r="C775" s="53" t="s">
        <v>3</v>
      </c>
      <c r="D775" s="53" t="s">
        <v>4</v>
      </c>
      <c r="E775" s="53" t="s">
        <v>6</v>
      </c>
      <c r="F775" s="53" t="s">
        <v>11</v>
      </c>
      <c r="G775" s="1075" t="s">
        <v>8</v>
      </c>
    </row>
    <row r="776" spans="1:7" s="2" customFormat="1" ht="15.75" customHeight="1">
      <c r="A776" s="943" t="s">
        <v>173</v>
      </c>
      <c r="B776" s="1078"/>
      <c r="C776" s="16" t="s">
        <v>3</v>
      </c>
      <c r="D776" s="54">
        <v>3.5000000000000003E-2</v>
      </c>
      <c r="E776" s="17">
        <f>G773</f>
        <v>527357.89473684214</v>
      </c>
      <c r="F776" s="55">
        <f>E776*D776</f>
        <v>18457.526315789477</v>
      </c>
      <c r="G776" s="1075"/>
    </row>
    <row r="777" spans="1:7" s="2" customFormat="1" ht="15.75" customHeight="1">
      <c r="A777" s="59"/>
      <c r="B777" s="60"/>
      <c r="C777" s="60"/>
      <c r="D777" s="60"/>
      <c r="E777" s="60"/>
      <c r="F777" s="60"/>
      <c r="G777" s="57">
        <f>SUM(F776:F777)</f>
        <v>18457.526315789477</v>
      </c>
    </row>
    <row r="778" spans="1:7" s="2" customFormat="1" ht="15.75" customHeight="1">
      <c r="A778" s="1071" t="s">
        <v>19</v>
      </c>
      <c r="B778" s="1093"/>
      <c r="C778" s="1093"/>
      <c r="D778" s="1093"/>
      <c r="E778" s="1093"/>
      <c r="F778" s="1093"/>
      <c r="G778" s="1094"/>
    </row>
    <row r="779" spans="1:7" s="2" customFormat="1" ht="15.75" customHeight="1">
      <c r="A779" s="1074" t="s">
        <v>2</v>
      </c>
      <c r="B779" s="1092"/>
      <c r="C779" s="53" t="s">
        <v>3</v>
      </c>
      <c r="D779" s="53" t="s">
        <v>4</v>
      </c>
      <c r="E779" s="53" t="s">
        <v>6</v>
      </c>
      <c r="F779" s="53" t="s">
        <v>11</v>
      </c>
      <c r="G779" s="456" t="s">
        <v>8</v>
      </c>
    </row>
    <row r="780" spans="1:7" s="2" customFormat="1" ht="15.75" customHeight="1">
      <c r="A780" s="978" t="str">
        <f>SALARIOS!$A$69</f>
        <v>CUADRILLA BB INSTALACIONES 1:1</v>
      </c>
      <c r="B780" s="979"/>
      <c r="C780" s="13" t="s">
        <v>1245</v>
      </c>
      <c r="D780" s="32">
        <v>1</v>
      </c>
      <c r="E780" s="13">
        <f>SALARIOS!$C$69</f>
        <v>27341</v>
      </c>
      <c r="F780" s="55">
        <f>+D780*E780</f>
        <v>27341</v>
      </c>
      <c r="G780" s="57">
        <f>SUM(F779:F780)</f>
        <v>27341</v>
      </c>
    </row>
    <row r="781" spans="1:7" s="2" customFormat="1" ht="15.75" customHeight="1">
      <c r="A781" s="1076" t="s">
        <v>25</v>
      </c>
      <c r="B781" s="1095"/>
      <c r="C781" s="1095"/>
      <c r="D781" s="1095"/>
      <c r="E781" s="1095"/>
      <c r="F781" s="1095"/>
      <c r="G781" s="1096"/>
    </row>
    <row r="782" spans="1:7" s="2" customFormat="1" ht="15.75" customHeight="1">
      <c r="A782" s="1077"/>
      <c r="B782" s="1097"/>
      <c r="C782" s="1097"/>
      <c r="D782" s="1097"/>
      <c r="E782" s="1097"/>
      <c r="F782" s="1097"/>
      <c r="G782" s="62">
        <f>G780+G777+G773+G769</f>
        <v>574523.47105263162</v>
      </c>
    </row>
    <row r="783" spans="1:7" s="2" customFormat="1" ht="15.75" customHeight="1">
      <c r="A783" s="63"/>
      <c r="B783" s="42"/>
      <c r="C783" s="42"/>
      <c r="D783" s="42"/>
      <c r="E783" s="42"/>
      <c r="F783" s="42"/>
      <c r="G783" s="64"/>
    </row>
    <row r="784" spans="1:7" s="2" customFormat="1" ht="15.75" customHeight="1">
      <c r="A784" s="970" t="s">
        <v>1</v>
      </c>
      <c r="B784" s="957"/>
      <c r="C784" s="953" t="s">
        <v>0</v>
      </c>
      <c r="D784" s="954"/>
      <c r="E784" s="954"/>
      <c r="F784" s="954"/>
      <c r="G784" s="955"/>
    </row>
    <row r="785" spans="1:7" s="2" customFormat="1" ht="51" customHeight="1">
      <c r="A785" s="971"/>
      <c r="B785" s="957"/>
      <c r="C785" s="954"/>
      <c r="D785" s="954"/>
      <c r="E785" s="954"/>
      <c r="F785" s="954"/>
      <c r="G785" s="955"/>
    </row>
    <row r="786" spans="1:7" s="2" customFormat="1" ht="17.399999999999999">
      <c r="A786" s="971"/>
      <c r="B786" s="957"/>
      <c r="C786" s="956"/>
      <c r="D786" s="957"/>
      <c r="E786" s="957"/>
      <c r="F786" s="957"/>
      <c r="G786" s="958"/>
    </row>
    <row r="787" spans="1:7" s="2" customFormat="1" ht="15.75" customHeight="1">
      <c r="A787" s="971"/>
      <c r="B787" s="957"/>
      <c r="C787" s="959" t="s">
        <v>2</v>
      </c>
      <c r="D787" s="957"/>
      <c r="E787" s="957"/>
      <c r="F787" s="23" t="s">
        <v>3</v>
      </c>
      <c r="G787" s="24" t="s">
        <v>4</v>
      </c>
    </row>
    <row r="788" spans="1:7" s="2" customFormat="1" ht="136.5" customHeight="1">
      <c r="A788" s="1073" t="s">
        <v>530</v>
      </c>
      <c r="B788" s="944"/>
      <c r="C788" s="980" t="s">
        <v>531</v>
      </c>
      <c r="D788" s="944"/>
      <c r="E788" s="944"/>
      <c r="F788" s="51" t="s">
        <v>37</v>
      </c>
      <c r="G788" s="52">
        <v>26.4</v>
      </c>
    </row>
    <row r="789" spans="1:7" s="2" customFormat="1" ht="13.8">
      <c r="A789" s="1071" t="s">
        <v>5</v>
      </c>
      <c r="B789" s="944"/>
      <c r="C789" s="944"/>
      <c r="D789" s="944"/>
      <c r="E789" s="944"/>
      <c r="F789" s="944"/>
      <c r="G789" s="1072"/>
    </row>
    <row r="790" spans="1:7" s="2" customFormat="1" ht="15.75" customHeight="1">
      <c r="A790" s="1074" t="s">
        <v>2</v>
      </c>
      <c r="B790" s="1092"/>
      <c r="C790" s="53" t="s">
        <v>3</v>
      </c>
      <c r="D790" s="53" t="s">
        <v>4</v>
      </c>
      <c r="E790" s="53" t="s">
        <v>6</v>
      </c>
      <c r="F790" s="53" t="s">
        <v>7</v>
      </c>
      <c r="G790" s="61" t="s">
        <v>8</v>
      </c>
    </row>
    <row r="791" spans="1:7" s="2" customFormat="1" ht="15.75" customHeight="1">
      <c r="A791" s="1015" t="s">
        <v>9</v>
      </c>
      <c r="B791" s="1016"/>
      <c r="C791" s="51" t="s">
        <v>3</v>
      </c>
      <c r="D791" s="51">
        <v>0.05</v>
      </c>
      <c r="E791" s="133">
        <f>G802</f>
        <v>27341</v>
      </c>
      <c r="F791" s="55">
        <f>E791*D791</f>
        <v>1367.0500000000002</v>
      </c>
      <c r="G791" s="57">
        <f>SUM(F790:F791)</f>
        <v>1367.0500000000002</v>
      </c>
    </row>
    <row r="792" spans="1:7" s="2" customFormat="1" ht="15.75" customHeight="1">
      <c r="A792" s="1071" t="s">
        <v>10</v>
      </c>
      <c r="B792" s="1093"/>
      <c r="C792" s="1093"/>
      <c r="D792" s="1093"/>
      <c r="E792" s="1093"/>
      <c r="F792" s="1093"/>
      <c r="G792" s="1094"/>
    </row>
    <row r="793" spans="1:7" s="2" customFormat="1" ht="15.75" customHeight="1">
      <c r="A793" s="1074" t="s">
        <v>2</v>
      </c>
      <c r="B793" s="1092"/>
      <c r="C793" s="53" t="s">
        <v>3</v>
      </c>
      <c r="D793" s="53" t="s">
        <v>4</v>
      </c>
      <c r="E793" s="53" t="s">
        <v>6</v>
      </c>
      <c r="F793" s="53" t="s">
        <v>11</v>
      </c>
      <c r="G793" s="1075" t="s">
        <v>8</v>
      </c>
    </row>
    <row r="794" spans="1:7" s="2" customFormat="1" ht="104.25" customHeight="1">
      <c r="A794" s="947" t="s">
        <v>1599</v>
      </c>
      <c r="B794" s="980"/>
      <c r="C794" s="16" t="s">
        <v>37</v>
      </c>
      <c r="D794" s="16">
        <v>1</v>
      </c>
      <c r="E794" s="17">
        <f>'INSUMOS '!E280</f>
        <v>523599.99999999994</v>
      </c>
      <c r="F794" s="55">
        <f>D794*E794</f>
        <v>523599.99999999994</v>
      </c>
      <c r="G794" s="1075"/>
    </row>
    <row r="795" spans="1:7" s="2" customFormat="1" ht="15.75" customHeight="1">
      <c r="A795" s="947"/>
      <c r="B795" s="980"/>
      <c r="C795" s="16"/>
      <c r="D795" s="58"/>
      <c r="E795" s="17"/>
      <c r="F795" s="55"/>
      <c r="G795" s="57">
        <f>SUM(F793:F795)</f>
        <v>523599.99999999994</v>
      </c>
    </row>
    <row r="796" spans="1:7" s="2" customFormat="1" ht="15.75" customHeight="1">
      <c r="A796" s="1071" t="s">
        <v>15</v>
      </c>
      <c r="B796" s="1093"/>
      <c r="C796" s="1093"/>
      <c r="D796" s="1093"/>
      <c r="E796" s="1093"/>
      <c r="F796" s="1093"/>
      <c r="G796" s="1094"/>
    </row>
    <row r="797" spans="1:7" s="2" customFormat="1" ht="15.75" customHeight="1">
      <c r="A797" s="1074" t="s">
        <v>2</v>
      </c>
      <c r="B797" s="1092"/>
      <c r="C797" s="53" t="s">
        <v>3</v>
      </c>
      <c r="D797" s="53" t="s">
        <v>4</v>
      </c>
      <c r="E797" s="53" t="s">
        <v>6</v>
      </c>
      <c r="F797" s="53" t="s">
        <v>11</v>
      </c>
      <c r="G797" s="1075" t="s">
        <v>8</v>
      </c>
    </row>
    <row r="798" spans="1:7" s="2" customFormat="1" ht="15.75" customHeight="1">
      <c r="A798" s="943" t="s">
        <v>173</v>
      </c>
      <c r="B798" s="1078"/>
      <c r="C798" s="16" t="s">
        <v>3</v>
      </c>
      <c r="D798" s="54">
        <v>3.5000000000000003E-2</v>
      </c>
      <c r="E798" s="17">
        <f>G795</f>
        <v>523599.99999999994</v>
      </c>
      <c r="F798" s="55">
        <f>E798*D798</f>
        <v>18326</v>
      </c>
      <c r="G798" s="1075"/>
    </row>
    <row r="799" spans="1:7" s="2" customFormat="1" ht="15.75" customHeight="1">
      <c r="A799" s="59"/>
      <c r="B799" s="60"/>
      <c r="C799" s="60"/>
      <c r="D799" s="60"/>
      <c r="E799" s="60"/>
      <c r="F799" s="60"/>
      <c r="G799" s="57">
        <f>SUM(F798:F799)</f>
        <v>18326</v>
      </c>
    </row>
    <row r="800" spans="1:7" s="2" customFormat="1" ht="15.75" customHeight="1">
      <c r="A800" s="1071" t="s">
        <v>19</v>
      </c>
      <c r="B800" s="1093"/>
      <c r="C800" s="1093"/>
      <c r="D800" s="1093"/>
      <c r="E800" s="1093"/>
      <c r="F800" s="1093"/>
      <c r="G800" s="1094"/>
    </row>
    <row r="801" spans="1:7" s="2" customFormat="1" ht="15.75" customHeight="1">
      <c r="A801" s="1074" t="s">
        <v>2</v>
      </c>
      <c r="B801" s="1092"/>
      <c r="C801" s="53" t="s">
        <v>3</v>
      </c>
      <c r="D801" s="53" t="s">
        <v>4</v>
      </c>
      <c r="E801" s="53" t="s">
        <v>6</v>
      </c>
      <c r="F801" s="53" t="s">
        <v>11</v>
      </c>
      <c r="G801" s="456" t="s">
        <v>8</v>
      </c>
    </row>
    <row r="802" spans="1:7" s="2" customFormat="1" ht="15.75" customHeight="1">
      <c r="A802" s="978" t="str">
        <f>SALARIOS!$A$69</f>
        <v>CUADRILLA BB INSTALACIONES 1:1</v>
      </c>
      <c r="B802" s="979"/>
      <c r="C802" s="13" t="s">
        <v>1245</v>
      </c>
      <c r="D802" s="32">
        <v>1</v>
      </c>
      <c r="E802" s="13">
        <f>SALARIOS!$C$69</f>
        <v>27341</v>
      </c>
      <c r="F802" s="55">
        <f>+D802*E802</f>
        <v>27341</v>
      </c>
      <c r="G802" s="57">
        <f>SUM(F801:F802)</f>
        <v>27341</v>
      </c>
    </row>
    <row r="803" spans="1:7" s="2" customFormat="1" ht="15.75" customHeight="1">
      <c r="A803" s="1076" t="s">
        <v>25</v>
      </c>
      <c r="B803" s="1095"/>
      <c r="C803" s="1095"/>
      <c r="D803" s="1095"/>
      <c r="E803" s="1095"/>
      <c r="F803" s="1095"/>
      <c r="G803" s="1096"/>
    </row>
    <row r="804" spans="1:7" s="2" customFormat="1" ht="15.75" customHeight="1">
      <c r="A804" s="1077"/>
      <c r="B804" s="1097"/>
      <c r="C804" s="1097"/>
      <c r="D804" s="1097"/>
      <c r="E804" s="1097"/>
      <c r="F804" s="1097"/>
      <c r="G804" s="62">
        <f>G802+G799+G795+G791</f>
        <v>570634.05000000005</v>
      </c>
    </row>
    <row r="805" spans="1:7" s="2" customFormat="1" ht="15.75" customHeight="1">
      <c r="A805" s="63"/>
      <c r="B805" s="42"/>
      <c r="C805" s="42"/>
      <c r="D805" s="42"/>
      <c r="E805" s="42"/>
      <c r="F805" s="42"/>
      <c r="G805" s="64"/>
    </row>
    <row r="806" spans="1:7" s="2" customFormat="1" ht="15.75" customHeight="1">
      <c r="A806" s="970" t="s">
        <v>1</v>
      </c>
      <c r="B806" s="957"/>
      <c r="C806" s="953" t="s">
        <v>0</v>
      </c>
      <c r="D806" s="954"/>
      <c r="E806" s="954"/>
      <c r="F806" s="954"/>
      <c r="G806" s="955"/>
    </row>
    <row r="807" spans="1:7" s="2" customFormat="1" ht="54" customHeight="1">
      <c r="A807" s="971"/>
      <c r="B807" s="957"/>
      <c r="C807" s="954"/>
      <c r="D807" s="954"/>
      <c r="E807" s="954"/>
      <c r="F807" s="954"/>
      <c r="G807" s="955"/>
    </row>
    <row r="808" spans="1:7" s="2" customFormat="1" ht="17.399999999999999">
      <c r="A808" s="971"/>
      <c r="B808" s="957"/>
      <c r="C808" s="956"/>
      <c r="D808" s="957"/>
      <c r="E808" s="957"/>
      <c r="F808" s="957"/>
      <c r="G808" s="958"/>
    </row>
    <row r="809" spans="1:7" s="2" customFormat="1" ht="15.75" customHeight="1">
      <c r="A809" s="971"/>
      <c r="B809" s="957"/>
      <c r="C809" s="959" t="s">
        <v>2</v>
      </c>
      <c r="D809" s="957"/>
      <c r="E809" s="957"/>
      <c r="F809" s="23" t="s">
        <v>3</v>
      </c>
      <c r="G809" s="24" t="s">
        <v>4</v>
      </c>
    </row>
    <row r="810" spans="1:7" s="2" customFormat="1" ht="102.75" customHeight="1">
      <c r="A810" s="1073" t="s">
        <v>532</v>
      </c>
      <c r="B810" s="944"/>
      <c r="C810" s="980" t="s">
        <v>533</v>
      </c>
      <c r="D810" s="944"/>
      <c r="E810" s="944"/>
      <c r="F810" s="51" t="s">
        <v>37</v>
      </c>
      <c r="G810" s="52">
        <v>10.72</v>
      </c>
    </row>
    <row r="811" spans="1:7" s="2" customFormat="1" ht="13.8">
      <c r="A811" s="1071" t="s">
        <v>5</v>
      </c>
      <c r="B811" s="944"/>
      <c r="C811" s="944"/>
      <c r="D811" s="944"/>
      <c r="E811" s="944"/>
      <c r="F811" s="944"/>
      <c r="G811" s="1072"/>
    </row>
    <row r="812" spans="1:7" s="2" customFormat="1" ht="15.75" customHeight="1">
      <c r="A812" s="1074" t="s">
        <v>2</v>
      </c>
      <c r="B812" s="1092"/>
      <c r="C812" s="53" t="s">
        <v>3</v>
      </c>
      <c r="D812" s="53" t="s">
        <v>4</v>
      </c>
      <c r="E812" s="53" t="s">
        <v>6</v>
      </c>
      <c r="F812" s="53" t="s">
        <v>7</v>
      </c>
      <c r="G812" s="61" t="s">
        <v>8</v>
      </c>
    </row>
    <row r="813" spans="1:7" s="2" customFormat="1" ht="15.75" customHeight="1">
      <c r="A813" s="1015" t="s">
        <v>9</v>
      </c>
      <c r="B813" s="1016"/>
      <c r="C813" s="51" t="s">
        <v>3</v>
      </c>
      <c r="D813" s="51">
        <v>0.05</v>
      </c>
      <c r="E813" s="133">
        <f>G824</f>
        <v>27341</v>
      </c>
      <c r="F813" s="55">
        <f>E813*D813</f>
        <v>1367.0500000000002</v>
      </c>
      <c r="G813" s="57">
        <f>SUM(F812:F813)</f>
        <v>1367.0500000000002</v>
      </c>
    </row>
    <row r="814" spans="1:7" s="2" customFormat="1" ht="15.75" customHeight="1">
      <c r="A814" s="1071" t="s">
        <v>10</v>
      </c>
      <c r="B814" s="1093"/>
      <c r="C814" s="1093"/>
      <c r="D814" s="1093"/>
      <c r="E814" s="1093"/>
      <c r="F814" s="1093"/>
      <c r="G814" s="1094"/>
    </row>
    <row r="815" spans="1:7" s="2" customFormat="1" ht="15.75" customHeight="1">
      <c r="A815" s="1074" t="s">
        <v>2</v>
      </c>
      <c r="B815" s="1092"/>
      <c r="C815" s="53" t="s">
        <v>3</v>
      </c>
      <c r="D815" s="53" t="s">
        <v>4</v>
      </c>
      <c r="E815" s="53" t="s">
        <v>6</v>
      </c>
      <c r="F815" s="53" t="s">
        <v>11</v>
      </c>
      <c r="G815" s="1075" t="s">
        <v>8</v>
      </c>
    </row>
    <row r="816" spans="1:7" s="2" customFormat="1" ht="102" customHeight="1">
      <c r="A816" s="947" t="s">
        <v>1600</v>
      </c>
      <c r="B816" s="980"/>
      <c r="C816" s="16" t="s">
        <v>37</v>
      </c>
      <c r="D816" s="16">
        <v>1</v>
      </c>
      <c r="E816" s="17">
        <f>'INSUMOS '!E282</f>
        <v>1220047.4999999995</v>
      </c>
      <c r="F816" s="55">
        <f>D816*E816</f>
        <v>1220047.4999999995</v>
      </c>
      <c r="G816" s="1075"/>
    </row>
    <row r="817" spans="1:7" s="2" customFormat="1" ht="15.75" customHeight="1">
      <c r="A817" s="947"/>
      <c r="B817" s="980"/>
      <c r="C817" s="16"/>
      <c r="D817" s="58"/>
      <c r="E817" s="17"/>
      <c r="F817" s="55"/>
      <c r="G817" s="57">
        <f>SUM(F815:F817)</f>
        <v>1220047.4999999995</v>
      </c>
    </row>
    <row r="818" spans="1:7" s="2" customFormat="1" ht="15.75" customHeight="1">
      <c r="A818" s="1071" t="s">
        <v>15</v>
      </c>
      <c r="B818" s="1093"/>
      <c r="C818" s="1093"/>
      <c r="D818" s="1093"/>
      <c r="E818" s="1093"/>
      <c r="F818" s="1093"/>
      <c r="G818" s="1094"/>
    </row>
    <row r="819" spans="1:7" s="2" customFormat="1" ht="15.75" customHeight="1">
      <c r="A819" s="1074" t="s">
        <v>2</v>
      </c>
      <c r="B819" s="1092"/>
      <c r="C819" s="53" t="s">
        <v>3</v>
      </c>
      <c r="D819" s="53" t="s">
        <v>4</v>
      </c>
      <c r="E819" s="53" t="s">
        <v>6</v>
      </c>
      <c r="F819" s="53" t="s">
        <v>11</v>
      </c>
      <c r="G819" s="1075" t="s">
        <v>8</v>
      </c>
    </row>
    <row r="820" spans="1:7" s="2" customFormat="1" ht="15.75" customHeight="1">
      <c r="A820" s="943" t="s">
        <v>173</v>
      </c>
      <c r="B820" s="1078"/>
      <c r="C820" s="16" t="s">
        <v>3</v>
      </c>
      <c r="D820" s="54">
        <v>3.5000000000000003E-2</v>
      </c>
      <c r="E820" s="17">
        <f>G817</f>
        <v>1220047.4999999995</v>
      </c>
      <c r="F820" s="55">
        <f>E820*D820</f>
        <v>42701.662499999991</v>
      </c>
      <c r="G820" s="1075"/>
    </row>
    <row r="821" spans="1:7" s="2" customFormat="1" ht="15.75" customHeight="1">
      <c r="A821" s="59"/>
      <c r="B821" s="60"/>
      <c r="C821" s="60"/>
      <c r="D821" s="60"/>
      <c r="E821" s="60"/>
      <c r="F821" s="60"/>
      <c r="G821" s="57">
        <f>SUM(F820:F821)</f>
        <v>42701.662499999991</v>
      </c>
    </row>
    <row r="822" spans="1:7" s="2" customFormat="1" ht="15.75" customHeight="1">
      <c r="A822" s="1071" t="s">
        <v>19</v>
      </c>
      <c r="B822" s="1093"/>
      <c r="C822" s="1093"/>
      <c r="D822" s="1093"/>
      <c r="E822" s="1093"/>
      <c r="F822" s="1093"/>
      <c r="G822" s="1094"/>
    </row>
    <row r="823" spans="1:7" s="2" customFormat="1" ht="15.75" customHeight="1">
      <c r="A823" s="1074" t="s">
        <v>2</v>
      </c>
      <c r="B823" s="1092"/>
      <c r="C823" s="53" t="s">
        <v>3</v>
      </c>
      <c r="D823" s="53" t="s">
        <v>4</v>
      </c>
      <c r="E823" s="53" t="s">
        <v>6</v>
      </c>
      <c r="F823" s="53" t="s">
        <v>11</v>
      </c>
      <c r="G823" s="456" t="s">
        <v>8</v>
      </c>
    </row>
    <row r="824" spans="1:7" s="2" customFormat="1" ht="15.75" customHeight="1">
      <c r="A824" s="978" t="str">
        <f>SALARIOS!$A$69</f>
        <v>CUADRILLA BB INSTALACIONES 1:1</v>
      </c>
      <c r="B824" s="979"/>
      <c r="C824" s="13" t="s">
        <v>1245</v>
      </c>
      <c r="D824" s="32">
        <v>1</v>
      </c>
      <c r="E824" s="13">
        <f>SALARIOS!$C$69</f>
        <v>27341</v>
      </c>
      <c r="F824" s="55">
        <f>+D824*E824</f>
        <v>27341</v>
      </c>
      <c r="G824" s="57">
        <f>SUM(F823:F824)</f>
        <v>27341</v>
      </c>
    </row>
    <row r="825" spans="1:7" s="2" customFormat="1" ht="15.75" customHeight="1">
      <c r="A825" s="1076" t="s">
        <v>25</v>
      </c>
      <c r="B825" s="1095"/>
      <c r="C825" s="1095"/>
      <c r="D825" s="1095"/>
      <c r="E825" s="1095"/>
      <c r="F825" s="1095"/>
      <c r="G825" s="1096"/>
    </row>
    <row r="826" spans="1:7" s="2" customFormat="1" ht="15.75" customHeight="1">
      <c r="A826" s="1077"/>
      <c r="B826" s="1097"/>
      <c r="C826" s="1097"/>
      <c r="D826" s="1097"/>
      <c r="E826" s="1097"/>
      <c r="F826" s="1097"/>
      <c r="G826" s="62">
        <f>G824+G821+G817+G813</f>
        <v>1291457.2124999997</v>
      </c>
    </row>
    <row r="827" spans="1:7" s="2" customFormat="1" ht="15.75" customHeight="1">
      <c r="A827" s="63"/>
      <c r="B827" s="42"/>
      <c r="C827" s="42"/>
      <c r="D827" s="42"/>
      <c r="E827" s="42"/>
      <c r="F827" s="42"/>
      <c r="G827" s="64"/>
    </row>
    <row r="828" spans="1:7" s="2" customFormat="1" ht="15.75" customHeight="1">
      <c r="A828" s="970" t="s">
        <v>1</v>
      </c>
      <c r="B828" s="957"/>
      <c r="C828" s="953" t="s">
        <v>0</v>
      </c>
      <c r="D828" s="954"/>
      <c r="E828" s="954"/>
      <c r="F828" s="954"/>
      <c r="G828" s="955"/>
    </row>
    <row r="829" spans="1:7" s="2" customFormat="1" ht="54" customHeight="1">
      <c r="A829" s="971"/>
      <c r="B829" s="957"/>
      <c r="C829" s="954"/>
      <c r="D829" s="954"/>
      <c r="E829" s="954"/>
      <c r="F829" s="954"/>
      <c r="G829" s="955"/>
    </row>
    <row r="830" spans="1:7" s="2" customFormat="1" ht="17.399999999999999">
      <c r="A830" s="971"/>
      <c r="B830" s="957"/>
      <c r="C830" s="956"/>
      <c r="D830" s="957"/>
      <c r="E830" s="957"/>
      <c r="F830" s="957"/>
      <c r="G830" s="958"/>
    </row>
    <row r="831" spans="1:7" s="2" customFormat="1" ht="15.75" customHeight="1">
      <c r="A831" s="971"/>
      <c r="B831" s="957"/>
      <c r="C831" s="959" t="s">
        <v>2</v>
      </c>
      <c r="D831" s="957"/>
      <c r="E831" s="957"/>
      <c r="F831" s="23" t="s">
        <v>3</v>
      </c>
      <c r="G831" s="24" t="s">
        <v>4</v>
      </c>
    </row>
    <row r="832" spans="1:7" s="2" customFormat="1" ht="103.5" customHeight="1">
      <c r="A832" s="1073" t="s">
        <v>534</v>
      </c>
      <c r="B832" s="944"/>
      <c r="C832" s="980" t="s">
        <v>535</v>
      </c>
      <c r="D832" s="944"/>
      <c r="E832" s="944"/>
      <c r="F832" s="51" t="s">
        <v>37</v>
      </c>
      <c r="G832" s="52">
        <v>7.81</v>
      </c>
    </row>
    <row r="833" spans="1:7" s="2" customFormat="1" ht="13.8">
      <c r="A833" s="1071" t="s">
        <v>5</v>
      </c>
      <c r="B833" s="944"/>
      <c r="C833" s="944"/>
      <c r="D833" s="944"/>
      <c r="E833" s="944"/>
      <c r="F833" s="944"/>
      <c r="G833" s="1072"/>
    </row>
    <row r="834" spans="1:7" s="2" customFormat="1" ht="15.75" customHeight="1">
      <c r="A834" s="1074" t="s">
        <v>2</v>
      </c>
      <c r="B834" s="1092"/>
      <c r="C834" s="53" t="s">
        <v>3</v>
      </c>
      <c r="D834" s="53" t="s">
        <v>4</v>
      </c>
      <c r="E834" s="53" t="s">
        <v>6</v>
      </c>
      <c r="F834" s="53" t="s">
        <v>7</v>
      </c>
      <c r="G834" s="61" t="s">
        <v>8</v>
      </c>
    </row>
    <row r="835" spans="1:7" s="2" customFormat="1" ht="15.75" customHeight="1">
      <c r="A835" s="1015" t="s">
        <v>9</v>
      </c>
      <c r="B835" s="1016"/>
      <c r="C835" s="51" t="s">
        <v>3</v>
      </c>
      <c r="D835" s="51">
        <v>0.05</v>
      </c>
      <c r="E835" s="133">
        <f>G846</f>
        <v>27341</v>
      </c>
      <c r="F835" s="55">
        <f>E835*D835</f>
        <v>1367.0500000000002</v>
      </c>
      <c r="G835" s="57">
        <f>SUM(F834:F835)</f>
        <v>1367.0500000000002</v>
      </c>
    </row>
    <row r="836" spans="1:7" s="2" customFormat="1" ht="15.75" customHeight="1">
      <c r="A836" s="1071" t="s">
        <v>10</v>
      </c>
      <c r="B836" s="1093"/>
      <c r="C836" s="1093"/>
      <c r="D836" s="1093"/>
      <c r="E836" s="1093"/>
      <c r="F836" s="1093"/>
      <c r="G836" s="1094"/>
    </row>
    <row r="837" spans="1:7" s="2" customFormat="1" ht="15.75" customHeight="1">
      <c r="A837" s="1074" t="s">
        <v>2</v>
      </c>
      <c r="B837" s="1092"/>
      <c r="C837" s="53" t="s">
        <v>3</v>
      </c>
      <c r="D837" s="53" t="s">
        <v>4</v>
      </c>
      <c r="E837" s="53" t="s">
        <v>6</v>
      </c>
      <c r="F837" s="53" t="s">
        <v>11</v>
      </c>
      <c r="G837" s="1075" t="s">
        <v>8</v>
      </c>
    </row>
    <row r="838" spans="1:7" s="2" customFormat="1" ht="110.25" customHeight="1">
      <c r="A838" s="947" t="s">
        <v>1601</v>
      </c>
      <c r="B838" s="980"/>
      <c r="C838" s="16" t="s">
        <v>37</v>
      </c>
      <c r="D838" s="16">
        <v>1</v>
      </c>
      <c r="E838" s="17">
        <f>'INSUMOS '!E284</f>
        <v>713999.99999999988</v>
      </c>
      <c r="F838" s="55">
        <f>D838*E838</f>
        <v>713999.99999999988</v>
      </c>
      <c r="G838" s="1075"/>
    </row>
    <row r="839" spans="1:7" s="2" customFormat="1" ht="15.75" customHeight="1">
      <c r="A839" s="947"/>
      <c r="B839" s="980"/>
      <c r="C839" s="16"/>
      <c r="D839" s="58"/>
      <c r="E839" s="17"/>
      <c r="F839" s="55"/>
      <c r="G839" s="57">
        <f>SUM(F837:F839)</f>
        <v>713999.99999999988</v>
      </c>
    </row>
    <row r="840" spans="1:7" s="2" customFormat="1" ht="15.75" customHeight="1">
      <c r="A840" s="1071" t="s">
        <v>15</v>
      </c>
      <c r="B840" s="1093"/>
      <c r="C840" s="1093"/>
      <c r="D840" s="1093"/>
      <c r="E840" s="1093"/>
      <c r="F840" s="1093"/>
      <c r="G840" s="1094"/>
    </row>
    <row r="841" spans="1:7" s="2" customFormat="1" ht="15.75" customHeight="1">
      <c r="A841" s="1074" t="s">
        <v>2</v>
      </c>
      <c r="B841" s="1092"/>
      <c r="C841" s="53" t="s">
        <v>3</v>
      </c>
      <c r="D841" s="53" t="s">
        <v>4</v>
      </c>
      <c r="E841" s="53" t="s">
        <v>6</v>
      </c>
      <c r="F841" s="53" t="s">
        <v>11</v>
      </c>
      <c r="G841" s="1075" t="s">
        <v>8</v>
      </c>
    </row>
    <row r="842" spans="1:7" s="2" customFormat="1" ht="15.75" customHeight="1">
      <c r="A842" s="943" t="s">
        <v>173</v>
      </c>
      <c r="B842" s="1078"/>
      <c r="C842" s="16" t="s">
        <v>3</v>
      </c>
      <c r="D842" s="54">
        <v>3.5000000000000003E-2</v>
      </c>
      <c r="E842" s="17">
        <f>G839</f>
        <v>713999.99999999988</v>
      </c>
      <c r="F842" s="55">
        <f>E842*D842</f>
        <v>24990</v>
      </c>
      <c r="G842" s="1075"/>
    </row>
    <row r="843" spans="1:7" s="2" customFormat="1" ht="15.75" customHeight="1">
      <c r="A843" s="59"/>
      <c r="B843" s="60"/>
      <c r="C843" s="60"/>
      <c r="D843" s="60"/>
      <c r="E843" s="60"/>
      <c r="F843" s="60"/>
      <c r="G843" s="57">
        <f>SUM(F842:F843)</f>
        <v>24990</v>
      </c>
    </row>
    <row r="844" spans="1:7" s="2" customFormat="1" ht="15.75" customHeight="1">
      <c r="A844" s="1071" t="s">
        <v>19</v>
      </c>
      <c r="B844" s="1093"/>
      <c r="C844" s="1093"/>
      <c r="D844" s="1093"/>
      <c r="E844" s="1093"/>
      <c r="F844" s="1093"/>
      <c r="G844" s="1094"/>
    </row>
    <row r="845" spans="1:7" s="2" customFormat="1" ht="15.75" customHeight="1">
      <c r="A845" s="1074" t="s">
        <v>2</v>
      </c>
      <c r="B845" s="1092"/>
      <c r="C845" s="53" t="s">
        <v>3</v>
      </c>
      <c r="D845" s="53" t="s">
        <v>4</v>
      </c>
      <c r="E845" s="53" t="s">
        <v>6</v>
      </c>
      <c r="F845" s="53" t="s">
        <v>11</v>
      </c>
      <c r="G845" s="456" t="s">
        <v>8</v>
      </c>
    </row>
    <row r="846" spans="1:7" s="2" customFormat="1" ht="15.75" customHeight="1">
      <c r="A846" s="978" t="str">
        <f>SALARIOS!$A$69</f>
        <v>CUADRILLA BB INSTALACIONES 1:1</v>
      </c>
      <c r="B846" s="979"/>
      <c r="C846" s="13" t="s">
        <v>1245</v>
      </c>
      <c r="D846" s="32">
        <v>1</v>
      </c>
      <c r="E846" s="13">
        <f>SALARIOS!$C$69</f>
        <v>27341</v>
      </c>
      <c r="F846" s="55">
        <f>+D846*E846</f>
        <v>27341</v>
      </c>
      <c r="G846" s="57">
        <f>SUM(F845:F846)</f>
        <v>27341</v>
      </c>
    </row>
    <row r="847" spans="1:7" s="2" customFormat="1" ht="15.75" customHeight="1">
      <c r="A847" s="1076" t="s">
        <v>25</v>
      </c>
      <c r="B847" s="1095"/>
      <c r="C847" s="1095"/>
      <c r="D847" s="1095"/>
      <c r="E847" s="1095"/>
      <c r="F847" s="1095"/>
      <c r="G847" s="1096"/>
    </row>
    <row r="848" spans="1:7" s="2" customFormat="1" ht="15.75" customHeight="1">
      <c r="A848" s="1077"/>
      <c r="B848" s="1097"/>
      <c r="C848" s="1097"/>
      <c r="D848" s="1097"/>
      <c r="E848" s="1097"/>
      <c r="F848" s="1097"/>
      <c r="G848" s="62">
        <f>G846+G843+G839+G835</f>
        <v>767698.04999999993</v>
      </c>
    </row>
    <row r="849" spans="1:7" s="2" customFormat="1" ht="15.75" customHeight="1">
      <c r="A849" s="63"/>
      <c r="B849" s="42"/>
      <c r="C849" s="42"/>
      <c r="D849" s="42"/>
      <c r="E849" s="42"/>
      <c r="F849" s="42"/>
      <c r="G849" s="64"/>
    </row>
    <row r="850" spans="1:7" s="2" customFormat="1" ht="15.75" customHeight="1">
      <c r="A850" s="970" t="s">
        <v>1</v>
      </c>
      <c r="B850" s="957"/>
      <c r="C850" s="953" t="s">
        <v>0</v>
      </c>
      <c r="D850" s="954"/>
      <c r="E850" s="954"/>
      <c r="F850" s="954"/>
      <c r="G850" s="955"/>
    </row>
    <row r="851" spans="1:7" s="2" customFormat="1" ht="60.75" customHeight="1">
      <c r="A851" s="971"/>
      <c r="B851" s="957"/>
      <c r="C851" s="954"/>
      <c r="D851" s="954"/>
      <c r="E851" s="954"/>
      <c r="F851" s="954"/>
      <c r="G851" s="955"/>
    </row>
    <row r="852" spans="1:7" s="2" customFormat="1" ht="17.399999999999999">
      <c r="A852" s="971"/>
      <c r="B852" s="957"/>
      <c r="C852" s="956"/>
      <c r="D852" s="957"/>
      <c r="E852" s="957"/>
      <c r="F852" s="957"/>
      <c r="G852" s="958"/>
    </row>
    <row r="853" spans="1:7" s="2" customFormat="1" ht="15.75" customHeight="1">
      <c r="A853" s="971"/>
      <c r="B853" s="957"/>
      <c r="C853" s="959" t="s">
        <v>2</v>
      </c>
      <c r="D853" s="957"/>
      <c r="E853" s="957"/>
      <c r="F853" s="23" t="s">
        <v>3</v>
      </c>
      <c r="G853" s="24" t="s">
        <v>4</v>
      </c>
    </row>
    <row r="854" spans="1:7" s="2" customFormat="1" ht="75" customHeight="1">
      <c r="A854" s="1073" t="s">
        <v>536</v>
      </c>
      <c r="B854" s="944"/>
      <c r="C854" s="980" t="s">
        <v>537</v>
      </c>
      <c r="D854" s="944"/>
      <c r="E854" s="944"/>
      <c r="F854" s="51" t="s">
        <v>37</v>
      </c>
      <c r="G854" s="52">
        <v>3</v>
      </c>
    </row>
    <row r="855" spans="1:7" s="2" customFormat="1" ht="13.8">
      <c r="A855" s="1071" t="s">
        <v>5</v>
      </c>
      <c r="B855" s="944"/>
      <c r="C855" s="944"/>
      <c r="D855" s="944"/>
      <c r="E855" s="944"/>
      <c r="F855" s="944"/>
      <c r="G855" s="1072"/>
    </row>
    <row r="856" spans="1:7" s="2" customFormat="1" ht="15.75" customHeight="1">
      <c r="A856" s="1074" t="s">
        <v>2</v>
      </c>
      <c r="B856" s="1092"/>
      <c r="C856" s="53" t="s">
        <v>3</v>
      </c>
      <c r="D856" s="53" t="s">
        <v>4</v>
      </c>
      <c r="E856" s="53" t="s">
        <v>6</v>
      </c>
      <c r="F856" s="53" t="s">
        <v>7</v>
      </c>
      <c r="G856" s="61" t="s">
        <v>8</v>
      </c>
    </row>
    <row r="857" spans="1:7" s="2" customFormat="1" ht="15.75" customHeight="1">
      <c r="A857" s="1015" t="s">
        <v>9</v>
      </c>
      <c r="B857" s="1016"/>
      <c r="C857" s="51" t="s">
        <v>3</v>
      </c>
      <c r="D857" s="51">
        <v>0.05</v>
      </c>
      <c r="E857" s="133">
        <f>G868</f>
        <v>27341</v>
      </c>
      <c r="F857" s="55">
        <f>E857*D857</f>
        <v>1367.0500000000002</v>
      </c>
      <c r="G857" s="57">
        <f>SUM(F856:F857)</f>
        <v>1367.0500000000002</v>
      </c>
    </row>
    <row r="858" spans="1:7" s="2" customFormat="1" ht="15.75" customHeight="1">
      <c r="A858" s="1071" t="s">
        <v>10</v>
      </c>
      <c r="B858" s="1093"/>
      <c r="C858" s="1093"/>
      <c r="D858" s="1093"/>
      <c r="E858" s="1093"/>
      <c r="F858" s="1093"/>
      <c r="G858" s="1094"/>
    </row>
    <row r="859" spans="1:7" s="2" customFormat="1" ht="15.75" customHeight="1">
      <c r="A859" s="1074" t="s">
        <v>2</v>
      </c>
      <c r="B859" s="1092"/>
      <c r="C859" s="53" t="s">
        <v>3</v>
      </c>
      <c r="D859" s="53" t="s">
        <v>4</v>
      </c>
      <c r="E859" s="53" t="s">
        <v>6</v>
      </c>
      <c r="F859" s="53" t="s">
        <v>11</v>
      </c>
      <c r="G859" s="1075" t="s">
        <v>8</v>
      </c>
    </row>
    <row r="860" spans="1:7" s="2" customFormat="1" ht="90.75" customHeight="1">
      <c r="A860" s="947" t="s">
        <v>1602</v>
      </c>
      <c r="B860" s="980"/>
      <c r="C860" s="16" t="s">
        <v>37</v>
      </c>
      <c r="D860" s="16">
        <v>1</v>
      </c>
      <c r="E860" s="17">
        <f>'INSUMOS '!E286</f>
        <v>755319.4444444445</v>
      </c>
      <c r="F860" s="55">
        <f>D860*E860</f>
        <v>755319.4444444445</v>
      </c>
      <c r="G860" s="1075"/>
    </row>
    <row r="861" spans="1:7" s="2" customFormat="1" ht="15.75" customHeight="1">
      <c r="A861" s="947"/>
      <c r="B861" s="980"/>
      <c r="C861" s="16"/>
      <c r="D861" s="58"/>
      <c r="E861" s="17"/>
      <c r="F861" s="55"/>
      <c r="G861" s="57">
        <f>SUM(F859:F861)</f>
        <v>755319.4444444445</v>
      </c>
    </row>
    <row r="862" spans="1:7" s="2" customFormat="1" ht="15.75" customHeight="1">
      <c r="A862" s="1071" t="s">
        <v>15</v>
      </c>
      <c r="B862" s="1093"/>
      <c r="C862" s="1093"/>
      <c r="D862" s="1093"/>
      <c r="E862" s="1093"/>
      <c r="F862" s="1093"/>
      <c r="G862" s="1094"/>
    </row>
    <row r="863" spans="1:7" s="2" customFormat="1" ht="15.75" customHeight="1">
      <c r="A863" s="1074" t="s">
        <v>2</v>
      </c>
      <c r="B863" s="1092"/>
      <c r="C863" s="53" t="s">
        <v>3</v>
      </c>
      <c r="D863" s="53" t="s">
        <v>4</v>
      </c>
      <c r="E863" s="53" t="s">
        <v>6</v>
      </c>
      <c r="F863" s="53" t="s">
        <v>11</v>
      </c>
      <c r="G863" s="1075" t="s">
        <v>8</v>
      </c>
    </row>
    <row r="864" spans="1:7" s="2" customFormat="1" ht="15.75" customHeight="1">
      <c r="A864" s="943" t="s">
        <v>173</v>
      </c>
      <c r="B864" s="1078"/>
      <c r="C864" s="16" t="s">
        <v>3</v>
      </c>
      <c r="D864" s="54">
        <v>3.5000000000000003E-2</v>
      </c>
      <c r="E864" s="17">
        <f>G861</f>
        <v>755319.4444444445</v>
      </c>
      <c r="F864" s="55">
        <f>E864*D864</f>
        <v>26436.180555555558</v>
      </c>
      <c r="G864" s="1075"/>
    </row>
    <row r="865" spans="1:7" s="2" customFormat="1" ht="15.75" customHeight="1">
      <c r="A865" s="59"/>
      <c r="B865" s="60"/>
      <c r="C865" s="60"/>
      <c r="D865" s="60"/>
      <c r="E865" s="60"/>
      <c r="F865" s="60"/>
      <c r="G865" s="57">
        <f>SUM(F864:F865)</f>
        <v>26436.180555555558</v>
      </c>
    </row>
    <row r="866" spans="1:7" s="2" customFormat="1" ht="15.75" customHeight="1">
      <c r="A866" s="1071" t="s">
        <v>19</v>
      </c>
      <c r="B866" s="1093"/>
      <c r="C866" s="1093"/>
      <c r="D866" s="1093"/>
      <c r="E866" s="1093"/>
      <c r="F866" s="1093"/>
      <c r="G866" s="1094"/>
    </row>
    <row r="867" spans="1:7" s="2" customFormat="1" ht="15.75" customHeight="1">
      <c r="A867" s="1074" t="s">
        <v>2</v>
      </c>
      <c r="B867" s="1092"/>
      <c r="C867" s="53" t="s">
        <v>3</v>
      </c>
      <c r="D867" s="53" t="s">
        <v>4</v>
      </c>
      <c r="E867" s="53" t="s">
        <v>6</v>
      </c>
      <c r="F867" s="53" t="s">
        <v>11</v>
      </c>
      <c r="G867" s="456" t="s">
        <v>8</v>
      </c>
    </row>
    <row r="868" spans="1:7" s="2" customFormat="1" ht="15.75" customHeight="1">
      <c r="A868" s="978" t="str">
        <f>SALARIOS!$A$69</f>
        <v>CUADRILLA BB INSTALACIONES 1:1</v>
      </c>
      <c r="B868" s="979"/>
      <c r="C868" s="13" t="s">
        <v>1245</v>
      </c>
      <c r="D868" s="32">
        <v>1</v>
      </c>
      <c r="E868" s="13">
        <f>SALARIOS!$C$69</f>
        <v>27341</v>
      </c>
      <c r="F868" s="55">
        <f>+D868*E868</f>
        <v>27341</v>
      </c>
      <c r="G868" s="57">
        <f>SUM(F867:F868)</f>
        <v>27341</v>
      </c>
    </row>
    <row r="869" spans="1:7" s="2" customFormat="1" ht="15.75" customHeight="1">
      <c r="A869" s="1076" t="s">
        <v>25</v>
      </c>
      <c r="B869" s="1095"/>
      <c r="C869" s="1095"/>
      <c r="D869" s="1095"/>
      <c r="E869" s="1095"/>
      <c r="F869" s="1095"/>
      <c r="G869" s="1096"/>
    </row>
    <row r="870" spans="1:7" s="2" customFormat="1" ht="15.75" customHeight="1">
      <c r="A870" s="1077"/>
      <c r="B870" s="1097"/>
      <c r="C870" s="1097"/>
      <c r="D870" s="1097"/>
      <c r="E870" s="1097"/>
      <c r="F870" s="1097"/>
      <c r="G870" s="62">
        <f>G868+G865+G861+G857</f>
        <v>810463.67500000005</v>
      </c>
    </row>
    <row r="871" spans="1:7" s="2" customFormat="1" ht="15.75" customHeight="1">
      <c r="A871" s="63"/>
      <c r="B871" s="42"/>
      <c r="C871" s="42"/>
      <c r="D871" s="42"/>
      <c r="E871" s="42"/>
      <c r="F871" s="42"/>
      <c r="G871" s="64"/>
    </row>
    <row r="872" spans="1:7" s="2" customFormat="1" ht="15.75" customHeight="1">
      <c r="A872" s="970" t="s">
        <v>1</v>
      </c>
      <c r="B872" s="957"/>
      <c r="C872" s="953" t="s">
        <v>0</v>
      </c>
      <c r="D872" s="954"/>
      <c r="E872" s="954"/>
      <c r="F872" s="954"/>
      <c r="G872" s="955"/>
    </row>
    <row r="873" spans="1:7" s="2" customFormat="1" ht="63.75" customHeight="1">
      <c r="A873" s="971"/>
      <c r="B873" s="957"/>
      <c r="C873" s="954"/>
      <c r="D873" s="954"/>
      <c r="E873" s="954"/>
      <c r="F873" s="954"/>
      <c r="G873" s="955"/>
    </row>
    <row r="874" spans="1:7" s="2" customFormat="1" ht="17.399999999999999">
      <c r="A874" s="971"/>
      <c r="B874" s="957"/>
      <c r="C874" s="956"/>
      <c r="D874" s="957"/>
      <c r="E874" s="957"/>
      <c r="F874" s="957"/>
      <c r="G874" s="958"/>
    </row>
    <row r="875" spans="1:7" s="2" customFormat="1" ht="15.75" customHeight="1">
      <c r="A875" s="971"/>
      <c r="B875" s="957"/>
      <c r="C875" s="959" t="s">
        <v>2</v>
      </c>
      <c r="D875" s="957"/>
      <c r="E875" s="957"/>
      <c r="F875" s="23" t="s">
        <v>3</v>
      </c>
      <c r="G875" s="24" t="s">
        <v>4</v>
      </c>
    </row>
    <row r="876" spans="1:7" s="2" customFormat="1" ht="71.25" customHeight="1">
      <c r="A876" s="1073" t="s">
        <v>538</v>
      </c>
      <c r="B876" s="944"/>
      <c r="C876" s="980" t="s">
        <v>539</v>
      </c>
      <c r="D876" s="944"/>
      <c r="E876" s="944"/>
      <c r="F876" s="51" t="s">
        <v>37</v>
      </c>
      <c r="G876" s="52">
        <v>5.76</v>
      </c>
    </row>
    <row r="877" spans="1:7" s="2" customFormat="1" ht="13.8">
      <c r="A877" s="1071" t="s">
        <v>5</v>
      </c>
      <c r="B877" s="944"/>
      <c r="C877" s="944"/>
      <c r="D877" s="944"/>
      <c r="E877" s="944"/>
      <c r="F877" s="944"/>
      <c r="G877" s="1072"/>
    </row>
    <row r="878" spans="1:7" s="2" customFormat="1" ht="15.75" customHeight="1">
      <c r="A878" s="1074" t="s">
        <v>2</v>
      </c>
      <c r="B878" s="1092"/>
      <c r="C878" s="53" t="s">
        <v>3</v>
      </c>
      <c r="D878" s="53" t="s">
        <v>4</v>
      </c>
      <c r="E878" s="53" t="s">
        <v>6</v>
      </c>
      <c r="F878" s="53" t="s">
        <v>7</v>
      </c>
      <c r="G878" s="61" t="s">
        <v>8</v>
      </c>
    </row>
    <row r="879" spans="1:7" s="2" customFormat="1" ht="15.75" customHeight="1">
      <c r="A879" s="1015" t="s">
        <v>9</v>
      </c>
      <c r="B879" s="1016"/>
      <c r="C879" s="51" t="s">
        <v>3</v>
      </c>
      <c r="D879" s="51">
        <v>0.05</v>
      </c>
      <c r="E879" s="133">
        <f>G890</f>
        <v>27341</v>
      </c>
      <c r="F879" s="55">
        <f>E879*D879</f>
        <v>1367.0500000000002</v>
      </c>
      <c r="G879" s="57">
        <f>SUM(F878:F879)</f>
        <v>1367.0500000000002</v>
      </c>
    </row>
    <row r="880" spans="1:7" s="2" customFormat="1" ht="15.75" customHeight="1">
      <c r="A880" s="1071" t="s">
        <v>10</v>
      </c>
      <c r="B880" s="1093"/>
      <c r="C880" s="1093"/>
      <c r="D880" s="1093"/>
      <c r="E880" s="1093"/>
      <c r="F880" s="1093"/>
      <c r="G880" s="1094"/>
    </row>
    <row r="881" spans="1:7" s="2" customFormat="1" ht="15.75" customHeight="1">
      <c r="A881" s="1074" t="s">
        <v>2</v>
      </c>
      <c r="B881" s="1092"/>
      <c r="C881" s="53" t="s">
        <v>3</v>
      </c>
      <c r="D881" s="53" t="s">
        <v>4</v>
      </c>
      <c r="E881" s="53" t="s">
        <v>6</v>
      </c>
      <c r="F881" s="53" t="s">
        <v>11</v>
      </c>
      <c r="G881" s="1075" t="s">
        <v>8</v>
      </c>
    </row>
    <row r="882" spans="1:7" s="2" customFormat="1" ht="75.75" customHeight="1">
      <c r="A882" s="947" t="s">
        <v>1603</v>
      </c>
      <c r="B882" s="980"/>
      <c r="C882" s="16" t="s">
        <v>37</v>
      </c>
      <c r="D882" s="16">
        <v>1</v>
      </c>
      <c r="E882" s="17">
        <f>'INSUMOS '!E288</f>
        <v>775979.16666666674</v>
      </c>
      <c r="F882" s="55">
        <f>D882*E882</f>
        <v>775979.16666666674</v>
      </c>
      <c r="G882" s="1075"/>
    </row>
    <row r="883" spans="1:7" s="2" customFormat="1" ht="15.75" customHeight="1">
      <c r="A883" s="947"/>
      <c r="B883" s="980"/>
      <c r="C883" s="16"/>
      <c r="D883" s="58"/>
      <c r="E883" s="17"/>
      <c r="F883" s="55"/>
      <c r="G883" s="57">
        <f>SUM(F881:F883)</f>
        <v>775979.16666666674</v>
      </c>
    </row>
    <row r="884" spans="1:7" s="2" customFormat="1" ht="15.75" customHeight="1">
      <c r="A884" s="1071" t="s">
        <v>15</v>
      </c>
      <c r="B884" s="1093"/>
      <c r="C884" s="1093"/>
      <c r="D884" s="1093"/>
      <c r="E884" s="1093"/>
      <c r="F884" s="1093"/>
      <c r="G884" s="1094"/>
    </row>
    <row r="885" spans="1:7" s="2" customFormat="1" ht="15.75" customHeight="1">
      <c r="A885" s="1074" t="s">
        <v>2</v>
      </c>
      <c r="B885" s="1092"/>
      <c r="C885" s="53" t="s">
        <v>3</v>
      </c>
      <c r="D885" s="53" t="s">
        <v>4</v>
      </c>
      <c r="E885" s="53" t="s">
        <v>6</v>
      </c>
      <c r="F885" s="53" t="s">
        <v>11</v>
      </c>
      <c r="G885" s="1075" t="s">
        <v>8</v>
      </c>
    </row>
    <row r="886" spans="1:7" s="2" customFormat="1" ht="15.75" customHeight="1">
      <c r="A886" s="943" t="s">
        <v>173</v>
      </c>
      <c r="B886" s="1078"/>
      <c r="C886" s="16" t="s">
        <v>3</v>
      </c>
      <c r="D886" s="54">
        <v>3.5000000000000003E-2</v>
      </c>
      <c r="E886" s="17">
        <f>G883</f>
        <v>775979.16666666674</v>
      </c>
      <c r="F886" s="55">
        <f>E886*D886</f>
        <v>27159.270833333339</v>
      </c>
      <c r="G886" s="1075"/>
    </row>
    <row r="887" spans="1:7" s="2" customFormat="1" ht="15.75" customHeight="1">
      <c r="A887" s="59"/>
      <c r="B887" s="60"/>
      <c r="C887" s="60"/>
      <c r="D887" s="60"/>
      <c r="E887" s="60"/>
      <c r="F887" s="60"/>
      <c r="G887" s="57">
        <f>SUM(F886:F887)</f>
        <v>27159.270833333339</v>
      </c>
    </row>
    <row r="888" spans="1:7" s="2" customFormat="1" ht="15.75" customHeight="1">
      <c r="A888" s="1071" t="s">
        <v>19</v>
      </c>
      <c r="B888" s="1093"/>
      <c r="C888" s="1093"/>
      <c r="D888" s="1093"/>
      <c r="E888" s="1093"/>
      <c r="F888" s="1093"/>
      <c r="G888" s="1094"/>
    </row>
    <row r="889" spans="1:7" s="2" customFormat="1" ht="15.75" customHeight="1">
      <c r="A889" s="1074" t="s">
        <v>2</v>
      </c>
      <c r="B889" s="1092"/>
      <c r="C889" s="53" t="s">
        <v>3</v>
      </c>
      <c r="D889" s="53" t="s">
        <v>4</v>
      </c>
      <c r="E889" s="53" t="s">
        <v>6</v>
      </c>
      <c r="F889" s="53" t="s">
        <v>11</v>
      </c>
      <c r="G889" s="456" t="s">
        <v>8</v>
      </c>
    </row>
    <row r="890" spans="1:7" s="2" customFormat="1" ht="15.75" customHeight="1">
      <c r="A890" s="978" t="str">
        <f>SALARIOS!$A$69</f>
        <v>CUADRILLA BB INSTALACIONES 1:1</v>
      </c>
      <c r="B890" s="979"/>
      <c r="C890" s="13" t="s">
        <v>1245</v>
      </c>
      <c r="D890" s="32">
        <v>1</v>
      </c>
      <c r="E890" s="13">
        <f>SALARIOS!$C$69</f>
        <v>27341</v>
      </c>
      <c r="F890" s="55">
        <f>+D890*E890</f>
        <v>27341</v>
      </c>
      <c r="G890" s="57">
        <f>SUM(F889:F890)</f>
        <v>27341</v>
      </c>
    </row>
    <row r="891" spans="1:7" s="2" customFormat="1" ht="15.75" customHeight="1">
      <c r="A891" s="1076" t="s">
        <v>25</v>
      </c>
      <c r="B891" s="1095"/>
      <c r="C891" s="1095"/>
      <c r="D891" s="1095"/>
      <c r="E891" s="1095"/>
      <c r="F891" s="1095"/>
      <c r="G891" s="1096"/>
    </row>
    <row r="892" spans="1:7" s="2" customFormat="1" ht="15.75" customHeight="1">
      <c r="A892" s="1077"/>
      <c r="B892" s="1097"/>
      <c r="C892" s="1097"/>
      <c r="D892" s="1097"/>
      <c r="E892" s="1097"/>
      <c r="F892" s="1097"/>
      <c r="G892" s="62">
        <f>G890+G887+G883+G879</f>
        <v>831846.48750000016</v>
      </c>
    </row>
    <row r="893" spans="1:7" s="2" customFormat="1" ht="15.75" customHeight="1">
      <c r="A893" s="63"/>
      <c r="B893" s="42"/>
      <c r="C893" s="42"/>
      <c r="D893" s="42"/>
      <c r="E893" s="42"/>
      <c r="F893" s="42"/>
      <c r="G893" s="64"/>
    </row>
    <row r="894" spans="1:7" s="2" customFormat="1" ht="15.75" customHeight="1">
      <c r="A894" s="970" t="s">
        <v>1</v>
      </c>
      <c r="B894" s="957"/>
      <c r="C894" s="953" t="s">
        <v>0</v>
      </c>
      <c r="D894" s="954"/>
      <c r="E894" s="954"/>
      <c r="F894" s="954"/>
      <c r="G894" s="955"/>
    </row>
    <row r="895" spans="1:7" s="2" customFormat="1" ht="56.25" customHeight="1">
      <c r="A895" s="971"/>
      <c r="B895" s="957"/>
      <c r="C895" s="954"/>
      <c r="D895" s="954"/>
      <c r="E895" s="954"/>
      <c r="F895" s="954"/>
      <c r="G895" s="955"/>
    </row>
    <row r="896" spans="1:7" s="2" customFormat="1" ht="17.399999999999999">
      <c r="A896" s="971"/>
      <c r="B896" s="957"/>
      <c r="C896" s="956"/>
      <c r="D896" s="957"/>
      <c r="E896" s="957"/>
      <c r="F896" s="957"/>
      <c r="G896" s="958"/>
    </row>
    <row r="897" spans="1:7" s="2" customFormat="1" ht="15.75" customHeight="1">
      <c r="A897" s="971"/>
      <c r="B897" s="957"/>
      <c r="C897" s="959" t="s">
        <v>2</v>
      </c>
      <c r="D897" s="957"/>
      <c r="E897" s="957"/>
      <c r="F897" s="23" t="s">
        <v>3</v>
      </c>
      <c r="G897" s="24" t="s">
        <v>4</v>
      </c>
    </row>
    <row r="898" spans="1:7" s="2" customFormat="1" ht="125.25" customHeight="1">
      <c r="A898" s="1073" t="s">
        <v>540</v>
      </c>
      <c r="B898" s="944"/>
      <c r="C898" s="980" t="s">
        <v>541</v>
      </c>
      <c r="D898" s="944"/>
      <c r="E898" s="944"/>
      <c r="F898" s="51" t="s">
        <v>37</v>
      </c>
      <c r="G898" s="52">
        <v>3.8</v>
      </c>
    </row>
    <row r="899" spans="1:7" s="2" customFormat="1" ht="13.8">
      <c r="A899" s="1071" t="s">
        <v>5</v>
      </c>
      <c r="B899" s="944"/>
      <c r="C899" s="944"/>
      <c r="D899" s="944"/>
      <c r="E899" s="944"/>
      <c r="F899" s="944"/>
      <c r="G899" s="1072"/>
    </row>
    <row r="900" spans="1:7" s="2" customFormat="1" ht="15.75" customHeight="1">
      <c r="A900" s="1074" t="s">
        <v>2</v>
      </c>
      <c r="B900" s="1092"/>
      <c r="C900" s="53" t="s">
        <v>3</v>
      </c>
      <c r="D900" s="53" t="s">
        <v>4</v>
      </c>
      <c r="E900" s="53" t="s">
        <v>6</v>
      </c>
      <c r="F900" s="53" t="s">
        <v>7</v>
      </c>
      <c r="G900" s="61" t="s">
        <v>8</v>
      </c>
    </row>
    <row r="901" spans="1:7" s="2" customFormat="1" ht="15.75" customHeight="1">
      <c r="A901" s="1015" t="s">
        <v>9</v>
      </c>
      <c r="B901" s="1016"/>
      <c r="C901" s="51" t="s">
        <v>3</v>
      </c>
      <c r="D901" s="51">
        <v>0.05</v>
      </c>
      <c r="E901" s="133">
        <f>G912</f>
        <v>27341</v>
      </c>
      <c r="F901" s="55">
        <f>E901*D901</f>
        <v>1367.0500000000002</v>
      </c>
      <c r="G901" s="57">
        <f>SUM(F900:F901)</f>
        <v>1367.0500000000002</v>
      </c>
    </row>
    <row r="902" spans="1:7" s="2" customFormat="1" ht="15.75" customHeight="1">
      <c r="A902" s="1071" t="s">
        <v>10</v>
      </c>
      <c r="B902" s="1093"/>
      <c r="C902" s="1093"/>
      <c r="D902" s="1093"/>
      <c r="E902" s="1093"/>
      <c r="F902" s="1093"/>
      <c r="G902" s="1094"/>
    </row>
    <row r="903" spans="1:7" s="2" customFormat="1" ht="15.75" customHeight="1">
      <c r="A903" s="1074" t="s">
        <v>2</v>
      </c>
      <c r="B903" s="1092"/>
      <c r="C903" s="53" t="s">
        <v>3</v>
      </c>
      <c r="D903" s="53" t="s">
        <v>4</v>
      </c>
      <c r="E903" s="53" t="s">
        <v>6</v>
      </c>
      <c r="F903" s="53" t="s">
        <v>11</v>
      </c>
      <c r="G903" s="1075" t="s">
        <v>8</v>
      </c>
    </row>
    <row r="904" spans="1:7" s="2" customFormat="1" ht="121.5" customHeight="1">
      <c r="A904" s="947" t="s">
        <v>1604</v>
      </c>
      <c r="B904" s="980"/>
      <c r="C904" s="16" t="s">
        <v>37</v>
      </c>
      <c r="D904" s="16">
        <v>1</v>
      </c>
      <c r="E904" s="17">
        <f>'INSUMOS '!E290</f>
        <v>714000</v>
      </c>
      <c r="F904" s="55">
        <f>D904*E904</f>
        <v>714000</v>
      </c>
      <c r="G904" s="1075"/>
    </row>
    <row r="905" spans="1:7" s="2" customFormat="1" ht="15.75" customHeight="1">
      <c r="A905" s="947"/>
      <c r="B905" s="980"/>
      <c r="C905" s="16"/>
      <c r="D905" s="58"/>
      <c r="E905" s="17"/>
      <c r="F905" s="55"/>
      <c r="G905" s="57">
        <f>SUM(F903:F905)</f>
        <v>714000</v>
      </c>
    </row>
    <row r="906" spans="1:7" s="2" customFormat="1" ht="15.75" customHeight="1">
      <c r="A906" s="1071" t="s">
        <v>15</v>
      </c>
      <c r="B906" s="1093"/>
      <c r="C906" s="1093"/>
      <c r="D906" s="1093"/>
      <c r="E906" s="1093"/>
      <c r="F906" s="1093"/>
      <c r="G906" s="1094"/>
    </row>
    <row r="907" spans="1:7" s="2" customFormat="1" ht="15.75" customHeight="1">
      <c r="A907" s="1074" t="s">
        <v>2</v>
      </c>
      <c r="B907" s="1092"/>
      <c r="C907" s="53" t="s">
        <v>3</v>
      </c>
      <c r="D907" s="53" t="s">
        <v>4</v>
      </c>
      <c r="E907" s="53" t="s">
        <v>6</v>
      </c>
      <c r="F907" s="53" t="s">
        <v>11</v>
      </c>
      <c r="G907" s="1075" t="s">
        <v>8</v>
      </c>
    </row>
    <row r="908" spans="1:7" s="2" customFormat="1" ht="15.75" customHeight="1">
      <c r="A908" s="943" t="s">
        <v>173</v>
      </c>
      <c r="B908" s="1078"/>
      <c r="C908" s="16" t="s">
        <v>3</v>
      </c>
      <c r="D908" s="54">
        <v>3.5000000000000003E-2</v>
      </c>
      <c r="E908" s="17">
        <f>G905</f>
        <v>714000</v>
      </c>
      <c r="F908" s="55">
        <f>E908*D908</f>
        <v>24990.000000000004</v>
      </c>
      <c r="G908" s="1075"/>
    </row>
    <row r="909" spans="1:7" s="2" customFormat="1" ht="15.75" customHeight="1">
      <c r="A909" s="59"/>
      <c r="B909" s="60"/>
      <c r="C909" s="60"/>
      <c r="D909" s="60"/>
      <c r="E909" s="60"/>
      <c r="F909" s="60"/>
      <c r="G909" s="57">
        <f>SUM(F908:F909)</f>
        <v>24990.000000000004</v>
      </c>
    </row>
    <row r="910" spans="1:7" s="2" customFormat="1" ht="15.75" customHeight="1">
      <c r="A910" s="1071" t="s">
        <v>19</v>
      </c>
      <c r="B910" s="1093"/>
      <c r="C910" s="1093"/>
      <c r="D910" s="1093"/>
      <c r="E910" s="1093"/>
      <c r="F910" s="1093"/>
      <c r="G910" s="1094"/>
    </row>
    <row r="911" spans="1:7" s="2" customFormat="1" ht="15.75" customHeight="1">
      <c r="A911" s="1074" t="s">
        <v>2</v>
      </c>
      <c r="B911" s="1092"/>
      <c r="C911" s="53" t="s">
        <v>3</v>
      </c>
      <c r="D911" s="53" t="s">
        <v>4</v>
      </c>
      <c r="E911" s="53" t="s">
        <v>6</v>
      </c>
      <c r="F911" s="53" t="s">
        <v>11</v>
      </c>
      <c r="G911" s="456" t="s">
        <v>8</v>
      </c>
    </row>
    <row r="912" spans="1:7" s="2" customFormat="1" ht="15.75" customHeight="1">
      <c r="A912" s="978" t="str">
        <f>SALARIOS!$A$69</f>
        <v>CUADRILLA BB INSTALACIONES 1:1</v>
      </c>
      <c r="B912" s="979"/>
      <c r="C912" s="13" t="s">
        <v>1245</v>
      </c>
      <c r="D912" s="32">
        <v>1</v>
      </c>
      <c r="E912" s="13">
        <f>SALARIOS!$C$69</f>
        <v>27341</v>
      </c>
      <c r="F912" s="55">
        <f>+D912*E912</f>
        <v>27341</v>
      </c>
      <c r="G912" s="57">
        <f>SUM(F911:F912)</f>
        <v>27341</v>
      </c>
    </row>
    <row r="913" spans="1:7" s="2" customFormat="1" ht="15.75" customHeight="1">
      <c r="A913" s="1076" t="s">
        <v>25</v>
      </c>
      <c r="B913" s="1095"/>
      <c r="C913" s="1095"/>
      <c r="D913" s="1095"/>
      <c r="E913" s="1095"/>
      <c r="F913" s="1095"/>
      <c r="G913" s="1096"/>
    </row>
    <row r="914" spans="1:7" s="2" customFormat="1" ht="15.75" customHeight="1">
      <c r="A914" s="1077"/>
      <c r="B914" s="1097"/>
      <c r="C914" s="1097"/>
      <c r="D914" s="1097"/>
      <c r="E914" s="1097"/>
      <c r="F914" s="1097"/>
      <c r="G914" s="62">
        <f>G912+G909+G905+G901</f>
        <v>767698.05</v>
      </c>
    </row>
    <row r="915" spans="1:7" s="2" customFormat="1" ht="15.75" customHeight="1">
      <c r="A915" s="63"/>
      <c r="B915" s="42"/>
      <c r="C915" s="42"/>
      <c r="D915" s="42"/>
      <c r="E915" s="42"/>
      <c r="F915" s="42"/>
      <c r="G915" s="64"/>
    </row>
    <row r="916" spans="1:7" s="2" customFormat="1" ht="15.75" customHeight="1">
      <c r="A916" s="970" t="s">
        <v>1</v>
      </c>
      <c r="B916" s="957"/>
      <c r="C916" s="953" t="s">
        <v>0</v>
      </c>
      <c r="D916" s="954"/>
      <c r="E916" s="954"/>
      <c r="F916" s="954"/>
      <c r="G916" s="955"/>
    </row>
    <row r="917" spans="1:7" s="2" customFormat="1" ht="66" customHeight="1">
      <c r="A917" s="971"/>
      <c r="B917" s="957"/>
      <c r="C917" s="954"/>
      <c r="D917" s="954"/>
      <c r="E917" s="954"/>
      <c r="F917" s="954"/>
      <c r="G917" s="955"/>
    </row>
    <row r="918" spans="1:7" s="2" customFormat="1" ht="17.399999999999999">
      <c r="A918" s="971"/>
      <c r="B918" s="957"/>
      <c r="C918" s="956"/>
      <c r="D918" s="957"/>
      <c r="E918" s="957"/>
      <c r="F918" s="957"/>
      <c r="G918" s="958"/>
    </row>
    <row r="919" spans="1:7" s="2" customFormat="1" ht="13.8">
      <c r="A919" s="971"/>
      <c r="B919" s="957"/>
      <c r="C919" s="959" t="s">
        <v>2</v>
      </c>
      <c r="D919" s="957"/>
      <c r="E919" s="957"/>
      <c r="F919" s="23" t="s">
        <v>3</v>
      </c>
      <c r="G919" s="24" t="s">
        <v>4</v>
      </c>
    </row>
    <row r="920" spans="1:7" s="2" customFormat="1" ht="114" customHeight="1">
      <c r="A920" s="1073" t="s">
        <v>542</v>
      </c>
      <c r="B920" s="944"/>
      <c r="C920" s="980" t="s">
        <v>543</v>
      </c>
      <c r="D920" s="944"/>
      <c r="E920" s="944"/>
      <c r="F920" s="51" t="s">
        <v>37</v>
      </c>
      <c r="G920" s="52">
        <v>6.81</v>
      </c>
    </row>
    <row r="921" spans="1:7" s="2" customFormat="1" ht="13.8">
      <c r="A921" s="1071" t="s">
        <v>5</v>
      </c>
      <c r="B921" s="944"/>
      <c r="C921" s="944"/>
      <c r="D921" s="944"/>
      <c r="E921" s="944"/>
      <c r="F921" s="944"/>
      <c r="G921" s="1072"/>
    </row>
    <row r="922" spans="1:7" s="2" customFormat="1" ht="15.75" customHeight="1">
      <c r="A922" s="1074" t="s">
        <v>2</v>
      </c>
      <c r="B922" s="1092"/>
      <c r="C922" s="53" t="s">
        <v>3</v>
      </c>
      <c r="D922" s="53" t="s">
        <v>4</v>
      </c>
      <c r="E922" s="53" t="s">
        <v>6</v>
      </c>
      <c r="F922" s="53" t="s">
        <v>7</v>
      </c>
      <c r="G922" s="61" t="s">
        <v>8</v>
      </c>
    </row>
    <row r="923" spans="1:7" s="2" customFormat="1" ht="15.75" customHeight="1">
      <c r="A923" s="1015" t="s">
        <v>9</v>
      </c>
      <c r="B923" s="1016"/>
      <c r="C923" s="51" t="s">
        <v>3</v>
      </c>
      <c r="D923" s="51">
        <v>0.05</v>
      </c>
      <c r="E923" s="133">
        <f>G934</f>
        <v>27341</v>
      </c>
      <c r="F923" s="55">
        <f>E923*D923</f>
        <v>1367.0500000000002</v>
      </c>
      <c r="G923" s="57">
        <f>SUM(F922:F923)</f>
        <v>1367.0500000000002</v>
      </c>
    </row>
    <row r="924" spans="1:7" s="2" customFormat="1" ht="15.75" customHeight="1">
      <c r="A924" s="1071" t="s">
        <v>10</v>
      </c>
      <c r="B924" s="1093"/>
      <c r="C924" s="1093"/>
      <c r="D924" s="1093"/>
      <c r="E924" s="1093"/>
      <c r="F924" s="1093"/>
      <c r="G924" s="1094"/>
    </row>
    <row r="925" spans="1:7" s="2" customFormat="1" ht="15.75" customHeight="1">
      <c r="A925" s="1074" t="s">
        <v>2</v>
      </c>
      <c r="B925" s="1092"/>
      <c r="C925" s="53" t="s">
        <v>3</v>
      </c>
      <c r="D925" s="53" t="s">
        <v>4</v>
      </c>
      <c r="E925" s="53" t="s">
        <v>6</v>
      </c>
      <c r="F925" s="53" t="s">
        <v>11</v>
      </c>
      <c r="G925" s="1075" t="s">
        <v>8</v>
      </c>
    </row>
    <row r="926" spans="1:7" s="2" customFormat="1" ht="118.5" customHeight="1">
      <c r="A926" s="947" t="s">
        <v>1605</v>
      </c>
      <c r="B926" s="980"/>
      <c r="C926" s="16" t="s">
        <v>37</v>
      </c>
      <c r="D926" s="16">
        <v>1</v>
      </c>
      <c r="E926" s="17">
        <f>'INSUMOS '!E292</f>
        <v>714000</v>
      </c>
      <c r="F926" s="55">
        <f>D926*E926</f>
        <v>714000</v>
      </c>
      <c r="G926" s="1075"/>
    </row>
    <row r="927" spans="1:7" s="2" customFormat="1" ht="15.75" customHeight="1">
      <c r="A927" s="947"/>
      <c r="B927" s="980"/>
      <c r="C927" s="16"/>
      <c r="D927" s="58"/>
      <c r="E927" s="17"/>
      <c r="F927" s="55"/>
      <c r="G927" s="57">
        <f>SUM(F925:F927)</f>
        <v>714000</v>
      </c>
    </row>
    <row r="928" spans="1:7" s="2" customFormat="1" ht="15.75" customHeight="1">
      <c r="A928" s="1071" t="s">
        <v>15</v>
      </c>
      <c r="B928" s="1093"/>
      <c r="C928" s="1093"/>
      <c r="D928" s="1093"/>
      <c r="E928" s="1093"/>
      <c r="F928" s="1093"/>
      <c r="G928" s="1094"/>
    </row>
    <row r="929" spans="1:7" s="2" customFormat="1" ht="15.75" customHeight="1">
      <c r="A929" s="1074" t="s">
        <v>2</v>
      </c>
      <c r="B929" s="1092"/>
      <c r="C929" s="53" t="s">
        <v>3</v>
      </c>
      <c r="D929" s="53" t="s">
        <v>4</v>
      </c>
      <c r="E929" s="53" t="s">
        <v>6</v>
      </c>
      <c r="F929" s="53" t="s">
        <v>11</v>
      </c>
      <c r="G929" s="1075" t="s">
        <v>8</v>
      </c>
    </row>
    <row r="930" spans="1:7" s="2" customFormat="1" ht="15.75" customHeight="1">
      <c r="A930" s="943" t="s">
        <v>173</v>
      </c>
      <c r="B930" s="1078"/>
      <c r="C930" s="16" t="s">
        <v>3</v>
      </c>
      <c r="D930" s="54">
        <v>3.5000000000000003E-2</v>
      </c>
      <c r="E930" s="17">
        <f>G927</f>
        <v>714000</v>
      </c>
      <c r="F930" s="55">
        <f>E930*D930</f>
        <v>24990.000000000004</v>
      </c>
      <c r="G930" s="1075"/>
    </row>
    <row r="931" spans="1:7" s="2" customFormat="1" ht="15.75" customHeight="1">
      <c r="A931" s="59"/>
      <c r="B931" s="60"/>
      <c r="C931" s="60"/>
      <c r="D931" s="60"/>
      <c r="E931" s="60"/>
      <c r="F931" s="60"/>
      <c r="G931" s="57">
        <f>SUM(F930:F931)</f>
        <v>24990.000000000004</v>
      </c>
    </row>
    <row r="932" spans="1:7" s="2" customFormat="1" ht="15.75" customHeight="1">
      <c r="A932" s="1071" t="s">
        <v>19</v>
      </c>
      <c r="B932" s="1093"/>
      <c r="C932" s="1093"/>
      <c r="D932" s="1093"/>
      <c r="E932" s="1093"/>
      <c r="F932" s="1093"/>
      <c r="G932" s="1094"/>
    </row>
    <row r="933" spans="1:7" s="2" customFormat="1" ht="15.75" customHeight="1">
      <c r="A933" s="1074" t="s">
        <v>2</v>
      </c>
      <c r="B933" s="1092"/>
      <c r="C933" s="53" t="s">
        <v>3</v>
      </c>
      <c r="D933" s="53" t="s">
        <v>4</v>
      </c>
      <c r="E933" s="53" t="s">
        <v>6</v>
      </c>
      <c r="F933" s="53" t="s">
        <v>11</v>
      </c>
      <c r="G933" s="456" t="s">
        <v>8</v>
      </c>
    </row>
    <row r="934" spans="1:7" s="2" customFormat="1" ht="15.75" customHeight="1">
      <c r="A934" s="978" t="str">
        <f>SALARIOS!$A$69</f>
        <v>CUADRILLA BB INSTALACIONES 1:1</v>
      </c>
      <c r="B934" s="979"/>
      <c r="C934" s="13" t="s">
        <v>1245</v>
      </c>
      <c r="D934" s="32">
        <v>1</v>
      </c>
      <c r="E934" s="13">
        <f>SALARIOS!$C$69</f>
        <v>27341</v>
      </c>
      <c r="F934" s="55">
        <f>+D934*E934</f>
        <v>27341</v>
      </c>
      <c r="G934" s="57">
        <f>SUM(F933:F934)</f>
        <v>27341</v>
      </c>
    </row>
    <row r="935" spans="1:7" s="2" customFormat="1" ht="15.75" customHeight="1">
      <c r="A935" s="1076" t="s">
        <v>25</v>
      </c>
      <c r="B935" s="1095"/>
      <c r="C935" s="1095"/>
      <c r="D935" s="1095"/>
      <c r="E935" s="1095"/>
      <c r="F935" s="1095"/>
      <c r="G935" s="1096"/>
    </row>
    <row r="936" spans="1:7" s="2" customFormat="1" ht="15.75" customHeight="1">
      <c r="A936" s="1077"/>
      <c r="B936" s="1097"/>
      <c r="C936" s="1097"/>
      <c r="D936" s="1097"/>
      <c r="E936" s="1097"/>
      <c r="F936" s="1097"/>
      <c r="G936" s="62">
        <f>G934+G931+G927+G923</f>
        <v>767698.05</v>
      </c>
    </row>
    <row r="937" spans="1:7" s="2" customFormat="1" ht="15.75" customHeight="1">
      <c r="A937" s="63"/>
      <c r="B937" s="42"/>
      <c r="C937" s="42"/>
      <c r="D937" s="42"/>
      <c r="E937" s="42"/>
      <c r="F937" s="42"/>
      <c r="G937" s="64"/>
    </row>
    <row r="938" spans="1:7" s="2" customFormat="1" ht="15.75" customHeight="1">
      <c r="A938" s="970" t="s">
        <v>1</v>
      </c>
      <c r="B938" s="957"/>
      <c r="C938" s="953" t="s">
        <v>0</v>
      </c>
      <c r="D938" s="954"/>
      <c r="E938" s="954"/>
      <c r="F938" s="954"/>
      <c r="G938" s="955"/>
    </row>
    <row r="939" spans="1:7" s="2" customFormat="1" ht="60.75" customHeight="1">
      <c r="A939" s="971"/>
      <c r="B939" s="957"/>
      <c r="C939" s="954"/>
      <c r="D939" s="954"/>
      <c r="E939" s="954"/>
      <c r="F939" s="954"/>
      <c r="G939" s="955"/>
    </row>
    <row r="940" spans="1:7" s="2" customFormat="1" ht="17.399999999999999">
      <c r="A940" s="971"/>
      <c r="B940" s="957"/>
      <c r="C940" s="956"/>
      <c r="D940" s="957"/>
      <c r="E940" s="957"/>
      <c r="F940" s="957"/>
      <c r="G940" s="958"/>
    </row>
    <row r="941" spans="1:7" s="2" customFormat="1" ht="15.75" customHeight="1">
      <c r="A941" s="971"/>
      <c r="B941" s="957"/>
      <c r="C941" s="959" t="s">
        <v>2</v>
      </c>
      <c r="D941" s="957"/>
      <c r="E941" s="957"/>
      <c r="F941" s="23" t="s">
        <v>3</v>
      </c>
      <c r="G941" s="24" t="s">
        <v>4</v>
      </c>
    </row>
    <row r="942" spans="1:7" s="2" customFormat="1" ht="69.75" customHeight="1">
      <c r="A942" s="1073" t="s">
        <v>544</v>
      </c>
      <c r="B942" s="944"/>
      <c r="C942" s="980" t="s">
        <v>545</v>
      </c>
      <c r="D942" s="944"/>
      <c r="E942" s="944"/>
      <c r="F942" s="51" t="s">
        <v>37</v>
      </c>
      <c r="G942" s="52">
        <v>5</v>
      </c>
    </row>
    <row r="943" spans="1:7" s="2" customFormat="1" ht="13.8">
      <c r="A943" s="1071" t="s">
        <v>5</v>
      </c>
      <c r="B943" s="944"/>
      <c r="C943" s="944"/>
      <c r="D943" s="944"/>
      <c r="E943" s="944"/>
      <c r="F943" s="944"/>
      <c r="G943" s="1072"/>
    </row>
    <row r="944" spans="1:7" s="2" customFormat="1" ht="15.75" customHeight="1">
      <c r="A944" s="1074" t="s">
        <v>2</v>
      </c>
      <c r="B944" s="1092"/>
      <c r="C944" s="53" t="s">
        <v>3</v>
      </c>
      <c r="D944" s="53" t="s">
        <v>4</v>
      </c>
      <c r="E944" s="53" t="s">
        <v>6</v>
      </c>
      <c r="F944" s="53" t="s">
        <v>7</v>
      </c>
      <c r="G944" s="61" t="s">
        <v>8</v>
      </c>
    </row>
    <row r="945" spans="1:7" s="2" customFormat="1" ht="15.75" customHeight="1">
      <c r="A945" s="1015" t="s">
        <v>9</v>
      </c>
      <c r="B945" s="1016"/>
      <c r="C945" s="51" t="s">
        <v>3</v>
      </c>
      <c r="D945" s="51">
        <v>0.05</v>
      </c>
      <c r="E945" s="133">
        <f>G956</f>
        <v>27341</v>
      </c>
      <c r="F945" s="55">
        <f>E945*D945</f>
        <v>1367.0500000000002</v>
      </c>
      <c r="G945" s="57">
        <f>SUM(F944:F945)</f>
        <v>1367.0500000000002</v>
      </c>
    </row>
    <row r="946" spans="1:7" s="2" customFormat="1" ht="15.75" customHeight="1">
      <c r="A946" s="1071" t="s">
        <v>10</v>
      </c>
      <c r="B946" s="1093"/>
      <c r="C946" s="1093"/>
      <c r="D946" s="1093"/>
      <c r="E946" s="1093"/>
      <c r="F946" s="1093"/>
      <c r="G946" s="1094"/>
    </row>
    <row r="947" spans="1:7" s="2" customFormat="1" ht="15.75" customHeight="1">
      <c r="A947" s="1074" t="s">
        <v>2</v>
      </c>
      <c r="B947" s="1092"/>
      <c r="C947" s="53" t="s">
        <v>3</v>
      </c>
      <c r="D947" s="53" t="s">
        <v>4</v>
      </c>
      <c r="E947" s="53" t="s">
        <v>6</v>
      </c>
      <c r="F947" s="53" t="s">
        <v>11</v>
      </c>
      <c r="G947" s="1075" t="s">
        <v>8</v>
      </c>
    </row>
    <row r="948" spans="1:7" s="2" customFormat="1" ht="48.75" customHeight="1">
      <c r="A948" s="947" t="s">
        <v>1606</v>
      </c>
      <c r="B948" s="980"/>
      <c r="C948" s="16" t="s">
        <v>37</v>
      </c>
      <c r="D948" s="16">
        <v>1</v>
      </c>
      <c r="E948" s="17">
        <f>'INSUMOS '!E294</f>
        <v>742560</v>
      </c>
      <c r="F948" s="55">
        <f>D948*E948</f>
        <v>742560</v>
      </c>
      <c r="G948" s="1075"/>
    </row>
    <row r="949" spans="1:7" s="2" customFormat="1" ht="15.75" customHeight="1">
      <c r="A949" s="947"/>
      <c r="B949" s="980"/>
      <c r="C949" s="16"/>
      <c r="D949" s="58"/>
      <c r="E949" s="17"/>
      <c r="F949" s="55"/>
      <c r="G949" s="57">
        <f>SUM(F947:F949)</f>
        <v>742560</v>
      </c>
    </row>
    <row r="950" spans="1:7" s="2" customFormat="1" ht="15.75" customHeight="1">
      <c r="A950" s="1071" t="s">
        <v>15</v>
      </c>
      <c r="B950" s="1093"/>
      <c r="C950" s="1093"/>
      <c r="D950" s="1093"/>
      <c r="E950" s="1093"/>
      <c r="F950" s="1093"/>
      <c r="G950" s="1094"/>
    </row>
    <row r="951" spans="1:7" s="2" customFormat="1" ht="15.75" customHeight="1">
      <c r="A951" s="1074" t="s">
        <v>2</v>
      </c>
      <c r="B951" s="1092"/>
      <c r="C951" s="53" t="s">
        <v>3</v>
      </c>
      <c r="D951" s="53" t="s">
        <v>4</v>
      </c>
      <c r="E951" s="53" t="s">
        <v>6</v>
      </c>
      <c r="F951" s="53" t="s">
        <v>11</v>
      </c>
      <c r="G951" s="1075" t="s">
        <v>8</v>
      </c>
    </row>
    <row r="952" spans="1:7" s="2" customFormat="1" ht="15.75" customHeight="1">
      <c r="A952" s="943" t="s">
        <v>173</v>
      </c>
      <c r="B952" s="1078"/>
      <c r="C952" s="16" t="s">
        <v>3</v>
      </c>
      <c r="D952" s="54">
        <v>3.5000000000000003E-2</v>
      </c>
      <c r="E952" s="17">
        <f>G949</f>
        <v>742560</v>
      </c>
      <c r="F952" s="55">
        <f>E952*D952</f>
        <v>25989.600000000002</v>
      </c>
      <c r="G952" s="1075"/>
    </row>
    <row r="953" spans="1:7" s="2" customFormat="1" ht="15.75" customHeight="1">
      <c r="A953" s="59"/>
      <c r="B953" s="60"/>
      <c r="C953" s="60"/>
      <c r="D953" s="60"/>
      <c r="E953" s="60"/>
      <c r="F953" s="60"/>
      <c r="G953" s="57">
        <f>SUM(F952:F953)</f>
        <v>25989.600000000002</v>
      </c>
    </row>
    <row r="954" spans="1:7" s="2" customFormat="1" ht="15.75" customHeight="1">
      <c r="A954" s="1071" t="s">
        <v>19</v>
      </c>
      <c r="B954" s="1093"/>
      <c r="C954" s="1093"/>
      <c r="D954" s="1093"/>
      <c r="E954" s="1093"/>
      <c r="F954" s="1093"/>
      <c r="G954" s="1094"/>
    </row>
    <row r="955" spans="1:7" s="2" customFormat="1" ht="15.75" customHeight="1">
      <c r="A955" s="1074" t="s">
        <v>2</v>
      </c>
      <c r="B955" s="1092"/>
      <c r="C955" s="53" t="s">
        <v>3</v>
      </c>
      <c r="D955" s="53" t="s">
        <v>4</v>
      </c>
      <c r="E955" s="53" t="s">
        <v>6</v>
      </c>
      <c r="F955" s="53" t="s">
        <v>11</v>
      </c>
      <c r="G955" s="456" t="s">
        <v>8</v>
      </c>
    </row>
    <row r="956" spans="1:7" s="2" customFormat="1" ht="15.75" customHeight="1">
      <c r="A956" s="978" t="str">
        <f>SALARIOS!$A$69</f>
        <v>CUADRILLA BB INSTALACIONES 1:1</v>
      </c>
      <c r="B956" s="979"/>
      <c r="C956" s="13" t="s">
        <v>1245</v>
      </c>
      <c r="D956" s="32">
        <v>1</v>
      </c>
      <c r="E956" s="13">
        <f>SALARIOS!$C$69</f>
        <v>27341</v>
      </c>
      <c r="F956" s="55">
        <f>+D956*E956</f>
        <v>27341</v>
      </c>
      <c r="G956" s="57">
        <f>SUM(F955:F956)</f>
        <v>27341</v>
      </c>
    </row>
    <row r="957" spans="1:7" s="2" customFormat="1" ht="15.75" customHeight="1">
      <c r="A957" s="1076" t="s">
        <v>25</v>
      </c>
      <c r="B957" s="1095"/>
      <c r="C957" s="1095"/>
      <c r="D957" s="1095"/>
      <c r="E957" s="1095"/>
      <c r="F957" s="1095"/>
      <c r="G957" s="1096"/>
    </row>
    <row r="958" spans="1:7" s="2" customFormat="1" ht="15.75" customHeight="1">
      <c r="A958" s="1077"/>
      <c r="B958" s="1097"/>
      <c r="C958" s="1097"/>
      <c r="D958" s="1097"/>
      <c r="E958" s="1097"/>
      <c r="F958" s="1097"/>
      <c r="G958" s="62">
        <f>G956+G953+G949+G945</f>
        <v>797257.65</v>
      </c>
    </row>
    <row r="959" spans="1:7" s="2" customFormat="1" ht="15.75" customHeight="1">
      <c r="A959" s="63"/>
      <c r="B959" s="42"/>
      <c r="C959" s="42"/>
      <c r="D959" s="42"/>
      <c r="E959" s="42"/>
      <c r="F959" s="42"/>
      <c r="G959" s="64"/>
    </row>
    <row r="960" spans="1:7" s="2" customFormat="1" ht="15.75" customHeight="1">
      <c r="A960" s="970" t="s">
        <v>1</v>
      </c>
      <c r="B960" s="957"/>
      <c r="C960" s="953" t="s">
        <v>0</v>
      </c>
      <c r="D960" s="954"/>
      <c r="E960" s="954"/>
      <c r="F960" s="954"/>
      <c r="G960" s="955"/>
    </row>
    <row r="961" spans="1:7" s="2" customFormat="1" ht="72.75" customHeight="1">
      <c r="A961" s="971"/>
      <c r="B961" s="957"/>
      <c r="C961" s="954"/>
      <c r="D961" s="954"/>
      <c r="E961" s="954"/>
      <c r="F961" s="954"/>
      <c r="G961" s="955"/>
    </row>
    <row r="962" spans="1:7" s="2" customFormat="1" ht="17.399999999999999">
      <c r="A962" s="971"/>
      <c r="B962" s="957"/>
      <c r="C962" s="956"/>
      <c r="D962" s="957"/>
      <c r="E962" s="957"/>
      <c r="F962" s="957"/>
      <c r="G962" s="958"/>
    </row>
    <row r="963" spans="1:7" s="2" customFormat="1" ht="15.75" customHeight="1">
      <c r="A963" s="971"/>
      <c r="B963" s="957"/>
      <c r="C963" s="959" t="s">
        <v>2</v>
      </c>
      <c r="D963" s="957"/>
      <c r="E963" s="957"/>
      <c r="F963" s="23" t="s">
        <v>3</v>
      </c>
      <c r="G963" s="24" t="s">
        <v>4</v>
      </c>
    </row>
    <row r="964" spans="1:7" s="2" customFormat="1" ht="67.5" customHeight="1">
      <c r="A964" s="1073" t="s">
        <v>546</v>
      </c>
      <c r="B964" s="944"/>
      <c r="C964" s="980" t="s">
        <v>547</v>
      </c>
      <c r="D964" s="944"/>
      <c r="E964" s="944"/>
      <c r="F964" s="51" t="s">
        <v>37</v>
      </c>
      <c r="G964" s="52">
        <v>1</v>
      </c>
    </row>
    <row r="965" spans="1:7" s="2" customFormat="1" ht="13.8">
      <c r="A965" s="1071" t="s">
        <v>5</v>
      </c>
      <c r="B965" s="944"/>
      <c r="C965" s="944"/>
      <c r="D965" s="944"/>
      <c r="E965" s="944"/>
      <c r="F965" s="944"/>
      <c r="G965" s="1072"/>
    </row>
    <row r="966" spans="1:7" s="2" customFormat="1" ht="15.75" customHeight="1">
      <c r="A966" s="1074" t="s">
        <v>2</v>
      </c>
      <c r="B966" s="1092"/>
      <c r="C966" s="53" t="s">
        <v>3</v>
      </c>
      <c r="D966" s="53" t="s">
        <v>4</v>
      </c>
      <c r="E966" s="53" t="s">
        <v>6</v>
      </c>
      <c r="F966" s="53" t="s">
        <v>7</v>
      </c>
      <c r="G966" s="61" t="s">
        <v>8</v>
      </c>
    </row>
    <row r="967" spans="1:7" s="2" customFormat="1" ht="15.75" customHeight="1">
      <c r="A967" s="1015" t="s">
        <v>9</v>
      </c>
      <c r="B967" s="1016"/>
      <c r="C967" s="51" t="s">
        <v>3</v>
      </c>
      <c r="D967" s="51">
        <v>0.05</v>
      </c>
      <c r="E967" s="133">
        <f>G978</f>
        <v>68352.5</v>
      </c>
      <c r="F967" s="55">
        <f>E967*D967</f>
        <v>3417.625</v>
      </c>
      <c r="G967" s="57">
        <f>SUM(F966:F967)</f>
        <v>3417.625</v>
      </c>
    </row>
    <row r="968" spans="1:7" s="2" customFormat="1" ht="15.75" customHeight="1">
      <c r="A968" s="1071" t="s">
        <v>10</v>
      </c>
      <c r="B968" s="1093"/>
      <c r="C968" s="1093"/>
      <c r="D968" s="1093"/>
      <c r="E968" s="1093"/>
      <c r="F968" s="1093"/>
      <c r="G968" s="1094"/>
    </row>
    <row r="969" spans="1:7" s="2" customFormat="1" ht="15.75" customHeight="1">
      <c r="A969" s="1074" t="s">
        <v>2</v>
      </c>
      <c r="B969" s="1092"/>
      <c r="C969" s="53" t="s">
        <v>3</v>
      </c>
      <c r="D969" s="53" t="s">
        <v>4</v>
      </c>
      <c r="E969" s="53" t="s">
        <v>6</v>
      </c>
      <c r="F969" s="53" t="s">
        <v>11</v>
      </c>
      <c r="G969" s="1075" t="s">
        <v>8</v>
      </c>
    </row>
    <row r="970" spans="1:7" s="2" customFormat="1" ht="54.75" customHeight="1">
      <c r="A970" s="947" t="s">
        <v>1607</v>
      </c>
      <c r="B970" s="980"/>
      <c r="C970" s="16" t="s">
        <v>3</v>
      </c>
      <c r="D970" s="16">
        <v>1</v>
      </c>
      <c r="E970" s="17">
        <f>'INSUMOS '!E296</f>
        <v>928200</v>
      </c>
      <c r="F970" s="55">
        <f>D970*E970</f>
        <v>928200</v>
      </c>
      <c r="G970" s="1075"/>
    </row>
    <row r="971" spans="1:7" s="2" customFormat="1" ht="15.75" customHeight="1">
      <c r="A971" s="947"/>
      <c r="B971" s="980"/>
      <c r="C971" s="16"/>
      <c r="D971" s="58"/>
      <c r="E971" s="17"/>
      <c r="F971" s="55"/>
      <c r="G971" s="57">
        <f>SUM(F969:F971)</f>
        <v>928200</v>
      </c>
    </row>
    <row r="972" spans="1:7" s="2" customFormat="1" ht="15.75" customHeight="1">
      <c r="A972" s="1071" t="s">
        <v>15</v>
      </c>
      <c r="B972" s="1093"/>
      <c r="C972" s="1093"/>
      <c r="D972" s="1093"/>
      <c r="E972" s="1093"/>
      <c r="F972" s="1093"/>
      <c r="G972" s="1094"/>
    </row>
    <row r="973" spans="1:7" s="2" customFormat="1" ht="15.75" customHeight="1">
      <c r="A973" s="1074" t="s">
        <v>2</v>
      </c>
      <c r="B973" s="1092"/>
      <c r="C973" s="53" t="s">
        <v>3</v>
      </c>
      <c r="D973" s="53" t="s">
        <v>4</v>
      </c>
      <c r="E973" s="53" t="s">
        <v>6</v>
      </c>
      <c r="F973" s="53" t="s">
        <v>11</v>
      </c>
      <c r="G973" s="1075" t="s">
        <v>8</v>
      </c>
    </row>
    <row r="974" spans="1:7" s="2" customFormat="1" ht="15.75" customHeight="1">
      <c r="A974" s="943" t="s">
        <v>173</v>
      </c>
      <c r="B974" s="1078"/>
      <c r="C974" s="16" t="s">
        <v>3</v>
      </c>
      <c r="D974" s="54">
        <v>3.5000000000000003E-2</v>
      </c>
      <c r="E974" s="17">
        <f>G971</f>
        <v>928200</v>
      </c>
      <c r="F974" s="55">
        <f>E974*D974</f>
        <v>32487.000000000004</v>
      </c>
      <c r="G974" s="1075"/>
    </row>
    <row r="975" spans="1:7" s="2" customFormat="1" ht="15.75" customHeight="1">
      <c r="A975" s="59"/>
      <c r="B975" s="60"/>
      <c r="C975" s="60"/>
      <c r="D975" s="60"/>
      <c r="E975" s="60"/>
      <c r="F975" s="60"/>
      <c r="G975" s="57">
        <f>SUM(F974:F975)</f>
        <v>32487.000000000004</v>
      </c>
    </row>
    <row r="976" spans="1:7" s="2" customFormat="1" ht="15.75" customHeight="1">
      <c r="A976" s="1071" t="s">
        <v>19</v>
      </c>
      <c r="B976" s="1093"/>
      <c r="C976" s="1093"/>
      <c r="D976" s="1093"/>
      <c r="E976" s="1093"/>
      <c r="F976" s="1093"/>
      <c r="G976" s="1094"/>
    </row>
    <row r="977" spans="1:7" s="2" customFormat="1" ht="15.75" customHeight="1">
      <c r="A977" s="1074" t="s">
        <v>2</v>
      </c>
      <c r="B977" s="1092"/>
      <c r="C977" s="53" t="s">
        <v>3</v>
      </c>
      <c r="D977" s="53" t="s">
        <v>4</v>
      </c>
      <c r="E977" s="53" t="s">
        <v>6</v>
      </c>
      <c r="F977" s="53" t="s">
        <v>11</v>
      </c>
      <c r="G977" s="456" t="s">
        <v>8</v>
      </c>
    </row>
    <row r="978" spans="1:7" s="2" customFormat="1" ht="15.75" customHeight="1">
      <c r="A978" s="978" t="str">
        <f>SALARIOS!$A$69</f>
        <v>CUADRILLA BB INSTALACIONES 1:1</v>
      </c>
      <c r="B978" s="979"/>
      <c r="C978" s="13" t="s">
        <v>1245</v>
      </c>
      <c r="D978" s="32">
        <v>2.5</v>
      </c>
      <c r="E978" s="13">
        <f>SALARIOS!$C$69</f>
        <v>27341</v>
      </c>
      <c r="F978" s="55">
        <f>+D978*E978</f>
        <v>68352.5</v>
      </c>
      <c r="G978" s="57">
        <f>SUM(F977:F978)</f>
        <v>68352.5</v>
      </c>
    </row>
    <row r="979" spans="1:7" s="2" customFormat="1" ht="15.75" customHeight="1">
      <c r="A979" s="1076" t="s">
        <v>25</v>
      </c>
      <c r="B979" s="1095"/>
      <c r="C979" s="1095"/>
      <c r="D979" s="1095"/>
      <c r="E979" s="1095"/>
      <c r="F979" s="1095"/>
      <c r="G979" s="1096"/>
    </row>
    <row r="980" spans="1:7" s="2" customFormat="1" ht="15.75" customHeight="1">
      <c r="A980" s="1077"/>
      <c r="B980" s="1097"/>
      <c r="C980" s="1097"/>
      <c r="D980" s="1097"/>
      <c r="E980" s="1097"/>
      <c r="F980" s="1097"/>
      <c r="G980" s="62">
        <f>G978+G975+G971+G967</f>
        <v>1032457.125</v>
      </c>
    </row>
    <row r="981" spans="1:7" s="2" customFormat="1" ht="15.75" customHeight="1">
      <c r="A981" s="63"/>
      <c r="B981" s="42"/>
      <c r="C981" s="42"/>
      <c r="D981" s="42"/>
      <c r="E981" s="42"/>
      <c r="F981" s="42"/>
      <c r="G981" s="64"/>
    </row>
    <row r="982" spans="1:7" s="2" customFormat="1" ht="15.75" customHeight="1">
      <c r="A982" s="970" t="s">
        <v>1</v>
      </c>
      <c r="B982" s="957"/>
      <c r="C982" s="953" t="s">
        <v>0</v>
      </c>
      <c r="D982" s="954"/>
      <c r="E982" s="954"/>
      <c r="F982" s="954"/>
      <c r="G982" s="955"/>
    </row>
    <row r="983" spans="1:7" s="2" customFormat="1" ht="74.25" customHeight="1">
      <c r="A983" s="971"/>
      <c r="B983" s="957"/>
      <c r="C983" s="954"/>
      <c r="D983" s="954"/>
      <c r="E983" s="954"/>
      <c r="F983" s="954"/>
      <c r="G983" s="955"/>
    </row>
    <row r="984" spans="1:7" s="2" customFormat="1" ht="17.399999999999999">
      <c r="A984" s="971"/>
      <c r="B984" s="957"/>
      <c r="C984" s="956"/>
      <c r="D984" s="957"/>
      <c r="E984" s="957"/>
      <c r="F984" s="957"/>
      <c r="G984" s="958"/>
    </row>
    <row r="985" spans="1:7" s="2" customFormat="1" ht="15.75" customHeight="1">
      <c r="A985" s="971"/>
      <c r="B985" s="957"/>
      <c r="C985" s="959" t="s">
        <v>2</v>
      </c>
      <c r="D985" s="957"/>
      <c r="E985" s="957"/>
      <c r="F985" s="23" t="s">
        <v>3</v>
      </c>
      <c r="G985" s="24" t="s">
        <v>4</v>
      </c>
    </row>
    <row r="986" spans="1:7" s="2" customFormat="1" ht="105.75" customHeight="1">
      <c r="A986" s="1073" t="s">
        <v>548</v>
      </c>
      <c r="B986" s="944"/>
      <c r="C986" s="980" t="s">
        <v>549</v>
      </c>
      <c r="D986" s="944"/>
      <c r="E986" s="944"/>
      <c r="F986" s="51" t="s">
        <v>37</v>
      </c>
      <c r="G986" s="52">
        <v>17.760000000000002</v>
      </c>
    </row>
    <row r="987" spans="1:7" s="2" customFormat="1" ht="15.75" customHeight="1">
      <c r="A987" s="1071" t="s">
        <v>5</v>
      </c>
      <c r="B987" s="944"/>
      <c r="C987" s="944"/>
      <c r="D987" s="944"/>
      <c r="E987" s="944"/>
      <c r="F987" s="944"/>
      <c r="G987" s="1072"/>
    </row>
    <row r="988" spans="1:7" s="2" customFormat="1" ht="15.75" customHeight="1">
      <c r="A988" s="1074" t="s">
        <v>2</v>
      </c>
      <c r="B988" s="1092"/>
      <c r="C988" s="53" t="s">
        <v>3</v>
      </c>
      <c r="D988" s="53" t="s">
        <v>4</v>
      </c>
      <c r="E988" s="53" t="s">
        <v>6</v>
      </c>
      <c r="F988" s="53" t="s">
        <v>7</v>
      </c>
      <c r="G988" s="61" t="s">
        <v>8</v>
      </c>
    </row>
    <row r="989" spans="1:7" s="2" customFormat="1" ht="15.75" customHeight="1">
      <c r="A989" s="1015" t="s">
        <v>9</v>
      </c>
      <c r="B989" s="1016"/>
      <c r="C989" s="51" t="s">
        <v>3</v>
      </c>
      <c r="D989" s="51">
        <v>0.05</v>
      </c>
      <c r="E989" s="133">
        <f>G1000</f>
        <v>27341</v>
      </c>
      <c r="F989" s="55">
        <f>E989*D989</f>
        <v>1367.0500000000002</v>
      </c>
      <c r="G989" s="57">
        <f>SUM(F988:F989)</f>
        <v>1367.0500000000002</v>
      </c>
    </row>
    <row r="990" spans="1:7" s="2" customFormat="1" ht="15.75" customHeight="1">
      <c r="A990" s="1071" t="s">
        <v>10</v>
      </c>
      <c r="B990" s="1093"/>
      <c r="C990" s="1093"/>
      <c r="D990" s="1093"/>
      <c r="E990" s="1093"/>
      <c r="F990" s="1093"/>
      <c r="G990" s="1094"/>
    </row>
    <row r="991" spans="1:7" s="2" customFormat="1" ht="15.75" customHeight="1">
      <c r="A991" s="1074" t="s">
        <v>2</v>
      </c>
      <c r="B991" s="1092"/>
      <c r="C991" s="53" t="s">
        <v>3</v>
      </c>
      <c r="D991" s="53" t="s">
        <v>4</v>
      </c>
      <c r="E991" s="53" t="s">
        <v>6</v>
      </c>
      <c r="F991" s="53" t="s">
        <v>11</v>
      </c>
      <c r="G991" s="1075" t="s">
        <v>8</v>
      </c>
    </row>
    <row r="992" spans="1:7" s="2" customFormat="1" ht="84.75" customHeight="1">
      <c r="A992" s="947" t="s">
        <v>1608</v>
      </c>
      <c r="B992" s="980"/>
      <c r="C992" s="16" t="s">
        <v>3</v>
      </c>
      <c r="D992" s="16">
        <v>1</v>
      </c>
      <c r="E992" s="17">
        <f>'INSUMOS '!E298</f>
        <v>494258.69638635602</v>
      </c>
      <c r="F992" s="55">
        <f>D992*E992</f>
        <v>494258.69638635602</v>
      </c>
      <c r="G992" s="1075"/>
    </row>
    <row r="993" spans="1:7" s="2" customFormat="1" ht="15.75" customHeight="1">
      <c r="A993" s="947"/>
      <c r="B993" s="980"/>
      <c r="C993" s="16"/>
      <c r="D993" s="58"/>
      <c r="E993" s="17"/>
      <c r="F993" s="55"/>
      <c r="G993" s="57">
        <f>SUM(F991:F993)</f>
        <v>494258.69638635602</v>
      </c>
    </row>
    <row r="994" spans="1:7" s="2" customFormat="1" ht="15.75" customHeight="1">
      <c r="A994" s="1071" t="s">
        <v>15</v>
      </c>
      <c r="B994" s="1093"/>
      <c r="C994" s="1093"/>
      <c r="D994" s="1093"/>
      <c r="E994" s="1093"/>
      <c r="F994" s="1093"/>
      <c r="G994" s="1094"/>
    </row>
    <row r="995" spans="1:7" s="2" customFormat="1" ht="15.75" customHeight="1">
      <c r="A995" s="1074" t="s">
        <v>2</v>
      </c>
      <c r="B995" s="1092"/>
      <c r="C995" s="53" t="s">
        <v>3</v>
      </c>
      <c r="D995" s="53" t="s">
        <v>4</v>
      </c>
      <c r="E995" s="53" t="s">
        <v>6</v>
      </c>
      <c r="F995" s="53" t="s">
        <v>11</v>
      </c>
      <c r="G995" s="1075" t="s">
        <v>8</v>
      </c>
    </row>
    <row r="996" spans="1:7" s="2" customFormat="1" ht="15.75" customHeight="1">
      <c r="A996" s="943" t="s">
        <v>173</v>
      </c>
      <c r="B996" s="1078"/>
      <c r="C996" s="16" t="s">
        <v>3</v>
      </c>
      <c r="D996" s="54">
        <v>3.5000000000000003E-2</v>
      </c>
      <c r="E996" s="17">
        <f>G993</f>
        <v>494258.69638635602</v>
      </c>
      <c r="F996" s="55">
        <f>E996*D996</f>
        <v>17299.054373522464</v>
      </c>
      <c r="G996" s="1075"/>
    </row>
    <row r="997" spans="1:7" s="2" customFormat="1" ht="15.75" customHeight="1">
      <c r="A997" s="59"/>
      <c r="B997" s="60"/>
      <c r="C997" s="60"/>
      <c r="D997" s="60"/>
      <c r="E997" s="60"/>
      <c r="F997" s="60"/>
      <c r="G997" s="57">
        <f>SUM(F996:F997)</f>
        <v>17299.054373522464</v>
      </c>
    </row>
    <row r="998" spans="1:7" s="2" customFormat="1" ht="15.75" customHeight="1">
      <c r="A998" s="1071" t="s">
        <v>19</v>
      </c>
      <c r="B998" s="1093"/>
      <c r="C998" s="1093"/>
      <c r="D998" s="1093"/>
      <c r="E998" s="1093"/>
      <c r="F998" s="1093"/>
      <c r="G998" s="1094"/>
    </row>
    <row r="999" spans="1:7" s="2" customFormat="1" ht="15.75" customHeight="1">
      <c r="A999" s="1074" t="s">
        <v>2</v>
      </c>
      <c r="B999" s="1092"/>
      <c r="C999" s="53" t="s">
        <v>3</v>
      </c>
      <c r="D999" s="53" t="s">
        <v>4</v>
      </c>
      <c r="E999" s="53" t="s">
        <v>6</v>
      </c>
      <c r="F999" s="53" t="s">
        <v>11</v>
      </c>
      <c r="G999" s="456" t="s">
        <v>8</v>
      </c>
    </row>
    <row r="1000" spans="1:7" s="2" customFormat="1" ht="15.75" customHeight="1">
      <c r="A1000" s="978" t="str">
        <f>SALARIOS!$A$69</f>
        <v>CUADRILLA BB INSTALACIONES 1:1</v>
      </c>
      <c r="B1000" s="979"/>
      <c r="C1000" s="13" t="s">
        <v>1245</v>
      </c>
      <c r="D1000" s="32">
        <v>1</v>
      </c>
      <c r="E1000" s="13">
        <f>SALARIOS!$C$69</f>
        <v>27341</v>
      </c>
      <c r="F1000" s="55">
        <f>+D1000*E1000</f>
        <v>27341</v>
      </c>
      <c r="G1000" s="57">
        <f>SUM(F999:F1000)</f>
        <v>27341</v>
      </c>
    </row>
    <row r="1001" spans="1:7" s="2" customFormat="1" ht="15.75" customHeight="1">
      <c r="A1001" s="1076" t="s">
        <v>25</v>
      </c>
      <c r="B1001" s="1095"/>
      <c r="C1001" s="1095"/>
      <c r="D1001" s="1095"/>
      <c r="E1001" s="1095"/>
      <c r="F1001" s="1095"/>
      <c r="G1001" s="1096"/>
    </row>
    <row r="1002" spans="1:7" s="2" customFormat="1" ht="15.75" customHeight="1">
      <c r="A1002" s="1077"/>
      <c r="B1002" s="1097"/>
      <c r="C1002" s="1097"/>
      <c r="D1002" s="1097"/>
      <c r="E1002" s="1097"/>
      <c r="F1002" s="1097"/>
      <c r="G1002" s="62">
        <f>G1000+G997+G993+G989</f>
        <v>540265.80075987848</v>
      </c>
    </row>
    <row r="1003" spans="1:7" s="2" customFormat="1" ht="15.75" customHeight="1">
      <c r="A1003" s="63"/>
      <c r="B1003" s="42"/>
      <c r="C1003" s="42"/>
      <c r="D1003" s="42"/>
      <c r="E1003" s="42"/>
      <c r="F1003" s="42"/>
      <c r="G1003" s="64"/>
    </row>
    <row r="1004" spans="1:7" s="2" customFormat="1" ht="15.75" customHeight="1">
      <c r="A1004" s="970" t="s">
        <v>1</v>
      </c>
      <c r="B1004" s="957"/>
      <c r="C1004" s="953" t="s">
        <v>0</v>
      </c>
      <c r="D1004" s="954"/>
      <c r="E1004" s="954"/>
      <c r="F1004" s="954"/>
      <c r="G1004" s="955"/>
    </row>
    <row r="1005" spans="1:7" s="2" customFormat="1" ht="62.25" customHeight="1">
      <c r="A1005" s="971"/>
      <c r="B1005" s="957"/>
      <c r="C1005" s="954"/>
      <c r="D1005" s="954"/>
      <c r="E1005" s="954"/>
      <c r="F1005" s="954"/>
      <c r="G1005" s="955"/>
    </row>
    <row r="1006" spans="1:7" s="2" customFormat="1" ht="17.399999999999999">
      <c r="A1006" s="971"/>
      <c r="B1006" s="957"/>
      <c r="C1006" s="956"/>
      <c r="D1006" s="957"/>
      <c r="E1006" s="957"/>
      <c r="F1006" s="957"/>
      <c r="G1006" s="958"/>
    </row>
    <row r="1007" spans="1:7" s="2" customFormat="1" ht="15.75" customHeight="1">
      <c r="A1007" s="971"/>
      <c r="B1007" s="957"/>
      <c r="C1007" s="959" t="s">
        <v>2</v>
      </c>
      <c r="D1007" s="957"/>
      <c r="E1007" s="957"/>
      <c r="F1007" s="23" t="s">
        <v>3</v>
      </c>
      <c r="G1007" s="24" t="s">
        <v>4</v>
      </c>
    </row>
    <row r="1008" spans="1:7" s="2" customFormat="1" ht="78" customHeight="1">
      <c r="A1008" s="1073" t="s">
        <v>550</v>
      </c>
      <c r="B1008" s="944"/>
      <c r="C1008" s="980" t="s">
        <v>551</v>
      </c>
      <c r="D1008" s="944"/>
      <c r="E1008" s="944"/>
      <c r="F1008" s="51" t="s">
        <v>37</v>
      </c>
      <c r="G1008" s="52">
        <v>6.81</v>
      </c>
    </row>
    <row r="1009" spans="1:7" s="2" customFormat="1" ht="15.75" customHeight="1">
      <c r="A1009" s="1071" t="s">
        <v>5</v>
      </c>
      <c r="B1009" s="944"/>
      <c r="C1009" s="944"/>
      <c r="D1009" s="944"/>
      <c r="E1009" s="944"/>
      <c r="F1009" s="944"/>
      <c r="G1009" s="1072"/>
    </row>
    <row r="1010" spans="1:7" s="2" customFormat="1" ht="15.75" customHeight="1">
      <c r="A1010" s="1074" t="s">
        <v>2</v>
      </c>
      <c r="B1010" s="1092"/>
      <c r="C1010" s="53" t="s">
        <v>3</v>
      </c>
      <c r="D1010" s="53" t="s">
        <v>4</v>
      </c>
      <c r="E1010" s="53" t="s">
        <v>6</v>
      </c>
      <c r="F1010" s="53" t="s">
        <v>7</v>
      </c>
      <c r="G1010" s="61" t="s">
        <v>8</v>
      </c>
    </row>
    <row r="1011" spans="1:7" s="2" customFormat="1" ht="15.75" customHeight="1">
      <c r="A1011" s="1015" t="s">
        <v>9</v>
      </c>
      <c r="B1011" s="1016"/>
      <c r="C1011" s="51" t="s">
        <v>3</v>
      </c>
      <c r="D1011" s="51">
        <v>0.05</v>
      </c>
      <c r="E1011" s="133">
        <f>G1022</f>
        <v>27341</v>
      </c>
      <c r="F1011" s="55">
        <f>E1011*D1011</f>
        <v>1367.0500000000002</v>
      </c>
      <c r="G1011" s="57">
        <f>SUM(F1010:F1011)</f>
        <v>1367.0500000000002</v>
      </c>
    </row>
    <row r="1012" spans="1:7" s="2" customFormat="1" ht="15.75" customHeight="1">
      <c r="A1012" s="1071" t="s">
        <v>10</v>
      </c>
      <c r="B1012" s="1093"/>
      <c r="C1012" s="1093"/>
      <c r="D1012" s="1093"/>
      <c r="E1012" s="1093"/>
      <c r="F1012" s="1093"/>
      <c r="G1012" s="1094"/>
    </row>
    <row r="1013" spans="1:7" s="2" customFormat="1" ht="15.75" customHeight="1">
      <c r="A1013" s="1074" t="s">
        <v>2</v>
      </c>
      <c r="B1013" s="1092"/>
      <c r="C1013" s="53" t="s">
        <v>3</v>
      </c>
      <c r="D1013" s="53" t="s">
        <v>4</v>
      </c>
      <c r="E1013" s="53" t="s">
        <v>6</v>
      </c>
      <c r="F1013" s="53" t="s">
        <v>11</v>
      </c>
      <c r="G1013" s="1075" t="s">
        <v>8</v>
      </c>
    </row>
    <row r="1014" spans="1:7" s="2" customFormat="1" ht="55.5" customHeight="1">
      <c r="A1014" s="947" t="s">
        <v>1609</v>
      </c>
      <c r="B1014" s="980"/>
      <c r="C1014" s="16" t="s">
        <v>3</v>
      </c>
      <c r="D1014" s="16">
        <v>1</v>
      </c>
      <c r="E1014" s="17">
        <f>'INSUMOS '!E300</f>
        <v>755622.06572769955</v>
      </c>
      <c r="F1014" s="55">
        <f>D1014*E1014</f>
        <v>755622.06572769955</v>
      </c>
      <c r="G1014" s="1075"/>
    </row>
    <row r="1015" spans="1:7" s="2" customFormat="1" ht="15.75" customHeight="1">
      <c r="A1015" s="947"/>
      <c r="B1015" s="980"/>
      <c r="C1015" s="16"/>
      <c r="D1015" s="58"/>
      <c r="E1015" s="17"/>
      <c r="F1015" s="55"/>
      <c r="G1015" s="57">
        <f>SUM(F1013:F1015)</f>
        <v>755622.06572769955</v>
      </c>
    </row>
    <row r="1016" spans="1:7" s="2" customFormat="1" ht="15.75" customHeight="1">
      <c r="A1016" s="1071" t="s">
        <v>15</v>
      </c>
      <c r="B1016" s="1093"/>
      <c r="C1016" s="1093"/>
      <c r="D1016" s="1093"/>
      <c r="E1016" s="1093"/>
      <c r="F1016" s="1093"/>
      <c r="G1016" s="1094"/>
    </row>
    <row r="1017" spans="1:7" s="2" customFormat="1" ht="15.75" customHeight="1">
      <c r="A1017" s="1074" t="s">
        <v>2</v>
      </c>
      <c r="B1017" s="1092"/>
      <c r="C1017" s="53" t="s">
        <v>3</v>
      </c>
      <c r="D1017" s="53" t="s">
        <v>4</v>
      </c>
      <c r="E1017" s="53" t="s">
        <v>6</v>
      </c>
      <c r="F1017" s="53" t="s">
        <v>11</v>
      </c>
      <c r="G1017" s="1075" t="s">
        <v>8</v>
      </c>
    </row>
    <row r="1018" spans="1:7" s="2" customFormat="1" ht="15.75" customHeight="1">
      <c r="A1018" s="943" t="s">
        <v>173</v>
      </c>
      <c r="B1018" s="1078"/>
      <c r="C1018" s="16" t="s">
        <v>3</v>
      </c>
      <c r="D1018" s="54">
        <v>3.5000000000000003E-2</v>
      </c>
      <c r="E1018" s="17">
        <f>G1015</f>
        <v>755622.06572769955</v>
      </c>
      <c r="F1018" s="55">
        <f>E1018*D1018</f>
        <v>26446.772300469485</v>
      </c>
      <c r="G1018" s="1075"/>
    </row>
    <row r="1019" spans="1:7" s="2" customFormat="1" ht="15.75" customHeight="1">
      <c r="A1019" s="59"/>
      <c r="B1019" s="60"/>
      <c r="C1019" s="60"/>
      <c r="D1019" s="60"/>
      <c r="E1019" s="60"/>
      <c r="F1019" s="60"/>
      <c r="G1019" s="57">
        <f>SUM(F1018:F1019)</f>
        <v>26446.772300469485</v>
      </c>
    </row>
    <row r="1020" spans="1:7" s="2" customFormat="1" ht="15.75" customHeight="1">
      <c r="A1020" s="1071" t="s">
        <v>19</v>
      </c>
      <c r="B1020" s="1093"/>
      <c r="C1020" s="1093"/>
      <c r="D1020" s="1093"/>
      <c r="E1020" s="1093"/>
      <c r="F1020" s="1093"/>
      <c r="G1020" s="1094"/>
    </row>
    <row r="1021" spans="1:7" s="2" customFormat="1" ht="15.75" customHeight="1">
      <c r="A1021" s="1074" t="s">
        <v>2</v>
      </c>
      <c r="B1021" s="1092"/>
      <c r="C1021" s="53" t="s">
        <v>3</v>
      </c>
      <c r="D1021" s="53" t="s">
        <v>4</v>
      </c>
      <c r="E1021" s="53" t="s">
        <v>6</v>
      </c>
      <c r="F1021" s="53" t="s">
        <v>11</v>
      </c>
      <c r="G1021" s="456" t="s">
        <v>8</v>
      </c>
    </row>
    <row r="1022" spans="1:7" s="2" customFormat="1" ht="15.75" customHeight="1">
      <c r="A1022" s="978" t="str">
        <f>SALARIOS!$A$69</f>
        <v>CUADRILLA BB INSTALACIONES 1:1</v>
      </c>
      <c r="B1022" s="979"/>
      <c r="C1022" s="13" t="s">
        <v>1245</v>
      </c>
      <c r="D1022" s="32">
        <v>1</v>
      </c>
      <c r="E1022" s="13">
        <f>SALARIOS!$C$69</f>
        <v>27341</v>
      </c>
      <c r="F1022" s="55">
        <f>+D1022*E1022</f>
        <v>27341</v>
      </c>
      <c r="G1022" s="57">
        <f>SUM(F1021:F1022)</f>
        <v>27341</v>
      </c>
    </row>
    <row r="1023" spans="1:7" s="2" customFormat="1" ht="15.75" customHeight="1">
      <c r="A1023" s="1076" t="s">
        <v>25</v>
      </c>
      <c r="B1023" s="1095"/>
      <c r="C1023" s="1095"/>
      <c r="D1023" s="1095"/>
      <c r="E1023" s="1095"/>
      <c r="F1023" s="1095"/>
      <c r="G1023" s="1096"/>
    </row>
    <row r="1024" spans="1:7" s="2" customFormat="1" ht="15.75" customHeight="1">
      <c r="A1024" s="1077"/>
      <c r="B1024" s="1097"/>
      <c r="C1024" s="1097"/>
      <c r="D1024" s="1097"/>
      <c r="E1024" s="1097"/>
      <c r="F1024" s="1097"/>
      <c r="G1024" s="62">
        <f>G1022+G1019+G1015+G1011</f>
        <v>810776.88802816905</v>
      </c>
    </row>
    <row r="1025" spans="1:11" s="2" customFormat="1" ht="15.75" customHeight="1">
      <c r="A1025" s="63"/>
      <c r="B1025" s="42"/>
      <c r="C1025" s="42"/>
      <c r="D1025" s="42"/>
      <c r="E1025" s="42"/>
      <c r="F1025" s="42"/>
      <c r="G1025" s="64"/>
    </row>
    <row r="1026" spans="1:11" s="2" customFormat="1" ht="15.75" customHeight="1">
      <c r="A1026" s="970" t="s">
        <v>1</v>
      </c>
      <c r="B1026" s="957"/>
      <c r="C1026" s="953" t="s">
        <v>0</v>
      </c>
      <c r="D1026" s="954"/>
      <c r="E1026" s="954"/>
      <c r="F1026" s="954"/>
      <c r="G1026" s="955"/>
    </row>
    <row r="1027" spans="1:11" s="2" customFormat="1" ht="84.75" customHeight="1">
      <c r="A1027" s="971"/>
      <c r="B1027" s="957"/>
      <c r="C1027" s="954"/>
      <c r="D1027" s="954"/>
      <c r="E1027" s="954"/>
      <c r="F1027" s="954"/>
      <c r="G1027" s="955"/>
    </row>
    <row r="1028" spans="1:11" s="2" customFormat="1" ht="17.399999999999999">
      <c r="A1028" s="971"/>
      <c r="B1028" s="957"/>
      <c r="C1028" s="956"/>
      <c r="D1028" s="957"/>
      <c r="E1028" s="957"/>
      <c r="F1028" s="957"/>
      <c r="G1028" s="958"/>
    </row>
    <row r="1029" spans="1:11" s="2" customFormat="1" ht="15.75" customHeight="1">
      <c r="A1029" s="971"/>
      <c r="B1029" s="957"/>
      <c r="C1029" s="959" t="s">
        <v>2</v>
      </c>
      <c r="D1029" s="957"/>
      <c r="E1029" s="957"/>
      <c r="F1029" s="23" t="s">
        <v>3</v>
      </c>
      <c r="G1029" s="24" t="s">
        <v>4</v>
      </c>
    </row>
    <row r="1030" spans="1:11" s="35" customFormat="1" ht="79.5" customHeight="1">
      <c r="A1030" s="1073" t="s">
        <v>552</v>
      </c>
      <c r="B1030" s="944"/>
      <c r="C1030" s="980" t="s">
        <v>553</v>
      </c>
      <c r="D1030" s="944"/>
      <c r="E1030" s="944"/>
      <c r="F1030" s="51" t="s">
        <v>37</v>
      </c>
      <c r="G1030" s="52">
        <v>1.8</v>
      </c>
      <c r="H1030" s="2"/>
      <c r="I1030" s="2"/>
      <c r="J1030" s="2"/>
      <c r="K1030" s="2"/>
    </row>
    <row r="1031" spans="1:11" s="2" customFormat="1" ht="15.75" customHeight="1">
      <c r="A1031" s="1071" t="s">
        <v>5</v>
      </c>
      <c r="B1031" s="944"/>
      <c r="C1031" s="944"/>
      <c r="D1031" s="944"/>
      <c r="E1031" s="944"/>
      <c r="F1031" s="944"/>
      <c r="G1031" s="1072"/>
    </row>
    <row r="1032" spans="1:11" s="2" customFormat="1" ht="15.75" customHeight="1">
      <c r="A1032" s="1074" t="s">
        <v>2</v>
      </c>
      <c r="B1032" s="1092"/>
      <c r="C1032" s="53" t="s">
        <v>3</v>
      </c>
      <c r="D1032" s="53" t="s">
        <v>4</v>
      </c>
      <c r="E1032" s="53" t="s">
        <v>6</v>
      </c>
      <c r="F1032" s="53" t="s">
        <v>7</v>
      </c>
      <c r="G1032" s="61" t="s">
        <v>8</v>
      </c>
    </row>
    <row r="1033" spans="1:11" s="2" customFormat="1" ht="15.75" customHeight="1">
      <c r="A1033" s="1015" t="s">
        <v>9</v>
      </c>
      <c r="B1033" s="1016"/>
      <c r="C1033" s="51" t="s">
        <v>3</v>
      </c>
      <c r="D1033" s="51">
        <v>0.05</v>
      </c>
      <c r="E1033" s="133">
        <f>G1044</f>
        <v>27341</v>
      </c>
      <c r="F1033" s="55">
        <f>E1033*D1033</f>
        <v>1367.0500000000002</v>
      </c>
      <c r="G1033" s="57">
        <f>SUM(F1032:F1033)</f>
        <v>1367.0500000000002</v>
      </c>
    </row>
    <row r="1034" spans="1:11" s="2" customFormat="1" ht="15.75" customHeight="1">
      <c r="A1034" s="1071" t="s">
        <v>10</v>
      </c>
      <c r="B1034" s="1093"/>
      <c r="C1034" s="1093"/>
      <c r="D1034" s="1093"/>
      <c r="E1034" s="1093"/>
      <c r="F1034" s="1093"/>
      <c r="G1034" s="1094"/>
    </row>
    <row r="1035" spans="1:11" s="2" customFormat="1" ht="15.75" customHeight="1">
      <c r="A1035" s="1074" t="s">
        <v>2</v>
      </c>
      <c r="B1035" s="1092"/>
      <c r="C1035" s="53" t="s">
        <v>3</v>
      </c>
      <c r="D1035" s="53" t="s">
        <v>4</v>
      </c>
      <c r="E1035" s="53" t="s">
        <v>6</v>
      </c>
      <c r="F1035" s="53" t="s">
        <v>11</v>
      </c>
      <c r="G1035" s="1075" t="s">
        <v>8</v>
      </c>
    </row>
    <row r="1036" spans="1:11" s="2" customFormat="1" ht="64.5" customHeight="1">
      <c r="A1036" s="947" t="s">
        <v>1610</v>
      </c>
      <c r="B1036" s="980"/>
      <c r="C1036" s="16" t="s">
        <v>3</v>
      </c>
      <c r="D1036" s="16">
        <v>1</v>
      </c>
      <c r="E1036" s="17">
        <f>'INSUMOS '!E302</f>
        <v>178500</v>
      </c>
      <c r="F1036" s="55">
        <f>D1036*E1036</f>
        <v>178500</v>
      </c>
      <c r="G1036" s="1075"/>
    </row>
    <row r="1037" spans="1:11" s="2" customFormat="1" ht="15.75" customHeight="1">
      <c r="A1037" s="947"/>
      <c r="B1037" s="980"/>
      <c r="C1037" s="16"/>
      <c r="D1037" s="58"/>
      <c r="E1037" s="17"/>
      <c r="F1037" s="55"/>
      <c r="G1037" s="57">
        <f>SUM(F1035:F1037)</f>
        <v>178500</v>
      </c>
    </row>
    <row r="1038" spans="1:11" s="2" customFormat="1" ht="15.75" customHeight="1">
      <c r="A1038" s="1071" t="s">
        <v>15</v>
      </c>
      <c r="B1038" s="1093"/>
      <c r="C1038" s="1093"/>
      <c r="D1038" s="1093"/>
      <c r="E1038" s="1093"/>
      <c r="F1038" s="1093"/>
      <c r="G1038" s="1094"/>
    </row>
    <row r="1039" spans="1:11" s="2" customFormat="1" ht="15.75" customHeight="1">
      <c r="A1039" s="1074" t="s">
        <v>2</v>
      </c>
      <c r="B1039" s="1092"/>
      <c r="C1039" s="53" t="s">
        <v>3</v>
      </c>
      <c r="D1039" s="53" t="s">
        <v>4</v>
      </c>
      <c r="E1039" s="53" t="s">
        <v>6</v>
      </c>
      <c r="F1039" s="53" t="s">
        <v>11</v>
      </c>
      <c r="G1039" s="1075" t="s">
        <v>8</v>
      </c>
    </row>
    <row r="1040" spans="1:11" s="2" customFormat="1" ht="15.75" customHeight="1">
      <c r="A1040" s="943" t="s">
        <v>173</v>
      </c>
      <c r="B1040" s="1078"/>
      <c r="C1040" s="16" t="s">
        <v>3</v>
      </c>
      <c r="D1040" s="54">
        <v>3.5000000000000003E-2</v>
      </c>
      <c r="E1040" s="17">
        <f>G1037</f>
        <v>178500</v>
      </c>
      <c r="F1040" s="55">
        <f>E1040*D1040</f>
        <v>6247.5000000000009</v>
      </c>
      <c r="G1040" s="1075"/>
    </row>
    <row r="1041" spans="1:11" s="2" customFormat="1" ht="15.75" customHeight="1">
      <c r="A1041" s="59"/>
      <c r="B1041" s="60"/>
      <c r="C1041" s="60"/>
      <c r="D1041" s="60"/>
      <c r="E1041" s="60"/>
      <c r="F1041" s="60"/>
      <c r="G1041" s="57">
        <f>SUM(F1040:F1041)</f>
        <v>6247.5000000000009</v>
      </c>
    </row>
    <row r="1042" spans="1:11" s="2" customFormat="1" ht="15.75" customHeight="1">
      <c r="A1042" s="1071" t="s">
        <v>19</v>
      </c>
      <c r="B1042" s="1093"/>
      <c r="C1042" s="1093"/>
      <c r="D1042" s="1093"/>
      <c r="E1042" s="1093"/>
      <c r="F1042" s="1093"/>
      <c r="G1042" s="1094"/>
    </row>
    <row r="1043" spans="1:11" s="2" customFormat="1" ht="15.75" customHeight="1">
      <c r="A1043" s="1074" t="s">
        <v>2</v>
      </c>
      <c r="B1043" s="1092"/>
      <c r="C1043" s="53" t="s">
        <v>3</v>
      </c>
      <c r="D1043" s="53" t="s">
        <v>4</v>
      </c>
      <c r="E1043" s="53" t="s">
        <v>6</v>
      </c>
      <c r="F1043" s="53" t="s">
        <v>11</v>
      </c>
      <c r="G1043" s="456" t="s">
        <v>8</v>
      </c>
    </row>
    <row r="1044" spans="1:11" s="2" customFormat="1" ht="15.75" customHeight="1">
      <c r="A1044" s="978" t="str">
        <f>SALARIOS!$A$69</f>
        <v>CUADRILLA BB INSTALACIONES 1:1</v>
      </c>
      <c r="B1044" s="979"/>
      <c r="C1044" s="13" t="s">
        <v>1245</v>
      </c>
      <c r="D1044" s="32">
        <v>1</v>
      </c>
      <c r="E1044" s="13">
        <f>SALARIOS!$C$69</f>
        <v>27341</v>
      </c>
      <c r="F1044" s="55">
        <f>+D1044*E1044</f>
        <v>27341</v>
      </c>
      <c r="G1044" s="57">
        <f>SUM(F1043:F1044)</f>
        <v>27341</v>
      </c>
    </row>
    <row r="1045" spans="1:11" s="2" customFormat="1" ht="15.75" customHeight="1">
      <c r="A1045" s="1076" t="s">
        <v>25</v>
      </c>
      <c r="B1045" s="1095"/>
      <c r="C1045" s="1095"/>
      <c r="D1045" s="1095"/>
      <c r="E1045" s="1095"/>
      <c r="F1045" s="1095"/>
      <c r="G1045" s="1096"/>
    </row>
    <row r="1046" spans="1:11" s="2" customFormat="1" ht="15.75" customHeight="1">
      <c r="A1046" s="1077"/>
      <c r="B1046" s="1097"/>
      <c r="C1046" s="1097"/>
      <c r="D1046" s="1097"/>
      <c r="E1046" s="1097"/>
      <c r="F1046" s="1097"/>
      <c r="G1046" s="62">
        <f>G1044+G1041+G1037+G1033</f>
        <v>213455.55</v>
      </c>
    </row>
    <row r="1047" spans="1:11" s="2" customFormat="1" ht="15.75" customHeight="1">
      <c r="A1047" s="63"/>
      <c r="B1047" s="42"/>
      <c r="C1047" s="42"/>
      <c r="D1047" s="42"/>
      <c r="E1047" s="42"/>
      <c r="F1047" s="42"/>
      <c r="G1047" s="64"/>
    </row>
    <row r="1048" spans="1:11" s="2" customFormat="1" ht="15.75" customHeight="1">
      <c r="A1048" s="970" t="s">
        <v>1</v>
      </c>
      <c r="B1048" s="957"/>
      <c r="C1048" s="953" t="s">
        <v>0</v>
      </c>
      <c r="D1048" s="954"/>
      <c r="E1048" s="954"/>
      <c r="F1048" s="954"/>
      <c r="G1048" s="955"/>
    </row>
    <row r="1049" spans="1:11" s="2" customFormat="1" ht="62.25" customHeight="1">
      <c r="A1049" s="971"/>
      <c r="B1049" s="957"/>
      <c r="C1049" s="954"/>
      <c r="D1049" s="954"/>
      <c r="E1049" s="954"/>
      <c r="F1049" s="954"/>
      <c r="G1049" s="955"/>
    </row>
    <row r="1050" spans="1:11" s="2" customFormat="1" ht="17.399999999999999">
      <c r="A1050" s="971"/>
      <c r="B1050" s="957"/>
      <c r="C1050" s="956"/>
      <c r="D1050" s="957"/>
      <c r="E1050" s="957"/>
      <c r="F1050" s="957"/>
      <c r="G1050" s="958"/>
    </row>
    <row r="1051" spans="1:11" s="2" customFormat="1" ht="15.75" customHeight="1">
      <c r="A1051" s="971"/>
      <c r="B1051" s="957"/>
      <c r="C1051" s="959" t="s">
        <v>2</v>
      </c>
      <c r="D1051" s="957"/>
      <c r="E1051" s="957"/>
      <c r="F1051" s="23" t="s">
        <v>3</v>
      </c>
      <c r="G1051" s="24" t="s">
        <v>4</v>
      </c>
    </row>
    <row r="1052" spans="1:11" s="35" customFormat="1" ht="85.5" customHeight="1">
      <c r="A1052" s="1073" t="s">
        <v>554</v>
      </c>
      <c r="B1052" s="944"/>
      <c r="C1052" s="980" t="s">
        <v>555</v>
      </c>
      <c r="D1052" s="944"/>
      <c r="E1052" s="944"/>
      <c r="F1052" s="51" t="s">
        <v>37</v>
      </c>
      <c r="G1052" s="52">
        <v>1.26</v>
      </c>
      <c r="H1052" s="2"/>
      <c r="I1052" s="2"/>
      <c r="J1052" s="2"/>
      <c r="K1052" s="2"/>
    </row>
    <row r="1053" spans="1:11" s="2" customFormat="1" ht="13.8">
      <c r="A1053" s="1071" t="s">
        <v>5</v>
      </c>
      <c r="B1053" s="944"/>
      <c r="C1053" s="944"/>
      <c r="D1053" s="944"/>
      <c r="E1053" s="944"/>
      <c r="F1053" s="944"/>
      <c r="G1053" s="1072"/>
    </row>
    <row r="1054" spans="1:11" s="2" customFormat="1" ht="15.75" customHeight="1">
      <c r="A1054" s="1074" t="s">
        <v>2</v>
      </c>
      <c r="B1054" s="1092"/>
      <c r="C1054" s="53" t="s">
        <v>3</v>
      </c>
      <c r="D1054" s="53" t="s">
        <v>4</v>
      </c>
      <c r="E1054" s="53" t="s">
        <v>6</v>
      </c>
      <c r="F1054" s="53" t="s">
        <v>7</v>
      </c>
      <c r="G1054" s="61" t="s">
        <v>8</v>
      </c>
    </row>
    <row r="1055" spans="1:11" s="2" customFormat="1" ht="15.75" customHeight="1">
      <c r="A1055" s="1015" t="s">
        <v>9</v>
      </c>
      <c r="B1055" s="1016"/>
      <c r="C1055" s="51" t="s">
        <v>3</v>
      </c>
      <c r="D1055" s="51">
        <v>0.05</v>
      </c>
      <c r="E1055" s="133">
        <f>G1066</f>
        <v>27341</v>
      </c>
      <c r="F1055" s="55">
        <f>E1055*D1055</f>
        <v>1367.0500000000002</v>
      </c>
      <c r="G1055" s="57">
        <f>SUM(F1054:F1055)</f>
        <v>1367.0500000000002</v>
      </c>
    </row>
    <row r="1056" spans="1:11" s="2" customFormat="1" ht="15.75" customHeight="1">
      <c r="A1056" s="1071" t="s">
        <v>10</v>
      </c>
      <c r="B1056" s="1093"/>
      <c r="C1056" s="1093"/>
      <c r="D1056" s="1093"/>
      <c r="E1056" s="1093"/>
      <c r="F1056" s="1093"/>
      <c r="G1056" s="1094"/>
    </row>
    <row r="1057" spans="1:7" s="2" customFormat="1" ht="15.75" customHeight="1">
      <c r="A1057" s="1074" t="s">
        <v>2</v>
      </c>
      <c r="B1057" s="1092"/>
      <c r="C1057" s="53" t="s">
        <v>3</v>
      </c>
      <c r="D1057" s="53" t="s">
        <v>4</v>
      </c>
      <c r="E1057" s="53" t="s">
        <v>6</v>
      </c>
      <c r="F1057" s="53" t="s">
        <v>11</v>
      </c>
      <c r="G1057" s="1075" t="s">
        <v>8</v>
      </c>
    </row>
    <row r="1058" spans="1:7" s="2" customFormat="1" ht="69.75" customHeight="1">
      <c r="A1058" s="947" t="s">
        <v>1611</v>
      </c>
      <c r="B1058" s="980"/>
      <c r="C1058" s="16" t="s">
        <v>3</v>
      </c>
      <c r="D1058" s="16">
        <v>1</v>
      </c>
      <c r="E1058" s="17">
        <f>'INSUMOS '!E304</f>
        <v>595000</v>
      </c>
      <c r="F1058" s="55">
        <f>D1058*E1058</f>
        <v>595000</v>
      </c>
      <c r="G1058" s="1075"/>
    </row>
    <row r="1059" spans="1:7" s="2" customFormat="1" ht="15.75" customHeight="1">
      <c r="A1059" s="947"/>
      <c r="B1059" s="980"/>
      <c r="C1059" s="16"/>
      <c r="D1059" s="58"/>
      <c r="E1059" s="17"/>
      <c r="F1059" s="55"/>
      <c r="G1059" s="57">
        <f>SUM(F1057:F1059)</f>
        <v>595000</v>
      </c>
    </row>
    <row r="1060" spans="1:7" s="2" customFormat="1" ht="15.75" customHeight="1">
      <c r="A1060" s="1071" t="s">
        <v>15</v>
      </c>
      <c r="B1060" s="1093"/>
      <c r="C1060" s="1093"/>
      <c r="D1060" s="1093"/>
      <c r="E1060" s="1093"/>
      <c r="F1060" s="1093"/>
      <c r="G1060" s="1094"/>
    </row>
    <row r="1061" spans="1:7" s="2" customFormat="1" ht="15.75" customHeight="1">
      <c r="A1061" s="1074" t="s">
        <v>2</v>
      </c>
      <c r="B1061" s="1092"/>
      <c r="C1061" s="53" t="s">
        <v>3</v>
      </c>
      <c r="D1061" s="53" t="s">
        <v>4</v>
      </c>
      <c r="E1061" s="53" t="s">
        <v>6</v>
      </c>
      <c r="F1061" s="53" t="s">
        <v>11</v>
      </c>
      <c r="G1061" s="1075" t="s">
        <v>8</v>
      </c>
    </row>
    <row r="1062" spans="1:7" s="2" customFormat="1" ht="15.75" customHeight="1">
      <c r="A1062" s="943" t="s">
        <v>173</v>
      </c>
      <c r="B1062" s="1078"/>
      <c r="C1062" s="16" t="s">
        <v>3</v>
      </c>
      <c r="D1062" s="54">
        <v>3.5000000000000003E-2</v>
      </c>
      <c r="E1062" s="17">
        <f>G1059</f>
        <v>595000</v>
      </c>
      <c r="F1062" s="55">
        <f>E1062*D1062</f>
        <v>20825.000000000004</v>
      </c>
      <c r="G1062" s="1075"/>
    </row>
    <row r="1063" spans="1:7" s="2" customFormat="1" ht="15.75" customHeight="1">
      <c r="A1063" s="59"/>
      <c r="B1063" s="60"/>
      <c r="C1063" s="60"/>
      <c r="D1063" s="60"/>
      <c r="E1063" s="60"/>
      <c r="F1063" s="60"/>
      <c r="G1063" s="57">
        <f>SUM(F1062:F1063)</f>
        <v>20825.000000000004</v>
      </c>
    </row>
    <row r="1064" spans="1:7" s="2" customFormat="1" ht="13.8">
      <c r="A1064" s="1071" t="s">
        <v>19</v>
      </c>
      <c r="B1064" s="1093"/>
      <c r="C1064" s="1093"/>
      <c r="D1064" s="1093"/>
      <c r="E1064" s="1093"/>
      <c r="F1064" s="1093"/>
      <c r="G1064" s="1094"/>
    </row>
    <row r="1065" spans="1:7" s="2" customFormat="1" ht="15.75" customHeight="1">
      <c r="A1065" s="1074" t="s">
        <v>2</v>
      </c>
      <c r="B1065" s="1092"/>
      <c r="C1065" s="53" t="s">
        <v>3</v>
      </c>
      <c r="D1065" s="53" t="s">
        <v>4</v>
      </c>
      <c r="E1065" s="53" t="s">
        <v>6</v>
      </c>
      <c r="F1065" s="53" t="s">
        <v>11</v>
      </c>
      <c r="G1065" s="456" t="s">
        <v>8</v>
      </c>
    </row>
    <row r="1066" spans="1:7" s="2" customFormat="1" ht="15.75" customHeight="1">
      <c r="A1066" s="978" t="str">
        <f>SALARIOS!$A$69</f>
        <v>CUADRILLA BB INSTALACIONES 1:1</v>
      </c>
      <c r="B1066" s="979"/>
      <c r="C1066" s="13" t="s">
        <v>1245</v>
      </c>
      <c r="D1066" s="32">
        <v>1</v>
      </c>
      <c r="E1066" s="13">
        <f>SALARIOS!$C$69</f>
        <v>27341</v>
      </c>
      <c r="F1066" s="55">
        <f>+D1066*E1066</f>
        <v>27341</v>
      </c>
      <c r="G1066" s="57">
        <f>SUM(F1065:F1066)</f>
        <v>27341</v>
      </c>
    </row>
    <row r="1067" spans="1:7" s="2" customFormat="1" ht="15.75" customHeight="1">
      <c r="A1067" s="1076" t="s">
        <v>25</v>
      </c>
      <c r="B1067" s="1095"/>
      <c r="C1067" s="1095"/>
      <c r="D1067" s="1095"/>
      <c r="E1067" s="1095"/>
      <c r="F1067" s="1095"/>
      <c r="G1067" s="1096"/>
    </row>
    <row r="1068" spans="1:7" s="2" customFormat="1" ht="15.75" customHeight="1">
      <c r="A1068" s="1077"/>
      <c r="B1068" s="1097"/>
      <c r="C1068" s="1097"/>
      <c r="D1068" s="1097"/>
      <c r="E1068" s="1097"/>
      <c r="F1068" s="1097"/>
      <c r="G1068" s="62">
        <f>G1066+G1063+G1059+G1055</f>
        <v>644533.05000000005</v>
      </c>
    </row>
    <row r="1069" spans="1:7" s="2" customFormat="1" ht="18.75" customHeight="1">
      <c r="A1069" s="63"/>
      <c r="B1069" s="42"/>
      <c r="C1069" s="42"/>
      <c r="D1069" s="42"/>
      <c r="E1069" s="42"/>
      <c r="F1069" s="42"/>
      <c r="G1069" s="64"/>
    </row>
    <row r="1070" spans="1:7" s="2" customFormat="1" ht="15.75" customHeight="1">
      <c r="A1070" s="970" t="s">
        <v>1</v>
      </c>
      <c r="B1070" s="957"/>
      <c r="C1070" s="953" t="s">
        <v>0</v>
      </c>
      <c r="D1070" s="954"/>
      <c r="E1070" s="954"/>
      <c r="F1070" s="954"/>
      <c r="G1070" s="955"/>
    </row>
    <row r="1071" spans="1:7" s="2" customFormat="1" ht="51" customHeight="1">
      <c r="A1071" s="971"/>
      <c r="B1071" s="957"/>
      <c r="C1071" s="954"/>
      <c r="D1071" s="954"/>
      <c r="E1071" s="954"/>
      <c r="F1071" s="954"/>
      <c r="G1071" s="955"/>
    </row>
    <row r="1072" spans="1:7" s="2" customFormat="1" ht="17.399999999999999">
      <c r="A1072" s="971"/>
      <c r="B1072" s="957"/>
      <c r="C1072" s="956"/>
      <c r="D1072" s="957"/>
      <c r="E1072" s="957"/>
      <c r="F1072" s="957"/>
      <c r="G1072" s="958"/>
    </row>
    <row r="1073" spans="1:11" s="2" customFormat="1" ht="15.75" customHeight="1">
      <c r="A1073" s="971"/>
      <c r="B1073" s="957"/>
      <c r="C1073" s="959" t="s">
        <v>2</v>
      </c>
      <c r="D1073" s="957"/>
      <c r="E1073" s="957"/>
      <c r="F1073" s="23" t="s">
        <v>3</v>
      </c>
      <c r="G1073" s="24" t="s">
        <v>4</v>
      </c>
    </row>
    <row r="1074" spans="1:11" s="35" customFormat="1" ht="79.5" customHeight="1">
      <c r="A1074" s="1073" t="s">
        <v>556</v>
      </c>
      <c r="B1074" s="944"/>
      <c r="C1074" s="980" t="s">
        <v>557</v>
      </c>
      <c r="D1074" s="944"/>
      <c r="E1074" s="944"/>
      <c r="F1074" s="51" t="s">
        <v>37</v>
      </c>
      <c r="G1074" s="52">
        <v>0.66</v>
      </c>
      <c r="H1074" s="2"/>
      <c r="I1074" s="2"/>
      <c r="J1074" s="2"/>
      <c r="K1074" s="2"/>
    </row>
    <row r="1075" spans="1:11" s="2" customFormat="1" ht="15.75" customHeight="1">
      <c r="A1075" s="1071" t="s">
        <v>5</v>
      </c>
      <c r="B1075" s="944"/>
      <c r="C1075" s="944"/>
      <c r="D1075" s="944"/>
      <c r="E1075" s="944"/>
      <c r="F1075" s="944"/>
      <c r="G1075" s="1072"/>
    </row>
    <row r="1076" spans="1:11" s="2" customFormat="1" ht="15.75" customHeight="1">
      <c r="A1076" s="1074" t="s">
        <v>2</v>
      </c>
      <c r="B1076" s="1092"/>
      <c r="C1076" s="53" t="s">
        <v>3</v>
      </c>
      <c r="D1076" s="53" t="s">
        <v>4</v>
      </c>
      <c r="E1076" s="53" t="s">
        <v>6</v>
      </c>
      <c r="F1076" s="53" t="s">
        <v>7</v>
      </c>
      <c r="G1076" s="61" t="s">
        <v>8</v>
      </c>
    </row>
    <row r="1077" spans="1:11" s="2" customFormat="1" ht="15.75" customHeight="1">
      <c r="A1077" s="1015" t="s">
        <v>9</v>
      </c>
      <c r="B1077" s="1016"/>
      <c r="C1077" s="51" t="s">
        <v>3</v>
      </c>
      <c r="D1077" s="51">
        <v>0.05</v>
      </c>
      <c r="E1077" s="133">
        <f>G1088</f>
        <v>27341</v>
      </c>
      <c r="F1077" s="55">
        <f>E1077*D1077</f>
        <v>1367.0500000000002</v>
      </c>
      <c r="G1077" s="57">
        <f>SUM(F1076:F1077)</f>
        <v>1367.0500000000002</v>
      </c>
    </row>
    <row r="1078" spans="1:11" s="2" customFormat="1" ht="15.75" customHeight="1">
      <c r="A1078" s="1071" t="s">
        <v>10</v>
      </c>
      <c r="B1078" s="1093"/>
      <c r="C1078" s="1093"/>
      <c r="D1078" s="1093"/>
      <c r="E1078" s="1093"/>
      <c r="F1078" s="1093"/>
      <c r="G1078" s="1094"/>
    </row>
    <row r="1079" spans="1:11" s="2" customFormat="1" ht="15.75" customHeight="1">
      <c r="A1079" s="1074" t="s">
        <v>2</v>
      </c>
      <c r="B1079" s="1092"/>
      <c r="C1079" s="53" t="s">
        <v>3</v>
      </c>
      <c r="D1079" s="53" t="s">
        <v>4</v>
      </c>
      <c r="E1079" s="53" t="s">
        <v>6</v>
      </c>
      <c r="F1079" s="53" t="s">
        <v>11</v>
      </c>
      <c r="G1079" s="1075" t="s">
        <v>8</v>
      </c>
    </row>
    <row r="1080" spans="1:11" s="2" customFormat="1" ht="68.25" customHeight="1">
      <c r="A1080" s="947" t="s">
        <v>1612</v>
      </c>
      <c r="B1080" s="980"/>
      <c r="C1080" s="16" t="s">
        <v>3</v>
      </c>
      <c r="D1080" s="16">
        <v>1</v>
      </c>
      <c r="E1080" s="17">
        <f>'INSUMOS '!E306</f>
        <v>631060.60606060608</v>
      </c>
      <c r="F1080" s="55">
        <f>D1080*E1080</f>
        <v>631060.60606060608</v>
      </c>
      <c r="G1080" s="1075"/>
    </row>
    <row r="1081" spans="1:11" s="2" customFormat="1" ht="13.8">
      <c r="A1081" s="947"/>
      <c r="B1081" s="980"/>
      <c r="C1081" s="16"/>
      <c r="D1081" s="58"/>
      <c r="E1081" s="17"/>
      <c r="F1081" s="55"/>
      <c r="G1081" s="57">
        <f>SUM(F1079:F1081)</f>
        <v>631060.60606060608</v>
      </c>
    </row>
    <row r="1082" spans="1:11" s="2" customFormat="1" ht="15.75" customHeight="1">
      <c r="A1082" s="1071" t="s">
        <v>15</v>
      </c>
      <c r="B1082" s="1093"/>
      <c r="C1082" s="1093"/>
      <c r="D1082" s="1093"/>
      <c r="E1082" s="1093"/>
      <c r="F1082" s="1093"/>
      <c r="G1082" s="1094"/>
    </row>
    <row r="1083" spans="1:11" s="2" customFormat="1" ht="15.75" customHeight="1">
      <c r="A1083" s="1074" t="s">
        <v>2</v>
      </c>
      <c r="B1083" s="1092"/>
      <c r="C1083" s="53" t="s">
        <v>3</v>
      </c>
      <c r="D1083" s="53" t="s">
        <v>4</v>
      </c>
      <c r="E1083" s="53" t="s">
        <v>6</v>
      </c>
      <c r="F1083" s="53" t="s">
        <v>11</v>
      </c>
      <c r="G1083" s="1075" t="s">
        <v>8</v>
      </c>
    </row>
    <row r="1084" spans="1:11" s="2" customFormat="1" ht="13.8">
      <c r="A1084" s="943" t="s">
        <v>173</v>
      </c>
      <c r="B1084" s="1078"/>
      <c r="C1084" s="16" t="s">
        <v>3</v>
      </c>
      <c r="D1084" s="54">
        <v>3.5000000000000003E-2</v>
      </c>
      <c r="E1084" s="17">
        <f>G1081</f>
        <v>631060.60606060608</v>
      </c>
      <c r="F1084" s="55">
        <f>E1084*D1084</f>
        <v>22087.121212121216</v>
      </c>
      <c r="G1084" s="1075"/>
    </row>
    <row r="1085" spans="1:11" s="2" customFormat="1" ht="15.75" customHeight="1">
      <c r="A1085" s="59"/>
      <c r="B1085" s="60"/>
      <c r="C1085" s="60"/>
      <c r="D1085" s="60"/>
      <c r="E1085" s="60"/>
      <c r="F1085" s="60"/>
      <c r="G1085" s="57">
        <f>SUM(F1084:F1085)</f>
        <v>22087.121212121216</v>
      </c>
    </row>
    <row r="1086" spans="1:11" s="2" customFormat="1" ht="15.75" customHeight="1">
      <c r="A1086" s="1071" t="s">
        <v>19</v>
      </c>
      <c r="B1086" s="1093"/>
      <c r="C1086" s="1093"/>
      <c r="D1086" s="1093"/>
      <c r="E1086" s="1093"/>
      <c r="F1086" s="1093"/>
      <c r="G1086" s="1094"/>
    </row>
    <row r="1087" spans="1:11" s="2" customFormat="1" ht="15.75" customHeight="1">
      <c r="A1087" s="1074" t="s">
        <v>2</v>
      </c>
      <c r="B1087" s="1092"/>
      <c r="C1087" s="53" t="s">
        <v>3</v>
      </c>
      <c r="D1087" s="53" t="s">
        <v>4</v>
      </c>
      <c r="E1087" s="53" t="s">
        <v>6</v>
      </c>
      <c r="F1087" s="53" t="s">
        <v>11</v>
      </c>
      <c r="G1087" s="456" t="s">
        <v>8</v>
      </c>
    </row>
    <row r="1088" spans="1:11" s="2" customFormat="1" ht="15.75" customHeight="1">
      <c r="A1088" s="978" t="str">
        <f>SALARIOS!$A$69</f>
        <v>CUADRILLA BB INSTALACIONES 1:1</v>
      </c>
      <c r="B1088" s="979"/>
      <c r="C1088" s="13" t="s">
        <v>1245</v>
      </c>
      <c r="D1088" s="32">
        <v>1</v>
      </c>
      <c r="E1088" s="13">
        <f>SALARIOS!$C$69</f>
        <v>27341</v>
      </c>
      <c r="F1088" s="55">
        <f>+D1088*E1088</f>
        <v>27341</v>
      </c>
      <c r="G1088" s="57">
        <f>SUM(F1087:F1088)</f>
        <v>27341</v>
      </c>
    </row>
    <row r="1089" spans="1:11" s="2" customFormat="1" ht="15.75" customHeight="1">
      <c r="A1089" s="1076" t="s">
        <v>25</v>
      </c>
      <c r="B1089" s="1095"/>
      <c r="C1089" s="1095"/>
      <c r="D1089" s="1095"/>
      <c r="E1089" s="1095"/>
      <c r="F1089" s="1095"/>
      <c r="G1089" s="1096"/>
    </row>
    <row r="1090" spans="1:11" s="2" customFormat="1" ht="15.75" customHeight="1">
      <c r="A1090" s="1077"/>
      <c r="B1090" s="1097"/>
      <c r="C1090" s="1097"/>
      <c r="D1090" s="1097"/>
      <c r="E1090" s="1097"/>
      <c r="F1090" s="1097"/>
      <c r="G1090" s="62">
        <f>G1088+G1085+G1081+G1077</f>
        <v>681855.77727272734</v>
      </c>
    </row>
    <row r="1091" spans="1:11" s="2" customFormat="1" ht="15.75" customHeight="1">
      <c r="A1091" s="63"/>
      <c r="B1091" s="42"/>
      <c r="C1091" s="42"/>
      <c r="D1091" s="42"/>
      <c r="E1091" s="42"/>
      <c r="F1091" s="42"/>
      <c r="G1091" s="64"/>
    </row>
    <row r="1092" spans="1:11" s="2" customFormat="1" ht="99" customHeight="1">
      <c r="A1092" s="970" t="s">
        <v>1</v>
      </c>
      <c r="B1092" s="957"/>
      <c r="C1092" s="953" t="s">
        <v>0</v>
      </c>
      <c r="D1092" s="954"/>
      <c r="E1092" s="954"/>
      <c r="F1092" s="954"/>
      <c r="G1092" s="955"/>
    </row>
    <row r="1093" spans="1:11" s="2" customFormat="1" ht="15.75" customHeight="1">
      <c r="A1093" s="971"/>
      <c r="B1093" s="957"/>
      <c r="C1093" s="954"/>
      <c r="D1093" s="954"/>
      <c r="E1093" s="954"/>
      <c r="F1093" s="954"/>
      <c r="G1093" s="955"/>
    </row>
    <row r="1094" spans="1:11" s="2" customFormat="1" ht="15.75" customHeight="1">
      <c r="A1094" s="971"/>
      <c r="B1094" s="957"/>
      <c r="C1094" s="956"/>
      <c r="D1094" s="957"/>
      <c r="E1094" s="957"/>
      <c r="F1094" s="957"/>
      <c r="G1094" s="958"/>
    </row>
    <row r="1095" spans="1:11" s="2" customFormat="1" ht="15.75" customHeight="1">
      <c r="A1095" s="971"/>
      <c r="B1095" s="957"/>
      <c r="C1095" s="959" t="s">
        <v>2</v>
      </c>
      <c r="D1095" s="957"/>
      <c r="E1095" s="957"/>
      <c r="F1095" s="23" t="s">
        <v>3</v>
      </c>
      <c r="G1095" s="24" t="s">
        <v>4</v>
      </c>
    </row>
    <row r="1096" spans="1:11" s="35" customFormat="1" ht="113.25" customHeight="1">
      <c r="A1096" s="1073" t="s">
        <v>558</v>
      </c>
      <c r="B1096" s="944"/>
      <c r="C1096" s="980" t="s">
        <v>559</v>
      </c>
      <c r="D1096" s="944"/>
      <c r="E1096" s="944"/>
      <c r="F1096" s="51" t="s">
        <v>37</v>
      </c>
      <c r="G1096" s="52">
        <v>9.2249999999999996</v>
      </c>
      <c r="H1096" s="2"/>
      <c r="I1096" s="2"/>
      <c r="J1096" s="2"/>
      <c r="K1096" s="2"/>
    </row>
    <row r="1097" spans="1:11" s="2" customFormat="1" ht="15.75" customHeight="1">
      <c r="A1097" s="1071" t="s">
        <v>5</v>
      </c>
      <c r="B1097" s="944"/>
      <c r="C1097" s="944"/>
      <c r="D1097" s="944"/>
      <c r="E1097" s="944"/>
      <c r="F1097" s="944"/>
      <c r="G1097" s="1072"/>
    </row>
    <row r="1098" spans="1:11" s="2" customFormat="1" ht="15.75" customHeight="1">
      <c r="A1098" s="1074" t="s">
        <v>2</v>
      </c>
      <c r="B1098" s="1092"/>
      <c r="C1098" s="53" t="s">
        <v>3</v>
      </c>
      <c r="D1098" s="53" t="s">
        <v>4</v>
      </c>
      <c r="E1098" s="53" t="s">
        <v>6</v>
      </c>
      <c r="F1098" s="53" t="s">
        <v>7</v>
      </c>
      <c r="G1098" s="61" t="s">
        <v>8</v>
      </c>
    </row>
    <row r="1099" spans="1:11" s="2" customFormat="1" ht="15.75" customHeight="1">
      <c r="A1099" s="1015" t="s">
        <v>9</v>
      </c>
      <c r="B1099" s="1016"/>
      <c r="C1099" s="51" t="s">
        <v>3</v>
      </c>
      <c r="D1099" s="51">
        <v>0.05</v>
      </c>
      <c r="E1099" s="133">
        <f>G1110</f>
        <v>41011.5</v>
      </c>
      <c r="F1099" s="55">
        <f>E1099*D1099</f>
        <v>2050.5750000000003</v>
      </c>
      <c r="G1099" s="57">
        <f>SUM(F1098:F1099)</f>
        <v>2050.5750000000003</v>
      </c>
    </row>
    <row r="1100" spans="1:11" s="2" customFormat="1" ht="15.75" customHeight="1">
      <c r="A1100" s="1071" t="s">
        <v>10</v>
      </c>
      <c r="B1100" s="1093"/>
      <c r="C1100" s="1093"/>
      <c r="D1100" s="1093"/>
      <c r="E1100" s="1093"/>
      <c r="F1100" s="1093"/>
      <c r="G1100" s="1094"/>
    </row>
    <row r="1101" spans="1:11" s="2" customFormat="1" ht="15.75" customHeight="1">
      <c r="A1101" s="1074" t="s">
        <v>2</v>
      </c>
      <c r="B1101" s="1092"/>
      <c r="C1101" s="53" t="s">
        <v>3</v>
      </c>
      <c r="D1101" s="53" t="s">
        <v>4</v>
      </c>
      <c r="E1101" s="53" t="s">
        <v>6</v>
      </c>
      <c r="F1101" s="53" t="s">
        <v>11</v>
      </c>
      <c r="G1101" s="1075" t="s">
        <v>8</v>
      </c>
    </row>
    <row r="1102" spans="1:11" s="2" customFormat="1" ht="75.75" customHeight="1">
      <c r="A1102" s="947" t="s">
        <v>1613</v>
      </c>
      <c r="B1102" s="980"/>
      <c r="C1102" s="16" t="s">
        <v>3</v>
      </c>
      <c r="D1102" s="16">
        <v>1</v>
      </c>
      <c r="E1102" s="17">
        <f>'INSUMOS '!E308</f>
        <v>241224.9322493225</v>
      </c>
      <c r="F1102" s="55">
        <f>D1102*E1102</f>
        <v>241224.9322493225</v>
      </c>
      <c r="G1102" s="1075"/>
    </row>
    <row r="1103" spans="1:11" s="2" customFormat="1" ht="15.75" customHeight="1">
      <c r="A1103" s="947"/>
      <c r="B1103" s="980"/>
      <c r="C1103" s="16"/>
      <c r="D1103" s="58"/>
      <c r="E1103" s="17"/>
      <c r="F1103" s="55"/>
      <c r="G1103" s="57">
        <f>SUM(F1101:F1103)</f>
        <v>241224.9322493225</v>
      </c>
    </row>
    <row r="1104" spans="1:11" s="2" customFormat="1" ht="15.75" customHeight="1">
      <c r="A1104" s="1071" t="s">
        <v>15</v>
      </c>
      <c r="B1104" s="1093"/>
      <c r="C1104" s="1093"/>
      <c r="D1104" s="1093"/>
      <c r="E1104" s="1093"/>
      <c r="F1104" s="1093"/>
      <c r="G1104" s="1094"/>
    </row>
    <row r="1105" spans="1:11" s="2" customFormat="1" ht="15.75" customHeight="1">
      <c r="A1105" s="1074" t="s">
        <v>2</v>
      </c>
      <c r="B1105" s="1092"/>
      <c r="C1105" s="53" t="s">
        <v>3</v>
      </c>
      <c r="D1105" s="53" t="s">
        <v>4</v>
      </c>
      <c r="E1105" s="53" t="s">
        <v>6</v>
      </c>
      <c r="F1105" s="53" t="s">
        <v>11</v>
      </c>
      <c r="G1105" s="1075" t="s">
        <v>8</v>
      </c>
    </row>
    <row r="1106" spans="1:11" s="2" customFormat="1" ht="15.75" customHeight="1">
      <c r="A1106" s="943" t="s">
        <v>173</v>
      </c>
      <c r="B1106" s="1078"/>
      <c r="C1106" s="16" t="s">
        <v>3</v>
      </c>
      <c r="D1106" s="54">
        <v>3.5000000000000003E-2</v>
      </c>
      <c r="E1106" s="17">
        <f>G1103</f>
        <v>241224.9322493225</v>
      </c>
      <c r="F1106" s="55">
        <f>E1106*D1106</f>
        <v>8442.8726287262889</v>
      </c>
      <c r="G1106" s="1075"/>
    </row>
    <row r="1107" spans="1:11" s="2" customFormat="1" ht="15.75" customHeight="1">
      <c r="A1107" s="59"/>
      <c r="B1107" s="60"/>
      <c r="C1107" s="60"/>
      <c r="D1107" s="60"/>
      <c r="E1107" s="60"/>
      <c r="F1107" s="60"/>
      <c r="G1107" s="57">
        <f>SUM(F1106:F1107)</f>
        <v>8442.8726287262889</v>
      </c>
    </row>
    <row r="1108" spans="1:11" s="2" customFormat="1" ht="15.75" customHeight="1">
      <c r="A1108" s="1071" t="s">
        <v>19</v>
      </c>
      <c r="B1108" s="1093"/>
      <c r="C1108" s="1093"/>
      <c r="D1108" s="1093"/>
      <c r="E1108" s="1093"/>
      <c r="F1108" s="1093"/>
      <c r="G1108" s="1094"/>
    </row>
    <row r="1109" spans="1:11" s="2" customFormat="1" ht="15.75" customHeight="1">
      <c r="A1109" s="1074" t="s">
        <v>2</v>
      </c>
      <c r="B1109" s="1092"/>
      <c r="C1109" s="53" t="s">
        <v>3</v>
      </c>
      <c r="D1109" s="53" t="s">
        <v>4</v>
      </c>
      <c r="E1109" s="53" t="s">
        <v>6</v>
      </c>
      <c r="F1109" s="53" t="s">
        <v>11</v>
      </c>
      <c r="G1109" s="456" t="s">
        <v>8</v>
      </c>
    </row>
    <row r="1110" spans="1:11" s="2" customFormat="1" ht="15.75" customHeight="1">
      <c r="A1110" s="978" t="str">
        <f>SALARIOS!$A$69</f>
        <v>CUADRILLA BB INSTALACIONES 1:1</v>
      </c>
      <c r="B1110" s="979"/>
      <c r="C1110" s="13" t="s">
        <v>1245</v>
      </c>
      <c r="D1110" s="32">
        <v>1.5</v>
      </c>
      <c r="E1110" s="13">
        <f>SALARIOS!$C$69</f>
        <v>27341</v>
      </c>
      <c r="F1110" s="55">
        <f>+D1110*E1110</f>
        <v>41011.5</v>
      </c>
      <c r="G1110" s="57">
        <f>SUM(F1109:F1110)</f>
        <v>41011.5</v>
      </c>
    </row>
    <row r="1111" spans="1:11" s="2" customFormat="1" ht="15.75" customHeight="1">
      <c r="A1111" s="1076" t="s">
        <v>25</v>
      </c>
      <c r="B1111" s="1095"/>
      <c r="C1111" s="1095"/>
      <c r="D1111" s="1095"/>
      <c r="E1111" s="1095"/>
      <c r="F1111" s="1095"/>
      <c r="G1111" s="1096"/>
    </row>
    <row r="1112" spans="1:11" s="2" customFormat="1" ht="15.75" customHeight="1">
      <c r="A1112" s="1077"/>
      <c r="B1112" s="1097"/>
      <c r="C1112" s="1097"/>
      <c r="D1112" s="1097"/>
      <c r="E1112" s="1097"/>
      <c r="F1112" s="1097"/>
      <c r="G1112" s="62">
        <f>G1110+G1107+G1103+G1099</f>
        <v>292729.87987804879</v>
      </c>
    </row>
    <row r="1113" spans="1:11" s="2" customFormat="1" ht="15.75" customHeight="1">
      <c r="A1113" s="63"/>
      <c r="B1113" s="42"/>
      <c r="C1113" s="42"/>
      <c r="D1113" s="42"/>
      <c r="E1113" s="42"/>
      <c r="F1113" s="42"/>
      <c r="G1113" s="64"/>
    </row>
    <row r="1114" spans="1:11" s="2" customFormat="1" ht="15.75" customHeight="1">
      <c r="A1114" s="970" t="s">
        <v>1</v>
      </c>
      <c r="B1114" s="957"/>
      <c r="C1114" s="953" t="s">
        <v>0</v>
      </c>
      <c r="D1114" s="953"/>
      <c r="E1114" s="953"/>
      <c r="F1114" s="953"/>
      <c r="G1114" s="1103"/>
    </row>
    <row r="1115" spans="1:11" s="35" customFormat="1" ht="51" customHeight="1">
      <c r="A1115" s="971"/>
      <c r="B1115" s="957"/>
      <c r="C1115" s="953"/>
      <c r="D1115" s="953"/>
      <c r="E1115" s="953"/>
      <c r="F1115" s="953"/>
      <c r="G1115" s="1103"/>
      <c r="H1115" s="2"/>
      <c r="I1115" s="2"/>
      <c r="J1115" s="2"/>
      <c r="K1115" s="2"/>
    </row>
    <row r="1116" spans="1:11" s="2" customFormat="1" ht="15.75" customHeight="1">
      <c r="A1116" s="971"/>
      <c r="B1116" s="957"/>
      <c r="C1116" s="956"/>
      <c r="D1116" s="957"/>
      <c r="E1116" s="957"/>
      <c r="F1116" s="957"/>
      <c r="G1116" s="958"/>
    </row>
    <row r="1117" spans="1:11" s="2" customFormat="1" ht="15.75" customHeight="1">
      <c r="A1117" s="971"/>
      <c r="B1117" s="957"/>
      <c r="C1117" s="959" t="s">
        <v>2</v>
      </c>
      <c r="D1117" s="957"/>
      <c r="E1117" s="957"/>
      <c r="F1117" s="23" t="s">
        <v>3</v>
      </c>
      <c r="G1117" s="24" t="s">
        <v>4</v>
      </c>
    </row>
    <row r="1118" spans="1:11" s="2" customFormat="1" ht="115.5" customHeight="1">
      <c r="A1118" s="1089" t="s">
        <v>560</v>
      </c>
      <c r="B1118" s="944"/>
      <c r="C1118" s="980" t="s">
        <v>561</v>
      </c>
      <c r="D1118" s="944"/>
      <c r="E1118" s="944"/>
      <c r="F1118" s="51" t="s">
        <v>100</v>
      </c>
      <c r="G1118" s="52">
        <v>327.82</v>
      </c>
    </row>
    <row r="1119" spans="1:11" s="2" customFormat="1" ht="15.75" customHeight="1">
      <c r="A1119" s="1071" t="s">
        <v>5</v>
      </c>
      <c r="B1119" s="944"/>
      <c r="C1119" s="944"/>
      <c r="D1119" s="944"/>
      <c r="E1119" s="944"/>
      <c r="F1119" s="944"/>
      <c r="G1119" s="1072"/>
    </row>
    <row r="1120" spans="1:11" s="2" customFormat="1" ht="15.75" customHeight="1">
      <c r="A1120" s="1098" t="s">
        <v>2</v>
      </c>
      <c r="B1120" s="944"/>
      <c r="C1120" s="135" t="s">
        <v>3</v>
      </c>
      <c r="D1120" s="135" t="s">
        <v>4</v>
      </c>
      <c r="E1120" s="135" t="s">
        <v>6</v>
      </c>
      <c r="F1120" s="135" t="s">
        <v>7</v>
      </c>
      <c r="G1120" s="61" t="s">
        <v>8</v>
      </c>
    </row>
    <row r="1121" spans="1:7" s="2" customFormat="1" ht="15.75" customHeight="1">
      <c r="A1121" s="1015" t="s">
        <v>9</v>
      </c>
      <c r="B1121" s="1016"/>
      <c r="C1121" s="51" t="s">
        <v>3</v>
      </c>
      <c r="D1121" s="51">
        <v>0.05</v>
      </c>
      <c r="E1121" s="133">
        <f>G1132</f>
        <v>27341</v>
      </c>
      <c r="F1121" s="55">
        <f>E1121*D1121</f>
        <v>1367.0500000000002</v>
      </c>
      <c r="G1121" s="57">
        <f>SUM(F1120:F1121)</f>
        <v>1367.0500000000002</v>
      </c>
    </row>
    <row r="1122" spans="1:7" s="2" customFormat="1" ht="15.75" customHeight="1">
      <c r="A1122" s="1071" t="s">
        <v>10</v>
      </c>
      <c r="B1122" s="944"/>
      <c r="C1122" s="944"/>
      <c r="D1122" s="944"/>
      <c r="E1122" s="944"/>
      <c r="F1122" s="944"/>
      <c r="G1122" s="1072"/>
    </row>
    <row r="1123" spans="1:7" s="2" customFormat="1" ht="15.75" customHeight="1">
      <c r="A1123" s="1098" t="s">
        <v>2</v>
      </c>
      <c r="B1123" s="944"/>
      <c r="C1123" s="135" t="s">
        <v>3</v>
      </c>
      <c r="D1123" s="135" t="s">
        <v>4</v>
      </c>
      <c r="E1123" s="135" t="s">
        <v>6</v>
      </c>
      <c r="F1123" s="135" t="s">
        <v>11</v>
      </c>
      <c r="G1123" s="1075" t="s">
        <v>8</v>
      </c>
    </row>
    <row r="1124" spans="1:7" s="2" customFormat="1" ht="129" customHeight="1">
      <c r="A1124" s="947" t="s">
        <v>1614</v>
      </c>
      <c r="B1124" s="944"/>
      <c r="C1124" s="16" t="s">
        <v>100</v>
      </c>
      <c r="D1124" s="16">
        <v>1</v>
      </c>
      <c r="E1124" s="17">
        <f>'INSUMOS '!E197</f>
        <v>520100</v>
      </c>
      <c r="F1124" s="136">
        <f>D1124*E1124</f>
        <v>520100</v>
      </c>
      <c r="G1124" s="1099"/>
    </row>
    <row r="1125" spans="1:7" s="2" customFormat="1" ht="15.75" customHeight="1">
      <c r="A1125" s="947"/>
      <c r="B1125" s="944"/>
      <c r="C1125" s="138"/>
      <c r="D1125" s="139"/>
      <c r="E1125" s="140"/>
      <c r="F1125" s="136"/>
      <c r="G1125" s="137">
        <f>SUM(F1123:F1125)</f>
        <v>520100</v>
      </c>
    </row>
    <row r="1126" spans="1:7" s="2" customFormat="1" ht="15.75" customHeight="1">
      <c r="A1126" s="1071" t="s">
        <v>15</v>
      </c>
      <c r="B1126" s="944"/>
      <c r="C1126" s="944"/>
      <c r="D1126" s="944"/>
      <c r="E1126" s="944"/>
      <c r="F1126" s="944"/>
      <c r="G1126" s="1072"/>
    </row>
    <row r="1127" spans="1:7" s="2" customFormat="1" ht="15.75" customHeight="1">
      <c r="A1127" s="1074" t="s">
        <v>2</v>
      </c>
      <c r="B1127" s="1092"/>
      <c r="C1127" s="53" t="s">
        <v>3</v>
      </c>
      <c r="D1127" s="53" t="s">
        <v>4</v>
      </c>
      <c r="E1127" s="53" t="s">
        <v>6</v>
      </c>
      <c r="F1127" s="53" t="s">
        <v>11</v>
      </c>
      <c r="G1127" s="1102" t="s">
        <v>8</v>
      </c>
    </row>
    <row r="1128" spans="1:7" s="2" customFormat="1" ht="15.75" customHeight="1">
      <c r="A1128" s="943" t="s">
        <v>173</v>
      </c>
      <c r="B1128" s="1078"/>
      <c r="C1128" s="16" t="s">
        <v>3</v>
      </c>
      <c r="D1128" s="54">
        <v>3.5000000000000003E-2</v>
      </c>
      <c r="E1128" s="17">
        <f>+G1125</f>
        <v>520100</v>
      </c>
      <c r="F1128" s="136">
        <f>E1128*D1128</f>
        <v>18203.5</v>
      </c>
      <c r="G1128" s="1072"/>
    </row>
    <row r="1129" spans="1:7" s="2" customFormat="1" ht="15.75" customHeight="1">
      <c r="A1129" s="70"/>
      <c r="B1129" s="71"/>
      <c r="C1129" s="71"/>
      <c r="D1129" s="71"/>
      <c r="E1129" s="71"/>
      <c r="F1129" s="71"/>
      <c r="G1129" s="137">
        <f>SUM(F1128:F1129)</f>
        <v>18203.5</v>
      </c>
    </row>
    <row r="1130" spans="1:7" s="2" customFormat="1" ht="15.75" customHeight="1">
      <c r="A1130" s="1071" t="s">
        <v>19</v>
      </c>
      <c r="B1130" s="944"/>
      <c r="C1130" s="944"/>
      <c r="D1130" s="944"/>
      <c r="E1130" s="944"/>
      <c r="F1130" s="944"/>
      <c r="G1130" s="1072"/>
    </row>
    <row r="1131" spans="1:7" s="2" customFormat="1" ht="15.75" customHeight="1">
      <c r="A1131" s="1074" t="s">
        <v>2</v>
      </c>
      <c r="B1131" s="1092"/>
      <c r="C1131" s="53" t="s">
        <v>3</v>
      </c>
      <c r="D1131" s="53" t="s">
        <v>4</v>
      </c>
      <c r="E1131" s="53" t="s">
        <v>6</v>
      </c>
      <c r="F1131" s="53" t="s">
        <v>11</v>
      </c>
      <c r="G1131" s="456" t="s">
        <v>8</v>
      </c>
    </row>
    <row r="1132" spans="1:7" s="2" customFormat="1" ht="15.75" customHeight="1">
      <c r="A1132" s="978" t="str">
        <f>SALARIOS!$A$69</f>
        <v>CUADRILLA BB INSTALACIONES 1:1</v>
      </c>
      <c r="B1132" s="979"/>
      <c r="C1132" s="13" t="s">
        <v>1245</v>
      </c>
      <c r="D1132" s="32">
        <v>1</v>
      </c>
      <c r="E1132" s="13">
        <f>SALARIOS!$C$69</f>
        <v>27341</v>
      </c>
      <c r="F1132" s="55">
        <f>+D1132*E1132</f>
        <v>27341</v>
      </c>
      <c r="G1132" s="57">
        <f>SUM(F1131:F1132)</f>
        <v>27341</v>
      </c>
    </row>
    <row r="1133" spans="1:7" s="2" customFormat="1" ht="15.75" customHeight="1">
      <c r="A1133" s="1076" t="s">
        <v>25</v>
      </c>
      <c r="B1133" s="944"/>
      <c r="C1133" s="944"/>
      <c r="D1133" s="944"/>
      <c r="E1133" s="944"/>
      <c r="F1133" s="944"/>
      <c r="G1133" s="1072"/>
    </row>
    <row r="1134" spans="1:7" s="2" customFormat="1" ht="15.75" customHeight="1">
      <c r="A1134" s="1077"/>
      <c r="B1134" s="944"/>
      <c r="C1134" s="944"/>
      <c r="D1134" s="944"/>
      <c r="E1134" s="944"/>
      <c r="F1134" s="944"/>
      <c r="G1134" s="62">
        <f>G1132+G1129+G1125+G1121</f>
        <v>567011.55000000005</v>
      </c>
    </row>
    <row r="1135" spans="1:7" s="2" customFormat="1" ht="15.75" customHeight="1">
      <c r="A1135" s="63"/>
      <c r="B1135" s="42"/>
      <c r="C1135" s="42"/>
      <c r="D1135" s="42"/>
      <c r="E1135" s="42"/>
      <c r="F1135" s="42"/>
      <c r="G1135" s="64"/>
    </row>
    <row r="1136" spans="1:7" s="2" customFormat="1" ht="15.75" customHeight="1">
      <c r="A1136" s="970" t="s">
        <v>1</v>
      </c>
      <c r="B1136" s="957"/>
      <c r="C1136" s="953" t="s">
        <v>0</v>
      </c>
      <c r="D1136" s="953"/>
      <c r="E1136" s="953"/>
      <c r="F1136" s="953"/>
      <c r="G1136" s="1103"/>
    </row>
    <row r="1137" spans="1:7" s="2" customFormat="1" ht="79.5" customHeight="1">
      <c r="A1137" s="971"/>
      <c r="B1137" s="957"/>
      <c r="C1137" s="953"/>
      <c r="D1137" s="953"/>
      <c r="E1137" s="953"/>
      <c r="F1137" s="953"/>
      <c r="G1137" s="1103"/>
    </row>
    <row r="1138" spans="1:7" s="2" customFormat="1" ht="15.75" customHeight="1">
      <c r="A1138" s="971"/>
      <c r="B1138" s="957"/>
      <c r="C1138" s="956"/>
      <c r="D1138" s="957"/>
      <c r="E1138" s="957"/>
      <c r="F1138" s="957"/>
      <c r="G1138" s="958"/>
    </row>
    <row r="1139" spans="1:7" s="2" customFormat="1" ht="15.75" customHeight="1">
      <c r="A1139" s="971"/>
      <c r="B1139" s="957"/>
      <c r="C1139" s="959" t="s">
        <v>2</v>
      </c>
      <c r="D1139" s="957"/>
      <c r="E1139" s="957"/>
      <c r="F1139" s="23" t="s">
        <v>3</v>
      </c>
      <c r="G1139" s="24" t="s">
        <v>4</v>
      </c>
    </row>
    <row r="1140" spans="1:7" s="2" customFormat="1" ht="74.25" customHeight="1">
      <c r="A1140" s="1089" t="s">
        <v>562</v>
      </c>
      <c r="B1140" s="944"/>
      <c r="C1140" s="980" t="s">
        <v>1616</v>
      </c>
      <c r="D1140" s="944"/>
      <c r="E1140" s="944"/>
      <c r="F1140" s="51" t="s">
        <v>100</v>
      </c>
      <c r="G1140" s="52">
        <v>3.7</v>
      </c>
    </row>
    <row r="1141" spans="1:7" s="2" customFormat="1" ht="15.75" customHeight="1">
      <c r="A1141" s="1071" t="s">
        <v>5</v>
      </c>
      <c r="B1141" s="944"/>
      <c r="C1141" s="944"/>
      <c r="D1141" s="944"/>
      <c r="E1141" s="944"/>
      <c r="F1141" s="944"/>
      <c r="G1141" s="1072"/>
    </row>
    <row r="1142" spans="1:7" s="2" customFormat="1" ht="15.75" customHeight="1">
      <c r="A1142" s="1098" t="s">
        <v>2</v>
      </c>
      <c r="B1142" s="944"/>
      <c r="C1142" s="135" t="s">
        <v>3</v>
      </c>
      <c r="D1142" s="135" t="s">
        <v>4</v>
      </c>
      <c r="E1142" s="135" t="s">
        <v>6</v>
      </c>
      <c r="F1142" s="135" t="s">
        <v>7</v>
      </c>
      <c r="G1142" s="61" t="s">
        <v>8</v>
      </c>
    </row>
    <row r="1143" spans="1:7" s="2" customFormat="1" ht="15.75" customHeight="1">
      <c r="A1143" s="1015" t="s">
        <v>9</v>
      </c>
      <c r="B1143" s="1016"/>
      <c r="C1143" s="51" t="s">
        <v>3</v>
      </c>
      <c r="D1143" s="51">
        <v>0.05</v>
      </c>
      <c r="E1143" s="133">
        <f>G1154</f>
        <v>27341</v>
      </c>
      <c r="F1143" s="55">
        <f>E1143*D1143</f>
        <v>1367.0500000000002</v>
      </c>
      <c r="G1143" s="57">
        <f>SUM(F1142:F1143)</f>
        <v>1367.0500000000002</v>
      </c>
    </row>
    <row r="1144" spans="1:7" s="2" customFormat="1" ht="15.75" customHeight="1">
      <c r="A1144" s="1071" t="s">
        <v>10</v>
      </c>
      <c r="B1144" s="944"/>
      <c r="C1144" s="944"/>
      <c r="D1144" s="944"/>
      <c r="E1144" s="944"/>
      <c r="F1144" s="944"/>
      <c r="G1144" s="1072"/>
    </row>
    <row r="1145" spans="1:7" s="2" customFormat="1" ht="15.75" customHeight="1">
      <c r="A1145" s="1098" t="s">
        <v>2</v>
      </c>
      <c r="B1145" s="944"/>
      <c r="C1145" s="135" t="s">
        <v>3</v>
      </c>
      <c r="D1145" s="135" t="s">
        <v>4</v>
      </c>
      <c r="E1145" s="135" t="s">
        <v>6</v>
      </c>
      <c r="F1145" s="135" t="s">
        <v>11</v>
      </c>
      <c r="G1145" s="1075" t="s">
        <v>8</v>
      </c>
    </row>
    <row r="1146" spans="1:7" s="2" customFormat="1" ht="27" customHeight="1">
      <c r="A1146" s="947" t="s">
        <v>1615</v>
      </c>
      <c r="B1146" s="944"/>
      <c r="C1146" s="16" t="s">
        <v>100</v>
      </c>
      <c r="D1146" s="16">
        <v>1</v>
      </c>
      <c r="E1146" s="17">
        <f>'INSUMOS '!E199</f>
        <v>520000</v>
      </c>
      <c r="F1146" s="55">
        <f>D1146*E1146</f>
        <v>520000</v>
      </c>
      <c r="G1146" s="1099"/>
    </row>
    <row r="1147" spans="1:7" s="2" customFormat="1" ht="13.8">
      <c r="A1147" s="1101"/>
      <c r="B1147" s="944"/>
      <c r="C1147" s="138"/>
      <c r="D1147" s="139"/>
      <c r="E1147" s="140"/>
      <c r="F1147" s="136"/>
      <c r="G1147" s="137">
        <f>SUM(F1145:F1147)</f>
        <v>520000</v>
      </c>
    </row>
    <row r="1148" spans="1:7" s="2" customFormat="1" ht="15.75" customHeight="1">
      <c r="A1148" s="1071" t="s">
        <v>15</v>
      </c>
      <c r="B1148" s="944"/>
      <c r="C1148" s="944"/>
      <c r="D1148" s="944"/>
      <c r="E1148" s="944"/>
      <c r="F1148" s="944"/>
      <c r="G1148" s="1072"/>
    </row>
    <row r="1149" spans="1:7" s="2" customFormat="1" ht="15.75" customHeight="1">
      <c r="A1149" s="1074" t="s">
        <v>2</v>
      </c>
      <c r="B1149" s="1092"/>
      <c r="C1149" s="53" t="s">
        <v>3</v>
      </c>
      <c r="D1149" s="53" t="s">
        <v>4</v>
      </c>
      <c r="E1149" s="53" t="s">
        <v>6</v>
      </c>
      <c r="F1149" s="53" t="s">
        <v>11</v>
      </c>
      <c r="G1149" s="1102" t="s">
        <v>8</v>
      </c>
    </row>
    <row r="1150" spans="1:7" s="2" customFormat="1" ht="15.75" customHeight="1">
      <c r="A1150" s="943" t="s">
        <v>173</v>
      </c>
      <c r="B1150" s="1078"/>
      <c r="C1150" s="16" t="s">
        <v>3</v>
      </c>
      <c r="D1150" s="54">
        <v>3.5000000000000003E-2</v>
      </c>
      <c r="E1150" s="17">
        <f>+G1147</f>
        <v>520000</v>
      </c>
      <c r="F1150" s="136">
        <f>E1150*D1150</f>
        <v>18200</v>
      </c>
      <c r="G1150" s="1072"/>
    </row>
    <row r="1151" spans="1:7" s="2" customFormat="1" ht="15.75" customHeight="1">
      <c r="A1151" s="70"/>
      <c r="B1151" s="71"/>
      <c r="C1151" s="71"/>
      <c r="D1151" s="71"/>
      <c r="E1151" s="71"/>
      <c r="F1151" s="71"/>
      <c r="G1151" s="137">
        <f>SUM(F1150:F1151)</f>
        <v>18200</v>
      </c>
    </row>
    <row r="1152" spans="1:7" s="2" customFormat="1" ht="15.75" customHeight="1">
      <c r="A1152" s="1071" t="s">
        <v>19</v>
      </c>
      <c r="B1152" s="944"/>
      <c r="C1152" s="944"/>
      <c r="D1152" s="944"/>
      <c r="E1152" s="944"/>
      <c r="F1152" s="944"/>
      <c r="G1152" s="1072"/>
    </row>
    <row r="1153" spans="1:7" s="2" customFormat="1" ht="15.75" customHeight="1">
      <c r="A1153" s="1074" t="s">
        <v>2</v>
      </c>
      <c r="B1153" s="1092"/>
      <c r="C1153" s="53" t="s">
        <v>3</v>
      </c>
      <c r="D1153" s="53" t="s">
        <v>4</v>
      </c>
      <c r="E1153" s="53" t="s">
        <v>6</v>
      </c>
      <c r="F1153" s="53" t="s">
        <v>11</v>
      </c>
      <c r="G1153" s="456" t="s">
        <v>8</v>
      </c>
    </row>
    <row r="1154" spans="1:7" s="2" customFormat="1" ht="15.75" customHeight="1">
      <c r="A1154" s="978" t="str">
        <f>SALARIOS!$A$69</f>
        <v>CUADRILLA BB INSTALACIONES 1:1</v>
      </c>
      <c r="B1154" s="979"/>
      <c r="C1154" s="13" t="s">
        <v>1245</v>
      </c>
      <c r="D1154" s="32">
        <v>1</v>
      </c>
      <c r="E1154" s="13">
        <f>SALARIOS!$C$69</f>
        <v>27341</v>
      </c>
      <c r="F1154" s="55">
        <f>+D1154*E1154</f>
        <v>27341</v>
      </c>
      <c r="G1154" s="57">
        <f>SUM(F1153:F1154)</f>
        <v>27341</v>
      </c>
    </row>
    <row r="1155" spans="1:7" s="2" customFormat="1" ht="15.75" customHeight="1">
      <c r="A1155" s="1076" t="s">
        <v>25</v>
      </c>
      <c r="B1155" s="944"/>
      <c r="C1155" s="944"/>
      <c r="D1155" s="944"/>
      <c r="E1155" s="944"/>
      <c r="F1155" s="944"/>
      <c r="G1155" s="1072"/>
    </row>
    <row r="1156" spans="1:7" s="2" customFormat="1" ht="15.75" customHeight="1">
      <c r="A1156" s="1077"/>
      <c r="B1156" s="944"/>
      <c r="C1156" s="944"/>
      <c r="D1156" s="944"/>
      <c r="E1156" s="944"/>
      <c r="F1156" s="944"/>
      <c r="G1156" s="62">
        <f>G1154+G1151+G1147+G1143</f>
        <v>566908.05000000005</v>
      </c>
    </row>
    <row r="1157" spans="1:7" s="2" customFormat="1" ht="15.75" customHeight="1">
      <c r="A1157" s="63"/>
      <c r="B1157" s="42"/>
      <c r="C1157" s="42"/>
      <c r="D1157" s="42"/>
      <c r="E1157" s="42"/>
      <c r="F1157" s="42"/>
      <c r="G1157" s="64"/>
    </row>
    <row r="1158" spans="1:7" s="2" customFormat="1" ht="15.75" customHeight="1">
      <c r="A1158" s="970" t="s">
        <v>1</v>
      </c>
      <c r="B1158" s="957"/>
      <c r="C1158" s="953" t="s">
        <v>0</v>
      </c>
      <c r="D1158" s="953"/>
      <c r="E1158" s="953"/>
      <c r="F1158" s="953"/>
      <c r="G1158" s="1103"/>
    </row>
    <row r="1159" spans="1:7" s="2" customFormat="1" ht="48.75" customHeight="1">
      <c r="A1159" s="971"/>
      <c r="B1159" s="957"/>
      <c r="C1159" s="953"/>
      <c r="D1159" s="953"/>
      <c r="E1159" s="953"/>
      <c r="F1159" s="953"/>
      <c r="G1159" s="1103"/>
    </row>
    <row r="1160" spans="1:7" s="2" customFormat="1" ht="15.75" customHeight="1">
      <c r="A1160" s="971"/>
      <c r="B1160" s="957"/>
      <c r="C1160" s="956"/>
      <c r="D1160" s="957"/>
      <c r="E1160" s="957"/>
      <c r="F1160" s="957"/>
      <c r="G1160" s="958"/>
    </row>
    <row r="1161" spans="1:7" s="2" customFormat="1" ht="15.75" customHeight="1">
      <c r="A1161" s="971"/>
      <c r="B1161" s="957"/>
      <c r="C1161" s="959" t="s">
        <v>2</v>
      </c>
      <c r="D1161" s="957"/>
      <c r="E1161" s="957"/>
      <c r="F1161" s="23" t="s">
        <v>3</v>
      </c>
      <c r="G1161" s="24" t="s">
        <v>4</v>
      </c>
    </row>
    <row r="1162" spans="1:7" s="2" customFormat="1" ht="125.25" customHeight="1">
      <c r="A1162" s="1089" t="s">
        <v>563</v>
      </c>
      <c r="B1162" s="944"/>
      <c r="C1162" s="980" t="s">
        <v>561</v>
      </c>
      <c r="D1162" s="944"/>
      <c r="E1162" s="944"/>
      <c r="F1162" s="51" t="s">
        <v>100</v>
      </c>
      <c r="G1162" s="52">
        <v>3.7</v>
      </c>
    </row>
    <row r="1163" spans="1:7" s="2" customFormat="1" ht="15.75" customHeight="1">
      <c r="A1163" s="1071" t="s">
        <v>5</v>
      </c>
      <c r="B1163" s="944"/>
      <c r="C1163" s="944"/>
      <c r="D1163" s="944"/>
      <c r="E1163" s="944"/>
      <c r="F1163" s="944"/>
      <c r="G1163" s="1072"/>
    </row>
    <row r="1164" spans="1:7" s="2" customFormat="1" ht="15.75" customHeight="1">
      <c r="A1164" s="1098" t="s">
        <v>2</v>
      </c>
      <c r="B1164" s="944"/>
      <c r="C1164" s="135" t="s">
        <v>3</v>
      </c>
      <c r="D1164" s="135" t="s">
        <v>4</v>
      </c>
      <c r="E1164" s="135" t="s">
        <v>6</v>
      </c>
      <c r="F1164" s="135" t="s">
        <v>7</v>
      </c>
      <c r="G1164" s="61" t="s">
        <v>8</v>
      </c>
    </row>
    <row r="1165" spans="1:7" s="2" customFormat="1" ht="15.75" customHeight="1">
      <c r="A1165" s="1015" t="s">
        <v>9</v>
      </c>
      <c r="B1165" s="1016"/>
      <c r="C1165" s="51" t="s">
        <v>3</v>
      </c>
      <c r="D1165" s="51">
        <v>0.05</v>
      </c>
      <c r="E1165" s="133">
        <f>G1176</f>
        <v>27341</v>
      </c>
      <c r="F1165" s="55">
        <f>E1165*D1165</f>
        <v>1367.0500000000002</v>
      </c>
      <c r="G1165" s="57">
        <f>SUM(F1164:F1165)</f>
        <v>1367.0500000000002</v>
      </c>
    </row>
    <row r="1166" spans="1:7" s="2" customFormat="1" ht="15.75" customHeight="1">
      <c r="A1166" s="1071" t="s">
        <v>10</v>
      </c>
      <c r="B1166" s="944"/>
      <c r="C1166" s="944"/>
      <c r="D1166" s="944"/>
      <c r="E1166" s="944"/>
      <c r="F1166" s="944"/>
      <c r="G1166" s="1072"/>
    </row>
    <row r="1167" spans="1:7" s="2" customFormat="1" ht="15.75" customHeight="1">
      <c r="A1167" s="1098" t="s">
        <v>2</v>
      </c>
      <c r="B1167" s="944"/>
      <c r="C1167" s="135" t="s">
        <v>3</v>
      </c>
      <c r="D1167" s="135" t="s">
        <v>4</v>
      </c>
      <c r="E1167" s="135" t="s">
        <v>6</v>
      </c>
      <c r="F1167" s="135" t="s">
        <v>11</v>
      </c>
      <c r="G1167" s="1075" t="s">
        <v>8</v>
      </c>
    </row>
    <row r="1168" spans="1:7" s="416" customFormat="1" ht="124.5" customHeight="1">
      <c r="A1168" s="947" t="s">
        <v>1614</v>
      </c>
      <c r="B1168" s="1100"/>
      <c r="C1168" s="16" t="s">
        <v>100</v>
      </c>
      <c r="D1168" s="16">
        <v>1</v>
      </c>
      <c r="E1168" s="17">
        <f>'INSUMOS '!E201</f>
        <v>492957.74647887325</v>
      </c>
      <c r="F1168" s="55">
        <f>D1168*E1168</f>
        <v>492957.74647887325</v>
      </c>
      <c r="G1168" s="1099"/>
    </row>
    <row r="1169" spans="1:8" s="2" customFormat="1" ht="15.75" customHeight="1">
      <c r="A1169" s="947"/>
      <c r="B1169" s="944"/>
      <c r="C1169" s="138"/>
      <c r="D1169" s="139"/>
      <c r="E1169" s="140"/>
      <c r="F1169" s="136"/>
      <c r="G1169" s="137">
        <f>SUM(F1167:F1169)</f>
        <v>492957.74647887325</v>
      </c>
    </row>
    <row r="1170" spans="1:8" s="2" customFormat="1" ht="15.75" customHeight="1">
      <c r="A1170" s="1071" t="s">
        <v>15</v>
      </c>
      <c r="B1170" s="944"/>
      <c r="C1170" s="944"/>
      <c r="D1170" s="944"/>
      <c r="E1170" s="944"/>
      <c r="F1170" s="944"/>
      <c r="G1170" s="1072"/>
    </row>
    <row r="1171" spans="1:8" s="2" customFormat="1" ht="15.75" customHeight="1">
      <c r="A1171" s="1074" t="s">
        <v>2</v>
      </c>
      <c r="B1171" s="1092"/>
      <c r="C1171" s="53" t="s">
        <v>3</v>
      </c>
      <c r="D1171" s="53" t="s">
        <v>4</v>
      </c>
      <c r="E1171" s="53" t="s">
        <v>6</v>
      </c>
      <c r="F1171" s="53" t="s">
        <v>11</v>
      </c>
      <c r="G1171" s="1102" t="s">
        <v>8</v>
      </c>
    </row>
    <row r="1172" spans="1:8" s="2" customFormat="1" ht="15.75" customHeight="1">
      <c r="A1172" s="943" t="s">
        <v>173</v>
      </c>
      <c r="B1172" s="1078"/>
      <c r="C1172" s="16" t="s">
        <v>3</v>
      </c>
      <c r="D1172" s="54">
        <v>3.5000000000000003E-2</v>
      </c>
      <c r="E1172" s="17">
        <f>+G1169</f>
        <v>492957.74647887325</v>
      </c>
      <c r="F1172" s="136">
        <f>E1172*D1172</f>
        <v>17253.521126760566</v>
      </c>
      <c r="G1172" s="1072"/>
    </row>
    <row r="1173" spans="1:8" s="2" customFormat="1" ht="15.75" customHeight="1">
      <c r="A1173" s="70"/>
      <c r="B1173" s="71"/>
      <c r="C1173" s="71"/>
      <c r="D1173" s="71"/>
      <c r="E1173" s="71"/>
      <c r="F1173" s="71"/>
      <c r="G1173" s="137">
        <f>SUM(F1172:F1173)</f>
        <v>17253.521126760566</v>
      </c>
    </row>
    <row r="1174" spans="1:8" s="2" customFormat="1" ht="15.75" customHeight="1">
      <c r="A1174" s="1071" t="s">
        <v>19</v>
      </c>
      <c r="B1174" s="944"/>
      <c r="C1174" s="944"/>
      <c r="D1174" s="944"/>
      <c r="E1174" s="944"/>
      <c r="F1174" s="944"/>
      <c r="G1174" s="1072"/>
    </row>
    <row r="1175" spans="1:8" s="2" customFormat="1" ht="15.75" customHeight="1">
      <c r="A1175" s="1074" t="s">
        <v>2</v>
      </c>
      <c r="B1175" s="1092"/>
      <c r="C1175" s="53" t="s">
        <v>3</v>
      </c>
      <c r="D1175" s="53" t="s">
        <v>4</v>
      </c>
      <c r="E1175" s="53" t="s">
        <v>6</v>
      </c>
      <c r="F1175" s="53" t="s">
        <v>11</v>
      </c>
      <c r="G1175" s="456" t="s">
        <v>8</v>
      </c>
    </row>
    <row r="1176" spans="1:8" s="2" customFormat="1" ht="15.75" customHeight="1">
      <c r="A1176" s="978" t="str">
        <f>SALARIOS!$A$69</f>
        <v>CUADRILLA BB INSTALACIONES 1:1</v>
      </c>
      <c r="B1176" s="979"/>
      <c r="C1176" s="13" t="s">
        <v>1245</v>
      </c>
      <c r="D1176" s="32">
        <v>1</v>
      </c>
      <c r="E1176" s="13">
        <f>SALARIOS!$C$69</f>
        <v>27341</v>
      </c>
      <c r="F1176" s="55">
        <f>+D1176*E1176</f>
        <v>27341</v>
      </c>
      <c r="G1176" s="57">
        <f>SUM(F1175:F1176)</f>
        <v>27341</v>
      </c>
    </row>
    <row r="1177" spans="1:8" s="2" customFormat="1" ht="15.75" customHeight="1">
      <c r="A1177" s="1076" t="s">
        <v>25</v>
      </c>
      <c r="B1177" s="944"/>
      <c r="C1177" s="944"/>
      <c r="D1177" s="944"/>
      <c r="E1177" s="944"/>
      <c r="F1177" s="944"/>
      <c r="G1177" s="1072"/>
    </row>
    <row r="1178" spans="1:8" s="2" customFormat="1" ht="15.75" customHeight="1">
      <c r="A1178" s="1077"/>
      <c r="B1178" s="944"/>
      <c r="C1178" s="944"/>
      <c r="D1178" s="944"/>
      <c r="E1178" s="944"/>
      <c r="F1178" s="944"/>
      <c r="G1178" s="62">
        <f>G1176+G1173+G1169+G1165</f>
        <v>538919.31760563387</v>
      </c>
    </row>
    <row r="1179" spans="1:8">
      <c r="B1179" s="468"/>
      <c r="F1179" s="455"/>
    </row>
    <row r="1180" spans="1:8">
      <c r="B1180" s="468"/>
      <c r="F1180" s="620"/>
    </row>
    <row r="1181" spans="1:8">
      <c r="B1181" s="468"/>
      <c r="F1181" s="620"/>
      <c r="H1181" s="480"/>
    </row>
    <row r="1182" spans="1:8">
      <c r="B1182" s="468"/>
      <c r="F1182" s="455"/>
    </row>
    <row r="1183" spans="1:8">
      <c r="B1183" s="468"/>
      <c r="F1183" s="455"/>
    </row>
    <row r="1184" spans="1:8">
      <c r="B1184" s="468"/>
      <c r="F1184" s="455"/>
    </row>
    <row r="1185" spans="2:6">
      <c r="B1185" s="966"/>
      <c r="C1185" s="966"/>
      <c r="F1185" s="455"/>
    </row>
    <row r="1186" spans="2:6">
      <c r="B1186" s="966"/>
      <c r="C1186" s="966"/>
      <c r="F1186" s="455"/>
    </row>
    <row r="1187" spans="2:6">
      <c r="B1187" s="468"/>
      <c r="F1187" s="455"/>
    </row>
  </sheetData>
  <mergeCells count="1234">
    <mergeCell ref="G881:G882"/>
    <mergeCell ref="A882:B882"/>
    <mergeCell ref="A883:B883"/>
    <mergeCell ref="A884:G884"/>
    <mergeCell ref="C698:G698"/>
    <mergeCell ref="C699:E699"/>
    <mergeCell ref="A700:B700"/>
    <mergeCell ref="C700:E700"/>
    <mergeCell ref="B1185:C1185"/>
    <mergeCell ref="B1186:C1186"/>
    <mergeCell ref="A1131:B1131"/>
    <mergeCell ref="A1132:B1132"/>
    <mergeCell ref="A1153:B1153"/>
    <mergeCell ref="A1154:B1154"/>
    <mergeCell ref="A1175:B1175"/>
    <mergeCell ref="A1176:B1176"/>
    <mergeCell ref="A845:B845"/>
    <mergeCell ref="A846:B846"/>
    <mergeCell ref="A867:B867"/>
    <mergeCell ref="A868:B868"/>
    <mergeCell ref="A889:B889"/>
    <mergeCell ref="A890:B890"/>
    <mergeCell ref="A911:B911"/>
    <mergeCell ref="A912:B912"/>
    <mergeCell ref="A933:B933"/>
    <mergeCell ref="A934:B934"/>
    <mergeCell ref="A955:B955"/>
    <mergeCell ref="A956:B956"/>
    <mergeCell ref="A977:B977"/>
    <mergeCell ref="A978:B978"/>
    <mergeCell ref="A999:B999"/>
    <mergeCell ref="A1000:B1000"/>
    <mergeCell ref="A1021:B1021"/>
    <mergeCell ref="A879:B879"/>
    <mergeCell ref="A880:G880"/>
    <mergeCell ref="A881:B881"/>
    <mergeCell ref="A603:B603"/>
    <mergeCell ref="A604:B604"/>
    <mergeCell ref="A625:B625"/>
    <mergeCell ref="A626:B626"/>
    <mergeCell ref="A885:B885"/>
    <mergeCell ref="G885:G886"/>
    <mergeCell ref="A669:B669"/>
    <mergeCell ref="A670:B670"/>
    <mergeCell ref="A691:B691"/>
    <mergeCell ref="A692:B692"/>
    <mergeCell ref="A713:B713"/>
    <mergeCell ref="A714:B714"/>
    <mergeCell ref="A735:B735"/>
    <mergeCell ref="A736:B736"/>
    <mergeCell ref="A757:B757"/>
    <mergeCell ref="A758:B758"/>
    <mergeCell ref="A779:B779"/>
    <mergeCell ref="A780:B780"/>
    <mergeCell ref="A801:B801"/>
    <mergeCell ref="A802:B802"/>
    <mergeCell ref="A823:B823"/>
    <mergeCell ref="A824:B824"/>
    <mergeCell ref="A685:B685"/>
    <mergeCell ref="A686:G686"/>
    <mergeCell ref="A687:B687"/>
    <mergeCell ref="G687:G688"/>
    <mergeCell ref="A688:B688"/>
    <mergeCell ref="A690:G690"/>
    <mergeCell ref="A693:G693"/>
    <mergeCell ref="A694:F694"/>
    <mergeCell ref="A696:B699"/>
    <mergeCell ref="C696:G697"/>
    <mergeCell ref="A647:B647"/>
    <mergeCell ref="A495:G495"/>
    <mergeCell ref="A496:F496"/>
    <mergeCell ref="A540:F540"/>
    <mergeCell ref="A542:B545"/>
    <mergeCell ref="C542:G543"/>
    <mergeCell ref="C544:G544"/>
    <mergeCell ref="C545:E545"/>
    <mergeCell ref="A502:B502"/>
    <mergeCell ref="C502:E502"/>
    <mergeCell ref="A503:G503"/>
    <mergeCell ref="A504:B504"/>
    <mergeCell ref="A505:B505"/>
    <mergeCell ref="A506:G506"/>
    <mergeCell ref="A507:B507"/>
    <mergeCell ref="G507:G508"/>
    <mergeCell ref="A517:G517"/>
    <mergeCell ref="A518:F518"/>
    <mergeCell ref="A520:B523"/>
    <mergeCell ref="C520:G521"/>
    <mergeCell ref="C522:G522"/>
    <mergeCell ref="C523:E523"/>
    <mergeCell ref="A515:B515"/>
    <mergeCell ref="A516:B516"/>
    <mergeCell ref="A524:B524"/>
    <mergeCell ref="C524:E524"/>
    <mergeCell ref="A525:G525"/>
    <mergeCell ref="A526:B526"/>
    <mergeCell ref="A351:B351"/>
    <mergeCell ref="A352:B352"/>
    <mergeCell ref="A373:B373"/>
    <mergeCell ref="A374:B374"/>
    <mergeCell ref="A395:B395"/>
    <mergeCell ref="A236:G236"/>
    <mergeCell ref="A237:B237"/>
    <mergeCell ref="G237:G238"/>
    <mergeCell ref="A238:B238"/>
    <mergeCell ref="A240:G240"/>
    <mergeCell ref="A243:G243"/>
    <mergeCell ref="A244:F244"/>
    <mergeCell ref="A246:B249"/>
    <mergeCell ref="C246:G247"/>
    <mergeCell ref="C248:G248"/>
    <mergeCell ref="C249:E249"/>
    <mergeCell ref="A250:B250"/>
    <mergeCell ref="C250:E250"/>
    <mergeCell ref="A251:G251"/>
    <mergeCell ref="A252:B252"/>
    <mergeCell ref="A301:B301"/>
    <mergeCell ref="A280:G280"/>
    <mergeCell ref="A281:B281"/>
    <mergeCell ref="G281:G282"/>
    <mergeCell ref="A282:B282"/>
    <mergeCell ref="A284:G284"/>
    <mergeCell ref="A262:G262"/>
    <mergeCell ref="A265:G265"/>
    <mergeCell ref="A266:F266"/>
    <mergeCell ref="A268:B271"/>
    <mergeCell ref="C268:G269"/>
    <mergeCell ref="A257:B257"/>
    <mergeCell ref="A131:B131"/>
    <mergeCell ref="A132:B132"/>
    <mergeCell ref="A153:B153"/>
    <mergeCell ref="A154:B154"/>
    <mergeCell ref="A175:B175"/>
    <mergeCell ref="A176:B176"/>
    <mergeCell ref="A197:B197"/>
    <mergeCell ref="A198:B198"/>
    <mergeCell ref="A219:B219"/>
    <mergeCell ref="A82:G82"/>
    <mergeCell ref="A83:B83"/>
    <mergeCell ref="G83:G84"/>
    <mergeCell ref="A84:B84"/>
    <mergeCell ref="A45:G45"/>
    <mergeCell ref="A46:F46"/>
    <mergeCell ref="A48:B51"/>
    <mergeCell ref="C48:G49"/>
    <mergeCell ref="C50:G50"/>
    <mergeCell ref="C51:E51"/>
    <mergeCell ref="A52:B52"/>
    <mergeCell ref="C52:E52"/>
    <mergeCell ref="A53:G53"/>
    <mergeCell ref="A54:B54"/>
    <mergeCell ref="A55:B55"/>
    <mergeCell ref="A56:G56"/>
    <mergeCell ref="A57:B57"/>
    <mergeCell ref="G57:G58"/>
    <mergeCell ref="A58:B58"/>
    <mergeCell ref="A59:B59"/>
    <mergeCell ref="A60:G60"/>
    <mergeCell ref="A61:B61"/>
    <mergeCell ref="G61:G62"/>
    <mergeCell ref="A16:G16"/>
    <mergeCell ref="A17:B17"/>
    <mergeCell ref="G17:G18"/>
    <mergeCell ref="A18:B18"/>
    <mergeCell ref="A23:G23"/>
    <mergeCell ref="A24:F24"/>
    <mergeCell ref="A26:B29"/>
    <mergeCell ref="C26:G27"/>
    <mergeCell ref="C28:G28"/>
    <mergeCell ref="C29:E29"/>
    <mergeCell ref="A37:B37"/>
    <mergeCell ref="A38:G38"/>
    <mergeCell ref="A39:B39"/>
    <mergeCell ref="G39:G40"/>
    <mergeCell ref="A40:B40"/>
    <mergeCell ref="A30:B30"/>
    <mergeCell ref="A31:G31"/>
    <mergeCell ref="A32:B32"/>
    <mergeCell ref="A33:B33"/>
    <mergeCell ref="A21:B21"/>
    <mergeCell ref="A22:B22"/>
    <mergeCell ref="A4:B7"/>
    <mergeCell ref="C4:G5"/>
    <mergeCell ref="C6:G6"/>
    <mergeCell ref="C7:E7"/>
    <mergeCell ref="A35:B35"/>
    <mergeCell ref="G35:G36"/>
    <mergeCell ref="A36:B36"/>
    <mergeCell ref="A34:G34"/>
    <mergeCell ref="A20:G20"/>
    <mergeCell ref="A8:B8"/>
    <mergeCell ref="C8:E8"/>
    <mergeCell ref="A9:G9"/>
    <mergeCell ref="A10:B10"/>
    <mergeCell ref="A11:B11"/>
    <mergeCell ref="A12:G12"/>
    <mergeCell ref="A81:B81"/>
    <mergeCell ref="C72:G72"/>
    <mergeCell ref="C73:E73"/>
    <mergeCell ref="A74:B74"/>
    <mergeCell ref="C74:E74"/>
    <mergeCell ref="A75:G75"/>
    <mergeCell ref="A76:B76"/>
    <mergeCell ref="A77:B77"/>
    <mergeCell ref="A78:G78"/>
    <mergeCell ref="A79:B79"/>
    <mergeCell ref="G79:G80"/>
    <mergeCell ref="A80:B80"/>
    <mergeCell ref="A13:B13"/>
    <mergeCell ref="G13:G14"/>
    <mergeCell ref="A14:B14"/>
    <mergeCell ref="A15:B15"/>
    <mergeCell ref="A42:G42"/>
    <mergeCell ref="C116:G116"/>
    <mergeCell ref="C117:E117"/>
    <mergeCell ref="A118:B118"/>
    <mergeCell ref="A62:B62"/>
    <mergeCell ref="A64:G64"/>
    <mergeCell ref="A67:G67"/>
    <mergeCell ref="A68:F68"/>
    <mergeCell ref="A70:B73"/>
    <mergeCell ref="C70:G71"/>
    <mergeCell ref="C30:E30"/>
    <mergeCell ref="A125:B125"/>
    <mergeCell ref="A126:G126"/>
    <mergeCell ref="C118:E118"/>
    <mergeCell ref="A119:G119"/>
    <mergeCell ref="A120:B120"/>
    <mergeCell ref="A121:B121"/>
    <mergeCell ref="A122:G122"/>
    <mergeCell ref="A123:B123"/>
    <mergeCell ref="G123:G124"/>
    <mergeCell ref="A124:B124"/>
    <mergeCell ref="A43:B43"/>
    <mergeCell ref="A44:B44"/>
    <mergeCell ref="A65:B65"/>
    <mergeCell ref="A66:B66"/>
    <mergeCell ref="A87:B87"/>
    <mergeCell ref="A88:B88"/>
    <mergeCell ref="A109:B109"/>
    <mergeCell ref="A110:B110"/>
    <mergeCell ref="A158:B161"/>
    <mergeCell ref="C158:G159"/>
    <mergeCell ref="C160:G160"/>
    <mergeCell ref="A127:B127"/>
    <mergeCell ref="G127:G128"/>
    <mergeCell ref="A128:B128"/>
    <mergeCell ref="A86:G86"/>
    <mergeCell ref="A89:G89"/>
    <mergeCell ref="A90:F90"/>
    <mergeCell ref="A92:B95"/>
    <mergeCell ref="C92:G93"/>
    <mergeCell ref="C94:G94"/>
    <mergeCell ref="C95:E95"/>
    <mergeCell ref="A96:B96"/>
    <mergeCell ref="C96:E96"/>
    <mergeCell ref="A97:G97"/>
    <mergeCell ref="A98:B98"/>
    <mergeCell ref="A99:B99"/>
    <mergeCell ref="A100:G100"/>
    <mergeCell ref="A101:B101"/>
    <mergeCell ref="G101:G102"/>
    <mergeCell ref="A102:B102"/>
    <mergeCell ref="A103:B103"/>
    <mergeCell ref="A104:G104"/>
    <mergeCell ref="A105:B105"/>
    <mergeCell ref="G105:G106"/>
    <mergeCell ref="A106:B106"/>
    <mergeCell ref="A108:G108"/>
    <mergeCell ref="A111:G111"/>
    <mergeCell ref="A112:F112"/>
    <mergeCell ref="A114:B117"/>
    <mergeCell ref="C114:G115"/>
    <mergeCell ref="G189:G190"/>
    <mergeCell ref="A190:B190"/>
    <mergeCell ref="A191:B191"/>
    <mergeCell ref="A169:B169"/>
    <mergeCell ref="A170:G170"/>
    <mergeCell ref="A171:B171"/>
    <mergeCell ref="G171:G172"/>
    <mergeCell ref="A172:B172"/>
    <mergeCell ref="A130:G130"/>
    <mergeCell ref="A133:G133"/>
    <mergeCell ref="A134:F134"/>
    <mergeCell ref="A136:B139"/>
    <mergeCell ref="C136:G137"/>
    <mergeCell ref="C138:G138"/>
    <mergeCell ref="C139:E139"/>
    <mergeCell ref="A140:B140"/>
    <mergeCell ref="C140:E140"/>
    <mergeCell ref="A141:G141"/>
    <mergeCell ref="A142:B142"/>
    <mergeCell ref="A143:B143"/>
    <mergeCell ref="A144:G144"/>
    <mergeCell ref="A145:B145"/>
    <mergeCell ref="G145:G146"/>
    <mergeCell ref="A146:B146"/>
    <mergeCell ref="A147:B147"/>
    <mergeCell ref="A148:G148"/>
    <mergeCell ref="A149:B149"/>
    <mergeCell ref="G149:G150"/>
    <mergeCell ref="A150:B150"/>
    <mergeCell ref="A152:G152"/>
    <mergeCell ref="A155:G155"/>
    <mergeCell ref="A156:F156"/>
    <mergeCell ref="A211:B211"/>
    <mergeCell ref="G211:G212"/>
    <mergeCell ref="A212:B212"/>
    <mergeCell ref="C161:E161"/>
    <mergeCell ref="A162:B162"/>
    <mergeCell ref="C162:E162"/>
    <mergeCell ref="A163:G163"/>
    <mergeCell ref="A164:B164"/>
    <mergeCell ref="A165:B165"/>
    <mergeCell ref="A166:G166"/>
    <mergeCell ref="A167:B167"/>
    <mergeCell ref="G167:G168"/>
    <mergeCell ref="A168:B168"/>
    <mergeCell ref="A213:B213"/>
    <mergeCell ref="A214:G214"/>
    <mergeCell ref="A215:B215"/>
    <mergeCell ref="G215:G216"/>
    <mergeCell ref="A216:B216"/>
    <mergeCell ref="A174:G174"/>
    <mergeCell ref="A177:G177"/>
    <mergeCell ref="A178:F178"/>
    <mergeCell ref="A180:B183"/>
    <mergeCell ref="C180:G181"/>
    <mergeCell ref="C182:G182"/>
    <mergeCell ref="C183:E183"/>
    <mergeCell ref="A184:B184"/>
    <mergeCell ref="C184:E184"/>
    <mergeCell ref="A185:G185"/>
    <mergeCell ref="A186:B186"/>
    <mergeCell ref="A187:B187"/>
    <mergeCell ref="A188:G188"/>
    <mergeCell ref="A189:B189"/>
    <mergeCell ref="A192:G192"/>
    <mergeCell ref="A193:B193"/>
    <mergeCell ref="G193:G194"/>
    <mergeCell ref="A194:B194"/>
    <mergeCell ref="A196:G196"/>
    <mergeCell ref="A199:G199"/>
    <mergeCell ref="A200:F200"/>
    <mergeCell ref="A202:B205"/>
    <mergeCell ref="C202:G203"/>
    <mergeCell ref="C204:G204"/>
    <mergeCell ref="C205:E205"/>
    <mergeCell ref="A206:B206"/>
    <mergeCell ref="C206:E206"/>
    <mergeCell ref="A207:G207"/>
    <mergeCell ref="A208:B208"/>
    <mergeCell ref="A209:B209"/>
    <mergeCell ref="A210:G210"/>
    <mergeCell ref="A258:G258"/>
    <mergeCell ref="A259:B259"/>
    <mergeCell ref="G259:G260"/>
    <mergeCell ref="A260:B260"/>
    <mergeCell ref="A218:G218"/>
    <mergeCell ref="A221:G221"/>
    <mergeCell ref="A222:F222"/>
    <mergeCell ref="A224:B227"/>
    <mergeCell ref="C224:G225"/>
    <mergeCell ref="C226:G226"/>
    <mergeCell ref="C227:E227"/>
    <mergeCell ref="A228:B228"/>
    <mergeCell ref="C228:E228"/>
    <mergeCell ref="A229:G229"/>
    <mergeCell ref="A230:B230"/>
    <mergeCell ref="A231:B231"/>
    <mergeCell ref="A232:G232"/>
    <mergeCell ref="A241:B241"/>
    <mergeCell ref="A242:B242"/>
    <mergeCell ref="A233:B233"/>
    <mergeCell ref="G233:G234"/>
    <mergeCell ref="A234:B234"/>
    <mergeCell ref="A235:B235"/>
    <mergeCell ref="A253:B253"/>
    <mergeCell ref="A254:G254"/>
    <mergeCell ref="A255:B255"/>
    <mergeCell ref="G255:G256"/>
    <mergeCell ref="A256:B256"/>
    <mergeCell ref="A220:B220"/>
    <mergeCell ref="C270:G270"/>
    <mergeCell ref="C271:E271"/>
    <mergeCell ref="A272:B272"/>
    <mergeCell ref="C272:E272"/>
    <mergeCell ref="A273:G273"/>
    <mergeCell ref="A274:B274"/>
    <mergeCell ref="A275:B275"/>
    <mergeCell ref="A276:G276"/>
    <mergeCell ref="A277:B277"/>
    <mergeCell ref="G277:G278"/>
    <mergeCell ref="A278:B278"/>
    <mergeCell ref="A279:B279"/>
    <mergeCell ref="A263:B263"/>
    <mergeCell ref="A264:B264"/>
    <mergeCell ref="A294:B294"/>
    <mergeCell ref="C294:E294"/>
    <mergeCell ref="A295:G295"/>
    <mergeCell ref="A287:G287"/>
    <mergeCell ref="A288:F288"/>
    <mergeCell ref="A290:B293"/>
    <mergeCell ref="C290:G291"/>
    <mergeCell ref="C292:G292"/>
    <mergeCell ref="C293:E293"/>
    <mergeCell ref="A285:B285"/>
    <mergeCell ref="A286:B286"/>
    <mergeCell ref="A296:B296"/>
    <mergeCell ref="A297:B297"/>
    <mergeCell ref="A298:G298"/>
    <mergeCell ref="A299:B299"/>
    <mergeCell ref="G299:G300"/>
    <mergeCell ref="A300:B300"/>
    <mergeCell ref="A345:B345"/>
    <mergeCell ref="A346:G346"/>
    <mergeCell ref="C338:E338"/>
    <mergeCell ref="A339:G339"/>
    <mergeCell ref="A340:B340"/>
    <mergeCell ref="A341:B341"/>
    <mergeCell ref="A342:G342"/>
    <mergeCell ref="A343:B343"/>
    <mergeCell ref="G343:G344"/>
    <mergeCell ref="A344:B344"/>
    <mergeCell ref="A302:G302"/>
    <mergeCell ref="A303:B303"/>
    <mergeCell ref="G303:G304"/>
    <mergeCell ref="A304:B304"/>
    <mergeCell ref="A307:B307"/>
    <mergeCell ref="A308:B308"/>
    <mergeCell ref="A329:B329"/>
    <mergeCell ref="A330:B330"/>
    <mergeCell ref="A347:B347"/>
    <mergeCell ref="G347:G348"/>
    <mergeCell ref="A348:B348"/>
    <mergeCell ref="A306:G306"/>
    <mergeCell ref="A309:G309"/>
    <mergeCell ref="A310:F310"/>
    <mergeCell ref="A312:B315"/>
    <mergeCell ref="C312:G313"/>
    <mergeCell ref="C314:G314"/>
    <mergeCell ref="C315:E315"/>
    <mergeCell ref="A316:B316"/>
    <mergeCell ref="C316:E316"/>
    <mergeCell ref="A317:G317"/>
    <mergeCell ref="A318:B318"/>
    <mergeCell ref="A319:B319"/>
    <mergeCell ref="A320:G320"/>
    <mergeCell ref="A321:B321"/>
    <mergeCell ref="G321:G322"/>
    <mergeCell ref="A322:B322"/>
    <mergeCell ref="A323:B323"/>
    <mergeCell ref="A324:G324"/>
    <mergeCell ref="A325:B325"/>
    <mergeCell ref="G325:G326"/>
    <mergeCell ref="A326:B326"/>
    <mergeCell ref="A328:G328"/>
    <mergeCell ref="A331:G331"/>
    <mergeCell ref="A332:F332"/>
    <mergeCell ref="A334:B337"/>
    <mergeCell ref="C334:G335"/>
    <mergeCell ref="C336:G336"/>
    <mergeCell ref="C337:E337"/>
    <mergeCell ref="A338:B338"/>
    <mergeCell ref="A396:B396"/>
    <mergeCell ref="A417:B417"/>
    <mergeCell ref="A418:B418"/>
    <mergeCell ref="A389:B389"/>
    <mergeCell ref="A390:G390"/>
    <mergeCell ref="A391:B391"/>
    <mergeCell ref="G391:G392"/>
    <mergeCell ref="A392:B392"/>
    <mergeCell ref="A350:G350"/>
    <mergeCell ref="A353:G353"/>
    <mergeCell ref="A354:F354"/>
    <mergeCell ref="A356:B359"/>
    <mergeCell ref="C356:G357"/>
    <mergeCell ref="C358:G358"/>
    <mergeCell ref="C359:E359"/>
    <mergeCell ref="A360:B360"/>
    <mergeCell ref="C360:E360"/>
    <mergeCell ref="A361:G361"/>
    <mergeCell ref="A362:B362"/>
    <mergeCell ref="A363:B363"/>
    <mergeCell ref="A364:G364"/>
    <mergeCell ref="A365:B365"/>
    <mergeCell ref="G365:G366"/>
    <mergeCell ref="A366:B366"/>
    <mergeCell ref="A367:B367"/>
    <mergeCell ref="A368:G368"/>
    <mergeCell ref="A369:B369"/>
    <mergeCell ref="G369:G370"/>
    <mergeCell ref="A370:B370"/>
    <mergeCell ref="A372:G372"/>
    <mergeCell ref="A375:G375"/>
    <mergeCell ref="A376:F376"/>
    <mergeCell ref="A378:B381"/>
    <mergeCell ref="C378:G379"/>
    <mergeCell ref="C380:G380"/>
    <mergeCell ref="C381:E381"/>
    <mergeCell ref="A382:B382"/>
    <mergeCell ref="C382:E382"/>
    <mergeCell ref="A383:G383"/>
    <mergeCell ref="A384:B384"/>
    <mergeCell ref="A385:B385"/>
    <mergeCell ref="A386:G386"/>
    <mergeCell ref="A387:B387"/>
    <mergeCell ref="G387:G388"/>
    <mergeCell ref="A388:B388"/>
    <mergeCell ref="A433:B433"/>
    <mergeCell ref="A434:G434"/>
    <mergeCell ref="A435:B435"/>
    <mergeCell ref="G435:G436"/>
    <mergeCell ref="A436:B436"/>
    <mergeCell ref="A394:G394"/>
    <mergeCell ref="A397:G397"/>
    <mergeCell ref="A398:F398"/>
    <mergeCell ref="A400:B403"/>
    <mergeCell ref="C400:G401"/>
    <mergeCell ref="C402:G402"/>
    <mergeCell ref="C403:E403"/>
    <mergeCell ref="A404:B404"/>
    <mergeCell ref="C404:E404"/>
    <mergeCell ref="A405:G405"/>
    <mergeCell ref="A406:B406"/>
    <mergeCell ref="A407:B407"/>
    <mergeCell ref="A408:G408"/>
    <mergeCell ref="A409:B409"/>
    <mergeCell ref="G409:G410"/>
    <mergeCell ref="A410:B410"/>
    <mergeCell ref="A411:B411"/>
    <mergeCell ref="A412:G412"/>
    <mergeCell ref="A413:B413"/>
    <mergeCell ref="G413:G414"/>
    <mergeCell ref="A414:B414"/>
    <mergeCell ref="A416:G416"/>
    <mergeCell ref="A419:G419"/>
    <mergeCell ref="A420:F420"/>
    <mergeCell ref="A456:B456"/>
    <mergeCell ref="A457:B457"/>
    <mergeCell ref="A458:B458"/>
    <mergeCell ref="A459:B459"/>
    <mergeCell ref="A422:B425"/>
    <mergeCell ref="C422:G423"/>
    <mergeCell ref="C424:G424"/>
    <mergeCell ref="C425:E425"/>
    <mergeCell ref="A426:B426"/>
    <mergeCell ref="C426:E426"/>
    <mergeCell ref="A427:G427"/>
    <mergeCell ref="A428:B428"/>
    <mergeCell ref="A429:B429"/>
    <mergeCell ref="A430:G430"/>
    <mergeCell ref="A431:B431"/>
    <mergeCell ref="G431:G432"/>
    <mergeCell ref="A432:B432"/>
    <mergeCell ref="A438:G438"/>
    <mergeCell ref="A441:G441"/>
    <mergeCell ref="A439:B439"/>
    <mergeCell ref="A440:B440"/>
    <mergeCell ref="A487:B487"/>
    <mergeCell ref="A442:F442"/>
    <mergeCell ref="A444:B447"/>
    <mergeCell ref="C444:G445"/>
    <mergeCell ref="C446:G446"/>
    <mergeCell ref="C447:E447"/>
    <mergeCell ref="A448:B448"/>
    <mergeCell ref="C448:E448"/>
    <mergeCell ref="A466:B466"/>
    <mergeCell ref="A467:B467"/>
    <mergeCell ref="A460:B460"/>
    <mergeCell ref="A461:G461"/>
    <mergeCell ref="A462:B462"/>
    <mergeCell ref="G462:G463"/>
    <mergeCell ref="A463:B463"/>
    <mergeCell ref="A465:G465"/>
    <mergeCell ref="A468:G468"/>
    <mergeCell ref="A469:F469"/>
    <mergeCell ref="A471:B474"/>
    <mergeCell ref="C471:G472"/>
    <mergeCell ref="C473:G473"/>
    <mergeCell ref="C474:E474"/>
    <mergeCell ref="A475:B475"/>
    <mergeCell ref="A449:G449"/>
    <mergeCell ref="A450:B450"/>
    <mergeCell ref="G450:G451"/>
    <mergeCell ref="A451:B451"/>
    <mergeCell ref="A452:B452"/>
    <mergeCell ref="A453:G453"/>
    <mergeCell ref="A454:B454"/>
    <mergeCell ref="G454:G459"/>
    <mergeCell ref="A455:B455"/>
    <mergeCell ref="C475:E475"/>
    <mergeCell ref="A476:G476"/>
    <mergeCell ref="A477:B477"/>
    <mergeCell ref="G477:G478"/>
    <mergeCell ref="A478:B478"/>
    <mergeCell ref="A488:G488"/>
    <mergeCell ref="A489:B489"/>
    <mergeCell ref="G489:G490"/>
    <mergeCell ref="A490:B490"/>
    <mergeCell ref="A492:G492"/>
    <mergeCell ref="A508:B508"/>
    <mergeCell ref="A509:B509"/>
    <mergeCell ref="A510:G510"/>
    <mergeCell ref="A511:B511"/>
    <mergeCell ref="G511:G512"/>
    <mergeCell ref="A512:B512"/>
    <mergeCell ref="A514:G514"/>
    <mergeCell ref="A498:B501"/>
    <mergeCell ref="C498:G499"/>
    <mergeCell ref="C500:G500"/>
    <mergeCell ref="C501:E501"/>
    <mergeCell ref="A493:B493"/>
    <mergeCell ref="A494:B494"/>
    <mergeCell ref="A479:B479"/>
    <mergeCell ref="A480:G480"/>
    <mergeCell ref="A481:B481"/>
    <mergeCell ref="G481:G486"/>
    <mergeCell ref="A482:B482"/>
    <mergeCell ref="A483:B483"/>
    <mergeCell ref="A484:B484"/>
    <mergeCell ref="A485:B485"/>
    <mergeCell ref="A486:B486"/>
    <mergeCell ref="A527:B527"/>
    <mergeCell ref="A528:G528"/>
    <mergeCell ref="A529:B529"/>
    <mergeCell ref="G529:G530"/>
    <mergeCell ref="A530:B530"/>
    <mergeCell ref="A531:B531"/>
    <mergeCell ref="A532:G532"/>
    <mergeCell ref="A533:B533"/>
    <mergeCell ref="G533:G534"/>
    <mergeCell ref="A534:B534"/>
    <mergeCell ref="A536:G536"/>
    <mergeCell ref="A539:G539"/>
    <mergeCell ref="A584:F584"/>
    <mergeCell ref="G573:G574"/>
    <mergeCell ref="A574:B574"/>
    <mergeCell ref="A575:B575"/>
    <mergeCell ref="A576:G576"/>
    <mergeCell ref="A577:B577"/>
    <mergeCell ref="G577:G578"/>
    <mergeCell ref="A578:B578"/>
    <mergeCell ref="A580:G580"/>
    <mergeCell ref="A583:G583"/>
    <mergeCell ref="A537:B537"/>
    <mergeCell ref="A538:B538"/>
    <mergeCell ref="A559:B559"/>
    <mergeCell ref="A560:B560"/>
    <mergeCell ref="A581:B581"/>
    <mergeCell ref="A582:B582"/>
    <mergeCell ref="A586:B589"/>
    <mergeCell ref="C586:G587"/>
    <mergeCell ref="C588:G588"/>
    <mergeCell ref="C589:E589"/>
    <mergeCell ref="A546:B546"/>
    <mergeCell ref="C546:E546"/>
    <mergeCell ref="A547:G547"/>
    <mergeCell ref="A548:B548"/>
    <mergeCell ref="A549:B549"/>
    <mergeCell ref="A550:G550"/>
    <mergeCell ref="A551:B551"/>
    <mergeCell ref="G551:G552"/>
    <mergeCell ref="A552:B552"/>
    <mergeCell ref="A553:B553"/>
    <mergeCell ref="A554:G554"/>
    <mergeCell ref="A555:B555"/>
    <mergeCell ref="G555:G556"/>
    <mergeCell ref="A556:B556"/>
    <mergeCell ref="A558:G558"/>
    <mergeCell ref="A561:G561"/>
    <mergeCell ref="A562:F562"/>
    <mergeCell ref="A564:B567"/>
    <mergeCell ref="C564:G565"/>
    <mergeCell ref="C566:G566"/>
    <mergeCell ref="C567:E567"/>
    <mergeCell ref="A568:B568"/>
    <mergeCell ref="C568:E568"/>
    <mergeCell ref="A569:G569"/>
    <mergeCell ref="A570:B570"/>
    <mergeCell ref="A571:B571"/>
    <mergeCell ref="A572:G572"/>
    <mergeCell ref="A573:B573"/>
    <mergeCell ref="A628:F628"/>
    <mergeCell ref="A630:B633"/>
    <mergeCell ref="C630:G631"/>
    <mergeCell ref="C632:G632"/>
    <mergeCell ref="C633:E633"/>
    <mergeCell ref="A590:B590"/>
    <mergeCell ref="C590:E590"/>
    <mergeCell ref="A591:G591"/>
    <mergeCell ref="A592:B592"/>
    <mergeCell ref="A593:B593"/>
    <mergeCell ref="A594:G594"/>
    <mergeCell ref="A595:B595"/>
    <mergeCell ref="G595:G596"/>
    <mergeCell ref="A596:B596"/>
    <mergeCell ref="A597:B597"/>
    <mergeCell ref="A598:G598"/>
    <mergeCell ref="A599:B599"/>
    <mergeCell ref="G599:G600"/>
    <mergeCell ref="A600:B600"/>
    <mergeCell ref="A602:G602"/>
    <mergeCell ref="A605:G605"/>
    <mergeCell ref="A606:F606"/>
    <mergeCell ref="A608:B611"/>
    <mergeCell ref="C608:G609"/>
    <mergeCell ref="C610:G610"/>
    <mergeCell ref="C611:E611"/>
    <mergeCell ref="A612:B612"/>
    <mergeCell ref="C612:E612"/>
    <mergeCell ref="A613:G613"/>
    <mergeCell ref="A614:B614"/>
    <mergeCell ref="A615:B615"/>
    <mergeCell ref="A616:G616"/>
    <mergeCell ref="A617:B617"/>
    <mergeCell ref="G617:G618"/>
    <mergeCell ref="A618:B618"/>
    <mergeCell ref="A619:B619"/>
    <mergeCell ref="A620:G620"/>
    <mergeCell ref="A621:B621"/>
    <mergeCell ref="G621:G622"/>
    <mergeCell ref="A622:B622"/>
    <mergeCell ref="A624:G624"/>
    <mergeCell ref="A627:G627"/>
    <mergeCell ref="A672:F672"/>
    <mergeCell ref="A674:B677"/>
    <mergeCell ref="C674:G675"/>
    <mergeCell ref="C676:G676"/>
    <mergeCell ref="C677:E677"/>
    <mergeCell ref="A634:B634"/>
    <mergeCell ref="C634:E634"/>
    <mergeCell ref="A635:G635"/>
    <mergeCell ref="A636:B636"/>
    <mergeCell ref="A637:B637"/>
    <mergeCell ref="A638:G638"/>
    <mergeCell ref="A639:B639"/>
    <mergeCell ref="G639:G640"/>
    <mergeCell ref="A640:B640"/>
    <mergeCell ref="A641:B641"/>
    <mergeCell ref="A642:G642"/>
    <mergeCell ref="A643:B643"/>
    <mergeCell ref="G643:G644"/>
    <mergeCell ref="A644:B644"/>
    <mergeCell ref="A646:G646"/>
    <mergeCell ref="A649:G649"/>
    <mergeCell ref="A650:F650"/>
    <mergeCell ref="A652:B655"/>
    <mergeCell ref="C652:G653"/>
    <mergeCell ref="C654:G654"/>
    <mergeCell ref="C655:E655"/>
    <mergeCell ref="A656:B656"/>
    <mergeCell ref="C656:E656"/>
    <mergeCell ref="A657:G657"/>
    <mergeCell ref="A658:B658"/>
    <mergeCell ref="A659:B659"/>
    <mergeCell ref="A660:G660"/>
    <mergeCell ref="A661:B661"/>
    <mergeCell ref="G661:G662"/>
    <mergeCell ref="A662:B662"/>
    <mergeCell ref="A648:B648"/>
    <mergeCell ref="A681:B681"/>
    <mergeCell ref="A682:G682"/>
    <mergeCell ref="A683:B683"/>
    <mergeCell ref="G683:G684"/>
    <mergeCell ref="A684:B684"/>
    <mergeCell ref="A663:B663"/>
    <mergeCell ref="A664:G664"/>
    <mergeCell ref="A665:B665"/>
    <mergeCell ref="G665:G666"/>
    <mergeCell ref="A666:B666"/>
    <mergeCell ref="A668:G668"/>
    <mergeCell ref="A671:G671"/>
    <mergeCell ref="A678:B678"/>
    <mergeCell ref="C678:E678"/>
    <mergeCell ref="A679:G679"/>
    <mergeCell ref="A680:B680"/>
    <mergeCell ref="A701:G701"/>
    <mergeCell ref="A702:B702"/>
    <mergeCell ref="A703:B703"/>
    <mergeCell ref="A704:G704"/>
    <mergeCell ref="A705:B705"/>
    <mergeCell ref="G705:G706"/>
    <mergeCell ref="A706:B706"/>
    <mergeCell ref="A707:B707"/>
    <mergeCell ref="A708:G708"/>
    <mergeCell ref="A709:B709"/>
    <mergeCell ref="G709:G710"/>
    <mergeCell ref="A710:B710"/>
    <mergeCell ref="A712:G712"/>
    <mergeCell ref="A715:G715"/>
    <mergeCell ref="A760:F760"/>
    <mergeCell ref="G749:G750"/>
    <mergeCell ref="A750:B750"/>
    <mergeCell ref="A751:B751"/>
    <mergeCell ref="A752:G752"/>
    <mergeCell ref="A753:B753"/>
    <mergeCell ref="G753:G754"/>
    <mergeCell ref="A754:B754"/>
    <mergeCell ref="A756:G756"/>
    <mergeCell ref="A759:G759"/>
    <mergeCell ref="A716:F716"/>
    <mergeCell ref="A718:B721"/>
    <mergeCell ref="C718:G719"/>
    <mergeCell ref="C720:G720"/>
    <mergeCell ref="C721:E721"/>
    <mergeCell ref="A762:B765"/>
    <mergeCell ref="C762:G763"/>
    <mergeCell ref="C764:G764"/>
    <mergeCell ref="C765:E765"/>
    <mergeCell ref="A722:B722"/>
    <mergeCell ref="C722:E722"/>
    <mergeCell ref="A723:G723"/>
    <mergeCell ref="A724:B724"/>
    <mergeCell ref="A725:B725"/>
    <mergeCell ref="A726:G726"/>
    <mergeCell ref="A727:B727"/>
    <mergeCell ref="G727:G728"/>
    <mergeCell ref="A728:B728"/>
    <mergeCell ref="A729:B729"/>
    <mergeCell ref="A730:G730"/>
    <mergeCell ref="A731:B731"/>
    <mergeCell ref="G731:G732"/>
    <mergeCell ref="A732:B732"/>
    <mergeCell ref="A734:G734"/>
    <mergeCell ref="A737:G737"/>
    <mergeCell ref="A738:F738"/>
    <mergeCell ref="A740:B743"/>
    <mergeCell ref="C740:G741"/>
    <mergeCell ref="C742:G742"/>
    <mergeCell ref="C743:E743"/>
    <mergeCell ref="A744:B744"/>
    <mergeCell ref="C744:E744"/>
    <mergeCell ref="A745:G745"/>
    <mergeCell ref="A746:B746"/>
    <mergeCell ref="A747:B747"/>
    <mergeCell ref="A748:G748"/>
    <mergeCell ref="A749:B749"/>
    <mergeCell ref="A804:F804"/>
    <mergeCell ref="A806:B809"/>
    <mergeCell ref="C806:G807"/>
    <mergeCell ref="C808:G808"/>
    <mergeCell ref="C809:E809"/>
    <mergeCell ref="A766:B766"/>
    <mergeCell ref="C766:E766"/>
    <mergeCell ref="A767:G767"/>
    <mergeCell ref="A768:B768"/>
    <mergeCell ref="A769:B769"/>
    <mergeCell ref="A770:G770"/>
    <mergeCell ref="A771:B771"/>
    <mergeCell ref="G771:G772"/>
    <mergeCell ref="A772:B772"/>
    <mergeCell ref="A773:B773"/>
    <mergeCell ref="A774:G774"/>
    <mergeCell ref="A775:B775"/>
    <mergeCell ref="G775:G776"/>
    <mergeCell ref="A776:B776"/>
    <mergeCell ref="A778:G778"/>
    <mergeCell ref="A781:G781"/>
    <mergeCell ref="A782:F782"/>
    <mergeCell ref="A784:B787"/>
    <mergeCell ref="C784:G785"/>
    <mergeCell ref="C786:G786"/>
    <mergeCell ref="C787:E787"/>
    <mergeCell ref="A788:B788"/>
    <mergeCell ref="C788:E788"/>
    <mergeCell ref="A789:G789"/>
    <mergeCell ref="A790:B790"/>
    <mergeCell ref="A791:B791"/>
    <mergeCell ref="A792:G792"/>
    <mergeCell ref="A793:B793"/>
    <mergeCell ref="G793:G794"/>
    <mergeCell ref="A794:B794"/>
    <mergeCell ref="A795:B795"/>
    <mergeCell ref="A796:G796"/>
    <mergeCell ref="A797:B797"/>
    <mergeCell ref="G797:G798"/>
    <mergeCell ref="A798:B798"/>
    <mergeCell ref="A800:G800"/>
    <mergeCell ref="A803:G803"/>
    <mergeCell ref="A848:F848"/>
    <mergeCell ref="A850:B853"/>
    <mergeCell ref="C850:G851"/>
    <mergeCell ref="C852:G852"/>
    <mergeCell ref="C853:E853"/>
    <mergeCell ref="A810:B810"/>
    <mergeCell ref="C810:E810"/>
    <mergeCell ref="A811:G811"/>
    <mergeCell ref="A812:B812"/>
    <mergeCell ref="A813:B813"/>
    <mergeCell ref="A814:G814"/>
    <mergeCell ref="A815:B815"/>
    <mergeCell ref="G815:G816"/>
    <mergeCell ref="A816:B816"/>
    <mergeCell ref="A817:B817"/>
    <mergeCell ref="A818:G818"/>
    <mergeCell ref="A819:B819"/>
    <mergeCell ref="G819:G820"/>
    <mergeCell ref="A820:B820"/>
    <mergeCell ref="A822:G822"/>
    <mergeCell ref="A825:G825"/>
    <mergeCell ref="A826:F826"/>
    <mergeCell ref="A828:B831"/>
    <mergeCell ref="C828:G829"/>
    <mergeCell ref="C830:G830"/>
    <mergeCell ref="C831:E831"/>
    <mergeCell ref="A832:B832"/>
    <mergeCell ref="C832:E832"/>
    <mergeCell ref="A833:G833"/>
    <mergeCell ref="A834:B834"/>
    <mergeCell ref="A835:B835"/>
    <mergeCell ref="A836:G836"/>
    <mergeCell ref="A837:B837"/>
    <mergeCell ref="G837:G838"/>
    <mergeCell ref="A838:B838"/>
    <mergeCell ref="A839:B839"/>
    <mergeCell ref="A840:G840"/>
    <mergeCell ref="A841:B841"/>
    <mergeCell ref="G841:G842"/>
    <mergeCell ref="A842:B842"/>
    <mergeCell ref="A844:G844"/>
    <mergeCell ref="A847:G847"/>
    <mergeCell ref="A892:F892"/>
    <mergeCell ref="A894:B897"/>
    <mergeCell ref="C894:G895"/>
    <mergeCell ref="C896:G896"/>
    <mergeCell ref="C897:E897"/>
    <mergeCell ref="A854:B854"/>
    <mergeCell ref="C854:E854"/>
    <mergeCell ref="A855:G855"/>
    <mergeCell ref="A856:B856"/>
    <mergeCell ref="A857:B857"/>
    <mergeCell ref="A858:G858"/>
    <mergeCell ref="A859:B859"/>
    <mergeCell ref="G859:G860"/>
    <mergeCell ref="A860:B860"/>
    <mergeCell ref="A861:B861"/>
    <mergeCell ref="A862:G862"/>
    <mergeCell ref="A863:B863"/>
    <mergeCell ref="G863:G864"/>
    <mergeCell ref="A864:B864"/>
    <mergeCell ref="A866:G866"/>
    <mergeCell ref="A869:G869"/>
    <mergeCell ref="A870:F870"/>
    <mergeCell ref="A872:B875"/>
    <mergeCell ref="C872:G873"/>
    <mergeCell ref="C874:G874"/>
    <mergeCell ref="C875:E875"/>
    <mergeCell ref="A876:B876"/>
    <mergeCell ref="C876:E876"/>
    <mergeCell ref="A877:G877"/>
    <mergeCell ref="A878:B878"/>
    <mergeCell ref="A886:B886"/>
    <mergeCell ref="A888:G888"/>
    <mergeCell ref="A891:G891"/>
    <mergeCell ref="A936:F936"/>
    <mergeCell ref="A938:B941"/>
    <mergeCell ref="C938:G939"/>
    <mergeCell ref="C940:G940"/>
    <mergeCell ref="C941:E941"/>
    <mergeCell ref="A898:B898"/>
    <mergeCell ref="C898:E898"/>
    <mergeCell ref="A899:G899"/>
    <mergeCell ref="A900:B900"/>
    <mergeCell ref="A901:B901"/>
    <mergeCell ref="A902:G902"/>
    <mergeCell ref="A903:B903"/>
    <mergeCell ref="G903:G904"/>
    <mergeCell ref="A904:B904"/>
    <mergeCell ref="A905:B905"/>
    <mergeCell ref="A906:G906"/>
    <mergeCell ref="A907:B907"/>
    <mergeCell ref="G907:G908"/>
    <mergeCell ref="A908:B908"/>
    <mergeCell ref="A910:G910"/>
    <mergeCell ref="A913:G913"/>
    <mergeCell ref="A914:F914"/>
    <mergeCell ref="A916:B919"/>
    <mergeCell ref="C916:G917"/>
    <mergeCell ref="C918:G918"/>
    <mergeCell ref="C919:E919"/>
    <mergeCell ref="A920:B920"/>
    <mergeCell ref="C920:E920"/>
    <mergeCell ref="A921:G921"/>
    <mergeCell ref="A922:B922"/>
    <mergeCell ref="A923:B923"/>
    <mergeCell ref="A924:G924"/>
    <mergeCell ref="A925:B925"/>
    <mergeCell ref="G925:G926"/>
    <mergeCell ref="A926:B926"/>
    <mergeCell ref="A927:B927"/>
    <mergeCell ref="A928:G928"/>
    <mergeCell ref="A929:B929"/>
    <mergeCell ref="G929:G930"/>
    <mergeCell ref="A930:B930"/>
    <mergeCell ref="A932:G932"/>
    <mergeCell ref="A935:G935"/>
    <mergeCell ref="A980:F980"/>
    <mergeCell ref="A982:B985"/>
    <mergeCell ref="C982:G983"/>
    <mergeCell ref="C984:G984"/>
    <mergeCell ref="C985:E985"/>
    <mergeCell ref="A942:B942"/>
    <mergeCell ref="C942:E942"/>
    <mergeCell ref="A943:G943"/>
    <mergeCell ref="A944:B944"/>
    <mergeCell ref="A945:B945"/>
    <mergeCell ref="A946:G946"/>
    <mergeCell ref="A947:B947"/>
    <mergeCell ref="G947:G948"/>
    <mergeCell ref="A948:B948"/>
    <mergeCell ref="A949:B949"/>
    <mergeCell ref="A950:G950"/>
    <mergeCell ref="A951:B951"/>
    <mergeCell ref="G951:G952"/>
    <mergeCell ref="A952:B952"/>
    <mergeCell ref="A1002:F1002"/>
    <mergeCell ref="A1004:B1007"/>
    <mergeCell ref="A954:G954"/>
    <mergeCell ref="A957:G957"/>
    <mergeCell ref="A958:F958"/>
    <mergeCell ref="A960:B963"/>
    <mergeCell ref="C960:G961"/>
    <mergeCell ref="C962:G962"/>
    <mergeCell ref="C963:E963"/>
    <mergeCell ref="A964:B964"/>
    <mergeCell ref="C964:E964"/>
    <mergeCell ref="A965:G965"/>
    <mergeCell ref="A966:B966"/>
    <mergeCell ref="A967:B967"/>
    <mergeCell ref="A968:G968"/>
    <mergeCell ref="A969:B969"/>
    <mergeCell ref="G969:G970"/>
    <mergeCell ref="A970:B970"/>
    <mergeCell ref="A971:B971"/>
    <mergeCell ref="C1004:G1005"/>
    <mergeCell ref="C1006:G1006"/>
    <mergeCell ref="C1007:E1007"/>
    <mergeCell ref="A1022:B1022"/>
    <mergeCell ref="A1043:B1043"/>
    <mergeCell ref="A1044:B1044"/>
    <mergeCell ref="A1020:G1020"/>
    <mergeCell ref="A1023:G1023"/>
    <mergeCell ref="A972:G972"/>
    <mergeCell ref="A973:B973"/>
    <mergeCell ref="G973:G974"/>
    <mergeCell ref="A974:B974"/>
    <mergeCell ref="A976:G976"/>
    <mergeCell ref="A979:G979"/>
    <mergeCell ref="A1024:F1024"/>
    <mergeCell ref="A1026:B1029"/>
    <mergeCell ref="C1026:G1027"/>
    <mergeCell ref="C1028:G1028"/>
    <mergeCell ref="C1029:E1029"/>
    <mergeCell ref="A986:B986"/>
    <mergeCell ref="C986:E986"/>
    <mergeCell ref="A987:G987"/>
    <mergeCell ref="A988:B988"/>
    <mergeCell ref="A989:B989"/>
    <mergeCell ref="A990:G990"/>
    <mergeCell ref="A991:B991"/>
    <mergeCell ref="G991:G992"/>
    <mergeCell ref="A992:B992"/>
    <mergeCell ref="A993:B993"/>
    <mergeCell ref="A994:G994"/>
    <mergeCell ref="A995:B995"/>
    <mergeCell ref="G995:G996"/>
    <mergeCell ref="A996:B996"/>
    <mergeCell ref="A998:G998"/>
    <mergeCell ref="A1001:G1001"/>
    <mergeCell ref="A1008:B1008"/>
    <mergeCell ref="C1008:E1008"/>
    <mergeCell ref="A1009:G1009"/>
    <mergeCell ref="A1010:B1010"/>
    <mergeCell ref="A1011:B1011"/>
    <mergeCell ref="A1012:G1012"/>
    <mergeCell ref="A1013:B1013"/>
    <mergeCell ref="G1013:G1014"/>
    <mergeCell ref="A1014:B1014"/>
    <mergeCell ref="A1015:B1015"/>
    <mergeCell ref="A1016:G1016"/>
    <mergeCell ref="A1017:B1017"/>
    <mergeCell ref="G1017:G1018"/>
    <mergeCell ref="A1018:B1018"/>
    <mergeCell ref="C1073:E1073"/>
    <mergeCell ref="A1030:B1030"/>
    <mergeCell ref="C1030:E1030"/>
    <mergeCell ref="A1031:G1031"/>
    <mergeCell ref="A1032:B1032"/>
    <mergeCell ref="A1033:B1033"/>
    <mergeCell ref="A1034:G1034"/>
    <mergeCell ref="A1035:B1035"/>
    <mergeCell ref="G1035:G1036"/>
    <mergeCell ref="A1036:B1036"/>
    <mergeCell ref="A1037:B1037"/>
    <mergeCell ref="A1038:G1038"/>
    <mergeCell ref="A1039:B1039"/>
    <mergeCell ref="G1039:G1040"/>
    <mergeCell ref="A1040:B1040"/>
    <mergeCell ref="A1042:G1042"/>
    <mergeCell ref="A1045:G1045"/>
    <mergeCell ref="A1046:F1046"/>
    <mergeCell ref="A1048:B1051"/>
    <mergeCell ref="C1048:G1049"/>
    <mergeCell ref="A1053:G1053"/>
    <mergeCell ref="A1054:B1054"/>
    <mergeCell ref="A1065:B1065"/>
    <mergeCell ref="A1066:B1066"/>
    <mergeCell ref="A1055:B1055"/>
    <mergeCell ref="A1056:G1056"/>
    <mergeCell ref="A1057:B1057"/>
    <mergeCell ref="G1057:G1058"/>
    <mergeCell ref="C1050:G1050"/>
    <mergeCell ref="C1051:E1051"/>
    <mergeCell ref="A1052:B1052"/>
    <mergeCell ref="C1052:E1052"/>
    <mergeCell ref="A1058:B1058"/>
    <mergeCell ref="A1059:B1059"/>
    <mergeCell ref="A1060:G1060"/>
    <mergeCell ref="A1061:B1061"/>
    <mergeCell ref="G1061:G1062"/>
    <mergeCell ref="A1062:B1062"/>
    <mergeCell ref="A1064:G1064"/>
    <mergeCell ref="A1067:G1067"/>
    <mergeCell ref="A1118:B1118"/>
    <mergeCell ref="C1118:E1118"/>
    <mergeCell ref="A1112:F1112"/>
    <mergeCell ref="A1114:B1117"/>
    <mergeCell ref="C1114:G1115"/>
    <mergeCell ref="C1116:G1116"/>
    <mergeCell ref="C1117:E1117"/>
    <mergeCell ref="A1074:B1074"/>
    <mergeCell ref="C1074:E1074"/>
    <mergeCell ref="A1075:G1075"/>
    <mergeCell ref="A1076:B1076"/>
    <mergeCell ref="A1077:B1077"/>
    <mergeCell ref="A1078:G1078"/>
    <mergeCell ref="A1079:B1079"/>
    <mergeCell ref="G1079:G1080"/>
    <mergeCell ref="A1080:B1080"/>
    <mergeCell ref="A1081:B1081"/>
    <mergeCell ref="A1082:G1082"/>
    <mergeCell ref="A1083:B1083"/>
    <mergeCell ref="G1101:G1102"/>
    <mergeCell ref="A1068:F1068"/>
    <mergeCell ref="A1070:B1073"/>
    <mergeCell ref="C1070:G1071"/>
    <mergeCell ref="C1072:G1072"/>
    <mergeCell ref="A1122:G1122"/>
    <mergeCell ref="A1123:B1123"/>
    <mergeCell ref="G1123:G1124"/>
    <mergeCell ref="A1124:B1124"/>
    <mergeCell ref="A1125:B1125"/>
    <mergeCell ref="A1126:G1126"/>
    <mergeCell ref="A1127:B1127"/>
    <mergeCell ref="G1127:G1128"/>
    <mergeCell ref="A1128:B1128"/>
    <mergeCell ref="A1130:G1130"/>
    <mergeCell ref="G1083:G1084"/>
    <mergeCell ref="A1084:B1084"/>
    <mergeCell ref="A1086:G1086"/>
    <mergeCell ref="A1089:G1089"/>
    <mergeCell ref="A1090:F1090"/>
    <mergeCell ref="A1092:B1095"/>
    <mergeCell ref="C1092:G1093"/>
    <mergeCell ref="C1094:G1094"/>
    <mergeCell ref="C1095:E1095"/>
    <mergeCell ref="A1096:B1096"/>
    <mergeCell ref="C1096:E1096"/>
    <mergeCell ref="A1097:G1097"/>
    <mergeCell ref="A1098:B1098"/>
    <mergeCell ref="A1099:B1099"/>
    <mergeCell ref="A1100:G1100"/>
    <mergeCell ref="A1101:B1101"/>
    <mergeCell ref="A1102:B1102"/>
    <mergeCell ref="A1087:B1087"/>
    <mergeCell ref="A1088:B1088"/>
    <mergeCell ref="A1109:B1109"/>
    <mergeCell ref="A1110:B1110"/>
    <mergeCell ref="A1133:G1133"/>
    <mergeCell ref="A1134:F1134"/>
    <mergeCell ref="A1136:B1139"/>
    <mergeCell ref="C1136:G1137"/>
    <mergeCell ref="C1138:G1138"/>
    <mergeCell ref="C1139:E1139"/>
    <mergeCell ref="C2:G2"/>
    <mergeCell ref="G1171:G1172"/>
    <mergeCell ref="A1172:B1172"/>
    <mergeCell ref="A1162:B1162"/>
    <mergeCell ref="C1162:E1162"/>
    <mergeCell ref="A1163:G1163"/>
    <mergeCell ref="A1164:B1164"/>
    <mergeCell ref="A1165:B1165"/>
    <mergeCell ref="A1166:G1166"/>
    <mergeCell ref="A1174:G1174"/>
    <mergeCell ref="A1103:B1103"/>
    <mergeCell ref="A1104:G1104"/>
    <mergeCell ref="A1105:B1105"/>
    <mergeCell ref="G1105:G1106"/>
    <mergeCell ref="A1106:B1106"/>
    <mergeCell ref="A1108:G1108"/>
    <mergeCell ref="A1111:G1111"/>
    <mergeCell ref="A1150:B1150"/>
    <mergeCell ref="A1152:G1152"/>
    <mergeCell ref="A1155:G1155"/>
    <mergeCell ref="A1156:F1156"/>
    <mergeCell ref="A1158:B1161"/>
    <mergeCell ref="C1158:G1159"/>
    <mergeCell ref="A1119:G1119"/>
    <mergeCell ref="A1120:B1120"/>
    <mergeCell ref="A1121:B1121"/>
    <mergeCell ref="A1177:G1177"/>
    <mergeCell ref="A1178:F1178"/>
    <mergeCell ref="A1167:B1167"/>
    <mergeCell ref="G1167:G1168"/>
    <mergeCell ref="A1168:B1168"/>
    <mergeCell ref="A1169:B1169"/>
    <mergeCell ref="A1170:G1170"/>
    <mergeCell ref="A1171:B1171"/>
    <mergeCell ref="A1140:B1140"/>
    <mergeCell ref="C1140:E1140"/>
    <mergeCell ref="A1141:G1141"/>
    <mergeCell ref="A1142:B1142"/>
    <mergeCell ref="A1143:B1143"/>
    <mergeCell ref="A1144:G1144"/>
    <mergeCell ref="A1145:B1145"/>
    <mergeCell ref="G1145:G1146"/>
    <mergeCell ref="A1146:B1146"/>
    <mergeCell ref="A1147:B1147"/>
    <mergeCell ref="A1148:G1148"/>
    <mergeCell ref="A1149:B1149"/>
    <mergeCell ref="G1149:G1150"/>
    <mergeCell ref="C1160:G1160"/>
    <mergeCell ref="C1161:E1161"/>
  </mergeCells>
  <pageMargins left="0.7" right="0.7" top="0.75" bottom="0.75" header="0.3" footer="0.3"/>
  <pageSetup paperSize="9" scale="71"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pageSetUpPr fitToPage="1"/>
  </sheetPr>
  <dimension ref="A2:H187"/>
  <sheetViews>
    <sheetView topLeftCell="A177" zoomScaleNormal="100" workbookViewId="0">
      <selection activeCell="B181" sqref="B181:C186"/>
    </sheetView>
  </sheetViews>
  <sheetFormatPr baseColWidth="10" defaultColWidth="10.6640625" defaultRowHeight="14.4"/>
  <cols>
    <col min="1" max="2" width="18.6640625" customWidth="1"/>
    <col min="3" max="7" width="16.6640625" customWidth="1"/>
  </cols>
  <sheetData>
    <row r="2" spans="1:7" s="2" customFormat="1" ht="116.25" customHeight="1">
      <c r="A2" s="177"/>
      <c r="B2" s="177"/>
      <c r="C2" s="922" t="s">
        <v>0</v>
      </c>
      <c r="D2" s="922"/>
      <c r="E2" s="922"/>
      <c r="F2" s="922"/>
      <c r="G2" s="923"/>
    </row>
    <row r="4" spans="1:7" s="2" customFormat="1" ht="15.75" customHeight="1">
      <c r="A4" s="970" t="s">
        <v>1</v>
      </c>
      <c r="B4" s="957"/>
      <c r="C4" s="953" t="s">
        <v>0</v>
      </c>
      <c r="D4" s="953"/>
      <c r="E4" s="953"/>
      <c r="F4" s="953"/>
      <c r="G4" s="1103"/>
    </row>
    <row r="5" spans="1:7" s="2" customFormat="1" ht="69.75" customHeight="1">
      <c r="A5" s="971"/>
      <c r="B5" s="957"/>
      <c r="C5" s="953"/>
      <c r="D5" s="953"/>
      <c r="E5" s="953"/>
      <c r="F5" s="953"/>
      <c r="G5" s="1103"/>
    </row>
    <row r="6" spans="1:7" s="2" customFormat="1" ht="15.75" customHeight="1">
      <c r="A6" s="971"/>
      <c r="B6" s="957"/>
      <c r="C6" s="956"/>
      <c r="D6" s="957"/>
      <c r="E6" s="957"/>
      <c r="F6" s="957"/>
      <c r="G6" s="958"/>
    </row>
    <row r="7" spans="1:7" s="2" customFormat="1" ht="15.75" customHeight="1">
      <c r="A7" s="971"/>
      <c r="B7" s="957"/>
      <c r="C7" s="959" t="s">
        <v>2</v>
      </c>
      <c r="D7" s="957"/>
      <c r="E7" s="957"/>
      <c r="F7" s="23" t="s">
        <v>3</v>
      </c>
      <c r="G7" s="24" t="s">
        <v>4</v>
      </c>
    </row>
    <row r="8" spans="1:7" s="2" customFormat="1" ht="57" customHeight="1">
      <c r="A8" s="1089" t="s">
        <v>564</v>
      </c>
      <c r="B8" s="944"/>
      <c r="C8" s="980" t="s">
        <v>565</v>
      </c>
      <c r="D8" s="944"/>
      <c r="E8" s="944"/>
      <c r="F8" s="51" t="s">
        <v>37</v>
      </c>
      <c r="G8" s="52">
        <v>25.004200000000001</v>
      </c>
    </row>
    <row r="9" spans="1:7" s="2" customFormat="1" ht="15.75" customHeight="1">
      <c r="A9" s="1071" t="s">
        <v>5</v>
      </c>
      <c r="B9" s="944"/>
      <c r="C9" s="944"/>
      <c r="D9" s="944"/>
      <c r="E9" s="944"/>
      <c r="F9" s="944"/>
      <c r="G9" s="1072"/>
    </row>
    <row r="10" spans="1:7" s="2" customFormat="1" ht="15.75" customHeight="1">
      <c r="A10" s="1098" t="s">
        <v>2</v>
      </c>
      <c r="B10" s="944"/>
      <c r="C10" s="135" t="s">
        <v>3</v>
      </c>
      <c r="D10" s="135" t="s">
        <v>4</v>
      </c>
      <c r="E10" s="135" t="s">
        <v>6</v>
      </c>
      <c r="F10" s="135" t="s">
        <v>7</v>
      </c>
      <c r="G10" s="1075" t="s">
        <v>8</v>
      </c>
    </row>
    <row r="11" spans="1:7" s="2" customFormat="1" ht="15.75" customHeight="1">
      <c r="A11" s="947" t="s">
        <v>9</v>
      </c>
      <c r="B11" s="980"/>
      <c r="C11" s="51" t="s">
        <v>3</v>
      </c>
      <c r="D11" s="54">
        <v>0.05</v>
      </c>
      <c r="E11" s="17">
        <f>G28</f>
        <v>27341</v>
      </c>
      <c r="F11" s="136">
        <f>D11*E11</f>
        <v>1367.0500000000002</v>
      </c>
      <c r="G11" s="1112"/>
    </row>
    <row r="12" spans="1:7" s="2" customFormat="1" ht="15.75" customHeight="1">
      <c r="A12" s="947" t="s">
        <v>566</v>
      </c>
      <c r="B12" s="980"/>
      <c r="C12" s="141" t="s">
        <v>58</v>
      </c>
      <c r="D12" s="141">
        <v>0.5</v>
      </c>
      <c r="E12" s="17">
        <f>'MAQUINARIA Y EQUIPOS'!F10</f>
        <v>3272.5</v>
      </c>
      <c r="F12" s="136">
        <f>D12*E12</f>
        <v>1636.25</v>
      </c>
      <c r="G12" s="1112"/>
    </row>
    <row r="13" spans="1:7" s="2" customFormat="1" ht="15.75" customHeight="1">
      <c r="A13" s="947" t="s">
        <v>567</v>
      </c>
      <c r="B13" s="980"/>
      <c r="C13" s="141" t="s">
        <v>58</v>
      </c>
      <c r="D13" s="141">
        <v>0.5</v>
      </c>
      <c r="E13" s="17">
        <f>'MAQUINARIA Y EQUIPOS'!F18</f>
        <v>40460</v>
      </c>
      <c r="F13" s="136">
        <f>D13*E13</f>
        <v>20230</v>
      </c>
      <c r="G13" s="137">
        <f>SUM(F10:F13)</f>
        <v>23233.3</v>
      </c>
    </row>
    <row r="14" spans="1:7" s="2" customFormat="1" ht="13.8">
      <c r="A14" s="1071" t="s">
        <v>10</v>
      </c>
      <c r="B14" s="944"/>
      <c r="C14" s="944"/>
      <c r="D14" s="944"/>
      <c r="E14" s="944"/>
      <c r="F14" s="944"/>
      <c r="G14" s="1072"/>
    </row>
    <row r="15" spans="1:7" s="2" customFormat="1" ht="15.75" customHeight="1">
      <c r="A15" s="1098" t="s">
        <v>2</v>
      </c>
      <c r="B15" s="944"/>
      <c r="C15" s="135" t="s">
        <v>3</v>
      </c>
      <c r="D15" s="135" t="s">
        <v>4</v>
      </c>
      <c r="E15" s="135" t="s">
        <v>6</v>
      </c>
      <c r="F15" s="135" t="s">
        <v>11</v>
      </c>
      <c r="G15" s="1075" t="s">
        <v>8</v>
      </c>
    </row>
    <row r="16" spans="1:7" s="2" customFormat="1" ht="15.75" customHeight="1">
      <c r="A16" s="947" t="s">
        <v>568</v>
      </c>
      <c r="B16" s="980"/>
      <c r="C16" s="138" t="s">
        <v>37</v>
      </c>
      <c r="D16" s="54">
        <v>1.2</v>
      </c>
      <c r="E16" s="140">
        <f>'INSUMOS '!E157</f>
        <v>106202.66858997475</v>
      </c>
      <c r="F16" s="136">
        <f t="shared" ref="F16:F21" si="0">E16*D16</f>
        <v>127443.2023079697</v>
      </c>
      <c r="G16" s="1075"/>
    </row>
    <row r="17" spans="1:7" s="2" customFormat="1" ht="15.75" customHeight="1">
      <c r="A17" s="947" t="s">
        <v>569</v>
      </c>
      <c r="B17" s="980"/>
      <c r="C17" s="138" t="s">
        <v>100</v>
      </c>
      <c r="D17" s="54">
        <v>0.24</v>
      </c>
      <c r="E17" s="140">
        <f>'INSUMOS '!E159</f>
        <v>117133.33333333333</v>
      </c>
      <c r="F17" s="136">
        <f t="shared" si="0"/>
        <v>28111.999999999996</v>
      </c>
      <c r="G17" s="1075"/>
    </row>
    <row r="18" spans="1:7" s="2" customFormat="1" ht="15.75" customHeight="1">
      <c r="A18" s="947" t="s">
        <v>570</v>
      </c>
      <c r="B18" s="980"/>
      <c r="C18" s="138" t="s">
        <v>100</v>
      </c>
      <c r="D18" s="54">
        <v>1.2</v>
      </c>
      <c r="E18" s="140">
        <f>'INSUMOS '!E161</f>
        <v>40016.666666666664</v>
      </c>
      <c r="F18" s="136">
        <f t="shared" si="0"/>
        <v>48019.999999999993</v>
      </c>
      <c r="G18" s="1075"/>
    </row>
    <row r="19" spans="1:7" s="416" customFormat="1" ht="30" customHeight="1">
      <c r="A19" s="947" t="s">
        <v>571</v>
      </c>
      <c r="B19" s="980"/>
      <c r="C19" s="16" t="s">
        <v>3</v>
      </c>
      <c r="D19" s="54">
        <v>8</v>
      </c>
      <c r="E19" s="17">
        <f>'INSUMOS '!E164</f>
        <v>237.375</v>
      </c>
      <c r="F19" s="55">
        <f t="shared" si="0"/>
        <v>1899</v>
      </c>
      <c r="G19" s="1075"/>
    </row>
    <row r="20" spans="1:7" s="2" customFormat="1" ht="15.75" customHeight="1">
      <c r="A20" s="947" t="s">
        <v>572</v>
      </c>
      <c r="B20" s="980"/>
      <c r="C20" s="138" t="s">
        <v>100</v>
      </c>
      <c r="D20" s="54">
        <v>3.2000000000000001E-2</v>
      </c>
      <c r="E20" s="140">
        <f>'INSUMOS '!E159</f>
        <v>117133.33333333333</v>
      </c>
      <c r="F20" s="136">
        <f t="shared" si="0"/>
        <v>3748.2666666666664</v>
      </c>
      <c r="G20" s="1075"/>
    </row>
    <row r="21" spans="1:7" s="2" customFormat="1" ht="15.75" customHeight="1">
      <c r="A21" s="947" t="s">
        <v>573</v>
      </c>
      <c r="B21" s="980"/>
      <c r="C21" s="138" t="s">
        <v>3</v>
      </c>
      <c r="D21" s="54">
        <v>1</v>
      </c>
      <c r="E21" s="140">
        <f>'INSUMOS '!E162</f>
        <v>21900</v>
      </c>
      <c r="F21" s="136">
        <f t="shared" si="0"/>
        <v>21900</v>
      </c>
      <c r="G21" s="137">
        <f>SUM(F15:F21)</f>
        <v>231122.46897463634</v>
      </c>
    </row>
    <row r="22" spans="1:7" s="2" customFormat="1" ht="15.75" customHeight="1">
      <c r="A22" s="1071" t="s">
        <v>15</v>
      </c>
      <c r="B22" s="944"/>
      <c r="C22" s="944"/>
      <c r="D22" s="944"/>
      <c r="E22" s="944"/>
      <c r="F22" s="944"/>
      <c r="G22" s="1072"/>
    </row>
    <row r="23" spans="1:7" s="2" customFormat="1" ht="15.75" customHeight="1">
      <c r="A23" s="1098" t="s">
        <v>2</v>
      </c>
      <c r="B23" s="944"/>
      <c r="C23" s="135" t="s">
        <v>3</v>
      </c>
      <c r="D23" s="135" t="s">
        <v>4</v>
      </c>
      <c r="E23" s="135" t="s">
        <v>6</v>
      </c>
      <c r="F23" s="135" t="s">
        <v>11</v>
      </c>
      <c r="G23" s="1075" t="s">
        <v>8</v>
      </c>
    </row>
    <row r="24" spans="1:7" s="2" customFormat="1" ht="15.75" customHeight="1">
      <c r="A24" s="943" t="s">
        <v>17</v>
      </c>
      <c r="B24" s="1078"/>
      <c r="C24" s="16" t="s">
        <v>3</v>
      </c>
      <c r="D24" s="54">
        <v>3.5000000000000003E-2</v>
      </c>
      <c r="E24" s="17">
        <f>+G21</f>
        <v>231122.46897463634</v>
      </c>
      <c r="F24" s="136">
        <f>E24*D24</f>
        <v>8089.2864141122727</v>
      </c>
      <c r="G24" s="1075"/>
    </row>
    <row r="25" spans="1:7" s="2" customFormat="1" ht="15.75" customHeight="1">
      <c r="A25" s="943" t="s">
        <v>335</v>
      </c>
      <c r="B25" s="1078"/>
      <c r="C25" s="16" t="s">
        <v>3</v>
      </c>
      <c r="D25" s="54">
        <v>3.5000000000000003E-2</v>
      </c>
      <c r="E25" s="17">
        <f>G13</f>
        <v>23233.3</v>
      </c>
      <c r="F25" s="136">
        <f>E25*D25</f>
        <v>813.16550000000007</v>
      </c>
      <c r="G25" s="137">
        <f>SUM(F24:F25)</f>
        <v>8902.4519141122728</v>
      </c>
    </row>
    <row r="26" spans="1:7" s="2" customFormat="1" ht="15.75" customHeight="1">
      <c r="A26" s="1071" t="s">
        <v>19</v>
      </c>
      <c r="B26" s="944"/>
      <c r="C26" s="944"/>
      <c r="D26" s="944"/>
      <c r="E26" s="944"/>
      <c r="F26" s="944"/>
      <c r="G26" s="1072"/>
    </row>
    <row r="27" spans="1:7" s="2" customFormat="1" ht="15.75" customHeight="1">
      <c r="A27" s="1098" t="s">
        <v>2</v>
      </c>
      <c r="B27" s="944"/>
      <c r="C27" s="135" t="s">
        <v>3</v>
      </c>
      <c r="D27" s="135" t="s">
        <v>4</v>
      </c>
      <c r="E27" s="135" t="s">
        <v>6</v>
      </c>
      <c r="F27" s="135" t="s">
        <v>11</v>
      </c>
      <c r="G27" s="456" t="s">
        <v>8</v>
      </c>
    </row>
    <row r="28" spans="1:7" s="2" customFormat="1" ht="15.75" customHeight="1">
      <c r="A28" s="978" t="str">
        <f>SALARIOS!$A$69</f>
        <v>CUADRILLA BB INSTALACIONES 1:1</v>
      </c>
      <c r="B28" s="979"/>
      <c r="C28" s="13" t="s">
        <v>1245</v>
      </c>
      <c r="D28" s="32">
        <v>1</v>
      </c>
      <c r="E28" s="13">
        <f>SALARIOS!$C$69</f>
        <v>27341</v>
      </c>
      <c r="F28" s="55">
        <f>+D28*E28</f>
        <v>27341</v>
      </c>
      <c r="G28" s="57">
        <f>SUM(F27:F28)</f>
        <v>27341</v>
      </c>
    </row>
    <row r="29" spans="1:7" s="2" customFormat="1" ht="13.8">
      <c r="A29" s="1076" t="s">
        <v>25</v>
      </c>
      <c r="B29" s="944"/>
      <c r="C29" s="944"/>
      <c r="D29" s="944"/>
      <c r="E29" s="944"/>
      <c r="F29" s="944"/>
      <c r="G29" s="1072"/>
    </row>
    <row r="30" spans="1:7" s="2" customFormat="1" ht="17.399999999999999">
      <c r="A30" s="1077"/>
      <c r="B30" s="944"/>
      <c r="C30" s="944"/>
      <c r="D30" s="944"/>
      <c r="E30" s="944"/>
      <c r="F30" s="944"/>
      <c r="G30" s="62">
        <f>G28+G25+G21+G13</f>
        <v>290599.22088874859</v>
      </c>
    </row>
    <row r="31" spans="1:7" s="2" customFormat="1" ht="13.8">
      <c r="A31" s="63"/>
      <c r="B31" s="42"/>
      <c r="C31" s="42"/>
      <c r="D31" s="42"/>
      <c r="E31" s="42"/>
      <c r="F31" s="42"/>
      <c r="G31" s="64"/>
    </row>
    <row r="32" spans="1:7" s="2" customFormat="1" ht="14.25" customHeight="1">
      <c r="A32" s="970" t="s">
        <v>1</v>
      </c>
      <c r="B32" s="957"/>
      <c r="C32" s="953" t="s">
        <v>0</v>
      </c>
      <c r="D32" s="953"/>
      <c r="E32" s="953"/>
      <c r="F32" s="953"/>
      <c r="G32" s="1103"/>
    </row>
    <row r="33" spans="1:7" s="2" customFormat="1" ht="67.5" customHeight="1">
      <c r="A33" s="971"/>
      <c r="B33" s="957"/>
      <c r="C33" s="953"/>
      <c r="D33" s="953"/>
      <c r="E33" s="953"/>
      <c r="F33" s="953"/>
      <c r="G33" s="1103"/>
    </row>
    <row r="34" spans="1:7" s="2" customFormat="1" ht="15.75" customHeight="1">
      <c r="A34" s="971"/>
      <c r="B34" s="957"/>
      <c r="C34" s="956"/>
      <c r="D34" s="957"/>
      <c r="E34" s="957"/>
      <c r="F34" s="957"/>
      <c r="G34" s="958"/>
    </row>
    <row r="35" spans="1:7" s="2" customFormat="1" ht="15.75" customHeight="1">
      <c r="A35" s="971"/>
      <c r="B35" s="957"/>
      <c r="C35" s="959" t="s">
        <v>2</v>
      </c>
      <c r="D35" s="957"/>
      <c r="E35" s="957"/>
      <c r="F35" s="23" t="s">
        <v>3</v>
      </c>
      <c r="G35" s="24" t="s">
        <v>4</v>
      </c>
    </row>
    <row r="36" spans="1:7" s="2" customFormat="1" ht="61.5" customHeight="1">
      <c r="A36" s="1089" t="s">
        <v>574</v>
      </c>
      <c r="B36" s="944"/>
      <c r="C36" s="980" t="s">
        <v>575</v>
      </c>
      <c r="D36" s="944"/>
      <c r="E36" s="944"/>
      <c r="F36" s="51" t="s">
        <v>37</v>
      </c>
      <c r="G36" s="52">
        <v>8.7236999999999991</v>
      </c>
    </row>
    <row r="37" spans="1:7" s="2" customFormat="1" ht="15.75" customHeight="1">
      <c r="A37" s="1071" t="s">
        <v>5</v>
      </c>
      <c r="B37" s="944"/>
      <c r="C37" s="944"/>
      <c r="D37" s="944"/>
      <c r="E37" s="944"/>
      <c r="F37" s="944"/>
      <c r="G37" s="1072"/>
    </row>
    <row r="38" spans="1:7" s="2" customFormat="1" ht="15.75" customHeight="1">
      <c r="A38" s="1098" t="s">
        <v>2</v>
      </c>
      <c r="B38" s="944"/>
      <c r="C38" s="135" t="s">
        <v>3</v>
      </c>
      <c r="D38" s="135" t="s">
        <v>4</v>
      </c>
      <c r="E38" s="135" t="s">
        <v>6</v>
      </c>
      <c r="F38" s="135" t="s">
        <v>7</v>
      </c>
      <c r="G38" s="1075" t="s">
        <v>8</v>
      </c>
    </row>
    <row r="39" spans="1:7" s="2" customFormat="1" ht="15.75" customHeight="1">
      <c r="A39" s="947" t="s">
        <v>9</v>
      </c>
      <c r="B39" s="980"/>
      <c r="C39" s="51" t="s">
        <v>3</v>
      </c>
      <c r="D39" s="54">
        <v>0.05</v>
      </c>
      <c r="E39" s="17">
        <f>G56</f>
        <v>27341</v>
      </c>
      <c r="F39" s="136">
        <f>D39*E39</f>
        <v>1367.0500000000002</v>
      </c>
      <c r="G39" s="1112"/>
    </row>
    <row r="40" spans="1:7" s="2" customFormat="1" ht="15.75" customHeight="1">
      <c r="A40" s="947" t="s">
        <v>566</v>
      </c>
      <c r="B40" s="980"/>
      <c r="C40" s="141" t="s">
        <v>58</v>
      </c>
      <c r="D40" s="141">
        <v>0.5</v>
      </c>
      <c r="E40" s="17">
        <f>'MAQUINARIA Y EQUIPOS'!F10</f>
        <v>3272.5</v>
      </c>
      <c r="F40" s="136">
        <f>D40*E40</f>
        <v>1636.25</v>
      </c>
      <c r="G40" s="1112"/>
    </row>
    <row r="41" spans="1:7" s="2" customFormat="1" ht="15.75" customHeight="1">
      <c r="A41" s="947" t="s">
        <v>567</v>
      </c>
      <c r="B41" s="980"/>
      <c r="C41" s="141" t="s">
        <v>58</v>
      </c>
      <c r="D41" s="141">
        <v>0.5</v>
      </c>
      <c r="E41" s="17">
        <f>'MAQUINARIA Y EQUIPOS'!F18</f>
        <v>40460</v>
      </c>
      <c r="F41" s="136">
        <f>D41*E41</f>
        <v>20230</v>
      </c>
      <c r="G41" s="137">
        <f>SUM(F38:F41)</f>
        <v>23233.3</v>
      </c>
    </row>
    <row r="42" spans="1:7" s="2" customFormat="1" ht="15.75" customHeight="1">
      <c r="A42" s="1071" t="s">
        <v>10</v>
      </c>
      <c r="B42" s="944"/>
      <c r="C42" s="944"/>
      <c r="D42" s="944"/>
      <c r="E42" s="944"/>
      <c r="F42" s="944"/>
      <c r="G42" s="1072"/>
    </row>
    <row r="43" spans="1:7" s="2" customFormat="1" ht="15.75" customHeight="1">
      <c r="A43" s="1098" t="s">
        <v>2</v>
      </c>
      <c r="B43" s="944"/>
      <c r="C43" s="135" t="s">
        <v>3</v>
      </c>
      <c r="D43" s="135" t="s">
        <v>4</v>
      </c>
      <c r="E43" s="135" t="s">
        <v>6</v>
      </c>
      <c r="F43" s="135" t="s">
        <v>11</v>
      </c>
      <c r="G43" s="1075" t="s">
        <v>8</v>
      </c>
    </row>
    <row r="44" spans="1:7" s="2" customFormat="1" ht="15.75" customHeight="1">
      <c r="A44" s="947" t="s">
        <v>568</v>
      </c>
      <c r="B44" s="980"/>
      <c r="C44" s="138" t="s">
        <v>37</v>
      </c>
      <c r="D44" s="54">
        <v>1.2</v>
      </c>
      <c r="E44" s="140">
        <f>'INSUMOS '!E157</f>
        <v>106202.66858997475</v>
      </c>
      <c r="F44" s="136">
        <f t="shared" ref="F44:F49" si="1">E44*D44</f>
        <v>127443.2023079697</v>
      </c>
      <c r="G44" s="1075"/>
    </row>
    <row r="45" spans="1:7" s="2" customFormat="1" ht="15.75" customHeight="1">
      <c r="A45" s="947" t="s">
        <v>569</v>
      </c>
      <c r="B45" s="980"/>
      <c r="C45" s="138" t="s">
        <v>100</v>
      </c>
      <c r="D45" s="54">
        <v>0.8</v>
      </c>
      <c r="E45" s="140">
        <f>'INSUMOS '!E159</f>
        <v>117133.33333333333</v>
      </c>
      <c r="F45" s="136">
        <f t="shared" si="1"/>
        <v>93706.666666666672</v>
      </c>
      <c r="G45" s="1075"/>
    </row>
    <row r="46" spans="1:7" s="2" customFormat="1" ht="15.75" customHeight="1">
      <c r="A46" s="947" t="s">
        <v>570</v>
      </c>
      <c r="B46" s="980"/>
      <c r="C46" s="138" t="s">
        <v>100</v>
      </c>
      <c r="D46" s="54">
        <v>0.86</v>
      </c>
      <c r="E46" s="140">
        <f>'INSUMOS '!E161</f>
        <v>40016.666666666664</v>
      </c>
      <c r="F46" s="136">
        <f t="shared" si="1"/>
        <v>34414.333333333328</v>
      </c>
      <c r="G46" s="1075"/>
    </row>
    <row r="47" spans="1:7" s="416" customFormat="1" ht="28.5" customHeight="1">
      <c r="A47" s="947" t="s">
        <v>571</v>
      </c>
      <c r="B47" s="980"/>
      <c r="C47" s="16" t="s">
        <v>3</v>
      </c>
      <c r="D47" s="54">
        <v>8</v>
      </c>
      <c r="E47" s="17">
        <f>'INSUMOS '!E164</f>
        <v>237.375</v>
      </c>
      <c r="F47" s="55">
        <f t="shared" si="1"/>
        <v>1899</v>
      </c>
      <c r="G47" s="1075"/>
    </row>
    <row r="48" spans="1:7" s="2" customFormat="1" ht="15.75" customHeight="1">
      <c r="A48" s="947" t="s">
        <v>572</v>
      </c>
      <c r="B48" s="980"/>
      <c r="C48" s="138" t="s">
        <v>100</v>
      </c>
      <c r="D48" s="54">
        <v>7.1999999999999995E-2</v>
      </c>
      <c r="E48" s="140">
        <f>'INSUMOS '!E159</f>
        <v>117133.33333333333</v>
      </c>
      <c r="F48" s="136">
        <f t="shared" si="1"/>
        <v>8433.5999999999985</v>
      </c>
      <c r="G48" s="1075"/>
    </row>
    <row r="49" spans="1:7" s="2" customFormat="1" ht="15.75" customHeight="1">
      <c r="A49" s="947" t="s">
        <v>573</v>
      </c>
      <c r="B49" s="980"/>
      <c r="C49" s="138" t="s">
        <v>3</v>
      </c>
      <c r="D49" s="54">
        <v>1</v>
      </c>
      <c r="E49" s="140">
        <f>'INSUMOS '!E162</f>
        <v>21900</v>
      </c>
      <c r="F49" s="136">
        <f t="shared" si="1"/>
        <v>21900</v>
      </c>
      <c r="G49" s="137">
        <f>SUM(F43:F49)</f>
        <v>287796.80230796966</v>
      </c>
    </row>
    <row r="50" spans="1:7" s="2" customFormat="1" ht="15.75" customHeight="1">
      <c r="A50" s="1071" t="s">
        <v>15</v>
      </c>
      <c r="B50" s="944"/>
      <c r="C50" s="944"/>
      <c r="D50" s="944"/>
      <c r="E50" s="944"/>
      <c r="F50" s="944"/>
      <c r="G50" s="1072"/>
    </row>
    <row r="51" spans="1:7" s="2" customFormat="1" ht="15.75" customHeight="1">
      <c r="A51" s="1098" t="s">
        <v>2</v>
      </c>
      <c r="B51" s="944"/>
      <c r="C51" s="135" t="s">
        <v>3</v>
      </c>
      <c r="D51" s="135" t="s">
        <v>4</v>
      </c>
      <c r="E51" s="135" t="s">
        <v>6</v>
      </c>
      <c r="F51" s="135" t="s">
        <v>11</v>
      </c>
      <c r="G51" s="1075" t="s">
        <v>8</v>
      </c>
    </row>
    <row r="52" spans="1:7" s="2" customFormat="1" ht="15.75" customHeight="1">
      <c r="A52" s="943" t="s">
        <v>17</v>
      </c>
      <c r="B52" s="1078"/>
      <c r="C52" s="16" t="s">
        <v>3</v>
      </c>
      <c r="D52" s="54">
        <v>3.5000000000000003E-2</v>
      </c>
      <c r="E52" s="17">
        <f>+G49</f>
        <v>287796.80230796966</v>
      </c>
      <c r="F52" s="136">
        <f>E52*D52</f>
        <v>10072.888080778939</v>
      </c>
      <c r="G52" s="1075"/>
    </row>
    <row r="53" spans="1:7" s="2" customFormat="1" ht="15.75" customHeight="1">
      <c r="A53" s="943" t="s">
        <v>335</v>
      </c>
      <c r="B53" s="1078"/>
      <c r="C53" s="16" t="s">
        <v>3</v>
      </c>
      <c r="D53" s="54">
        <v>3.5000000000000003E-2</v>
      </c>
      <c r="E53" s="17">
        <f>G41</f>
        <v>23233.3</v>
      </c>
      <c r="F53" s="136">
        <f>E53*D53</f>
        <v>813.16550000000007</v>
      </c>
      <c r="G53" s="137">
        <f>SUM(F52:F53)</f>
        <v>10886.053580778938</v>
      </c>
    </row>
    <row r="54" spans="1:7" s="2" customFormat="1" ht="15.75" customHeight="1">
      <c r="A54" s="1071" t="s">
        <v>19</v>
      </c>
      <c r="B54" s="944"/>
      <c r="C54" s="944"/>
      <c r="D54" s="944"/>
      <c r="E54" s="944"/>
      <c r="F54" s="944"/>
      <c r="G54" s="1072"/>
    </row>
    <row r="55" spans="1:7" s="2" customFormat="1" ht="15.75" customHeight="1">
      <c r="A55" s="1098" t="s">
        <v>2</v>
      </c>
      <c r="B55" s="944"/>
      <c r="C55" s="135" t="s">
        <v>3</v>
      </c>
      <c r="D55" s="135" t="s">
        <v>4</v>
      </c>
      <c r="E55" s="135" t="s">
        <v>6</v>
      </c>
      <c r="F55" s="135" t="s">
        <v>11</v>
      </c>
      <c r="G55" s="456" t="s">
        <v>8</v>
      </c>
    </row>
    <row r="56" spans="1:7" s="2" customFormat="1" ht="15.75" customHeight="1">
      <c r="A56" s="978" t="str">
        <f>SALARIOS!$A$69</f>
        <v>CUADRILLA BB INSTALACIONES 1:1</v>
      </c>
      <c r="B56" s="979"/>
      <c r="C56" s="13" t="s">
        <v>1245</v>
      </c>
      <c r="D56" s="32">
        <v>1</v>
      </c>
      <c r="E56" s="13">
        <f>SALARIOS!$C$69</f>
        <v>27341</v>
      </c>
      <c r="F56" s="55">
        <f>+D56*E56</f>
        <v>27341</v>
      </c>
      <c r="G56" s="57">
        <f>SUM(F55:F56)</f>
        <v>27341</v>
      </c>
    </row>
    <row r="57" spans="1:7" s="2" customFormat="1" ht="15.75" customHeight="1">
      <c r="A57" s="1076" t="s">
        <v>25</v>
      </c>
      <c r="B57" s="944"/>
      <c r="C57" s="944"/>
      <c r="D57" s="944"/>
      <c r="E57" s="944"/>
      <c r="F57" s="944"/>
      <c r="G57" s="1072"/>
    </row>
    <row r="58" spans="1:7" s="2" customFormat="1" ht="17.399999999999999">
      <c r="A58" s="1077"/>
      <c r="B58" s="944"/>
      <c r="C58" s="944"/>
      <c r="D58" s="944"/>
      <c r="E58" s="944"/>
      <c r="F58" s="944"/>
      <c r="G58" s="62">
        <f>G56+G53+G49+G41</f>
        <v>349257.15588874859</v>
      </c>
    </row>
    <row r="59" spans="1:7" s="2" customFormat="1" ht="15.75" customHeight="1">
      <c r="A59" s="63"/>
      <c r="B59" s="42"/>
      <c r="C59" s="42"/>
      <c r="D59" s="42"/>
      <c r="E59" s="42"/>
      <c r="F59" s="42"/>
      <c r="G59" s="64"/>
    </row>
    <row r="60" spans="1:7" s="2" customFormat="1" ht="15.75" customHeight="1">
      <c r="A60" s="970" t="s">
        <v>1</v>
      </c>
      <c r="B60" s="957"/>
      <c r="C60" s="953" t="s">
        <v>0</v>
      </c>
      <c r="D60" s="953"/>
      <c r="E60" s="953"/>
      <c r="F60" s="953"/>
      <c r="G60" s="1103"/>
    </row>
    <row r="61" spans="1:7" s="2" customFormat="1" ht="57.75" customHeight="1">
      <c r="A61" s="971"/>
      <c r="B61" s="957"/>
      <c r="C61" s="953"/>
      <c r="D61" s="953"/>
      <c r="E61" s="953"/>
      <c r="F61" s="953"/>
      <c r="G61" s="1103"/>
    </row>
    <row r="62" spans="1:7" s="2" customFormat="1" ht="15.75" customHeight="1">
      <c r="A62" s="971"/>
      <c r="B62" s="957"/>
      <c r="C62" s="956"/>
      <c r="D62" s="957"/>
      <c r="E62" s="957"/>
      <c r="F62" s="957"/>
      <c r="G62" s="958"/>
    </row>
    <row r="63" spans="1:7" s="2" customFormat="1" ht="15.75" customHeight="1">
      <c r="A63" s="971"/>
      <c r="B63" s="957"/>
      <c r="C63" s="959" t="s">
        <v>2</v>
      </c>
      <c r="D63" s="957"/>
      <c r="E63" s="957"/>
      <c r="F63" s="23" t="s">
        <v>3</v>
      </c>
      <c r="G63" s="24" t="s">
        <v>4</v>
      </c>
    </row>
    <row r="64" spans="1:7" s="2" customFormat="1" ht="45.75" customHeight="1">
      <c r="A64" s="1089" t="s">
        <v>576</v>
      </c>
      <c r="B64" s="944"/>
      <c r="C64" s="980" t="s">
        <v>577</v>
      </c>
      <c r="D64" s="944"/>
      <c r="E64" s="944"/>
      <c r="F64" s="51" t="s">
        <v>37</v>
      </c>
      <c r="G64" s="142">
        <v>10.25</v>
      </c>
    </row>
    <row r="65" spans="1:7" s="2" customFormat="1" ht="15.75" customHeight="1">
      <c r="A65" s="1071" t="s">
        <v>5</v>
      </c>
      <c r="B65" s="944"/>
      <c r="C65" s="944"/>
      <c r="D65" s="944"/>
      <c r="E65" s="944"/>
      <c r="F65" s="944"/>
      <c r="G65" s="1072"/>
    </row>
    <row r="66" spans="1:7" s="2" customFormat="1" ht="15.75" customHeight="1">
      <c r="A66" s="1098" t="s">
        <v>2</v>
      </c>
      <c r="B66" s="944"/>
      <c r="C66" s="135" t="s">
        <v>3</v>
      </c>
      <c r="D66" s="135" t="s">
        <v>4</v>
      </c>
      <c r="E66" s="135" t="s">
        <v>6</v>
      </c>
      <c r="F66" s="135" t="s">
        <v>7</v>
      </c>
      <c r="G66" s="1075" t="s">
        <v>8</v>
      </c>
    </row>
    <row r="67" spans="1:7" s="2" customFormat="1" ht="15.75" customHeight="1">
      <c r="A67" s="947" t="s">
        <v>9</v>
      </c>
      <c r="B67" s="980"/>
      <c r="C67" s="51" t="s">
        <v>3</v>
      </c>
      <c r="D67" s="54">
        <v>0.05</v>
      </c>
      <c r="E67" s="17">
        <f>G84</f>
        <v>27341</v>
      </c>
      <c r="F67" s="136">
        <f>D67*E67</f>
        <v>1367.0500000000002</v>
      </c>
      <c r="G67" s="1112"/>
    </row>
    <row r="68" spans="1:7" s="2" customFormat="1" ht="13.8">
      <c r="A68" s="947" t="s">
        <v>566</v>
      </c>
      <c r="B68" s="980"/>
      <c r="C68" s="141" t="s">
        <v>58</v>
      </c>
      <c r="D68" s="141">
        <v>0.5</v>
      </c>
      <c r="E68" s="17">
        <f>'MAQUINARIA Y EQUIPOS'!F10</f>
        <v>3272.5</v>
      </c>
      <c r="F68" s="136">
        <f>D68*E68</f>
        <v>1636.25</v>
      </c>
      <c r="G68" s="1112"/>
    </row>
    <row r="69" spans="1:7" s="2" customFormat="1" ht="15.75" customHeight="1">
      <c r="A69" s="947" t="s">
        <v>567</v>
      </c>
      <c r="B69" s="980"/>
      <c r="C69" s="141" t="s">
        <v>58</v>
      </c>
      <c r="D69" s="141">
        <v>0.5</v>
      </c>
      <c r="E69" s="17">
        <f>'MAQUINARIA Y EQUIPOS'!F18</f>
        <v>40460</v>
      </c>
      <c r="F69" s="136">
        <f>D69*E69</f>
        <v>20230</v>
      </c>
      <c r="G69" s="137">
        <f>SUM(F66:F69)</f>
        <v>23233.3</v>
      </c>
    </row>
    <row r="70" spans="1:7" s="2" customFormat="1" ht="15.75" customHeight="1">
      <c r="A70" s="1071" t="s">
        <v>10</v>
      </c>
      <c r="B70" s="944"/>
      <c r="C70" s="944"/>
      <c r="D70" s="944"/>
      <c r="E70" s="944"/>
      <c r="F70" s="944"/>
      <c r="G70" s="1072"/>
    </row>
    <row r="71" spans="1:7" s="2" customFormat="1" ht="15.75" customHeight="1">
      <c r="A71" s="1098" t="s">
        <v>2</v>
      </c>
      <c r="B71" s="944"/>
      <c r="C71" s="135" t="s">
        <v>3</v>
      </c>
      <c r="D71" s="135" t="s">
        <v>4</v>
      </c>
      <c r="E71" s="135" t="s">
        <v>6</v>
      </c>
      <c r="F71" s="135" t="s">
        <v>11</v>
      </c>
      <c r="G71" s="1075" t="s">
        <v>8</v>
      </c>
    </row>
    <row r="72" spans="1:7" s="2" customFormat="1" ht="15.75" customHeight="1">
      <c r="A72" s="947" t="s">
        <v>568</v>
      </c>
      <c r="B72" s="980"/>
      <c r="C72" s="138" t="s">
        <v>37</v>
      </c>
      <c r="D72" s="54">
        <v>1.2</v>
      </c>
      <c r="E72" s="140">
        <f>'INSUMOS '!E157</f>
        <v>106202.66858997475</v>
      </c>
      <c r="F72" s="136">
        <f t="shared" ref="F72:F77" si="2">E72*D72</f>
        <v>127443.2023079697</v>
      </c>
      <c r="G72" s="1075"/>
    </row>
    <row r="73" spans="1:7" s="2" customFormat="1" ht="15.75" customHeight="1">
      <c r="A73" s="947" t="s">
        <v>569</v>
      </c>
      <c r="B73" s="980"/>
      <c r="C73" s="138" t="s">
        <v>100</v>
      </c>
      <c r="D73" s="54">
        <v>0.93500000000000005</v>
      </c>
      <c r="E73" s="140">
        <f>'INSUMOS '!E159</f>
        <v>117133.33333333333</v>
      </c>
      <c r="F73" s="136">
        <f t="shared" si="2"/>
        <v>109519.66666666667</v>
      </c>
      <c r="G73" s="1075"/>
    </row>
    <row r="74" spans="1:7" s="2" customFormat="1" ht="15.75" customHeight="1">
      <c r="A74" s="947" t="s">
        <v>570</v>
      </c>
      <c r="B74" s="980"/>
      <c r="C74" s="138" t="s">
        <v>100</v>
      </c>
      <c r="D74" s="54">
        <v>0.93500000000000005</v>
      </c>
      <c r="E74" s="140">
        <f>'INSUMOS '!E161</f>
        <v>40016.666666666664</v>
      </c>
      <c r="F74" s="136">
        <f t="shared" si="2"/>
        <v>37415.583333333336</v>
      </c>
      <c r="G74" s="1075"/>
    </row>
    <row r="75" spans="1:7" s="416" customFormat="1" ht="32.25" customHeight="1">
      <c r="A75" s="947" t="s">
        <v>571</v>
      </c>
      <c r="B75" s="980"/>
      <c r="C75" s="16" t="s">
        <v>3</v>
      </c>
      <c r="D75" s="54">
        <v>7</v>
      </c>
      <c r="E75" s="17">
        <f>'INSUMOS '!E164</f>
        <v>237.375</v>
      </c>
      <c r="F75" s="55">
        <f t="shared" si="2"/>
        <v>1661.625</v>
      </c>
      <c r="G75" s="1075"/>
    </row>
    <row r="76" spans="1:7" s="2" customFormat="1" ht="15.75" customHeight="1">
      <c r="A76" s="947" t="s">
        <v>572</v>
      </c>
      <c r="B76" s="980"/>
      <c r="C76" s="138" t="s">
        <v>100</v>
      </c>
      <c r="D76" s="54">
        <v>0.09</v>
      </c>
      <c r="E76" s="140">
        <f>'INSUMOS '!E159</f>
        <v>117133.33333333333</v>
      </c>
      <c r="F76" s="136">
        <f t="shared" si="2"/>
        <v>10542</v>
      </c>
      <c r="G76" s="1075"/>
    </row>
    <row r="77" spans="1:7" s="2" customFormat="1" ht="15.75" customHeight="1">
      <c r="A77" s="947" t="s">
        <v>573</v>
      </c>
      <c r="B77" s="980"/>
      <c r="C77" s="138" t="s">
        <v>3</v>
      </c>
      <c r="D77" s="54">
        <v>1</v>
      </c>
      <c r="E77" s="140">
        <f>'INSUMOS '!E162</f>
        <v>21900</v>
      </c>
      <c r="F77" s="136">
        <f t="shared" si="2"/>
        <v>21900</v>
      </c>
      <c r="G77" s="137">
        <f>SUM(F71:F77)</f>
        <v>308482.07730796968</v>
      </c>
    </row>
    <row r="78" spans="1:7" s="2" customFormat="1" ht="15.75" customHeight="1">
      <c r="A78" s="1071" t="s">
        <v>15</v>
      </c>
      <c r="B78" s="944"/>
      <c r="C78" s="944"/>
      <c r="D78" s="944"/>
      <c r="E78" s="944"/>
      <c r="F78" s="944"/>
      <c r="G78" s="1072"/>
    </row>
    <row r="79" spans="1:7" s="2" customFormat="1" ht="15.75" customHeight="1">
      <c r="A79" s="1098" t="s">
        <v>2</v>
      </c>
      <c r="B79" s="944"/>
      <c r="C79" s="135" t="s">
        <v>3</v>
      </c>
      <c r="D79" s="135" t="s">
        <v>4</v>
      </c>
      <c r="E79" s="135" t="s">
        <v>6</v>
      </c>
      <c r="F79" s="135" t="s">
        <v>11</v>
      </c>
      <c r="G79" s="1075" t="s">
        <v>8</v>
      </c>
    </row>
    <row r="80" spans="1:7" s="2" customFormat="1" ht="15.75" customHeight="1">
      <c r="A80" s="943" t="s">
        <v>17</v>
      </c>
      <c r="B80" s="1078"/>
      <c r="C80" s="16" t="s">
        <v>3</v>
      </c>
      <c r="D80" s="54">
        <v>3.5000000000000003E-2</v>
      </c>
      <c r="E80" s="17">
        <f>+G77</f>
        <v>308482.07730796968</v>
      </c>
      <c r="F80" s="136">
        <f>E80*D80</f>
        <v>10796.87270577894</v>
      </c>
      <c r="G80" s="1075"/>
    </row>
    <row r="81" spans="1:7" s="2" customFormat="1" ht="15.75" customHeight="1">
      <c r="A81" s="943" t="s">
        <v>335</v>
      </c>
      <c r="B81" s="1078"/>
      <c r="C81" s="16" t="s">
        <v>3</v>
      </c>
      <c r="D81" s="54">
        <v>3.5000000000000003E-2</v>
      </c>
      <c r="E81" s="17">
        <f>G69</f>
        <v>23233.3</v>
      </c>
      <c r="F81" s="136">
        <f>E81*D81</f>
        <v>813.16550000000007</v>
      </c>
      <c r="G81" s="137">
        <f>SUM(F80:F81)</f>
        <v>11610.038205778939</v>
      </c>
    </row>
    <row r="82" spans="1:7" s="2" customFormat="1" ht="15.75" customHeight="1">
      <c r="A82" s="1071" t="s">
        <v>19</v>
      </c>
      <c r="B82" s="944"/>
      <c r="C82" s="944"/>
      <c r="D82" s="944"/>
      <c r="E82" s="944"/>
      <c r="F82" s="944"/>
      <c r="G82" s="1072"/>
    </row>
    <row r="83" spans="1:7" s="2" customFormat="1" ht="15.75" customHeight="1">
      <c r="A83" s="1098" t="s">
        <v>2</v>
      </c>
      <c r="B83" s="944"/>
      <c r="C83" s="135" t="s">
        <v>3</v>
      </c>
      <c r="D83" s="135" t="s">
        <v>4</v>
      </c>
      <c r="E83" s="135" t="s">
        <v>6</v>
      </c>
      <c r="F83" s="135" t="s">
        <v>11</v>
      </c>
      <c r="G83" s="456" t="s">
        <v>8</v>
      </c>
    </row>
    <row r="84" spans="1:7" s="2" customFormat="1" ht="15.75" customHeight="1">
      <c r="A84" s="978" t="str">
        <f>SALARIOS!$A$69</f>
        <v>CUADRILLA BB INSTALACIONES 1:1</v>
      </c>
      <c r="B84" s="979"/>
      <c r="C84" s="13" t="s">
        <v>1245</v>
      </c>
      <c r="D84" s="32">
        <v>1</v>
      </c>
      <c r="E84" s="13">
        <f>SALARIOS!$C$69</f>
        <v>27341</v>
      </c>
      <c r="F84" s="55">
        <f>+D84*E84</f>
        <v>27341</v>
      </c>
      <c r="G84" s="57">
        <f>SUM(F83:F84)</f>
        <v>27341</v>
      </c>
    </row>
    <row r="85" spans="1:7" s="2" customFormat="1" ht="13.8">
      <c r="A85" s="1076" t="s">
        <v>25</v>
      </c>
      <c r="B85" s="944"/>
      <c r="C85" s="944"/>
      <c r="D85" s="944"/>
      <c r="E85" s="944"/>
      <c r="F85" s="944"/>
      <c r="G85" s="1072"/>
    </row>
    <row r="86" spans="1:7" s="2" customFormat="1" ht="15.75" customHeight="1">
      <c r="A86" s="1077"/>
      <c r="B86" s="944"/>
      <c r="C86" s="944"/>
      <c r="D86" s="944"/>
      <c r="E86" s="944"/>
      <c r="F86" s="944"/>
      <c r="G86" s="62">
        <f>G84+G81+G77+G69</f>
        <v>370666.41551374859</v>
      </c>
    </row>
    <row r="87" spans="1:7" s="2" customFormat="1" ht="22.5" customHeight="1">
      <c r="A87" s="63"/>
      <c r="B87" s="42"/>
      <c r="C87" s="42"/>
      <c r="D87" s="42"/>
      <c r="E87" s="42"/>
      <c r="F87" s="42"/>
      <c r="G87" s="64"/>
    </row>
    <row r="88" spans="1:7" s="2" customFormat="1" ht="15.75" customHeight="1">
      <c r="A88" s="970" t="s">
        <v>1</v>
      </c>
      <c r="B88" s="957"/>
      <c r="C88" s="953" t="s">
        <v>0</v>
      </c>
      <c r="D88" s="953"/>
      <c r="E88" s="953"/>
      <c r="F88" s="953"/>
      <c r="G88" s="1103"/>
    </row>
    <row r="89" spans="1:7" s="2" customFormat="1" ht="54.75" customHeight="1">
      <c r="A89" s="971"/>
      <c r="B89" s="957"/>
      <c r="C89" s="953"/>
      <c r="D89" s="953"/>
      <c r="E89" s="953"/>
      <c r="F89" s="953"/>
      <c r="G89" s="1103"/>
    </row>
    <row r="90" spans="1:7" s="2" customFormat="1" ht="15.75" customHeight="1">
      <c r="A90" s="971"/>
      <c r="B90" s="957"/>
      <c r="C90" s="956"/>
      <c r="D90" s="957"/>
      <c r="E90" s="957"/>
      <c r="F90" s="957"/>
      <c r="G90" s="958"/>
    </row>
    <row r="91" spans="1:7" s="2" customFormat="1" ht="15.75" customHeight="1">
      <c r="A91" s="971"/>
      <c r="B91" s="957"/>
      <c r="C91" s="959" t="s">
        <v>2</v>
      </c>
      <c r="D91" s="957"/>
      <c r="E91" s="957"/>
      <c r="F91" s="23" t="s">
        <v>3</v>
      </c>
      <c r="G91" s="24" t="s">
        <v>4</v>
      </c>
    </row>
    <row r="92" spans="1:7" s="2" customFormat="1" ht="48.75" customHeight="1">
      <c r="A92" s="1089" t="s">
        <v>578</v>
      </c>
      <c r="B92" s="944"/>
      <c r="C92" s="980" t="s">
        <v>579</v>
      </c>
      <c r="D92" s="944"/>
      <c r="E92" s="944"/>
      <c r="F92" s="51" t="s">
        <v>37</v>
      </c>
      <c r="G92" s="52">
        <v>299.03000000000003</v>
      </c>
    </row>
    <row r="93" spans="1:7" s="2" customFormat="1" ht="15.75" customHeight="1">
      <c r="A93" s="1071" t="s">
        <v>5</v>
      </c>
      <c r="B93" s="944"/>
      <c r="C93" s="944"/>
      <c r="D93" s="944"/>
      <c r="E93" s="944"/>
      <c r="F93" s="944"/>
      <c r="G93" s="1072"/>
    </row>
    <row r="94" spans="1:7" s="2" customFormat="1" ht="15.75" customHeight="1">
      <c r="A94" s="1074" t="s">
        <v>2</v>
      </c>
      <c r="B94" s="944"/>
      <c r="C94" s="53" t="s">
        <v>3</v>
      </c>
      <c r="D94" s="53" t="s">
        <v>4</v>
      </c>
      <c r="E94" s="53" t="s">
        <v>6</v>
      </c>
      <c r="F94" s="53" t="s">
        <v>7</v>
      </c>
      <c r="G94" s="1075" t="s">
        <v>8</v>
      </c>
    </row>
    <row r="95" spans="1:7" s="2" customFormat="1" ht="13.8">
      <c r="A95" s="947" t="s">
        <v>167</v>
      </c>
      <c r="B95" s="980"/>
      <c r="C95" s="51" t="s">
        <v>3</v>
      </c>
      <c r="D95" s="54">
        <v>0.05</v>
      </c>
      <c r="E95" s="17">
        <f>G115</f>
        <v>27341</v>
      </c>
      <c r="F95" s="55">
        <f>D95*E95</f>
        <v>1367.0500000000002</v>
      </c>
      <c r="G95" s="1075"/>
    </row>
    <row r="96" spans="1:7" s="2" customFormat="1" ht="15.75" customHeight="1">
      <c r="A96" s="947" t="s">
        <v>566</v>
      </c>
      <c r="B96" s="980"/>
      <c r="C96" s="141" t="s">
        <v>58</v>
      </c>
      <c r="D96" s="16">
        <v>0.13333333333333333</v>
      </c>
      <c r="E96" s="143">
        <f>'MAQUINARIA Y EQUIPOS'!F10</f>
        <v>3272.5</v>
      </c>
      <c r="F96" s="55">
        <f>D96*E96</f>
        <v>436.33333333333331</v>
      </c>
      <c r="G96" s="1075"/>
    </row>
    <row r="97" spans="1:7" s="2" customFormat="1" ht="15.75" customHeight="1">
      <c r="A97" s="947" t="s">
        <v>580</v>
      </c>
      <c r="B97" s="944"/>
      <c r="C97" s="51" t="s">
        <v>58</v>
      </c>
      <c r="D97" s="54">
        <v>6.6666666666666666E-2</v>
      </c>
      <c r="E97" s="17">
        <f>'MAQUINARIA Y EQUIPOS'!F34</f>
        <v>68000</v>
      </c>
      <c r="F97" s="55">
        <f>D97*E97</f>
        <v>4533.333333333333</v>
      </c>
      <c r="G97" s="1075"/>
    </row>
    <row r="98" spans="1:7" s="2" customFormat="1" ht="15.75" customHeight="1">
      <c r="A98" s="144"/>
      <c r="B98" s="113"/>
      <c r="C98" s="51"/>
      <c r="D98" s="54"/>
      <c r="E98" s="17"/>
      <c r="F98" s="55"/>
      <c r="G98" s="57">
        <f>SUM(F94:F97)</f>
        <v>6336.7166666666662</v>
      </c>
    </row>
    <row r="99" spans="1:7" s="2" customFormat="1" ht="15.75" customHeight="1">
      <c r="A99" s="1071" t="s">
        <v>10</v>
      </c>
      <c r="B99" s="944"/>
      <c r="C99" s="944"/>
      <c r="D99" s="944"/>
      <c r="E99" s="944"/>
      <c r="F99" s="944"/>
      <c r="G99" s="1072"/>
    </row>
    <row r="100" spans="1:7" s="2" customFormat="1" ht="15.75" customHeight="1">
      <c r="A100" s="1074" t="s">
        <v>2</v>
      </c>
      <c r="B100" s="944"/>
      <c r="C100" s="53" t="s">
        <v>3</v>
      </c>
      <c r="D100" s="53" t="s">
        <v>4</v>
      </c>
      <c r="E100" s="53" t="s">
        <v>6</v>
      </c>
      <c r="F100" s="53" t="s">
        <v>11</v>
      </c>
      <c r="G100" s="1075" t="s">
        <v>8</v>
      </c>
    </row>
    <row r="101" spans="1:7" s="2" customFormat="1" ht="15.75" customHeight="1">
      <c r="A101" s="947" t="s">
        <v>581</v>
      </c>
      <c r="B101" s="980"/>
      <c r="C101" s="16" t="s">
        <v>37</v>
      </c>
      <c r="D101" s="16">
        <v>1.1000000000000001</v>
      </c>
      <c r="E101" s="17">
        <f>'INSUMOS '!E142</f>
        <v>10930</v>
      </c>
      <c r="F101" s="55">
        <f>D101*E101</f>
        <v>12023.000000000002</v>
      </c>
      <c r="G101" s="1075"/>
    </row>
    <row r="102" spans="1:7" s="2" customFormat="1" ht="15.75" customHeight="1">
      <c r="A102" s="947" t="s">
        <v>582</v>
      </c>
      <c r="B102" s="980"/>
      <c r="C102" s="16" t="s">
        <v>3</v>
      </c>
      <c r="D102" s="16">
        <v>0.05</v>
      </c>
      <c r="E102" s="17">
        <f>'INSUMOS '!E143</f>
        <v>38900</v>
      </c>
      <c r="F102" s="55">
        <f t="shared" ref="F102:F108" si="3">E102*D102</f>
        <v>1945</v>
      </c>
      <c r="G102" s="1075"/>
    </row>
    <row r="103" spans="1:7" s="2" customFormat="1" ht="15.75" customHeight="1">
      <c r="A103" s="947" t="s">
        <v>583</v>
      </c>
      <c r="B103" s="980"/>
      <c r="C103" s="16" t="s">
        <v>3</v>
      </c>
      <c r="D103" s="16">
        <v>25</v>
      </c>
      <c r="E103" s="17">
        <f>'INSUMOS '!E144</f>
        <v>54</v>
      </c>
      <c r="F103" s="55">
        <f t="shared" si="3"/>
        <v>1350</v>
      </c>
      <c r="G103" s="1075"/>
    </row>
    <row r="104" spans="1:7" s="2" customFormat="1" ht="15.75" customHeight="1">
      <c r="A104" s="947" t="s">
        <v>584</v>
      </c>
      <c r="B104" s="980"/>
      <c r="C104" s="16" t="s">
        <v>3</v>
      </c>
      <c r="D104" s="16">
        <v>3.5714285714285712E-2</v>
      </c>
      <c r="E104" s="17">
        <f>'INSUMOS '!E145</f>
        <v>57800</v>
      </c>
      <c r="F104" s="55">
        <f t="shared" si="3"/>
        <v>2064.2857142857142</v>
      </c>
      <c r="G104" s="1075"/>
    </row>
    <row r="105" spans="1:7" s="2" customFormat="1" ht="15.75" customHeight="1">
      <c r="A105" s="947" t="s">
        <v>585</v>
      </c>
      <c r="B105" s="980"/>
      <c r="C105" s="16" t="s">
        <v>100</v>
      </c>
      <c r="D105" s="16">
        <v>2</v>
      </c>
      <c r="E105" s="17">
        <f>'INSUMOS '!E146</f>
        <v>2785.2459016393445</v>
      </c>
      <c r="F105" s="55">
        <f t="shared" si="3"/>
        <v>5570.4918032786891</v>
      </c>
      <c r="G105" s="1075"/>
    </row>
    <row r="106" spans="1:7" s="2" customFormat="1" ht="15.75" customHeight="1">
      <c r="A106" s="947" t="s">
        <v>586</v>
      </c>
      <c r="B106" s="980"/>
      <c r="C106" s="16" t="s">
        <v>100</v>
      </c>
      <c r="D106" s="16">
        <v>4</v>
      </c>
      <c r="E106" s="17">
        <f>'INSUMOS '!E147</f>
        <v>347</v>
      </c>
      <c r="F106" s="55">
        <f t="shared" si="3"/>
        <v>1388</v>
      </c>
      <c r="G106" s="1075"/>
    </row>
    <row r="107" spans="1:7" s="2" customFormat="1" ht="15.75" customHeight="1">
      <c r="A107" s="947" t="s">
        <v>1438</v>
      </c>
      <c r="B107" s="980"/>
      <c r="C107" s="16" t="s">
        <v>100</v>
      </c>
      <c r="D107" s="16">
        <v>2</v>
      </c>
      <c r="E107" s="17">
        <f>'INSUMOS '!E155</f>
        <v>2180.3278688524592</v>
      </c>
      <c r="F107" s="55">
        <f t="shared" si="3"/>
        <v>4360.6557377049185</v>
      </c>
      <c r="G107" s="1075"/>
    </row>
    <row r="108" spans="1:7" s="2" customFormat="1" ht="15.75" customHeight="1">
      <c r="A108" s="947" t="s">
        <v>588</v>
      </c>
      <c r="B108" s="980"/>
      <c r="C108" s="16" t="s">
        <v>100</v>
      </c>
      <c r="D108" s="16">
        <v>2</v>
      </c>
      <c r="E108" s="17">
        <f>'INSUMOS '!E182</f>
        <v>2614.7540983606559</v>
      </c>
      <c r="F108" s="55">
        <f t="shared" si="3"/>
        <v>5229.5081967213118</v>
      </c>
      <c r="G108" s="57">
        <f>SUM(F101:F108)</f>
        <v>33930.941451990635</v>
      </c>
    </row>
    <row r="109" spans="1:7" s="2" customFormat="1" ht="15.75" customHeight="1">
      <c r="A109" s="1071" t="s">
        <v>1555</v>
      </c>
      <c r="B109" s="944"/>
      <c r="C109" s="944"/>
      <c r="D109" s="944"/>
      <c r="E109" s="944"/>
      <c r="F109" s="944"/>
      <c r="G109" s="1072"/>
    </row>
    <row r="110" spans="1:7" s="2" customFormat="1" ht="15.75" customHeight="1">
      <c r="A110" s="1098" t="s">
        <v>2</v>
      </c>
      <c r="B110" s="944"/>
      <c r="C110" s="135" t="s">
        <v>3</v>
      </c>
      <c r="D110" s="135" t="s">
        <v>4</v>
      </c>
      <c r="E110" s="135" t="s">
        <v>6</v>
      </c>
      <c r="F110" s="135" t="s">
        <v>11</v>
      </c>
      <c r="G110" s="1075" t="s">
        <v>8</v>
      </c>
    </row>
    <row r="111" spans="1:7" s="2" customFormat="1" ht="15.75" customHeight="1">
      <c r="A111" s="943" t="s">
        <v>17</v>
      </c>
      <c r="B111" s="1078"/>
      <c r="C111" s="16" t="s">
        <v>3</v>
      </c>
      <c r="D111" s="54">
        <v>3.5000000000000003E-2</v>
      </c>
      <c r="E111" s="17">
        <f>G108</f>
        <v>33930.941451990635</v>
      </c>
      <c r="F111" s="55">
        <f>E111*D111</f>
        <v>1187.5829508196723</v>
      </c>
      <c r="G111" s="1072"/>
    </row>
    <row r="112" spans="1:7" s="2" customFormat="1" ht="13.8">
      <c r="A112" s="943" t="s">
        <v>311</v>
      </c>
      <c r="B112" s="1078"/>
      <c r="C112" s="16" t="s">
        <v>3</v>
      </c>
      <c r="D112" s="54">
        <v>3.5000000000000003E-2</v>
      </c>
      <c r="E112" s="17">
        <f>G98</f>
        <v>6336.7166666666662</v>
      </c>
      <c r="F112" s="55">
        <f>E112*D112</f>
        <v>221.78508333333335</v>
      </c>
      <c r="G112" s="57">
        <f>SUM(F111:F112)</f>
        <v>1409.3680341530057</v>
      </c>
    </row>
    <row r="113" spans="1:7" s="2" customFormat="1" ht="15.75" customHeight="1">
      <c r="A113" s="1071" t="s">
        <v>19</v>
      </c>
      <c r="B113" s="944"/>
      <c r="C113" s="944"/>
      <c r="D113" s="944"/>
      <c r="E113" s="944"/>
      <c r="F113" s="944"/>
      <c r="G113" s="1072"/>
    </row>
    <row r="114" spans="1:7" s="2" customFormat="1" ht="15.75" customHeight="1">
      <c r="A114" s="1098" t="s">
        <v>2</v>
      </c>
      <c r="B114" s="944"/>
      <c r="C114" s="135" t="s">
        <v>3</v>
      </c>
      <c r="D114" s="135" t="s">
        <v>4</v>
      </c>
      <c r="E114" s="135" t="s">
        <v>6</v>
      </c>
      <c r="F114" s="135" t="s">
        <v>11</v>
      </c>
      <c r="G114" s="456" t="s">
        <v>8</v>
      </c>
    </row>
    <row r="115" spans="1:7" s="2" customFormat="1" ht="15.75" customHeight="1">
      <c r="A115" s="978" t="str">
        <f>SALARIOS!$A$69</f>
        <v>CUADRILLA BB INSTALACIONES 1:1</v>
      </c>
      <c r="B115" s="979"/>
      <c r="C115" s="13" t="s">
        <v>1245</v>
      </c>
      <c r="D115" s="32">
        <v>1</v>
      </c>
      <c r="E115" s="13">
        <f>SALARIOS!$C$69</f>
        <v>27341</v>
      </c>
      <c r="F115" s="55">
        <f>+D115*E115</f>
        <v>27341</v>
      </c>
      <c r="G115" s="57">
        <f>SUM(F114:F115)</f>
        <v>27341</v>
      </c>
    </row>
    <row r="116" spans="1:7" s="2" customFormat="1" ht="15.75" customHeight="1">
      <c r="A116" s="1076" t="s">
        <v>25</v>
      </c>
      <c r="B116" s="944"/>
      <c r="C116" s="944"/>
      <c r="D116" s="944"/>
      <c r="E116" s="944"/>
      <c r="F116" s="944"/>
      <c r="G116" s="1072"/>
    </row>
    <row r="117" spans="1:7" s="2" customFormat="1" ht="15.75" customHeight="1">
      <c r="A117" s="1077"/>
      <c r="B117" s="944"/>
      <c r="C117" s="944"/>
      <c r="D117" s="944"/>
      <c r="E117" s="944"/>
      <c r="F117" s="944"/>
      <c r="G117" s="62">
        <f>G115+G112+G108+G98</f>
        <v>69018.0261528103</v>
      </c>
    </row>
    <row r="118" spans="1:7" s="2" customFormat="1" ht="15.75" customHeight="1">
      <c r="A118" s="63"/>
      <c r="B118" s="42"/>
      <c r="C118" s="42"/>
      <c r="D118" s="42"/>
      <c r="E118" s="42"/>
      <c r="F118" s="42"/>
      <c r="G118" s="64"/>
    </row>
    <row r="119" spans="1:7" s="2" customFormat="1" ht="15.75" customHeight="1">
      <c r="A119" s="970" t="s">
        <v>1</v>
      </c>
      <c r="B119" s="957"/>
      <c r="C119" s="953" t="s">
        <v>0</v>
      </c>
      <c r="D119" s="953"/>
      <c r="E119" s="953"/>
      <c r="F119" s="953"/>
      <c r="G119" s="1103"/>
    </row>
    <row r="120" spans="1:7" s="2" customFormat="1" ht="77.25" customHeight="1">
      <c r="A120" s="971"/>
      <c r="B120" s="957"/>
      <c r="C120" s="953"/>
      <c r="D120" s="953"/>
      <c r="E120" s="953"/>
      <c r="F120" s="953"/>
      <c r="G120" s="1103"/>
    </row>
    <row r="121" spans="1:7" s="2" customFormat="1" ht="15.75" customHeight="1">
      <c r="A121" s="971"/>
      <c r="B121" s="957"/>
      <c r="C121" s="956"/>
      <c r="D121" s="957"/>
      <c r="E121" s="957"/>
      <c r="F121" s="957"/>
      <c r="G121" s="958"/>
    </row>
    <row r="122" spans="1:7" s="2" customFormat="1" ht="15.75" customHeight="1">
      <c r="A122" s="971"/>
      <c r="B122" s="957"/>
      <c r="C122" s="959" t="s">
        <v>2</v>
      </c>
      <c r="D122" s="957"/>
      <c r="E122" s="957"/>
      <c r="F122" s="23" t="s">
        <v>3</v>
      </c>
      <c r="G122" s="24" t="s">
        <v>4</v>
      </c>
    </row>
    <row r="123" spans="1:7" s="2" customFormat="1" ht="51.75" customHeight="1">
      <c r="A123" s="1089" t="s">
        <v>589</v>
      </c>
      <c r="B123" s="944"/>
      <c r="C123" s="980" t="s">
        <v>590</v>
      </c>
      <c r="D123" s="944"/>
      <c r="E123" s="944"/>
      <c r="F123" s="51" t="s">
        <v>37</v>
      </c>
      <c r="G123" s="52">
        <v>74.290000000000006</v>
      </c>
    </row>
    <row r="124" spans="1:7" s="2" customFormat="1" ht="15.75" customHeight="1">
      <c r="A124" s="1071" t="s">
        <v>5</v>
      </c>
      <c r="B124" s="944"/>
      <c r="C124" s="944"/>
      <c r="D124" s="944"/>
      <c r="E124" s="944"/>
      <c r="F124" s="944"/>
      <c r="G124" s="1072"/>
    </row>
    <row r="125" spans="1:7" s="2" customFormat="1" ht="15.75" customHeight="1">
      <c r="A125" s="1074" t="s">
        <v>2</v>
      </c>
      <c r="B125" s="944"/>
      <c r="C125" s="53" t="s">
        <v>3</v>
      </c>
      <c r="D125" s="53" t="s">
        <v>4</v>
      </c>
      <c r="E125" s="53" t="s">
        <v>6</v>
      </c>
      <c r="F125" s="53" t="s">
        <v>7</v>
      </c>
      <c r="G125" s="1075" t="s">
        <v>8</v>
      </c>
    </row>
    <row r="126" spans="1:7" s="2" customFormat="1" ht="15.75" customHeight="1">
      <c r="A126" s="947" t="s">
        <v>167</v>
      </c>
      <c r="B126" s="980"/>
      <c r="C126" s="51" t="s">
        <v>3</v>
      </c>
      <c r="D126" s="54">
        <v>0.05</v>
      </c>
      <c r="E126" s="17">
        <f>G147</f>
        <v>27341</v>
      </c>
      <c r="F126" s="55">
        <f>D126*E126</f>
        <v>1367.0500000000002</v>
      </c>
      <c r="G126" s="1072"/>
    </row>
    <row r="127" spans="1:7" s="2" customFormat="1" ht="15.75" customHeight="1">
      <c r="A127" s="947" t="s">
        <v>566</v>
      </c>
      <c r="B127" s="980"/>
      <c r="C127" s="141" t="s">
        <v>58</v>
      </c>
      <c r="D127" s="16">
        <v>0.13333333333333333</v>
      </c>
      <c r="E127" s="143">
        <f>'MAQUINARIA Y EQUIPOS'!F10</f>
        <v>3272.5</v>
      </c>
      <c r="F127" s="55">
        <f>D127*E127</f>
        <v>436.33333333333331</v>
      </c>
      <c r="G127" s="1072"/>
    </row>
    <row r="128" spans="1:7" s="2" customFormat="1" ht="15.75" customHeight="1">
      <c r="A128" s="947" t="s">
        <v>580</v>
      </c>
      <c r="B128" s="944"/>
      <c r="C128" s="51" t="s">
        <v>58</v>
      </c>
      <c r="D128" s="54">
        <v>6.6666666666666666E-2</v>
      </c>
      <c r="E128" s="17">
        <f>'MAQUINARIA Y EQUIPOS'!F34</f>
        <v>68000</v>
      </c>
      <c r="F128" s="55">
        <f>D128*E128</f>
        <v>4533.333333333333</v>
      </c>
      <c r="G128" s="57">
        <f>SUM(F125:F128)</f>
        <v>6336.7166666666662</v>
      </c>
    </row>
    <row r="129" spans="1:7" s="2" customFormat="1" ht="15.75" customHeight="1">
      <c r="A129" s="1071" t="s">
        <v>10</v>
      </c>
      <c r="B129" s="944"/>
      <c r="C129" s="944"/>
      <c r="D129" s="944"/>
      <c r="E129" s="944"/>
      <c r="F129" s="944"/>
      <c r="G129" s="1072"/>
    </row>
    <row r="130" spans="1:7" s="2" customFormat="1" ht="15.75" customHeight="1">
      <c r="A130" s="1074" t="s">
        <v>2</v>
      </c>
      <c r="B130" s="944"/>
      <c r="C130" s="53" t="s">
        <v>3</v>
      </c>
      <c r="D130" s="53" t="s">
        <v>4</v>
      </c>
      <c r="E130" s="53" t="s">
        <v>6</v>
      </c>
      <c r="F130" s="53" t="s">
        <v>11</v>
      </c>
      <c r="G130" s="1075" t="s">
        <v>8</v>
      </c>
    </row>
    <row r="131" spans="1:7" s="2" customFormat="1" ht="31.5" customHeight="1">
      <c r="A131" s="947" t="s">
        <v>591</v>
      </c>
      <c r="B131" s="980"/>
      <c r="C131" s="16" t="s">
        <v>37</v>
      </c>
      <c r="D131" s="16">
        <v>1.1000000000000001</v>
      </c>
      <c r="E131" s="17">
        <f>'INSUMOS '!E123</f>
        <v>66380.005374899221</v>
      </c>
      <c r="F131" s="55">
        <f t="shared" ref="F131:F138" si="4">D131*E131</f>
        <v>73018.005912389155</v>
      </c>
      <c r="G131" s="1072"/>
    </row>
    <row r="132" spans="1:7" s="2" customFormat="1" ht="15.75" customHeight="1">
      <c r="A132" s="947" t="s">
        <v>582</v>
      </c>
      <c r="B132" s="980"/>
      <c r="C132" s="16" t="s">
        <v>3</v>
      </c>
      <c r="D132" s="16">
        <v>0.05</v>
      </c>
      <c r="E132" s="17">
        <f>'INSUMOS '!E143</f>
        <v>38900</v>
      </c>
      <c r="F132" s="55">
        <f t="shared" si="4"/>
        <v>1945</v>
      </c>
      <c r="G132" s="1072"/>
    </row>
    <row r="133" spans="1:7" s="2" customFormat="1" ht="15.75" customHeight="1">
      <c r="A133" s="947" t="s">
        <v>583</v>
      </c>
      <c r="B133" s="980"/>
      <c r="C133" s="16" t="s">
        <v>3</v>
      </c>
      <c r="D133" s="16">
        <v>25</v>
      </c>
      <c r="E133" s="17">
        <f>'INSUMOS '!E144</f>
        <v>54</v>
      </c>
      <c r="F133" s="55">
        <f t="shared" si="4"/>
        <v>1350</v>
      </c>
      <c r="G133" s="1072"/>
    </row>
    <row r="134" spans="1:7" s="2" customFormat="1" ht="15.75" customHeight="1">
      <c r="A134" s="947" t="s">
        <v>584</v>
      </c>
      <c r="B134" s="980"/>
      <c r="C134" s="16" t="s">
        <v>3</v>
      </c>
      <c r="D134" s="16">
        <v>3.5714285714285712E-2</v>
      </c>
      <c r="E134" s="17">
        <f>'INSUMOS '!E145</f>
        <v>57800</v>
      </c>
      <c r="F134" s="55">
        <f t="shared" si="4"/>
        <v>2064.2857142857142</v>
      </c>
      <c r="G134" s="1072"/>
    </row>
    <row r="135" spans="1:7" s="2" customFormat="1" ht="14.25" customHeight="1">
      <c r="A135" s="947" t="s">
        <v>585</v>
      </c>
      <c r="B135" s="980"/>
      <c r="C135" s="16" t="s">
        <v>100</v>
      </c>
      <c r="D135" s="16">
        <v>2</v>
      </c>
      <c r="E135" s="17">
        <f>'INSUMOS '!E146</f>
        <v>2785.2459016393445</v>
      </c>
      <c r="F135" s="55">
        <f t="shared" si="4"/>
        <v>5570.4918032786891</v>
      </c>
      <c r="G135" s="1072"/>
    </row>
    <row r="136" spans="1:7" s="2" customFormat="1" ht="15.75" customHeight="1">
      <c r="A136" s="947" t="s">
        <v>586</v>
      </c>
      <c r="B136" s="980"/>
      <c r="C136" s="16" t="s">
        <v>100</v>
      </c>
      <c r="D136" s="16">
        <v>3</v>
      </c>
      <c r="E136" s="17">
        <f>'INSUMOS '!E147</f>
        <v>347</v>
      </c>
      <c r="F136" s="55">
        <f t="shared" si="4"/>
        <v>1041</v>
      </c>
      <c r="G136" s="1072"/>
    </row>
    <row r="137" spans="1:7" s="2" customFormat="1" ht="22.5" customHeight="1">
      <c r="A137" s="947" t="s">
        <v>587</v>
      </c>
      <c r="B137" s="980"/>
      <c r="C137" s="16" t="s">
        <v>100</v>
      </c>
      <c r="D137" s="16">
        <v>2.5</v>
      </c>
      <c r="E137" s="17">
        <f>'INSUMOS '!E155</f>
        <v>2180.3278688524592</v>
      </c>
      <c r="F137" s="55">
        <f t="shared" si="4"/>
        <v>5450.8196721311479</v>
      </c>
      <c r="G137" s="1072"/>
    </row>
    <row r="138" spans="1:7" s="2" customFormat="1" ht="15.75" customHeight="1">
      <c r="A138" s="947" t="s">
        <v>588</v>
      </c>
      <c r="B138" s="980"/>
      <c r="C138" s="16" t="s">
        <v>100</v>
      </c>
      <c r="D138" s="16">
        <v>2.5</v>
      </c>
      <c r="E138" s="17">
        <f>'INSUMOS '!E182</f>
        <v>2614.7540983606559</v>
      </c>
      <c r="F138" s="55">
        <f t="shared" si="4"/>
        <v>6536.8852459016398</v>
      </c>
      <c r="G138" s="1072"/>
    </row>
    <row r="139" spans="1:7" s="2" customFormat="1" ht="13.8">
      <c r="A139" s="947"/>
      <c r="B139" s="944"/>
      <c r="C139" s="16"/>
      <c r="D139" s="58"/>
      <c r="E139" s="17"/>
      <c r="F139" s="55"/>
      <c r="G139" s="57">
        <f>SUM(F130:F139)</f>
        <v>96976.488347986349</v>
      </c>
    </row>
    <row r="140" spans="1:7" s="2" customFormat="1" ht="15.75" customHeight="1">
      <c r="A140" s="1071" t="s">
        <v>15</v>
      </c>
      <c r="B140" s="944"/>
      <c r="C140" s="944"/>
      <c r="D140" s="944"/>
      <c r="E140" s="944"/>
      <c r="F140" s="944"/>
      <c r="G140" s="1072"/>
    </row>
    <row r="141" spans="1:7" s="2" customFormat="1" ht="15.75" customHeight="1">
      <c r="A141" s="1098" t="s">
        <v>2</v>
      </c>
      <c r="B141" s="944"/>
      <c r="C141" s="135" t="s">
        <v>3</v>
      </c>
      <c r="D141" s="135" t="s">
        <v>4</v>
      </c>
      <c r="E141" s="135" t="s">
        <v>6</v>
      </c>
      <c r="F141" s="135" t="s">
        <v>11</v>
      </c>
      <c r="G141" s="1029" t="s">
        <v>8</v>
      </c>
    </row>
    <row r="142" spans="1:7" s="2" customFormat="1" ht="15.75" customHeight="1">
      <c r="A142" s="943" t="s">
        <v>17</v>
      </c>
      <c r="B142" s="1078"/>
      <c r="C142" s="16" t="s">
        <v>3</v>
      </c>
      <c r="D142" s="54">
        <v>3.5000000000000003E-2</v>
      </c>
      <c r="E142" s="17">
        <f>+G139</f>
        <v>96976.488347986349</v>
      </c>
      <c r="F142" s="55">
        <f>E142*D142</f>
        <v>3394.1770921795223</v>
      </c>
      <c r="G142" s="1030"/>
    </row>
    <row r="143" spans="1:7" s="2" customFormat="1" ht="13.8">
      <c r="A143" s="943" t="s">
        <v>311</v>
      </c>
      <c r="B143" s="1078"/>
      <c r="C143" s="16" t="s">
        <v>3</v>
      </c>
      <c r="D143" s="54">
        <v>3.5000000000000003E-2</v>
      </c>
      <c r="E143" s="17">
        <f>G128</f>
        <v>6336.7166666666662</v>
      </c>
      <c r="F143" s="55">
        <f>E143*D143</f>
        <v>221.78508333333335</v>
      </c>
      <c r="G143" s="1031"/>
    </row>
    <row r="144" spans="1:7" s="2" customFormat="1" ht="15.75" customHeight="1">
      <c r="A144" s="943"/>
      <c r="B144" s="1078"/>
      <c r="C144" s="60"/>
      <c r="D144" s="60"/>
      <c r="E144" s="60"/>
      <c r="F144" s="60"/>
      <c r="G144" s="57">
        <f>SUM(F142:F144)</f>
        <v>3615.9621755128555</v>
      </c>
    </row>
    <row r="145" spans="1:7" s="2" customFormat="1" ht="15.75" customHeight="1">
      <c r="A145" s="1071" t="s">
        <v>19</v>
      </c>
      <c r="B145" s="944"/>
      <c r="C145" s="944"/>
      <c r="D145" s="944"/>
      <c r="E145" s="944"/>
      <c r="F145" s="944"/>
      <c r="G145" s="1072"/>
    </row>
    <row r="146" spans="1:7" s="2" customFormat="1" ht="15.75" customHeight="1">
      <c r="A146" s="1098" t="s">
        <v>2</v>
      </c>
      <c r="B146" s="944"/>
      <c r="C146" s="135" t="s">
        <v>3</v>
      </c>
      <c r="D146" s="135" t="s">
        <v>4</v>
      </c>
      <c r="E146" s="135" t="s">
        <v>6</v>
      </c>
      <c r="F146" s="135" t="s">
        <v>11</v>
      </c>
      <c r="G146" s="456" t="s">
        <v>8</v>
      </c>
    </row>
    <row r="147" spans="1:7" s="2" customFormat="1" ht="15.75" customHeight="1">
      <c r="A147" s="978" t="str">
        <f>SALARIOS!$A$69</f>
        <v>CUADRILLA BB INSTALACIONES 1:1</v>
      </c>
      <c r="B147" s="979"/>
      <c r="C147" s="13" t="s">
        <v>1245</v>
      </c>
      <c r="D147" s="32">
        <v>1</v>
      </c>
      <c r="E147" s="13">
        <f>SALARIOS!$C$69</f>
        <v>27341</v>
      </c>
      <c r="F147" s="55">
        <f>+D147*E147</f>
        <v>27341</v>
      </c>
      <c r="G147" s="57">
        <f>SUM(F146:F147)</f>
        <v>27341</v>
      </c>
    </row>
    <row r="148" spans="1:7" s="2" customFormat="1" ht="15.75" customHeight="1">
      <c r="A148" s="1076" t="s">
        <v>25</v>
      </c>
      <c r="B148" s="944"/>
      <c r="C148" s="944"/>
      <c r="D148" s="944"/>
      <c r="E148" s="944"/>
      <c r="F148" s="944"/>
      <c r="G148" s="1072"/>
    </row>
    <row r="149" spans="1:7" s="2" customFormat="1" ht="15.75" customHeight="1">
      <c r="A149" s="1077"/>
      <c r="B149" s="944"/>
      <c r="C149" s="944"/>
      <c r="D149" s="944"/>
      <c r="E149" s="944"/>
      <c r="F149" s="944"/>
      <c r="G149" s="62">
        <f>G147+G144+G139+G128</f>
        <v>134270.16719016587</v>
      </c>
    </row>
    <row r="150" spans="1:7" s="2" customFormat="1" ht="15.75" customHeight="1">
      <c r="A150" s="63"/>
      <c r="B150" s="42"/>
      <c r="C150" s="42"/>
      <c r="D150" s="42"/>
      <c r="E150" s="42"/>
      <c r="F150" s="42"/>
      <c r="G150" s="64"/>
    </row>
    <row r="151" spans="1:7" s="2" customFormat="1" ht="15.75" customHeight="1">
      <c r="A151" s="970" t="s">
        <v>1</v>
      </c>
      <c r="B151" s="957"/>
      <c r="C151" s="953" t="s">
        <v>0</v>
      </c>
      <c r="D151" s="953"/>
      <c r="E151" s="953"/>
      <c r="F151" s="953"/>
      <c r="G151" s="1103"/>
    </row>
    <row r="152" spans="1:7" s="2" customFormat="1" ht="66" customHeight="1">
      <c r="A152" s="971"/>
      <c r="B152" s="957"/>
      <c r="C152" s="953"/>
      <c r="D152" s="953"/>
      <c r="E152" s="953"/>
      <c r="F152" s="953"/>
      <c r="G152" s="1103"/>
    </row>
    <row r="153" spans="1:7" s="2" customFormat="1" ht="15.75" customHeight="1">
      <c r="A153" s="971"/>
      <c r="B153" s="957"/>
      <c r="C153" s="956"/>
      <c r="D153" s="957"/>
      <c r="E153" s="957"/>
      <c r="F153" s="957"/>
      <c r="G153" s="958"/>
    </row>
    <row r="154" spans="1:7" s="2" customFormat="1" ht="15.75" customHeight="1">
      <c r="A154" s="971"/>
      <c r="B154" s="957"/>
      <c r="C154" s="959" t="s">
        <v>2</v>
      </c>
      <c r="D154" s="957"/>
      <c r="E154" s="957"/>
      <c r="F154" s="23" t="s">
        <v>3</v>
      </c>
      <c r="G154" s="24" t="s">
        <v>4</v>
      </c>
    </row>
    <row r="155" spans="1:7" s="2" customFormat="1" ht="73.5" customHeight="1">
      <c r="A155" s="1089" t="s">
        <v>592</v>
      </c>
      <c r="B155" s="944"/>
      <c r="C155" s="980" t="s">
        <v>593</v>
      </c>
      <c r="D155" s="944"/>
      <c r="E155" s="944"/>
      <c r="F155" s="51" t="s">
        <v>100</v>
      </c>
      <c r="G155" s="52">
        <v>85.16</v>
      </c>
    </row>
    <row r="156" spans="1:7" s="2" customFormat="1" ht="15.75" customHeight="1">
      <c r="A156" s="1071" t="s">
        <v>5</v>
      </c>
      <c r="B156" s="944"/>
      <c r="C156" s="944"/>
      <c r="D156" s="944"/>
      <c r="E156" s="944"/>
      <c r="F156" s="944"/>
      <c r="G156" s="1072"/>
    </row>
    <row r="157" spans="1:7" s="2" customFormat="1" ht="15.75" customHeight="1">
      <c r="A157" s="1074" t="s">
        <v>2</v>
      </c>
      <c r="B157" s="944"/>
      <c r="C157" s="53" t="s">
        <v>3</v>
      </c>
      <c r="D157" s="53" t="s">
        <v>4</v>
      </c>
      <c r="E157" s="53" t="s">
        <v>6</v>
      </c>
      <c r="F157" s="53" t="s">
        <v>7</v>
      </c>
      <c r="G157" s="1075" t="s">
        <v>8</v>
      </c>
    </row>
    <row r="158" spans="1:7" s="2" customFormat="1" ht="15.75" customHeight="1">
      <c r="A158" s="947" t="s">
        <v>167</v>
      </c>
      <c r="B158" s="980"/>
      <c r="C158" s="51" t="s">
        <v>3</v>
      </c>
      <c r="D158" s="54">
        <v>0.05</v>
      </c>
      <c r="E158" s="17">
        <f>+G176</f>
        <v>16404.599999999999</v>
      </c>
      <c r="F158" s="55">
        <f>D158*E158</f>
        <v>820.23</v>
      </c>
      <c r="G158" s="1072"/>
    </row>
    <row r="159" spans="1:7" s="2" customFormat="1" ht="15.75" customHeight="1">
      <c r="A159" s="947" t="s">
        <v>168</v>
      </c>
      <c r="B159" s="944"/>
      <c r="C159" s="51" t="s">
        <v>3</v>
      </c>
      <c r="D159" s="54">
        <v>0.33329999999999999</v>
      </c>
      <c r="E159" s="17">
        <f>'MAQUINARIA Y EQUIPOS'!F36</f>
        <v>37900</v>
      </c>
      <c r="F159" s="55">
        <f>D159*E159</f>
        <v>12632.07</v>
      </c>
      <c r="G159" s="1072"/>
    </row>
    <row r="160" spans="1:7" s="2" customFormat="1" ht="15.75" customHeight="1">
      <c r="A160" s="947" t="s">
        <v>566</v>
      </c>
      <c r="B160" s="980"/>
      <c r="C160" s="141" t="s">
        <v>58</v>
      </c>
      <c r="D160" s="16">
        <f>0.0588235294117647*2</f>
        <v>0.1176470588235294</v>
      </c>
      <c r="E160" s="143">
        <f>'MAQUINARIA Y EQUIPOS'!F10</f>
        <v>3272.5</v>
      </c>
      <c r="F160" s="55">
        <f>D160*E160</f>
        <v>384.99999999999994</v>
      </c>
      <c r="G160" s="1072"/>
    </row>
    <row r="161" spans="1:7" s="2" customFormat="1" ht="15.75" customHeight="1">
      <c r="A161" s="947" t="s">
        <v>580</v>
      </c>
      <c r="B161" s="944"/>
      <c r="C161" s="51" t="s">
        <v>58</v>
      </c>
      <c r="D161" s="54">
        <f>1/17</f>
        <v>5.8823529411764705E-2</v>
      </c>
      <c r="E161" s="17">
        <f>'MAQUINARIA Y EQUIPOS'!F34</f>
        <v>68000</v>
      </c>
      <c r="F161" s="55">
        <f>D161*E161</f>
        <v>4000</v>
      </c>
      <c r="G161" s="1072"/>
    </row>
    <row r="162" spans="1:7" s="2" customFormat="1" ht="15.75" customHeight="1">
      <c r="A162" s="1079"/>
      <c r="B162" s="944"/>
      <c r="C162" s="56"/>
      <c r="D162" s="56"/>
      <c r="E162" s="56"/>
      <c r="F162" s="55"/>
      <c r="G162" s="57">
        <f>SUM(F157:F162)</f>
        <v>17837.3</v>
      </c>
    </row>
    <row r="163" spans="1:7" s="2" customFormat="1" ht="15" customHeight="1">
      <c r="A163" s="1071" t="s">
        <v>10</v>
      </c>
      <c r="B163" s="944"/>
      <c r="C163" s="944"/>
      <c r="D163" s="944"/>
      <c r="E163" s="944"/>
      <c r="F163" s="944"/>
      <c r="G163" s="1072"/>
    </row>
    <row r="164" spans="1:7" s="2" customFormat="1" ht="15" customHeight="1">
      <c r="A164" s="1074" t="s">
        <v>2</v>
      </c>
      <c r="B164" s="944"/>
      <c r="C164" s="53" t="s">
        <v>3</v>
      </c>
      <c r="D164" s="53" t="s">
        <v>4</v>
      </c>
      <c r="E164" s="53" t="s">
        <v>6</v>
      </c>
      <c r="F164" s="53" t="s">
        <v>11</v>
      </c>
      <c r="G164" s="1075" t="s">
        <v>8</v>
      </c>
    </row>
    <row r="165" spans="1:7" s="2" customFormat="1" ht="15" customHeight="1">
      <c r="A165" s="947" t="s">
        <v>169</v>
      </c>
      <c r="B165" s="944"/>
      <c r="C165" s="16" t="s">
        <v>39</v>
      </c>
      <c r="D165" s="54">
        <v>5.0000000000000001E-3</v>
      </c>
      <c r="E165" s="17">
        <f>SUBANÁLISIS!G89</f>
        <v>431833.82500000001</v>
      </c>
      <c r="F165" s="55">
        <f>D165*E165</f>
        <v>2159.1691249999999</v>
      </c>
      <c r="G165" s="1072"/>
    </row>
    <row r="166" spans="1:7" s="2" customFormat="1" ht="15" customHeight="1">
      <c r="A166" s="947" t="s">
        <v>171</v>
      </c>
      <c r="B166" s="944"/>
      <c r="C166" s="51" t="s">
        <v>100</v>
      </c>
      <c r="D166" s="54">
        <v>2</v>
      </c>
      <c r="E166" s="17">
        <f>'INSUMOS '!E127</f>
        <v>115.55555555555556</v>
      </c>
      <c r="F166" s="55">
        <f>D166*E166</f>
        <v>231.11111111111111</v>
      </c>
      <c r="G166" s="1072"/>
    </row>
    <row r="167" spans="1:7" s="2" customFormat="1" ht="15" customHeight="1">
      <c r="A167" s="947" t="s">
        <v>172</v>
      </c>
      <c r="B167" s="944"/>
      <c r="C167" s="16" t="s">
        <v>3</v>
      </c>
      <c r="D167" s="54">
        <v>7.143E-3</v>
      </c>
      <c r="E167" s="17">
        <f>'INSUMOS '!E53</f>
        <v>82700</v>
      </c>
      <c r="F167" s="55">
        <f>D167*E167</f>
        <v>590.72609999999997</v>
      </c>
      <c r="G167" s="1072"/>
    </row>
    <row r="168" spans="1:7" s="2" customFormat="1" ht="15" customHeight="1">
      <c r="A168" s="947"/>
      <c r="B168" s="944"/>
      <c r="C168" s="16"/>
      <c r="D168" s="58"/>
      <c r="E168" s="17"/>
      <c r="F168" s="55"/>
      <c r="G168" s="57">
        <f>SUM(F164:F168)</f>
        <v>2981.0063361111111</v>
      </c>
    </row>
    <row r="169" spans="1:7" s="2" customFormat="1" ht="15" customHeight="1">
      <c r="A169" s="1071" t="s">
        <v>15</v>
      </c>
      <c r="B169" s="944"/>
      <c r="C169" s="944"/>
      <c r="D169" s="944"/>
      <c r="E169" s="944"/>
      <c r="F169" s="944"/>
      <c r="G169" s="1072"/>
    </row>
    <row r="170" spans="1:7" s="2" customFormat="1" ht="15.75" customHeight="1">
      <c r="A170" s="1098" t="s">
        <v>2</v>
      </c>
      <c r="B170" s="944"/>
      <c r="C170" s="135" t="s">
        <v>3</v>
      </c>
      <c r="D170" s="135" t="s">
        <v>4</v>
      </c>
      <c r="E170" s="135" t="s">
        <v>6</v>
      </c>
      <c r="F170" s="135" t="s">
        <v>11</v>
      </c>
      <c r="G170" s="1075" t="s">
        <v>8</v>
      </c>
    </row>
    <row r="171" spans="1:7" s="2" customFormat="1" ht="15" customHeight="1">
      <c r="A171" s="943" t="s">
        <v>173</v>
      </c>
      <c r="B171" s="944"/>
      <c r="C171" s="16" t="s">
        <v>3</v>
      </c>
      <c r="D171" s="54">
        <v>3.5000000000000003E-2</v>
      </c>
      <c r="E171" s="17">
        <f>+G168</f>
        <v>2981.0063361111111</v>
      </c>
      <c r="F171" s="55">
        <f>E171*D171</f>
        <v>104.3352217638889</v>
      </c>
      <c r="G171" s="1072"/>
    </row>
    <row r="172" spans="1:7" s="2" customFormat="1" ht="13.8">
      <c r="A172" s="943" t="s">
        <v>311</v>
      </c>
      <c r="B172" s="1078"/>
      <c r="C172" s="16" t="s">
        <v>3</v>
      </c>
      <c r="D172" s="54">
        <v>3.5000000000000003E-2</v>
      </c>
      <c r="E172" s="17">
        <f>G162</f>
        <v>17837.3</v>
      </c>
      <c r="F172" s="55">
        <f>E172*D172</f>
        <v>624.30550000000005</v>
      </c>
      <c r="G172" s="123"/>
    </row>
    <row r="173" spans="1:7" s="2" customFormat="1" ht="15" customHeight="1">
      <c r="A173" s="59"/>
      <c r="B173" s="60"/>
      <c r="C173" s="60"/>
      <c r="D173" s="60"/>
      <c r="E173" s="60"/>
      <c r="F173" s="60"/>
      <c r="G173" s="57">
        <f>SUM(F171:F173)</f>
        <v>728.64072176388891</v>
      </c>
    </row>
    <row r="174" spans="1:7" s="2" customFormat="1" ht="15" customHeight="1">
      <c r="A174" s="1071" t="s">
        <v>19</v>
      </c>
      <c r="B174" s="944"/>
      <c r="C174" s="944"/>
      <c r="D174" s="944"/>
      <c r="E174" s="944"/>
      <c r="F174" s="944"/>
      <c r="G174" s="1072"/>
    </row>
    <row r="175" spans="1:7" s="2" customFormat="1" ht="15.75" customHeight="1">
      <c r="A175" s="1098" t="s">
        <v>2</v>
      </c>
      <c r="B175" s="944"/>
      <c r="C175" s="135" t="s">
        <v>3</v>
      </c>
      <c r="D175" s="135" t="s">
        <v>4</v>
      </c>
      <c r="E175" s="135" t="s">
        <v>6</v>
      </c>
      <c r="F175" s="135" t="s">
        <v>11</v>
      </c>
      <c r="G175" s="456" t="s">
        <v>8</v>
      </c>
    </row>
    <row r="176" spans="1:7" s="2" customFormat="1" ht="15.75" customHeight="1">
      <c r="A176" s="978" t="str">
        <f>SALARIOS!$A$69</f>
        <v>CUADRILLA BB INSTALACIONES 1:1</v>
      </c>
      <c r="B176" s="979"/>
      <c r="C176" s="13" t="s">
        <v>1245</v>
      </c>
      <c r="D176" s="32">
        <v>0.6</v>
      </c>
      <c r="E176" s="13">
        <f>SALARIOS!$C$69</f>
        <v>27341</v>
      </c>
      <c r="F176" s="55">
        <f>+D176*E176</f>
        <v>16404.599999999999</v>
      </c>
      <c r="G176" s="57">
        <f>SUM(F175:F176)</f>
        <v>16404.599999999999</v>
      </c>
    </row>
    <row r="177" spans="1:8" s="2" customFormat="1" ht="15" customHeight="1">
      <c r="A177" s="1076" t="s">
        <v>25</v>
      </c>
      <c r="B177" s="944"/>
      <c r="C177" s="944"/>
      <c r="D177" s="944"/>
      <c r="E177" s="944"/>
      <c r="F177" s="944"/>
      <c r="G177" s="1072"/>
    </row>
    <row r="178" spans="1:8" s="2" customFormat="1" ht="15" customHeight="1">
      <c r="A178" s="1077"/>
      <c r="B178" s="944"/>
      <c r="C178" s="944"/>
      <c r="D178" s="944"/>
      <c r="E178" s="944"/>
      <c r="F178" s="944"/>
      <c r="G178" s="62">
        <f>G176+G173+G168+G162</f>
        <v>37951.547057874996</v>
      </c>
    </row>
    <row r="179" spans="1:8">
      <c r="B179" s="468"/>
      <c r="F179" s="455"/>
    </row>
    <row r="180" spans="1:8">
      <c r="B180" s="468"/>
      <c r="F180" s="620"/>
    </row>
    <row r="181" spans="1:8">
      <c r="B181" s="468"/>
      <c r="F181" s="620"/>
      <c r="H181" s="480"/>
    </row>
    <row r="182" spans="1:8">
      <c r="B182" s="468"/>
      <c r="F182" s="455"/>
    </row>
    <row r="183" spans="1:8">
      <c r="B183" s="468"/>
      <c r="F183" s="455"/>
    </row>
    <row r="184" spans="1:8">
      <c r="B184" s="468"/>
      <c r="F184" s="455"/>
    </row>
    <row r="185" spans="1:8">
      <c r="B185" s="966"/>
      <c r="C185" s="966"/>
      <c r="F185" s="455"/>
    </row>
    <row r="186" spans="1:8">
      <c r="B186" s="966"/>
      <c r="C186" s="966"/>
      <c r="F186" s="455"/>
    </row>
    <row r="187" spans="1:8">
      <c r="B187" s="468"/>
      <c r="F187" s="455"/>
    </row>
  </sheetData>
  <mergeCells count="195">
    <mergeCell ref="B185:C185"/>
    <mergeCell ref="B186:C186"/>
    <mergeCell ref="A176:B176"/>
    <mergeCell ref="A55:B55"/>
    <mergeCell ref="A56:B56"/>
    <mergeCell ref="A83:B83"/>
    <mergeCell ref="A84:B84"/>
    <mergeCell ref="A114:B114"/>
    <mergeCell ref="A115:B115"/>
    <mergeCell ref="A146:B146"/>
    <mergeCell ref="A147:B147"/>
    <mergeCell ref="A175:B175"/>
    <mergeCell ref="A88:B91"/>
    <mergeCell ref="A78:G78"/>
    <mergeCell ref="A79:B79"/>
    <mergeCell ref="G79:G80"/>
    <mergeCell ref="A80:B80"/>
    <mergeCell ref="A81:B81"/>
    <mergeCell ref="A82:G82"/>
    <mergeCell ref="A85:G85"/>
    <mergeCell ref="A86:F86"/>
    <mergeCell ref="A69:B69"/>
    <mergeCell ref="A70:G70"/>
    <mergeCell ref="A71:B71"/>
    <mergeCell ref="G71:G76"/>
    <mergeCell ref="A72:B72"/>
    <mergeCell ref="A4:B7"/>
    <mergeCell ref="C4:G5"/>
    <mergeCell ref="C6:G6"/>
    <mergeCell ref="C7:E7"/>
    <mergeCell ref="A18:B18"/>
    <mergeCell ref="A19:B19"/>
    <mergeCell ref="A20:B20"/>
    <mergeCell ref="A8:B8"/>
    <mergeCell ref="C8:E8"/>
    <mergeCell ref="A9:G9"/>
    <mergeCell ref="A10:B10"/>
    <mergeCell ref="G10:G12"/>
    <mergeCell ref="A11:B11"/>
    <mergeCell ref="A12:B12"/>
    <mergeCell ref="A13:B13"/>
    <mergeCell ref="A37:G37"/>
    <mergeCell ref="A38:B38"/>
    <mergeCell ref="G38:G40"/>
    <mergeCell ref="A39:B39"/>
    <mergeCell ref="A40:B40"/>
    <mergeCell ref="A21:B21"/>
    <mergeCell ref="A22:G22"/>
    <mergeCell ref="A14:G14"/>
    <mergeCell ref="A15:B15"/>
    <mergeCell ref="G15:G20"/>
    <mergeCell ref="A16:B16"/>
    <mergeCell ref="A17:B17"/>
    <mergeCell ref="A27:B27"/>
    <mergeCell ref="A28:B28"/>
    <mergeCell ref="A73:B73"/>
    <mergeCell ref="A74:B74"/>
    <mergeCell ref="A41:B41"/>
    <mergeCell ref="A42:G42"/>
    <mergeCell ref="A25:B25"/>
    <mergeCell ref="A23:B23"/>
    <mergeCell ref="A43:B43"/>
    <mergeCell ref="G43:G48"/>
    <mergeCell ref="A44:B44"/>
    <mergeCell ref="A45:B45"/>
    <mergeCell ref="A46:B46"/>
    <mergeCell ref="A47:B47"/>
    <mergeCell ref="A48:B48"/>
    <mergeCell ref="A26:G26"/>
    <mergeCell ref="A29:G29"/>
    <mergeCell ref="A30:F30"/>
    <mergeCell ref="A32:B35"/>
    <mergeCell ref="C32:G33"/>
    <mergeCell ref="C34:G34"/>
    <mergeCell ref="C35:E35"/>
    <mergeCell ref="A36:B36"/>
    <mergeCell ref="C36:E36"/>
    <mergeCell ref="G23:G24"/>
    <mergeCell ref="A24:B24"/>
    <mergeCell ref="A60:B63"/>
    <mergeCell ref="C60:G61"/>
    <mergeCell ref="C62:G62"/>
    <mergeCell ref="C63:E63"/>
    <mergeCell ref="A64:B64"/>
    <mergeCell ref="C64:E64"/>
    <mergeCell ref="A65:G65"/>
    <mergeCell ref="A66:B66"/>
    <mergeCell ref="G66:G68"/>
    <mergeCell ref="A67:B67"/>
    <mergeCell ref="A68:B68"/>
    <mergeCell ref="A49:B49"/>
    <mergeCell ref="A50:G50"/>
    <mergeCell ref="A51:B51"/>
    <mergeCell ref="G51:G52"/>
    <mergeCell ref="A52:B52"/>
    <mergeCell ref="A53:B53"/>
    <mergeCell ref="A54:G54"/>
    <mergeCell ref="A57:G57"/>
    <mergeCell ref="A58:F58"/>
    <mergeCell ref="A75:B75"/>
    <mergeCell ref="A76:B76"/>
    <mergeCell ref="A100:B100"/>
    <mergeCell ref="G100:G107"/>
    <mergeCell ref="A101:B101"/>
    <mergeCell ref="A102:B102"/>
    <mergeCell ref="A103:B103"/>
    <mergeCell ref="A104:B104"/>
    <mergeCell ref="A105:B105"/>
    <mergeCell ref="A106:B106"/>
    <mergeCell ref="A107:B107"/>
    <mergeCell ref="A92:B92"/>
    <mergeCell ref="C92:E92"/>
    <mergeCell ref="A93:G93"/>
    <mergeCell ref="A94:B94"/>
    <mergeCell ref="G94:G97"/>
    <mergeCell ref="A95:B95"/>
    <mergeCell ref="A96:B96"/>
    <mergeCell ref="A97:B97"/>
    <mergeCell ref="A99:G99"/>
    <mergeCell ref="C88:G89"/>
    <mergeCell ref="C90:G90"/>
    <mergeCell ref="C91:E91"/>
    <mergeCell ref="A77:B77"/>
    <mergeCell ref="C153:G153"/>
    <mergeCell ref="C154:E154"/>
    <mergeCell ref="A108:B108"/>
    <mergeCell ref="A109:G109"/>
    <mergeCell ref="A110:B110"/>
    <mergeCell ref="G110:G111"/>
    <mergeCell ref="A111:B111"/>
    <mergeCell ref="A112:B112"/>
    <mergeCell ref="A113:G113"/>
    <mergeCell ref="A116:G116"/>
    <mergeCell ref="A117:F117"/>
    <mergeCell ref="A119:B122"/>
    <mergeCell ref="C119:G120"/>
    <mergeCell ref="C121:G121"/>
    <mergeCell ref="C122:E122"/>
    <mergeCell ref="A123:B123"/>
    <mergeCell ref="C123:E123"/>
    <mergeCell ref="A124:G124"/>
    <mergeCell ref="A125:B125"/>
    <mergeCell ref="G125:G127"/>
    <mergeCell ref="A126:B126"/>
    <mergeCell ref="A127:B127"/>
    <mergeCell ref="A143:B143"/>
    <mergeCell ref="G141:G143"/>
    <mergeCell ref="A171:B171"/>
    <mergeCell ref="A174:G174"/>
    <mergeCell ref="A128:B128"/>
    <mergeCell ref="A129:G129"/>
    <mergeCell ref="A130:B130"/>
    <mergeCell ref="G130:G138"/>
    <mergeCell ref="A131:B131"/>
    <mergeCell ref="A132:B132"/>
    <mergeCell ref="A133:B133"/>
    <mergeCell ref="A134:B134"/>
    <mergeCell ref="A135:B135"/>
    <mergeCell ref="A136:B136"/>
    <mergeCell ref="A137:B137"/>
    <mergeCell ref="A138:B138"/>
    <mergeCell ref="A139:B139"/>
    <mergeCell ref="A140:G140"/>
    <mergeCell ref="A141:B141"/>
    <mergeCell ref="A142:B142"/>
    <mergeCell ref="A144:B144"/>
    <mergeCell ref="A145:G145"/>
    <mergeCell ref="A148:G148"/>
    <mergeCell ref="A149:F149"/>
    <mergeCell ref="A151:B154"/>
    <mergeCell ref="C151:G152"/>
    <mergeCell ref="A172:B172"/>
    <mergeCell ref="A177:G177"/>
    <mergeCell ref="A178:F178"/>
    <mergeCell ref="C2:G2"/>
    <mergeCell ref="A155:B155"/>
    <mergeCell ref="C155:E155"/>
    <mergeCell ref="A156:G156"/>
    <mergeCell ref="A157:B157"/>
    <mergeCell ref="G157:G161"/>
    <mergeCell ref="A158:B158"/>
    <mergeCell ref="A159:B159"/>
    <mergeCell ref="A160:B160"/>
    <mergeCell ref="A161:B161"/>
    <mergeCell ref="A162:B162"/>
    <mergeCell ref="A163:G163"/>
    <mergeCell ref="A164:B164"/>
    <mergeCell ref="G164:G167"/>
    <mergeCell ref="A165:B165"/>
    <mergeCell ref="A166:B166"/>
    <mergeCell ref="A167:B167"/>
    <mergeCell ref="A168:B168"/>
    <mergeCell ref="A169:G169"/>
    <mergeCell ref="A170:B170"/>
    <mergeCell ref="G170:G171"/>
  </mergeCells>
  <pageMargins left="0.7" right="0.7" top="0.75" bottom="0.75" header="0.3" footer="0.3"/>
  <pageSetup paperSize="9" scale="72" fitToHeight="0" orientation="portrait" r:id="rId1"/>
  <ignoredErrors>
    <ignoredError sqref="E46"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pageSetUpPr fitToPage="1"/>
  </sheetPr>
  <dimension ref="A2:K1025"/>
  <sheetViews>
    <sheetView topLeftCell="A1014" zoomScaleNormal="100" workbookViewId="0">
      <selection activeCell="B1019" sqref="B1019:C1027"/>
    </sheetView>
  </sheetViews>
  <sheetFormatPr baseColWidth="10" defaultColWidth="10.6640625" defaultRowHeight="14.4"/>
  <cols>
    <col min="1" max="2" width="18.6640625" customWidth="1"/>
    <col min="3" max="3" width="16.88671875" customWidth="1"/>
    <col min="4" max="4" width="17.5546875" customWidth="1"/>
    <col min="5" max="5" width="16.33203125" customWidth="1"/>
    <col min="6" max="6" width="16.5546875" customWidth="1"/>
    <col min="7" max="7" width="18.44140625" bestFit="1" customWidth="1"/>
    <col min="8" max="8" width="12.6640625" customWidth="1"/>
    <col min="10" max="10" width="18.5546875" bestFit="1" customWidth="1"/>
  </cols>
  <sheetData>
    <row r="2" spans="1:7" s="2" customFormat="1" ht="116.25" customHeight="1">
      <c r="A2" s="177"/>
      <c r="B2" s="177"/>
      <c r="C2" s="922" t="s">
        <v>0</v>
      </c>
      <c r="D2" s="922"/>
      <c r="E2" s="922"/>
      <c r="F2" s="922"/>
      <c r="G2" s="923"/>
    </row>
    <row r="4" spans="1:7" s="2" customFormat="1" ht="15.75" customHeight="1">
      <c r="A4" s="970" t="s">
        <v>1</v>
      </c>
      <c r="B4" s="957"/>
      <c r="C4" s="953" t="s">
        <v>0</v>
      </c>
      <c r="D4" s="953"/>
      <c r="E4" s="953"/>
      <c r="F4" s="953"/>
      <c r="G4" s="1103"/>
    </row>
    <row r="5" spans="1:7" s="2" customFormat="1" ht="69.75" customHeight="1">
      <c r="A5" s="971"/>
      <c r="B5" s="957"/>
      <c r="C5" s="953"/>
      <c r="D5" s="953"/>
      <c r="E5" s="953"/>
      <c r="F5" s="953"/>
      <c r="G5" s="1103"/>
    </row>
    <row r="6" spans="1:7" s="2" customFormat="1" ht="15.75" customHeight="1">
      <c r="A6" s="971"/>
      <c r="B6" s="957"/>
      <c r="C6" s="956"/>
      <c r="D6" s="957"/>
      <c r="E6" s="957"/>
      <c r="F6" s="957"/>
      <c r="G6" s="958"/>
    </row>
    <row r="7" spans="1:7" s="2" customFormat="1" ht="15.75" customHeight="1">
      <c r="A7" s="971"/>
      <c r="B7" s="957"/>
      <c r="C7" s="959" t="s">
        <v>2</v>
      </c>
      <c r="D7" s="957"/>
      <c r="E7" s="957"/>
      <c r="F7" s="23" t="s">
        <v>3</v>
      </c>
      <c r="G7" s="24" t="s">
        <v>4</v>
      </c>
    </row>
    <row r="8" spans="1:7" s="2" customFormat="1" ht="73.5" customHeight="1">
      <c r="A8" s="1089" t="s">
        <v>1886</v>
      </c>
      <c r="B8" s="944"/>
      <c r="C8" s="980" t="s">
        <v>2454</v>
      </c>
      <c r="D8" s="944"/>
      <c r="E8" s="944"/>
      <c r="F8" s="51" t="s">
        <v>3</v>
      </c>
      <c r="G8" s="52">
        <v>1</v>
      </c>
    </row>
    <row r="9" spans="1:7" s="2" customFormat="1" ht="15.75" customHeight="1">
      <c r="A9" s="1071" t="s">
        <v>5</v>
      </c>
      <c r="B9" s="944"/>
      <c r="C9" s="944"/>
      <c r="D9" s="944"/>
      <c r="E9" s="944"/>
      <c r="F9" s="944"/>
      <c r="G9" s="1072"/>
    </row>
    <row r="10" spans="1:7" s="2" customFormat="1" ht="15.75" customHeight="1">
      <c r="A10" s="1074" t="s">
        <v>2</v>
      </c>
      <c r="B10" s="944"/>
      <c r="C10" s="53" t="s">
        <v>3</v>
      </c>
      <c r="D10" s="53" t="s">
        <v>4</v>
      </c>
      <c r="E10" s="53" t="s">
        <v>6</v>
      </c>
      <c r="F10" s="53" t="s">
        <v>7</v>
      </c>
      <c r="G10" s="1075" t="s">
        <v>8</v>
      </c>
    </row>
    <row r="11" spans="1:7" s="2" customFormat="1" ht="15.75" customHeight="1">
      <c r="A11" s="947" t="s">
        <v>167</v>
      </c>
      <c r="B11" s="980"/>
      <c r="C11" s="51" t="s">
        <v>3</v>
      </c>
      <c r="D11" s="54">
        <v>0.05</v>
      </c>
      <c r="E11" s="17">
        <f>+G32</f>
        <v>923632</v>
      </c>
      <c r="F11" s="55">
        <f>D11*E11</f>
        <v>46181.600000000006</v>
      </c>
      <c r="G11" s="1072"/>
    </row>
    <row r="12" spans="1:7" s="2" customFormat="1" ht="15.75" customHeight="1">
      <c r="A12" s="947"/>
      <c r="B12" s="944"/>
      <c r="C12" s="51"/>
      <c r="D12" s="54"/>
      <c r="E12" s="17"/>
      <c r="F12" s="55">
        <f>D12*E12</f>
        <v>0</v>
      </c>
      <c r="G12" s="1072"/>
    </row>
    <row r="13" spans="1:7" s="2" customFormat="1" ht="15.75" customHeight="1">
      <c r="A13" s="947"/>
      <c r="B13" s="980"/>
      <c r="C13" s="141"/>
      <c r="D13" s="16"/>
      <c r="E13" s="143"/>
      <c r="F13" s="55">
        <f>D13*E13</f>
        <v>0</v>
      </c>
      <c r="G13" s="1072"/>
    </row>
    <row r="14" spans="1:7" s="2" customFormat="1" ht="15.75" customHeight="1">
      <c r="A14" s="947"/>
      <c r="B14" s="944"/>
      <c r="C14" s="51"/>
      <c r="D14" s="54"/>
      <c r="E14" s="17"/>
      <c r="F14" s="55">
        <f>D14*E14</f>
        <v>0</v>
      </c>
      <c r="G14" s="1072"/>
    </row>
    <row r="15" spans="1:7" s="2" customFormat="1" ht="15.75" customHeight="1">
      <c r="A15" s="1079"/>
      <c r="B15" s="944"/>
      <c r="C15" s="56"/>
      <c r="D15" s="56"/>
      <c r="E15" s="56"/>
      <c r="F15" s="55"/>
      <c r="G15" s="57">
        <f>SUM(F10:F15)</f>
        <v>46181.600000000006</v>
      </c>
    </row>
    <row r="16" spans="1:7" s="2" customFormat="1" ht="15" customHeight="1">
      <c r="A16" s="1071" t="s">
        <v>10</v>
      </c>
      <c r="B16" s="944"/>
      <c r="C16" s="944"/>
      <c r="D16" s="944"/>
      <c r="E16" s="944"/>
      <c r="F16" s="944"/>
      <c r="G16" s="1072"/>
    </row>
    <row r="17" spans="1:11" s="2" customFormat="1" ht="15" customHeight="1">
      <c r="A17" s="1074" t="s">
        <v>2</v>
      </c>
      <c r="B17" s="944"/>
      <c r="C17" s="53" t="s">
        <v>3</v>
      </c>
      <c r="D17" s="53" t="s">
        <v>4</v>
      </c>
      <c r="E17" s="53" t="s">
        <v>6</v>
      </c>
      <c r="F17" s="53" t="s">
        <v>11</v>
      </c>
      <c r="G17" s="1075" t="s">
        <v>8</v>
      </c>
    </row>
    <row r="18" spans="1:11" s="2" customFormat="1" ht="15" customHeight="1">
      <c r="A18" s="947" t="s">
        <v>2467</v>
      </c>
      <c r="B18" s="944"/>
      <c r="C18" s="16" t="s">
        <v>3</v>
      </c>
      <c r="D18" s="54">
        <v>1</v>
      </c>
      <c r="E18" s="17">
        <v>298547221.70048308</v>
      </c>
      <c r="F18" s="55">
        <f t="shared" ref="F18:F24" si="0">D18*E18</f>
        <v>298547221.70048308</v>
      </c>
      <c r="G18" s="1072"/>
    </row>
    <row r="19" spans="1:11" s="2" customFormat="1" ht="15" customHeight="1">
      <c r="A19" s="947" t="s">
        <v>2468</v>
      </c>
      <c r="B19" s="944"/>
      <c r="C19" s="16" t="s">
        <v>3</v>
      </c>
      <c r="D19" s="54">
        <v>1</v>
      </c>
      <c r="E19" s="17">
        <f>3000000*3</f>
        <v>9000000</v>
      </c>
      <c r="F19" s="55">
        <f t="shared" si="0"/>
        <v>9000000</v>
      </c>
      <c r="G19" s="1072"/>
    </row>
    <row r="20" spans="1:11" s="2" customFormat="1" ht="15" customHeight="1">
      <c r="A20" s="947" t="s">
        <v>2469</v>
      </c>
      <c r="B20" s="944"/>
      <c r="C20" s="16" t="s">
        <v>3</v>
      </c>
      <c r="D20" s="54">
        <v>1</v>
      </c>
      <c r="E20" s="17">
        <f>3*650000</f>
        <v>1950000</v>
      </c>
      <c r="F20" s="55">
        <f t="shared" si="0"/>
        <v>1950000</v>
      </c>
      <c r="G20" s="1072"/>
    </row>
    <row r="21" spans="1:11" s="2" customFormat="1" ht="15" customHeight="1">
      <c r="A21" s="947" t="s">
        <v>2470</v>
      </c>
      <c r="B21" s="944"/>
      <c r="C21" s="16" t="s">
        <v>3</v>
      </c>
      <c r="D21" s="54">
        <v>1</v>
      </c>
      <c r="E21" s="17">
        <f>3*650000</f>
        <v>1950000</v>
      </c>
      <c r="F21" s="55">
        <f t="shared" si="0"/>
        <v>1950000</v>
      </c>
      <c r="G21" s="1072"/>
    </row>
    <row r="22" spans="1:11" s="2" customFormat="1" ht="15" customHeight="1">
      <c r="A22" s="947" t="s">
        <v>2471</v>
      </c>
      <c r="B22" s="944"/>
      <c r="C22" s="16" t="s">
        <v>3</v>
      </c>
      <c r="D22" s="54">
        <v>1</v>
      </c>
      <c r="E22" s="17">
        <f>3*950000</f>
        <v>2850000</v>
      </c>
      <c r="F22" s="55">
        <f t="shared" si="0"/>
        <v>2850000</v>
      </c>
      <c r="G22" s="1072"/>
    </row>
    <row r="23" spans="1:11" s="2" customFormat="1" ht="15" customHeight="1">
      <c r="A23" s="947" t="s">
        <v>2473</v>
      </c>
      <c r="B23" s="944"/>
      <c r="C23" s="16" t="s">
        <v>3</v>
      </c>
      <c r="D23" s="54">
        <v>1</v>
      </c>
      <c r="E23" s="17">
        <f>3*6412548</f>
        <v>19237644</v>
      </c>
      <c r="F23" s="55">
        <f t="shared" si="0"/>
        <v>19237644</v>
      </c>
      <c r="G23" s="1072"/>
    </row>
    <row r="24" spans="1:11" s="2" customFormat="1" ht="15" customHeight="1">
      <c r="A24" s="947" t="s">
        <v>2472</v>
      </c>
      <c r="B24" s="944"/>
      <c r="C24" s="16" t="s">
        <v>3</v>
      </c>
      <c r="D24" s="54">
        <v>1</v>
      </c>
      <c r="E24" s="17">
        <f>3*750000</f>
        <v>2250000</v>
      </c>
      <c r="F24" s="55">
        <f t="shared" si="0"/>
        <v>2250000</v>
      </c>
      <c r="G24" s="1072"/>
    </row>
    <row r="25" spans="1:11" s="2" customFormat="1" ht="15" customHeight="1">
      <c r="A25" s="947"/>
      <c r="B25" s="944"/>
      <c r="C25" s="16"/>
      <c r="D25" s="58"/>
      <c r="E25" s="17"/>
      <c r="F25" s="55"/>
      <c r="G25" s="57">
        <f>SUM(F17:F25)</f>
        <v>335784865.70048308</v>
      </c>
    </row>
    <row r="26" spans="1:11" s="2" customFormat="1" ht="15" customHeight="1">
      <c r="A26" s="1071" t="s">
        <v>15</v>
      </c>
      <c r="B26" s="944"/>
      <c r="C26" s="944"/>
      <c r="D26" s="944"/>
      <c r="E26" s="944"/>
      <c r="F26" s="944"/>
      <c r="G26" s="1072"/>
    </row>
    <row r="27" spans="1:11" s="2" customFormat="1" ht="15" customHeight="1">
      <c r="A27" s="1074" t="s">
        <v>2</v>
      </c>
      <c r="B27" s="944"/>
      <c r="C27" s="53" t="s">
        <v>3</v>
      </c>
      <c r="D27" s="53" t="s">
        <v>4</v>
      </c>
      <c r="E27" s="53" t="s">
        <v>6</v>
      </c>
      <c r="F27" s="53" t="s">
        <v>11</v>
      </c>
      <c r="G27" s="1075" t="s">
        <v>8</v>
      </c>
      <c r="J27" s="648"/>
    </row>
    <row r="28" spans="1:11" s="2" customFormat="1" ht="15" customHeight="1">
      <c r="A28" s="943" t="s">
        <v>173</v>
      </c>
      <c r="B28" s="944"/>
      <c r="C28" s="16" t="s">
        <v>3</v>
      </c>
      <c r="D28" s="54">
        <v>3.5000000000000003E-2</v>
      </c>
      <c r="E28" s="17">
        <f>+G25</f>
        <v>335784865.70048308</v>
      </c>
      <c r="F28" s="55">
        <f>E28*D28</f>
        <v>11752470.299516909</v>
      </c>
      <c r="G28" s="1072"/>
      <c r="K28" s="648"/>
    </row>
    <row r="29" spans="1:11" s="2" customFormat="1" ht="15" customHeight="1">
      <c r="A29" s="59"/>
      <c r="B29" s="60"/>
      <c r="C29" s="60"/>
      <c r="D29" s="60"/>
      <c r="E29" s="60"/>
      <c r="F29" s="60"/>
      <c r="G29" s="57">
        <f>SUM(F28:F29)</f>
        <v>11752470.299516909</v>
      </c>
    </row>
    <row r="30" spans="1:11" s="2" customFormat="1" ht="15" customHeight="1">
      <c r="A30" s="1071" t="s">
        <v>19</v>
      </c>
      <c r="B30" s="944"/>
      <c r="C30" s="944"/>
      <c r="D30" s="944"/>
      <c r="E30" s="944"/>
      <c r="F30" s="944"/>
      <c r="G30" s="1072"/>
    </row>
    <row r="31" spans="1:11" s="2" customFormat="1" ht="18" customHeight="1">
      <c r="A31" s="1074" t="s">
        <v>2</v>
      </c>
      <c r="B31" s="944"/>
      <c r="C31" s="53" t="s">
        <v>3</v>
      </c>
      <c r="D31" s="53" t="s">
        <v>4</v>
      </c>
      <c r="E31" s="53" t="s">
        <v>6</v>
      </c>
      <c r="F31" s="53" t="s">
        <v>11</v>
      </c>
      <c r="G31" s="456" t="s">
        <v>8</v>
      </c>
    </row>
    <row r="32" spans="1:11" s="2" customFormat="1" ht="15.75" customHeight="1">
      <c r="A32" s="978" t="str">
        <f>SALARIOS!$A$72</f>
        <v>CUADRILLA BB INSTALACIONES 1:4</v>
      </c>
      <c r="B32" s="979"/>
      <c r="C32" s="13" t="s">
        <v>1245</v>
      </c>
      <c r="D32" s="32">
        <v>16</v>
      </c>
      <c r="E32" s="13">
        <f>SALARIOS!$C$72</f>
        <v>57727</v>
      </c>
      <c r="F32" s="55">
        <f>+D32*E32</f>
        <v>923632</v>
      </c>
      <c r="G32" s="57">
        <f>SUM(F31:F32)</f>
        <v>923632</v>
      </c>
    </row>
    <row r="33" spans="1:7" s="2" customFormat="1" ht="15" customHeight="1">
      <c r="A33" s="1076" t="s">
        <v>25</v>
      </c>
      <c r="B33" s="944"/>
      <c r="C33" s="944"/>
      <c r="D33" s="944"/>
      <c r="E33" s="944"/>
      <c r="F33" s="944"/>
      <c r="G33" s="1072"/>
    </row>
    <row r="34" spans="1:7" s="2" customFormat="1" ht="15" customHeight="1">
      <c r="A34" s="1077"/>
      <c r="B34" s="944"/>
      <c r="C34" s="944"/>
      <c r="D34" s="944"/>
      <c r="E34" s="944"/>
      <c r="F34" s="944"/>
      <c r="G34" s="62">
        <f>G32+G29+G25+G15</f>
        <v>348507149.60000002</v>
      </c>
    </row>
    <row r="36" spans="1:7" s="2" customFormat="1" ht="15.75" customHeight="1">
      <c r="A36" s="970" t="s">
        <v>1</v>
      </c>
      <c r="B36" s="957"/>
      <c r="C36" s="953" t="s">
        <v>0</v>
      </c>
      <c r="D36" s="953"/>
      <c r="E36" s="953"/>
      <c r="F36" s="953"/>
      <c r="G36" s="1103"/>
    </row>
    <row r="37" spans="1:7" s="2" customFormat="1" ht="69.75" customHeight="1">
      <c r="A37" s="971"/>
      <c r="B37" s="957"/>
      <c r="C37" s="953"/>
      <c r="D37" s="953"/>
      <c r="E37" s="953"/>
      <c r="F37" s="953"/>
      <c r="G37" s="1103"/>
    </row>
    <row r="38" spans="1:7" s="2" customFormat="1" ht="15.75" customHeight="1">
      <c r="A38" s="971"/>
      <c r="B38" s="957"/>
      <c r="C38" s="956"/>
      <c r="D38" s="957"/>
      <c r="E38" s="957"/>
      <c r="F38" s="957"/>
      <c r="G38" s="958"/>
    </row>
    <row r="39" spans="1:7" s="2" customFormat="1" ht="15.75" customHeight="1">
      <c r="A39" s="971"/>
      <c r="B39" s="957"/>
      <c r="C39" s="959" t="s">
        <v>2</v>
      </c>
      <c r="D39" s="957"/>
      <c r="E39" s="957"/>
      <c r="F39" s="23" t="s">
        <v>3</v>
      </c>
      <c r="G39" s="24" t="s">
        <v>4</v>
      </c>
    </row>
    <row r="40" spans="1:7" s="2" customFormat="1" ht="73.5" customHeight="1">
      <c r="A40" s="1089" t="s">
        <v>1890</v>
      </c>
      <c r="B40" s="944"/>
      <c r="C40" s="980" t="s">
        <v>1891</v>
      </c>
      <c r="D40" s="944"/>
      <c r="E40" s="944"/>
      <c r="F40" s="51" t="s">
        <v>3</v>
      </c>
      <c r="G40" s="52">
        <v>4</v>
      </c>
    </row>
    <row r="41" spans="1:7" s="2" customFormat="1" ht="15.75" customHeight="1">
      <c r="A41" s="1071" t="s">
        <v>5</v>
      </c>
      <c r="B41" s="944"/>
      <c r="C41" s="944"/>
      <c r="D41" s="944"/>
      <c r="E41" s="944"/>
      <c r="F41" s="944"/>
      <c r="G41" s="1072"/>
    </row>
    <row r="42" spans="1:7" s="2" customFormat="1" ht="15.75" customHeight="1">
      <c r="A42" s="1074" t="s">
        <v>2</v>
      </c>
      <c r="B42" s="944"/>
      <c r="C42" s="53" t="s">
        <v>3</v>
      </c>
      <c r="D42" s="53" t="s">
        <v>4</v>
      </c>
      <c r="E42" s="53" t="s">
        <v>6</v>
      </c>
      <c r="F42" s="53" t="s">
        <v>7</v>
      </c>
      <c r="G42" s="1075" t="s">
        <v>8</v>
      </c>
    </row>
    <row r="43" spans="1:7" s="2" customFormat="1" ht="15.75" customHeight="1">
      <c r="A43" s="947" t="s">
        <v>167</v>
      </c>
      <c r="B43" s="980"/>
      <c r="C43" s="51" t="s">
        <v>3</v>
      </c>
      <c r="D43" s="54">
        <v>0.05</v>
      </c>
      <c r="E43" s="17">
        <f>+G58</f>
        <v>27341</v>
      </c>
      <c r="F43" s="55">
        <f>D43*E43</f>
        <v>1367.0500000000002</v>
      </c>
      <c r="G43" s="1072"/>
    </row>
    <row r="44" spans="1:7" s="2" customFormat="1" ht="15.75" customHeight="1">
      <c r="A44" s="947"/>
      <c r="B44" s="944"/>
      <c r="C44" s="51"/>
      <c r="D44" s="54"/>
      <c r="E44" s="17"/>
      <c r="F44" s="55">
        <f>D44*E44</f>
        <v>0</v>
      </c>
      <c r="G44" s="1072"/>
    </row>
    <row r="45" spans="1:7" s="2" customFormat="1" ht="15.75" customHeight="1">
      <c r="A45" s="1079"/>
      <c r="B45" s="944"/>
      <c r="C45" s="56"/>
      <c r="D45" s="56"/>
      <c r="E45" s="56"/>
      <c r="F45" s="55"/>
      <c r="G45" s="57">
        <f>SUM(F42:F45)</f>
        <v>1367.0500000000002</v>
      </c>
    </row>
    <row r="46" spans="1:7" s="2" customFormat="1" ht="15" customHeight="1">
      <c r="A46" s="1071" t="s">
        <v>10</v>
      </c>
      <c r="B46" s="944"/>
      <c r="C46" s="944"/>
      <c r="D46" s="944"/>
      <c r="E46" s="944"/>
      <c r="F46" s="944"/>
      <c r="G46" s="1072"/>
    </row>
    <row r="47" spans="1:7" s="2" customFormat="1" ht="15" customHeight="1">
      <c r="A47" s="1074" t="s">
        <v>2</v>
      </c>
      <c r="B47" s="944"/>
      <c r="C47" s="53" t="s">
        <v>3</v>
      </c>
      <c r="D47" s="53" t="s">
        <v>4</v>
      </c>
      <c r="E47" s="53" t="s">
        <v>6</v>
      </c>
      <c r="F47" s="53" t="s">
        <v>11</v>
      </c>
      <c r="G47" s="1075" t="s">
        <v>8</v>
      </c>
    </row>
    <row r="48" spans="1:7" s="2" customFormat="1" ht="15" customHeight="1">
      <c r="A48" s="947" t="str">
        <f>'INSUMOS '!$B$348</f>
        <v>Válvula compuerta 4" 300 PSI</v>
      </c>
      <c r="B48" s="944"/>
      <c r="C48" s="16" t="s">
        <v>39</v>
      </c>
      <c r="D48" s="54">
        <v>1</v>
      </c>
      <c r="E48" s="17">
        <f>'INSUMOS '!$E$348</f>
        <v>1201800</v>
      </c>
      <c r="F48" s="55">
        <f>D48*E48</f>
        <v>1201800</v>
      </c>
      <c r="G48" s="1072"/>
    </row>
    <row r="49" spans="1:7" s="2" customFormat="1" ht="15" customHeight="1">
      <c r="A49" s="947"/>
      <c r="B49" s="944"/>
      <c r="C49" s="51"/>
      <c r="D49" s="54"/>
      <c r="E49" s="17"/>
      <c r="F49" s="55">
        <f>D49*E49</f>
        <v>0</v>
      </c>
      <c r="G49" s="1072"/>
    </row>
    <row r="50" spans="1:7" s="2" customFormat="1" ht="15" customHeight="1">
      <c r="A50" s="947"/>
      <c r="B50" s="944"/>
      <c r="C50" s="16"/>
      <c r="D50" s="54"/>
      <c r="E50" s="17"/>
      <c r="F50" s="55">
        <f>D50*E50</f>
        <v>0</v>
      </c>
      <c r="G50" s="1072"/>
    </row>
    <row r="51" spans="1:7" s="2" customFormat="1" ht="15" customHeight="1">
      <c r="A51" s="947"/>
      <c r="B51" s="944"/>
      <c r="C51" s="16"/>
      <c r="D51" s="58"/>
      <c r="E51" s="17"/>
      <c r="F51" s="55"/>
      <c r="G51" s="57">
        <f>SUM(F47:F51)</f>
        <v>1201800</v>
      </c>
    </row>
    <row r="52" spans="1:7" s="2" customFormat="1" ht="15" customHeight="1">
      <c r="A52" s="1071" t="s">
        <v>15</v>
      </c>
      <c r="B52" s="944"/>
      <c r="C52" s="944"/>
      <c r="D52" s="944"/>
      <c r="E52" s="944"/>
      <c r="F52" s="944"/>
      <c r="G52" s="1072"/>
    </row>
    <row r="53" spans="1:7" s="2" customFormat="1" ht="15" customHeight="1">
      <c r="A53" s="1074" t="s">
        <v>2</v>
      </c>
      <c r="B53" s="944"/>
      <c r="C53" s="53" t="s">
        <v>3</v>
      </c>
      <c r="D53" s="53" t="s">
        <v>4</v>
      </c>
      <c r="E53" s="53" t="s">
        <v>6</v>
      </c>
      <c r="F53" s="53" t="s">
        <v>11</v>
      </c>
      <c r="G53" s="1075" t="s">
        <v>8</v>
      </c>
    </row>
    <row r="54" spans="1:7" s="2" customFormat="1" ht="15" customHeight="1">
      <c r="A54" s="943" t="s">
        <v>173</v>
      </c>
      <c r="B54" s="944"/>
      <c r="C54" s="16" t="s">
        <v>3</v>
      </c>
      <c r="D54" s="54">
        <v>3.5000000000000003E-2</v>
      </c>
      <c r="E54" s="17">
        <f>+G51</f>
        <v>1201800</v>
      </c>
      <c r="F54" s="55">
        <f>E54*D54</f>
        <v>42063.000000000007</v>
      </c>
      <c r="G54" s="1072"/>
    </row>
    <row r="55" spans="1:7" s="2" customFormat="1" ht="15" customHeight="1">
      <c r="A55" s="59"/>
      <c r="B55" s="60"/>
      <c r="C55" s="60"/>
      <c r="D55" s="60"/>
      <c r="E55" s="60"/>
      <c r="F55" s="60"/>
      <c r="G55" s="57">
        <f>SUM(F54:F55)</f>
        <v>42063.000000000007</v>
      </c>
    </row>
    <row r="56" spans="1:7" s="2" customFormat="1" ht="15" customHeight="1">
      <c r="A56" s="1071" t="s">
        <v>19</v>
      </c>
      <c r="B56" s="944"/>
      <c r="C56" s="944"/>
      <c r="D56" s="944"/>
      <c r="E56" s="944"/>
      <c r="F56" s="944"/>
      <c r="G56" s="1072"/>
    </row>
    <row r="57" spans="1:7" s="2" customFormat="1" ht="15" customHeight="1">
      <c r="A57" s="1074" t="s">
        <v>2</v>
      </c>
      <c r="B57" s="944"/>
      <c r="C57" s="53" t="s">
        <v>3</v>
      </c>
      <c r="D57" s="53" t="s">
        <v>4</v>
      </c>
      <c r="E57" s="53" t="s">
        <v>6</v>
      </c>
      <c r="F57" s="53" t="s">
        <v>11</v>
      </c>
      <c r="G57" s="456" t="s">
        <v>8</v>
      </c>
    </row>
    <row r="58" spans="1:7" s="2" customFormat="1" ht="15.75" customHeight="1">
      <c r="A58" s="978" t="str">
        <f>SALARIOS!$A$69</f>
        <v>CUADRILLA BB INSTALACIONES 1:1</v>
      </c>
      <c r="B58" s="979"/>
      <c r="C58" s="13" t="s">
        <v>1245</v>
      </c>
      <c r="D58" s="32">
        <v>1</v>
      </c>
      <c r="E58" s="13">
        <f>SALARIOS!$C$69</f>
        <v>27341</v>
      </c>
      <c r="F58" s="55">
        <f>+D58*E58</f>
        <v>27341</v>
      </c>
      <c r="G58" s="57">
        <f>SUM(F57:F58)</f>
        <v>27341</v>
      </c>
    </row>
    <row r="59" spans="1:7" s="2" customFormat="1" ht="15" customHeight="1">
      <c r="A59" s="1076" t="s">
        <v>25</v>
      </c>
      <c r="B59" s="944"/>
      <c r="C59" s="944"/>
      <c r="D59" s="944"/>
      <c r="E59" s="944"/>
      <c r="F59" s="944"/>
      <c r="G59" s="1072"/>
    </row>
    <row r="60" spans="1:7" s="2" customFormat="1" ht="15" customHeight="1">
      <c r="A60" s="1077"/>
      <c r="B60" s="944"/>
      <c r="C60" s="944"/>
      <c r="D60" s="944"/>
      <c r="E60" s="944"/>
      <c r="F60" s="944"/>
      <c r="G60" s="62">
        <f>G58+G55+G51+G45</f>
        <v>1272571.05</v>
      </c>
    </row>
    <row r="62" spans="1:7" s="2" customFormat="1" ht="15.75" customHeight="1">
      <c r="A62" s="970" t="s">
        <v>1</v>
      </c>
      <c r="B62" s="957"/>
      <c r="C62" s="953" t="s">
        <v>0</v>
      </c>
      <c r="D62" s="953"/>
      <c r="E62" s="953"/>
      <c r="F62" s="953"/>
      <c r="G62" s="1103"/>
    </row>
    <row r="63" spans="1:7" s="2" customFormat="1" ht="69.75" customHeight="1">
      <c r="A63" s="971"/>
      <c r="B63" s="957"/>
      <c r="C63" s="953"/>
      <c r="D63" s="953"/>
      <c r="E63" s="953"/>
      <c r="F63" s="953"/>
      <c r="G63" s="1103"/>
    </row>
    <row r="64" spans="1:7" s="2" customFormat="1" ht="15.75" customHeight="1">
      <c r="A64" s="971"/>
      <c r="B64" s="957"/>
      <c r="C64" s="956"/>
      <c r="D64" s="957"/>
      <c r="E64" s="957"/>
      <c r="F64" s="957"/>
      <c r="G64" s="958"/>
    </row>
    <row r="65" spans="1:8" s="2" customFormat="1" ht="15.75" customHeight="1">
      <c r="A65" s="971"/>
      <c r="B65" s="957"/>
      <c r="C65" s="959" t="s">
        <v>2</v>
      </c>
      <c r="D65" s="957"/>
      <c r="E65" s="957"/>
      <c r="F65" s="23" t="s">
        <v>3</v>
      </c>
      <c r="G65" s="24" t="s">
        <v>4</v>
      </c>
    </row>
    <row r="66" spans="1:8" s="2" customFormat="1" ht="73.5" customHeight="1">
      <c r="A66" s="1089" t="s">
        <v>1892</v>
      </c>
      <c r="B66" s="944"/>
      <c r="C66" s="980" t="s">
        <v>1893</v>
      </c>
      <c r="D66" s="944"/>
      <c r="E66" s="944"/>
      <c r="F66" s="51" t="s">
        <v>3</v>
      </c>
      <c r="G66" s="52">
        <v>5</v>
      </c>
    </row>
    <row r="67" spans="1:8" s="2" customFormat="1" ht="15.75" customHeight="1">
      <c r="A67" s="1071" t="s">
        <v>5</v>
      </c>
      <c r="B67" s="944"/>
      <c r="C67" s="944"/>
      <c r="D67" s="944"/>
      <c r="E67" s="944"/>
      <c r="F67" s="944"/>
      <c r="G67" s="1072"/>
    </row>
    <row r="68" spans="1:8" s="2" customFormat="1" ht="15.75" customHeight="1">
      <c r="A68" s="1074" t="s">
        <v>2</v>
      </c>
      <c r="B68" s="944"/>
      <c r="C68" s="53" t="s">
        <v>3</v>
      </c>
      <c r="D68" s="53" t="s">
        <v>4</v>
      </c>
      <c r="E68" s="53" t="s">
        <v>6</v>
      </c>
      <c r="F68" s="53" t="s">
        <v>7</v>
      </c>
      <c r="G68" s="1075" t="s">
        <v>8</v>
      </c>
    </row>
    <row r="69" spans="1:8" s="2" customFormat="1" ht="15.75" customHeight="1">
      <c r="A69" s="947" t="s">
        <v>167</v>
      </c>
      <c r="B69" s="980"/>
      <c r="C69" s="51" t="s">
        <v>3</v>
      </c>
      <c r="D69" s="54">
        <v>0.05</v>
      </c>
      <c r="E69" s="17">
        <f>+G86</f>
        <v>37469</v>
      </c>
      <c r="F69" s="55">
        <f>D69*E69</f>
        <v>1873.45</v>
      </c>
      <c r="G69" s="1072"/>
      <c r="H69" s="452"/>
    </row>
    <row r="70" spans="1:8" s="2" customFormat="1" ht="15.75" customHeight="1">
      <c r="A70" s="947"/>
      <c r="B70" s="944"/>
      <c r="C70" s="51"/>
      <c r="D70" s="54"/>
      <c r="E70" s="17"/>
      <c r="F70" s="55">
        <f>D70*E70</f>
        <v>0</v>
      </c>
      <c r="G70" s="1072"/>
      <c r="H70" s="452"/>
    </row>
    <row r="71" spans="1:8" s="2" customFormat="1" ht="15.75" customHeight="1">
      <c r="A71" s="947"/>
      <c r="B71" s="980"/>
      <c r="C71" s="141"/>
      <c r="D71" s="16"/>
      <c r="E71" s="143"/>
      <c r="F71" s="55">
        <f>D71*E71</f>
        <v>0</v>
      </c>
      <c r="G71" s="1072"/>
      <c r="H71" s="452"/>
    </row>
    <row r="72" spans="1:8" s="2" customFormat="1" ht="15.75" customHeight="1">
      <c r="A72" s="947"/>
      <c r="B72" s="944"/>
      <c r="C72" s="51"/>
      <c r="D72" s="54"/>
      <c r="E72" s="17"/>
      <c r="F72" s="55">
        <f>D72*E72</f>
        <v>0</v>
      </c>
      <c r="G72" s="1072"/>
      <c r="H72" s="452"/>
    </row>
    <row r="73" spans="1:8" s="2" customFormat="1" ht="15.75" customHeight="1">
      <c r="A73" s="1079"/>
      <c r="B73" s="944"/>
      <c r="C73" s="56"/>
      <c r="D73" s="56"/>
      <c r="E73" s="56"/>
      <c r="F73" s="55"/>
      <c r="G73" s="57">
        <f>SUM(F68:F73)</f>
        <v>1873.45</v>
      </c>
    </row>
    <row r="74" spans="1:8" s="2" customFormat="1" ht="15" customHeight="1">
      <c r="A74" s="1071" t="s">
        <v>10</v>
      </c>
      <c r="B74" s="944"/>
      <c r="C74" s="944"/>
      <c r="D74" s="944"/>
      <c r="E74" s="944"/>
      <c r="F74" s="944"/>
      <c r="G74" s="1072"/>
    </row>
    <row r="75" spans="1:8" s="2" customFormat="1" ht="15" customHeight="1">
      <c r="A75" s="1074" t="s">
        <v>2</v>
      </c>
      <c r="B75" s="944"/>
      <c r="C75" s="53" t="s">
        <v>3</v>
      </c>
      <c r="D75" s="53" t="s">
        <v>4</v>
      </c>
      <c r="E75" s="53" t="s">
        <v>6</v>
      </c>
      <c r="F75" s="53" t="s">
        <v>11</v>
      </c>
      <c r="G75" s="1075" t="s">
        <v>8</v>
      </c>
    </row>
    <row r="76" spans="1:8" s="2" customFormat="1" ht="15" customHeight="1">
      <c r="A76" s="947" t="str">
        <f>'INSUMOS '!B349</f>
        <v>TEE MECANICA ROSCADA 4X3X1.25" RCI</v>
      </c>
      <c r="B76" s="944"/>
      <c r="C76" s="16" t="str">
        <f>'INSUMOS '!D349</f>
        <v>Unidad</v>
      </c>
      <c r="D76" s="54">
        <v>1</v>
      </c>
      <c r="E76" s="17">
        <f>'INSUMOS '!$E$349</f>
        <v>151300</v>
      </c>
      <c r="F76" s="55">
        <f>D76*E76</f>
        <v>151300</v>
      </c>
      <c r="G76" s="1072"/>
    </row>
    <row r="77" spans="1:8" s="2" customFormat="1" ht="15" customHeight="1">
      <c r="A77" s="947"/>
      <c r="B77" s="944"/>
      <c r="C77" s="51"/>
      <c r="D77" s="54"/>
      <c r="E77" s="17"/>
      <c r="F77" s="55">
        <f>D77*E77</f>
        <v>0</v>
      </c>
      <c r="G77" s="1072"/>
    </row>
    <row r="78" spans="1:8" s="2" customFormat="1" ht="15" customHeight="1">
      <c r="A78" s="947"/>
      <c r="B78" s="944"/>
      <c r="C78" s="16"/>
      <c r="D78" s="54"/>
      <c r="E78" s="17"/>
      <c r="F78" s="55">
        <f>D78*E78</f>
        <v>0</v>
      </c>
      <c r="G78" s="1072"/>
    </row>
    <row r="79" spans="1:8" s="2" customFormat="1" ht="15" customHeight="1">
      <c r="A79" s="947"/>
      <c r="B79" s="944"/>
      <c r="C79" s="16"/>
      <c r="D79" s="58"/>
      <c r="E79" s="17"/>
      <c r="F79" s="55"/>
      <c r="G79" s="57">
        <f>SUM(F75:F79)</f>
        <v>151300</v>
      </c>
    </row>
    <row r="80" spans="1:8" s="2" customFormat="1" ht="15" customHeight="1">
      <c r="A80" s="1071" t="s">
        <v>15</v>
      </c>
      <c r="B80" s="944"/>
      <c r="C80" s="944"/>
      <c r="D80" s="944"/>
      <c r="E80" s="944"/>
      <c r="F80" s="944"/>
      <c r="G80" s="1072"/>
    </row>
    <row r="81" spans="1:7" s="2" customFormat="1" ht="15" customHeight="1">
      <c r="A81" s="1074" t="s">
        <v>2</v>
      </c>
      <c r="B81" s="944"/>
      <c r="C81" s="53" t="s">
        <v>3</v>
      </c>
      <c r="D81" s="53" t="s">
        <v>4</v>
      </c>
      <c r="E81" s="53" t="s">
        <v>6</v>
      </c>
      <c r="F81" s="53" t="s">
        <v>11</v>
      </c>
      <c r="G81" s="1075" t="s">
        <v>8</v>
      </c>
    </row>
    <row r="82" spans="1:7" s="2" customFormat="1" ht="15" customHeight="1">
      <c r="A82" s="943" t="s">
        <v>173</v>
      </c>
      <c r="B82" s="944"/>
      <c r="C82" s="16" t="s">
        <v>3</v>
      </c>
      <c r="D82" s="54">
        <v>3.5000000000000003E-2</v>
      </c>
      <c r="E82" s="17">
        <f>+G79</f>
        <v>151300</v>
      </c>
      <c r="F82" s="55">
        <f>E82*D82</f>
        <v>5295.5000000000009</v>
      </c>
      <c r="G82" s="1072"/>
    </row>
    <row r="83" spans="1:7" s="2" customFormat="1" ht="15" customHeight="1">
      <c r="A83" s="59"/>
      <c r="B83" s="60"/>
      <c r="C83" s="60"/>
      <c r="D83" s="60"/>
      <c r="E83" s="60"/>
      <c r="F83" s="60"/>
      <c r="G83" s="57">
        <f>SUM(F82:F83)</f>
        <v>5295.5000000000009</v>
      </c>
    </row>
    <row r="84" spans="1:7" s="2" customFormat="1" ht="15" customHeight="1">
      <c r="A84" s="1071" t="s">
        <v>19</v>
      </c>
      <c r="B84" s="944"/>
      <c r="C84" s="944"/>
      <c r="D84" s="944"/>
      <c r="E84" s="944"/>
      <c r="F84" s="944"/>
      <c r="G84" s="1072"/>
    </row>
    <row r="85" spans="1:7" s="2" customFormat="1" ht="15" customHeight="1">
      <c r="A85" s="1074" t="s">
        <v>2</v>
      </c>
      <c r="B85" s="944"/>
      <c r="C85" s="53" t="s">
        <v>3</v>
      </c>
      <c r="D85" s="53" t="s">
        <v>4</v>
      </c>
      <c r="E85" s="53" t="s">
        <v>6</v>
      </c>
      <c r="F85" s="53" t="s">
        <v>11</v>
      </c>
      <c r="G85" s="456" t="s">
        <v>8</v>
      </c>
    </row>
    <row r="86" spans="1:7" s="2" customFormat="1" ht="15.75" customHeight="1">
      <c r="A86" s="978" t="str">
        <f>SALARIOS!$A$70</f>
        <v>CUADRILLA BB INSTALACIONES 1:2</v>
      </c>
      <c r="B86" s="979"/>
      <c r="C86" s="13" t="s">
        <v>1245</v>
      </c>
      <c r="D86" s="32">
        <v>1</v>
      </c>
      <c r="E86" s="13">
        <f>SALARIOS!$C$70</f>
        <v>37469</v>
      </c>
      <c r="F86" s="55">
        <f>+D86*E86</f>
        <v>37469</v>
      </c>
      <c r="G86" s="57">
        <f>SUM(F85:F86)</f>
        <v>37469</v>
      </c>
    </row>
    <row r="87" spans="1:7" s="2" customFormat="1" ht="15" customHeight="1">
      <c r="A87" s="1076" t="s">
        <v>25</v>
      </c>
      <c r="B87" s="944"/>
      <c r="C87" s="944"/>
      <c r="D87" s="944"/>
      <c r="E87" s="944"/>
      <c r="F87" s="944"/>
      <c r="G87" s="1072"/>
    </row>
    <row r="88" spans="1:7" s="2" customFormat="1" ht="15" customHeight="1">
      <c r="A88" s="1077"/>
      <c r="B88" s="944"/>
      <c r="C88" s="944"/>
      <c r="D88" s="944"/>
      <c r="E88" s="944"/>
      <c r="F88" s="944"/>
      <c r="G88" s="62">
        <f>G86+G83+G79+G73</f>
        <v>195937.95</v>
      </c>
    </row>
    <row r="90" spans="1:7" s="2" customFormat="1" ht="15.75" customHeight="1">
      <c r="A90" s="970" t="s">
        <v>1</v>
      </c>
      <c r="B90" s="957"/>
      <c r="C90" s="953" t="s">
        <v>0</v>
      </c>
      <c r="D90" s="953"/>
      <c r="E90" s="953"/>
      <c r="F90" s="953"/>
      <c r="G90" s="1103"/>
    </row>
    <row r="91" spans="1:7" s="2" customFormat="1" ht="69.75" customHeight="1">
      <c r="A91" s="971"/>
      <c r="B91" s="957"/>
      <c r="C91" s="953"/>
      <c r="D91" s="953"/>
      <c r="E91" s="953"/>
      <c r="F91" s="953"/>
      <c r="G91" s="1103"/>
    </row>
    <row r="92" spans="1:7" s="2" customFormat="1" ht="15.75" customHeight="1">
      <c r="A92" s="971"/>
      <c r="B92" s="957"/>
      <c r="C92" s="956"/>
      <c r="D92" s="957"/>
      <c r="E92" s="957"/>
      <c r="F92" s="957"/>
      <c r="G92" s="958"/>
    </row>
    <row r="93" spans="1:7" s="2" customFormat="1" ht="15.75" customHeight="1">
      <c r="A93" s="971"/>
      <c r="B93" s="957"/>
      <c r="C93" s="959" t="s">
        <v>2</v>
      </c>
      <c r="D93" s="957"/>
      <c r="E93" s="957"/>
      <c r="F93" s="23" t="s">
        <v>3</v>
      </c>
      <c r="G93" s="24" t="s">
        <v>4</v>
      </c>
    </row>
    <row r="94" spans="1:7" s="2" customFormat="1" ht="73.5" customHeight="1">
      <c r="A94" s="1089" t="s">
        <v>1894</v>
      </c>
      <c r="B94" s="944"/>
      <c r="C94" s="980" t="s">
        <v>1895</v>
      </c>
      <c r="D94" s="944"/>
      <c r="E94" s="944"/>
      <c r="F94" s="51" t="s">
        <v>3</v>
      </c>
      <c r="G94" s="52">
        <v>2</v>
      </c>
    </row>
    <row r="95" spans="1:7" s="2" customFormat="1" ht="15.75" customHeight="1">
      <c r="A95" s="1071" t="s">
        <v>5</v>
      </c>
      <c r="B95" s="944"/>
      <c r="C95" s="944"/>
      <c r="D95" s="944"/>
      <c r="E95" s="944"/>
      <c r="F95" s="944"/>
      <c r="G95" s="1072"/>
    </row>
    <row r="96" spans="1:7" s="2" customFormat="1" ht="15.75" customHeight="1">
      <c r="A96" s="1074" t="s">
        <v>2</v>
      </c>
      <c r="B96" s="944"/>
      <c r="C96" s="53" t="s">
        <v>3</v>
      </c>
      <c r="D96" s="53" t="s">
        <v>4</v>
      </c>
      <c r="E96" s="53" t="s">
        <v>6</v>
      </c>
      <c r="F96" s="53" t="s">
        <v>7</v>
      </c>
      <c r="G96" s="1075" t="s">
        <v>8</v>
      </c>
    </row>
    <row r="97" spans="1:7" s="2" customFormat="1" ht="15.75" customHeight="1">
      <c r="A97" s="947" t="s">
        <v>167</v>
      </c>
      <c r="B97" s="980"/>
      <c r="C97" s="51" t="s">
        <v>3</v>
      </c>
      <c r="D97" s="54">
        <v>0.05</v>
      </c>
      <c r="E97" s="17">
        <f>+G114</f>
        <v>37469</v>
      </c>
      <c r="F97" s="55">
        <f>D97*E97</f>
        <v>1873.45</v>
      </c>
      <c r="G97" s="1072"/>
    </row>
    <row r="98" spans="1:7" s="2" customFormat="1" ht="15.75" customHeight="1">
      <c r="A98" s="947"/>
      <c r="B98" s="944"/>
      <c r="C98" s="51"/>
      <c r="D98" s="54"/>
      <c r="E98" s="17"/>
      <c r="F98" s="55">
        <f>D98*E98</f>
        <v>0</v>
      </c>
      <c r="G98" s="1072"/>
    </row>
    <row r="99" spans="1:7" s="2" customFormat="1" ht="15.75" customHeight="1">
      <c r="A99" s="947"/>
      <c r="B99" s="980"/>
      <c r="C99" s="141"/>
      <c r="D99" s="16"/>
      <c r="E99" s="143"/>
      <c r="F99" s="55">
        <f>D99*E99</f>
        <v>0</v>
      </c>
      <c r="G99" s="1072"/>
    </row>
    <row r="100" spans="1:7" s="2" customFormat="1" ht="15.75" customHeight="1">
      <c r="A100" s="947"/>
      <c r="B100" s="944"/>
      <c r="C100" s="51"/>
      <c r="D100" s="54"/>
      <c r="E100" s="17"/>
      <c r="F100" s="55">
        <f>D100*E100</f>
        <v>0</v>
      </c>
      <c r="G100" s="1072"/>
    </row>
    <row r="101" spans="1:7" s="2" customFormat="1" ht="15.75" customHeight="1">
      <c r="A101" s="1079"/>
      <c r="B101" s="944"/>
      <c r="C101" s="56"/>
      <c r="D101" s="56"/>
      <c r="E101" s="56"/>
      <c r="F101" s="55"/>
      <c r="G101" s="57">
        <f>SUM(F96:F101)</f>
        <v>1873.45</v>
      </c>
    </row>
    <row r="102" spans="1:7" s="2" customFormat="1" ht="15" customHeight="1">
      <c r="A102" s="1071" t="s">
        <v>10</v>
      </c>
      <c r="B102" s="944"/>
      <c r="C102" s="944"/>
      <c r="D102" s="944"/>
      <c r="E102" s="944"/>
      <c r="F102" s="944"/>
      <c r="G102" s="1072"/>
    </row>
    <row r="103" spans="1:7" s="2" customFormat="1" ht="15" customHeight="1">
      <c r="A103" s="1074" t="s">
        <v>2</v>
      </c>
      <c r="B103" s="944"/>
      <c r="C103" s="53" t="s">
        <v>3</v>
      </c>
      <c r="D103" s="53" t="s">
        <v>4</v>
      </c>
      <c r="E103" s="53" t="s">
        <v>6</v>
      </c>
      <c r="F103" s="53" t="s">
        <v>11</v>
      </c>
      <c r="G103" s="1075" t="s">
        <v>8</v>
      </c>
    </row>
    <row r="104" spans="1:7" s="2" customFormat="1" ht="15" customHeight="1">
      <c r="A104" s="947" t="str">
        <f>'INSUMOS '!B350</f>
        <v>VALVULA CHECK RANURADA 4" 300PSI</v>
      </c>
      <c r="B104" s="944"/>
      <c r="C104" s="16" t="str">
        <f>'INSUMOS '!D352</f>
        <v>Unidad</v>
      </c>
      <c r="D104" s="54">
        <v>1</v>
      </c>
      <c r="E104" s="17">
        <f>'INSUMOS '!E350</f>
        <v>703230.19323671504</v>
      </c>
      <c r="F104" s="55">
        <f>D104*E104</f>
        <v>703230.19323671504</v>
      </c>
      <c r="G104" s="1072"/>
    </row>
    <row r="105" spans="1:7" s="2" customFormat="1" ht="15" customHeight="1">
      <c r="A105" s="947"/>
      <c r="B105" s="944"/>
      <c r="C105" s="51"/>
      <c r="D105" s="54"/>
      <c r="E105" s="17"/>
      <c r="F105" s="55">
        <f>D105*E105</f>
        <v>0</v>
      </c>
      <c r="G105" s="1072"/>
    </row>
    <row r="106" spans="1:7" s="2" customFormat="1" ht="15" customHeight="1">
      <c r="A106" s="947"/>
      <c r="B106" s="944"/>
      <c r="C106" s="16"/>
      <c r="D106" s="54"/>
      <c r="E106" s="17"/>
      <c r="F106" s="55">
        <f>D106*E106</f>
        <v>0</v>
      </c>
      <c r="G106" s="1072"/>
    </row>
    <row r="107" spans="1:7" s="2" customFormat="1" ht="15" customHeight="1">
      <c r="A107" s="947"/>
      <c r="B107" s="944"/>
      <c r="C107" s="16"/>
      <c r="D107" s="58"/>
      <c r="E107" s="17"/>
      <c r="F107" s="55"/>
      <c r="G107" s="57">
        <f>SUM(F103:F107)</f>
        <v>703230.19323671504</v>
      </c>
    </row>
    <row r="108" spans="1:7" s="2" customFormat="1" ht="15" customHeight="1">
      <c r="A108" s="1071" t="s">
        <v>15</v>
      </c>
      <c r="B108" s="944"/>
      <c r="C108" s="944"/>
      <c r="D108" s="944"/>
      <c r="E108" s="944"/>
      <c r="F108" s="944"/>
      <c r="G108" s="1072"/>
    </row>
    <row r="109" spans="1:7" s="2" customFormat="1" ht="15" customHeight="1">
      <c r="A109" s="1074" t="s">
        <v>2</v>
      </c>
      <c r="B109" s="944"/>
      <c r="C109" s="53" t="s">
        <v>3</v>
      </c>
      <c r="D109" s="53" t="s">
        <v>4</v>
      </c>
      <c r="E109" s="53" t="s">
        <v>6</v>
      </c>
      <c r="F109" s="53" t="s">
        <v>11</v>
      </c>
      <c r="G109" s="1075" t="s">
        <v>8</v>
      </c>
    </row>
    <row r="110" spans="1:7" s="2" customFormat="1" ht="15" customHeight="1">
      <c r="A110" s="943" t="s">
        <v>173</v>
      </c>
      <c r="B110" s="944"/>
      <c r="C110" s="16" t="s">
        <v>3</v>
      </c>
      <c r="D110" s="54">
        <v>3.5000000000000003E-2</v>
      </c>
      <c r="E110" s="17">
        <f>+G107</f>
        <v>703230.19323671504</v>
      </c>
      <c r="F110" s="55">
        <f>E110*D110</f>
        <v>24613.056763285029</v>
      </c>
      <c r="G110" s="1072"/>
    </row>
    <row r="111" spans="1:7" s="2" customFormat="1" ht="15" customHeight="1">
      <c r="A111" s="59"/>
      <c r="B111" s="60"/>
      <c r="C111" s="60"/>
      <c r="D111" s="60"/>
      <c r="E111" s="60"/>
      <c r="F111" s="60"/>
      <c r="G111" s="57">
        <f>SUM(F110:F111)</f>
        <v>24613.056763285029</v>
      </c>
    </row>
    <row r="112" spans="1:7" s="2" customFormat="1" ht="15" customHeight="1">
      <c r="A112" s="1071" t="s">
        <v>19</v>
      </c>
      <c r="B112" s="944"/>
      <c r="C112" s="944"/>
      <c r="D112" s="944"/>
      <c r="E112" s="944"/>
      <c r="F112" s="944"/>
      <c r="G112" s="1072"/>
    </row>
    <row r="113" spans="1:7" s="2" customFormat="1" ht="15" customHeight="1">
      <c r="A113" s="1074" t="s">
        <v>2</v>
      </c>
      <c r="B113" s="944"/>
      <c r="C113" s="53" t="s">
        <v>3</v>
      </c>
      <c r="D113" s="53" t="s">
        <v>4</v>
      </c>
      <c r="E113" s="53" t="s">
        <v>6</v>
      </c>
      <c r="F113" s="53" t="s">
        <v>11</v>
      </c>
      <c r="G113" s="456" t="s">
        <v>8</v>
      </c>
    </row>
    <row r="114" spans="1:7" s="2" customFormat="1" ht="15.75" customHeight="1">
      <c r="A114" s="978" t="str">
        <f>SALARIOS!$A$70</f>
        <v>CUADRILLA BB INSTALACIONES 1:2</v>
      </c>
      <c r="B114" s="979"/>
      <c r="C114" s="13" t="s">
        <v>1245</v>
      </c>
      <c r="D114" s="32">
        <v>1</v>
      </c>
      <c r="E114" s="13">
        <f>SALARIOS!$C$70</f>
        <v>37469</v>
      </c>
      <c r="F114" s="55">
        <f>+D114*E114</f>
        <v>37469</v>
      </c>
      <c r="G114" s="57">
        <f>SUM(F113:F114)</f>
        <v>37469</v>
      </c>
    </row>
    <row r="115" spans="1:7" s="2" customFormat="1" ht="15" customHeight="1">
      <c r="A115" s="1076" t="s">
        <v>25</v>
      </c>
      <c r="B115" s="944"/>
      <c r="C115" s="944"/>
      <c r="D115" s="944"/>
      <c r="E115" s="944"/>
      <c r="F115" s="944"/>
      <c r="G115" s="1072"/>
    </row>
    <row r="116" spans="1:7" s="2" customFormat="1" ht="15" customHeight="1">
      <c r="A116" s="1077"/>
      <c r="B116" s="944"/>
      <c r="C116" s="944"/>
      <c r="D116" s="944"/>
      <c r="E116" s="944"/>
      <c r="F116" s="944"/>
      <c r="G116" s="62">
        <f>G114+G111+G107+G101</f>
        <v>767185.70000000007</v>
      </c>
    </row>
    <row r="118" spans="1:7" s="2" customFormat="1" ht="15.75" customHeight="1">
      <c r="A118" s="970" t="s">
        <v>1</v>
      </c>
      <c r="B118" s="957"/>
      <c r="C118" s="953" t="s">
        <v>0</v>
      </c>
      <c r="D118" s="953"/>
      <c r="E118" s="953"/>
      <c r="F118" s="953"/>
      <c r="G118" s="1103"/>
    </row>
    <row r="119" spans="1:7" s="2" customFormat="1" ht="69.75" customHeight="1">
      <c r="A119" s="971"/>
      <c r="B119" s="957"/>
      <c r="C119" s="953"/>
      <c r="D119" s="953"/>
      <c r="E119" s="953"/>
      <c r="F119" s="953"/>
      <c r="G119" s="1103"/>
    </row>
    <row r="120" spans="1:7" s="2" customFormat="1" ht="15.75" customHeight="1">
      <c r="A120" s="971"/>
      <c r="B120" s="957"/>
      <c r="C120" s="956"/>
      <c r="D120" s="957"/>
      <c r="E120" s="957"/>
      <c r="F120" s="957"/>
      <c r="G120" s="958"/>
    </row>
    <row r="121" spans="1:7" s="2" customFormat="1" ht="15.75" customHeight="1">
      <c r="A121" s="971"/>
      <c r="B121" s="957"/>
      <c r="C121" s="959" t="s">
        <v>2</v>
      </c>
      <c r="D121" s="957"/>
      <c r="E121" s="957"/>
      <c r="F121" s="23" t="s">
        <v>3</v>
      </c>
      <c r="G121" s="24" t="s">
        <v>4</v>
      </c>
    </row>
    <row r="122" spans="1:7" s="2" customFormat="1" ht="73.5" customHeight="1">
      <c r="A122" s="1089" t="s">
        <v>1896</v>
      </c>
      <c r="B122" s="944"/>
      <c r="C122" s="980" t="s">
        <v>1897</v>
      </c>
      <c r="D122" s="944"/>
      <c r="E122" s="944"/>
      <c r="F122" s="51" t="s">
        <v>3</v>
      </c>
      <c r="G122" s="52">
        <v>1</v>
      </c>
    </row>
    <row r="123" spans="1:7" s="2" customFormat="1" ht="15.75" customHeight="1">
      <c r="A123" s="1071" t="s">
        <v>5</v>
      </c>
      <c r="B123" s="944"/>
      <c r="C123" s="944"/>
      <c r="D123" s="944"/>
      <c r="E123" s="944"/>
      <c r="F123" s="944"/>
      <c r="G123" s="1072"/>
    </row>
    <row r="124" spans="1:7" s="2" customFormat="1" ht="15.75" customHeight="1">
      <c r="A124" s="1074" t="s">
        <v>2</v>
      </c>
      <c r="B124" s="944"/>
      <c r="C124" s="53" t="s">
        <v>3</v>
      </c>
      <c r="D124" s="53" t="s">
        <v>4</v>
      </c>
      <c r="E124" s="53" t="s">
        <v>6</v>
      </c>
      <c r="F124" s="53" t="s">
        <v>7</v>
      </c>
      <c r="G124" s="1075" t="s">
        <v>8</v>
      </c>
    </row>
    <row r="125" spans="1:7" s="2" customFormat="1" ht="15.75" customHeight="1">
      <c r="A125" s="947" t="s">
        <v>167</v>
      </c>
      <c r="B125" s="980"/>
      <c r="C125" s="51" t="s">
        <v>3</v>
      </c>
      <c r="D125" s="54">
        <v>0.05</v>
      </c>
      <c r="E125" s="17">
        <f>+G142</f>
        <v>37469</v>
      </c>
      <c r="F125" s="55">
        <f>D125*E125</f>
        <v>1873.45</v>
      </c>
      <c r="G125" s="1072"/>
    </row>
    <row r="126" spans="1:7" s="2" customFormat="1" ht="15.75" customHeight="1">
      <c r="A126" s="947"/>
      <c r="B126" s="944"/>
      <c r="C126" s="51"/>
      <c r="D126" s="54"/>
      <c r="E126" s="17"/>
      <c r="F126" s="55">
        <f>D126*E126</f>
        <v>0</v>
      </c>
      <c r="G126" s="1072"/>
    </row>
    <row r="127" spans="1:7" s="2" customFormat="1" ht="15.75" customHeight="1">
      <c r="A127" s="947"/>
      <c r="B127" s="980"/>
      <c r="C127" s="141"/>
      <c r="D127" s="16"/>
      <c r="E127" s="143"/>
      <c r="F127" s="55">
        <f>D127*E127</f>
        <v>0</v>
      </c>
      <c r="G127" s="1072"/>
    </row>
    <row r="128" spans="1:7" s="2" customFormat="1" ht="15.75" customHeight="1">
      <c r="A128" s="947"/>
      <c r="B128" s="944"/>
      <c r="C128" s="51"/>
      <c r="D128" s="54"/>
      <c r="E128" s="17"/>
      <c r="F128" s="55">
        <f>D128*E128</f>
        <v>0</v>
      </c>
      <c r="G128" s="1072"/>
    </row>
    <row r="129" spans="1:7" s="2" customFormat="1" ht="15.75" customHeight="1">
      <c r="A129" s="1079"/>
      <c r="B129" s="944"/>
      <c r="C129" s="56"/>
      <c r="D129" s="56"/>
      <c r="E129" s="56"/>
      <c r="F129" s="55"/>
      <c r="G129" s="57">
        <f>SUM(F124:F129)</f>
        <v>1873.45</v>
      </c>
    </row>
    <row r="130" spans="1:7" s="2" customFormat="1" ht="15" customHeight="1">
      <c r="A130" s="1071" t="s">
        <v>10</v>
      </c>
      <c r="B130" s="944"/>
      <c r="C130" s="944"/>
      <c r="D130" s="944"/>
      <c r="E130" s="944"/>
      <c r="F130" s="944"/>
      <c r="G130" s="1072"/>
    </row>
    <row r="131" spans="1:7" s="2" customFormat="1" ht="15" customHeight="1">
      <c r="A131" s="1074" t="s">
        <v>2</v>
      </c>
      <c r="B131" s="944"/>
      <c r="C131" s="53" t="s">
        <v>3</v>
      </c>
      <c r="D131" s="53" t="s">
        <v>4</v>
      </c>
      <c r="E131" s="53" t="s">
        <v>6</v>
      </c>
      <c r="F131" s="53" t="s">
        <v>11</v>
      </c>
      <c r="G131" s="1075" t="s">
        <v>8</v>
      </c>
    </row>
    <row r="132" spans="1:7" s="2" customFormat="1" ht="15" customHeight="1">
      <c r="A132" s="947" t="str">
        <f>'INSUMOS '!$B$351</f>
        <v>SENSOR DE FLUJO VIKING 4"</v>
      </c>
      <c r="B132" s="944"/>
      <c r="C132" s="16" t="s">
        <v>3</v>
      </c>
      <c r="D132" s="54">
        <v>1</v>
      </c>
      <c r="E132" s="17">
        <f>'INSUMOS '!$E$351</f>
        <v>898333.57487922697</v>
      </c>
      <c r="F132" s="55">
        <f>D132*E132</f>
        <v>898333.57487922697</v>
      </c>
      <c r="G132" s="1072"/>
    </row>
    <row r="133" spans="1:7" s="2" customFormat="1" ht="15" customHeight="1">
      <c r="A133" s="947"/>
      <c r="B133" s="944"/>
      <c r="C133" s="51"/>
      <c r="D133" s="54"/>
      <c r="E133" s="17"/>
      <c r="F133" s="55">
        <f>D133*E133</f>
        <v>0</v>
      </c>
      <c r="G133" s="1072"/>
    </row>
    <row r="134" spans="1:7" s="2" customFormat="1" ht="15" customHeight="1">
      <c r="A134" s="947"/>
      <c r="B134" s="944"/>
      <c r="C134" s="16"/>
      <c r="D134" s="54"/>
      <c r="E134" s="17"/>
      <c r="F134" s="55">
        <f>D134*E134</f>
        <v>0</v>
      </c>
      <c r="G134" s="1072"/>
    </row>
    <row r="135" spans="1:7" s="2" customFormat="1" ht="15" customHeight="1">
      <c r="A135" s="947"/>
      <c r="B135" s="944"/>
      <c r="C135" s="16"/>
      <c r="D135" s="58"/>
      <c r="E135" s="17"/>
      <c r="F135" s="55"/>
      <c r="G135" s="57">
        <f>SUM(F131:F135)</f>
        <v>898333.57487922697</v>
      </c>
    </row>
    <row r="136" spans="1:7" s="2" customFormat="1" ht="15" customHeight="1">
      <c r="A136" s="1071" t="s">
        <v>15</v>
      </c>
      <c r="B136" s="944"/>
      <c r="C136" s="944"/>
      <c r="D136" s="944"/>
      <c r="E136" s="944"/>
      <c r="F136" s="944"/>
      <c r="G136" s="1072"/>
    </row>
    <row r="137" spans="1:7" s="2" customFormat="1" ht="15" customHeight="1">
      <c r="A137" s="1074" t="s">
        <v>2</v>
      </c>
      <c r="B137" s="944"/>
      <c r="C137" s="53" t="s">
        <v>3</v>
      </c>
      <c r="D137" s="53" t="s">
        <v>4</v>
      </c>
      <c r="E137" s="53" t="s">
        <v>6</v>
      </c>
      <c r="F137" s="53" t="s">
        <v>11</v>
      </c>
      <c r="G137" s="1075" t="s">
        <v>8</v>
      </c>
    </row>
    <row r="138" spans="1:7" s="2" customFormat="1" ht="15" customHeight="1">
      <c r="A138" s="943" t="s">
        <v>173</v>
      </c>
      <c r="B138" s="944"/>
      <c r="C138" s="16" t="s">
        <v>3</v>
      </c>
      <c r="D138" s="54">
        <v>3.5000000000000003E-2</v>
      </c>
      <c r="E138" s="17">
        <f>+G135</f>
        <v>898333.57487922697</v>
      </c>
      <c r="F138" s="55">
        <f>E138*D138</f>
        <v>31441.675120772947</v>
      </c>
      <c r="G138" s="1072"/>
    </row>
    <row r="139" spans="1:7" s="2" customFormat="1" ht="15" customHeight="1">
      <c r="A139" s="59"/>
      <c r="B139" s="60"/>
      <c r="C139" s="60"/>
      <c r="D139" s="60"/>
      <c r="E139" s="60"/>
      <c r="F139" s="60"/>
      <c r="G139" s="57">
        <f>SUM(F138:F139)</f>
        <v>31441.675120772947</v>
      </c>
    </row>
    <row r="140" spans="1:7" s="2" customFormat="1" ht="15" customHeight="1">
      <c r="A140" s="1071" t="s">
        <v>19</v>
      </c>
      <c r="B140" s="944"/>
      <c r="C140" s="944"/>
      <c r="D140" s="944"/>
      <c r="E140" s="944"/>
      <c r="F140" s="944"/>
      <c r="G140" s="1072"/>
    </row>
    <row r="141" spans="1:7" s="2" customFormat="1" ht="15" customHeight="1">
      <c r="A141" s="1074" t="s">
        <v>2</v>
      </c>
      <c r="B141" s="944"/>
      <c r="C141" s="53" t="s">
        <v>3</v>
      </c>
      <c r="D141" s="53" t="s">
        <v>4</v>
      </c>
      <c r="E141" s="53" t="s">
        <v>6</v>
      </c>
      <c r="F141" s="53" t="s">
        <v>11</v>
      </c>
      <c r="G141" s="456" t="s">
        <v>8</v>
      </c>
    </row>
    <row r="142" spans="1:7" s="2" customFormat="1" ht="15.75" customHeight="1">
      <c r="A142" s="978" t="str">
        <f>SALARIOS!$A$70</f>
        <v>CUADRILLA BB INSTALACIONES 1:2</v>
      </c>
      <c r="B142" s="979"/>
      <c r="C142" s="13" t="s">
        <v>1245</v>
      </c>
      <c r="D142" s="32">
        <v>1</v>
      </c>
      <c r="E142" s="13">
        <f>SALARIOS!$C$70</f>
        <v>37469</v>
      </c>
      <c r="F142" s="55">
        <f>+D142*E142</f>
        <v>37469</v>
      </c>
      <c r="G142" s="57">
        <f>SUM(F141:F142)</f>
        <v>37469</v>
      </c>
    </row>
    <row r="143" spans="1:7" s="2" customFormat="1" ht="15" customHeight="1">
      <c r="A143" s="1076" t="s">
        <v>25</v>
      </c>
      <c r="B143" s="944"/>
      <c r="C143" s="944"/>
      <c r="D143" s="944"/>
      <c r="E143" s="944"/>
      <c r="F143" s="944"/>
      <c r="G143" s="1072"/>
    </row>
    <row r="144" spans="1:7" s="2" customFormat="1" ht="15" customHeight="1">
      <c r="A144" s="1077"/>
      <c r="B144" s="944"/>
      <c r="C144" s="944"/>
      <c r="D144" s="944"/>
      <c r="E144" s="944"/>
      <c r="F144" s="944"/>
      <c r="G144" s="62">
        <f>G142+G139+G135+G129</f>
        <v>969117.69999999984</v>
      </c>
    </row>
    <row r="146" spans="1:7" s="2" customFormat="1" ht="15.75" customHeight="1">
      <c r="A146" s="970" t="s">
        <v>1</v>
      </c>
      <c r="B146" s="957"/>
      <c r="C146" s="953" t="s">
        <v>0</v>
      </c>
      <c r="D146" s="953"/>
      <c r="E146" s="953"/>
      <c r="F146" s="953"/>
      <c r="G146" s="1103"/>
    </row>
    <row r="147" spans="1:7" s="2" customFormat="1" ht="69.75" customHeight="1">
      <c r="A147" s="971"/>
      <c r="B147" s="957"/>
      <c r="C147" s="953"/>
      <c r="D147" s="953"/>
      <c r="E147" s="953"/>
      <c r="F147" s="953"/>
      <c r="G147" s="1103"/>
    </row>
    <row r="148" spans="1:7" s="2" customFormat="1" ht="15.75" customHeight="1">
      <c r="A148" s="971"/>
      <c r="B148" s="957"/>
      <c r="C148" s="956"/>
      <c r="D148" s="957"/>
      <c r="E148" s="957"/>
      <c r="F148" s="957"/>
      <c r="G148" s="958"/>
    </row>
    <row r="149" spans="1:7" s="2" customFormat="1" ht="15.75" customHeight="1">
      <c r="A149" s="971"/>
      <c r="B149" s="957"/>
      <c r="C149" s="959" t="s">
        <v>2</v>
      </c>
      <c r="D149" s="957"/>
      <c r="E149" s="957"/>
      <c r="F149" s="23" t="s">
        <v>3</v>
      </c>
      <c r="G149" s="24" t="s">
        <v>4</v>
      </c>
    </row>
    <row r="150" spans="1:7" s="2" customFormat="1" ht="73.5" customHeight="1">
      <c r="A150" s="1089" t="s">
        <v>1898</v>
      </c>
      <c r="B150" s="944"/>
      <c r="C150" s="980" t="s">
        <v>1899</v>
      </c>
      <c r="D150" s="944"/>
      <c r="E150" s="944"/>
      <c r="F150" s="51" t="s">
        <v>3</v>
      </c>
      <c r="G150" s="52">
        <v>1</v>
      </c>
    </row>
    <row r="151" spans="1:7" s="2" customFormat="1" ht="15.75" customHeight="1">
      <c r="A151" s="1071" t="s">
        <v>5</v>
      </c>
      <c r="B151" s="944"/>
      <c r="C151" s="944"/>
      <c r="D151" s="944"/>
      <c r="E151" s="944"/>
      <c r="F151" s="944"/>
      <c r="G151" s="1072"/>
    </row>
    <row r="152" spans="1:7" s="2" customFormat="1" ht="15.75" customHeight="1">
      <c r="A152" s="1074" t="s">
        <v>2</v>
      </c>
      <c r="B152" s="944"/>
      <c r="C152" s="53" t="s">
        <v>3</v>
      </c>
      <c r="D152" s="53" t="s">
        <v>4</v>
      </c>
      <c r="E152" s="53" t="s">
        <v>6</v>
      </c>
      <c r="F152" s="53" t="s">
        <v>7</v>
      </c>
      <c r="G152" s="1075" t="s">
        <v>8</v>
      </c>
    </row>
    <row r="153" spans="1:7" s="2" customFormat="1" ht="15.75" customHeight="1">
      <c r="A153" s="947" t="s">
        <v>167</v>
      </c>
      <c r="B153" s="980"/>
      <c r="C153" s="51" t="s">
        <v>3</v>
      </c>
      <c r="D153" s="54">
        <v>0.05</v>
      </c>
      <c r="E153" s="17">
        <f>+G170</f>
        <v>37469</v>
      </c>
      <c r="F153" s="55">
        <f>D153*E153</f>
        <v>1873.45</v>
      </c>
      <c r="G153" s="1072"/>
    </row>
    <row r="154" spans="1:7" s="2" customFormat="1" ht="15.75" customHeight="1">
      <c r="A154" s="947"/>
      <c r="B154" s="944"/>
      <c r="C154" s="51"/>
      <c r="D154" s="54"/>
      <c r="E154" s="17"/>
      <c r="F154" s="55">
        <f>D154*E154</f>
        <v>0</v>
      </c>
      <c r="G154" s="1072"/>
    </row>
    <row r="155" spans="1:7" s="2" customFormat="1" ht="15.75" customHeight="1">
      <c r="A155" s="947"/>
      <c r="B155" s="980"/>
      <c r="C155" s="141"/>
      <c r="D155" s="16"/>
      <c r="E155" s="143"/>
      <c r="F155" s="55">
        <f>D155*E155</f>
        <v>0</v>
      </c>
      <c r="G155" s="1072"/>
    </row>
    <row r="156" spans="1:7" s="2" customFormat="1" ht="15.75" customHeight="1">
      <c r="A156" s="947"/>
      <c r="B156" s="944"/>
      <c r="C156" s="51"/>
      <c r="D156" s="54"/>
      <c r="E156" s="17"/>
      <c r="F156" s="55">
        <f>D156*E156</f>
        <v>0</v>
      </c>
      <c r="G156" s="1072"/>
    </row>
    <row r="157" spans="1:7" s="2" customFormat="1" ht="15.75" customHeight="1">
      <c r="A157" s="1079"/>
      <c r="B157" s="944"/>
      <c r="C157" s="56"/>
      <c r="D157" s="56"/>
      <c r="E157" s="56"/>
      <c r="F157" s="55"/>
      <c r="G157" s="57">
        <f>SUM(F152:F157)</f>
        <v>1873.45</v>
      </c>
    </row>
    <row r="158" spans="1:7" s="2" customFormat="1" ht="15" customHeight="1">
      <c r="A158" s="1071" t="s">
        <v>10</v>
      </c>
      <c r="B158" s="944"/>
      <c r="C158" s="944"/>
      <c r="D158" s="944"/>
      <c r="E158" s="944"/>
      <c r="F158" s="944"/>
      <c r="G158" s="1072"/>
    </row>
    <row r="159" spans="1:7" s="2" customFormat="1" ht="15" customHeight="1">
      <c r="A159" s="1074" t="s">
        <v>2</v>
      </c>
      <c r="B159" s="944"/>
      <c r="C159" s="53" t="s">
        <v>3</v>
      </c>
      <c r="D159" s="53" t="s">
        <v>4</v>
      </c>
      <c r="E159" s="53" t="s">
        <v>6</v>
      </c>
      <c r="F159" s="53" t="s">
        <v>11</v>
      </c>
      <c r="G159" s="1075" t="s">
        <v>8</v>
      </c>
    </row>
    <row r="160" spans="1:7" s="2" customFormat="1" ht="15" customHeight="1">
      <c r="A160" s="947" t="str">
        <f>'INSUMOS '!$B$352</f>
        <v>CAMPANA PARA ALARMA RCI</v>
      </c>
      <c r="B160" s="944"/>
      <c r="C160" s="16" t="s">
        <v>998</v>
      </c>
      <c r="D160" s="54">
        <v>1</v>
      </c>
      <c r="E160" s="17">
        <f>'INSUMOS '!$E$352</f>
        <v>255764.49275362317</v>
      </c>
      <c r="F160" s="55">
        <f>D160*E160</f>
        <v>255764.49275362317</v>
      </c>
      <c r="G160" s="1072"/>
    </row>
    <row r="161" spans="1:7" s="2" customFormat="1" ht="15" customHeight="1">
      <c r="A161" s="947"/>
      <c r="B161" s="944"/>
      <c r="C161" s="51"/>
      <c r="D161" s="54"/>
      <c r="E161" s="17"/>
      <c r="F161" s="55">
        <f>D161*E161</f>
        <v>0</v>
      </c>
      <c r="G161" s="1072"/>
    </row>
    <row r="162" spans="1:7" s="2" customFormat="1" ht="15" customHeight="1">
      <c r="A162" s="947"/>
      <c r="B162" s="944"/>
      <c r="C162" s="16"/>
      <c r="D162" s="54"/>
      <c r="E162" s="17"/>
      <c r="F162" s="55">
        <f>D162*E162</f>
        <v>0</v>
      </c>
      <c r="G162" s="1072"/>
    </row>
    <row r="163" spans="1:7" s="2" customFormat="1" ht="15" customHeight="1">
      <c r="A163" s="947"/>
      <c r="B163" s="944"/>
      <c r="C163" s="16"/>
      <c r="D163" s="58"/>
      <c r="E163" s="17"/>
      <c r="F163" s="55"/>
      <c r="G163" s="57">
        <f>SUM(F159:F163)</f>
        <v>255764.49275362317</v>
      </c>
    </row>
    <row r="164" spans="1:7" s="2" customFormat="1" ht="15" customHeight="1">
      <c r="A164" s="1071" t="s">
        <v>15</v>
      </c>
      <c r="B164" s="944"/>
      <c r="C164" s="944"/>
      <c r="D164" s="944"/>
      <c r="E164" s="944"/>
      <c r="F164" s="944"/>
      <c r="G164" s="1072"/>
    </row>
    <row r="165" spans="1:7" s="2" customFormat="1" ht="15" customHeight="1">
      <c r="A165" s="1074" t="s">
        <v>2</v>
      </c>
      <c r="B165" s="944"/>
      <c r="C165" s="53" t="s">
        <v>3</v>
      </c>
      <c r="D165" s="53" t="s">
        <v>4</v>
      </c>
      <c r="E165" s="53" t="s">
        <v>6</v>
      </c>
      <c r="F165" s="53" t="s">
        <v>11</v>
      </c>
      <c r="G165" s="1075" t="s">
        <v>8</v>
      </c>
    </row>
    <row r="166" spans="1:7" s="2" customFormat="1" ht="15" customHeight="1">
      <c r="A166" s="943" t="s">
        <v>173</v>
      </c>
      <c r="B166" s="944"/>
      <c r="C166" s="16" t="s">
        <v>3</v>
      </c>
      <c r="D166" s="54">
        <v>3.5000000000000003E-2</v>
      </c>
      <c r="E166" s="17">
        <f>+G163</f>
        <v>255764.49275362317</v>
      </c>
      <c r="F166" s="55">
        <f>E166*D166</f>
        <v>8951.757246376812</v>
      </c>
      <c r="G166" s="1072"/>
    </row>
    <row r="167" spans="1:7" s="2" customFormat="1" ht="15" customHeight="1">
      <c r="A167" s="59"/>
      <c r="B167" s="60"/>
      <c r="C167" s="60"/>
      <c r="D167" s="60"/>
      <c r="E167" s="60"/>
      <c r="F167" s="60"/>
      <c r="G167" s="57">
        <f>SUM(F166:F167)</f>
        <v>8951.757246376812</v>
      </c>
    </row>
    <row r="168" spans="1:7" s="2" customFormat="1" ht="15" customHeight="1">
      <c r="A168" s="1071" t="s">
        <v>19</v>
      </c>
      <c r="B168" s="944"/>
      <c r="C168" s="944"/>
      <c r="D168" s="944"/>
      <c r="E168" s="944"/>
      <c r="F168" s="944"/>
      <c r="G168" s="1072"/>
    </row>
    <row r="169" spans="1:7" s="2" customFormat="1" ht="15" customHeight="1">
      <c r="A169" s="1074" t="s">
        <v>2</v>
      </c>
      <c r="B169" s="944"/>
      <c r="C169" s="53" t="s">
        <v>3</v>
      </c>
      <c r="D169" s="53" t="s">
        <v>4</v>
      </c>
      <c r="E169" s="53" t="s">
        <v>6</v>
      </c>
      <c r="F169" s="53" t="s">
        <v>11</v>
      </c>
      <c r="G169" s="456" t="s">
        <v>8</v>
      </c>
    </row>
    <row r="170" spans="1:7" s="2" customFormat="1" ht="15.75" customHeight="1">
      <c r="A170" s="978" t="str">
        <f>SALARIOS!$A$70</f>
        <v>CUADRILLA BB INSTALACIONES 1:2</v>
      </c>
      <c r="B170" s="979"/>
      <c r="C170" s="13" t="s">
        <v>1245</v>
      </c>
      <c r="D170" s="32">
        <v>1</v>
      </c>
      <c r="E170" s="13">
        <f>SALARIOS!$C$70</f>
        <v>37469</v>
      </c>
      <c r="F170" s="55">
        <f>+D170*E170</f>
        <v>37469</v>
      </c>
      <c r="G170" s="57">
        <f>SUM(F169:F170)</f>
        <v>37469</v>
      </c>
    </row>
    <row r="171" spans="1:7" s="2" customFormat="1" ht="15" customHeight="1">
      <c r="A171" s="1076" t="s">
        <v>25</v>
      </c>
      <c r="B171" s="944"/>
      <c r="C171" s="944"/>
      <c r="D171" s="944"/>
      <c r="E171" s="944"/>
      <c r="F171" s="944"/>
      <c r="G171" s="1072"/>
    </row>
    <row r="172" spans="1:7" s="2" customFormat="1" ht="15" customHeight="1">
      <c r="A172" s="1077"/>
      <c r="B172" s="944"/>
      <c r="C172" s="944"/>
      <c r="D172" s="944"/>
      <c r="E172" s="944"/>
      <c r="F172" s="944"/>
      <c r="G172" s="62">
        <f>G170+G167+G163+G157</f>
        <v>304058.7</v>
      </c>
    </row>
    <row r="174" spans="1:7" s="2" customFormat="1" ht="15.75" customHeight="1">
      <c r="A174" s="970" t="s">
        <v>1</v>
      </c>
      <c r="B174" s="957"/>
      <c r="C174" s="953" t="s">
        <v>0</v>
      </c>
      <c r="D174" s="953"/>
      <c r="E174" s="953"/>
      <c r="F174" s="953"/>
      <c r="G174" s="1103"/>
    </row>
    <row r="175" spans="1:7" s="2" customFormat="1" ht="69.75" customHeight="1">
      <c r="A175" s="971"/>
      <c r="B175" s="957"/>
      <c r="C175" s="953"/>
      <c r="D175" s="953"/>
      <c r="E175" s="953"/>
      <c r="F175" s="953"/>
      <c r="G175" s="1103"/>
    </row>
    <row r="176" spans="1:7" s="2" customFormat="1" ht="15.75" customHeight="1">
      <c r="A176" s="971"/>
      <c r="B176" s="957"/>
      <c r="C176" s="956"/>
      <c r="D176" s="957"/>
      <c r="E176" s="957"/>
      <c r="F176" s="957"/>
      <c r="G176" s="958"/>
    </row>
    <row r="177" spans="1:7" s="2" customFormat="1" ht="15.75" customHeight="1">
      <c r="A177" s="971"/>
      <c r="B177" s="957"/>
      <c r="C177" s="959" t="s">
        <v>2</v>
      </c>
      <c r="D177" s="957"/>
      <c r="E177" s="957"/>
      <c r="F177" s="23" t="s">
        <v>3</v>
      </c>
      <c r="G177" s="24" t="s">
        <v>4</v>
      </c>
    </row>
    <row r="178" spans="1:7" s="2" customFormat="1" ht="73.5" customHeight="1">
      <c r="A178" s="1089" t="s">
        <v>1902</v>
      </c>
      <c r="B178" s="944"/>
      <c r="C178" s="980" t="s">
        <v>1903</v>
      </c>
      <c r="D178" s="944"/>
      <c r="E178" s="944"/>
      <c r="F178" s="51" t="s">
        <v>3</v>
      </c>
      <c r="G178" s="52">
        <v>1</v>
      </c>
    </row>
    <row r="179" spans="1:7" s="2" customFormat="1" ht="15.75" customHeight="1">
      <c r="A179" s="1071" t="s">
        <v>5</v>
      </c>
      <c r="B179" s="944"/>
      <c r="C179" s="944"/>
      <c r="D179" s="944"/>
      <c r="E179" s="944"/>
      <c r="F179" s="944"/>
      <c r="G179" s="1072"/>
    </row>
    <row r="180" spans="1:7" s="2" customFormat="1" ht="15.75" customHeight="1">
      <c r="A180" s="1074" t="s">
        <v>2</v>
      </c>
      <c r="B180" s="944"/>
      <c r="C180" s="53" t="s">
        <v>3</v>
      </c>
      <c r="D180" s="53" t="s">
        <v>4</v>
      </c>
      <c r="E180" s="53" t="s">
        <v>6</v>
      </c>
      <c r="F180" s="53" t="s">
        <v>7</v>
      </c>
      <c r="G180" s="1075" t="s">
        <v>8</v>
      </c>
    </row>
    <row r="181" spans="1:7" s="2" customFormat="1" ht="15.75" customHeight="1">
      <c r="A181" s="947" t="s">
        <v>167</v>
      </c>
      <c r="B181" s="980"/>
      <c r="C181" s="51" t="s">
        <v>3</v>
      </c>
      <c r="D181" s="54">
        <v>0.05</v>
      </c>
      <c r="E181" s="17">
        <f>+G198</f>
        <v>37469</v>
      </c>
      <c r="F181" s="55">
        <f>D181*E181</f>
        <v>1873.45</v>
      </c>
      <c r="G181" s="1072"/>
    </row>
    <row r="182" spans="1:7" s="2" customFormat="1" ht="15.75" customHeight="1">
      <c r="A182" s="947"/>
      <c r="B182" s="944"/>
      <c r="C182" s="51"/>
      <c r="D182" s="54"/>
      <c r="E182" s="17"/>
      <c r="F182" s="55">
        <f>D182*E182</f>
        <v>0</v>
      </c>
      <c r="G182" s="1072"/>
    </row>
    <row r="183" spans="1:7" s="2" customFormat="1" ht="15.75" customHeight="1">
      <c r="A183" s="947"/>
      <c r="B183" s="980"/>
      <c r="C183" s="141"/>
      <c r="D183" s="16"/>
      <c r="E183" s="143"/>
      <c r="F183" s="55">
        <f>D183*E183</f>
        <v>0</v>
      </c>
      <c r="G183" s="1072"/>
    </row>
    <row r="184" spans="1:7" s="2" customFormat="1" ht="15.75" customHeight="1">
      <c r="A184" s="947"/>
      <c r="B184" s="944"/>
      <c r="C184" s="51"/>
      <c r="D184" s="54"/>
      <c r="E184" s="17"/>
      <c r="F184" s="55">
        <f>D184*E184</f>
        <v>0</v>
      </c>
      <c r="G184" s="1072"/>
    </row>
    <row r="185" spans="1:7" s="2" customFormat="1" ht="15.75" customHeight="1">
      <c r="A185" s="1079"/>
      <c r="B185" s="944"/>
      <c r="C185" s="56"/>
      <c r="D185" s="56"/>
      <c r="E185" s="56"/>
      <c r="F185" s="55"/>
      <c r="G185" s="57">
        <f>SUM(F180:F185)</f>
        <v>1873.45</v>
      </c>
    </row>
    <row r="186" spans="1:7" s="2" customFormat="1" ht="15" customHeight="1">
      <c r="A186" s="1071" t="s">
        <v>10</v>
      </c>
      <c r="B186" s="944"/>
      <c r="C186" s="944"/>
      <c r="D186" s="944"/>
      <c r="E186" s="944"/>
      <c r="F186" s="944"/>
      <c r="G186" s="1072"/>
    </row>
    <row r="187" spans="1:7" s="2" customFormat="1" ht="15" customHeight="1">
      <c r="A187" s="1074" t="s">
        <v>2</v>
      </c>
      <c r="B187" s="944"/>
      <c r="C187" s="53" t="s">
        <v>3</v>
      </c>
      <c r="D187" s="53" t="s">
        <v>4</v>
      </c>
      <c r="E187" s="53" t="s">
        <v>6</v>
      </c>
      <c r="F187" s="53" t="s">
        <v>11</v>
      </c>
      <c r="G187" s="1075" t="s">
        <v>8</v>
      </c>
    </row>
    <row r="188" spans="1:7" s="2" customFormat="1" ht="15" customHeight="1">
      <c r="A188" s="947" t="str">
        <f>'INSUMOS '!$B$353</f>
        <v>SIAMESA BRONCE</v>
      </c>
      <c r="B188" s="944"/>
      <c r="C188" s="16" t="s">
        <v>3</v>
      </c>
      <c r="D188" s="54">
        <v>1</v>
      </c>
      <c r="E188" s="17">
        <f>'INSUMOS '!$E$353</f>
        <v>3001897.8260869598</v>
      </c>
      <c r="F188" s="55">
        <f>D188*E188</f>
        <v>3001897.8260869598</v>
      </c>
      <c r="G188" s="1072"/>
    </row>
    <row r="189" spans="1:7" s="2" customFormat="1" ht="15" customHeight="1">
      <c r="A189" s="947"/>
      <c r="B189" s="944"/>
      <c r="C189" s="51"/>
      <c r="D189" s="54"/>
      <c r="E189" s="17"/>
      <c r="F189" s="55">
        <f>D189*E189</f>
        <v>0</v>
      </c>
      <c r="G189" s="1072"/>
    </row>
    <row r="190" spans="1:7" s="2" customFormat="1" ht="15" customHeight="1">
      <c r="A190" s="947"/>
      <c r="B190" s="944"/>
      <c r="C190" s="16"/>
      <c r="D190" s="54"/>
      <c r="E190" s="17"/>
      <c r="F190" s="55">
        <f>D190*E190</f>
        <v>0</v>
      </c>
      <c r="G190" s="1072"/>
    </row>
    <row r="191" spans="1:7" s="2" customFormat="1" ht="15" customHeight="1">
      <c r="A191" s="947"/>
      <c r="B191" s="944"/>
      <c r="C191" s="16"/>
      <c r="D191" s="58"/>
      <c r="E191" s="17"/>
      <c r="F191" s="55"/>
      <c r="G191" s="57">
        <f>SUM(F187:F191)</f>
        <v>3001897.8260869598</v>
      </c>
    </row>
    <row r="192" spans="1:7" s="2" customFormat="1" ht="15" customHeight="1">
      <c r="A192" s="1071" t="s">
        <v>15</v>
      </c>
      <c r="B192" s="944"/>
      <c r="C192" s="944"/>
      <c r="D192" s="944"/>
      <c r="E192" s="944"/>
      <c r="F192" s="944"/>
      <c r="G192" s="1072"/>
    </row>
    <row r="193" spans="1:7" s="2" customFormat="1" ht="15" customHeight="1">
      <c r="A193" s="1074" t="s">
        <v>2</v>
      </c>
      <c r="B193" s="944"/>
      <c r="C193" s="53" t="s">
        <v>3</v>
      </c>
      <c r="D193" s="53" t="s">
        <v>4</v>
      </c>
      <c r="E193" s="53" t="s">
        <v>6</v>
      </c>
      <c r="F193" s="53" t="s">
        <v>11</v>
      </c>
      <c r="G193" s="1075" t="s">
        <v>8</v>
      </c>
    </row>
    <row r="194" spans="1:7" s="2" customFormat="1" ht="15" customHeight="1">
      <c r="A194" s="943" t="s">
        <v>173</v>
      </c>
      <c r="B194" s="944"/>
      <c r="C194" s="16" t="s">
        <v>3</v>
      </c>
      <c r="D194" s="54">
        <v>3.5000000000000003E-2</v>
      </c>
      <c r="E194" s="17">
        <f>+G191</f>
        <v>3001897.8260869598</v>
      </c>
      <c r="F194" s="55">
        <f>E194*D194</f>
        <v>105066.4239130436</v>
      </c>
      <c r="G194" s="1072"/>
    </row>
    <row r="195" spans="1:7" s="2" customFormat="1" ht="15" customHeight="1">
      <c r="A195" s="59"/>
      <c r="B195" s="60"/>
      <c r="C195" s="60"/>
      <c r="D195" s="60"/>
      <c r="E195" s="60"/>
      <c r="F195" s="60"/>
      <c r="G195" s="57">
        <f>SUM(F194:F195)</f>
        <v>105066.4239130436</v>
      </c>
    </row>
    <row r="196" spans="1:7" s="2" customFormat="1" ht="15" customHeight="1">
      <c r="A196" s="1071" t="s">
        <v>19</v>
      </c>
      <c r="B196" s="944"/>
      <c r="C196" s="944"/>
      <c r="D196" s="944"/>
      <c r="E196" s="944"/>
      <c r="F196" s="944"/>
      <c r="G196" s="1072"/>
    </row>
    <row r="197" spans="1:7" s="2" customFormat="1" ht="15" customHeight="1">
      <c r="A197" s="1074" t="s">
        <v>2</v>
      </c>
      <c r="B197" s="944"/>
      <c r="C197" s="53" t="s">
        <v>3</v>
      </c>
      <c r="D197" s="53" t="s">
        <v>4</v>
      </c>
      <c r="E197" s="53" t="s">
        <v>6</v>
      </c>
      <c r="F197" s="53" t="s">
        <v>11</v>
      </c>
      <c r="G197" s="456" t="s">
        <v>8</v>
      </c>
    </row>
    <row r="198" spans="1:7" s="2" customFormat="1" ht="15.75" customHeight="1">
      <c r="A198" s="978" t="str">
        <f>SALARIOS!$A$70</f>
        <v>CUADRILLA BB INSTALACIONES 1:2</v>
      </c>
      <c r="B198" s="979"/>
      <c r="C198" s="13" t="s">
        <v>1245</v>
      </c>
      <c r="D198" s="32">
        <v>1</v>
      </c>
      <c r="E198" s="13">
        <f>SALARIOS!$C$70</f>
        <v>37469</v>
      </c>
      <c r="F198" s="55">
        <f>+D198*E198</f>
        <v>37469</v>
      </c>
      <c r="G198" s="57">
        <f>SUM(F197:F198)</f>
        <v>37469</v>
      </c>
    </row>
    <row r="199" spans="1:7" s="2" customFormat="1" ht="15" customHeight="1">
      <c r="A199" s="1076" t="s">
        <v>25</v>
      </c>
      <c r="B199" s="944"/>
      <c r="C199" s="944"/>
      <c r="D199" s="944"/>
      <c r="E199" s="944"/>
      <c r="F199" s="944"/>
      <c r="G199" s="1072"/>
    </row>
    <row r="200" spans="1:7" s="2" customFormat="1" ht="15" customHeight="1">
      <c r="A200" s="1077"/>
      <c r="B200" s="944"/>
      <c r="C200" s="944"/>
      <c r="D200" s="944"/>
      <c r="E200" s="944"/>
      <c r="F200" s="944"/>
      <c r="G200" s="62">
        <f>G198+G195+G191+G185</f>
        <v>3146306.7000000034</v>
      </c>
    </row>
    <row r="202" spans="1:7" s="2" customFormat="1" ht="15.75" customHeight="1">
      <c r="A202" s="970" t="s">
        <v>1</v>
      </c>
      <c r="B202" s="957"/>
      <c r="C202" s="953" t="s">
        <v>0</v>
      </c>
      <c r="D202" s="953"/>
      <c r="E202" s="953"/>
      <c r="F202" s="953"/>
      <c r="G202" s="1103"/>
    </row>
    <row r="203" spans="1:7" s="2" customFormat="1" ht="69.75" customHeight="1">
      <c r="A203" s="971"/>
      <c r="B203" s="957"/>
      <c r="C203" s="953"/>
      <c r="D203" s="953"/>
      <c r="E203" s="953"/>
      <c r="F203" s="953"/>
      <c r="G203" s="1103"/>
    </row>
    <row r="204" spans="1:7" s="2" customFormat="1" ht="15.75" customHeight="1">
      <c r="A204" s="971"/>
      <c r="B204" s="957"/>
      <c r="C204" s="956"/>
      <c r="D204" s="957"/>
      <c r="E204" s="957"/>
      <c r="F204" s="957"/>
      <c r="G204" s="958"/>
    </row>
    <row r="205" spans="1:7" s="2" customFormat="1" ht="15.75" customHeight="1">
      <c r="A205" s="971"/>
      <c r="B205" s="957"/>
      <c r="C205" s="959" t="s">
        <v>2</v>
      </c>
      <c r="D205" s="957"/>
      <c r="E205" s="957"/>
      <c r="F205" s="23" t="s">
        <v>3</v>
      </c>
      <c r="G205" s="24" t="s">
        <v>4</v>
      </c>
    </row>
    <row r="206" spans="1:7" s="2" customFormat="1" ht="73.5" customHeight="1">
      <c r="A206" s="1089" t="s">
        <v>1904</v>
      </c>
      <c r="B206" s="944"/>
      <c r="C206" s="980" t="s">
        <v>1905</v>
      </c>
      <c r="D206" s="944"/>
      <c r="E206" s="944"/>
      <c r="F206" s="51" t="s">
        <v>3</v>
      </c>
      <c r="G206" s="52">
        <v>20</v>
      </c>
    </row>
    <row r="207" spans="1:7" s="2" customFormat="1" ht="15.75" customHeight="1">
      <c r="A207" s="1071" t="s">
        <v>5</v>
      </c>
      <c r="B207" s="944"/>
      <c r="C207" s="944"/>
      <c r="D207" s="944"/>
      <c r="E207" s="944"/>
      <c r="F207" s="944"/>
      <c r="G207" s="1072"/>
    </row>
    <row r="208" spans="1:7" s="2" customFormat="1" ht="15.75" customHeight="1">
      <c r="A208" s="1074" t="s">
        <v>2</v>
      </c>
      <c r="B208" s="944"/>
      <c r="C208" s="53" t="s">
        <v>3</v>
      </c>
      <c r="D208" s="53" t="s">
        <v>4</v>
      </c>
      <c r="E208" s="53" t="s">
        <v>6</v>
      </c>
      <c r="F208" s="53" t="s">
        <v>7</v>
      </c>
      <c r="G208" s="1075" t="s">
        <v>8</v>
      </c>
    </row>
    <row r="209" spans="1:7" s="2" customFormat="1" ht="15.75" customHeight="1">
      <c r="A209" s="947" t="s">
        <v>167</v>
      </c>
      <c r="B209" s="980"/>
      <c r="C209" s="51" t="s">
        <v>3</v>
      </c>
      <c r="D209" s="54">
        <v>0.05</v>
      </c>
      <c r="E209" s="17">
        <f>+G226</f>
        <v>37469</v>
      </c>
      <c r="F209" s="55">
        <f>D209*E209</f>
        <v>1873.45</v>
      </c>
      <c r="G209" s="1072"/>
    </row>
    <row r="210" spans="1:7" s="2" customFormat="1" ht="15.75" customHeight="1">
      <c r="A210" s="947"/>
      <c r="B210" s="944"/>
      <c r="C210" s="51"/>
      <c r="D210" s="54"/>
      <c r="E210" s="17"/>
      <c r="F210" s="55">
        <f>D210*E210</f>
        <v>0</v>
      </c>
      <c r="G210" s="1072"/>
    </row>
    <row r="211" spans="1:7" s="2" customFormat="1" ht="15.75" customHeight="1">
      <c r="A211" s="947"/>
      <c r="B211" s="980"/>
      <c r="C211" s="141"/>
      <c r="D211" s="16"/>
      <c r="E211" s="143"/>
      <c r="F211" s="55">
        <f>D211*E211</f>
        <v>0</v>
      </c>
      <c r="G211" s="1072"/>
    </row>
    <row r="212" spans="1:7" s="2" customFormat="1" ht="15.75" customHeight="1">
      <c r="A212" s="947"/>
      <c r="B212" s="944"/>
      <c r="C212" s="51"/>
      <c r="D212" s="54"/>
      <c r="E212" s="17"/>
      <c r="F212" s="55">
        <f>D212*E212</f>
        <v>0</v>
      </c>
      <c r="G212" s="1072"/>
    </row>
    <row r="213" spans="1:7" s="2" customFormat="1" ht="15.75" customHeight="1">
      <c r="A213" s="1079"/>
      <c r="B213" s="944"/>
      <c r="C213" s="56"/>
      <c r="D213" s="56"/>
      <c r="E213" s="56"/>
      <c r="F213" s="55"/>
      <c r="G213" s="57">
        <f>SUM(F208:F213)</f>
        <v>1873.45</v>
      </c>
    </row>
    <row r="214" spans="1:7" s="2" customFormat="1" ht="15" customHeight="1">
      <c r="A214" s="1071" t="s">
        <v>10</v>
      </c>
      <c r="B214" s="944"/>
      <c r="C214" s="944"/>
      <c r="D214" s="944"/>
      <c r="E214" s="944"/>
      <c r="F214" s="944"/>
      <c r="G214" s="1072"/>
    </row>
    <row r="215" spans="1:7" s="2" customFormat="1" ht="15" customHeight="1">
      <c r="A215" s="1074" t="s">
        <v>2</v>
      </c>
      <c r="B215" s="944"/>
      <c r="C215" s="53" t="s">
        <v>3</v>
      </c>
      <c r="D215" s="53" t="s">
        <v>4</v>
      </c>
      <c r="E215" s="53" t="s">
        <v>6</v>
      </c>
      <c r="F215" s="53" t="s">
        <v>11</v>
      </c>
      <c r="G215" s="1075" t="s">
        <v>8</v>
      </c>
    </row>
    <row r="216" spans="1:7" s="2" customFormat="1" ht="15" customHeight="1">
      <c r="A216" s="947" t="str">
        <f>'INSUMOS '!$B$354</f>
        <v>EXTINTOR ABC 1O LB</v>
      </c>
      <c r="B216" s="944"/>
      <c r="C216" s="16" t="s">
        <v>3</v>
      </c>
      <c r="D216" s="54">
        <v>1</v>
      </c>
      <c r="E216" s="17">
        <f>'INSUMOS '!$E$354</f>
        <v>268615</v>
      </c>
      <c r="F216" s="55">
        <f>D216*E216</f>
        <v>268615</v>
      </c>
      <c r="G216" s="1072"/>
    </row>
    <row r="217" spans="1:7" s="2" customFormat="1" ht="15" customHeight="1">
      <c r="A217" s="947"/>
      <c r="B217" s="944"/>
      <c r="C217" s="51"/>
      <c r="D217" s="54"/>
      <c r="E217" s="17"/>
      <c r="F217" s="55">
        <f>D217*E217</f>
        <v>0</v>
      </c>
      <c r="G217" s="1072"/>
    </row>
    <row r="218" spans="1:7" s="2" customFormat="1" ht="15" customHeight="1">
      <c r="A218" s="947"/>
      <c r="B218" s="944"/>
      <c r="C218" s="16"/>
      <c r="D218" s="54"/>
      <c r="E218" s="17"/>
      <c r="F218" s="55">
        <f>D218*E218</f>
        <v>0</v>
      </c>
      <c r="G218" s="1072"/>
    </row>
    <row r="219" spans="1:7" s="2" customFormat="1" ht="15" customHeight="1">
      <c r="A219" s="947"/>
      <c r="B219" s="944"/>
      <c r="C219" s="16"/>
      <c r="D219" s="58"/>
      <c r="E219" s="17"/>
      <c r="F219" s="55"/>
      <c r="G219" s="57">
        <f>SUM(F215:F219)</f>
        <v>268615</v>
      </c>
    </row>
    <row r="220" spans="1:7" s="2" customFormat="1" ht="15" customHeight="1">
      <c r="A220" s="1071" t="s">
        <v>15</v>
      </c>
      <c r="B220" s="944"/>
      <c r="C220" s="944"/>
      <c r="D220" s="944"/>
      <c r="E220" s="944"/>
      <c r="F220" s="944"/>
      <c r="G220" s="1072"/>
    </row>
    <row r="221" spans="1:7" s="2" customFormat="1" ht="15" customHeight="1">
      <c r="A221" s="1074" t="s">
        <v>2</v>
      </c>
      <c r="B221" s="944"/>
      <c r="C221" s="53" t="s">
        <v>3</v>
      </c>
      <c r="D221" s="53" t="s">
        <v>4</v>
      </c>
      <c r="E221" s="53" t="s">
        <v>6</v>
      </c>
      <c r="F221" s="53" t="s">
        <v>11</v>
      </c>
      <c r="G221" s="1075" t="s">
        <v>8</v>
      </c>
    </row>
    <row r="222" spans="1:7" s="2" customFormat="1" ht="15" customHeight="1">
      <c r="A222" s="943" t="s">
        <v>173</v>
      </c>
      <c r="B222" s="944"/>
      <c r="C222" s="16" t="s">
        <v>3</v>
      </c>
      <c r="D222" s="54">
        <v>3.5000000000000003E-2</v>
      </c>
      <c r="E222" s="17">
        <f>+G219</f>
        <v>268615</v>
      </c>
      <c r="F222" s="55">
        <f>E222*D222</f>
        <v>9401.5250000000015</v>
      </c>
      <c r="G222" s="1072"/>
    </row>
    <row r="223" spans="1:7" s="2" customFormat="1" ht="15" customHeight="1">
      <c r="A223" s="59"/>
      <c r="B223" s="60"/>
      <c r="C223" s="60"/>
      <c r="D223" s="60"/>
      <c r="E223" s="60"/>
      <c r="F223" s="60"/>
      <c r="G223" s="57">
        <f>SUM(F222:F223)</f>
        <v>9401.5250000000015</v>
      </c>
    </row>
    <row r="224" spans="1:7" s="2" customFormat="1" ht="15" customHeight="1">
      <c r="A224" s="1071" t="s">
        <v>19</v>
      </c>
      <c r="B224" s="944"/>
      <c r="C224" s="944"/>
      <c r="D224" s="944"/>
      <c r="E224" s="944"/>
      <c r="F224" s="944"/>
      <c r="G224" s="1072"/>
    </row>
    <row r="225" spans="1:7" s="2" customFormat="1" ht="15" customHeight="1">
      <c r="A225" s="1074" t="s">
        <v>2</v>
      </c>
      <c r="B225" s="944"/>
      <c r="C225" s="53" t="s">
        <v>3</v>
      </c>
      <c r="D225" s="53" t="s">
        <v>4</v>
      </c>
      <c r="E225" s="53" t="s">
        <v>6</v>
      </c>
      <c r="F225" s="53" t="s">
        <v>11</v>
      </c>
      <c r="G225" s="456" t="s">
        <v>8</v>
      </c>
    </row>
    <row r="226" spans="1:7" s="2" customFormat="1" ht="15.75" customHeight="1">
      <c r="A226" s="978" t="str">
        <f>SALARIOS!$A$70</f>
        <v>CUADRILLA BB INSTALACIONES 1:2</v>
      </c>
      <c r="B226" s="979"/>
      <c r="C226" s="13" t="s">
        <v>1245</v>
      </c>
      <c r="D226" s="32">
        <v>1</v>
      </c>
      <c r="E226" s="13">
        <f>SALARIOS!$C$70</f>
        <v>37469</v>
      </c>
      <c r="F226" s="55">
        <f>+D226*E226</f>
        <v>37469</v>
      </c>
      <c r="G226" s="57">
        <f>SUM(F225:F226)</f>
        <v>37469</v>
      </c>
    </row>
    <row r="227" spans="1:7" s="2" customFormat="1" ht="15" customHeight="1">
      <c r="A227" s="1076" t="s">
        <v>25</v>
      </c>
      <c r="B227" s="944"/>
      <c r="C227" s="944"/>
      <c r="D227" s="944"/>
      <c r="E227" s="944"/>
      <c r="F227" s="944"/>
      <c r="G227" s="1072"/>
    </row>
    <row r="228" spans="1:7" s="2" customFormat="1" ht="15" customHeight="1">
      <c r="A228" s="1077"/>
      <c r="B228" s="944"/>
      <c r="C228" s="944"/>
      <c r="D228" s="944"/>
      <c r="E228" s="944"/>
      <c r="F228" s="944"/>
      <c r="G228" s="62">
        <f>G226+G223+G219+G213</f>
        <v>317358.97500000003</v>
      </c>
    </row>
    <row r="230" spans="1:7" s="2" customFormat="1" ht="15.75" customHeight="1">
      <c r="A230" s="970" t="s">
        <v>1</v>
      </c>
      <c r="B230" s="957"/>
      <c r="C230" s="953" t="s">
        <v>0</v>
      </c>
      <c r="D230" s="953"/>
      <c r="E230" s="953"/>
      <c r="F230" s="953"/>
      <c r="G230" s="1103"/>
    </row>
    <row r="231" spans="1:7" s="2" customFormat="1" ht="69.75" customHeight="1">
      <c r="A231" s="971"/>
      <c r="B231" s="957"/>
      <c r="C231" s="953"/>
      <c r="D231" s="953"/>
      <c r="E231" s="953"/>
      <c r="F231" s="953"/>
      <c r="G231" s="1103"/>
    </row>
    <row r="232" spans="1:7" s="2" customFormat="1" ht="15.75" customHeight="1">
      <c r="A232" s="971"/>
      <c r="B232" s="957"/>
      <c r="C232" s="956"/>
      <c r="D232" s="957"/>
      <c r="E232" s="957"/>
      <c r="F232" s="957"/>
      <c r="G232" s="958"/>
    </row>
    <row r="233" spans="1:7" s="2" customFormat="1" ht="15.75" customHeight="1">
      <c r="A233" s="971"/>
      <c r="B233" s="957"/>
      <c r="C233" s="959" t="s">
        <v>2</v>
      </c>
      <c r="D233" s="957"/>
      <c r="E233" s="957"/>
      <c r="F233" s="23" t="s">
        <v>3</v>
      </c>
      <c r="G233" s="24" t="s">
        <v>4</v>
      </c>
    </row>
    <row r="234" spans="1:7" s="2" customFormat="1" ht="73.5" customHeight="1">
      <c r="A234" s="1089" t="s">
        <v>1906</v>
      </c>
      <c r="B234" s="944"/>
      <c r="C234" s="980" t="s">
        <v>1907</v>
      </c>
      <c r="D234" s="944"/>
      <c r="E234" s="944"/>
      <c r="F234" s="51" t="s">
        <v>3</v>
      </c>
      <c r="G234" s="52">
        <v>30</v>
      </c>
    </row>
    <row r="235" spans="1:7" s="2" customFormat="1" ht="15.75" customHeight="1">
      <c r="A235" s="1071" t="s">
        <v>5</v>
      </c>
      <c r="B235" s="944"/>
      <c r="C235" s="944"/>
      <c r="D235" s="944"/>
      <c r="E235" s="944"/>
      <c r="F235" s="944"/>
      <c r="G235" s="1072"/>
    </row>
    <row r="236" spans="1:7" s="2" customFormat="1" ht="15.75" customHeight="1">
      <c r="A236" s="1074" t="s">
        <v>2</v>
      </c>
      <c r="B236" s="944"/>
      <c r="C236" s="53" t="s">
        <v>3</v>
      </c>
      <c r="D236" s="53" t="s">
        <v>4</v>
      </c>
      <c r="E236" s="53" t="s">
        <v>6</v>
      </c>
      <c r="F236" s="53" t="s">
        <v>7</v>
      </c>
      <c r="G236" s="1075" t="s">
        <v>8</v>
      </c>
    </row>
    <row r="237" spans="1:7" s="2" customFormat="1" ht="15.75" customHeight="1">
      <c r="A237" s="947" t="s">
        <v>167</v>
      </c>
      <c r="B237" s="980"/>
      <c r="C237" s="51" t="s">
        <v>3</v>
      </c>
      <c r="D237" s="54">
        <v>0.05</v>
      </c>
      <c r="E237" s="17">
        <f>+G254</f>
        <v>37469</v>
      </c>
      <c r="F237" s="55">
        <f>D237*E237</f>
        <v>1873.45</v>
      </c>
      <c r="G237" s="1072"/>
    </row>
    <row r="238" spans="1:7" s="2" customFormat="1" ht="15.75" customHeight="1">
      <c r="A238" s="947"/>
      <c r="B238" s="944"/>
      <c r="C238" s="51"/>
      <c r="D238" s="54"/>
      <c r="E238" s="17"/>
      <c r="F238" s="55">
        <f>D238*E238</f>
        <v>0</v>
      </c>
      <c r="G238" s="1072"/>
    </row>
    <row r="239" spans="1:7" s="2" customFormat="1" ht="15.75" customHeight="1">
      <c r="A239" s="947"/>
      <c r="B239" s="980"/>
      <c r="C239" s="141"/>
      <c r="D239" s="16"/>
      <c r="E239" s="143"/>
      <c r="F239" s="55">
        <f>D239*E239</f>
        <v>0</v>
      </c>
      <c r="G239" s="1072"/>
    </row>
    <row r="240" spans="1:7" s="2" customFormat="1" ht="15.75" customHeight="1">
      <c r="A240" s="947"/>
      <c r="B240" s="944"/>
      <c r="C240" s="51"/>
      <c r="D240" s="54"/>
      <c r="E240" s="17"/>
      <c r="F240" s="55">
        <f>D240*E240</f>
        <v>0</v>
      </c>
      <c r="G240" s="1072"/>
    </row>
    <row r="241" spans="1:7" s="2" customFormat="1" ht="15.75" customHeight="1">
      <c r="A241" s="1079"/>
      <c r="B241" s="944"/>
      <c r="C241" s="56"/>
      <c r="D241" s="56"/>
      <c r="E241" s="56"/>
      <c r="F241" s="55"/>
      <c r="G241" s="57">
        <f>SUM(F236:F241)</f>
        <v>1873.45</v>
      </c>
    </row>
    <row r="242" spans="1:7" s="2" customFormat="1" ht="15" customHeight="1">
      <c r="A242" s="1071" t="s">
        <v>10</v>
      </c>
      <c r="B242" s="944"/>
      <c r="C242" s="944"/>
      <c r="D242" s="944"/>
      <c r="E242" s="944"/>
      <c r="F242" s="944"/>
      <c r="G242" s="1072"/>
    </row>
    <row r="243" spans="1:7" s="2" customFormat="1" ht="15" customHeight="1">
      <c r="A243" s="1074" t="s">
        <v>2</v>
      </c>
      <c r="B243" s="944"/>
      <c r="C243" s="53" t="s">
        <v>3</v>
      </c>
      <c r="D243" s="53" t="s">
        <v>4</v>
      </c>
      <c r="E243" s="53" t="s">
        <v>6</v>
      </c>
      <c r="F243" s="53" t="s">
        <v>11</v>
      </c>
      <c r="G243" s="1075" t="s">
        <v>8</v>
      </c>
    </row>
    <row r="244" spans="1:7" s="2" customFormat="1" ht="15" customHeight="1">
      <c r="A244" s="947" t="str">
        <f>'INSUMOS '!$B$355</f>
        <v>VALVULA COMPUERTA 2 1/2" UL</v>
      </c>
      <c r="B244" s="944"/>
      <c r="C244" s="16" t="s">
        <v>3</v>
      </c>
      <c r="D244" s="54">
        <v>1</v>
      </c>
      <c r="E244" s="17">
        <f>'INSUMOS '!$E$355</f>
        <v>971864.97584541095</v>
      </c>
      <c r="F244" s="55">
        <f>D244*E244</f>
        <v>971864.97584541095</v>
      </c>
      <c r="G244" s="1072"/>
    </row>
    <row r="245" spans="1:7" s="2" customFormat="1" ht="15" customHeight="1">
      <c r="A245" s="947"/>
      <c r="B245" s="944"/>
      <c r="C245" s="51"/>
      <c r="D245" s="54"/>
      <c r="E245" s="17"/>
      <c r="F245" s="55">
        <f>D245*E245</f>
        <v>0</v>
      </c>
      <c r="G245" s="1072"/>
    </row>
    <row r="246" spans="1:7" s="2" customFormat="1" ht="15" customHeight="1">
      <c r="A246" s="947"/>
      <c r="B246" s="944"/>
      <c r="C246" s="16"/>
      <c r="D246" s="54"/>
      <c r="E246" s="17"/>
      <c r="F246" s="55">
        <f>D246*E246</f>
        <v>0</v>
      </c>
      <c r="G246" s="1072"/>
    </row>
    <row r="247" spans="1:7" s="2" customFormat="1" ht="15" customHeight="1">
      <c r="A247" s="947"/>
      <c r="B247" s="944"/>
      <c r="C247" s="16"/>
      <c r="D247" s="58"/>
      <c r="E247" s="17"/>
      <c r="F247" s="55"/>
      <c r="G247" s="57">
        <f>SUM(F243:F247)</f>
        <v>971864.97584541095</v>
      </c>
    </row>
    <row r="248" spans="1:7" s="2" customFormat="1" ht="15" customHeight="1">
      <c r="A248" s="1071" t="s">
        <v>15</v>
      </c>
      <c r="B248" s="944"/>
      <c r="C248" s="944"/>
      <c r="D248" s="944"/>
      <c r="E248" s="944"/>
      <c r="F248" s="944"/>
      <c r="G248" s="1072"/>
    </row>
    <row r="249" spans="1:7" s="2" customFormat="1" ht="15" customHeight="1">
      <c r="A249" s="1074" t="s">
        <v>2</v>
      </c>
      <c r="B249" s="944"/>
      <c r="C249" s="53" t="s">
        <v>3</v>
      </c>
      <c r="D249" s="53" t="s">
        <v>4</v>
      </c>
      <c r="E249" s="53" t="s">
        <v>6</v>
      </c>
      <c r="F249" s="53" t="s">
        <v>11</v>
      </c>
      <c r="G249" s="1075" t="s">
        <v>8</v>
      </c>
    </row>
    <row r="250" spans="1:7" s="2" customFormat="1" ht="15" customHeight="1">
      <c r="A250" s="943" t="s">
        <v>173</v>
      </c>
      <c r="B250" s="944"/>
      <c r="C250" s="16" t="s">
        <v>3</v>
      </c>
      <c r="D250" s="54">
        <v>3.5000000000000003E-2</v>
      </c>
      <c r="E250" s="17">
        <f>+G247</f>
        <v>971864.97584541095</v>
      </c>
      <c r="F250" s="55">
        <f>E250*D250</f>
        <v>34015.274154589388</v>
      </c>
      <c r="G250" s="1072"/>
    </row>
    <row r="251" spans="1:7" s="2" customFormat="1" ht="15" customHeight="1">
      <c r="A251" s="59"/>
      <c r="B251" s="60"/>
      <c r="C251" s="60"/>
      <c r="D251" s="60"/>
      <c r="E251" s="60"/>
      <c r="F251" s="60"/>
      <c r="G251" s="57">
        <f>SUM(F250:F251)</f>
        <v>34015.274154589388</v>
      </c>
    </row>
    <row r="252" spans="1:7" s="2" customFormat="1" ht="15" customHeight="1">
      <c r="A252" s="1071" t="s">
        <v>19</v>
      </c>
      <c r="B252" s="944"/>
      <c r="C252" s="944"/>
      <c r="D252" s="944"/>
      <c r="E252" s="944"/>
      <c r="F252" s="944"/>
      <c r="G252" s="1072"/>
    </row>
    <row r="253" spans="1:7" s="2" customFormat="1" ht="15" customHeight="1">
      <c r="A253" s="1074" t="s">
        <v>2</v>
      </c>
      <c r="B253" s="944"/>
      <c r="C253" s="53" t="s">
        <v>3</v>
      </c>
      <c r="D253" s="53" t="s">
        <v>4</v>
      </c>
      <c r="E253" s="53" t="s">
        <v>6</v>
      </c>
      <c r="F253" s="53" t="s">
        <v>11</v>
      </c>
      <c r="G253" s="456" t="s">
        <v>8</v>
      </c>
    </row>
    <row r="254" spans="1:7" s="2" customFormat="1" ht="15.75" customHeight="1">
      <c r="A254" s="978" t="str">
        <f>SALARIOS!$A$70</f>
        <v>CUADRILLA BB INSTALACIONES 1:2</v>
      </c>
      <c r="B254" s="979"/>
      <c r="C254" s="13" t="s">
        <v>1245</v>
      </c>
      <c r="D254" s="32">
        <v>1</v>
      </c>
      <c r="E254" s="13">
        <f>SALARIOS!$C$70</f>
        <v>37469</v>
      </c>
      <c r="F254" s="55">
        <f>+D254*E254</f>
        <v>37469</v>
      </c>
      <c r="G254" s="57">
        <f>SUM(F253:F254)</f>
        <v>37469</v>
      </c>
    </row>
    <row r="255" spans="1:7" s="2" customFormat="1" ht="15" customHeight="1">
      <c r="A255" s="1076" t="s">
        <v>25</v>
      </c>
      <c r="B255" s="944"/>
      <c r="C255" s="944"/>
      <c r="D255" s="944"/>
      <c r="E255" s="944"/>
      <c r="F255" s="944"/>
      <c r="G255" s="1072"/>
    </row>
    <row r="256" spans="1:7" s="2" customFormat="1" ht="15" customHeight="1">
      <c r="A256" s="1077"/>
      <c r="B256" s="944"/>
      <c r="C256" s="944"/>
      <c r="D256" s="944"/>
      <c r="E256" s="944"/>
      <c r="F256" s="944"/>
      <c r="G256" s="62">
        <f>G254+G251+G247+G241</f>
        <v>1045222.7000000003</v>
      </c>
    </row>
    <row r="258" spans="1:7" s="2" customFormat="1" ht="15.75" customHeight="1">
      <c r="A258" s="970" t="s">
        <v>1</v>
      </c>
      <c r="B258" s="957"/>
      <c r="C258" s="953" t="s">
        <v>0</v>
      </c>
      <c r="D258" s="953"/>
      <c r="E258" s="953"/>
      <c r="F258" s="953"/>
      <c r="G258" s="1103"/>
    </row>
    <row r="259" spans="1:7" s="2" customFormat="1" ht="69.75" customHeight="1">
      <c r="A259" s="971"/>
      <c r="B259" s="957"/>
      <c r="C259" s="953"/>
      <c r="D259" s="953"/>
      <c r="E259" s="953"/>
      <c r="F259" s="953"/>
      <c r="G259" s="1103"/>
    </row>
    <row r="260" spans="1:7" s="2" customFormat="1" ht="15.75" customHeight="1">
      <c r="A260" s="971"/>
      <c r="B260" s="957"/>
      <c r="C260" s="956"/>
      <c r="D260" s="957"/>
      <c r="E260" s="957"/>
      <c r="F260" s="957"/>
      <c r="G260" s="958"/>
    </row>
    <row r="261" spans="1:7" s="2" customFormat="1" ht="15.75" customHeight="1">
      <c r="A261" s="971"/>
      <c r="B261" s="957"/>
      <c r="C261" s="959" t="s">
        <v>2</v>
      </c>
      <c r="D261" s="957"/>
      <c r="E261" s="957"/>
      <c r="F261" s="23" t="s">
        <v>3</v>
      </c>
      <c r="G261" s="24" t="s">
        <v>4</v>
      </c>
    </row>
    <row r="262" spans="1:7" s="2" customFormat="1" ht="73.5" customHeight="1">
      <c r="A262" s="1089" t="s">
        <v>1908</v>
      </c>
      <c r="B262" s="944"/>
      <c r="C262" s="980" t="s">
        <v>1909</v>
      </c>
      <c r="D262" s="944"/>
      <c r="E262" s="944"/>
      <c r="F262" s="51" t="s">
        <v>3</v>
      </c>
      <c r="G262" s="52">
        <v>2</v>
      </c>
    </row>
    <row r="263" spans="1:7" s="2" customFormat="1" ht="15.75" customHeight="1">
      <c r="A263" s="1071" t="s">
        <v>5</v>
      </c>
      <c r="B263" s="944"/>
      <c r="C263" s="944"/>
      <c r="D263" s="944"/>
      <c r="E263" s="944"/>
      <c r="F263" s="944"/>
      <c r="G263" s="1072"/>
    </row>
    <row r="264" spans="1:7" s="2" customFormat="1" ht="15.75" customHeight="1">
      <c r="A264" s="1074" t="s">
        <v>2</v>
      </c>
      <c r="B264" s="944"/>
      <c r="C264" s="53" t="s">
        <v>3</v>
      </c>
      <c r="D264" s="53" t="s">
        <v>4</v>
      </c>
      <c r="E264" s="53" t="s">
        <v>6</v>
      </c>
      <c r="F264" s="53" t="s">
        <v>7</v>
      </c>
      <c r="G264" s="1075" t="s">
        <v>8</v>
      </c>
    </row>
    <row r="265" spans="1:7" s="2" customFormat="1" ht="15.75" customHeight="1">
      <c r="A265" s="947" t="s">
        <v>167</v>
      </c>
      <c r="B265" s="980"/>
      <c r="C265" s="51" t="s">
        <v>3</v>
      </c>
      <c r="D265" s="54">
        <v>0.05</v>
      </c>
      <c r="E265" s="17">
        <f>+G282</f>
        <v>37469</v>
      </c>
      <c r="F265" s="55">
        <f>D265*E265</f>
        <v>1873.45</v>
      </c>
      <c r="G265" s="1072"/>
    </row>
    <row r="266" spans="1:7" s="2" customFormat="1" ht="15.75" customHeight="1">
      <c r="A266" s="947"/>
      <c r="B266" s="944"/>
      <c r="C266" s="51"/>
      <c r="D266" s="54"/>
      <c r="E266" s="17"/>
      <c r="F266" s="55">
        <f>D266*E266</f>
        <v>0</v>
      </c>
      <c r="G266" s="1072"/>
    </row>
    <row r="267" spans="1:7" s="2" customFormat="1" ht="15.75" customHeight="1">
      <c r="A267" s="947"/>
      <c r="B267" s="980"/>
      <c r="C267" s="141"/>
      <c r="D267" s="16"/>
      <c r="E267" s="143"/>
      <c r="F267" s="55">
        <f>D267*E267</f>
        <v>0</v>
      </c>
      <c r="G267" s="1072"/>
    </row>
    <row r="268" spans="1:7" s="2" customFormat="1" ht="15.75" customHeight="1">
      <c r="A268" s="947"/>
      <c r="B268" s="944"/>
      <c r="C268" s="51"/>
      <c r="D268" s="54"/>
      <c r="E268" s="17"/>
      <c r="F268" s="55">
        <f>D268*E268</f>
        <v>0</v>
      </c>
      <c r="G268" s="1072"/>
    </row>
    <row r="269" spans="1:7" s="2" customFormat="1" ht="15.75" customHeight="1">
      <c r="A269" s="1079"/>
      <c r="B269" s="944"/>
      <c r="C269" s="56"/>
      <c r="D269" s="56"/>
      <c r="E269" s="56"/>
      <c r="F269" s="55"/>
      <c r="G269" s="57">
        <f>SUM(F264:F269)</f>
        <v>1873.45</v>
      </c>
    </row>
    <row r="270" spans="1:7" s="2" customFormat="1" ht="15" customHeight="1">
      <c r="A270" s="1071" t="s">
        <v>10</v>
      </c>
      <c r="B270" s="944"/>
      <c r="C270" s="944"/>
      <c r="D270" s="944"/>
      <c r="E270" s="944"/>
      <c r="F270" s="944"/>
      <c r="G270" s="1072"/>
    </row>
    <row r="271" spans="1:7" s="2" customFormat="1" ht="15" customHeight="1">
      <c r="A271" s="1074" t="s">
        <v>2</v>
      </c>
      <c r="B271" s="944"/>
      <c r="C271" s="53" t="s">
        <v>3</v>
      </c>
      <c r="D271" s="53" t="s">
        <v>4</v>
      </c>
      <c r="E271" s="53" t="s">
        <v>6</v>
      </c>
      <c r="F271" s="53" t="s">
        <v>11</v>
      </c>
      <c r="G271" s="1075" t="s">
        <v>8</v>
      </c>
    </row>
    <row r="272" spans="1:7" s="2" customFormat="1" ht="15" customHeight="1">
      <c r="A272" s="947" t="str">
        <f>'INSUMOS '!$B$356</f>
        <v>VALVULA DE RETENCIÓN 4" UL</v>
      </c>
      <c r="B272" s="944"/>
      <c r="C272" s="16" t="s">
        <v>3</v>
      </c>
      <c r="D272" s="54">
        <v>1</v>
      </c>
      <c r="E272" s="17">
        <f>'INSUMOS '!$E$356</f>
        <v>420023.42995169101</v>
      </c>
      <c r="F272" s="55">
        <f>D272*E272</f>
        <v>420023.42995169101</v>
      </c>
      <c r="G272" s="1072"/>
    </row>
    <row r="273" spans="1:7" s="2" customFormat="1" ht="15" customHeight="1">
      <c r="A273" s="947"/>
      <c r="B273" s="944"/>
      <c r="C273" s="51"/>
      <c r="D273" s="54"/>
      <c r="E273" s="17"/>
      <c r="F273" s="55">
        <f>D273*E273</f>
        <v>0</v>
      </c>
      <c r="G273" s="1072"/>
    </row>
    <row r="274" spans="1:7" s="2" customFormat="1" ht="15" customHeight="1">
      <c r="A274" s="947"/>
      <c r="B274" s="944"/>
      <c r="C274" s="16"/>
      <c r="D274" s="54"/>
      <c r="E274" s="17"/>
      <c r="F274" s="55">
        <f>D274*E274</f>
        <v>0</v>
      </c>
      <c r="G274" s="1072"/>
    </row>
    <row r="275" spans="1:7" s="2" customFormat="1" ht="15" customHeight="1">
      <c r="A275" s="947"/>
      <c r="B275" s="944"/>
      <c r="C275" s="16"/>
      <c r="D275" s="58"/>
      <c r="E275" s="17"/>
      <c r="F275" s="55"/>
      <c r="G275" s="57">
        <f>SUM(F271:F275)</f>
        <v>420023.42995169101</v>
      </c>
    </row>
    <row r="276" spans="1:7" s="2" customFormat="1" ht="15" customHeight="1">
      <c r="A276" s="1071" t="s">
        <v>15</v>
      </c>
      <c r="B276" s="944"/>
      <c r="C276" s="944"/>
      <c r="D276" s="944"/>
      <c r="E276" s="944"/>
      <c r="F276" s="944"/>
      <c r="G276" s="1072"/>
    </row>
    <row r="277" spans="1:7" s="2" customFormat="1" ht="15" customHeight="1">
      <c r="A277" s="1074" t="s">
        <v>2</v>
      </c>
      <c r="B277" s="944"/>
      <c r="C277" s="53" t="s">
        <v>3</v>
      </c>
      <c r="D277" s="53" t="s">
        <v>4</v>
      </c>
      <c r="E277" s="53" t="s">
        <v>6</v>
      </c>
      <c r="F277" s="53" t="s">
        <v>11</v>
      </c>
      <c r="G277" s="1075" t="s">
        <v>8</v>
      </c>
    </row>
    <row r="278" spans="1:7" s="2" customFormat="1" ht="15" customHeight="1">
      <c r="A278" s="943" t="s">
        <v>173</v>
      </c>
      <c r="B278" s="944"/>
      <c r="C278" s="16" t="s">
        <v>3</v>
      </c>
      <c r="D278" s="54">
        <v>3.5000000000000003E-2</v>
      </c>
      <c r="E278" s="17">
        <f>+G275</f>
        <v>420023.42995169101</v>
      </c>
      <c r="F278" s="55">
        <f>E278*D278</f>
        <v>14700.820048309186</v>
      </c>
      <c r="G278" s="1072"/>
    </row>
    <row r="279" spans="1:7" s="2" customFormat="1" ht="15" customHeight="1">
      <c r="A279" s="59"/>
      <c r="B279" s="60"/>
      <c r="C279" s="60"/>
      <c r="D279" s="60"/>
      <c r="E279" s="60"/>
      <c r="F279" s="60"/>
      <c r="G279" s="57">
        <f>SUM(F278:F279)</f>
        <v>14700.820048309186</v>
      </c>
    </row>
    <row r="280" spans="1:7" s="2" customFormat="1" ht="15" customHeight="1">
      <c r="A280" s="1071" t="s">
        <v>19</v>
      </c>
      <c r="B280" s="944"/>
      <c r="C280" s="944"/>
      <c r="D280" s="944"/>
      <c r="E280" s="944"/>
      <c r="F280" s="944"/>
      <c r="G280" s="1072"/>
    </row>
    <row r="281" spans="1:7" s="2" customFormat="1" ht="15" customHeight="1">
      <c r="A281" s="1074" t="s">
        <v>2</v>
      </c>
      <c r="B281" s="944"/>
      <c r="C281" s="53" t="s">
        <v>3</v>
      </c>
      <c r="D281" s="53" t="s">
        <v>4</v>
      </c>
      <c r="E281" s="53" t="s">
        <v>6</v>
      </c>
      <c r="F281" s="53" t="s">
        <v>11</v>
      </c>
      <c r="G281" s="456" t="s">
        <v>8</v>
      </c>
    </row>
    <row r="282" spans="1:7" s="2" customFormat="1" ht="15.75" customHeight="1">
      <c r="A282" s="978" t="str">
        <f>SALARIOS!$A$70</f>
        <v>CUADRILLA BB INSTALACIONES 1:2</v>
      </c>
      <c r="B282" s="979"/>
      <c r="C282" s="13" t="s">
        <v>1245</v>
      </c>
      <c r="D282" s="32">
        <v>1</v>
      </c>
      <c r="E282" s="13">
        <f>SALARIOS!$C$70</f>
        <v>37469</v>
      </c>
      <c r="F282" s="55">
        <f>+D282*E282</f>
        <v>37469</v>
      </c>
      <c r="G282" s="57">
        <f>SUM(F281:F282)</f>
        <v>37469</v>
      </c>
    </row>
    <row r="283" spans="1:7" s="2" customFormat="1" ht="15" customHeight="1">
      <c r="A283" s="1076" t="s">
        <v>25</v>
      </c>
      <c r="B283" s="944"/>
      <c r="C283" s="944"/>
      <c r="D283" s="944"/>
      <c r="E283" s="944"/>
      <c r="F283" s="944"/>
      <c r="G283" s="1072"/>
    </row>
    <row r="284" spans="1:7" s="2" customFormat="1" ht="15" customHeight="1">
      <c r="A284" s="1077"/>
      <c r="B284" s="944"/>
      <c r="C284" s="944"/>
      <c r="D284" s="944"/>
      <c r="E284" s="944"/>
      <c r="F284" s="944"/>
      <c r="G284" s="62">
        <f>G282+G279+G275+G269</f>
        <v>474066.70000000019</v>
      </c>
    </row>
    <row r="286" spans="1:7" s="2" customFormat="1" ht="15.75" customHeight="1">
      <c r="A286" s="970" t="s">
        <v>1</v>
      </c>
      <c r="B286" s="957"/>
      <c r="C286" s="953" t="s">
        <v>0</v>
      </c>
      <c r="D286" s="953"/>
      <c r="E286" s="953"/>
      <c r="F286" s="953"/>
      <c r="G286" s="1103"/>
    </row>
    <row r="287" spans="1:7" s="2" customFormat="1" ht="69.75" customHeight="1">
      <c r="A287" s="971"/>
      <c r="B287" s="957"/>
      <c r="C287" s="953"/>
      <c r="D287" s="953"/>
      <c r="E287" s="953"/>
      <c r="F287" s="953"/>
      <c r="G287" s="1103"/>
    </row>
    <row r="288" spans="1:7" s="2" customFormat="1" ht="15.75" customHeight="1">
      <c r="A288" s="971"/>
      <c r="B288" s="957"/>
      <c r="C288" s="956"/>
      <c r="D288" s="957"/>
      <c r="E288" s="957"/>
      <c r="F288" s="957"/>
      <c r="G288" s="958"/>
    </row>
    <row r="289" spans="1:7" s="2" customFormat="1" ht="15.75" customHeight="1">
      <c r="A289" s="971"/>
      <c r="B289" s="957"/>
      <c r="C289" s="959" t="s">
        <v>2</v>
      </c>
      <c r="D289" s="957"/>
      <c r="E289" s="957"/>
      <c r="F289" s="23" t="s">
        <v>3</v>
      </c>
      <c r="G289" s="24" t="s">
        <v>4</v>
      </c>
    </row>
    <row r="290" spans="1:7" s="2" customFormat="1" ht="73.5" customHeight="1">
      <c r="A290" s="1089" t="s">
        <v>1910</v>
      </c>
      <c r="B290" s="944"/>
      <c r="C290" s="980" t="s">
        <v>1911</v>
      </c>
      <c r="D290" s="944"/>
      <c r="E290" s="944"/>
      <c r="F290" s="51" t="s">
        <v>3</v>
      </c>
      <c r="G290" s="52">
        <v>5</v>
      </c>
    </row>
    <row r="291" spans="1:7" s="2" customFormat="1" ht="15.75" customHeight="1">
      <c r="A291" s="1071" t="s">
        <v>5</v>
      </c>
      <c r="B291" s="944"/>
      <c r="C291" s="944"/>
      <c r="D291" s="944"/>
      <c r="E291" s="944"/>
      <c r="F291" s="944"/>
      <c r="G291" s="1072"/>
    </row>
    <row r="292" spans="1:7" s="2" customFormat="1" ht="15.75" customHeight="1">
      <c r="A292" s="1074" t="s">
        <v>2</v>
      </c>
      <c r="B292" s="944"/>
      <c r="C292" s="53" t="s">
        <v>3</v>
      </c>
      <c r="D292" s="53" t="s">
        <v>4</v>
      </c>
      <c r="E292" s="53" t="s">
        <v>6</v>
      </c>
      <c r="F292" s="53" t="s">
        <v>7</v>
      </c>
      <c r="G292" s="1075" t="s">
        <v>8</v>
      </c>
    </row>
    <row r="293" spans="1:7" s="2" customFormat="1" ht="15.75" customHeight="1">
      <c r="A293" s="947" t="s">
        <v>167</v>
      </c>
      <c r="B293" s="980"/>
      <c r="C293" s="51" t="s">
        <v>3</v>
      </c>
      <c r="D293" s="54">
        <v>0.05</v>
      </c>
      <c r="E293" s="17">
        <f>+G310</f>
        <v>37469</v>
      </c>
      <c r="F293" s="55">
        <f>D293*E293</f>
        <v>1873.45</v>
      </c>
      <c r="G293" s="1072"/>
    </row>
    <row r="294" spans="1:7" s="2" customFormat="1" ht="15.75" customHeight="1">
      <c r="A294" s="947"/>
      <c r="B294" s="944"/>
      <c r="C294" s="51"/>
      <c r="D294" s="54"/>
      <c r="E294" s="17"/>
      <c r="F294" s="55">
        <f>D294*E294</f>
        <v>0</v>
      </c>
      <c r="G294" s="1072"/>
    </row>
    <row r="295" spans="1:7" s="2" customFormat="1" ht="15.75" customHeight="1">
      <c r="A295" s="947"/>
      <c r="B295" s="980"/>
      <c r="C295" s="141"/>
      <c r="D295" s="16"/>
      <c r="E295" s="143"/>
      <c r="F295" s="55">
        <f>D295*E295</f>
        <v>0</v>
      </c>
      <c r="G295" s="1072"/>
    </row>
    <row r="296" spans="1:7" s="2" customFormat="1" ht="15.75" customHeight="1">
      <c r="A296" s="947"/>
      <c r="B296" s="944"/>
      <c r="C296" s="51"/>
      <c r="D296" s="54"/>
      <c r="E296" s="17"/>
      <c r="F296" s="55">
        <f>D296*E296</f>
        <v>0</v>
      </c>
      <c r="G296" s="1072"/>
    </row>
    <row r="297" spans="1:7" s="2" customFormat="1" ht="15.75" customHeight="1">
      <c r="A297" s="1079"/>
      <c r="B297" s="944"/>
      <c r="C297" s="56"/>
      <c r="D297" s="56"/>
      <c r="E297" s="56"/>
      <c r="F297" s="55"/>
      <c r="G297" s="57">
        <f>SUM(F292:F297)</f>
        <v>1873.45</v>
      </c>
    </row>
    <row r="298" spans="1:7" s="2" customFormat="1" ht="15" customHeight="1">
      <c r="A298" s="1071" t="s">
        <v>10</v>
      </c>
      <c r="B298" s="944"/>
      <c r="C298" s="944"/>
      <c r="D298" s="944"/>
      <c r="E298" s="944"/>
      <c r="F298" s="944"/>
      <c r="G298" s="1072"/>
    </row>
    <row r="299" spans="1:7" s="2" customFormat="1" ht="15" customHeight="1">
      <c r="A299" s="1074" t="s">
        <v>2</v>
      </c>
      <c r="B299" s="944"/>
      <c r="C299" s="53" t="s">
        <v>3</v>
      </c>
      <c r="D299" s="53" t="s">
        <v>4</v>
      </c>
      <c r="E299" s="53" t="s">
        <v>6</v>
      </c>
      <c r="F299" s="53" t="s">
        <v>11</v>
      </c>
      <c r="G299" s="1075" t="s">
        <v>8</v>
      </c>
    </row>
    <row r="300" spans="1:7" s="2" customFormat="1" ht="15" customHeight="1">
      <c r="A300" s="947" t="str">
        <f>'INSUMOS '!$B$357</f>
        <v>SENSOR DE FLUJO 2 1/2"</v>
      </c>
      <c r="B300" s="944"/>
      <c r="C300" s="16" t="s">
        <v>3</v>
      </c>
      <c r="D300" s="54">
        <v>1</v>
      </c>
      <c r="E300" s="17">
        <f>'INSUMOS '!$E$357</f>
        <v>932189.61352657003</v>
      </c>
      <c r="F300" s="55">
        <f>D300*E300</f>
        <v>932189.61352657003</v>
      </c>
      <c r="G300" s="1072"/>
    </row>
    <row r="301" spans="1:7" s="2" customFormat="1" ht="15" customHeight="1">
      <c r="A301" s="947"/>
      <c r="B301" s="944"/>
      <c r="C301" s="51"/>
      <c r="D301" s="54"/>
      <c r="E301" s="17"/>
      <c r="F301" s="55">
        <f>D301*E301</f>
        <v>0</v>
      </c>
      <c r="G301" s="1072"/>
    </row>
    <row r="302" spans="1:7" s="2" customFormat="1" ht="15" customHeight="1">
      <c r="A302" s="947"/>
      <c r="B302" s="944"/>
      <c r="C302" s="16"/>
      <c r="D302" s="54"/>
      <c r="E302" s="17"/>
      <c r="F302" s="55">
        <f>D302*E302</f>
        <v>0</v>
      </c>
      <c r="G302" s="1072"/>
    </row>
    <row r="303" spans="1:7" s="2" customFormat="1" ht="15" customHeight="1">
      <c r="A303" s="947"/>
      <c r="B303" s="944"/>
      <c r="C303" s="16"/>
      <c r="D303" s="58"/>
      <c r="E303" s="17"/>
      <c r="F303" s="55"/>
      <c r="G303" s="57">
        <f>SUM(F299:F303)</f>
        <v>932189.61352657003</v>
      </c>
    </row>
    <row r="304" spans="1:7" s="2" customFormat="1" ht="15" customHeight="1">
      <c r="A304" s="1071" t="s">
        <v>15</v>
      </c>
      <c r="B304" s="944"/>
      <c r="C304" s="944"/>
      <c r="D304" s="944"/>
      <c r="E304" s="944"/>
      <c r="F304" s="944"/>
      <c r="G304" s="1072"/>
    </row>
    <row r="305" spans="1:7" s="2" customFormat="1" ht="15" customHeight="1">
      <c r="A305" s="1074" t="s">
        <v>2</v>
      </c>
      <c r="B305" s="944"/>
      <c r="C305" s="53" t="s">
        <v>3</v>
      </c>
      <c r="D305" s="53" t="s">
        <v>4</v>
      </c>
      <c r="E305" s="53" t="s">
        <v>6</v>
      </c>
      <c r="F305" s="53" t="s">
        <v>11</v>
      </c>
      <c r="G305" s="1075" t="s">
        <v>8</v>
      </c>
    </row>
    <row r="306" spans="1:7" s="2" customFormat="1" ht="15" customHeight="1">
      <c r="A306" s="943" t="s">
        <v>173</v>
      </c>
      <c r="B306" s="944"/>
      <c r="C306" s="16" t="s">
        <v>3</v>
      </c>
      <c r="D306" s="54">
        <v>3.5000000000000003E-2</v>
      </c>
      <c r="E306" s="17">
        <f>+G303</f>
        <v>932189.61352657003</v>
      </c>
      <c r="F306" s="55">
        <f>E306*D306</f>
        <v>32626.636473429953</v>
      </c>
      <c r="G306" s="1072"/>
    </row>
    <row r="307" spans="1:7" s="2" customFormat="1" ht="15" customHeight="1">
      <c r="A307" s="59"/>
      <c r="B307" s="60"/>
      <c r="C307" s="60"/>
      <c r="D307" s="60"/>
      <c r="E307" s="60"/>
      <c r="F307" s="60"/>
      <c r="G307" s="57">
        <f>SUM(F306:F307)</f>
        <v>32626.636473429953</v>
      </c>
    </row>
    <row r="308" spans="1:7" s="2" customFormat="1" ht="15" customHeight="1">
      <c r="A308" s="1071" t="s">
        <v>19</v>
      </c>
      <c r="B308" s="944"/>
      <c r="C308" s="944"/>
      <c r="D308" s="944"/>
      <c r="E308" s="944"/>
      <c r="F308" s="944"/>
      <c r="G308" s="1072"/>
    </row>
    <row r="309" spans="1:7" s="2" customFormat="1" ht="15" customHeight="1">
      <c r="A309" s="1074" t="s">
        <v>2</v>
      </c>
      <c r="B309" s="944"/>
      <c r="C309" s="53" t="s">
        <v>3</v>
      </c>
      <c r="D309" s="53" t="s">
        <v>4</v>
      </c>
      <c r="E309" s="53" t="s">
        <v>6</v>
      </c>
      <c r="F309" s="53" t="s">
        <v>11</v>
      </c>
      <c r="G309" s="456" t="s">
        <v>8</v>
      </c>
    </row>
    <row r="310" spans="1:7" s="2" customFormat="1" ht="15.75" customHeight="1">
      <c r="A310" s="978" t="str">
        <f>SALARIOS!$A$70</f>
        <v>CUADRILLA BB INSTALACIONES 1:2</v>
      </c>
      <c r="B310" s="979"/>
      <c r="C310" s="13" t="s">
        <v>1245</v>
      </c>
      <c r="D310" s="32">
        <v>1</v>
      </c>
      <c r="E310" s="13">
        <f>SALARIOS!$C$70</f>
        <v>37469</v>
      </c>
      <c r="F310" s="55">
        <f>+D310*E310</f>
        <v>37469</v>
      </c>
      <c r="G310" s="57">
        <f>SUM(F309:F310)</f>
        <v>37469</v>
      </c>
    </row>
    <row r="311" spans="1:7" s="2" customFormat="1" ht="15" customHeight="1">
      <c r="A311" s="1076" t="s">
        <v>25</v>
      </c>
      <c r="B311" s="944"/>
      <c r="C311" s="944"/>
      <c r="D311" s="944"/>
      <c r="E311" s="944"/>
      <c r="F311" s="944"/>
      <c r="G311" s="1072"/>
    </row>
    <row r="312" spans="1:7" s="2" customFormat="1" ht="15" customHeight="1">
      <c r="A312" s="1077"/>
      <c r="B312" s="944"/>
      <c r="C312" s="944"/>
      <c r="D312" s="944"/>
      <c r="E312" s="944"/>
      <c r="F312" s="944"/>
      <c r="G312" s="62">
        <f>G310+G307+G303+G297</f>
        <v>1004158.7</v>
      </c>
    </row>
    <row r="314" spans="1:7" s="2" customFormat="1" ht="15.75" customHeight="1">
      <c r="A314" s="970" t="s">
        <v>1</v>
      </c>
      <c r="B314" s="957"/>
      <c r="C314" s="953" t="s">
        <v>0</v>
      </c>
      <c r="D314" s="953"/>
      <c r="E314" s="953"/>
      <c r="F314" s="953"/>
      <c r="G314" s="1103"/>
    </row>
    <row r="315" spans="1:7" s="2" customFormat="1" ht="69.75" customHeight="1">
      <c r="A315" s="971"/>
      <c r="B315" s="957"/>
      <c r="C315" s="953"/>
      <c r="D315" s="953"/>
      <c r="E315" s="953"/>
      <c r="F315" s="953"/>
      <c r="G315" s="1103"/>
    </row>
    <row r="316" spans="1:7" s="2" customFormat="1" ht="15.75" customHeight="1">
      <c r="A316" s="971"/>
      <c r="B316" s="957"/>
      <c r="C316" s="956"/>
      <c r="D316" s="957"/>
      <c r="E316" s="957"/>
      <c r="F316" s="957"/>
      <c r="G316" s="958"/>
    </row>
    <row r="317" spans="1:7" s="2" customFormat="1" ht="15.75" customHeight="1">
      <c r="A317" s="971"/>
      <c r="B317" s="957"/>
      <c r="C317" s="959" t="s">
        <v>2</v>
      </c>
      <c r="D317" s="957"/>
      <c r="E317" s="957"/>
      <c r="F317" s="23" t="s">
        <v>3</v>
      </c>
      <c r="G317" s="24" t="s">
        <v>4</v>
      </c>
    </row>
    <row r="318" spans="1:7" s="2" customFormat="1" ht="73.5" customHeight="1">
      <c r="A318" s="1089" t="s">
        <v>1912</v>
      </c>
      <c r="B318" s="944"/>
      <c r="C318" s="980" t="s">
        <v>1913</v>
      </c>
      <c r="D318" s="944"/>
      <c r="E318" s="944"/>
      <c r="F318" s="51" t="s">
        <v>3</v>
      </c>
      <c r="G318" s="52">
        <v>20</v>
      </c>
    </row>
    <row r="319" spans="1:7" s="2" customFormat="1" ht="15.75" customHeight="1">
      <c r="A319" s="1071" t="s">
        <v>5</v>
      </c>
      <c r="B319" s="944"/>
      <c r="C319" s="944"/>
      <c r="D319" s="944"/>
      <c r="E319" s="944"/>
      <c r="F319" s="944"/>
      <c r="G319" s="1072"/>
    </row>
    <row r="320" spans="1:7" s="2" customFormat="1" ht="15.75" customHeight="1">
      <c r="A320" s="1074" t="s">
        <v>2</v>
      </c>
      <c r="B320" s="944"/>
      <c r="C320" s="53" t="s">
        <v>3</v>
      </c>
      <c r="D320" s="53" t="s">
        <v>4</v>
      </c>
      <c r="E320" s="53" t="s">
        <v>6</v>
      </c>
      <c r="F320" s="53" t="s">
        <v>7</v>
      </c>
      <c r="G320" s="1075" t="s">
        <v>8</v>
      </c>
    </row>
    <row r="321" spans="1:7" s="2" customFormat="1" ht="15.75" customHeight="1">
      <c r="A321" s="947" t="s">
        <v>167</v>
      </c>
      <c r="B321" s="980"/>
      <c r="C321" s="51" t="s">
        <v>3</v>
      </c>
      <c r="D321" s="54">
        <v>0.05</v>
      </c>
      <c r="E321" s="17">
        <f>+G342</f>
        <v>37469</v>
      </c>
      <c r="F321" s="55">
        <f>D321*E321</f>
        <v>1873.45</v>
      </c>
      <c r="G321" s="1072"/>
    </row>
    <row r="322" spans="1:7" s="2" customFormat="1" ht="15.75" customHeight="1">
      <c r="A322" s="947"/>
      <c r="B322" s="944"/>
      <c r="C322" s="51"/>
      <c r="D322" s="54"/>
      <c r="E322" s="17"/>
      <c r="F322" s="55">
        <f>D322*E322</f>
        <v>0</v>
      </c>
      <c r="G322" s="1072"/>
    </row>
    <row r="323" spans="1:7" s="2" customFormat="1" ht="15.75" customHeight="1">
      <c r="A323" s="947"/>
      <c r="B323" s="980"/>
      <c r="C323" s="141"/>
      <c r="D323" s="16"/>
      <c r="E323" s="143"/>
      <c r="F323" s="55">
        <f>D323*E323</f>
        <v>0</v>
      </c>
      <c r="G323" s="1072"/>
    </row>
    <row r="324" spans="1:7" s="2" customFormat="1" ht="15.75" customHeight="1">
      <c r="A324" s="947"/>
      <c r="B324" s="944"/>
      <c r="C324" s="51"/>
      <c r="D324" s="54"/>
      <c r="E324" s="17"/>
      <c r="F324" s="55">
        <f>D324*E324</f>
        <v>0</v>
      </c>
      <c r="G324" s="1072"/>
    </row>
    <row r="325" spans="1:7" s="2" customFormat="1" ht="15.75" customHeight="1">
      <c r="A325" s="1079"/>
      <c r="B325" s="944"/>
      <c r="C325" s="56"/>
      <c r="D325" s="56"/>
      <c r="E325" s="56"/>
      <c r="F325" s="55"/>
      <c r="G325" s="57">
        <f>SUM(F320:F325)</f>
        <v>1873.45</v>
      </c>
    </row>
    <row r="326" spans="1:7" s="2" customFormat="1" ht="15" customHeight="1">
      <c r="A326" s="1071" t="s">
        <v>10</v>
      </c>
      <c r="B326" s="944"/>
      <c r="C326" s="944"/>
      <c r="D326" s="944"/>
      <c r="E326" s="944"/>
      <c r="F326" s="944"/>
      <c r="G326" s="1072"/>
    </row>
    <row r="327" spans="1:7" s="2" customFormat="1" ht="15" customHeight="1">
      <c r="A327" s="1074" t="s">
        <v>2</v>
      </c>
      <c r="B327" s="944"/>
      <c r="C327" s="53" t="s">
        <v>3</v>
      </c>
      <c r="D327" s="53" t="s">
        <v>4</v>
      </c>
      <c r="E327" s="53" t="s">
        <v>6</v>
      </c>
      <c r="F327" s="53" t="s">
        <v>11</v>
      </c>
      <c r="G327" s="1075" t="s">
        <v>8</v>
      </c>
    </row>
    <row r="328" spans="1:7" s="2" customFormat="1" ht="15" customHeight="1">
      <c r="A328" s="947" t="str">
        <f>'INSUMOS '!$B$358</f>
        <v>GABINETE RCI TIPO II</v>
      </c>
      <c r="B328" s="944"/>
      <c r="C328" s="51" t="s">
        <v>3</v>
      </c>
      <c r="D328" s="54">
        <v>1</v>
      </c>
      <c r="E328" s="473">
        <f>'INSUMOS '!$E$358</f>
        <v>252421.52968966099</v>
      </c>
      <c r="F328" s="55">
        <f t="shared" ref="F328:F334" si="1">D328*E328</f>
        <v>252421.52968966099</v>
      </c>
      <c r="G328" s="1075"/>
    </row>
    <row r="329" spans="1:7" s="2" customFormat="1" ht="15" customHeight="1">
      <c r="A329" s="947" t="str">
        <f>'INSUMOS '!$B$359</f>
        <v>VALVULA ANTIRETORNO RCI</v>
      </c>
      <c r="B329" s="944"/>
      <c r="C329" s="51" t="s">
        <v>3</v>
      </c>
      <c r="D329" s="54">
        <v>1</v>
      </c>
      <c r="E329" s="473">
        <f>'INSUMOS '!$E$359</f>
        <v>80355.862007765201</v>
      </c>
      <c r="F329" s="55">
        <f t="shared" si="1"/>
        <v>80355.862007765201</v>
      </c>
      <c r="G329" s="1075"/>
    </row>
    <row r="330" spans="1:7" s="2" customFormat="1" ht="15" customHeight="1">
      <c r="A330" s="947" t="str">
        <f>'INSUMOS '!$B$360</f>
        <v>ACOPLES MANGUERA</v>
      </c>
      <c r="B330" s="944"/>
      <c r="C330" s="51" t="s">
        <v>3</v>
      </c>
      <c r="D330" s="54">
        <v>1</v>
      </c>
      <c r="E330" s="473">
        <f>'INSUMOS '!$E$360</f>
        <v>95253.106863631605</v>
      </c>
      <c r="F330" s="55">
        <f t="shared" si="1"/>
        <v>95253.106863631605</v>
      </c>
      <c r="G330" s="1075"/>
    </row>
    <row r="331" spans="1:7" s="2" customFormat="1" ht="15" customHeight="1">
      <c r="A331" s="947" t="str">
        <f>'INSUMOS '!$B$361</f>
        <v>HACHA PICO DE 1.6KG</v>
      </c>
      <c r="B331" s="944"/>
      <c r="C331" s="51" t="s">
        <v>3</v>
      </c>
      <c r="D331" s="54">
        <v>1</v>
      </c>
      <c r="E331" s="473">
        <f>'INSUMOS '!$E$361</f>
        <v>47233.117415700501</v>
      </c>
      <c r="F331" s="55">
        <f t="shared" si="1"/>
        <v>47233.117415700501</v>
      </c>
      <c r="G331" s="1075"/>
    </row>
    <row r="332" spans="1:7" s="2" customFormat="1" ht="15" customHeight="1">
      <c r="A332" s="947" t="str">
        <f>'INSUMOS '!$B$362</f>
        <v>SOPORTE TIPO CANASTILLA</v>
      </c>
      <c r="B332" s="944"/>
      <c r="C332" s="51" t="s">
        <v>3</v>
      </c>
      <c r="D332" s="54">
        <v>1</v>
      </c>
      <c r="E332" s="473">
        <f>'INSUMOS '!$E$362</f>
        <v>49173.176914955926</v>
      </c>
      <c r="F332" s="55">
        <f t="shared" si="1"/>
        <v>49173.176914955926</v>
      </c>
      <c r="G332" s="1072"/>
    </row>
    <row r="333" spans="1:7" s="2" customFormat="1" ht="15" customHeight="1">
      <c r="A333" s="947" t="str">
        <f>'INSUMOS '!$B$363</f>
        <v>LLAVE ESPANER HIERRO RCI</v>
      </c>
      <c r="B333" s="944"/>
      <c r="C333" s="51" t="s">
        <v>3</v>
      </c>
      <c r="D333" s="54">
        <v>1</v>
      </c>
      <c r="E333" s="473">
        <f>'INSUMOS '!$E$363</f>
        <v>32270.747039424001</v>
      </c>
      <c r="F333" s="55">
        <f t="shared" si="1"/>
        <v>32270.747039424001</v>
      </c>
      <c r="G333" s="1072"/>
    </row>
    <row r="334" spans="1:7" s="2" customFormat="1" ht="15" customHeight="1">
      <c r="A334" s="947" t="str">
        <f>'INSUMOS '!$B$364</f>
        <v>BOQUILLA CHORRO GABINETE RCI</v>
      </c>
      <c r="B334" s="944"/>
      <c r="C334" s="51" t="s">
        <v>3</v>
      </c>
      <c r="D334" s="54">
        <v>1</v>
      </c>
      <c r="E334" s="473">
        <f>'INSUMOS '!$E$364</f>
        <v>101316.85620412701</v>
      </c>
      <c r="F334" s="55">
        <f t="shared" si="1"/>
        <v>101316.85620412701</v>
      </c>
      <c r="G334" s="1072"/>
    </row>
    <row r="335" spans="1:7" s="2" customFormat="1" ht="15" customHeight="1">
      <c r="A335" s="947"/>
      <c r="B335" s="944"/>
      <c r="C335" s="16"/>
      <c r="D335" s="58"/>
      <c r="E335" s="17"/>
      <c r="F335" s="55"/>
      <c r="G335" s="57">
        <f>SUM(F327:F335)</f>
        <v>658024.39613526524</v>
      </c>
    </row>
    <row r="336" spans="1:7" s="2" customFormat="1" ht="15" customHeight="1">
      <c r="A336" s="1071" t="s">
        <v>15</v>
      </c>
      <c r="B336" s="944"/>
      <c r="C336" s="944"/>
      <c r="D336" s="944"/>
      <c r="E336" s="944"/>
      <c r="F336" s="944"/>
      <c r="G336" s="1072"/>
    </row>
    <row r="337" spans="1:7" s="2" customFormat="1" ht="15" customHeight="1">
      <c r="A337" s="1074" t="s">
        <v>2</v>
      </c>
      <c r="B337" s="944"/>
      <c r="C337" s="53" t="s">
        <v>3</v>
      </c>
      <c r="D337" s="53" t="s">
        <v>4</v>
      </c>
      <c r="E337" s="53" t="s">
        <v>6</v>
      </c>
      <c r="F337" s="53" t="s">
        <v>11</v>
      </c>
      <c r="G337" s="1075" t="s">
        <v>8</v>
      </c>
    </row>
    <row r="338" spans="1:7" s="2" customFormat="1" ht="15" customHeight="1">
      <c r="A338" s="943" t="s">
        <v>173</v>
      </c>
      <c r="B338" s="944"/>
      <c r="C338" s="16" t="s">
        <v>3</v>
      </c>
      <c r="D338" s="54">
        <v>3.5000000000000003E-2</v>
      </c>
      <c r="E338" s="17">
        <f>+G335</f>
        <v>658024.39613526524</v>
      </c>
      <c r="F338" s="55">
        <f>E338*D338</f>
        <v>23030.853864734287</v>
      </c>
      <c r="G338" s="1072"/>
    </row>
    <row r="339" spans="1:7" s="2" customFormat="1" ht="15" customHeight="1">
      <c r="A339" s="59"/>
      <c r="B339" s="60"/>
      <c r="C339" s="60"/>
      <c r="D339" s="60"/>
      <c r="E339" s="60"/>
      <c r="F339" s="60"/>
      <c r="G339" s="57">
        <f>SUM(F338:F339)</f>
        <v>23030.853864734287</v>
      </c>
    </row>
    <row r="340" spans="1:7" s="2" customFormat="1" ht="15" customHeight="1">
      <c r="A340" s="1071" t="s">
        <v>19</v>
      </c>
      <c r="B340" s="944"/>
      <c r="C340" s="944"/>
      <c r="D340" s="944"/>
      <c r="E340" s="944"/>
      <c r="F340" s="944"/>
      <c r="G340" s="1072"/>
    </row>
    <row r="341" spans="1:7" s="2" customFormat="1" ht="15" customHeight="1">
      <c r="A341" s="1074" t="s">
        <v>2</v>
      </c>
      <c r="B341" s="944"/>
      <c r="C341" s="53" t="s">
        <v>3</v>
      </c>
      <c r="D341" s="53" t="s">
        <v>4</v>
      </c>
      <c r="E341" s="53" t="s">
        <v>6</v>
      </c>
      <c r="F341" s="53" t="s">
        <v>11</v>
      </c>
      <c r="G341" s="456" t="s">
        <v>8</v>
      </c>
    </row>
    <row r="342" spans="1:7" s="2" customFormat="1" ht="15.75" customHeight="1">
      <c r="A342" s="978" t="str">
        <f>SALARIOS!$A$70</f>
        <v>CUADRILLA BB INSTALACIONES 1:2</v>
      </c>
      <c r="B342" s="979"/>
      <c r="C342" s="13" t="s">
        <v>1245</v>
      </c>
      <c r="D342" s="32">
        <v>1</v>
      </c>
      <c r="E342" s="13">
        <f>SALARIOS!$C$70</f>
        <v>37469</v>
      </c>
      <c r="F342" s="55">
        <f>+D342*E342</f>
        <v>37469</v>
      </c>
      <c r="G342" s="57">
        <f>SUM(F341:F342)</f>
        <v>37469</v>
      </c>
    </row>
    <row r="343" spans="1:7" s="2" customFormat="1" ht="15" customHeight="1">
      <c r="A343" s="1076" t="s">
        <v>25</v>
      </c>
      <c r="B343" s="944"/>
      <c r="C343" s="944"/>
      <c r="D343" s="944"/>
      <c r="E343" s="944"/>
      <c r="F343" s="944"/>
      <c r="G343" s="1072"/>
    </row>
    <row r="344" spans="1:7" s="2" customFormat="1" ht="15" customHeight="1">
      <c r="A344" s="1077"/>
      <c r="B344" s="944"/>
      <c r="C344" s="944"/>
      <c r="D344" s="944"/>
      <c r="E344" s="944"/>
      <c r="F344" s="944"/>
      <c r="G344" s="62">
        <f>G342+G339+G335+G325</f>
        <v>720397.69999999949</v>
      </c>
    </row>
    <row r="346" spans="1:7" s="2" customFormat="1" ht="15.75" customHeight="1">
      <c r="A346" s="970" t="s">
        <v>1</v>
      </c>
      <c r="B346" s="957"/>
      <c r="C346" s="953" t="s">
        <v>0</v>
      </c>
      <c r="D346" s="953"/>
      <c r="E346" s="953"/>
      <c r="F346" s="953"/>
      <c r="G346" s="1103"/>
    </row>
    <row r="347" spans="1:7" s="2" customFormat="1" ht="69.75" customHeight="1">
      <c r="A347" s="971"/>
      <c r="B347" s="957"/>
      <c r="C347" s="953"/>
      <c r="D347" s="953"/>
      <c r="E347" s="953"/>
      <c r="F347" s="953"/>
      <c r="G347" s="1103"/>
    </row>
    <row r="348" spans="1:7" s="2" customFormat="1" ht="15.75" customHeight="1">
      <c r="A348" s="971"/>
      <c r="B348" s="957"/>
      <c r="C348" s="956"/>
      <c r="D348" s="957"/>
      <c r="E348" s="957"/>
      <c r="F348" s="957"/>
      <c r="G348" s="958"/>
    </row>
    <row r="349" spans="1:7" s="2" customFormat="1" ht="15.75" customHeight="1">
      <c r="A349" s="971"/>
      <c r="B349" s="957"/>
      <c r="C349" s="959" t="s">
        <v>2</v>
      </c>
      <c r="D349" s="957"/>
      <c r="E349" s="957"/>
      <c r="F349" s="23" t="s">
        <v>3</v>
      </c>
      <c r="G349" s="24" t="s">
        <v>4</v>
      </c>
    </row>
    <row r="350" spans="1:7" s="2" customFormat="1" ht="73.5" customHeight="1">
      <c r="A350" s="1089" t="s">
        <v>1914</v>
      </c>
      <c r="B350" s="944"/>
      <c r="C350" s="980" t="s">
        <v>1915</v>
      </c>
      <c r="D350" s="944"/>
      <c r="E350" s="944"/>
      <c r="F350" s="51" t="s">
        <v>3</v>
      </c>
      <c r="G350" s="52">
        <v>2</v>
      </c>
    </row>
    <row r="351" spans="1:7" s="2" customFormat="1" ht="15.75" customHeight="1">
      <c r="A351" s="1071" t="s">
        <v>5</v>
      </c>
      <c r="B351" s="944"/>
      <c r="C351" s="944"/>
      <c r="D351" s="944"/>
      <c r="E351" s="944"/>
      <c r="F351" s="944"/>
      <c r="G351" s="1072"/>
    </row>
    <row r="352" spans="1:7" s="2" customFormat="1" ht="15.75" customHeight="1">
      <c r="A352" s="1074" t="s">
        <v>2</v>
      </c>
      <c r="B352" s="944"/>
      <c r="C352" s="53" t="s">
        <v>3</v>
      </c>
      <c r="D352" s="53" t="s">
        <v>4</v>
      </c>
      <c r="E352" s="53" t="s">
        <v>6</v>
      </c>
      <c r="F352" s="53" t="s">
        <v>7</v>
      </c>
      <c r="G352" s="1075" t="s">
        <v>8</v>
      </c>
    </row>
    <row r="353" spans="1:7" s="2" customFormat="1" ht="15.75" customHeight="1">
      <c r="A353" s="947" t="s">
        <v>167</v>
      </c>
      <c r="B353" s="980"/>
      <c r="C353" s="51" t="s">
        <v>3</v>
      </c>
      <c r="D353" s="54">
        <v>0.05</v>
      </c>
      <c r="E353" s="17">
        <f>+G370</f>
        <v>37469</v>
      </c>
      <c r="F353" s="55">
        <f>D353*E353</f>
        <v>1873.45</v>
      </c>
      <c r="G353" s="1072"/>
    </row>
    <row r="354" spans="1:7" s="2" customFormat="1" ht="15.75" customHeight="1">
      <c r="A354" s="947"/>
      <c r="B354" s="944"/>
      <c r="C354" s="51"/>
      <c r="D354" s="54"/>
      <c r="E354" s="17"/>
      <c r="F354" s="55">
        <f>D354*E354</f>
        <v>0</v>
      </c>
      <c r="G354" s="1072"/>
    </row>
    <row r="355" spans="1:7" s="2" customFormat="1" ht="15.75" customHeight="1">
      <c r="A355" s="947"/>
      <c r="B355" s="980"/>
      <c r="C355" s="141"/>
      <c r="D355" s="16"/>
      <c r="E355" s="143"/>
      <c r="F355" s="55">
        <f>D355*E355</f>
        <v>0</v>
      </c>
      <c r="G355" s="1072"/>
    </row>
    <row r="356" spans="1:7" s="2" customFormat="1" ht="15.75" customHeight="1">
      <c r="A356" s="947"/>
      <c r="B356" s="944"/>
      <c r="C356" s="51"/>
      <c r="D356" s="54"/>
      <c r="E356" s="17"/>
      <c r="F356" s="55">
        <f>D356*E356</f>
        <v>0</v>
      </c>
      <c r="G356" s="1072"/>
    </row>
    <row r="357" spans="1:7" s="2" customFormat="1" ht="15.75" customHeight="1">
      <c r="A357" s="1079"/>
      <c r="B357" s="944"/>
      <c r="C357" s="56"/>
      <c r="D357" s="56"/>
      <c r="E357" s="56"/>
      <c r="F357" s="55"/>
      <c r="G357" s="57">
        <f>SUM(F352:F357)</f>
        <v>1873.45</v>
      </c>
    </row>
    <row r="358" spans="1:7" s="2" customFormat="1" ht="15" customHeight="1">
      <c r="A358" s="1071" t="s">
        <v>10</v>
      </c>
      <c r="B358" s="944"/>
      <c r="C358" s="944"/>
      <c r="D358" s="944"/>
      <c r="E358" s="944"/>
      <c r="F358" s="944"/>
      <c r="G358" s="1072"/>
    </row>
    <row r="359" spans="1:7" s="2" customFormat="1" ht="15" customHeight="1">
      <c r="A359" s="1074" t="s">
        <v>2</v>
      </c>
      <c r="B359" s="944"/>
      <c r="C359" s="53" t="s">
        <v>3</v>
      </c>
      <c r="D359" s="53" t="s">
        <v>4</v>
      </c>
      <c r="E359" s="53" t="s">
        <v>6</v>
      </c>
      <c r="F359" s="53" t="s">
        <v>11</v>
      </c>
      <c r="G359" s="1075" t="s">
        <v>8</v>
      </c>
    </row>
    <row r="360" spans="1:7" s="2" customFormat="1" ht="15" customHeight="1">
      <c r="A360" s="947" t="str">
        <f>'INSUMOS '!$B$365</f>
        <v>VALVULA DRENAJE DE PRUEBA 1 1/2"</v>
      </c>
      <c r="B360" s="944"/>
      <c r="C360" s="16" t="s">
        <v>3</v>
      </c>
      <c r="D360" s="54">
        <v>1</v>
      </c>
      <c r="E360" s="17">
        <f>'INSUMOS '!$E$365</f>
        <v>259978.98550724599</v>
      </c>
      <c r="F360" s="55">
        <f>D360*E360</f>
        <v>259978.98550724599</v>
      </c>
      <c r="G360" s="1072"/>
    </row>
    <row r="361" spans="1:7" s="2" customFormat="1" ht="15" customHeight="1">
      <c r="A361" s="947"/>
      <c r="B361" s="944"/>
      <c r="C361" s="51"/>
      <c r="D361" s="54"/>
      <c r="E361" s="17"/>
      <c r="F361" s="55">
        <f>D361*E361</f>
        <v>0</v>
      </c>
      <c r="G361" s="1072"/>
    </row>
    <row r="362" spans="1:7" s="2" customFormat="1" ht="15" customHeight="1">
      <c r="A362" s="947"/>
      <c r="B362" s="944"/>
      <c r="C362" s="16"/>
      <c r="D362" s="54"/>
      <c r="E362" s="17"/>
      <c r="F362" s="55">
        <f>D362*E362</f>
        <v>0</v>
      </c>
      <c r="G362" s="1072"/>
    </row>
    <row r="363" spans="1:7" s="2" customFormat="1" ht="15" customHeight="1">
      <c r="A363" s="947"/>
      <c r="B363" s="944"/>
      <c r="C363" s="16"/>
      <c r="D363" s="58"/>
      <c r="E363" s="17"/>
      <c r="F363" s="55"/>
      <c r="G363" s="57">
        <f>SUM(F359:F363)</f>
        <v>259978.98550724599</v>
      </c>
    </row>
    <row r="364" spans="1:7" s="2" customFormat="1" ht="15" customHeight="1">
      <c r="A364" s="1071" t="s">
        <v>15</v>
      </c>
      <c r="B364" s="944"/>
      <c r="C364" s="944"/>
      <c r="D364" s="944"/>
      <c r="E364" s="944"/>
      <c r="F364" s="944"/>
      <c r="G364" s="1072"/>
    </row>
    <row r="365" spans="1:7" s="2" customFormat="1" ht="15" customHeight="1">
      <c r="A365" s="1074" t="s">
        <v>2</v>
      </c>
      <c r="B365" s="944"/>
      <c r="C365" s="53" t="s">
        <v>3</v>
      </c>
      <c r="D365" s="53" t="s">
        <v>4</v>
      </c>
      <c r="E365" s="53" t="s">
        <v>6</v>
      </c>
      <c r="F365" s="53" t="s">
        <v>11</v>
      </c>
      <c r="G365" s="1075" t="s">
        <v>8</v>
      </c>
    </row>
    <row r="366" spans="1:7" s="2" customFormat="1" ht="15" customHeight="1">
      <c r="A366" s="943" t="s">
        <v>173</v>
      </c>
      <c r="B366" s="944"/>
      <c r="C366" s="16" t="s">
        <v>3</v>
      </c>
      <c r="D366" s="54">
        <v>3.5000000000000003E-2</v>
      </c>
      <c r="E366" s="17">
        <f>+G363</f>
        <v>259978.98550724599</v>
      </c>
      <c r="F366" s="55">
        <f>E366*D366</f>
        <v>9099.2644927536112</v>
      </c>
      <c r="G366" s="1072"/>
    </row>
    <row r="367" spans="1:7" s="2" customFormat="1" ht="15" customHeight="1">
      <c r="A367" s="59"/>
      <c r="B367" s="60"/>
      <c r="C367" s="60"/>
      <c r="D367" s="60"/>
      <c r="E367" s="60"/>
      <c r="F367" s="60"/>
      <c r="G367" s="57">
        <f>SUM(F366:F367)</f>
        <v>9099.2644927536112</v>
      </c>
    </row>
    <row r="368" spans="1:7" s="2" customFormat="1" ht="15" customHeight="1">
      <c r="A368" s="1071" t="s">
        <v>19</v>
      </c>
      <c r="B368" s="944"/>
      <c r="C368" s="944"/>
      <c r="D368" s="944"/>
      <c r="E368" s="944"/>
      <c r="F368" s="944"/>
      <c r="G368" s="1072"/>
    </row>
    <row r="369" spans="1:8" s="2" customFormat="1" ht="15" customHeight="1">
      <c r="A369" s="1074" t="s">
        <v>2</v>
      </c>
      <c r="B369" s="944"/>
      <c r="C369" s="53" t="s">
        <v>3</v>
      </c>
      <c r="D369" s="53" t="s">
        <v>4</v>
      </c>
      <c r="E369" s="53" t="s">
        <v>6</v>
      </c>
      <c r="F369" s="53" t="s">
        <v>11</v>
      </c>
      <c r="G369" s="456" t="s">
        <v>8</v>
      </c>
    </row>
    <row r="370" spans="1:8" s="2" customFormat="1" ht="15.75" customHeight="1">
      <c r="A370" s="978" t="str">
        <f>SALARIOS!$A$70</f>
        <v>CUADRILLA BB INSTALACIONES 1:2</v>
      </c>
      <c r="B370" s="979"/>
      <c r="C370" s="13" t="s">
        <v>1245</v>
      </c>
      <c r="D370" s="32">
        <v>1</v>
      </c>
      <c r="E370" s="13">
        <f>SALARIOS!$C$70</f>
        <v>37469</v>
      </c>
      <c r="F370" s="55">
        <f>+D370*E370</f>
        <v>37469</v>
      </c>
      <c r="G370" s="57">
        <f>SUM(F369:F370)</f>
        <v>37469</v>
      </c>
    </row>
    <row r="371" spans="1:8" s="2" customFormat="1" ht="15" customHeight="1">
      <c r="A371" s="1076" t="s">
        <v>25</v>
      </c>
      <c r="B371" s="944"/>
      <c r="C371" s="944"/>
      <c r="D371" s="944"/>
      <c r="E371" s="944"/>
      <c r="F371" s="944"/>
      <c r="G371" s="1072"/>
    </row>
    <row r="372" spans="1:8" s="2" customFormat="1" ht="15" customHeight="1">
      <c r="A372" s="1077"/>
      <c r="B372" s="944"/>
      <c r="C372" s="944"/>
      <c r="D372" s="944"/>
      <c r="E372" s="944"/>
      <c r="F372" s="944"/>
      <c r="G372" s="62">
        <f>G370+G367+G363+G357</f>
        <v>308420.6999999996</v>
      </c>
    </row>
    <row r="374" spans="1:8" s="2" customFormat="1" ht="15.75" customHeight="1">
      <c r="A374" s="970" t="s">
        <v>1</v>
      </c>
      <c r="B374" s="957"/>
      <c r="C374" s="953" t="s">
        <v>0</v>
      </c>
      <c r="D374" s="953"/>
      <c r="E374" s="953"/>
      <c r="F374" s="953"/>
      <c r="G374" s="1103"/>
    </row>
    <row r="375" spans="1:8" s="2" customFormat="1" ht="69.75" customHeight="1">
      <c r="A375" s="971"/>
      <c r="B375" s="957"/>
      <c r="C375" s="953"/>
      <c r="D375" s="953"/>
      <c r="E375" s="953"/>
      <c r="F375" s="953"/>
      <c r="G375" s="1103"/>
    </row>
    <row r="376" spans="1:8" s="2" customFormat="1" ht="15.75" customHeight="1">
      <c r="A376" s="971"/>
      <c r="B376" s="957"/>
      <c r="C376" s="956"/>
      <c r="D376" s="957"/>
      <c r="E376" s="957"/>
      <c r="F376" s="957"/>
      <c r="G376" s="958"/>
    </row>
    <row r="377" spans="1:8" s="2" customFormat="1" ht="15.75" customHeight="1">
      <c r="A377" s="971"/>
      <c r="B377" s="957"/>
      <c r="C377" s="959" t="s">
        <v>2</v>
      </c>
      <c r="D377" s="957"/>
      <c r="E377" s="957"/>
      <c r="F377" s="23" t="s">
        <v>3</v>
      </c>
      <c r="G377" s="24" t="s">
        <v>4</v>
      </c>
    </row>
    <row r="378" spans="1:8" s="2" customFormat="1" ht="73.5" customHeight="1">
      <c r="A378" s="1089" t="s">
        <v>1918</v>
      </c>
      <c r="B378" s="944"/>
      <c r="C378" s="980" t="s">
        <v>1919</v>
      </c>
      <c r="D378" s="944"/>
      <c r="E378" s="944"/>
      <c r="F378" s="51" t="s">
        <v>3</v>
      </c>
      <c r="G378" s="52">
        <v>3</v>
      </c>
    </row>
    <row r="379" spans="1:8" s="2" customFormat="1" ht="15.75" customHeight="1">
      <c r="A379" s="1071" t="s">
        <v>5</v>
      </c>
      <c r="B379" s="944"/>
      <c r="C379" s="944"/>
      <c r="D379" s="944"/>
      <c r="E379" s="944"/>
      <c r="F379" s="944"/>
      <c r="G379" s="1072"/>
    </row>
    <row r="380" spans="1:8" s="2" customFormat="1" ht="15.75" customHeight="1">
      <c r="A380" s="1074" t="s">
        <v>2</v>
      </c>
      <c r="B380" s="944"/>
      <c r="C380" s="53" t="s">
        <v>3</v>
      </c>
      <c r="D380" s="53" t="s">
        <v>4</v>
      </c>
      <c r="E380" s="53" t="s">
        <v>6</v>
      </c>
      <c r="F380" s="53" t="s">
        <v>7</v>
      </c>
      <c r="G380" s="1075" t="s">
        <v>8</v>
      </c>
    </row>
    <row r="381" spans="1:8" s="2" customFormat="1" ht="15.75" customHeight="1">
      <c r="A381" s="947" t="s">
        <v>167</v>
      </c>
      <c r="B381" s="980"/>
      <c r="C381" s="51" t="s">
        <v>3</v>
      </c>
      <c r="D381" s="54">
        <v>0.05</v>
      </c>
      <c r="E381" s="17">
        <f>+G398</f>
        <v>37469</v>
      </c>
      <c r="F381" s="55">
        <f>D381*E381</f>
        <v>1873.45</v>
      </c>
      <c r="G381" s="1072"/>
    </row>
    <row r="382" spans="1:8" s="2" customFormat="1" ht="15.75" customHeight="1">
      <c r="A382" s="947" t="str">
        <f>'MAQUINARIA Y EQUIPOS'!$D$42</f>
        <v>RANURADORA</v>
      </c>
      <c r="B382" s="944"/>
      <c r="C382" s="51" t="s">
        <v>3</v>
      </c>
      <c r="D382" s="54">
        <v>0.13</v>
      </c>
      <c r="E382" s="17">
        <f>'MAQUINARIA Y EQUIPOS'!$F$42</f>
        <v>48200</v>
      </c>
      <c r="F382" s="55">
        <f>D382*E382</f>
        <v>6266</v>
      </c>
      <c r="G382" s="1072"/>
    </row>
    <row r="383" spans="1:8" s="2" customFormat="1" ht="15.75" customHeight="1">
      <c r="A383" s="947"/>
      <c r="B383" s="980"/>
      <c r="C383" s="141"/>
      <c r="D383" s="16"/>
      <c r="E383" s="143"/>
      <c r="F383" s="55">
        <f>D383*E383</f>
        <v>0</v>
      </c>
      <c r="G383" s="1072"/>
    </row>
    <row r="384" spans="1:8" s="2" customFormat="1" ht="15.75" customHeight="1">
      <c r="A384" s="947"/>
      <c r="B384" s="944"/>
      <c r="C384" s="51"/>
      <c r="D384" s="54"/>
      <c r="E384" s="17"/>
      <c r="F384" s="55">
        <f>D384*E384</f>
        <v>0</v>
      </c>
      <c r="G384" s="1072"/>
      <c r="H384" s="452"/>
    </row>
    <row r="385" spans="1:8" s="2" customFormat="1" ht="15.75" customHeight="1">
      <c r="A385" s="1079"/>
      <c r="B385" s="944"/>
      <c r="C385" s="56"/>
      <c r="D385" s="56"/>
      <c r="E385" s="56"/>
      <c r="F385" s="55"/>
      <c r="G385" s="57">
        <f>SUM(F380:F385)</f>
        <v>8139.45</v>
      </c>
      <c r="H385" s="452"/>
    </row>
    <row r="386" spans="1:8" s="2" customFormat="1" ht="15" customHeight="1">
      <c r="A386" s="1071" t="s">
        <v>10</v>
      </c>
      <c r="B386" s="944"/>
      <c r="C386" s="944"/>
      <c r="D386" s="944"/>
      <c r="E386" s="944"/>
      <c r="F386" s="944"/>
      <c r="G386" s="1072"/>
      <c r="H386" s="452"/>
    </row>
    <row r="387" spans="1:8" s="2" customFormat="1" ht="15" customHeight="1">
      <c r="A387" s="1074" t="s">
        <v>2</v>
      </c>
      <c r="B387" s="944"/>
      <c r="C387" s="53" t="s">
        <v>3</v>
      </c>
      <c r="D387" s="53" t="s">
        <v>4</v>
      </c>
      <c r="E387" s="53" t="s">
        <v>6</v>
      </c>
      <c r="F387" s="53" t="s">
        <v>11</v>
      </c>
      <c r="G387" s="1075" t="s">
        <v>8</v>
      </c>
      <c r="H387" s="452"/>
    </row>
    <row r="388" spans="1:8" s="2" customFormat="1" ht="15" customHeight="1">
      <c r="A388" s="947" t="str">
        <f>'INSUMOS '!$B$366</f>
        <v>CODO 90° 4" HD</v>
      </c>
      <c r="B388" s="944"/>
      <c r="C388" s="16" t="s">
        <v>3</v>
      </c>
      <c r="D388" s="54">
        <v>1</v>
      </c>
      <c r="E388" s="17">
        <f>'INSUMOS '!$E$366</f>
        <v>518609.48309178744</v>
      </c>
      <c r="F388" s="55">
        <f>D388*E388</f>
        <v>518609.48309178744</v>
      </c>
      <c r="G388" s="1072"/>
      <c r="H388" s="452"/>
    </row>
    <row r="389" spans="1:8" s="2" customFormat="1" ht="15" customHeight="1">
      <c r="A389" s="947" t="str">
        <f>'INSUMOS '!$B$367</f>
        <v>ACCESORIOS TUB RCI</v>
      </c>
      <c r="B389" s="944"/>
      <c r="C389" s="51" t="s">
        <v>3</v>
      </c>
      <c r="D389" s="54">
        <v>1</v>
      </c>
      <c r="E389" s="17">
        <f>'INSUMOS '!$E$367</f>
        <v>76641</v>
      </c>
      <c r="F389" s="55">
        <f>D389*E389</f>
        <v>76641</v>
      </c>
      <c r="G389" s="1072"/>
      <c r="H389" s="452"/>
    </row>
    <row r="390" spans="1:8" s="2" customFormat="1" ht="15" customHeight="1">
      <c r="A390" s="947"/>
      <c r="B390" s="944"/>
      <c r="C390" s="16"/>
      <c r="D390" s="54"/>
      <c r="E390" s="17"/>
      <c r="F390" s="55">
        <f>D390*E390</f>
        <v>0</v>
      </c>
      <c r="G390" s="1072"/>
      <c r="H390" s="452"/>
    </row>
    <row r="391" spans="1:8" s="2" customFormat="1" ht="15" customHeight="1">
      <c r="A391" s="947"/>
      <c r="B391" s="944"/>
      <c r="C391" s="16"/>
      <c r="D391" s="58"/>
      <c r="E391" s="17"/>
      <c r="F391" s="55"/>
      <c r="G391" s="57">
        <f>SUM(F387:F391)</f>
        <v>595250.48309178744</v>
      </c>
      <c r="H391" s="452"/>
    </row>
    <row r="392" spans="1:8" s="2" customFormat="1" ht="15" customHeight="1">
      <c r="A392" s="1071" t="s">
        <v>15</v>
      </c>
      <c r="B392" s="944"/>
      <c r="C392" s="944"/>
      <c r="D392" s="944"/>
      <c r="E392" s="944"/>
      <c r="F392" s="944"/>
      <c r="G392" s="1072"/>
      <c r="H392" s="452"/>
    </row>
    <row r="393" spans="1:8" s="2" customFormat="1" ht="15" customHeight="1">
      <c r="A393" s="1074" t="s">
        <v>2</v>
      </c>
      <c r="B393" s="944"/>
      <c r="C393" s="53" t="s">
        <v>3</v>
      </c>
      <c r="D393" s="53" t="s">
        <v>4</v>
      </c>
      <c r="E393" s="53" t="s">
        <v>6</v>
      </c>
      <c r="F393" s="53" t="s">
        <v>11</v>
      </c>
      <c r="G393" s="1075" t="s">
        <v>8</v>
      </c>
    </row>
    <row r="394" spans="1:8" s="2" customFormat="1" ht="15" customHeight="1">
      <c r="A394" s="943" t="s">
        <v>173</v>
      </c>
      <c r="B394" s="944"/>
      <c r="C394" s="16" t="s">
        <v>3</v>
      </c>
      <c r="D394" s="54">
        <v>3.5000000000000003E-2</v>
      </c>
      <c r="E394" s="17">
        <f>+G391</f>
        <v>595250.48309178744</v>
      </c>
      <c r="F394" s="55">
        <f>E394*D394</f>
        <v>20833.766908212561</v>
      </c>
      <c r="G394" s="1072"/>
      <c r="H394" s="452"/>
    </row>
    <row r="395" spans="1:8" s="2" customFormat="1" ht="15" customHeight="1">
      <c r="A395" s="59"/>
      <c r="B395" s="60"/>
      <c r="C395" s="60"/>
      <c r="D395" s="60"/>
      <c r="E395" s="60"/>
      <c r="F395" s="60"/>
      <c r="G395" s="57">
        <f>SUM(F394:F395)</f>
        <v>20833.766908212561</v>
      </c>
      <c r="H395" s="452"/>
    </row>
    <row r="396" spans="1:8" s="2" customFormat="1" ht="15" customHeight="1">
      <c r="A396" s="1071" t="s">
        <v>19</v>
      </c>
      <c r="B396" s="944"/>
      <c r="C396" s="944"/>
      <c r="D396" s="944"/>
      <c r="E396" s="944"/>
      <c r="F396" s="944"/>
      <c r="G396" s="1072"/>
      <c r="H396" s="452"/>
    </row>
    <row r="397" spans="1:8" s="2" customFormat="1" ht="15" customHeight="1">
      <c r="A397" s="1074" t="s">
        <v>2</v>
      </c>
      <c r="B397" s="944"/>
      <c r="C397" s="53" t="s">
        <v>3</v>
      </c>
      <c r="D397" s="53" t="s">
        <v>4</v>
      </c>
      <c r="E397" s="53" t="s">
        <v>6</v>
      </c>
      <c r="F397" s="53" t="s">
        <v>11</v>
      </c>
      <c r="G397" s="456" t="s">
        <v>8</v>
      </c>
    </row>
    <row r="398" spans="1:8" s="2" customFormat="1" ht="15.75" customHeight="1">
      <c r="A398" s="978" t="str">
        <f>SALARIOS!$A$70</f>
        <v>CUADRILLA BB INSTALACIONES 1:2</v>
      </c>
      <c r="B398" s="979"/>
      <c r="C398" s="13" t="s">
        <v>1245</v>
      </c>
      <c r="D398" s="32">
        <v>1</v>
      </c>
      <c r="E398" s="13">
        <f>SALARIOS!$C$70</f>
        <v>37469</v>
      </c>
      <c r="F398" s="55">
        <f>+D398*E398</f>
        <v>37469</v>
      </c>
      <c r="G398" s="57">
        <f>SUM(F397:F398)</f>
        <v>37469</v>
      </c>
      <c r="H398" s="452"/>
    </row>
    <row r="399" spans="1:8" s="2" customFormat="1" ht="15" customHeight="1">
      <c r="A399" s="1076" t="s">
        <v>25</v>
      </c>
      <c r="B399" s="944"/>
      <c r="C399" s="944"/>
      <c r="D399" s="944"/>
      <c r="E399" s="944"/>
      <c r="F399" s="944"/>
      <c r="G399" s="1072"/>
      <c r="H399" s="452"/>
    </row>
    <row r="400" spans="1:8" s="2" customFormat="1" ht="15" customHeight="1">
      <c r="A400" s="1077"/>
      <c r="B400" s="944"/>
      <c r="C400" s="944"/>
      <c r="D400" s="944"/>
      <c r="E400" s="944"/>
      <c r="F400" s="944"/>
      <c r="G400" s="62">
        <f>G398+G395+G391+G385</f>
        <v>661692.69999999995</v>
      </c>
      <c r="H400" s="452"/>
    </row>
    <row r="401" spans="1:8" ht="15">
      <c r="H401" s="452"/>
    </row>
    <row r="402" spans="1:8" s="2" customFormat="1" ht="15.75" customHeight="1">
      <c r="A402" s="970" t="s">
        <v>1</v>
      </c>
      <c r="B402" s="957"/>
      <c r="C402" s="953" t="s">
        <v>0</v>
      </c>
      <c r="D402" s="953"/>
      <c r="E402" s="953"/>
      <c r="F402" s="953"/>
      <c r="G402" s="1103"/>
      <c r="H402" s="452"/>
    </row>
    <row r="403" spans="1:8" s="2" customFormat="1" ht="69.75" customHeight="1">
      <c r="A403" s="971"/>
      <c r="B403" s="957"/>
      <c r="C403" s="953"/>
      <c r="D403" s="953"/>
      <c r="E403" s="953"/>
      <c r="F403" s="953"/>
      <c r="G403" s="1103"/>
    </row>
    <row r="404" spans="1:8" s="2" customFormat="1" ht="15.75" customHeight="1">
      <c r="A404" s="971"/>
      <c r="B404" s="957"/>
      <c r="C404" s="956"/>
      <c r="D404" s="957"/>
      <c r="E404" s="957"/>
      <c r="F404" s="957"/>
      <c r="G404" s="958"/>
    </row>
    <row r="405" spans="1:8" s="2" customFormat="1" ht="15.75" customHeight="1">
      <c r="A405" s="971"/>
      <c r="B405" s="957"/>
      <c r="C405" s="959" t="s">
        <v>2</v>
      </c>
      <c r="D405" s="957"/>
      <c r="E405" s="957"/>
      <c r="F405" s="23" t="s">
        <v>3</v>
      </c>
      <c r="G405" s="24" t="s">
        <v>4</v>
      </c>
    </row>
    <row r="406" spans="1:8" s="2" customFormat="1" ht="73.5" customHeight="1">
      <c r="A406" s="1089" t="s">
        <v>1920</v>
      </c>
      <c r="B406" s="944"/>
      <c r="C406" s="980" t="s">
        <v>1921</v>
      </c>
      <c r="D406" s="944"/>
      <c r="E406" s="944"/>
      <c r="F406" s="51" t="s">
        <v>3</v>
      </c>
      <c r="G406" s="52">
        <v>3</v>
      </c>
    </row>
    <row r="407" spans="1:8" s="2" customFormat="1" ht="15.75" customHeight="1">
      <c r="A407" s="1071" t="s">
        <v>5</v>
      </c>
      <c r="B407" s="944"/>
      <c r="C407" s="944"/>
      <c r="D407" s="944"/>
      <c r="E407" s="944"/>
      <c r="F407" s="944"/>
      <c r="G407" s="1072"/>
    </row>
    <row r="408" spans="1:8" s="2" customFormat="1" ht="15.75" customHeight="1">
      <c r="A408" s="1074" t="s">
        <v>2</v>
      </c>
      <c r="B408" s="944"/>
      <c r="C408" s="53" t="s">
        <v>3</v>
      </c>
      <c r="D408" s="53" t="s">
        <v>4</v>
      </c>
      <c r="E408" s="53" t="s">
        <v>6</v>
      </c>
      <c r="F408" s="53" t="s">
        <v>7</v>
      </c>
      <c r="G408" s="1075" t="s">
        <v>8</v>
      </c>
    </row>
    <row r="409" spans="1:8" s="2" customFormat="1" ht="15.75" customHeight="1">
      <c r="A409" s="947" t="s">
        <v>167</v>
      </c>
      <c r="B409" s="980"/>
      <c r="C409" s="51" t="s">
        <v>3</v>
      </c>
      <c r="D409" s="54">
        <v>0.05</v>
      </c>
      <c r="E409" s="17">
        <f>+G426</f>
        <v>37469</v>
      </c>
      <c r="F409" s="55">
        <f>D409*E409</f>
        <v>1873.45</v>
      </c>
      <c r="G409" s="1072"/>
    </row>
    <row r="410" spans="1:8" s="2" customFormat="1" ht="15.75" customHeight="1">
      <c r="A410" s="947" t="str">
        <f>'MAQUINARIA Y EQUIPOS'!$D$42</f>
        <v>RANURADORA</v>
      </c>
      <c r="B410" s="944"/>
      <c r="C410" s="51" t="s">
        <v>3</v>
      </c>
      <c r="D410" s="54">
        <v>1.2</v>
      </c>
      <c r="E410" s="17">
        <f>'MAQUINARIA Y EQUIPOS'!$F$42</f>
        <v>48200</v>
      </c>
      <c r="F410" s="55">
        <f>D410*E410</f>
        <v>57840</v>
      </c>
      <c r="G410" s="1072"/>
    </row>
    <row r="411" spans="1:8" s="2" customFormat="1" ht="15.75" customHeight="1">
      <c r="A411" s="947"/>
      <c r="B411" s="980"/>
      <c r="C411" s="141"/>
      <c r="D411" s="16"/>
      <c r="E411" s="143"/>
      <c r="F411" s="55">
        <f>D411*E411</f>
        <v>0</v>
      </c>
      <c r="G411" s="1072"/>
    </row>
    <row r="412" spans="1:8" s="2" customFormat="1" ht="15.75" customHeight="1">
      <c r="A412" s="947"/>
      <c r="B412" s="944"/>
      <c r="C412" s="51"/>
      <c r="D412" s="54"/>
      <c r="E412" s="17"/>
      <c r="F412" s="55">
        <f>D412*E412</f>
        <v>0</v>
      </c>
      <c r="G412" s="1072"/>
    </row>
    <row r="413" spans="1:8" s="2" customFormat="1" ht="15.75" customHeight="1">
      <c r="A413" s="1079"/>
      <c r="B413" s="944"/>
      <c r="C413" s="56"/>
      <c r="D413" s="56"/>
      <c r="E413" s="56"/>
      <c r="F413" s="55"/>
      <c r="G413" s="57">
        <f>SUM(F408:F413)</f>
        <v>59713.45</v>
      </c>
    </row>
    <row r="414" spans="1:8" s="2" customFormat="1" ht="15" customHeight="1">
      <c r="A414" s="1071" t="s">
        <v>10</v>
      </c>
      <c r="B414" s="944"/>
      <c r="C414" s="944"/>
      <c r="D414" s="944"/>
      <c r="E414" s="944"/>
      <c r="F414" s="944"/>
      <c r="G414" s="1072"/>
    </row>
    <row r="415" spans="1:8" s="2" customFormat="1" ht="15" customHeight="1">
      <c r="A415" s="1074" t="s">
        <v>2</v>
      </c>
      <c r="B415" s="944"/>
      <c r="C415" s="53" t="s">
        <v>3</v>
      </c>
      <c r="D415" s="53" t="s">
        <v>4</v>
      </c>
      <c r="E415" s="53" t="s">
        <v>6</v>
      </c>
      <c r="F415" s="53" t="s">
        <v>11</v>
      </c>
      <c r="G415" s="1075" t="s">
        <v>8</v>
      </c>
    </row>
    <row r="416" spans="1:8" s="2" customFormat="1" ht="15" customHeight="1">
      <c r="A416" s="947" t="str">
        <f>'INSUMOS '!B368</f>
        <v>REDUCCIÓN 6"X4" HD</v>
      </c>
      <c r="B416" s="944"/>
      <c r="C416" s="16" t="s">
        <v>3</v>
      </c>
      <c r="D416" s="54">
        <v>1</v>
      </c>
      <c r="E416" s="17">
        <f>'INSUMOS '!E368</f>
        <v>1475759.24154589</v>
      </c>
      <c r="F416" s="55">
        <f>D416*E416</f>
        <v>1475759.24154589</v>
      </c>
      <c r="G416" s="1072"/>
    </row>
    <row r="417" spans="1:7" s="2" customFormat="1" ht="15" customHeight="1">
      <c r="A417" s="947" t="str">
        <f>'INSUMOS '!B369</f>
        <v>ACCESORIOS TUB RCI</v>
      </c>
      <c r="B417" s="944"/>
      <c r="C417" s="51" t="s">
        <v>3</v>
      </c>
      <c r="D417" s="54">
        <v>1</v>
      </c>
      <c r="E417" s="17">
        <f>'INSUMOS '!E369</f>
        <v>76641</v>
      </c>
      <c r="F417" s="55">
        <f>D417*E417</f>
        <v>76641</v>
      </c>
      <c r="G417" s="1072"/>
    </row>
    <row r="418" spans="1:7" s="2" customFormat="1" ht="15" customHeight="1">
      <c r="A418" s="947"/>
      <c r="B418" s="944"/>
      <c r="C418" s="16"/>
      <c r="D418" s="54"/>
      <c r="E418" s="17"/>
      <c r="F418" s="55">
        <f>D418*E418</f>
        <v>0</v>
      </c>
      <c r="G418" s="1072"/>
    </row>
    <row r="419" spans="1:7" s="2" customFormat="1" ht="15" customHeight="1">
      <c r="A419" s="947"/>
      <c r="B419" s="944"/>
      <c r="C419" s="16"/>
      <c r="D419" s="58"/>
      <c r="E419" s="17"/>
      <c r="F419" s="55"/>
      <c r="G419" s="57">
        <f>SUM(F415:F419)</f>
        <v>1552400.24154589</v>
      </c>
    </row>
    <row r="420" spans="1:7" s="2" customFormat="1" ht="15" customHeight="1">
      <c r="A420" s="1071" t="s">
        <v>15</v>
      </c>
      <c r="B420" s="944"/>
      <c r="C420" s="944"/>
      <c r="D420" s="944"/>
      <c r="E420" s="944"/>
      <c r="F420" s="944"/>
      <c r="G420" s="1072"/>
    </row>
    <row r="421" spans="1:7" s="2" customFormat="1" ht="15" customHeight="1">
      <c r="A421" s="1074" t="s">
        <v>2</v>
      </c>
      <c r="B421" s="944"/>
      <c r="C421" s="53" t="s">
        <v>3</v>
      </c>
      <c r="D421" s="53" t="s">
        <v>4</v>
      </c>
      <c r="E421" s="53" t="s">
        <v>6</v>
      </c>
      <c r="F421" s="53" t="s">
        <v>11</v>
      </c>
      <c r="G421" s="1075" t="s">
        <v>8</v>
      </c>
    </row>
    <row r="422" spans="1:7" s="2" customFormat="1" ht="15" customHeight="1">
      <c r="A422" s="943" t="s">
        <v>173</v>
      </c>
      <c r="B422" s="944"/>
      <c r="C422" s="16" t="s">
        <v>3</v>
      </c>
      <c r="D422" s="54">
        <v>3.5000000000000003E-2</v>
      </c>
      <c r="E422" s="17">
        <f>+G419</f>
        <v>1552400.24154589</v>
      </c>
      <c r="F422" s="55">
        <f>E422*D422</f>
        <v>54334.008454106151</v>
      </c>
      <c r="G422" s="1072"/>
    </row>
    <row r="423" spans="1:7" s="2" customFormat="1" ht="15" customHeight="1">
      <c r="A423" s="59"/>
      <c r="B423" s="60"/>
      <c r="C423" s="60"/>
      <c r="D423" s="60"/>
      <c r="E423" s="60"/>
      <c r="F423" s="60"/>
      <c r="G423" s="57">
        <f>SUM(F422:F423)</f>
        <v>54334.008454106151</v>
      </c>
    </row>
    <row r="424" spans="1:7" s="2" customFormat="1" ht="15" customHeight="1">
      <c r="A424" s="1071" t="s">
        <v>19</v>
      </c>
      <c r="B424" s="944"/>
      <c r="C424" s="944"/>
      <c r="D424" s="944"/>
      <c r="E424" s="944"/>
      <c r="F424" s="944"/>
      <c r="G424" s="1072"/>
    </row>
    <row r="425" spans="1:7" s="2" customFormat="1" ht="15" customHeight="1">
      <c r="A425" s="1074" t="s">
        <v>2</v>
      </c>
      <c r="B425" s="944"/>
      <c r="C425" s="53" t="s">
        <v>3</v>
      </c>
      <c r="D425" s="53" t="s">
        <v>4</v>
      </c>
      <c r="E425" s="53" t="s">
        <v>6</v>
      </c>
      <c r="F425" s="53" t="s">
        <v>11</v>
      </c>
      <c r="G425" s="456" t="s">
        <v>8</v>
      </c>
    </row>
    <row r="426" spans="1:7" s="2" customFormat="1" ht="15.75" customHeight="1">
      <c r="A426" s="978" t="str">
        <f>SALARIOS!$A$70</f>
        <v>CUADRILLA BB INSTALACIONES 1:2</v>
      </c>
      <c r="B426" s="979"/>
      <c r="C426" s="13" t="s">
        <v>1245</v>
      </c>
      <c r="D426" s="32">
        <v>1</v>
      </c>
      <c r="E426" s="13">
        <f>SALARIOS!$C$70</f>
        <v>37469</v>
      </c>
      <c r="F426" s="55">
        <f>+D426*E426</f>
        <v>37469</v>
      </c>
      <c r="G426" s="57">
        <f>SUM(F425:F426)</f>
        <v>37469</v>
      </c>
    </row>
    <row r="427" spans="1:7" s="2" customFormat="1" ht="15" customHeight="1">
      <c r="A427" s="1076" t="s">
        <v>25</v>
      </c>
      <c r="B427" s="944"/>
      <c r="C427" s="944"/>
      <c r="D427" s="944"/>
      <c r="E427" s="944"/>
      <c r="F427" s="944"/>
      <c r="G427" s="1072"/>
    </row>
    <row r="428" spans="1:7" s="2" customFormat="1" ht="15" customHeight="1">
      <c r="A428" s="1077"/>
      <c r="B428" s="944"/>
      <c r="C428" s="944"/>
      <c r="D428" s="944"/>
      <c r="E428" s="944"/>
      <c r="F428" s="944"/>
      <c r="G428" s="62">
        <f>G426+G423+G419+G413</f>
        <v>1703916.699999996</v>
      </c>
    </row>
    <row r="430" spans="1:7" s="2" customFormat="1" ht="15.75" customHeight="1">
      <c r="A430" s="970" t="s">
        <v>1</v>
      </c>
      <c r="B430" s="957"/>
      <c r="C430" s="953" t="s">
        <v>0</v>
      </c>
      <c r="D430" s="953"/>
      <c r="E430" s="953"/>
      <c r="F430" s="953"/>
      <c r="G430" s="1103"/>
    </row>
    <row r="431" spans="1:7" s="2" customFormat="1" ht="69.75" customHeight="1">
      <c r="A431" s="971"/>
      <c r="B431" s="957"/>
      <c r="C431" s="953"/>
      <c r="D431" s="953"/>
      <c r="E431" s="953"/>
      <c r="F431" s="953"/>
      <c r="G431" s="1103"/>
    </row>
    <row r="432" spans="1:7" s="2" customFormat="1" ht="15.75" customHeight="1">
      <c r="A432" s="971"/>
      <c r="B432" s="957"/>
      <c r="C432" s="956"/>
      <c r="D432" s="957"/>
      <c r="E432" s="957"/>
      <c r="F432" s="957"/>
      <c r="G432" s="958"/>
    </row>
    <row r="433" spans="1:7" s="2" customFormat="1" ht="15.75" customHeight="1">
      <c r="A433" s="971"/>
      <c r="B433" s="957"/>
      <c r="C433" s="959" t="s">
        <v>2</v>
      </c>
      <c r="D433" s="957"/>
      <c r="E433" s="957"/>
      <c r="F433" s="23" t="s">
        <v>3</v>
      </c>
      <c r="G433" s="24" t="s">
        <v>4</v>
      </c>
    </row>
    <row r="434" spans="1:7" s="2" customFormat="1" ht="73.5" customHeight="1">
      <c r="A434" s="1089" t="s">
        <v>1922</v>
      </c>
      <c r="B434" s="944"/>
      <c r="C434" s="980" t="s">
        <v>1923</v>
      </c>
      <c r="D434" s="944"/>
      <c r="E434" s="944"/>
      <c r="F434" s="51" t="s">
        <v>3</v>
      </c>
      <c r="G434" s="52">
        <v>60</v>
      </c>
    </row>
    <row r="435" spans="1:7" s="2" customFormat="1" ht="15.75" customHeight="1">
      <c r="A435" s="1071" t="s">
        <v>5</v>
      </c>
      <c r="B435" s="944"/>
      <c r="C435" s="944"/>
      <c r="D435" s="944"/>
      <c r="E435" s="944"/>
      <c r="F435" s="944"/>
      <c r="G435" s="1072"/>
    </row>
    <row r="436" spans="1:7" s="2" customFormat="1" ht="15.75" customHeight="1">
      <c r="A436" s="1074" t="s">
        <v>2</v>
      </c>
      <c r="B436" s="944"/>
      <c r="C436" s="53" t="s">
        <v>3</v>
      </c>
      <c r="D436" s="53" t="s">
        <v>4</v>
      </c>
      <c r="E436" s="53" t="s">
        <v>6</v>
      </c>
      <c r="F436" s="53" t="s">
        <v>7</v>
      </c>
      <c r="G436" s="1075" t="s">
        <v>8</v>
      </c>
    </row>
    <row r="437" spans="1:7" s="2" customFormat="1" ht="15.75" customHeight="1">
      <c r="A437" s="947" t="s">
        <v>167</v>
      </c>
      <c r="B437" s="980"/>
      <c r="C437" s="51" t="s">
        <v>3</v>
      </c>
      <c r="D437" s="54">
        <v>0.05</v>
      </c>
      <c r="E437" s="17">
        <f>+G454</f>
        <v>37469</v>
      </c>
      <c r="F437" s="55">
        <f>D437*E437</f>
        <v>1873.45</v>
      </c>
      <c r="G437" s="1072"/>
    </row>
    <row r="438" spans="1:7" s="2" customFormat="1" ht="15.75" customHeight="1">
      <c r="A438" s="947" t="str">
        <f>'MAQUINARIA Y EQUIPOS'!$D$42</f>
        <v>RANURADORA</v>
      </c>
      <c r="B438" s="944"/>
      <c r="C438" s="51" t="s">
        <v>3</v>
      </c>
      <c r="D438" s="54">
        <v>0.15</v>
      </c>
      <c r="E438" s="17">
        <f>'MAQUINARIA Y EQUIPOS'!$F$42</f>
        <v>48200</v>
      </c>
      <c r="F438" s="55">
        <f>D438*E438</f>
        <v>7230</v>
      </c>
      <c r="G438" s="1072"/>
    </row>
    <row r="439" spans="1:7" s="2" customFormat="1" ht="15.75" customHeight="1">
      <c r="A439" s="947"/>
      <c r="B439" s="980"/>
      <c r="C439" s="141"/>
      <c r="D439" s="16"/>
      <c r="E439" s="143"/>
      <c r="F439" s="55">
        <f>D439*E439</f>
        <v>0</v>
      </c>
      <c r="G439" s="1072"/>
    </row>
    <row r="440" spans="1:7" s="2" customFormat="1" ht="15.75" customHeight="1">
      <c r="A440" s="947"/>
      <c r="B440" s="944"/>
      <c r="C440" s="51"/>
      <c r="D440" s="54"/>
      <c r="E440" s="17"/>
      <c r="F440" s="55">
        <f>D440*E440</f>
        <v>0</v>
      </c>
      <c r="G440" s="1072"/>
    </row>
    <row r="441" spans="1:7" s="2" customFormat="1" ht="15.75" customHeight="1">
      <c r="A441" s="1079"/>
      <c r="B441" s="944"/>
      <c r="C441" s="56"/>
      <c r="D441" s="56"/>
      <c r="E441" s="56"/>
      <c r="F441" s="55"/>
      <c r="G441" s="57">
        <f>SUM(F436:F441)</f>
        <v>9103.4500000000007</v>
      </c>
    </row>
    <row r="442" spans="1:7" s="2" customFormat="1" ht="15" customHeight="1">
      <c r="A442" s="1071" t="s">
        <v>10</v>
      </c>
      <c r="B442" s="944"/>
      <c r="C442" s="944"/>
      <c r="D442" s="944"/>
      <c r="E442" s="944"/>
      <c r="F442" s="944"/>
      <c r="G442" s="1072"/>
    </row>
    <row r="443" spans="1:7" s="2" customFormat="1" ht="15" customHeight="1">
      <c r="A443" s="1074" t="s">
        <v>2</v>
      </c>
      <c r="B443" s="944"/>
      <c r="C443" s="53" t="s">
        <v>3</v>
      </c>
      <c r="D443" s="53" t="s">
        <v>4</v>
      </c>
      <c r="E443" s="53" t="s">
        <v>6</v>
      </c>
      <c r="F443" s="53" t="s">
        <v>11</v>
      </c>
      <c r="G443" s="1075" t="s">
        <v>8</v>
      </c>
    </row>
    <row r="444" spans="1:7" s="2" customFormat="1" ht="15" customHeight="1">
      <c r="A444" s="947" t="str">
        <f>'INSUMOS '!$B$370</f>
        <v>TUBERIA ACERO 4" ASTMA</v>
      </c>
      <c r="B444" s="944"/>
      <c r="C444" s="16" t="s">
        <v>45</v>
      </c>
      <c r="D444" s="54">
        <v>1</v>
      </c>
      <c r="E444" s="17">
        <f>'INSUMOS '!$E$370</f>
        <v>12857.0002415459</v>
      </c>
      <c r="F444" s="55">
        <f>D444*E444</f>
        <v>12857.0002415459</v>
      </c>
      <c r="G444" s="1072"/>
    </row>
    <row r="445" spans="1:7" s="2" customFormat="1" ht="15" customHeight="1">
      <c r="A445" s="947" t="str">
        <f>'INSUMOS '!$B$371</f>
        <v>ABRAZADERA TIPO PERA</v>
      </c>
      <c r="B445" s="944"/>
      <c r="C445" s="16" t="s">
        <v>998</v>
      </c>
      <c r="D445" s="54">
        <v>0.8</v>
      </c>
      <c r="E445" s="17">
        <f>'INSUMOS '!$E$371</f>
        <v>957</v>
      </c>
      <c r="F445" s="55">
        <f>D445*E445</f>
        <v>765.6</v>
      </c>
      <c r="G445" s="1072"/>
    </row>
    <row r="446" spans="1:7" s="2" customFormat="1" ht="15" customHeight="1">
      <c r="A446" s="947" t="str">
        <f>'INSUMOS '!$B$369</f>
        <v>ACCESORIOS TUB RCI</v>
      </c>
      <c r="B446" s="944"/>
      <c r="C446" s="16" t="s">
        <v>45</v>
      </c>
      <c r="D446" s="54">
        <v>0.25</v>
      </c>
      <c r="E446" s="17">
        <f>'INSUMOS '!$E$367</f>
        <v>76641</v>
      </c>
      <c r="F446" s="55">
        <f>D446*E446</f>
        <v>19160.25</v>
      </c>
      <c r="G446" s="1072"/>
    </row>
    <row r="447" spans="1:7" s="2" customFormat="1" ht="15" customHeight="1">
      <c r="A447" s="947"/>
      <c r="B447" s="944"/>
      <c r="C447" s="16"/>
      <c r="D447" s="58"/>
      <c r="E447" s="17"/>
      <c r="F447" s="55"/>
      <c r="G447" s="57">
        <f>SUM(F443:F447)</f>
        <v>32782.850241545901</v>
      </c>
    </row>
    <row r="448" spans="1:7" s="2" customFormat="1" ht="15" customHeight="1">
      <c r="A448" s="1071" t="s">
        <v>15</v>
      </c>
      <c r="B448" s="944"/>
      <c r="C448" s="944"/>
      <c r="D448" s="944"/>
      <c r="E448" s="944"/>
      <c r="F448" s="944"/>
      <c r="G448" s="1072"/>
    </row>
    <row r="449" spans="1:10" s="2" customFormat="1" ht="15" customHeight="1">
      <c r="A449" s="1074" t="s">
        <v>2</v>
      </c>
      <c r="B449" s="944"/>
      <c r="C449" s="53" t="s">
        <v>3</v>
      </c>
      <c r="D449" s="53" t="s">
        <v>4</v>
      </c>
      <c r="E449" s="53" t="s">
        <v>6</v>
      </c>
      <c r="F449" s="53" t="s">
        <v>11</v>
      </c>
      <c r="G449" s="1075" t="s">
        <v>8</v>
      </c>
    </row>
    <row r="450" spans="1:10" s="2" customFormat="1" ht="15" customHeight="1">
      <c r="A450" s="943" t="s">
        <v>173</v>
      </c>
      <c r="B450" s="944"/>
      <c r="C450" s="16" t="s">
        <v>3</v>
      </c>
      <c r="D450" s="54">
        <v>3.5000000000000003E-2</v>
      </c>
      <c r="E450" s="17">
        <f>+G447</f>
        <v>32782.850241545901</v>
      </c>
      <c r="F450" s="55">
        <f>E450*D450</f>
        <v>1147.3997584541066</v>
      </c>
      <c r="G450" s="1072"/>
    </row>
    <row r="451" spans="1:10" s="2" customFormat="1" ht="15" customHeight="1">
      <c r="A451" s="59"/>
      <c r="B451" s="60"/>
      <c r="C451" s="60"/>
      <c r="D451" s="60"/>
      <c r="E451" s="60"/>
      <c r="F451" s="60"/>
      <c r="G451" s="57">
        <f>SUM(F450:F451)</f>
        <v>1147.3997584541066</v>
      </c>
    </row>
    <row r="452" spans="1:10" s="2" customFormat="1" ht="15" customHeight="1">
      <c r="A452" s="1071" t="s">
        <v>19</v>
      </c>
      <c r="B452" s="944"/>
      <c r="C452" s="944"/>
      <c r="D452" s="944"/>
      <c r="E452" s="944"/>
      <c r="F452" s="944"/>
      <c r="G452" s="1072"/>
    </row>
    <row r="453" spans="1:10" s="2" customFormat="1" ht="15" customHeight="1">
      <c r="A453" s="1074" t="s">
        <v>2</v>
      </c>
      <c r="B453" s="944"/>
      <c r="C453" s="53" t="s">
        <v>3</v>
      </c>
      <c r="D453" s="53" t="s">
        <v>4</v>
      </c>
      <c r="E453" s="53" t="s">
        <v>6</v>
      </c>
      <c r="F453" s="53" t="s">
        <v>11</v>
      </c>
      <c r="G453" s="456" t="s">
        <v>8</v>
      </c>
    </row>
    <row r="454" spans="1:10" s="2" customFormat="1" ht="15.75" customHeight="1">
      <c r="A454" s="978" t="str">
        <f>SALARIOS!$A$70</f>
        <v>CUADRILLA BB INSTALACIONES 1:2</v>
      </c>
      <c r="B454" s="979"/>
      <c r="C454" s="13" t="s">
        <v>1245</v>
      </c>
      <c r="D454" s="32">
        <v>1</v>
      </c>
      <c r="E454" s="13">
        <f>SALARIOS!$C$70</f>
        <v>37469</v>
      </c>
      <c r="F454" s="55">
        <f>+D454*E454</f>
        <v>37469</v>
      </c>
      <c r="G454" s="57">
        <f>SUM(F453:F454)</f>
        <v>37469</v>
      </c>
    </row>
    <row r="455" spans="1:10" s="2" customFormat="1" ht="15" customHeight="1">
      <c r="A455" s="1076" t="s">
        <v>25</v>
      </c>
      <c r="B455" s="944"/>
      <c r="C455" s="944"/>
      <c r="D455" s="944"/>
      <c r="E455" s="944"/>
      <c r="F455" s="944"/>
      <c r="G455" s="1072"/>
    </row>
    <row r="456" spans="1:10" s="2" customFormat="1" ht="15" customHeight="1">
      <c r="A456" s="1077"/>
      <c r="B456" s="944"/>
      <c r="C456" s="944"/>
      <c r="D456" s="944"/>
      <c r="E456" s="944"/>
      <c r="F456" s="944"/>
      <c r="G456" s="62">
        <f>G454+G451+G447+G441</f>
        <v>80502.7</v>
      </c>
    </row>
    <row r="458" spans="1:10" s="2" customFormat="1" ht="15.75" customHeight="1">
      <c r="A458" s="970" t="s">
        <v>1</v>
      </c>
      <c r="B458" s="957"/>
      <c r="C458" s="953" t="s">
        <v>0</v>
      </c>
      <c r="D458" s="953"/>
      <c r="E458" s="953"/>
      <c r="F458" s="953"/>
      <c r="G458" s="1103"/>
    </row>
    <row r="459" spans="1:10" s="2" customFormat="1" ht="69.75" customHeight="1">
      <c r="A459" s="971"/>
      <c r="B459" s="957"/>
      <c r="C459" s="953"/>
      <c r="D459" s="953"/>
      <c r="E459" s="953"/>
      <c r="F459" s="953"/>
      <c r="G459" s="1103"/>
    </row>
    <row r="460" spans="1:10" s="2" customFormat="1" ht="15.75" customHeight="1">
      <c r="A460" s="971"/>
      <c r="B460" s="957"/>
      <c r="C460" s="956"/>
      <c r="D460" s="957"/>
      <c r="E460" s="957"/>
      <c r="F460" s="957"/>
      <c r="G460" s="958"/>
    </row>
    <row r="461" spans="1:10" s="2" customFormat="1" ht="15.75" customHeight="1">
      <c r="A461" s="971"/>
      <c r="B461" s="957"/>
      <c r="C461" s="959" t="s">
        <v>2</v>
      </c>
      <c r="D461" s="957"/>
      <c r="E461" s="957"/>
      <c r="F461" s="23" t="s">
        <v>3</v>
      </c>
      <c r="G461" s="24" t="s">
        <v>4</v>
      </c>
      <c r="J461" s="453"/>
    </row>
    <row r="462" spans="1:10" s="2" customFormat="1" ht="73.5" customHeight="1">
      <c r="A462" s="1089" t="s">
        <v>1924</v>
      </c>
      <c r="B462" s="944"/>
      <c r="C462" s="980" t="s">
        <v>1925</v>
      </c>
      <c r="D462" s="944"/>
      <c r="E462" s="944"/>
      <c r="F462" s="51" t="s">
        <v>3</v>
      </c>
      <c r="G462" s="52">
        <v>20</v>
      </c>
    </row>
    <row r="463" spans="1:10" s="2" customFormat="1" ht="15.75" customHeight="1">
      <c r="A463" s="1071" t="s">
        <v>5</v>
      </c>
      <c r="B463" s="944"/>
      <c r="C463" s="944"/>
      <c r="D463" s="944"/>
      <c r="E463" s="944"/>
      <c r="F463" s="944"/>
      <c r="G463" s="1072"/>
    </row>
    <row r="464" spans="1:10" s="2" customFormat="1" ht="15.75" customHeight="1">
      <c r="A464" s="1074" t="s">
        <v>2</v>
      </c>
      <c r="B464" s="944"/>
      <c r="C464" s="53" t="s">
        <v>3</v>
      </c>
      <c r="D464" s="53" t="s">
        <v>4</v>
      </c>
      <c r="E464" s="53" t="s">
        <v>6</v>
      </c>
      <c r="F464" s="53" t="s">
        <v>7</v>
      </c>
      <c r="G464" s="1075" t="s">
        <v>8</v>
      </c>
    </row>
    <row r="465" spans="1:7" s="2" customFormat="1" ht="15.75" customHeight="1">
      <c r="A465" s="947" t="s">
        <v>167</v>
      </c>
      <c r="B465" s="980"/>
      <c r="C465" s="51" t="s">
        <v>3</v>
      </c>
      <c r="D465" s="54">
        <v>0.05</v>
      </c>
      <c r="E465" s="17">
        <f>+G482</f>
        <v>37469</v>
      </c>
      <c r="F465" s="55">
        <f>D465*E465</f>
        <v>1873.45</v>
      </c>
      <c r="G465" s="1072"/>
    </row>
    <row r="466" spans="1:7" s="2" customFormat="1" ht="15.75" customHeight="1">
      <c r="A466" s="947" t="str">
        <f>'MAQUINARIA Y EQUIPOS'!$D$42</f>
        <v>RANURADORA</v>
      </c>
      <c r="B466" s="944"/>
      <c r="C466" s="51" t="s">
        <v>3</v>
      </c>
      <c r="D466" s="54">
        <v>0.15</v>
      </c>
      <c r="E466" s="17">
        <f>'MAQUINARIA Y EQUIPOS'!$F$42</f>
        <v>48200</v>
      </c>
      <c r="F466" s="55">
        <f>D466*E466</f>
        <v>7230</v>
      </c>
      <c r="G466" s="1072"/>
    </row>
    <row r="467" spans="1:7" s="2" customFormat="1" ht="15.75" customHeight="1">
      <c r="A467" s="947"/>
      <c r="B467" s="980"/>
      <c r="C467" s="141"/>
      <c r="D467" s="16"/>
      <c r="E467" s="143"/>
      <c r="F467" s="55">
        <f>D467*E467</f>
        <v>0</v>
      </c>
      <c r="G467" s="1072"/>
    </row>
    <row r="468" spans="1:7" s="2" customFormat="1" ht="15.75" customHeight="1">
      <c r="A468" s="947"/>
      <c r="B468" s="944"/>
      <c r="C468" s="51"/>
      <c r="D468" s="54"/>
      <c r="E468" s="17"/>
      <c r="F468" s="55">
        <f>D468*E468</f>
        <v>0</v>
      </c>
      <c r="G468" s="1072"/>
    </row>
    <row r="469" spans="1:7" s="2" customFormat="1" ht="15.75" customHeight="1">
      <c r="A469" s="1079"/>
      <c r="B469" s="944"/>
      <c r="C469" s="56"/>
      <c r="D469" s="56"/>
      <c r="E469" s="56"/>
      <c r="F469" s="55"/>
      <c r="G469" s="57">
        <f>SUM(F464:F469)</f>
        <v>9103.4500000000007</v>
      </c>
    </row>
    <row r="470" spans="1:7" s="2" customFormat="1" ht="15" customHeight="1">
      <c r="A470" s="1071" t="s">
        <v>10</v>
      </c>
      <c r="B470" s="944"/>
      <c r="C470" s="944"/>
      <c r="D470" s="944"/>
      <c r="E470" s="944"/>
      <c r="F470" s="944"/>
      <c r="G470" s="1072"/>
    </row>
    <row r="471" spans="1:7" s="2" customFormat="1" ht="15" customHeight="1">
      <c r="A471" s="1074" t="s">
        <v>2</v>
      </c>
      <c r="B471" s="944"/>
      <c r="C471" s="53" t="s">
        <v>3</v>
      </c>
      <c r="D471" s="53" t="s">
        <v>4</v>
      </c>
      <c r="E471" s="53" t="s">
        <v>6</v>
      </c>
      <c r="F471" s="53" t="s">
        <v>11</v>
      </c>
      <c r="G471" s="1075" t="s">
        <v>8</v>
      </c>
    </row>
    <row r="472" spans="1:7" s="2" customFormat="1" ht="15" customHeight="1">
      <c r="A472" s="947" t="str">
        <f>'INSUMOS '!$B$371</f>
        <v>ABRAZADERA TIPO PERA</v>
      </c>
      <c r="B472" s="944"/>
      <c r="C472" s="16" t="s">
        <v>998</v>
      </c>
      <c r="D472" s="54">
        <v>0.7</v>
      </c>
      <c r="E472" s="17">
        <f>'INSUMOS '!$E$371</f>
        <v>957</v>
      </c>
      <c r="F472" s="55">
        <f>D472*E472</f>
        <v>669.9</v>
      </c>
      <c r="G472" s="1072"/>
    </row>
    <row r="473" spans="1:7" s="2" customFormat="1" ht="15" customHeight="1">
      <c r="A473" s="947" t="str">
        <f>'INSUMOS '!$B$372</f>
        <v>TUBERIA ACERO 6" ASTMA</v>
      </c>
      <c r="B473" s="944"/>
      <c r="C473" s="16" t="s">
        <v>998</v>
      </c>
      <c r="D473" s="54">
        <v>1.05</v>
      </c>
      <c r="E473" s="17">
        <f>'INSUMOS '!$E$372</f>
        <v>430610</v>
      </c>
      <c r="F473" s="55">
        <f>D473*E473</f>
        <v>452140.5</v>
      </c>
      <c r="G473" s="1072"/>
    </row>
    <row r="474" spans="1:7" s="2" customFormat="1" ht="15" customHeight="1">
      <c r="A474" s="947" t="str">
        <f>'INSUMOS '!$B$367</f>
        <v>ACCESORIOS TUB RCI</v>
      </c>
      <c r="B474" s="944"/>
      <c r="C474" s="16" t="s">
        <v>45</v>
      </c>
      <c r="D474" s="54">
        <v>1</v>
      </c>
      <c r="E474" s="17">
        <f>'INSUMOS '!$E$369</f>
        <v>76641</v>
      </c>
      <c r="F474" s="55">
        <f>D474*E474</f>
        <v>76641</v>
      </c>
      <c r="G474" s="1072"/>
    </row>
    <row r="475" spans="1:7" s="2" customFormat="1" ht="15" customHeight="1">
      <c r="A475" s="947"/>
      <c r="B475" s="944"/>
      <c r="C475" s="16"/>
      <c r="D475" s="58"/>
      <c r="E475" s="17"/>
      <c r="F475" s="55"/>
      <c r="G475" s="57">
        <f>SUM(F471:F475)</f>
        <v>529451.4</v>
      </c>
    </row>
    <row r="476" spans="1:7" s="2" customFormat="1" ht="15" customHeight="1">
      <c r="A476" s="1071" t="s">
        <v>15</v>
      </c>
      <c r="B476" s="944"/>
      <c r="C476" s="944"/>
      <c r="D476" s="944"/>
      <c r="E476" s="944"/>
      <c r="F476" s="944"/>
      <c r="G476" s="1072"/>
    </row>
    <row r="477" spans="1:7" s="2" customFormat="1" ht="15" customHeight="1">
      <c r="A477" s="1074" t="s">
        <v>2</v>
      </c>
      <c r="B477" s="944"/>
      <c r="C477" s="53" t="s">
        <v>3</v>
      </c>
      <c r="D477" s="53" t="s">
        <v>4</v>
      </c>
      <c r="E477" s="53" t="s">
        <v>6</v>
      </c>
      <c r="F477" s="53" t="s">
        <v>11</v>
      </c>
      <c r="G477" s="1075" t="s">
        <v>8</v>
      </c>
    </row>
    <row r="478" spans="1:7" s="2" customFormat="1" ht="15" customHeight="1">
      <c r="A478" s="943" t="s">
        <v>173</v>
      </c>
      <c r="B478" s="944"/>
      <c r="C478" s="16" t="s">
        <v>3</v>
      </c>
      <c r="D478" s="54">
        <v>3.5000000000000003E-2</v>
      </c>
      <c r="E478" s="17">
        <f>+G475</f>
        <v>529451.4</v>
      </c>
      <c r="F478" s="55">
        <f>E478*D478</f>
        <v>18530.799000000003</v>
      </c>
      <c r="G478" s="1072"/>
    </row>
    <row r="479" spans="1:7" s="2" customFormat="1" ht="15" customHeight="1">
      <c r="A479" s="59"/>
      <c r="B479" s="60"/>
      <c r="C479" s="60"/>
      <c r="D479" s="60"/>
      <c r="E479" s="60"/>
      <c r="F479" s="60"/>
      <c r="G479" s="57">
        <f>SUM(F478:F479)</f>
        <v>18530.799000000003</v>
      </c>
    </row>
    <row r="480" spans="1:7" s="2" customFormat="1" ht="15" customHeight="1">
      <c r="A480" s="1071" t="s">
        <v>19</v>
      </c>
      <c r="B480" s="944"/>
      <c r="C480" s="944"/>
      <c r="D480" s="944"/>
      <c r="E480" s="944"/>
      <c r="F480" s="944"/>
      <c r="G480" s="1072"/>
    </row>
    <row r="481" spans="1:7" s="2" customFormat="1" ht="15" customHeight="1">
      <c r="A481" s="1074" t="s">
        <v>2</v>
      </c>
      <c r="B481" s="944"/>
      <c r="C481" s="53" t="s">
        <v>3</v>
      </c>
      <c r="D481" s="53" t="s">
        <v>4</v>
      </c>
      <c r="E481" s="53" t="s">
        <v>6</v>
      </c>
      <c r="F481" s="53" t="s">
        <v>11</v>
      </c>
      <c r="G481" s="456" t="s">
        <v>8</v>
      </c>
    </row>
    <row r="482" spans="1:7" s="2" customFormat="1" ht="15.75" customHeight="1">
      <c r="A482" s="978" t="str">
        <f>SALARIOS!$A$70</f>
        <v>CUADRILLA BB INSTALACIONES 1:2</v>
      </c>
      <c r="B482" s="979"/>
      <c r="C482" s="13" t="s">
        <v>1245</v>
      </c>
      <c r="D482" s="32">
        <v>1</v>
      </c>
      <c r="E482" s="13">
        <f>SALARIOS!$C$70</f>
        <v>37469</v>
      </c>
      <c r="F482" s="55">
        <f>+D482*E482</f>
        <v>37469</v>
      </c>
      <c r="G482" s="57">
        <f>SUM(F481:F482)</f>
        <v>37469</v>
      </c>
    </row>
    <row r="483" spans="1:7" s="2" customFormat="1" ht="15" customHeight="1">
      <c r="A483" s="1076" t="s">
        <v>25</v>
      </c>
      <c r="B483" s="944"/>
      <c r="C483" s="944"/>
      <c r="D483" s="944"/>
      <c r="E483" s="944"/>
      <c r="F483" s="944"/>
      <c r="G483" s="1072"/>
    </row>
    <row r="484" spans="1:7" s="2" customFormat="1" ht="15" customHeight="1">
      <c r="A484" s="1077"/>
      <c r="B484" s="944"/>
      <c r="C484" s="944"/>
      <c r="D484" s="944"/>
      <c r="E484" s="944"/>
      <c r="F484" s="944"/>
      <c r="G484" s="62">
        <f>G482+G479+G475+G469</f>
        <v>594554.64899999998</v>
      </c>
    </row>
    <row r="486" spans="1:7" s="2" customFormat="1" ht="15.75" customHeight="1">
      <c r="A486" s="970" t="s">
        <v>1</v>
      </c>
      <c r="B486" s="957"/>
      <c r="C486" s="953" t="s">
        <v>0</v>
      </c>
      <c r="D486" s="953"/>
      <c r="E486" s="953"/>
      <c r="F486" s="953"/>
      <c r="G486" s="1103"/>
    </row>
    <row r="487" spans="1:7" s="2" customFormat="1" ht="69.75" customHeight="1">
      <c r="A487" s="971"/>
      <c r="B487" s="957"/>
      <c r="C487" s="953"/>
      <c r="D487" s="953"/>
      <c r="E487" s="953"/>
      <c r="F487" s="953"/>
      <c r="G487" s="1103"/>
    </row>
    <row r="488" spans="1:7" s="2" customFormat="1" ht="15.75" customHeight="1">
      <c r="A488" s="971"/>
      <c r="B488" s="957"/>
      <c r="C488" s="956"/>
      <c r="D488" s="957"/>
      <c r="E488" s="957"/>
      <c r="F488" s="957"/>
      <c r="G488" s="958"/>
    </row>
    <row r="489" spans="1:7" s="2" customFormat="1" ht="15.75" customHeight="1">
      <c r="A489" s="971"/>
      <c r="B489" s="957"/>
      <c r="C489" s="959" t="s">
        <v>2</v>
      </c>
      <c r="D489" s="957"/>
      <c r="E489" s="957"/>
      <c r="F489" s="23" t="s">
        <v>3</v>
      </c>
      <c r="G489" s="24" t="s">
        <v>4</v>
      </c>
    </row>
    <row r="490" spans="1:7" s="2" customFormat="1" ht="73.5" customHeight="1">
      <c r="A490" s="1089" t="s">
        <v>1926</v>
      </c>
      <c r="B490" s="944"/>
      <c r="C490" s="980" t="s">
        <v>1927</v>
      </c>
      <c r="D490" s="944"/>
      <c r="E490" s="944"/>
      <c r="F490" s="51" t="s">
        <v>3</v>
      </c>
      <c r="G490" s="52">
        <v>578</v>
      </c>
    </row>
    <row r="491" spans="1:7" s="2" customFormat="1" ht="15.75" customHeight="1">
      <c r="A491" s="1071" t="s">
        <v>5</v>
      </c>
      <c r="B491" s="944"/>
      <c r="C491" s="944"/>
      <c r="D491" s="944"/>
      <c r="E491" s="944"/>
      <c r="F491" s="944"/>
      <c r="G491" s="1072"/>
    </row>
    <row r="492" spans="1:7" s="2" customFormat="1" ht="15.75" customHeight="1">
      <c r="A492" s="1074" t="s">
        <v>2</v>
      </c>
      <c r="B492" s="944"/>
      <c r="C492" s="53" t="s">
        <v>3</v>
      </c>
      <c r="D492" s="53" t="s">
        <v>4</v>
      </c>
      <c r="E492" s="53" t="s">
        <v>6</v>
      </c>
      <c r="F492" s="53" t="s">
        <v>7</v>
      </c>
      <c r="G492" s="1075" t="s">
        <v>8</v>
      </c>
    </row>
    <row r="493" spans="1:7" s="2" customFormat="1" ht="15.75" customHeight="1">
      <c r="A493" s="947" t="s">
        <v>167</v>
      </c>
      <c r="B493" s="980"/>
      <c r="C493" s="51" t="s">
        <v>3</v>
      </c>
      <c r="D493" s="54">
        <v>0.05</v>
      </c>
      <c r="E493" s="17">
        <f>+G510</f>
        <v>37469</v>
      </c>
      <c r="F493" s="55">
        <f>D493*E493</f>
        <v>1873.45</v>
      </c>
      <c r="G493" s="1072"/>
    </row>
    <row r="494" spans="1:7" s="2" customFormat="1" ht="15.75" customHeight="1">
      <c r="A494" s="947" t="str">
        <f>'MAQUINARIA Y EQUIPOS'!$D$42</f>
        <v>RANURADORA</v>
      </c>
      <c r="B494" s="944"/>
      <c r="C494" s="51" t="s">
        <v>3</v>
      </c>
      <c r="D494" s="54">
        <v>0.15</v>
      </c>
      <c r="E494" s="17">
        <f>'MAQUINARIA Y EQUIPOS'!$F$42</f>
        <v>48200</v>
      </c>
      <c r="F494" s="55">
        <f>D494*E494</f>
        <v>7230</v>
      </c>
      <c r="G494" s="1072"/>
    </row>
    <row r="495" spans="1:7" s="2" customFormat="1" ht="15.75" customHeight="1">
      <c r="A495" s="947"/>
      <c r="B495" s="980"/>
      <c r="C495" s="141"/>
      <c r="D495" s="16"/>
      <c r="E495" s="143"/>
      <c r="F495" s="55">
        <f>D495*E495</f>
        <v>0</v>
      </c>
      <c r="G495" s="1072"/>
    </row>
    <row r="496" spans="1:7" s="2" customFormat="1" ht="15.75" customHeight="1">
      <c r="A496" s="947"/>
      <c r="B496" s="944"/>
      <c r="C496" s="51"/>
      <c r="D496" s="54"/>
      <c r="E496" s="17"/>
      <c r="F496" s="55">
        <f>D496*E496</f>
        <v>0</v>
      </c>
      <c r="G496" s="1072"/>
    </row>
    <row r="497" spans="1:7" s="2" customFormat="1" ht="15.75" customHeight="1">
      <c r="A497" s="1079"/>
      <c r="B497" s="944"/>
      <c r="C497" s="56"/>
      <c r="D497" s="56"/>
      <c r="E497" s="56"/>
      <c r="F497" s="55"/>
      <c r="G497" s="57">
        <f>SUM(F492:F497)</f>
        <v>9103.4500000000007</v>
      </c>
    </row>
    <row r="498" spans="1:7" s="2" customFormat="1" ht="15" customHeight="1">
      <c r="A498" s="1071" t="s">
        <v>10</v>
      </c>
      <c r="B498" s="944"/>
      <c r="C498" s="944"/>
      <c r="D498" s="944"/>
      <c r="E498" s="944"/>
      <c r="F498" s="944"/>
      <c r="G498" s="1072"/>
    </row>
    <row r="499" spans="1:7" s="2" customFormat="1" ht="15" customHeight="1">
      <c r="A499" s="1074" t="s">
        <v>2</v>
      </c>
      <c r="B499" s="944"/>
      <c r="C499" s="53" t="s">
        <v>3</v>
      </c>
      <c r="D499" s="53" t="s">
        <v>4</v>
      </c>
      <c r="E499" s="53" t="s">
        <v>6</v>
      </c>
      <c r="F499" s="53" t="s">
        <v>11</v>
      </c>
      <c r="G499" s="1075" t="s">
        <v>8</v>
      </c>
    </row>
    <row r="500" spans="1:7" s="2" customFormat="1" ht="15" customHeight="1">
      <c r="A500" s="947" t="str">
        <f>'INSUMOS '!$B$371</f>
        <v>ABRAZADERA TIPO PERA</v>
      </c>
      <c r="B500" s="944"/>
      <c r="C500" s="16" t="s">
        <v>998</v>
      </c>
      <c r="D500" s="54">
        <v>0.8</v>
      </c>
      <c r="E500" s="17">
        <f>'INSUMOS '!$E$371</f>
        <v>957</v>
      </c>
      <c r="F500" s="55">
        <f>D500*E500</f>
        <v>765.6</v>
      </c>
      <c r="G500" s="1072"/>
    </row>
    <row r="501" spans="1:7" s="2" customFormat="1" ht="15" customHeight="1">
      <c r="A501" s="947" t="str">
        <f>'INSUMOS '!$B$373</f>
        <v>TUBERIA ACERO 2 1/2" ASTMA</v>
      </c>
      <c r="B501" s="944"/>
      <c r="C501" s="51" t="s">
        <v>998</v>
      </c>
      <c r="D501" s="54">
        <v>1.05</v>
      </c>
      <c r="E501" s="17">
        <f>'INSUMOS '!$E$373</f>
        <v>57375.192594202847</v>
      </c>
      <c r="F501" s="55">
        <f>D501*E501</f>
        <v>60243.952223912995</v>
      </c>
      <c r="G501" s="1072"/>
    </row>
    <row r="502" spans="1:7" s="2" customFormat="1" ht="15" customHeight="1">
      <c r="A502" s="947" t="str">
        <f>'INSUMOS '!$B$369</f>
        <v>ACCESORIOS TUB RCI</v>
      </c>
      <c r="B502" s="944"/>
      <c r="C502" s="16" t="s">
        <v>45</v>
      </c>
      <c r="D502" s="54">
        <v>0.02</v>
      </c>
      <c r="E502" s="17">
        <f>'INSUMOS '!$E$369</f>
        <v>76641</v>
      </c>
      <c r="F502" s="55">
        <f>D502*E502</f>
        <v>1532.82</v>
      </c>
      <c r="G502" s="1072"/>
    </row>
    <row r="503" spans="1:7" s="2" customFormat="1" ht="15" customHeight="1">
      <c r="A503" s="947"/>
      <c r="B503" s="944"/>
      <c r="C503" s="16"/>
      <c r="D503" s="58"/>
      <c r="E503" s="17"/>
      <c r="F503" s="55"/>
      <c r="G503" s="57">
        <f>SUM(F499:F503)</f>
        <v>62542.372223912993</v>
      </c>
    </row>
    <row r="504" spans="1:7" s="2" customFormat="1" ht="15" customHeight="1">
      <c r="A504" s="1071" t="s">
        <v>15</v>
      </c>
      <c r="B504" s="944"/>
      <c r="C504" s="944"/>
      <c r="D504" s="944"/>
      <c r="E504" s="944"/>
      <c r="F504" s="944"/>
      <c r="G504" s="1072"/>
    </row>
    <row r="505" spans="1:7" s="2" customFormat="1" ht="15" customHeight="1">
      <c r="A505" s="1074" t="s">
        <v>2</v>
      </c>
      <c r="B505" s="944"/>
      <c r="C505" s="53" t="s">
        <v>3</v>
      </c>
      <c r="D505" s="53" t="s">
        <v>4</v>
      </c>
      <c r="E505" s="53" t="s">
        <v>6</v>
      </c>
      <c r="F505" s="53" t="s">
        <v>11</v>
      </c>
      <c r="G505" s="1075" t="s">
        <v>8</v>
      </c>
    </row>
    <row r="506" spans="1:7" s="2" customFormat="1" ht="15" customHeight="1">
      <c r="A506" s="943" t="s">
        <v>173</v>
      </c>
      <c r="B506" s="944"/>
      <c r="C506" s="16" t="s">
        <v>3</v>
      </c>
      <c r="D506" s="54">
        <v>3.5000000000000003E-2</v>
      </c>
      <c r="E506" s="17">
        <f>+G503</f>
        <v>62542.372223912993</v>
      </c>
      <c r="F506" s="55">
        <f>E506*D506</f>
        <v>2188.983027836955</v>
      </c>
      <c r="G506" s="1072"/>
    </row>
    <row r="507" spans="1:7" s="2" customFormat="1" ht="15" customHeight="1">
      <c r="A507" s="59"/>
      <c r="B507" s="60"/>
      <c r="C507" s="60"/>
      <c r="D507" s="60"/>
      <c r="E507" s="60"/>
      <c r="F507" s="60"/>
      <c r="G507" s="57">
        <f>SUM(F506:F507)</f>
        <v>2188.983027836955</v>
      </c>
    </row>
    <row r="508" spans="1:7" s="2" customFormat="1" ht="15" customHeight="1">
      <c r="A508" s="1071" t="s">
        <v>19</v>
      </c>
      <c r="B508" s="944"/>
      <c r="C508" s="944"/>
      <c r="D508" s="944"/>
      <c r="E508" s="944"/>
      <c r="F508" s="944"/>
      <c r="G508" s="1072"/>
    </row>
    <row r="509" spans="1:7" s="2" customFormat="1" ht="15" customHeight="1">
      <c r="A509" s="1074" t="s">
        <v>2</v>
      </c>
      <c r="B509" s="944"/>
      <c r="C509" s="53" t="s">
        <v>3</v>
      </c>
      <c r="D509" s="53" t="s">
        <v>4</v>
      </c>
      <c r="E509" s="53" t="s">
        <v>6</v>
      </c>
      <c r="F509" s="53" t="s">
        <v>11</v>
      </c>
      <c r="G509" s="456" t="s">
        <v>8</v>
      </c>
    </row>
    <row r="510" spans="1:7" s="2" customFormat="1" ht="15.75" customHeight="1">
      <c r="A510" s="978" t="str">
        <f>SALARIOS!$A$70</f>
        <v>CUADRILLA BB INSTALACIONES 1:2</v>
      </c>
      <c r="B510" s="979"/>
      <c r="C510" s="13" t="s">
        <v>1245</v>
      </c>
      <c r="D510" s="32">
        <v>1</v>
      </c>
      <c r="E510" s="13">
        <f>SALARIOS!$C$70</f>
        <v>37469</v>
      </c>
      <c r="F510" s="55">
        <f>+D510*E510</f>
        <v>37469</v>
      </c>
      <c r="G510" s="57">
        <f>SUM(F509:F510)</f>
        <v>37469</v>
      </c>
    </row>
    <row r="511" spans="1:7" s="2" customFormat="1" ht="15" customHeight="1">
      <c r="A511" s="1076" t="s">
        <v>25</v>
      </c>
      <c r="B511" s="944"/>
      <c r="C511" s="944"/>
      <c r="D511" s="944"/>
      <c r="E511" s="944"/>
      <c r="F511" s="944"/>
      <c r="G511" s="1072"/>
    </row>
    <row r="512" spans="1:7" s="2" customFormat="1" ht="15" customHeight="1">
      <c r="A512" s="1077"/>
      <c r="B512" s="944"/>
      <c r="C512" s="944"/>
      <c r="D512" s="944"/>
      <c r="E512" s="944"/>
      <c r="F512" s="944"/>
      <c r="G512" s="62">
        <f>G510+G507+G503+G497</f>
        <v>111303.80525174995</v>
      </c>
    </row>
    <row r="514" spans="1:7" s="2" customFormat="1" ht="15.75" customHeight="1">
      <c r="A514" s="970" t="s">
        <v>1</v>
      </c>
      <c r="B514" s="957"/>
      <c r="C514" s="953" t="s">
        <v>0</v>
      </c>
      <c r="D514" s="953"/>
      <c r="E514" s="953"/>
      <c r="F514" s="953"/>
      <c r="G514" s="1103"/>
    </row>
    <row r="515" spans="1:7" s="2" customFormat="1" ht="69.75" customHeight="1">
      <c r="A515" s="971"/>
      <c r="B515" s="957"/>
      <c r="C515" s="953"/>
      <c r="D515" s="953"/>
      <c r="E515" s="953"/>
      <c r="F515" s="953"/>
      <c r="G515" s="1103"/>
    </row>
    <row r="516" spans="1:7" s="2" customFormat="1" ht="15.75" customHeight="1">
      <c r="A516" s="971"/>
      <c r="B516" s="957"/>
      <c r="C516" s="956"/>
      <c r="D516" s="957"/>
      <c r="E516" s="957"/>
      <c r="F516" s="957"/>
      <c r="G516" s="958"/>
    </row>
    <row r="517" spans="1:7" s="2" customFormat="1" ht="15.75" customHeight="1">
      <c r="A517" s="971"/>
      <c r="B517" s="957"/>
      <c r="C517" s="959" t="s">
        <v>2</v>
      </c>
      <c r="D517" s="957"/>
      <c r="E517" s="957"/>
      <c r="F517" s="23" t="s">
        <v>3</v>
      </c>
      <c r="G517" s="24" t="s">
        <v>4</v>
      </c>
    </row>
    <row r="518" spans="1:7" s="2" customFormat="1" ht="73.5" customHeight="1">
      <c r="A518" s="1089" t="s">
        <v>1928</v>
      </c>
      <c r="B518" s="944"/>
      <c r="C518" s="980" t="s">
        <v>1929</v>
      </c>
      <c r="D518" s="944"/>
      <c r="E518" s="944"/>
      <c r="F518" s="51" t="s">
        <v>3</v>
      </c>
      <c r="G518" s="52">
        <v>888</v>
      </c>
    </row>
    <row r="519" spans="1:7" s="2" customFormat="1" ht="15.75" customHeight="1">
      <c r="A519" s="1071" t="s">
        <v>5</v>
      </c>
      <c r="B519" s="944"/>
      <c r="C519" s="944"/>
      <c r="D519" s="944"/>
      <c r="E519" s="944"/>
      <c r="F519" s="944"/>
      <c r="G519" s="1072"/>
    </row>
    <row r="520" spans="1:7" s="2" customFormat="1" ht="15.75" customHeight="1">
      <c r="A520" s="1074" t="s">
        <v>2</v>
      </c>
      <c r="B520" s="944"/>
      <c r="C520" s="53" t="s">
        <v>3</v>
      </c>
      <c r="D520" s="53" t="s">
        <v>4</v>
      </c>
      <c r="E520" s="53" t="s">
        <v>6</v>
      </c>
      <c r="F520" s="53" t="s">
        <v>7</v>
      </c>
      <c r="G520" s="1075" t="s">
        <v>8</v>
      </c>
    </row>
    <row r="521" spans="1:7" s="2" customFormat="1" ht="15.75" customHeight="1">
      <c r="A521" s="947" t="s">
        <v>167</v>
      </c>
      <c r="B521" s="980"/>
      <c r="C521" s="51" t="s">
        <v>3</v>
      </c>
      <c r="D521" s="54">
        <v>0.05</v>
      </c>
      <c r="E521" s="17">
        <f>+G538</f>
        <v>37469</v>
      </c>
      <c r="F521" s="55">
        <f>D521*E521</f>
        <v>1873.45</v>
      </c>
      <c r="G521" s="1072"/>
    </row>
    <row r="522" spans="1:7" s="2" customFormat="1" ht="15.75" customHeight="1">
      <c r="A522" s="947" t="str">
        <f>'MAQUINARIA Y EQUIPOS'!$D$42</f>
        <v>RANURADORA</v>
      </c>
      <c r="B522" s="944"/>
      <c r="C522" s="51" t="s">
        <v>3</v>
      </c>
      <c r="D522" s="54">
        <v>0.15</v>
      </c>
      <c r="E522" s="17">
        <f>'MAQUINARIA Y EQUIPOS'!$F$42</f>
        <v>48200</v>
      </c>
      <c r="F522" s="55">
        <f>D522*E522</f>
        <v>7230</v>
      </c>
      <c r="G522" s="1072"/>
    </row>
    <row r="523" spans="1:7" s="2" customFormat="1" ht="15.75" customHeight="1">
      <c r="A523" s="947"/>
      <c r="B523" s="980"/>
      <c r="C523" s="141"/>
      <c r="D523" s="16"/>
      <c r="E523" s="143"/>
      <c r="F523" s="55">
        <f>D523*E523</f>
        <v>0</v>
      </c>
      <c r="G523" s="1072"/>
    </row>
    <row r="524" spans="1:7" s="2" customFormat="1" ht="15.75" customHeight="1">
      <c r="A524" s="947"/>
      <c r="B524" s="944"/>
      <c r="C524" s="51"/>
      <c r="D524" s="54"/>
      <c r="E524" s="17"/>
      <c r="F524" s="55">
        <f>D524*E524</f>
        <v>0</v>
      </c>
      <c r="G524" s="1072"/>
    </row>
    <row r="525" spans="1:7" s="2" customFormat="1" ht="15.75" customHeight="1">
      <c r="A525" s="1079"/>
      <c r="B525" s="944"/>
      <c r="C525" s="56"/>
      <c r="D525" s="56"/>
      <c r="E525" s="56"/>
      <c r="F525" s="55"/>
      <c r="G525" s="57">
        <f>SUM(F520:F525)</f>
        <v>9103.4500000000007</v>
      </c>
    </row>
    <row r="526" spans="1:7" s="2" customFormat="1" ht="15" customHeight="1">
      <c r="A526" s="1071" t="s">
        <v>10</v>
      </c>
      <c r="B526" s="944"/>
      <c r="C526" s="944"/>
      <c r="D526" s="944"/>
      <c r="E526" s="944"/>
      <c r="F526" s="944"/>
      <c r="G526" s="1072"/>
    </row>
    <row r="527" spans="1:7" s="2" customFormat="1" ht="15" customHeight="1">
      <c r="A527" s="1074" t="s">
        <v>2</v>
      </c>
      <c r="B527" s="944"/>
      <c r="C527" s="53" t="s">
        <v>3</v>
      </c>
      <c r="D527" s="53" t="s">
        <v>4</v>
      </c>
      <c r="E527" s="53" t="s">
        <v>6</v>
      </c>
      <c r="F527" s="53" t="s">
        <v>11</v>
      </c>
      <c r="G527" s="1075" t="s">
        <v>8</v>
      </c>
    </row>
    <row r="528" spans="1:7" s="2" customFormat="1" ht="15" customHeight="1">
      <c r="A528" s="947" t="str">
        <f>'INSUMOS '!$B$371</f>
        <v>ABRAZADERA TIPO PERA</v>
      </c>
      <c r="B528" s="944"/>
      <c r="C528" s="16" t="s">
        <v>998</v>
      </c>
      <c r="D528" s="54">
        <v>0.8</v>
      </c>
      <c r="E528" s="17">
        <f>'INSUMOS '!$E$371</f>
        <v>957</v>
      </c>
      <c r="F528" s="55">
        <f>D528*E528</f>
        <v>765.6</v>
      </c>
      <c r="G528" s="1072"/>
    </row>
    <row r="529" spans="1:7" s="2" customFormat="1" ht="15" customHeight="1">
      <c r="A529" s="947" t="str">
        <f>'INSUMOS '!$B$374</f>
        <v>TUBERIA ACERO 1" ASTMA</v>
      </c>
      <c r="B529" s="944"/>
      <c r="C529" s="51" t="s">
        <v>45</v>
      </c>
      <c r="D529" s="54">
        <v>1</v>
      </c>
      <c r="E529" s="17">
        <f>'INSUMOS '!$E$374</f>
        <v>27896.5</v>
      </c>
      <c r="F529" s="55">
        <f>D529*E529</f>
        <v>27896.5</v>
      </c>
      <c r="G529" s="1072"/>
    </row>
    <row r="530" spans="1:7" s="2" customFormat="1" ht="15" customHeight="1">
      <c r="A530" s="947"/>
      <c r="B530" s="944"/>
      <c r="C530" s="16"/>
      <c r="D530" s="54"/>
      <c r="E530" s="17"/>
      <c r="F530" s="55">
        <f>D530*E530</f>
        <v>0</v>
      </c>
      <c r="G530" s="1072"/>
    </row>
    <row r="531" spans="1:7" s="2" customFormat="1" ht="15" customHeight="1">
      <c r="A531" s="947"/>
      <c r="B531" s="944"/>
      <c r="C531" s="16"/>
      <c r="D531" s="58"/>
      <c r="E531" s="17"/>
      <c r="F531" s="55"/>
      <c r="G531" s="57">
        <f>SUM(F527:F531)</f>
        <v>28662.1</v>
      </c>
    </row>
    <row r="532" spans="1:7" s="2" customFormat="1" ht="15" customHeight="1">
      <c r="A532" s="1071" t="s">
        <v>15</v>
      </c>
      <c r="B532" s="944"/>
      <c r="C532" s="944"/>
      <c r="D532" s="944"/>
      <c r="E532" s="944"/>
      <c r="F532" s="944"/>
      <c r="G532" s="1072"/>
    </row>
    <row r="533" spans="1:7" s="2" customFormat="1" ht="15" customHeight="1">
      <c r="A533" s="1074" t="s">
        <v>2</v>
      </c>
      <c r="B533" s="944"/>
      <c r="C533" s="53" t="s">
        <v>3</v>
      </c>
      <c r="D533" s="53" t="s">
        <v>4</v>
      </c>
      <c r="E533" s="53" t="s">
        <v>6</v>
      </c>
      <c r="F533" s="53" t="s">
        <v>11</v>
      </c>
      <c r="G533" s="1075" t="s">
        <v>8</v>
      </c>
    </row>
    <row r="534" spans="1:7" s="2" customFormat="1" ht="15" customHeight="1">
      <c r="A534" s="943" t="s">
        <v>173</v>
      </c>
      <c r="B534" s="944"/>
      <c r="C534" s="16" t="s">
        <v>3</v>
      </c>
      <c r="D534" s="54">
        <v>3.5000000000000003E-2</v>
      </c>
      <c r="E534" s="17">
        <f>+G531</f>
        <v>28662.1</v>
      </c>
      <c r="F534" s="55">
        <f>E534*D534</f>
        <v>1003.1735</v>
      </c>
      <c r="G534" s="1072"/>
    </row>
    <row r="535" spans="1:7" s="2" customFormat="1" ht="15" customHeight="1">
      <c r="A535" s="59"/>
      <c r="B535" s="60"/>
      <c r="C535" s="60"/>
      <c r="D535" s="60"/>
      <c r="E535" s="60"/>
      <c r="F535" s="60"/>
      <c r="G535" s="57">
        <f>SUM(F534:F535)</f>
        <v>1003.1735</v>
      </c>
    </row>
    <row r="536" spans="1:7" s="2" customFormat="1" ht="15" customHeight="1">
      <c r="A536" s="1071" t="s">
        <v>19</v>
      </c>
      <c r="B536" s="944"/>
      <c r="C536" s="944"/>
      <c r="D536" s="944"/>
      <c r="E536" s="944"/>
      <c r="F536" s="944"/>
      <c r="G536" s="1072"/>
    </row>
    <row r="537" spans="1:7" s="2" customFormat="1" ht="15" customHeight="1">
      <c r="A537" s="1074" t="s">
        <v>2</v>
      </c>
      <c r="B537" s="944"/>
      <c r="C537" s="53" t="s">
        <v>3</v>
      </c>
      <c r="D537" s="53" t="s">
        <v>4</v>
      </c>
      <c r="E537" s="53" t="s">
        <v>6</v>
      </c>
      <c r="F537" s="53" t="s">
        <v>11</v>
      </c>
      <c r="G537" s="456" t="s">
        <v>8</v>
      </c>
    </row>
    <row r="538" spans="1:7" s="2" customFormat="1" ht="15.75" customHeight="1">
      <c r="A538" s="978" t="str">
        <f>SALARIOS!$A$70</f>
        <v>CUADRILLA BB INSTALACIONES 1:2</v>
      </c>
      <c r="B538" s="979"/>
      <c r="C538" s="13" t="s">
        <v>1245</v>
      </c>
      <c r="D538" s="32">
        <v>1</v>
      </c>
      <c r="E538" s="13">
        <f>SALARIOS!$C$70</f>
        <v>37469</v>
      </c>
      <c r="F538" s="55">
        <f>+D538*E538</f>
        <v>37469</v>
      </c>
      <c r="G538" s="57">
        <f>SUM(F537:F538)</f>
        <v>37469</v>
      </c>
    </row>
    <row r="539" spans="1:7" s="2" customFormat="1" ht="15" customHeight="1">
      <c r="A539" s="1076" t="s">
        <v>25</v>
      </c>
      <c r="B539" s="944"/>
      <c r="C539" s="944"/>
      <c r="D539" s="944"/>
      <c r="E539" s="944"/>
      <c r="F539" s="944"/>
      <c r="G539" s="1072"/>
    </row>
    <row r="540" spans="1:7" s="2" customFormat="1" ht="15" customHeight="1">
      <c r="A540" s="1077"/>
      <c r="B540" s="944"/>
      <c r="C540" s="944"/>
      <c r="D540" s="944"/>
      <c r="E540" s="944"/>
      <c r="F540" s="944"/>
      <c r="G540" s="62">
        <f>G538+G535+G531+G525</f>
        <v>76237.723499999993</v>
      </c>
    </row>
    <row r="542" spans="1:7" s="2" customFormat="1" ht="15.75" customHeight="1">
      <c r="A542" s="970" t="s">
        <v>1</v>
      </c>
      <c r="B542" s="957"/>
      <c r="C542" s="953" t="s">
        <v>0</v>
      </c>
      <c r="D542" s="953"/>
      <c r="E542" s="953"/>
      <c r="F542" s="953"/>
      <c r="G542" s="1103"/>
    </row>
    <row r="543" spans="1:7" s="2" customFormat="1" ht="69.75" customHeight="1">
      <c r="A543" s="971"/>
      <c r="B543" s="957"/>
      <c r="C543" s="953"/>
      <c r="D543" s="953"/>
      <c r="E543" s="953"/>
      <c r="F543" s="953"/>
      <c r="G543" s="1103"/>
    </row>
    <row r="544" spans="1:7" s="2" customFormat="1" ht="15.75" customHeight="1">
      <c r="A544" s="971"/>
      <c r="B544" s="957"/>
      <c r="C544" s="956"/>
      <c r="D544" s="957"/>
      <c r="E544" s="957"/>
      <c r="F544" s="957"/>
      <c r="G544" s="958"/>
    </row>
    <row r="545" spans="1:7" s="2" customFormat="1" ht="15.75" customHeight="1">
      <c r="A545" s="971"/>
      <c r="B545" s="957"/>
      <c r="C545" s="959" t="s">
        <v>2</v>
      </c>
      <c r="D545" s="957"/>
      <c r="E545" s="957"/>
      <c r="F545" s="23" t="s">
        <v>3</v>
      </c>
      <c r="G545" s="24" t="s">
        <v>4</v>
      </c>
    </row>
    <row r="546" spans="1:7" s="2" customFormat="1" ht="73.5" customHeight="1">
      <c r="A546" s="1089" t="s">
        <v>1930</v>
      </c>
      <c r="B546" s="944"/>
      <c r="C546" s="980" t="s">
        <v>1931</v>
      </c>
      <c r="D546" s="944"/>
      <c r="E546" s="944"/>
      <c r="F546" s="51" t="s">
        <v>3</v>
      </c>
      <c r="G546" s="52">
        <v>40</v>
      </c>
    </row>
    <row r="547" spans="1:7" s="2" customFormat="1" ht="15.75" customHeight="1">
      <c r="A547" s="1071" t="s">
        <v>5</v>
      </c>
      <c r="B547" s="944"/>
      <c r="C547" s="944"/>
      <c r="D547" s="944"/>
      <c r="E547" s="944"/>
      <c r="F547" s="944"/>
      <c r="G547" s="1072"/>
    </row>
    <row r="548" spans="1:7" s="2" customFormat="1" ht="15.75" customHeight="1">
      <c r="A548" s="1074" t="s">
        <v>2</v>
      </c>
      <c r="B548" s="944"/>
      <c r="C548" s="53" t="s">
        <v>3</v>
      </c>
      <c r="D548" s="53" t="s">
        <v>4</v>
      </c>
      <c r="E548" s="53" t="s">
        <v>6</v>
      </c>
      <c r="F548" s="53" t="s">
        <v>7</v>
      </c>
      <c r="G548" s="1075" t="s">
        <v>8</v>
      </c>
    </row>
    <row r="549" spans="1:7" s="2" customFormat="1" ht="15.75" customHeight="1">
      <c r="A549" s="947" t="s">
        <v>167</v>
      </c>
      <c r="B549" s="980"/>
      <c r="C549" s="51" t="s">
        <v>3</v>
      </c>
      <c r="D549" s="54">
        <v>0.05</v>
      </c>
      <c r="E549" s="17">
        <f>+G566</f>
        <v>37469</v>
      </c>
      <c r="F549" s="55">
        <f>D549*E549</f>
        <v>1873.45</v>
      </c>
      <c r="G549" s="1072"/>
    </row>
    <row r="550" spans="1:7" s="2" customFormat="1" ht="15.75" customHeight="1">
      <c r="A550" s="947" t="str">
        <f>'MAQUINARIA Y EQUIPOS'!$D$42</f>
        <v>RANURADORA</v>
      </c>
      <c r="B550" s="944"/>
      <c r="C550" s="51" t="s">
        <v>3</v>
      </c>
      <c r="D550" s="54">
        <v>0.15</v>
      </c>
      <c r="E550" s="17">
        <f>'MAQUINARIA Y EQUIPOS'!$F$42</f>
        <v>48200</v>
      </c>
      <c r="F550" s="55">
        <f>D550*E550</f>
        <v>7230</v>
      </c>
      <c r="G550" s="1072"/>
    </row>
    <row r="551" spans="1:7" s="2" customFormat="1" ht="15.75" customHeight="1">
      <c r="A551" s="947"/>
      <c r="B551" s="980"/>
      <c r="C551" s="141"/>
      <c r="D551" s="16"/>
      <c r="E551" s="143"/>
      <c r="F551" s="55">
        <f>D551*E551</f>
        <v>0</v>
      </c>
      <c r="G551" s="1072"/>
    </row>
    <row r="552" spans="1:7" s="2" customFormat="1" ht="15.75" customHeight="1">
      <c r="A552" s="947"/>
      <c r="B552" s="944"/>
      <c r="C552" s="51"/>
      <c r="D552" s="54"/>
      <c r="E552" s="17"/>
      <c r="F552" s="55">
        <f>D552*E552</f>
        <v>0</v>
      </c>
      <c r="G552" s="1072"/>
    </row>
    <row r="553" spans="1:7" s="2" customFormat="1" ht="15.75" customHeight="1">
      <c r="A553" s="1079"/>
      <c r="B553" s="944"/>
      <c r="C553" s="56"/>
      <c r="D553" s="56"/>
      <c r="E553" s="56"/>
      <c r="F553" s="55"/>
      <c r="G553" s="57">
        <f>SUM(F548:F553)</f>
        <v>9103.4500000000007</v>
      </c>
    </row>
    <row r="554" spans="1:7" s="2" customFormat="1" ht="15" customHeight="1">
      <c r="A554" s="1071" t="s">
        <v>10</v>
      </c>
      <c r="B554" s="944"/>
      <c r="C554" s="944"/>
      <c r="D554" s="944"/>
      <c r="E554" s="944"/>
      <c r="F554" s="944"/>
      <c r="G554" s="1072"/>
    </row>
    <row r="555" spans="1:7" s="2" customFormat="1" ht="15" customHeight="1">
      <c r="A555" s="1074" t="s">
        <v>2</v>
      </c>
      <c r="B555" s="944"/>
      <c r="C555" s="53" t="s">
        <v>3</v>
      </c>
      <c r="D555" s="53" t="s">
        <v>4</v>
      </c>
      <c r="E555" s="53" t="s">
        <v>6</v>
      </c>
      <c r="F555" s="53" t="s">
        <v>11</v>
      </c>
      <c r="G555" s="1075" t="s">
        <v>8</v>
      </c>
    </row>
    <row r="556" spans="1:7" s="2" customFormat="1" ht="15" customHeight="1">
      <c r="A556" s="947" t="str">
        <f>'INSUMOS '!$B$375</f>
        <v>CODO 90° 2 1/2" EN ACERO</v>
      </c>
      <c r="B556" s="944"/>
      <c r="C556" s="16" t="s">
        <v>998</v>
      </c>
      <c r="D556" s="54">
        <v>1</v>
      </c>
      <c r="E556" s="17">
        <f>'INSUMOS '!$E$375</f>
        <v>102348.70193236713</v>
      </c>
      <c r="F556" s="55">
        <f>D556*E556</f>
        <v>102348.70193236713</v>
      </c>
      <c r="G556" s="1072"/>
    </row>
    <row r="557" spans="1:7" s="2" customFormat="1" ht="15" customHeight="1">
      <c r="A557" s="947" t="str">
        <f>'INSUMOS '!$B$367</f>
        <v>ACCESORIOS TUB RCI</v>
      </c>
      <c r="B557" s="944"/>
      <c r="C557" s="51" t="s">
        <v>45</v>
      </c>
      <c r="D557" s="54">
        <v>0.14000000000000001</v>
      </c>
      <c r="E557" s="17">
        <f>'INSUMOS '!$E$367</f>
        <v>76641</v>
      </c>
      <c r="F557" s="55">
        <f>D557*E557</f>
        <v>10729.740000000002</v>
      </c>
      <c r="G557" s="1072"/>
    </row>
    <row r="558" spans="1:7" s="2" customFormat="1" ht="15" customHeight="1">
      <c r="A558" s="947"/>
      <c r="B558" s="944"/>
      <c r="C558" s="16"/>
      <c r="D558" s="54"/>
      <c r="E558" s="17"/>
      <c r="F558" s="55">
        <f>D558*E558</f>
        <v>0</v>
      </c>
      <c r="G558" s="1072"/>
    </row>
    <row r="559" spans="1:7" s="2" customFormat="1" ht="15" customHeight="1">
      <c r="A559" s="947"/>
      <c r="B559" s="944"/>
      <c r="C559" s="16"/>
      <c r="D559" s="58"/>
      <c r="E559" s="17"/>
      <c r="F559" s="55"/>
      <c r="G559" s="57">
        <f>SUM(F555:F559)</f>
        <v>113078.44193236713</v>
      </c>
    </row>
    <row r="560" spans="1:7" s="2" customFormat="1" ht="15" customHeight="1">
      <c r="A560" s="1071" t="s">
        <v>15</v>
      </c>
      <c r="B560" s="944"/>
      <c r="C560" s="944"/>
      <c r="D560" s="944"/>
      <c r="E560" s="944"/>
      <c r="F560" s="944"/>
      <c r="G560" s="1072"/>
    </row>
    <row r="561" spans="1:7" s="2" customFormat="1" ht="15" customHeight="1">
      <c r="A561" s="1074" t="s">
        <v>2</v>
      </c>
      <c r="B561" s="944"/>
      <c r="C561" s="53" t="s">
        <v>3</v>
      </c>
      <c r="D561" s="53" t="s">
        <v>4</v>
      </c>
      <c r="E561" s="53" t="s">
        <v>6</v>
      </c>
      <c r="F561" s="53" t="s">
        <v>11</v>
      </c>
      <c r="G561" s="1075" t="s">
        <v>8</v>
      </c>
    </row>
    <row r="562" spans="1:7" s="2" customFormat="1" ht="15" customHeight="1">
      <c r="A562" s="943" t="s">
        <v>173</v>
      </c>
      <c r="B562" s="944"/>
      <c r="C562" s="16" t="s">
        <v>3</v>
      </c>
      <c r="D562" s="54">
        <v>3.5000000000000003E-2</v>
      </c>
      <c r="E562" s="17">
        <f>+G559</f>
        <v>113078.44193236713</v>
      </c>
      <c r="F562" s="55">
        <f>E562*D562</f>
        <v>3957.7454676328498</v>
      </c>
      <c r="G562" s="1072"/>
    </row>
    <row r="563" spans="1:7" s="2" customFormat="1" ht="15" customHeight="1">
      <c r="A563" s="59"/>
      <c r="B563" s="60"/>
      <c r="C563" s="60"/>
      <c r="D563" s="60"/>
      <c r="E563" s="60"/>
      <c r="F563" s="60"/>
      <c r="G563" s="57">
        <f>SUM(F562:F563)</f>
        <v>3957.7454676328498</v>
      </c>
    </row>
    <row r="564" spans="1:7" s="2" customFormat="1" ht="15" customHeight="1">
      <c r="A564" s="1071" t="s">
        <v>19</v>
      </c>
      <c r="B564" s="944"/>
      <c r="C564" s="944"/>
      <c r="D564" s="944"/>
      <c r="E564" s="944"/>
      <c r="F564" s="944"/>
      <c r="G564" s="1072"/>
    </row>
    <row r="565" spans="1:7" s="2" customFormat="1" ht="15" customHeight="1">
      <c r="A565" s="1074" t="s">
        <v>2</v>
      </c>
      <c r="B565" s="944"/>
      <c r="C565" s="53" t="s">
        <v>3</v>
      </c>
      <c r="D565" s="53" t="s">
        <v>4</v>
      </c>
      <c r="E565" s="53" t="s">
        <v>6</v>
      </c>
      <c r="F565" s="53" t="s">
        <v>11</v>
      </c>
      <c r="G565" s="456" t="s">
        <v>8</v>
      </c>
    </row>
    <row r="566" spans="1:7" s="2" customFormat="1" ht="15.75" customHeight="1">
      <c r="A566" s="978" t="str">
        <f>SALARIOS!$A$70</f>
        <v>CUADRILLA BB INSTALACIONES 1:2</v>
      </c>
      <c r="B566" s="979"/>
      <c r="C566" s="13" t="s">
        <v>1245</v>
      </c>
      <c r="D566" s="32">
        <v>1</v>
      </c>
      <c r="E566" s="13">
        <f>SALARIOS!$C$70</f>
        <v>37469</v>
      </c>
      <c r="F566" s="55">
        <f>+D566*E566</f>
        <v>37469</v>
      </c>
      <c r="G566" s="57">
        <f>SUM(F565:F566)</f>
        <v>37469</v>
      </c>
    </row>
    <row r="567" spans="1:7" s="2" customFormat="1" ht="15" customHeight="1">
      <c r="A567" s="1076" t="s">
        <v>25</v>
      </c>
      <c r="B567" s="944"/>
      <c r="C567" s="944"/>
      <c r="D567" s="944"/>
      <c r="E567" s="944"/>
      <c r="F567" s="944"/>
      <c r="G567" s="1072"/>
    </row>
    <row r="568" spans="1:7" s="2" customFormat="1" ht="15" customHeight="1">
      <c r="A568" s="1077"/>
      <c r="B568" s="944"/>
      <c r="C568" s="944"/>
      <c r="D568" s="944"/>
      <c r="E568" s="944"/>
      <c r="F568" s="944"/>
      <c r="G568" s="62">
        <f>G566+G563+G559+G553</f>
        <v>163608.63740000001</v>
      </c>
    </row>
    <row r="570" spans="1:7" s="2" customFormat="1" ht="15.75" customHeight="1">
      <c r="A570" s="970" t="s">
        <v>1</v>
      </c>
      <c r="B570" s="957"/>
      <c r="C570" s="953" t="s">
        <v>0</v>
      </c>
      <c r="D570" s="953"/>
      <c r="E570" s="953"/>
      <c r="F570" s="953"/>
      <c r="G570" s="1103"/>
    </row>
    <row r="571" spans="1:7" s="2" customFormat="1" ht="69.75" customHeight="1">
      <c r="A571" s="971"/>
      <c r="B571" s="957"/>
      <c r="C571" s="953"/>
      <c r="D571" s="953"/>
      <c r="E571" s="953"/>
      <c r="F571" s="953"/>
      <c r="G571" s="1103"/>
    </row>
    <row r="572" spans="1:7" s="2" customFormat="1" ht="15.75" customHeight="1">
      <c r="A572" s="971"/>
      <c r="B572" s="957"/>
      <c r="C572" s="956"/>
      <c r="D572" s="957"/>
      <c r="E572" s="957"/>
      <c r="F572" s="957"/>
      <c r="G572" s="958"/>
    </row>
    <row r="573" spans="1:7" s="2" customFormat="1" ht="15.75" customHeight="1">
      <c r="A573" s="971"/>
      <c r="B573" s="957"/>
      <c r="C573" s="959" t="s">
        <v>2</v>
      </c>
      <c r="D573" s="957"/>
      <c r="E573" s="957"/>
      <c r="F573" s="23" t="s">
        <v>3</v>
      </c>
      <c r="G573" s="24" t="s">
        <v>4</v>
      </c>
    </row>
    <row r="574" spans="1:7" s="2" customFormat="1" ht="73.5" customHeight="1">
      <c r="A574" s="1089" t="s">
        <v>1932</v>
      </c>
      <c r="B574" s="944"/>
      <c r="C574" s="980" t="s">
        <v>1933</v>
      </c>
      <c r="D574" s="944"/>
      <c r="E574" s="944"/>
      <c r="F574" s="51" t="s">
        <v>3</v>
      </c>
      <c r="G574" s="52">
        <v>12</v>
      </c>
    </row>
    <row r="575" spans="1:7" s="2" customFormat="1" ht="15.75" customHeight="1">
      <c r="A575" s="1071" t="s">
        <v>5</v>
      </c>
      <c r="B575" s="944"/>
      <c r="C575" s="944"/>
      <c r="D575" s="944"/>
      <c r="E575" s="944"/>
      <c r="F575" s="944"/>
      <c r="G575" s="1072"/>
    </row>
    <row r="576" spans="1:7" s="2" customFormat="1" ht="15.75" customHeight="1">
      <c r="A576" s="1074" t="s">
        <v>2</v>
      </c>
      <c r="B576" s="944"/>
      <c r="C576" s="53" t="s">
        <v>3</v>
      </c>
      <c r="D576" s="53" t="s">
        <v>4</v>
      </c>
      <c r="E576" s="53" t="s">
        <v>6</v>
      </c>
      <c r="F576" s="53" t="s">
        <v>7</v>
      </c>
      <c r="G576" s="1075" t="s">
        <v>8</v>
      </c>
    </row>
    <row r="577" spans="1:7" s="2" customFormat="1" ht="15.75" customHeight="1">
      <c r="A577" s="947" t="s">
        <v>167</v>
      </c>
      <c r="B577" s="980"/>
      <c r="C577" s="51" t="s">
        <v>3</v>
      </c>
      <c r="D577" s="54">
        <v>0.05</v>
      </c>
      <c r="E577" s="17">
        <f>+G594</f>
        <v>37469</v>
      </c>
      <c r="F577" s="55">
        <f>D577*E577</f>
        <v>1873.45</v>
      </c>
      <c r="G577" s="1072"/>
    </row>
    <row r="578" spans="1:7" s="2" customFormat="1" ht="15.75" customHeight="1">
      <c r="A578" s="947" t="s">
        <v>2558</v>
      </c>
      <c r="B578" s="944"/>
      <c r="C578" s="51" t="s">
        <v>3</v>
      </c>
      <c r="D578" s="54">
        <v>0.15</v>
      </c>
      <c r="E578" s="17">
        <f>'MAQUINARIA Y EQUIPOS'!F42</f>
        <v>48200</v>
      </c>
      <c r="F578" s="55">
        <f>D578*E578</f>
        <v>7230</v>
      </c>
      <c r="G578" s="1072"/>
    </row>
    <row r="579" spans="1:7" s="2" customFormat="1" ht="15.75" customHeight="1">
      <c r="A579" s="947"/>
      <c r="B579" s="980"/>
      <c r="C579" s="141"/>
      <c r="D579" s="16"/>
      <c r="E579" s="143"/>
      <c r="F579" s="55">
        <f>D579*E579</f>
        <v>0</v>
      </c>
      <c r="G579" s="1072"/>
    </row>
    <row r="580" spans="1:7" s="2" customFormat="1" ht="15.75" customHeight="1">
      <c r="A580" s="947"/>
      <c r="B580" s="944"/>
      <c r="C580" s="51"/>
      <c r="D580" s="54"/>
      <c r="E580" s="17"/>
      <c r="F580" s="55">
        <f>D580*E580</f>
        <v>0</v>
      </c>
      <c r="G580" s="1072"/>
    </row>
    <row r="581" spans="1:7" s="2" customFormat="1" ht="15.75" customHeight="1">
      <c r="A581" s="1079"/>
      <c r="B581" s="944"/>
      <c r="C581" s="56"/>
      <c r="D581" s="56"/>
      <c r="E581" s="56"/>
      <c r="F581" s="55"/>
      <c r="G581" s="57">
        <f>SUM(F576:F581)</f>
        <v>9103.4500000000007</v>
      </c>
    </row>
    <row r="582" spans="1:7" s="2" customFormat="1" ht="15" customHeight="1">
      <c r="A582" s="1071" t="s">
        <v>10</v>
      </c>
      <c r="B582" s="944"/>
      <c r="C582" s="944"/>
      <c r="D582" s="944"/>
      <c r="E582" s="944"/>
      <c r="F582" s="944"/>
      <c r="G582" s="1072"/>
    </row>
    <row r="583" spans="1:7" s="2" customFormat="1" ht="15" customHeight="1">
      <c r="A583" s="1074" t="s">
        <v>2</v>
      </c>
      <c r="B583" s="944"/>
      <c r="C583" s="53" t="s">
        <v>3</v>
      </c>
      <c r="D583" s="53" t="s">
        <v>4</v>
      </c>
      <c r="E583" s="53" t="s">
        <v>6</v>
      </c>
      <c r="F583" s="53" t="s">
        <v>11</v>
      </c>
      <c r="G583" s="1075" t="s">
        <v>8</v>
      </c>
    </row>
    <row r="584" spans="1:7" s="2" customFormat="1" ht="15" customHeight="1">
      <c r="A584" s="947" t="s">
        <v>2520</v>
      </c>
      <c r="B584" s="944"/>
      <c r="C584" s="16" t="s">
        <v>998</v>
      </c>
      <c r="D584" s="54">
        <v>1</v>
      </c>
      <c r="E584" s="17">
        <f>'INSUMOS '!E376</f>
        <v>102030.949275362</v>
      </c>
      <c r="F584" s="55">
        <f>D584*E584</f>
        <v>102030.949275362</v>
      </c>
      <c r="G584" s="1072"/>
    </row>
    <row r="585" spans="1:7" s="2" customFormat="1" ht="15" customHeight="1">
      <c r="A585" s="947" t="s">
        <v>2512</v>
      </c>
      <c r="B585" s="944"/>
      <c r="C585" s="51" t="s">
        <v>998</v>
      </c>
      <c r="D585" s="54">
        <v>0.1</v>
      </c>
      <c r="E585" s="17">
        <f>'INSUMOS '!E367</f>
        <v>76641</v>
      </c>
      <c r="F585" s="55">
        <f>D585*E585</f>
        <v>7664.1</v>
      </c>
      <c r="G585" s="1072"/>
    </row>
    <row r="586" spans="1:7" s="2" customFormat="1" ht="15" customHeight="1">
      <c r="A586" s="947"/>
      <c r="B586" s="944"/>
      <c r="C586" s="16"/>
      <c r="D586" s="54"/>
      <c r="E586" s="17"/>
      <c r="F586" s="55">
        <f>D586*E586</f>
        <v>0</v>
      </c>
      <c r="G586" s="1072"/>
    </row>
    <row r="587" spans="1:7" s="2" customFormat="1" ht="15" customHeight="1">
      <c r="A587" s="947"/>
      <c r="B587" s="944"/>
      <c r="C587" s="16"/>
      <c r="D587" s="58"/>
      <c r="E587" s="17"/>
      <c r="F587" s="55"/>
      <c r="G587" s="57">
        <f>SUM(F583:F587)</f>
        <v>109695.04927536201</v>
      </c>
    </row>
    <row r="588" spans="1:7" s="2" customFormat="1" ht="15" customHeight="1">
      <c r="A588" s="1071" t="s">
        <v>15</v>
      </c>
      <c r="B588" s="944"/>
      <c r="C588" s="944"/>
      <c r="D588" s="944"/>
      <c r="E588" s="944"/>
      <c r="F588" s="944"/>
      <c r="G588" s="1072"/>
    </row>
    <row r="589" spans="1:7" s="2" customFormat="1" ht="15" customHeight="1">
      <c r="A589" s="1074" t="s">
        <v>2</v>
      </c>
      <c r="B589" s="944"/>
      <c r="C589" s="53" t="s">
        <v>3</v>
      </c>
      <c r="D589" s="53" t="s">
        <v>4</v>
      </c>
      <c r="E589" s="53" t="s">
        <v>6</v>
      </c>
      <c r="F589" s="53" t="s">
        <v>11</v>
      </c>
      <c r="G589" s="1075" t="s">
        <v>8</v>
      </c>
    </row>
    <row r="590" spans="1:7" s="2" customFormat="1" ht="15" customHeight="1">
      <c r="A590" s="943" t="s">
        <v>173</v>
      </c>
      <c r="B590" s="944"/>
      <c r="C590" s="16" t="s">
        <v>3</v>
      </c>
      <c r="D590" s="54">
        <v>3.5000000000000003E-2</v>
      </c>
      <c r="E590" s="17">
        <f>+G587</f>
        <v>109695.04927536201</v>
      </c>
      <c r="F590" s="55">
        <f>E590*D590</f>
        <v>3839.3267246376704</v>
      </c>
      <c r="G590" s="1072"/>
    </row>
    <row r="591" spans="1:7" s="2" customFormat="1" ht="15" customHeight="1">
      <c r="A591" s="59"/>
      <c r="B591" s="60"/>
      <c r="C591" s="60"/>
      <c r="D591" s="60"/>
      <c r="E591" s="60"/>
      <c r="F591" s="60"/>
      <c r="G591" s="57">
        <f>SUM(F590:F591)</f>
        <v>3839.3267246376704</v>
      </c>
    </row>
    <row r="592" spans="1:7" s="2" customFormat="1" ht="15" customHeight="1">
      <c r="A592" s="1071" t="s">
        <v>19</v>
      </c>
      <c r="B592" s="944"/>
      <c r="C592" s="944"/>
      <c r="D592" s="944"/>
      <c r="E592" s="944"/>
      <c r="F592" s="944"/>
      <c r="G592" s="1072"/>
    </row>
    <row r="593" spans="1:7" s="2" customFormat="1" ht="15" customHeight="1">
      <c r="A593" s="1074" t="s">
        <v>2</v>
      </c>
      <c r="B593" s="944"/>
      <c r="C593" s="53" t="s">
        <v>3</v>
      </c>
      <c r="D593" s="53" t="s">
        <v>4</v>
      </c>
      <c r="E593" s="53" t="s">
        <v>6</v>
      </c>
      <c r="F593" s="53" t="s">
        <v>11</v>
      </c>
      <c r="G593" s="456" t="s">
        <v>8</v>
      </c>
    </row>
    <row r="594" spans="1:7" s="2" customFormat="1" ht="15.75" customHeight="1">
      <c r="A594" s="978" t="str">
        <f>SALARIOS!$A$70</f>
        <v>CUADRILLA BB INSTALACIONES 1:2</v>
      </c>
      <c r="B594" s="979"/>
      <c r="C594" s="13" t="s">
        <v>1245</v>
      </c>
      <c r="D594" s="32">
        <v>1</v>
      </c>
      <c r="E594" s="13">
        <f>SALARIOS!$C$70</f>
        <v>37469</v>
      </c>
      <c r="F594" s="55">
        <f>+D594*E594</f>
        <v>37469</v>
      </c>
      <c r="G594" s="57">
        <f>SUM(F593:F594)</f>
        <v>37469</v>
      </c>
    </row>
    <row r="595" spans="1:7" s="2" customFormat="1" ht="15" customHeight="1">
      <c r="A595" s="1076" t="s">
        <v>25</v>
      </c>
      <c r="B595" s="944"/>
      <c r="C595" s="944"/>
      <c r="D595" s="944"/>
      <c r="E595" s="944"/>
      <c r="F595" s="944"/>
      <c r="G595" s="1072"/>
    </row>
    <row r="596" spans="1:7" s="2" customFormat="1" ht="15" customHeight="1">
      <c r="A596" s="1077"/>
      <c r="B596" s="944"/>
      <c r="C596" s="944"/>
      <c r="D596" s="944"/>
      <c r="E596" s="944"/>
      <c r="F596" s="944"/>
      <c r="G596" s="62">
        <f>G594+G591+G587+G581</f>
        <v>160106.82599999968</v>
      </c>
    </row>
    <row r="598" spans="1:7" s="2" customFormat="1" ht="15.75" customHeight="1">
      <c r="A598" s="970" t="s">
        <v>1</v>
      </c>
      <c r="B598" s="957"/>
      <c r="C598" s="953" t="s">
        <v>0</v>
      </c>
      <c r="D598" s="953"/>
      <c r="E598" s="953"/>
      <c r="F598" s="953"/>
      <c r="G598" s="1103"/>
    </row>
    <row r="599" spans="1:7" s="2" customFormat="1" ht="69.75" customHeight="1">
      <c r="A599" s="971"/>
      <c r="B599" s="957"/>
      <c r="C599" s="953"/>
      <c r="D599" s="953"/>
      <c r="E599" s="953"/>
      <c r="F599" s="953"/>
      <c r="G599" s="1103"/>
    </row>
    <row r="600" spans="1:7" s="2" customFormat="1" ht="15.75" customHeight="1">
      <c r="A600" s="971"/>
      <c r="B600" s="957"/>
      <c r="C600" s="956"/>
      <c r="D600" s="957"/>
      <c r="E600" s="957"/>
      <c r="F600" s="957"/>
      <c r="G600" s="958"/>
    </row>
    <row r="601" spans="1:7" s="2" customFormat="1" ht="15.75" customHeight="1">
      <c r="A601" s="971"/>
      <c r="B601" s="957"/>
      <c r="C601" s="959" t="s">
        <v>2</v>
      </c>
      <c r="D601" s="957"/>
      <c r="E601" s="957"/>
      <c r="F601" s="23" t="s">
        <v>3</v>
      </c>
      <c r="G601" s="24" t="s">
        <v>4</v>
      </c>
    </row>
    <row r="602" spans="1:7" s="2" customFormat="1" ht="73.5" customHeight="1">
      <c r="A602" s="1089" t="s">
        <v>1934</v>
      </c>
      <c r="B602" s="944"/>
      <c r="C602" s="980" t="s">
        <v>1935</v>
      </c>
      <c r="D602" s="944"/>
      <c r="E602" s="944"/>
      <c r="F602" s="51" t="s">
        <v>3</v>
      </c>
      <c r="G602" s="52">
        <v>10</v>
      </c>
    </row>
    <row r="603" spans="1:7" s="2" customFormat="1" ht="15.75" customHeight="1">
      <c r="A603" s="1071" t="s">
        <v>5</v>
      </c>
      <c r="B603" s="944"/>
      <c r="C603" s="944"/>
      <c r="D603" s="944"/>
      <c r="E603" s="944"/>
      <c r="F603" s="944"/>
      <c r="G603" s="1072"/>
    </row>
    <row r="604" spans="1:7" s="2" customFormat="1" ht="15.75" customHeight="1">
      <c r="A604" s="1074" t="s">
        <v>2</v>
      </c>
      <c r="B604" s="944"/>
      <c r="C604" s="53" t="s">
        <v>3</v>
      </c>
      <c r="D604" s="53" t="s">
        <v>4</v>
      </c>
      <c r="E604" s="53" t="s">
        <v>6</v>
      </c>
      <c r="F604" s="53" t="s">
        <v>7</v>
      </c>
      <c r="G604" s="1075" t="s">
        <v>8</v>
      </c>
    </row>
    <row r="605" spans="1:7" s="2" customFormat="1" ht="15.75" customHeight="1">
      <c r="A605" s="947" t="s">
        <v>167</v>
      </c>
      <c r="B605" s="980"/>
      <c r="C605" s="51" t="s">
        <v>3</v>
      </c>
      <c r="D605" s="54">
        <v>0.05</v>
      </c>
      <c r="E605" s="17">
        <f>+G622</f>
        <v>37469</v>
      </c>
      <c r="F605" s="55">
        <f>D605*E605</f>
        <v>1873.45</v>
      </c>
      <c r="G605" s="1072"/>
    </row>
    <row r="606" spans="1:7" s="2" customFormat="1" ht="15.75" customHeight="1">
      <c r="A606" s="947" t="str">
        <f>'MAQUINARIA Y EQUIPOS'!$D$42</f>
        <v>RANURADORA</v>
      </c>
      <c r="B606" s="944"/>
      <c r="C606" s="51" t="s">
        <v>3</v>
      </c>
      <c r="D606" s="54">
        <v>0.15</v>
      </c>
      <c r="E606" s="17">
        <f>'MAQUINARIA Y EQUIPOS'!$F$42</f>
        <v>48200</v>
      </c>
      <c r="F606" s="55">
        <f>D606*E606</f>
        <v>7230</v>
      </c>
      <c r="G606" s="1072"/>
    </row>
    <row r="607" spans="1:7" s="2" customFormat="1" ht="15.75" customHeight="1">
      <c r="A607" s="947"/>
      <c r="B607" s="980"/>
      <c r="C607" s="141"/>
      <c r="D607" s="16"/>
      <c r="E607" s="143"/>
      <c r="F607" s="55">
        <f>D607*E607</f>
        <v>0</v>
      </c>
      <c r="G607" s="1072"/>
    </row>
    <row r="608" spans="1:7" s="2" customFormat="1" ht="15.75" customHeight="1">
      <c r="A608" s="947"/>
      <c r="B608" s="944"/>
      <c r="C608" s="51"/>
      <c r="D608" s="54"/>
      <c r="E608" s="17"/>
      <c r="F608" s="55">
        <f>D608*E608</f>
        <v>0</v>
      </c>
      <c r="G608" s="1072"/>
    </row>
    <row r="609" spans="1:7" s="2" customFormat="1" ht="15.75" customHeight="1">
      <c r="A609" s="1079"/>
      <c r="B609" s="944"/>
      <c r="C609" s="56"/>
      <c r="D609" s="56"/>
      <c r="E609" s="56"/>
      <c r="F609" s="55"/>
      <c r="G609" s="57">
        <f>SUM(F604:F609)</f>
        <v>9103.4500000000007</v>
      </c>
    </row>
    <row r="610" spans="1:7" s="2" customFormat="1" ht="15" customHeight="1">
      <c r="A610" s="1071" t="s">
        <v>10</v>
      </c>
      <c r="B610" s="944"/>
      <c r="C610" s="944"/>
      <c r="D610" s="944"/>
      <c r="E610" s="944"/>
      <c r="F610" s="944"/>
      <c r="G610" s="1072"/>
    </row>
    <row r="611" spans="1:7" s="2" customFormat="1" ht="15" customHeight="1">
      <c r="A611" s="1074" t="s">
        <v>2</v>
      </c>
      <c r="B611" s="944"/>
      <c r="C611" s="53" t="s">
        <v>3</v>
      </c>
      <c r="D611" s="53" t="s">
        <v>4</v>
      </c>
      <c r="E611" s="53" t="s">
        <v>6</v>
      </c>
      <c r="F611" s="53" t="s">
        <v>11</v>
      </c>
      <c r="G611" s="1075" t="s">
        <v>8</v>
      </c>
    </row>
    <row r="612" spans="1:7" s="2" customFormat="1" ht="15" customHeight="1">
      <c r="A612" s="947" t="str">
        <f>'INSUMOS '!$B$377</f>
        <v>CODO 90° 1" EN ACERO</v>
      </c>
      <c r="B612" s="944"/>
      <c r="C612" s="16" t="s">
        <v>998</v>
      </c>
      <c r="D612" s="54">
        <v>1</v>
      </c>
      <c r="E612" s="17">
        <f>'INSUMOS '!$E$377</f>
        <v>99128.291111111103</v>
      </c>
      <c r="F612" s="55">
        <f>D612*E612</f>
        <v>99128.291111111103</v>
      </c>
      <c r="G612" s="1072"/>
    </row>
    <row r="613" spans="1:7" s="2" customFormat="1" ht="15" customHeight="1">
      <c r="A613" s="947" t="str">
        <f>'INSUMOS '!$B$369</f>
        <v>ACCESORIOS TUB RCI</v>
      </c>
      <c r="B613" s="944"/>
      <c r="C613" s="51" t="s">
        <v>998</v>
      </c>
      <c r="D613" s="54">
        <v>0.02</v>
      </c>
      <c r="E613" s="17">
        <f>'INSUMOS '!$E$369</f>
        <v>76641</v>
      </c>
      <c r="F613" s="55">
        <f>D613*E613</f>
        <v>1532.82</v>
      </c>
      <c r="G613" s="1072"/>
    </row>
    <row r="614" spans="1:7" s="2" customFormat="1" ht="15" customHeight="1">
      <c r="A614" s="947"/>
      <c r="B614" s="944"/>
      <c r="C614" s="16"/>
      <c r="D614" s="54"/>
      <c r="E614" s="17"/>
      <c r="F614" s="55">
        <f>D614*E614</f>
        <v>0</v>
      </c>
      <c r="G614" s="1072"/>
    </row>
    <row r="615" spans="1:7" s="2" customFormat="1" ht="15" customHeight="1">
      <c r="A615" s="947"/>
      <c r="B615" s="944"/>
      <c r="C615" s="16"/>
      <c r="D615" s="58"/>
      <c r="E615" s="17"/>
      <c r="F615" s="55"/>
      <c r="G615" s="57">
        <f>SUM(F611:F615)</f>
        <v>100661.11111111111</v>
      </c>
    </row>
    <row r="616" spans="1:7" s="2" customFormat="1" ht="15" customHeight="1">
      <c r="A616" s="1071" t="s">
        <v>15</v>
      </c>
      <c r="B616" s="944"/>
      <c r="C616" s="944"/>
      <c r="D616" s="944"/>
      <c r="E616" s="944"/>
      <c r="F616" s="944"/>
      <c r="G616" s="1072"/>
    </row>
    <row r="617" spans="1:7" s="2" customFormat="1" ht="15" customHeight="1">
      <c r="A617" s="1074" t="s">
        <v>2</v>
      </c>
      <c r="B617" s="944"/>
      <c r="C617" s="53" t="s">
        <v>3</v>
      </c>
      <c r="D617" s="53" t="s">
        <v>4</v>
      </c>
      <c r="E617" s="53" t="s">
        <v>6</v>
      </c>
      <c r="F617" s="53" t="s">
        <v>11</v>
      </c>
      <c r="G617" s="1075" t="s">
        <v>8</v>
      </c>
    </row>
    <row r="618" spans="1:7" s="2" customFormat="1" ht="15" customHeight="1">
      <c r="A618" s="943" t="s">
        <v>173</v>
      </c>
      <c r="B618" s="944"/>
      <c r="C618" s="16" t="s">
        <v>3</v>
      </c>
      <c r="D618" s="54">
        <v>3.5000000000000003E-2</v>
      </c>
      <c r="E618" s="17">
        <f>+G615</f>
        <v>100661.11111111111</v>
      </c>
      <c r="F618" s="55">
        <f>E618*D618</f>
        <v>3523.1388888888891</v>
      </c>
      <c r="G618" s="1072"/>
    </row>
    <row r="619" spans="1:7" s="2" customFormat="1" ht="15" customHeight="1">
      <c r="A619" s="59"/>
      <c r="B619" s="60"/>
      <c r="C619" s="60"/>
      <c r="D619" s="60"/>
      <c r="E619" s="60"/>
      <c r="F619" s="60"/>
      <c r="G619" s="57">
        <f>SUM(F618:F619)</f>
        <v>3523.1388888888891</v>
      </c>
    </row>
    <row r="620" spans="1:7" s="2" customFormat="1" ht="15" customHeight="1">
      <c r="A620" s="1071" t="s">
        <v>19</v>
      </c>
      <c r="B620" s="944"/>
      <c r="C620" s="944"/>
      <c r="D620" s="944"/>
      <c r="E620" s="944"/>
      <c r="F620" s="944"/>
      <c r="G620" s="1072"/>
    </row>
    <row r="621" spans="1:7" s="2" customFormat="1" ht="15" customHeight="1">
      <c r="A621" s="1074" t="s">
        <v>2</v>
      </c>
      <c r="B621" s="944"/>
      <c r="C621" s="53" t="s">
        <v>3</v>
      </c>
      <c r="D621" s="53" t="s">
        <v>4</v>
      </c>
      <c r="E621" s="53" t="s">
        <v>6</v>
      </c>
      <c r="F621" s="53" t="s">
        <v>11</v>
      </c>
      <c r="G621" s="456" t="s">
        <v>8</v>
      </c>
    </row>
    <row r="622" spans="1:7" s="2" customFormat="1" ht="15.75" customHeight="1">
      <c r="A622" s="978" t="str">
        <f>SALARIOS!$A$70</f>
        <v>CUADRILLA BB INSTALACIONES 1:2</v>
      </c>
      <c r="B622" s="979"/>
      <c r="C622" s="13" t="s">
        <v>1245</v>
      </c>
      <c r="D622" s="32">
        <v>1</v>
      </c>
      <c r="E622" s="13">
        <f>SALARIOS!$C$70</f>
        <v>37469</v>
      </c>
      <c r="F622" s="55">
        <f>+D622*E622</f>
        <v>37469</v>
      </c>
      <c r="G622" s="57">
        <f>SUM(F621:F622)</f>
        <v>37469</v>
      </c>
    </row>
    <row r="623" spans="1:7" s="2" customFormat="1" ht="15" customHeight="1">
      <c r="A623" s="1076" t="s">
        <v>25</v>
      </c>
      <c r="B623" s="944"/>
      <c r="C623" s="944"/>
      <c r="D623" s="944"/>
      <c r="E623" s="944"/>
      <c r="F623" s="944"/>
      <c r="G623" s="1072"/>
    </row>
    <row r="624" spans="1:7" s="2" customFormat="1" ht="15" customHeight="1">
      <c r="A624" s="1077"/>
      <c r="B624" s="944"/>
      <c r="C624" s="944"/>
      <c r="D624" s="944"/>
      <c r="E624" s="944"/>
      <c r="F624" s="944"/>
      <c r="G624" s="62">
        <f>G622+G619+G615+G609</f>
        <v>150756.70000000001</v>
      </c>
    </row>
    <row r="626" spans="1:7" s="2" customFormat="1" ht="15.75" customHeight="1">
      <c r="A626" s="970" t="s">
        <v>1</v>
      </c>
      <c r="B626" s="957"/>
      <c r="C626" s="953" t="s">
        <v>0</v>
      </c>
      <c r="D626" s="953"/>
      <c r="E626" s="953"/>
      <c r="F626" s="953"/>
      <c r="G626" s="1103"/>
    </row>
    <row r="627" spans="1:7" s="2" customFormat="1" ht="69.75" customHeight="1">
      <c r="A627" s="971"/>
      <c r="B627" s="957"/>
      <c r="C627" s="953"/>
      <c r="D627" s="953"/>
      <c r="E627" s="953"/>
      <c r="F627" s="953"/>
      <c r="G627" s="1103"/>
    </row>
    <row r="628" spans="1:7" s="2" customFormat="1" ht="15.75" customHeight="1">
      <c r="A628" s="971"/>
      <c r="B628" s="957"/>
      <c r="C628" s="956"/>
      <c r="D628" s="957"/>
      <c r="E628" s="957"/>
      <c r="F628" s="957"/>
      <c r="G628" s="958"/>
    </row>
    <row r="629" spans="1:7" s="2" customFormat="1" ht="15.75" customHeight="1">
      <c r="A629" s="971"/>
      <c r="B629" s="957"/>
      <c r="C629" s="959" t="s">
        <v>2</v>
      </c>
      <c r="D629" s="957"/>
      <c r="E629" s="957"/>
      <c r="F629" s="23" t="s">
        <v>3</v>
      </c>
      <c r="G629" s="24" t="s">
        <v>4</v>
      </c>
    </row>
    <row r="630" spans="1:7" s="2" customFormat="1" ht="73.5" customHeight="1">
      <c r="A630" s="1089" t="s">
        <v>1936</v>
      </c>
      <c r="B630" s="944"/>
      <c r="C630" s="980" t="s">
        <v>1937</v>
      </c>
      <c r="D630" s="944"/>
      <c r="E630" s="944"/>
      <c r="F630" s="51" t="s">
        <v>3</v>
      </c>
      <c r="G630" s="52">
        <v>5</v>
      </c>
    </row>
    <row r="631" spans="1:7" s="2" customFormat="1" ht="15.75" customHeight="1">
      <c r="A631" s="1071" t="s">
        <v>5</v>
      </c>
      <c r="B631" s="944"/>
      <c r="C631" s="944"/>
      <c r="D631" s="944"/>
      <c r="E631" s="944"/>
      <c r="F631" s="944"/>
      <c r="G631" s="1072"/>
    </row>
    <row r="632" spans="1:7" s="2" customFormat="1" ht="15.75" customHeight="1">
      <c r="A632" s="1074" t="s">
        <v>2</v>
      </c>
      <c r="B632" s="944"/>
      <c r="C632" s="53" t="s">
        <v>3</v>
      </c>
      <c r="D632" s="53" t="s">
        <v>4</v>
      </c>
      <c r="E632" s="53" t="s">
        <v>6</v>
      </c>
      <c r="F632" s="53" t="s">
        <v>7</v>
      </c>
      <c r="G632" s="1075" t="s">
        <v>8</v>
      </c>
    </row>
    <row r="633" spans="1:7" s="2" customFormat="1" ht="15.75" customHeight="1">
      <c r="A633" s="947" t="s">
        <v>167</v>
      </c>
      <c r="B633" s="980"/>
      <c r="C633" s="51" t="s">
        <v>3</v>
      </c>
      <c r="D633" s="54">
        <v>0.05</v>
      </c>
      <c r="E633" s="17">
        <f>+G650</f>
        <v>37469</v>
      </c>
      <c r="F633" s="55">
        <f>D633*E633</f>
        <v>1873.45</v>
      </c>
      <c r="G633" s="1072"/>
    </row>
    <row r="634" spans="1:7" s="2" customFormat="1" ht="15.75" customHeight="1">
      <c r="A634" s="947" t="str">
        <f>'MAQUINARIA Y EQUIPOS'!$D$42</f>
        <v>RANURADORA</v>
      </c>
      <c r="B634" s="944"/>
      <c r="C634" s="51" t="s">
        <v>3</v>
      </c>
      <c r="D634" s="54">
        <v>0.15</v>
      </c>
      <c r="E634" s="17">
        <f>'MAQUINARIA Y EQUIPOS'!$F$42</f>
        <v>48200</v>
      </c>
      <c r="F634" s="55">
        <f>D634*E634</f>
        <v>7230</v>
      </c>
      <c r="G634" s="1072"/>
    </row>
    <row r="635" spans="1:7" s="2" customFormat="1" ht="15.75" customHeight="1">
      <c r="A635" s="947"/>
      <c r="B635" s="980"/>
      <c r="C635" s="141"/>
      <c r="D635" s="16"/>
      <c r="E635" s="143"/>
      <c r="F635" s="55">
        <f>D635*E635</f>
        <v>0</v>
      </c>
      <c r="G635" s="1072"/>
    </row>
    <row r="636" spans="1:7" s="2" customFormat="1" ht="15.75" customHeight="1">
      <c r="A636" s="947"/>
      <c r="B636" s="944"/>
      <c r="C636" s="51"/>
      <c r="D636" s="54"/>
      <c r="E636" s="17"/>
      <c r="F636" s="55">
        <f>D636*E636</f>
        <v>0</v>
      </c>
      <c r="G636" s="1072"/>
    </row>
    <row r="637" spans="1:7" s="2" customFormat="1" ht="15.75" customHeight="1">
      <c r="A637" s="1079"/>
      <c r="B637" s="944"/>
      <c r="C637" s="56"/>
      <c r="D637" s="56"/>
      <c r="E637" s="56"/>
      <c r="F637" s="55"/>
      <c r="G637" s="57">
        <f>SUM(F632:F637)</f>
        <v>9103.4500000000007</v>
      </c>
    </row>
    <row r="638" spans="1:7" s="2" customFormat="1" ht="15" customHeight="1">
      <c r="A638" s="1071" t="s">
        <v>10</v>
      </c>
      <c r="B638" s="944"/>
      <c r="C638" s="944"/>
      <c r="D638" s="944"/>
      <c r="E638" s="944"/>
      <c r="F638" s="944"/>
      <c r="G638" s="1072"/>
    </row>
    <row r="639" spans="1:7" s="2" customFormat="1" ht="15" customHeight="1">
      <c r="A639" s="1074" t="s">
        <v>2</v>
      </c>
      <c r="B639" s="944"/>
      <c r="C639" s="53" t="s">
        <v>3</v>
      </c>
      <c r="D639" s="53" t="s">
        <v>4</v>
      </c>
      <c r="E639" s="53" t="s">
        <v>6</v>
      </c>
      <c r="F639" s="53" t="s">
        <v>11</v>
      </c>
      <c r="G639" s="1075" t="s">
        <v>8</v>
      </c>
    </row>
    <row r="640" spans="1:7" s="2" customFormat="1" ht="15" customHeight="1">
      <c r="A640" s="947" t="str">
        <f>'INSUMOS '!$B$378</f>
        <v>TEE MECANICA EN ACERO 4X4X4"</v>
      </c>
      <c r="B640" s="944"/>
      <c r="C640" s="16" t="s">
        <v>998</v>
      </c>
      <c r="D640" s="54">
        <v>1</v>
      </c>
      <c r="E640" s="17">
        <f>'INSUMOS '!$E$378</f>
        <v>421118.91618356999</v>
      </c>
      <c r="F640" s="55">
        <f>D640*E640</f>
        <v>421118.91618356999</v>
      </c>
      <c r="G640" s="1072"/>
    </row>
    <row r="641" spans="1:7" s="2" customFormat="1" ht="15" customHeight="1">
      <c r="A641" s="947" t="str">
        <f>'INSUMOS '!$B$367</f>
        <v>ACCESORIOS TUB RCI</v>
      </c>
      <c r="B641" s="944"/>
      <c r="C641" s="51" t="s">
        <v>998</v>
      </c>
      <c r="D641" s="54">
        <v>0.05</v>
      </c>
      <c r="E641" s="17">
        <f>'INSUMOS '!$E$367</f>
        <v>76641</v>
      </c>
      <c r="F641" s="55">
        <f>D641*E641</f>
        <v>3832.05</v>
      </c>
      <c r="G641" s="1072"/>
    </row>
    <row r="642" spans="1:7" s="2" customFormat="1" ht="15" customHeight="1">
      <c r="A642" s="947"/>
      <c r="B642" s="944"/>
      <c r="C642" s="16"/>
      <c r="D642" s="54"/>
      <c r="E642" s="17"/>
      <c r="F642" s="55">
        <f>D642*E642</f>
        <v>0</v>
      </c>
      <c r="G642" s="1072"/>
    </row>
    <row r="643" spans="1:7" s="2" customFormat="1" ht="15" customHeight="1">
      <c r="A643" s="947"/>
      <c r="B643" s="944"/>
      <c r="C643" s="16"/>
      <c r="D643" s="58"/>
      <c r="E643" s="17"/>
      <c r="F643" s="55"/>
      <c r="G643" s="57">
        <f>SUM(F639:F643)</f>
        <v>424950.96618356998</v>
      </c>
    </row>
    <row r="644" spans="1:7" s="2" customFormat="1" ht="15" customHeight="1">
      <c r="A644" s="1071" t="s">
        <v>15</v>
      </c>
      <c r="B644" s="944"/>
      <c r="C644" s="944"/>
      <c r="D644" s="944"/>
      <c r="E644" s="944"/>
      <c r="F644" s="944"/>
      <c r="G644" s="1072"/>
    </row>
    <row r="645" spans="1:7" s="2" customFormat="1" ht="15" customHeight="1">
      <c r="A645" s="1074" t="s">
        <v>2</v>
      </c>
      <c r="B645" s="944"/>
      <c r="C645" s="53" t="s">
        <v>3</v>
      </c>
      <c r="D645" s="53" t="s">
        <v>4</v>
      </c>
      <c r="E645" s="53" t="s">
        <v>6</v>
      </c>
      <c r="F645" s="53" t="s">
        <v>11</v>
      </c>
      <c r="G645" s="1075" t="s">
        <v>8</v>
      </c>
    </row>
    <row r="646" spans="1:7" s="2" customFormat="1" ht="15" customHeight="1">
      <c r="A646" s="943" t="s">
        <v>173</v>
      </c>
      <c r="B646" s="944"/>
      <c r="C646" s="16" t="s">
        <v>3</v>
      </c>
      <c r="D646" s="54">
        <v>3.5000000000000003E-2</v>
      </c>
      <c r="E646" s="17">
        <f>+G643</f>
        <v>424950.96618356998</v>
      </c>
      <c r="F646" s="55">
        <f>E646*D646</f>
        <v>14873.283816424952</v>
      </c>
      <c r="G646" s="1072"/>
    </row>
    <row r="647" spans="1:7" s="2" customFormat="1" ht="15" customHeight="1">
      <c r="A647" s="59"/>
      <c r="B647" s="60"/>
      <c r="C647" s="60"/>
      <c r="D647" s="60"/>
      <c r="E647" s="60"/>
      <c r="F647" s="60"/>
      <c r="G647" s="57">
        <f>SUM(F646:F647)</f>
        <v>14873.283816424952</v>
      </c>
    </row>
    <row r="648" spans="1:7" s="2" customFormat="1" ht="15" customHeight="1">
      <c r="A648" s="1071" t="s">
        <v>19</v>
      </c>
      <c r="B648" s="944"/>
      <c r="C648" s="944"/>
      <c r="D648" s="944"/>
      <c r="E648" s="944"/>
      <c r="F648" s="944"/>
      <c r="G648" s="1072"/>
    </row>
    <row r="649" spans="1:7" s="2" customFormat="1" ht="15" customHeight="1">
      <c r="A649" s="1074" t="s">
        <v>2</v>
      </c>
      <c r="B649" s="944"/>
      <c r="C649" s="53" t="s">
        <v>3</v>
      </c>
      <c r="D649" s="53" t="s">
        <v>4</v>
      </c>
      <c r="E649" s="53" t="s">
        <v>6</v>
      </c>
      <c r="F649" s="53" t="s">
        <v>11</v>
      </c>
      <c r="G649" s="456" t="s">
        <v>8</v>
      </c>
    </row>
    <row r="650" spans="1:7" s="2" customFormat="1" ht="15.75" customHeight="1">
      <c r="A650" s="978" t="str">
        <f>SALARIOS!$A$70</f>
        <v>CUADRILLA BB INSTALACIONES 1:2</v>
      </c>
      <c r="B650" s="979"/>
      <c r="C650" s="13" t="s">
        <v>1245</v>
      </c>
      <c r="D650" s="32">
        <v>1</v>
      </c>
      <c r="E650" s="13">
        <f>SALARIOS!$C$70</f>
        <v>37469</v>
      </c>
      <c r="F650" s="55">
        <f>+D650*E650</f>
        <v>37469</v>
      </c>
      <c r="G650" s="57">
        <f>SUM(F649:F650)</f>
        <v>37469</v>
      </c>
    </row>
    <row r="651" spans="1:7" s="2" customFormat="1" ht="15" customHeight="1">
      <c r="A651" s="1076" t="s">
        <v>25</v>
      </c>
      <c r="B651" s="944"/>
      <c r="C651" s="944"/>
      <c r="D651" s="944"/>
      <c r="E651" s="944"/>
      <c r="F651" s="944"/>
      <c r="G651" s="1072"/>
    </row>
    <row r="652" spans="1:7" s="2" customFormat="1" ht="15" customHeight="1">
      <c r="A652" s="1077"/>
      <c r="B652" s="944"/>
      <c r="C652" s="944"/>
      <c r="D652" s="944"/>
      <c r="E652" s="944"/>
      <c r="F652" s="944"/>
      <c r="G652" s="62">
        <f>G650+G647+G643+G637</f>
        <v>486396.69999999495</v>
      </c>
    </row>
    <row r="654" spans="1:7" s="2" customFormat="1" ht="15.75" customHeight="1">
      <c r="A654" s="970" t="s">
        <v>1</v>
      </c>
      <c r="B654" s="957"/>
      <c r="C654" s="953" t="s">
        <v>0</v>
      </c>
      <c r="D654" s="953"/>
      <c r="E654" s="953"/>
      <c r="F654" s="953"/>
      <c r="G654" s="1103"/>
    </row>
    <row r="655" spans="1:7" s="2" customFormat="1" ht="69.75" customHeight="1">
      <c r="A655" s="971"/>
      <c r="B655" s="957"/>
      <c r="C655" s="953"/>
      <c r="D655" s="953"/>
      <c r="E655" s="953"/>
      <c r="F655" s="953"/>
      <c r="G655" s="1103"/>
    </row>
    <row r="656" spans="1:7" s="2" customFormat="1" ht="15.75" customHeight="1">
      <c r="A656" s="971"/>
      <c r="B656" s="957"/>
      <c r="C656" s="956"/>
      <c r="D656" s="957"/>
      <c r="E656" s="957"/>
      <c r="F656" s="957"/>
      <c r="G656" s="958"/>
    </row>
    <row r="657" spans="1:7" s="2" customFormat="1" ht="15.75" customHeight="1">
      <c r="A657" s="971"/>
      <c r="B657" s="957"/>
      <c r="C657" s="959" t="s">
        <v>2</v>
      </c>
      <c r="D657" s="957"/>
      <c r="E657" s="957"/>
      <c r="F657" s="23" t="s">
        <v>3</v>
      </c>
      <c r="G657" s="24" t="s">
        <v>4</v>
      </c>
    </row>
    <row r="658" spans="1:7" s="2" customFormat="1" ht="73.5" customHeight="1">
      <c r="A658" s="1089" t="s">
        <v>1938</v>
      </c>
      <c r="B658" s="944"/>
      <c r="C658" s="980" t="s">
        <v>1939</v>
      </c>
      <c r="D658" s="944"/>
      <c r="E658" s="944"/>
      <c r="F658" s="51" t="s">
        <v>3</v>
      </c>
      <c r="G658" s="52">
        <v>6</v>
      </c>
    </row>
    <row r="659" spans="1:7" s="2" customFormat="1" ht="15.75" customHeight="1">
      <c r="A659" s="1071" t="s">
        <v>5</v>
      </c>
      <c r="B659" s="944"/>
      <c r="C659" s="944"/>
      <c r="D659" s="944"/>
      <c r="E659" s="944"/>
      <c r="F659" s="944"/>
      <c r="G659" s="1072"/>
    </row>
    <row r="660" spans="1:7" s="2" customFormat="1" ht="15.75" customHeight="1">
      <c r="A660" s="1074" t="s">
        <v>2</v>
      </c>
      <c r="B660" s="944"/>
      <c r="C660" s="53" t="s">
        <v>3</v>
      </c>
      <c r="D660" s="53" t="s">
        <v>4</v>
      </c>
      <c r="E660" s="53" t="s">
        <v>6</v>
      </c>
      <c r="F660" s="53" t="s">
        <v>7</v>
      </c>
      <c r="G660" s="1075" t="s">
        <v>8</v>
      </c>
    </row>
    <row r="661" spans="1:7" s="2" customFormat="1" ht="15.75" customHeight="1">
      <c r="A661" s="947" t="s">
        <v>167</v>
      </c>
      <c r="B661" s="980"/>
      <c r="C661" s="51" t="s">
        <v>3</v>
      </c>
      <c r="D661" s="54">
        <v>0.05</v>
      </c>
      <c r="E661" s="17">
        <f>+G678</f>
        <v>37469</v>
      </c>
      <c r="F661" s="55">
        <f>D661*E661</f>
        <v>1873.45</v>
      </c>
      <c r="G661" s="1072"/>
    </row>
    <row r="662" spans="1:7" s="2" customFormat="1" ht="15.75" customHeight="1">
      <c r="A662" s="947" t="str">
        <f>'MAQUINARIA Y EQUIPOS'!$D$42</f>
        <v>RANURADORA</v>
      </c>
      <c r="B662" s="944"/>
      <c r="C662" s="51" t="s">
        <v>3</v>
      </c>
      <c r="D662" s="54">
        <v>0.15</v>
      </c>
      <c r="E662" s="17">
        <f>'MAQUINARIA Y EQUIPOS'!$F$42</f>
        <v>48200</v>
      </c>
      <c r="F662" s="55">
        <f>D662*E662</f>
        <v>7230</v>
      </c>
      <c r="G662" s="1072"/>
    </row>
    <row r="663" spans="1:7" s="2" customFormat="1" ht="15.75" customHeight="1">
      <c r="A663" s="947"/>
      <c r="B663" s="980"/>
      <c r="C663" s="141"/>
      <c r="D663" s="16"/>
      <c r="E663" s="143"/>
      <c r="F663" s="55">
        <f>D663*E663</f>
        <v>0</v>
      </c>
      <c r="G663" s="1072"/>
    </row>
    <row r="664" spans="1:7" s="2" customFormat="1" ht="15.75" customHeight="1">
      <c r="A664" s="947"/>
      <c r="B664" s="944"/>
      <c r="C664" s="51"/>
      <c r="D664" s="54"/>
      <c r="E664" s="17"/>
      <c r="F664" s="55">
        <f>D664*E664</f>
        <v>0</v>
      </c>
      <c r="G664" s="1072"/>
    </row>
    <row r="665" spans="1:7" s="2" customFormat="1" ht="15.75" customHeight="1">
      <c r="A665" s="1079"/>
      <c r="B665" s="944"/>
      <c r="C665" s="56"/>
      <c r="D665" s="56"/>
      <c r="E665" s="56"/>
      <c r="F665" s="55"/>
      <c r="G665" s="57">
        <f>SUM(F660:F665)</f>
        <v>9103.4500000000007</v>
      </c>
    </row>
    <row r="666" spans="1:7" s="2" customFormat="1" ht="15" customHeight="1">
      <c r="A666" s="1071" t="s">
        <v>10</v>
      </c>
      <c r="B666" s="944"/>
      <c r="C666" s="944"/>
      <c r="D666" s="944"/>
      <c r="E666" s="944"/>
      <c r="F666" s="944"/>
      <c r="G666" s="1072"/>
    </row>
    <row r="667" spans="1:7" s="2" customFormat="1" ht="15" customHeight="1">
      <c r="A667" s="1074" t="s">
        <v>2</v>
      </c>
      <c r="B667" s="944"/>
      <c r="C667" s="53" t="s">
        <v>3</v>
      </c>
      <c r="D667" s="53" t="s">
        <v>4</v>
      </c>
      <c r="E667" s="53" t="s">
        <v>6</v>
      </c>
      <c r="F667" s="53" t="s">
        <v>11</v>
      </c>
      <c r="G667" s="1075" t="s">
        <v>8</v>
      </c>
    </row>
    <row r="668" spans="1:7" s="2" customFormat="1" ht="15" customHeight="1">
      <c r="A668" s="947" t="str">
        <f>'INSUMOS '!$B$379</f>
        <v>TEE MECANICA EN ACERO 4X21/2"</v>
      </c>
      <c r="B668" s="944"/>
      <c r="C668" s="16" t="s">
        <v>998</v>
      </c>
      <c r="D668" s="54">
        <v>1</v>
      </c>
      <c r="E668" s="17">
        <f>'INSUMOS '!$E$379</f>
        <v>480237.457149758</v>
      </c>
      <c r="F668" s="55">
        <f>D668*E668</f>
        <v>480237.457149758</v>
      </c>
      <c r="G668" s="1072"/>
    </row>
    <row r="669" spans="1:7" s="2" customFormat="1" ht="15" customHeight="1">
      <c r="A669" s="947" t="str">
        <f>'INSUMOS '!$B$369</f>
        <v>ACCESORIOS TUB RCI</v>
      </c>
      <c r="B669" s="944"/>
      <c r="C669" s="51" t="s">
        <v>998</v>
      </c>
      <c r="D669" s="54">
        <v>0.01</v>
      </c>
      <c r="E669" s="17">
        <f>'INSUMOS '!$E$369</f>
        <v>76641</v>
      </c>
      <c r="F669" s="55">
        <f>D669*E669</f>
        <v>766.41</v>
      </c>
      <c r="G669" s="1072"/>
    </row>
    <row r="670" spans="1:7" s="2" customFormat="1" ht="15" customHeight="1">
      <c r="A670" s="947" t="str">
        <f>'INSUMOS '!$B$371</f>
        <v>ABRAZADERA TIPO PERA</v>
      </c>
      <c r="B670" s="944"/>
      <c r="C670" s="16" t="s">
        <v>998</v>
      </c>
      <c r="D670" s="54">
        <v>0.5</v>
      </c>
      <c r="E670" s="17">
        <f>'INSUMOS '!$E$371</f>
        <v>957</v>
      </c>
      <c r="F670" s="55">
        <f>D670*E670</f>
        <v>478.5</v>
      </c>
      <c r="G670" s="1072"/>
    </row>
    <row r="671" spans="1:7" s="2" customFormat="1" ht="15" customHeight="1">
      <c r="A671" s="947"/>
      <c r="B671" s="944"/>
      <c r="C671" s="16"/>
      <c r="D671" s="58"/>
      <c r="E671" s="17"/>
      <c r="F671" s="55"/>
      <c r="G671" s="57">
        <f>SUM(F667:F671)</f>
        <v>481482.36714975798</v>
      </c>
    </row>
    <row r="672" spans="1:7" s="2" customFormat="1" ht="15" customHeight="1">
      <c r="A672" s="1071" t="s">
        <v>15</v>
      </c>
      <c r="B672" s="944"/>
      <c r="C672" s="944"/>
      <c r="D672" s="944"/>
      <c r="E672" s="944"/>
      <c r="F672" s="944"/>
      <c r="G672" s="1072"/>
    </row>
    <row r="673" spans="1:7" s="2" customFormat="1" ht="15" customHeight="1">
      <c r="A673" s="1074" t="s">
        <v>2</v>
      </c>
      <c r="B673" s="944"/>
      <c r="C673" s="53" t="s">
        <v>3</v>
      </c>
      <c r="D673" s="53" t="s">
        <v>4</v>
      </c>
      <c r="E673" s="53" t="s">
        <v>6</v>
      </c>
      <c r="F673" s="53" t="s">
        <v>11</v>
      </c>
      <c r="G673" s="1075" t="s">
        <v>8</v>
      </c>
    </row>
    <row r="674" spans="1:7" s="2" customFormat="1" ht="15" customHeight="1">
      <c r="A674" s="943" t="s">
        <v>173</v>
      </c>
      <c r="B674" s="944"/>
      <c r="C674" s="16" t="s">
        <v>3</v>
      </c>
      <c r="D674" s="54">
        <v>3.5000000000000003E-2</v>
      </c>
      <c r="E674" s="17">
        <f>+G671</f>
        <v>481482.36714975798</v>
      </c>
      <c r="F674" s="55">
        <f>E674*D674</f>
        <v>16851.882850241531</v>
      </c>
      <c r="G674" s="1072"/>
    </row>
    <row r="675" spans="1:7" s="2" customFormat="1" ht="15" customHeight="1">
      <c r="A675" s="59"/>
      <c r="B675" s="60"/>
      <c r="C675" s="60"/>
      <c r="D675" s="60"/>
      <c r="E675" s="60"/>
      <c r="F675" s="60"/>
      <c r="G675" s="57">
        <f>SUM(F674:F675)</f>
        <v>16851.882850241531</v>
      </c>
    </row>
    <row r="676" spans="1:7" s="2" customFormat="1" ht="15" customHeight="1">
      <c r="A676" s="1071" t="s">
        <v>19</v>
      </c>
      <c r="B676" s="944"/>
      <c r="C676" s="944"/>
      <c r="D676" s="944"/>
      <c r="E676" s="944"/>
      <c r="F676" s="944"/>
      <c r="G676" s="1072"/>
    </row>
    <row r="677" spans="1:7" s="2" customFormat="1" ht="15" customHeight="1">
      <c r="A677" s="1074" t="s">
        <v>2</v>
      </c>
      <c r="B677" s="944"/>
      <c r="C677" s="53" t="s">
        <v>3</v>
      </c>
      <c r="D677" s="53" t="s">
        <v>4</v>
      </c>
      <c r="E677" s="53" t="s">
        <v>6</v>
      </c>
      <c r="F677" s="53" t="s">
        <v>11</v>
      </c>
      <c r="G677" s="456" t="s">
        <v>8</v>
      </c>
    </row>
    <row r="678" spans="1:7" s="2" customFormat="1" ht="15.75" customHeight="1">
      <c r="A678" s="978" t="str">
        <f>SALARIOS!$A$70</f>
        <v>CUADRILLA BB INSTALACIONES 1:2</v>
      </c>
      <c r="B678" s="979"/>
      <c r="C678" s="13" t="s">
        <v>1245</v>
      </c>
      <c r="D678" s="32">
        <v>1</v>
      </c>
      <c r="E678" s="13">
        <f>SALARIOS!$C$70</f>
        <v>37469</v>
      </c>
      <c r="F678" s="55">
        <f>+D678*E678</f>
        <v>37469</v>
      </c>
      <c r="G678" s="57">
        <f>SUM(F677:F678)</f>
        <v>37469</v>
      </c>
    </row>
    <row r="679" spans="1:7" s="2" customFormat="1" ht="15" customHeight="1">
      <c r="A679" s="1076" t="s">
        <v>25</v>
      </c>
      <c r="B679" s="944"/>
      <c r="C679" s="944"/>
      <c r="D679" s="944"/>
      <c r="E679" s="944"/>
      <c r="F679" s="944"/>
      <c r="G679" s="1072"/>
    </row>
    <row r="680" spans="1:7" s="2" customFormat="1" ht="15" customHeight="1">
      <c r="A680" s="1077"/>
      <c r="B680" s="944"/>
      <c r="C680" s="944"/>
      <c r="D680" s="944"/>
      <c r="E680" s="944"/>
      <c r="F680" s="944"/>
      <c r="G680" s="62">
        <f>G678+G675+G671+G665</f>
        <v>544906.69999999949</v>
      </c>
    </row>
    <row r="682" spans="1:7" s="2" customFormat="1" ht="15.75" customHeight="1">
      <c r="A682" s="970" t="s">
        <v>1</v>
      </c>
      <c r="B682" s="957"/>
      <c r="C682" s="953" t="s">
        <v>0</v>
      </c>
      <c r="D682" s="953"/>
      <c r="E682" s="953"/>
      <c r="F682" s="953"/>
      <c r="G682" s="1103"/>
    </row>
    <row r="683" spans="1:7" s="2" customFormat="1" ht="69.75" customHeight="1">
      <c r="A683" s="971"/>
      <c r="B683" s="957"/>
      <c r="C683" s="953"/>
      <c r="D683" s="953"/>
      <c r="E683" s="953"/>
      <c r="F683" s="953"/>
      <c r="G683" s="1103"/>
    </row>
    <row r="684" spans="1:7" s="2" customFormat="1" ht="15.75" customHeight="1">
      <c r="A684" s="971"/>
      <c r="B684" s="957"/>
      <c r="C684" s="956"/>
      <c r="D684" s="957"/>
      <c r="E684" s="957"/>
      <c r="F684" s="957"/>
      <c r="G684" s="958"/>
    </row>
    <row r="685" spans="1:7" s="2" customFormat="1" ht="15.75" customHeight="1">
      <c r="A685" s="971"/>
      <c r="B685" s="957"/>
      <c r="C685" s="959" t="s">
        <v>2</v>
      </c>
      <c r="D685" s="957"/>
      <c r="E685" s="957"/>
      <c r="F685" s="23" t="s">
        <v>3</v>
      </c>
      <c r="G685" s="24" t="s">
        <v>4</v>
      </c>
    </row>
    <row r="686" spans="1:7" s="2" customFormat="1" ht="73.5" customHeight="1">
      <c r="A686" s="1089" t="s">
        <v>1940</v>
      </c>
      <c r="B686" s="944"/>
      <c r="C686" s="980" t="s">
        <v>1941</v>
      </c>
      <c r="D686" s="944"/>
      <c r="E686" s="944"/>
      <c r="F686" s="51" t="s">
        <v>3</v>
      </c>
      <c r="G686" s="52">
        <v>15</v>
      </c>
    </row>
    <row r="687" spans="1:7" s="2" customFormat="1" ht="15.75" customHeight="1">
      <c r="A687" s="1071" t="s">
        <v>5</v>
      </c>
      <c r="B687" s="944"/>
      <c r="C687" s="944"/>
      <c r="D687" s="944"/>
      <c r="E687" s="944"/>
      <c r="F687" s="944"/>
      <c r="G687" s="1072"/>
    </row>
    <row r="688" spans="1:7" s="2" customFormat="1" ht="15.75" customHeight="1">
      <c r="A688" s="1074" t="s">
        <v>2</v>
      </c>
      <c r="B688" s="944"/>
      <c r="C688" s="53" t="s">
        <v>3</v>
      </c>
      <c r="D688" s="53" t="s">
        <v>4</v>
      </c>
      <c r="E688" s="53" t="s">
        <v>6</v>
      </c>
      <c r="F688" s="53" t="s">
        <v>7</v>
      </c>
      <c r="G688" s="1075" t="s">
        <v>8</v>
      </c>
    </row>
    <row r="689" spans="1:7" s="2" customFormat="1" ht="15.75" customHeight="1">
      <c r="A689" s="947" t="s">
        <v>167</v>
      </c>
      <c r="B689" s="980"/>
      <c r="C689" s="51" t="s">
        <v>3</v>
      </c>
      <c r="D689" s="54">
        <v>0.05</v>
      </c>
      <c r="E689" s="17">
        <f>+G706</f>
        <v>37469</v>
      </c>
      <c r="F689" s="55">
        <f>D689*E689</f>
        <v>1873.45</v>
      </c>
      <c r="G689" s="1072"/>
    </row>
    <row r="690" spans="1:7" s="2" customFormat="1" ht="15.75" customHeight="1">
      <c r="A690" s="947" t="str">
        <f>'MAQUINARIA Y EQUIPOS'!$D$42</f>
        <v>RANURADORA</v>
      </c>
      <c r="B690" s="944"/>
      <c r="C690" s="51" t="s">
        <v>3</v>
      </c>
      <c r="D690" s="54">
        <v>0.15</v>
      </c>
      <c r="E690" s="17">
        <f>'MAQUINARIA Y EQUIPOS'!$F$42</f>
        <v>48200</v>
      </c>
      <c r="F690" s="55">
        <f>D690*E690</f>
        <v>7230</v>
      </c>
      <c r="G690" s="1072"/>
    </row>
    <row r="691" spans="1:7" s="2" customFormat="1" ht="15.75" customHeight="1">
      <c r="A691" s="947"/>
      <c r="B691" s="980"/>
      <c r="C691" s="141"/>
      <c r="D691" s="16"/>
      <c r="E691" s="143"/>
      <c r="F691" s="55">
        <f>D691*E691</f>
        <v>0</v>
      </c>
      <c r="G691" s="1072"/>
    </row>
    <row r="692" spans="1:7" s="2" customFormat="1" ht="15.75" customHeight="1">
      <c r="A692" s="947"/>
      <c r="B692" s="944"/>
      <c r="C692" s="51"/>
      <c r="D692" s="54"/>
      <c r="E692" s="17"/>
      <c r="F692" s="55">
        <f>D692*E692</f>
        <v>0</v>
      </c>
      <c r="G692" s="1072"/>
    </row>
    <row r="693" spans="1:7" s="2" customFormat="1" ht="15.75" customHeight="1">
      <c r="A693" s="1079"/>
      <c r="B693" s="944"/>
      <c r="C693" s="56"/>
      <c r="D693" s="56"/>
      <c r="E693" s="56"/>
      <c r="F693" s="55"/>
      <c r="G693" s="57">
        <f>SUM(F688:F693)</f>
        <v>9103.4500000000007</v>
      </c>
    </row>
    <row r="694" spans="1:7" s="2" customFormat="1" ht="15" customHeight="1">
      <c r="A694" s="1071" t="s">
        <v>10</v>
      </c>
      <c r="B694" s="944"/>
      <c r="C694" s="944"/>
      <c r="D694" s="944"/>
      <c r="E694" s="944"/>
      <c r="F694" s="944"/>
      <c r="G694" s="1072"/>
    </row>
    <row r="695" spans="1:7" s="2" customFormat="1" ht="15" customHeight="1">
      <c r="A695" s="1074" t="s">
        <v>2</v>
      </c>
      <c r="B695" s="944"/>
      <c r="C695" s="53" t="s">
        <v>3</v>
      </c>
      <c r="D695" s="53" t="s">
        <v>4</v>
      </c>
      <c r="E695" s="53" t="s">
        <v>6</v>
      </c>
      <c r="F695" s="53" t="s">
        <v>11</v>
      </c>
      <c r="G695" s="1075" t="s">
        <v>8</v>
      </c>
    </row>
    <row r="696" spans="1:7" s="2" customFormat="1" ht="15" customHeight="1">
      <c r="A696" s="947" t="str">
        <f>'INSUMOS '!$B$380</f>
        <v>REDUCCIÓN ENACERO 2 1/2X1"</v>
      </c>
      <c r="B696" s="944"/>
      <c r="C696" s="16" t="s">
        <v>998</v>
      </c>
      <c r="D696" s="54">
        <v>1</v>
      </c>
      <c r="E696" s="17">
        <f>'INSUMOS '!$E$380</f>
        <v>172975.5</v>
      </c>
      <c r="F696" s="55">
        <f>D696*E696</f>
        <v>172975.5</v>
      </c>
      <c r="G696" s="1072"/>
    </row>
    <row r="697" spans="1:7" s="2" customFormat="1" ht="15" customHeight="1">
      <c r="A697" s="947" t="str">
        <f>'INSUMOS '!$B$369</f>
        <v>ACCESORIOS TUB RCI</v>
      </c>
      <c r="B697" s="944"/>
      <c r="C697" s="16" t="s">
        <v>998</v>
      </c>
      <c r="D697" s="54">
        <v>0.02</v>
      </c>
      <c r="E697" s="17">
        <f>'INSUMOS '!$E$369</f>
        <v>76641</v>
      </c>
      <c r="F697" s="55">
        <f>D697*E697</f>
        <v>1532.82</v>
      </c>
      <c r="G697" s="1072"/>
    </row>
    <row r="698" spans="1:7" s="2" customFormat="1" ht="15" customHeight="1">
      <c r="A698" s="947"/>
      <c r="B698" s="944"/>
      <c r="C698" s="16"/>
      <c r="D698" s="54"/>
      <c r="E698" s="17"/>
      <c r="F698" s="55">
        <f>D698*E698</f>
        <v>0</v>
      </c>
      <c r="G698" s="1072"/>
    </row>
    <row r="699" spans="1:7" s="2" customFormat="1" ht="15" customHeight="1">
      <c r="A699" s="947"/>
      <c r="B699" s="944"/>
      <c r="C699" s="16"/>
      <c r="D699" s="58"/>
      <c r="E699" s="17"/>
      <c r="F699" s="55"/>
      <c r="G699" s="57">
        <f>SUM(F695:F699)</f>
        <v>174508.32</v>
      </c>
    </row>
    <row r="700" spans="1:7" s="2" customFormat="1" ht="15" customHeight="1">
      <c r="A700" s="1071" t="s">
        <v>15</v>
      </c>
      <c r="B700" s="944"/>
      <c r="C700" s="944"/>
      <c r="D700" s="944"/>
      <c r="E700" s="944"/>
      <c r="F700" s="944"/>
      <c r="G700" s="1072"/>
    </row>
    <row r="701" spans="1:7" s="2" customFormat="1" ht="15" customHeight="1">
      <c r="A701" s="1074" t="s">
        <v>2</v>
      </c>
      <c r="B701" s="944"/>
      <c r="C701" s="53" t="s">
        <v>3</v>
      </c>
      <c r="D701" s="53" t="s">
        <v>4</v>
      </c>
      <c r="E701" s="53" t="s">
        <v>6</v>
      </c>
      <c r="F701" s="53" t="s">
        <v>11</v>
      </c>
      <c r="G701" s="1075" t="s">
        <v>8</v>
      </c>
    </row>
    <row r="702" spans="1:7" s="2" customFormat="1" ht="15" customHeight="1">
      <c r="A702" s="943" t="s">
        <v>173</v>
      </c>
      <c r="B702" s="944"/>
      <c r="C702" s="16" t="s">
        <v>3</v>
      </c>
      <c r="D702" s="54">
        <v>3.5000000000000003E-2</v>
      </c>
      <c r="E702" s="17">
        <f>+G699</f>
        <v>174508.32</v>
      </c>
      <c r="F702" s="55">
        <f>E702*D702</f>
        <v>6107.7912000000006</v>
      </c>
      <c r="G702" s="1072"/>
    </row>
    <row r="703" spans="1:7" s="2" customFormat="1" ht="15" customHeight="1">
      <c r="A703" s="59"/>
      <c r="B703" s="60"/>
      <c r="C703" s="60"/>
      <c r="D703" s="60"/>
      <c r="E703" s="60"/>
      <c r="F703" s="60"/>
      <c r="G703" s="57">
        <f>SUM(F702:F703)</f>
        <v>6107.7912000000006</v>
      </c>
    </row>
    <row r="704" spans="1:7" s="2" customFormat="1" ht="15" customHeight="1">
      <c r="A704" s="1071" t="s">
        <v>19</v>
      </c>
      <c r="B704" s="944"/>
      <c r="C704" s="944"/>
      <c r="D704" s="944"/>
      <c r="E704" s="944"/>
      <c r="F704" s="944"/>
      <c r="G704" s="1072"/>
    </row>
    <row r="705" spans="1:7" s="2" customFormat="1" ht="15" customHeight="1">
      <c r="A705" s="1074" t="s">
        <v>2</v>
      </c>
      <c r="B705" s="944"/>
      <c r="C705" s="53" t="s">
        <v>3</v>
      </c>
      <c r="D705" s="53" t="s">
        <v>4</v>
      </c>
      <c r="E705" s="53" t="s">
        <v>6</v>
      </c>
      <c r="F705" s="53" t="s">
        <v>11</v>
      </c>
      <c r="G705" s="456" t="s">
        <v>8</v>
      </c>
    </row>
    <row r="706" spans="1:7" s="2" customFormat="1" ht="15.75" customHeight="1">
      <c r="A706" s="978" t="str">
        <f>SALARIOS!$A$70</f>
        <v>CUADRILLA BB INSTALACIONES 1:2</v>
      </c>
      <c r="B706" s="979"/>
      <c r="C706" s="13" t="s">
        <v>1245</v>
      </c>
      <c r="D706" s="32">
        <v>1</v>
      </c>
      <c r="E706" s="13">
        <f>SALARIOS!$C$70</f>
        <v>37469</v>
      </c>
      <c r="F706" s="55">
        <f>+D706*E706</f>
        <v>37469</v>
      </c>
      <c r="G706" s="57">
        <f>SUM(F705:F706)</f>
        <v>37469</v>
      </c>
    </row>
    <row r="707" spans="1:7" s="2" customFormat="1" ht="15" customHeight="1">
      <c r="A707" s="1076" t="s">
        <v>25</v>
      </c>
      <c r="B707" s="944"/>
      <c r="C707" s="944"/>
      <c r="D707" s="944"/>
      <c r="E707" s="944"/>
      <c r="F707" s="944"/>
      <c r="G707" s="1072"/>
    </row>
    <row r="708" spans="1:7" s="2" customFormat="1" ht="15" customHeight="1">
      <c r="A708" s="1077"/>
      <c r="B708" s="944"/>
      <c r="C708" s="944"/>
      <c r="D708" s="944"/>
      <c r="E708" s="944"/>
      <c r="F708" s="944"/>
      <c r="G708" s="62">
        <f>G706+G703+G699+G693</f>
        <v>227188.56120000003</v>
      </c>
    </row>
    <row r="710" spans="1:7" s="2" customFormat="1" ht="15.75" customHeight="1">
      <c r="A710" s="970" t="s">
        <v>1</v>
      </c>
      <c r="B710" s="957"/>
      <c r="C710" s="953" t="s">
        <v>0</v>
      </c>
      <c r="D710" s="953"/>
      <c r="E710" s="953"/>
      <c r="F710" s="953"/>
      <c r="G710" s="1103"/>
    </row>
    <row r="711" spans="1:7" s="2" customFormat="1" ht="69.75" customHeight="1">
      <c r="A711" s="971"/>
      <c r="B711" s="957"/>
      <c r="C711" s="953"/>
      <c r="D711" s="953"/>
      <c r="E711" s="953"/>
      <c r="F711" s="953"/>
      <c r="G711" s="1103"/>
    </row>
    <row r="712" spans="1:7" s="2" customFormat="1" ht="15.75" customHeight="1">
      <c r="A712" s="971"/>
      <c r="B712" s="957"/>
      <c r="C712" s="956"/>
      <c r="D712" s="957"/>
      <c r="E712" s="957"/>
      <c r="F712" s="957"/>
      <c r="G712" s="958"/>
    </row>
    <row r="713" spans="1:7" s="2" customFormat="1" ht="15.75" customHeight="1">
      <c r="A713" s="971"/>
      <c r="B713" s="957"/>
      <c r="C713" s="959" t="s">
        <v>2</v>
      </c>
      <c r="D713" s="957"/>
      <c r="E713" s="957"/>
      <c r="F713" s="23" t="s">
        <v>3</v>
      </c>
      <c r="G713" s="24" t="s">
        <v>4</v>
      </c>
    </row>
    <row r="714" spans="1:7" s="2" customFormat="1" ht="73.5" customHeight="1">
      <c r="A714" s="1089" t="s">
        <v>1942</v>
      </c>
      <c r="B714" s="944"/>
      <c r="C714" s="980" t="s">
        <v>1943</v>
      </c>
      <c r="D714" s="944"/>
      <c r="E714" s="944"/>
      <c r="F714" s="51" t="s">
        <v>3</v>
      </c>
      <c r="G714" s="52">
        <v>23</v>
      </c>
    </row>
    <row r="715" spans="1:7" s="2" customFormat="1" ht="15.75" customHeight="1">
      <c r="A715" s="1071" t="s">
        <v>5</v>
      </c>
      <c r="B715" s="944"/>
      <c r="C715" s="944"/>
      <c r="D715" s="944"/>
      <c r="E715" s="944"/>
      <c r="F715" s="944"/>
      <c r="G715" s="1072"/>
    </row>
    <row r="716" spans="1:7" s="2" customFormat="1" ht="15.75" customHeight="1">
      <c r="A716" s="1074" t="s">
        <v>2</v>
      </c>
      <c r="B716" s="944"/>
      <c r="C716" s="53" t="s">
        <v>3</v>
      </c>
      <c r="D716" s="53" t="s">
        <v>4</v>
      </c>
      <c r="E716" s="53" t="s">
        <v>6</v>
      </c>
      <c r="F716" s="53" t="s">
        <v>7</v>
      </c>
      <c r="G716" s="1075" t="s">
        <v>8</v>
      </c>
    </row>
    <row r="717" spans="1:7" s="2" customFormat="1" ht="15.75" customHeight="1">
      <c r="A717" s="947" t="s">
        <v>167</v>
      </c>
      <c r="B717" s="980"/>
      <c r="C717" s="51" t="s">
        <v>3</v>
      </c>
      <c r="D717" s="54">
        <v>0.05</v>
      </c>
      <c r="E717" s="17">
        <f>+G734</f>
        <v>37469</v>
      </c>
      <c r="F717" s="55">
        <f>D717*E717</f>
        <v>1873.45</v>
      </c>
      <c r="G717" s="1072"/>
    </row>
    <row r="718" spans="1:7" s="2" customFormat="1" ht="15.75" customHeight="1">
      <c r="A718" s="947" t="s">
        <v>2558</v>
      </c>
      <c r="B718" s="944"/>
      <c r="C718" s="51" t="s">
        <v>3</v>
      </c>
      <c r="D718" s="54">
        <v>0.15</v>
      </c>
      <c r="E718" s="17">
        <v>30000</v>
      </c>
      <c r="F718" s="55">
        <f>D718*E718</f>
        <v>4500</v>
      </c>
      <c r="G718" s="1072"/>
    </row>
    <row r="719" spans="1:7" s="2" customFormat="1" ht="15.75" customHeight="1">
      <c r="A719" s="947"/>
      <c r="B719" s="980"/>
      <c r="C719" s="141"/>
      <c r="D719" s="16"/>
      <c r="E719" s="143"/>
      <c r="F719" s="55">
        <f>D719*E719</f>
        <v>0</v>
      </c>
      <c r="G719" s="1072"/>
    </row>
    <row r="720" spans="1:7" s="2" customFormat="1" ht="15.75" customHeight="1">
      <c r="A720" s="947"/>
      <c r="B720" s="944"/>
      <c r="C720" s="51"/>
      <c r="D720" s="54"/>
      <c r="E720" s="17"/>
      <c r="F720" s="55">
        <f>D720*E720</f>
        <v>0</v>
      </c>
      <c r="G720" s="1072"/>
    </row>
    <row r="721" spans="1:7" s="2" customFormat="1" ht="15.75" customHeight="1">
      <c r="A721" s="1079"/>
      <c r="B721" s="944"/>
      <c r="C721" s="56"/>
      <c r="D721" s="56"/>
      <c r="E721" s="56"/>
      <c r="F721" s="55"/>
      <c r="G721" s="57">
        <f>SUM(F716:F721)</f>
        <v>6373.45</v>
      </c>
    </row>
    <row r="722" spans="1:7" s="2" customFormat="1" ht="15" customHeight="1">
      <c r="A722" s="1071" t="s">
        <v>10</v>
      </c>
      <c r="B722" s="944"/>
      <c r="C722" s="944"/>
      <c r="D722" s="944"/>
      <c r="E722" s="944"/>
      <c r="F722" s="944"/>
      <c r="G722" s="1072"/>
    </row>
    <row r="723" spans="1:7" s="2" customFormat="1" ht="15" customHeight="1">
      <c r="A723" s="1074" t="s">
        <v>2</v>
      </c>
      <c r="B723" s="944"/>
      <c r="C723" s="53" t="s">
        <v>3</v>
      </c>
      <c r="D723" s="53" t="s">
        <v>4</v>
      </c>
      <c r="E723" s="53" t="s">
        <v>6</v>
      </c>
      <c r="F723" s="53" t="s">
        <v>11</v>
      </c>
      <c r="G723" s="1075" t="s">
        <v>8</v>
      </c>
    </row>
    <row r="724" spans="1:7" s="2" customFormat="1" ht="15" customHeight="1">
      <c r="A724" s="947" t="str">
        <f>'INSUMOS '!$B$381</f>
        <v>TEE MECANICA EN ACERO 2 1/2"</v>
      </c>
      <c r="B724" s="944"/>
      <c r="C724" s="16" t="s">
        <v>998</v>
      </c>
      <c r="D724" s="54">
        <v>1</v>
      </c>
      <c r="E724" s="17">
        <f>'INSUMOS '!$E$381</f>
        <v>335650.03024154587</v>
      </c>
      <c r="F724" s="55">
        <f>D724*E724</f>
        <v>335650.03024154587</v>
      </c>
      <c r="G724" s="1072"/>
    </row>
    <row r="725" spans="1:7" s="2" customFormat="1" ht="15" customHeight="1">
      <c r="A725" s="947" t="str">
        <f>'INSUMOS '!$B$369</f>
        <v>ACCESORIOS TUB RCI</v>
      </c>
      <c r="B725" s="944"/>
      <c r="C725" s="16" t="s">
        <v>998</v>
      </c>
      <c r="D725" s="54">
        <v>0.02</v>
      </c>
      <c r="E725" s="17">
        <f>'INSUMOS '!$E$369</f>
        <v>76641</v>
      </c>
      <c r="F725" s="55">
        <f>D725*E725</f>
        <v>1532.82</v>
      </c>
      <c r="G725" s="1072"/>
    </row>
    <row r="726" spans="1:7" s="2" customFormat="1" ht="15" customHeight="1">
      <c r="A726" s="947"/>
      <c r="B726" s="944"/>
      <c r="C726" s="16"/>
      <c r="D726" s="54"/>
      <c r="E726" s="17"/>
      <c r="F726" s="55">
        <f>D726*E726</f>
        <v>0</v>
      </c>
      <c r="G726" s="1072"/>
    </row>
    <row r="727" spans="1:7" s="2" customFormat="1" ht="15" customHeight="1">
      <c r="A727" s="947"/>
      <c r="B727" s="944"/>
      <c r="C727" s="16"/>
      <c r="D727" s="58"/>
      <c r="E727" s="17"/>
      <c r="F727" s="55"/>
      <c r="G727" s="57">
        <f>SUM(F723:F727)</f>
        <v>337182.85024154588</v>
      </c>
    </row>
    <row r="728" spans="1:7" s="2" customFormat="1" ht="15" customHeight="1">
      <c r="A728" s="1071" t="s">
        <v>15</v>
      </c>
      <c r="B728" s="944"/>
      <c r="C728" s="944"/>
      <c r="D728" s="944"/>
      <c r="E728" s="944"/>
      <c r="F728" s="944"/>
      <c r="G728" s="1072"/>
    </row>
    <row r="729" spans="1:7" s="2" customFormat="1" ht="15" customHeight="1">
      <c r="A729" s="1074" t="s">
        <v>2</v>
      </c>
      <c r="B729" s="944"/>
      <c r="C729" s="53" t="s">
        <v>3</v>
      </c>
      <c r="D729" s="53" t="s">
        <v>4</v>
      </c>
      <c r="E729" s="53" t="s">
        <v>6</v>
      </c>
      <c r="F729" s="53" t="s">
        <v>11</v>
      </c>
      <c r="G729" s="1075" t="s">
        <v>8</v>
      </c>
    </row>
    <row r="730" spans="1:7" s="2" customFormat="1" ht="15" customHeight="1">
      <c r="A730" s="943" t="s">
        <v>173</v>
      </c>
      <c r="B730" s="944"/>
      <c r="C730" s="16" t="s">
        <v>3</v>
      </c>
      <c r="D730" s="54">
        <v>3.5000000000000003E-2</v>
      </c>
      <c r="E730" s="17">
        <f>+G727</f>
        <v>337182.85024154588</v>
      </c>
      <c r="F730" s="55">
        <f>E730*D730</f>
        <v>11801.399758454107</v>
      </c>
      <c r="G730" s="1072"/>
    </row>
    <row r="731" spans="1:7" s="2" customFormat="1" ht="15" customHeight="1">
      <c r="A731" s="59"/>
      <c r="B731" s="60"/>
      <c r="C731" s="60"/>
      <c r="D731" s="60"/>
      <c r="E731" s="60"/>
      <c r="F731" s="60"/>
      <c r="G731" s="57">
        <f>SUM(F730:F731)</f>
        <v>11801.399758454107</v>
      </c>
    </row>
    <row r="732" spans="1:7" s="2" customFormat="1" ht="15" customHeight="1">
      <c r="A732" s="1071" t="s">
        <v>19</v>
      </c>
      <c r="B732" s="944"/>
      <c r="C732" s="944"/>
      <c r="D732" s="944"/>
      <c r="E732" s="944"/>
      <c r="F732" s="944"/>
      <c r="G732" s="1072"/>
    </row>
    <row r="733" spans="1:7" s="2" customFormat="1" ht="15" customHeight="1">
      <c r="A733" s="1074" t="s">
        <v>2</v>
      </c>
      <c r="B733" s="944"/>
      <c r="C733" s="53" t="s">
        <v>3</v>
      </c>
      <c r="D733" s="53" t="s">
        <v>4</v>
      </c>
      <c r="E733" s="53" t="s">
        <v>6</v>
      </c>
      <c r="F733" s="53" t="s">
        <v>11</v>
      </c>
      <c r="G733" s="456" t="s">
        <v>8</v>
      </c>
    </row>
    <row r="734" spans="1:7" s="2" customFormat="1" ht="15.75" customHeight="1">
      <c r="A734" s="978" t="str">
        <f>SALARIOS!$A$70</f>
        <v>CUADRILLA BB INSTALACIONES 1:2</v>
      </c>
      <c r="B734" s="979"/>
      <c r="C734" s="13" t="s">
        <v>1245</v>
      </c>
      <c r="D734" s="32">
        <v>1</v>
      </c>
      <c r="E734" s="13">
        <f>SALARIOS!$C$70</f>
        <v>37469</v>
      </c>
      <c r="F734" s="55">
        <f>+D734*E734</f>
        <v>37469</v>
      </c>
      <c r="G734" s="57">
        <f>SUM(F733:F734)</f>
        <v>37469</v>
      </c>
    </row>
    <row r="735" spans="1:7" s="2" customFormat="1" ht="15" customHeight="1">
      <c r="A735" s="1076" t="s">
        <v>25</v>
      </c>
      <c r="B735" s="944"/>
      <c r="C735" s="944"/>
      <c r="D735" s="944"/>
      <c r="E735" s="944"/>
      <c r="F735" s="944"/>
      <c r="G735" s="1072"/>
    </row>
    <row r="736" spans="1:7" s="2" customFormat="1" ht="15" customHeight="1">
      <c r="A736" s="1077"/>
      <c r="B736" s="944"/>
      <c r="C736" s="944"/>
      <c r="D736" s="944"/>
      <c r="E736" s="944"/>
      <c r="F736" s="944"/>
      <c r="G736" s="62">
        <f>G734+G731+G727+G721</f>
        <v>392826.7</v>
      </c>
    </row>
    <row r="738" spans="1:7" s="2" customFormat="1" ht="15.75" customHeight="1">
      <c r="A738" s="970" t="s">
        <v>1</v>
      </c>
      <c r="B738" s="957"/>
      <c r="C738" s="953" t="s">
        <v>0</v>
      </c>
      <c r="D738" s="953"/>
      <c r="E738" s="953"/>
      <c r="F738" s="953"/>
      <c r="G738" s="1103"/>
    </row>
    <row r="739" spans="1:7" s="2" customFormat="1" ht="69.75" customHeight="1">
      <c r="A739" s="971"/>
      <c r="B739" s="957"/>
      <c r="C739" s="953"/>
      <c r="D739" s="953"/>
      <c r="E739" s="953"/>
      <c r="F739" s="953"/>
      <c r="G739" s="1103"/>
    </row>
    <row r="740" spans="1:7" s="2" customFormat="1" ht="15.75" customHeight="1">
      <c r="A740" s="971"/>
      <c r="B740" s="957"/>
      <c r="C740" s="956"/>
      <c r="D740" s="957"/>
      <c r="E740" s="957"/>
      <c r="F740" s="957"/>
      <c r="G740" s="958"/>
    </row>
    <row r="741" spans="1:7" s="2" customFormat="1" ht="15.75" customHeight="1">
      <c r="A741" s="971"/>
      <c r="B741" s="957"/>
      <c r="C741" s="959" t="s">
        <v>2</v>
      </c>
      <c r="D741" s="957"/>
      <c r="E741" s="957"/>
      <c r="F741" s="23" t="s">
        <v>3</v>
      </c>
      <c r="G741" s="24" t="s">
        <v>4</v>
      </c>
    </row>
    <row r="742" spans="1:7" s="2" customFormat="1" ht="73.5" customHeight="1">
      <c r="A742" s="1089" t="s">
        <v>1944</v>
      </c>
      <c r="B742" s="944"/>
      <c r="C742" s="980" t="s">
        <v>1945</v>
      </c>
      <c r="D742" s="944"/>
      <c r="E742" s="944"/>
      <c r="F742" s="51" t="s">
        <v>3</v>
      </c>
      <c r="G742" s="52">
        <v>125</v>
      </c>
    </row>
    <row r="743" spans="1:7" s="2" customFormat="1" ht="15.75" customHeight="1">
      <c r="A743" s="1071" t="s">
        <v>5</v>
      </c>
      <c r="B743" s="944"/>
      <c r="C743" s="944"/>
      <c r="D743" s="944"/>
      <c r="E743" s="944"/>
      <c r="F743" s="944"/>
      <c r="G743" s="1072"/>
    </row>
    <row r="744" spans="1:7" s="2" customFormat="1" ht="15.75" customHeight="1">
      <c r="A744" s="1074" t="s">
        <v>2</v>
      </c>
      <c r="B744" s="944"/>
      <c r="C744" s="53" t="s">
        <v>3</v>
      </c>
      <c r="D744" s="53" t="s">
        <v>4</v>
      </c>
      <c r="E744" s="53" t="s">
        <v>6</v>
      </c>
      <c r="F744" s="53" t="s">
        <v>7</v>
      </c>
      <c r="G744" s="1075" t="s">
        <v>8</v>
      </c>
    </row>
    <row r="745" spans="1:7" s="2" customFormat="1" ht="15.75" customHeight="1">
      <c r="A745" s="947" t="s">
        <v>167</v>
      </c>
      <c r="B745" s="980"/>
      <c r="C745" s="51" t="s">
        <v>3</v>
      </c>
      <c r="D745" s="54">
        <v>0.05</v>
      </c>
      <c r="E745" s="17">
        <f>+G762</f>
        <v>37469</v>
      </c>
      <c r="F745" s="55">
        <f>D745*E745</f>
        <v>1873.45</v>
      </c>
      <c r="G745" s="1072"/>
    </row>
    <row r="746" spans="1:7" s="2" customFormat="1" ht="15.75" customHeight="1">
      <c r="A746" s="947" t="s">
        <v>2558</v>
      </c>
      <c r="B746" s="944"/>
      <c r="C746" s="51" t="s">
        <v>3</v>
      </c>
      <c r="D746" s="54">
        <v>0.15</v>
      </c>
      <c r="E746" s="17">
        <v>30000</v>
      </c>
      <c r="F746" s="55">
        <f>D746*E746</f>
        <v>4500</v>
      </c>
      <c r="G746" s="1072"/>
    </row>
    <row r="747" spans="1:7" s="2" customFormat="1" ht="15.75" customHeight="1">
      <c r="A747" s="947"/>
      <c r="B747" s="980"/>
      <c r="C747" s="141"/>
      <c r="D747" s="16"/>
      <c r="E747" s="143"/>
      <c r="F747" s="55">
        <f>D747*E747</f>
        <v>0</v>
      </c>
      <c r="G747" s="1072"/>
    </row>
    <row r="748" spans="1:7" s="2" customFormat="1" ht="15.75" customHeight="1">
      <c r="A748" s="947"/>
      <c r="B748" s="944"/>
      <c r="C748" s="51"/>
      <c r="D748" s="54"/>
      <c r="E748" s="17"/>
      <c r="F748" s="55">
        <f>D748*E748</f>
        <v>0</v>
      </c>
      <c r="G748" s="1072"/>
    </row>
    <row r="749" spans="1:7" s="2" customFormat="1" ht="15.75" customHeight="1">
      <c r="A749" s="1079"/>
      <c r="B749" s="944"/>
      <c r="C749" s="56"/>
      <c r="D749" s="56"/>
      <c r="E749" s="56"/>
      <c r="F749" s="55"/>
      <c r="G749" s="57">
        <f>SUM(F744:F749)</f>
        <v>6373.45</v>
      </c>
    </row>
    <row r="750" spans="1:7" s="2" customFormat="1" ht="15" customHeight="1">
      <c r="A750" s="1071" t="s">
        <v>10</v>
      </c>
      <c r="B750" s="944"/>
      <c r="C750" s="944"/>
      <c r="D750" s="944"/>
      <c r="E750" s="944"/>
      <c r="F750" s="944"/>
      <c r="G750" s="1072"/>
    </row>
    <row r="751" spans="1:7" s="2" customFormat="1" ht="15" customHeight="1">
      <c r="A751" s="1074" t="s">
        <v>2</v>
      </c>
      <c r="B751" s="944"/>
      <c r="C751" s="53" t="s">
        <v>3</v>
      </c>
      <c r="D751" s="53" t="s">
        <v>4</v>
      </c>
      <c r="E751" s="53" t="s">
        <v>6</v>
      </c>
      <c r="F751" s="53" t="s">
        <v>11</v>
      </c>
      <c r="G751" s="1075" t="s">
        <v>8</v>
      </c>
    </row>
    <row r="752" spans="1:7" s="2" customFormat="1" ht="15" customHeight="1">
      <c r="A752" s="947" t="str">
        <f>'INSUMOS '!$B$381</f>
        <v>TEE MECANICA EN ACERO 2 1/2"</v>
      </c>
      <c r="B752" s="944"/>
      <c r="C752" s="16" t="s">
        <v>998</v>
      </c>
      <c r="D752" s="54">
        <v>1</v>
      </c>
      <c r="E752" s="17">
        <f>'INSUMOS '!$E$381</f>
        <v>335650.03024154587</v>
      </c>
      <c r="F752" s="55">
        <f>D752*E752</f>
        <v>335650.03024154587</v>
      </c>
      <c r="G752" s="1072"/>
    </row>
    <row r="753" spans="1:7" s="2" customFormat="1" ht="15" customHeight="1">
      <c r="A753" s="947" t="str">
        <f>'INSUMOS '!$B$369</f>
        <v>ACCESORIOS TUB RCI</v>
      </c>
      <c r="B753" s="944"/>
      <c r="C753" s="16" t="s">
        <v>998</v>
      </c>
      <c r="D753" s="54">
        <v>0.02</v>
      </c>
      <c r="E753" s="17">
        <f>'INSUMOS '!$E$369</f>
        <v>76641</v>
      </c>
      <c r="F753" s="55">
        <f>D753*E753</f>
        <v>1532.82</v>
      </c>
      <c r="G753" s="1072"/>
    </row>
    <row r="754" spans="1:7" s="2" customFormat="1" ht="15" customHeight="1">
      <c r="A754" s="947"/>
      <c r="B754" s="944"/>
      <c r="C754" s="16"/>
      <c r="D754" s="54"/>
      <c r="E754" s="17"/>
      <c r="F754" s="55">
        <f>D754*E754</f>
        <v>0</v>
      </c>
      <c r="G754" s="1072"/>
    </row>
    <row r="755" spans="1:7" s="2" customFormat="1" ht="15" customHeight="1">
      <c r="A755" s="947"/>
      <c r="B755" s="944"/>
      <c r="C755" s="16"/>
      <c r="D755" s="58"/>
      <c r="E755" s="17"/>
      <c r="F755" s="55"/>
      <c r="G755" s="57">
        <f>SUM(F751:F755)</f>
        <v>337182.85024154588</v>
      </c>
    </row>
    <row r="756" spans="1:7" s="2" customFormat="1" ht="15" customHeight="1">
      <c r="A756" s="1071" t="s">
        <v>15</v>
      </c>
      <c r="B756" s="944"/>
      <c r="C756" s="944"/>
      <c r="D756" s="944"/>
      <c r="E756" s="944"/>
      <c r="F756" s="944"/>
      <c r="G756" s="1072"/>
    </row>
    <row r="757" spans="1:7" s="2" customFormat="1" ht="15" customHeight="1">
      <c r="A757" s="1074" t="s">
        <v>2</v>
      </c>
      <c r="B757" s="944"/>
      <c r="C757" s="53" t="s">
        <v>3</v>
      </c>
      <c r="D757" s="53" t="s">
        <v>4</v>
      </c>
      <c r="E757" s="53" t="s">
        <v>6</v>
      </c>
      <c r="F757" s="53" t="s">
        <v>11</v>
      </c>
      <c r="G757" s="1075" t="s">
        <v>8</v>
      </c>
    </row>
    <row r="758" spans="1:7" s="2" customFormat="1" ht="15" customHeight="1">
      <c r="A758" s="943" t="s">
        <v>173</v>
      </c>
      <c r="B758" s="944"/>
      <c r="C758" s="16" t="s">
        <v>3</v>
      </c>
      <c r="D758" s="54">
        <v>3.5000000000000003E-2</v>
      </c>
      <c r="E758" s="17">
        <f>+G755</f>
        <v>337182.85024154588</v>
      </c>
      <c r="F758" s="55">
        <f>E758*D758</f>
        <v>11801.399758454107</v>
      </c>
      <c r="G758" s="1072"/>
    </row>
    <row r="759" spans="1:7" s="2" customFormat="1" ht="15" customHeight="1">
      <c r="A759" s="59"/>
      <c r="B759" s="60"/>
      <c r="C759" s="60"/>
      <c r="D759" s="60"/>
      <c r="E759" s="60"/>
      <c r="F759" s="60"/>
      <c r="G759" s="57">
        <f>SUM(F758:F759)</f>
        <v>11801.399758454107</v>
      </c>
    </row>
    <row r="760" spans="1:7" s="2" customFormat="1" ht="15" customHeight="1">
      <c r="A760" s="1071" t="s">
        <v>19</v>
      </c>
      <c r="B760" s="944"/>
      <c r="C760" s="944"/>
      <c r="D760" s="944"/>
      <c r="E760" s="944"/>
      <c r="F760" s="944"/>
      <c r="G760" s="1072"/>
    </row>
    <row r="761" spans="1:7" s="2" customFormat="1" ht="15" customHeight="1">
      <c r="A761" s="1074" t="s">
        <v>2</v>
      </c>
      <c r="B761" s="944"/>
      <c r="C761" s="53" t="s">
        <v>3</v>
      </c>
      <c r="D761" s="53" t="s">
        <v>4</v>
      </c>
      <c r="E761" s="53" t="s">
        <v>6</v>
      </c>
      <c r="F761" s="53" t="s">
        <v>11</v>
      </c>
      <c r="G761" s="456" t="s">
        <v>8</v>
      </c>
    </row>
    <row r="762" spans="1:7" s="2" customFormat="1" ht="15.75" customHeight="1">
      <c r="A762" s="978" t="str">
        <f>SALARIOS!$A$70</f>
        <v>CUADRILLA BB INSTALACIONES 1:2</v>
      </c>
      <c r="B762" s="979"/>
      <c r="C762" s="13" t="s">
        <v>1245</v>
      </c>
      <c r="D762" s="32">
        <v>1</v>
      </c>
      <c r="E762" s="13">
        <f>SALARIOS!$C$70</f>
        <v>37469</v>
      </c>
      <c r="F762" s="55">
        <f>+D762*E762</f>
        <v>37469</v>
      </c>
      <c r="G762" s="57">
        <f>SUM(F761:F762)</f>
        <v>37469</v>
      </c>
    </row>
    <row r="763" spans="1:7" s="2" customFormat="1" ht="15" customHeight="1">
      <c r="A763" s="1076" t="s">
        <v>25</v>
      </c>
      <c r="B763" s="944"/>
      <c r="C763" s="944"/>
      <c r="D763" s="944"/>
      <c r="E763" s="944"/>
      <c r="F763" s="944"/>
      <c r="G763" s="1072"/>
    </row>
    <row r="764" spans="1:7" s="2" customFormat="1" ht="15" customHeight="1">
      <c r="A764" s="1077"/>
      <c r="B764" s="944"/>
      <c r="C764" s="944"/>
      <c r="D764" s="944"/>
      <c r="E764" s="944"/>
      <c r="F764" s="944"/>
      <c r="G764" s="62">
        <f>G762+G759+G755+G749</f>
        <v>392826.7</v>
      </c>
    </row>
    <row r="766" spans="1:7" s="2" customFormat="1" ht="15.75" customHeight="1">
      <c r="A766" s="970" t="s">
        <v>1</v>
      </c>
      <c r="B766" s="957"/>
      <c r="C766" s="953" t="s">
        <v>0</v>
      </c>
      <c r="D766" s="953"/>
      <c r="E766" s="953"/>
      <c r="F766" s="953"/>
      <c r="G766" s="1103"/>
    </row>
    <row r="767" spans="1:7" s="2" customFormat="1" ht="69.75" customHeight="1">
      <c r="A767" s="971"/>
      <c r="B767" s="957"/>
      <c r="C767" s="953"/>
      <c r="D767" s="953"/>
      <c r="E767" s="953"/>
      <c r="F767" s="953"/>
      <c r="G767" s="1103"/>
    </row>
    <row r="768" spans="1:7" s="2" customFormat="1" ht="15.75" customHeight="1">
      <c r="A768" s="971"/>
      <c r="B768" s="957"/>
      <c r="C768" s="956"/>
      <c r="D768" s="957"/>
      <c r="E768" s="957"/>
      <c r="F768" s="957"/>
      <c r="G768" s="958"/>
    </row>
    <row r="769" spans="1:7" s="2" customFormat="1" ht="15.75" customHeight="1">
      <c r="A769" s="971"/>
      <c r="B769" s="957"/>
      <c r="C769" s="959" t="s">
        <v>2</v>
      </c>
      <c r="D769" s="957"/>
      <c r="E769" s="957"/>
      <c r="F769" s="23" t="s">
        <v>3</v>
      </c>
      <c r="G769" s="24" t="s">
        <v>4</v>
      </c>
    </row>
    <row r="770" spans="1:7" s="2" customFormat="1" ht="73.5" customHeight="1">
      <c r="A770" s="1089" t="s">
        <v>1946</v>
      </c>
      <c r="B770" s="944"/>
      <c r="C770" s="980" t="s">
        <v>1947</v>
      </c>
      <c r="D770" s="944"/>
      <c r="E770" s="944"/>
      <c r="F770" s="51" t="s">
        <v>3</v>
      </c>
      <c r="G770" s="52">
        <v>4</v>
      </c>
    </row>
    <row r="771" spans="1:7" s="2" customFormat="1" ht="15.75" customHeight="1">
      <c r="A771" s="1071" t="s">
        <v>5</v>
      </c>
      <c r="B771" s="944"/>
      <c r="C771" s="944"/>
      <c r="D771" s="944"/>
      <c r="E771" s="944"/>
      <c r="F771" s="944"/>
      <c r="G771" s="1072"/>
    </row>
    <row r="772" spans="1:7" s="2" customFormat="1" ht="15.75" customHeight="1">
      <c r="A772" s="1074" t="s">
        <v>2</v>
      </c>
      <c r="B772" s="944"/>
      <c r="C772" s="53" t="s">
        <v>3</v>
      </c>
      <c r="D772" s="53" t="s">
        <v>4</v>
      </c>
      <c r="E772" s="53" t="s">
        <v>6</v>
      </c>
      <c r="F772" s="53" t="s">
        <v>7</v>
      </c>
      <c r="G772" s="1075" t="s">
        <v>8</v>
      </c>
    </row>
    <row r="773" spans="1:7" s="2" customFormat="1" ht="15.75" customHeight="1">
      <c r="A773" s="947" t="s">
        <v>167</v>
      </c>
      <c r="B773" s="980"/>
      <c r="C773" s="51" t="s">
        <v>3</v>
      </c>
      <c r="D773" s="54">
        <v>0.05</v>
      </c>
      <c r="E773" s="17">
        <f>+G790</f>
        <v>37469</v>
      </c>
      <c r="F773" s="55">
        <f>D773*E773</f>
        <v>1873.45</v>
      </c>
      <c r="G773" s="1072"/>
    </row>
    <row r="774" spans="1:7" s="2" customFormat="1" ht="15.75" customHeight="1">
      <c r="A774" s="947" t="str">
        <f>'MAQUINARIA Y EQUIPOS'!$D$42</f>
        <v>RANURADORA</v>
      </c>
      <c r="B774" s="944"/>
      <c r="C774" s="51" t="s">
        <v>3</v>
      </c>
      <c r="D774" s="54">
        <v>0.05</v>
      </c>
      <c r="E774" s="17">
        <f>'MAQUINARIA Y EQUIPOS'!$F$42</f>
        <v>48200</v>
      </c>
      <c r="F774" s="55">
        <f>D774*E774</f>
        <v>2410</v>
      </c>
      <c r="G774" s="1072"/>
    </row>
    <row r="775" spans="1:7" s="2" customFormat="1" ht="15.75" customHeight="1">
      <c r="A775" s="947"/>
      <c r="B775" s="980"/>
      <c r="C775" s="141"/>
      <c r="D775" s="16"/>
      <c r="E775" s="143"/>
      <c r="F775" s="55">
        <f>D775*E775</f>
        <v>0</v>
      </c>
      <c r="G775" s="1072"/>
    </row>
    <row r="776" spans="1:7" s="2" customFormat="1" ht="15.75" customHeight="1">
      <c r="A776" s="947"/>
      <c r="B776" s="944"/>
      <c r="C776" s="51"/>
      <c r="D776" s="54"/>
      <c r="E776" s="17"/>
      <c r="F776" s="55">
        <f>D776*E776</f>
        <v>0</v>
      </c>
      <c r="G776" s="1072"/>
    </row>
    <row r="777" spans="1:7" s="2" customFormat="1" ht="15.75" customHeight="1">
      <c r="A777" s="1079"/>
      <c r="B777" s="944"/>
      <c r="C777" s="56"/>
      <c r="D777" s="56"/>
      <c r="E777" s="56"/>
      <c r="F777" s="55"/>
      <c r="G777" s="57">
        <f>SUM(F772:F777)</f>
        <v>4283.45</v>
      </c>
    </row>
    <row r="778" spans="1:7" s="2" customFormat="1" ht="15" customHeight="1">
      <c r="A778" s="1071" t="s">
        <v>10</v>
      </c>
      <c r="B778" s="944"/>
      <c r="C778" s="944"/>
      <c r="D778" s="944"/>
      <c r="E778" s="944"/>
      <c r="F778" s="944"/>
      <c r="G778" s="1072"/>
    </row>
    <row r="779" spans="1:7" s="2" customFormat="1" ht="15" customHeight="1">
      <c r="A779" s="1074" t="s">
        <v>2</v>
      </c>
      <c r="B779" s="944"/>
      <c r="C779" s="53" t="s">
        <v>3</v>
      </c>
      <c r="D779" s="53" t="s">
        <v>4</v>
      </c>
      <c r="E779" s="53" t="s">
        <v>6</v>
      </c>
      <c r="F779" s="53" t="s">
        <v>11</v>
      </c>
      <c r="G779" s="1075" t="s">
        <v>8</v>
      </c>
    </row>
    <row r="780" spans="1:7" s="2" customFormat="1" ht="15" customHeight="1">
      <c r="A780" s="947" t="str">
        <f>'INSUMOS '!$B$383</f>
        <v>UNION MECANICA EN ACERO 4"</v>
      </c>
      <c r="B780" s="944"/>
      <c r="C780" s="16" t="s">
        <v>998</v>
      </c>
      <c r="D780" s="54">
        <v>1</v>
      </c>
      <c r="E780" s="17">
        <f>'INSUMOS '!$E$383</f>
        <v>156416.44024154599</v>
      </c>
      <c r="F780" s="55">
        <f>D780*E780</f>
        <v>156416.44024154599</v>
      </c>
      <c r="G780" s="1072"/>
    </row>
    <row r="781" spans="1:7" s="2" customFormat="1" ht="15" customHeight="1">
      <c r="A781" s="947" t="str">
        <f>'INSUMOS '!$B$369</f>
        <v>ACCESORIOS TUB RCI</v>
      </c>
      <c r="B781" s="944"/>
      <c r="C781" s="51" t="s">
        <v>998</v>
      </c>
      <c r="D781" s="54">
        <v>0.01</v>
      </c>
      <c r="E781" s="17">
        <f>'INSUMOS '!$E$369</f>
        <v>76641</v>
      </c>
      <c r="F781" s="55">
        <f>D781*E781</f>
        <v>766.41</v>
      </c>
      <c r="G781" s="1072"/>
    </row>
    <row r="782" spans="1:7" s="2" customFormat="1" ht="15" customHeight="1">
      <c r="A782" s="947"/>
      <c r="B782" s="944"/>
      <c r="C782" s="16"/>
      <c r="D782" s="54"/>
      <c r="E782" s="17"/>
      <c r="F782" s="55">
        <f>D782*E782</f>
        <v>0</v>
      </c>
      <c r="G782" s="1072"/>
    </row>
    <row r="783" spans="1:7" s="2" customFormat="1" ht="15" customHeight="1">
      <c r="A783" s="947"/>
      <c r="B783" s="944"/>
      <c r="C783" s="16"/>
      <c r="D783" s="58"/>
      <c r="E783" s="17"/>
      <c r="F783" s="55"/>
      <c r="G783" s="57">
        <f>SUM(F779:F783)</f>
        <v>157182.850241546</v>
      </c>
    </row>
    <row r="784" spans="1:7" s="2" customFormat="1" ht="15" customHeight="1">
      <c r="A784" s="1071" t="s">
        <v>15</v>
      </c>
      <c r="B784" s="944"/>
      <c r="C784" s="944"/>
      <c r="D784" s="944"/>
      <c r="E784" s="944"/>
      <c r="F784" s="944"/>
      <c r="G784" s="1072"/>
    </row>
    <row r="785" spans="1:7" s="2" customFormat="1" ht="15" customHeight="1">
      <c r="A785" s="1074" t="s">
        <v>2</v>
      </c>
      <c r="B785" s="944"/>
      <c r="C785" s="53" t="s">
        <v>3</v>
      </c>
      <c r="D785" s="53" t="s">
        <v>4</v>
      </c>
      <c r="E785" s="53" t="s">
        <v>6</v>
      </c>
      <c r="F785" s="53" t="s">
        <v>11</v>
      </c>
      <c r="G785" s="1075" t="s">
        <v>8</v>
      </c>
    </row>
    <row r="786" spans="1:7" s="2" customFormat="1" ht="15" customHeight="1">
      <c r="A786" s="943" t="s">
        <v>173</v>
      </c>
      <c r="B786" s="944"/>
      <c r="C786" s="16" t="s">
        <v>3</v>
      </c>
      <c r="D786" s="54">
        <v>3.5000000000000003E-2</v>
      </c>
      <c r="E786" s="17">
        <f>+G783</f>
        <v>157182.850241546</v>
      </c>
      <c r="F786" s="55">
        <f>E786*D786</f>
        <v>5501.3997584541103</v>
      </c>
      <c r="G786" s="1072"/>
    </row>
    <row r="787" spans="1:7" s="2" customFormat="1" ht="15" customHeight="1">
      <c r="A787" s="59"/>
      <c r="B787" s="60"/>
      <c r="C787" s="60"/>
      <c r="D787" s="60"/>
      <c r="E787" s="60"/>
      <c r="F787" s="60"/>
      <c r="G787" s="57">
        <f>SUM(F786:F787)</f>
        <v>5501.3997584541103</v>
      </c>
    </row>
    <row r="788" spans="1:7" s="2" customFormat="1" ht="15" customHeight="1">
      <c r="A788" s="1071" t="s">
        <v>19</v>
      </c>
      <c r="B788" s="944"/>
      <c r="C788" s="944"/>
      <c r="D788" s="944"/>
      <c r="E788" s="944"/>
      <c r="F788" s="944"/>
      <c r="G788" s="1072"/>
    </row>
    <row r="789" spans="1:7" s="2" customFormat="1" ht="15" customHeight="1">
      <c r="A789" s="1074" t="s">
        <v>2</v>
      </c>
      <c r="B789" s="944"/>
      <c r="C789" s="53" t="s">
        <v>3</v>
      </c>
      <c r="D789" s="53" t="s">
        <v>4</v>
      </c>
      <c r="E789" s="53" t="s">
        <v>6</v>
      </c>
      <c r="F789" s="53" t="s">
        <v>11</v>
      </c>
      <c r="G789" s="456" t="s">
        <v>8</v>
      </c>
    </row>
    <row r="790" spans="1:7" s="2" customFormat="1" ht="15.75" customHeight="1">
      <c r="A790" s="978" t="str">
        <f>SALARIOS!$A$70</f>
        <v>CUADRILLA BB INSTALACIONES 1:2</v>
      </c>
      <c r="B790" s="979"/>
      <c r="C790" s="13" t="s">
        <v>1245</v>
      </c>
      <c r="D790" s="32">
        <v>1</v>
      </c>
      <c r="E790" s="13">
        <f>SALARIOS!$C$70</f>
        <v>37469</v>
      </c>
      <c r="F790" s="55">
        <f>+D790*E790</f>
        <v>37469</v>
      </c>
      <c r="G790" s="57">
        <f>SUM(F789:F790)</f>
        <v>37469</v>
      </c>
    </row>
    <row r="791" spans="1:7" s="2" customFormat="1" ht="15" customHeight="1">
      <c r="A791" s="1076" t="s">
        <v>25</v>
      </c>
      <c r="B791" s="944"/>
      <c r="C791" s="944"/>
      <c r="D791" s="944"/>
      <c r="E791" s="944"/>
      <c r="F791" s="944"/>
      <c r="G791" s="1072"/>
    </row>
    <row r="792" spans="1:7" s="2" customFormat="1" ht="15" customHeight="1">
      <c r="A792" s="1077"/>
      <c r="B792" s="944"/>
      <c r="C792" s="944"/>
      <c r="D792" s="944"/>
      <c r="E792" s="944"/>
      <c r="F792" s="944"/>
      <c r="G792" s="62">
        <f>G790+G787+G783+G777</f>
        <v>204436.70000000013</v>
      </c>
    </row>
    <row r="794" spans="1:7" s="2" customFormat="1" ht="15.75" customHeight="1">
      <c r="A794" s="970" t="s">
        <v>1</v>
      </c>
      <c r="B794" s="957"/>
      <c r="C794" s="953" t="s">
        <v>0</v>
      </c>
      <c r="D794" s="953"/>
      <c r="E794" s="953"/>
      <c r="F794" s="953"/>
      <c r="G794" s="1103"/>
    </row>
    <row r="795" spans="1:7" s="2" customFormat="1" ht="69.75" customHeight="1">
      <c r="A795" s="971"/>
      <c r="B795" s="957"/>
      <c r="C795" s="953"/>
      <c r="D795" s="953"/>
      <c r="E795" s="953"/>
      <c r="F795" s="953"/>
      <c r="G795" s="1103"/>
    </row>
    <row r="796" spans="1:7" s="2" customFormat="1" ht="15.75" customHeight="1">
      <c r="A796" s="971"/>
      <c r="B796" s="957"/>
      <c r="C796" s="956"/>
      <c r="D796" s="957"/>
      <c r="E796" s="957"/>
      <c r="F796" s="957"/>
      <c r="G796" s="958"/>
    </row>
    <row r="797" spans="1:7" s="2" customFormat="1" ht="15.75" customHeight="1">
      <c r="A797" s="971"/>
      <c r="B797" s="957"/>
      <c r="C797" s="959" t="s">
        <v>2</v>
      </c>
      <c r="D797" s="957"/>
      <c r="E797" s="957"/>
      <c r="F797" s="23" t="s">
        <v>3</v>
      </c>
      <c r="G797" s="24" t="s">
        <v>4</v>
      </c>
    </row>
    <row r="798" spans="1:7" s="2" customFormat="1" ht="73.5" customHeight="1">
      <c r="A798" s="1089" t="s">
        <v>1948</v>
      </c>
      <c r="B798" s="944"/>
      <c r="C798" s="980" t="s">
        <v>1949</v>
      </c>
      <c r="D798" s="944"/>
      <c r="E798" s="944"/>
      <c r="F798" s="51" t="s">
        <v>3</v>
      </c>
      <c r="G798" s="52">
        <v>15</v>
      </c>
    </row>
    <row r="799" spans="1:7" s="2" customFormat="1" ht="15.75" customHeight="1">
      <c r="A799" s="1071" t="s">
        <v>5</v>
      </c>
      <c r="B799" s="944"/>
      <c r="C799" s="944"/>
      <c r="D799" s="944"/>
      <c r="E799" s="944"/>
      <c r="F799" s="944"/>
      <c r="G799" s="1072"/>
    </row>
    <row r="800" spans="1:7" s="2" customFormat="1" ht="15.75" customHeight="1">
      <c r="A800" s="1074" t="s">
        <v>2</v>
      </c>
      <c r="B800" s="944"/>
      <c r="C800" s="53" t="s">
        <v>3</v>
      </c>
      <c r="D800" s="53" t="s">
        <v>4</v>
      </c>
      <c r="E800" s="53" t="s">
        <v>6</v>
      </c>
      <c r="F800" s="53" t="s">
        <v>7</v>
      </c>
      <c r="G800" s="1075" t="s">
        <v>8</v>
      </c>
    </row>
    <row r="801" spans="1:7" s="2" customFormat="1" ht="15.75" customHeight="1">
      <c r="A801" s="947" t="s">
        <v>167</v>
      </c>
      <c r="B801" s="980"/>
      <c r="C801" s="51" t="s">
        <v>3</v>
      </c>
      <c r="D801" s="54">
        <v>0.05</v>
      </c>
      <c r="E801" s="17">
        <f>+G818</f>
        <v>37469</v>
      </c>
      <c r="F801" s="55">
        <f>D801*E801</f>
        <v>1873.45</v>
      </c>
      <c r="G801" s="1072"/>
    </row>
    <row r="802" spans="1:7" s="2" customFormat="1" ht="15.75" customHeight="1">
      <c r="A802" s="947"/>
      <c r="B802" s="944"/>
      <c r="C802" s="51"/>
      <c r="D802" s="54"/>
      <c r="E802" s="17"/>
      <c r="F802" s="55">
        <f>D802*E802</f>
        <v>0</v>
      </c>
      <c r="G802" s="1072"/>
    </row>
    <row r="803" spans="1:7" s="2" customFormat="1" ht="15.75" customHeight="1">
      <c r="A803" s="947"/>
      <c r="B803" s="980"/>
      <c r="C803" s="141"/>
      <c r="D803" s="16"/>
      <c r="E803" s="143"/>
      <c r="F803" s="55">
        <f>D803*E803</f>
        <v>0</v>
      </c>
      <c r="G803" s="1072"/>
    </row>
    <row r="804" spans="1:7" s="2" customFormat="1" ht="15.75" customHeight="1">
      <c r="A804" s="947"/>
      <c r="B804" s="944"/>
      <c r="C804" s="51"/>
      <c r="D804" s="54"/>
      <c r="E804" s="17"/>
      <c r="F804" s="55">
        <f>D804*E804</f>
        <v>0</v>
      </c>
      <c r="G804" s="1072"/>
    </row>
    <row r="805" spans="1:7" s="2" customFormat="1" ht="15.75" customHeight="1">
      <c r="A805" s="1079"/>
      <c r="B805" s="944"/>
      <c r="C805" s="56"/>
      <c r="D805" s="56"/>
      <c r="E805" s="56"/>
      <c r="F805" s="55"/>
      <c r="G805" s="57">
        <f>SUM(F800:F805)</f>
        <v>1873.45</v>
      </c>
    </row>
    <row r="806" spans="1:7" s="2" customFormat="1" ht="15" customHeight="1">
      <c r="A806" s="1071" t="s">
        <v>10</v>
      </c>
      <c r="B806" s="944"/>
      <c r="C806" s="944"/>
      <c r="D806" s="944"/>
      <c r="E806" s="944"/>
      <c r="F806" s="944"/>
      <c r="G806" s="1072"/>
    </row>
    <row r="807" spans="1:7" s="2" customFormat="1" ht="15" customHeight="1">
      <c r="A807" s="1074" t="s">
        <v>2</v>
      </c>
      <c r="B807" s="944"/>
      <c r="C807" s="53" t="s">
        <v>3</v>
      </c>
      <c r="D807" s="53" t="s">
        <v>4</v>
      </c>
      <c r="E807" s="53" t="s">
        <v>6</v>
      </c>
      <c r="F807" s="53" t="s">
        <v>11</v>
      </c>
      <c r="G807" s="1075" t="s">
        <v>8</v>
      </c>
    </row>
    <row r="808" spans="1:7" s="2" customFormat="1" ht="15" customHeight="1">
      <c r="A808" s="947" t="str">
        <f>'INSUMOS '!$B$384</f>
        <v>ANCLAJES EN CONCRETO ACCESORIOS TB C900</v>
      </c>
      <c r="B808" s="944"/>
      <c r="C808" s="16">
        <v>0</v>
      </c>
      <c r="D808" s="54">
        <v>1</v>
      </c>
      <c r="E808" s="17">
        <f>'INSUMOS '!$E$384</f>
        <v>370419.56521739101</v>
      </c>
      <c r="F808" s="55">
        <f>D808*E808</f>
        <v>370419.56521739101</v>
      </c>
      <c r="G808" s="1072"/>
    </row>
    <row r="809" spans="1:7" s="2" customFormat="1" ht="15" customHeight="1">
      <c r="A809" s="947"/>
      <c r="B809" s="944"/>
      <c r="C809" s="51"/>
      <c r="D809" s="54"/>
      <c r="E809" s="17"/>
      <c r="F809" s="55">
        <f>D809*E809</f>
        <v>0</v>
      </c>
      <c r="G809" s="1072"/>
    </row>
    <row r="810" spans="1:7" s="2" customFormat="1" ht="15" customHeight="1">
      <c r="A810" s="947"/>
      <c r="B810" s="944"/>
      <c r="C810" s="16"/>
      <c r="D810" s="54"/>
      <c r="E810" s="17"/>
      <c r="F810" s="55">
        <f>D810*E810</f>
        <v>0</v>
      </c>
      <c r="G810" s="1072"/>
    </row>
    <row r="811" spans="1:7" s="2" customFormat="1" ht="15" customHeight="1">
      <c r="A811" s="947"/>
      <c r="B811" s="944"/>
      <c r="C811" s="16"/>
      <c r="D811" s="58"/>
      <c r="E811" s="17"/>
      <c r="F811" s="55"/>
      <c r="G811" s="57">
        <f>SUM(F807:F811)</f>
        <v>370419.56521739101</v>
      </c>
    </row>
    <row r="812" spans="1:7" s="2" customFormat="1" ht="15" customHeight="1">
      <c r="A812" s="1071" t="s">
        <v>15</v>
      </c>
      <c r="B812" s="944"/>
      <c r="C812" s="944"/>
      <c r="D812" s="944"/>
      <c r="E812" s="944"/>
      <c r="F812" s="944"/>
      <c r="G812" s="1072"/>
    </row>
    <row r="813" spans="1:7" s="2" customFormat="1" ht="15" customHeight="1">
      <c r="A813" s="1074" t="s">
        <v>2</v>
      </c>
      <c r="B813" s="944"/>
      <c r="C813" s="53" t="s">
        <v>3</v>
      </c>
      <c r="D813" s="53" t="s">
        <v>4</v>
      </c>
      <c r="E813" s="53" t="s">
        <v>6</v>
      </c>
      <c r="F813" s="53" t="s">
        <v>11</v>
      </c>
      <c r="G813" s="1075" t="s">
        <v>8</v>
      </c>
    </row>
    <row r="814" spans="1:7" s="2" customFormat="1" ht="15" customHeight="1">
      <c r="A814" s="943" t="s">
        <v>173</v>
      </c>
      <c r="B814" s="944"/>
      <c r="C814" s="16" t="s">
        <v>3</v>
      </c>
      <c r="D814" s="54">
        <v>3.5000000000000003E-2</v>
      </c>
      <c r="E814" s="17">
        <f>+G811</f>
        <v>370419.56521739101</v>
      </c>
      <c r="F814" s="55">
        <f>E814*D814</f>
        <v>12964.684782608687</v>
      </c>
      <c r="G814" s="1072"/>
    </row>
    <row r="815" spans="1:7" s="2" customFormat="1" ht="15" customHeight="1">
      <c r="A815" s="59"/>
      <c r="B815" s="60"/>
      <c r="C815" s="60"/>
      <c r="D815" s="60"/>
      <c r="E815" s="60"/>
      <c r="F815" s="60"/>
      <c r="G815" s="57">
        <f>SUM(F814:F815)</f>
        <v>12964.684782608687</v>
      </c>
    </row>
    <row r="816" spans="1:7" s="2" customFormat="1" ht="15" customHeight="1">
      <c r="A816" s="1071" t="s">
        <v>19</v>
      </c>
      <c r="B816" s="944"/>
      <c r="C816" s="944"/>
      <c r="D816" s="944"/>
      <c r="E816" s="944"/>
      <c r="F816" s="944"/>
      <c r="G816" s="1072"/>
    </row>
    <row r="817" spans="1:7" s="2" customFormat="1" ht="15" customHeight="1">
      <c r="A817" s="1074" t="s">
        <v>2</v>
      </c>
      <c r="B817" s="944"/>
      <c r="C817" s="53" t="s">
        <v>3</v>
      </c>
      <c r="D817" s="53" t="s">
        <v>4</v>
      </c>
      <c r="E817" s="53" t="s">
        <v>6</v>
      </c>
      <c r="F817" s="53" t="s">
        <v>11</v>
      </c>
      <c r="G817" s="456" t="s">
        <v>8</v>
      </c>
    </row>
    <row r="818" spans="1:7" s="2" customFormat="1" ht="15.75" customHeight="1">
      <c r="A818" s="978" t="str">
        <f>SALARIOS!$A$70</f>
        <v>CUADRILLA BB INSTALACIONES 1:2</v>
      </c>
      <c r="B818" s="979"/>
      <c r="C818" s="13" t="s">
        <v>1245</v>
      </c>
      <c r="D818" s="32">
        <v>1</v>
      </c>
      <c r="E818" s="13">
        <f>SALARIOS!$C$70</f>
        <v>37469</v>
      </c>
      <c r="F818" s="55">
        <f>+D818*E818</f>
        <v>37469</v>
      </c>
      <c r="G818" s="57">
        <f>SUM(F817:F818)</f>
        <v>37469</v>
      </c>
    </row>
    <row r="819" spans="1:7" s="2" customFormat="1" ht="15" customHeight="1">
      <c r="A819" s="1076" t="s">
        <v>25</v>
      </c>
      <c r="B819" s="944"/>
      <c r="C819" s="944"/>
      <c r="D819" s="944"/>
      <c r="E819" s="944"/>
      <c r="F819" s="944"/>
      <c r="G819" s="1072"/>
    </row>
    <row r="820" spans="1:7" s="2" customFormat="1" ht="15" customHeight="1">
      <c r="A820" s="1077"/>
      <c r="B820" s="944"/>
      <c r="C820" s="944"/>
      <c r="D820" s="944"/>
      <c r="E820" s="944"/>
      <c r="F820" s="944"/>
      <c r="G820" s="62">
        <f>G818+G815+G811+G805</f>
        <v>422726.69999999972</v>
      </c>
    </row>
    <row r="822" spans="1:7" s="2" customFormat="1" ht="15.75" customHeight="1">
      <c r="A822" s="970" t="s">
        <v>1</v>
      </c>
      <c r="B822" s="957"/>
      <c r="C822" s="953" t="s">
        <v>0</v>
      </c>
      <c r="D822" s="953"/>
      <c r="E822" s="953"/>
      <c r="F822" s="953"/>
      <c r="G822" s="1103"/>
    </row>
    <row r="823" spans="1:7" s="2" customFormat="1" ht="69.75" customHeight="1">
      <c r="A823" s="971"/>
      <c r="B823" s="957"/>
      <c r="C823" s="953"/>
      <c r="D823" s="953"/>
      <c r="E823" s="953"/>
      <c r="F823" s="953"/>
      <c r="G823" s="1103"/>
    </row>
    <row r="824" spans="1:7" s="2" customFormat="1" ht="15.75" customHeight="1">
      <c r="A824" s="971"/>
      <c r="B824" s="957"/>
      <c r="C824" s="956"/>
      <c r="D824" s="957"/>
      <c r="E824" s="957"/>
      <c r="F824" s="957"/>
      <c r="G824" s="958"/>
    </row>
    <row r="825" spans="1:7" s="2" customFormat="1" ht="15.75" customHeight="1">
      <c r="A825" s="971"/>
      <c r="B825" s="957"/>
      <c r="C825" s="959" t="s">
        <v>2</v>
      </c>
      <c r="D825" s="957"/>
      <c r="E825" s="957"/>
      <c r="F825" s="23" t="s">
        <v>3</v>
      </c>
      <c r="G825" s="24" t="s">
        <v>4</v>
      </c>
    </row>
    <row r="826" spans="1:7" s="2" customFormat="1" ht="73.5" customHeight="1">
      <c r="A826" s="1089" t="s">
        <v>1950</v>
      </c>
      <c r="B826" s="944"/>
      <c r="C826" s="980" t="s">
        <v>1951</v>
      </c>
      <c r="D826" s="944"/>
      <c r="E826" s="944"/>
      <c r="F826" s="51" t="s">
        <v>3</v>
      </c>
      <c r="G826" s="52">
        <v>2</v>
      </c>
    </row>
    <row r="827" spans="1:7" s="2" customFormat="1" ht="15.75" customHeight="1">
      <c r="A827" s="1071" t="s">
        <v>5</v>
      </c>
      <c r="B827" s="944"/>
      <c r="C827" s="944"/>
      <c r="D827" s="944"/>
      <c r="E827" s="944"/>
      <c r="F827" s="944"/>
      <c r="G827" s="1072"/>
    </row>
    <row r="828" spans="1:7" s="2" customFormat="1" ht="15.75" customHeight="1">
      <c r="A828" s="1074" t="s">
        <v>2</v>
      </c>
      <c r="B828" s="944"/>
      <c r="C828" s="53" t="s">
        <v>3</v>
      </c>
      <c r="D828" s="53" t="s">
        <v>4</v>
      </c>
      <c r="E828" s="53" t="s">
        <v>6</v>
      </c>
      <c r="F828" s="53" t="s">
        <v>7</v>
      </c>
      <c r="G828" s="1075" t="s">
        <v>8</v>
      </c>
    </row>
    <row r="829" spans="1:7" s="2" customFormat="1" ht="15.75" customHeight="1">
      <c r="A829" s="947" t="s">
        <v>167</v>
      </c>
      <c r="B829" s="980"/>
      <c r="C829" s="51" t="s">
        <v>3</v>
      </c>
      <c r="D829" s="54">
        <v>0.05</v>
      </c>
      <c r="E829" s="17">
        <f>+G846</f>
        <v>37469</v>
      </c>
      <c r="F829" s="55">
        <f>D829*E829</f>
        <v>1873.45</v>
      </c>
      <c r="G829" s="1072"/>
    </row>
    <row r="830" spans="1:7" s="2" customFormat="1" ht="15.75" customHeight="1">
      <c r="A830" s="947"/>
      <c r="B830" s="944"/>
      <c r="C830" s="51"/>
      <c r="D830" s="54"/>
      <c r="E830" s="17"/>
      <c r="F830" s="55">
        <f>D830*E830</f>
        <v>0</v>
      </c>
      <c r="G830" s="1072"/>
    </row>
    <row r="831" spans="1:7" s="2" customFormat="1" ht="15.75" customHeight="1">
      <c r="A831" s="947"/>
      <c r="B831" s="980"/>
      <c r="C831" s="141"/>
      <c r="D831" s="16"/>
      <c r="E831" s="143"/>
      <c r="F831" s="55">
        <f>D831*E831</f>
        <v>0</v>
      </c>
      <c r="G831" s="1072"/>
    </row>
    <row r="832" spans="1:7" s="2" customFormat="1" ht="15.75" customHeight="1">
      <c r="A832" s="947"/>
      <c r="B832" s="944"/>
      <c r="C832" s="51"/>
      <c r="D832" s="54"/>
      <c r="E832" s="17"/>
      <c r="F832" s="55">
        <f>D832*E832</f>
        <v>0</v>
      </c>
      <c r="G832" s="1072"/>
    </row>
    <row r="833" spans="1:7" s="2" customFormat="1" ht="15.75" customHeight="1">
      <c r="A833" s="1079"/>
      <c r="B833" s="944"/>
      <c r="C833" s="56"/>
      <c r="D833" s="56"/>
      <c r="E833" s="56"/>
      <c r="F833" s="55"/>
      <c r="G833" s="57">
        <f>SUM(F828:F833)</f>
        <v>1873.45</v>
      </c>
    </row>
    <row r="834" spans="1:7" s="2" customFormat="1" ht="15" customHeight="1">
      <c r="A834" s="1071" t="s">
        <v>10</v>
      </c>
      <c r="B834" s="944"/>
      <c r="C834" s="944"/>
      <c r="D834" s="944"/>
      <c r="E834" s="944"/>
      <c r="F834" s="944"/>
      <c r="G834" s="1072"/>
    </row>
    <row r="835" spans="1:7" s="2" customFormat="1" ht="15" customHeight="1">
      <c r="A835" s="1074" t="s">
        <v>2</v>
      </c>
      <c r="B835" s="944"/>
      <c r="C835" s="53" t="s">
        <v>3</v>
      </c>
      <c r="D835" s="53" t="s">
        <v>4</v>
      </c>
      <c r="E835" s="53" t="s">
        <v>6</v>
      </c>
      <c r="F835" s="53" t="s">
        <v>11</v>
      </c>
      <c r="G835" s="1075" t="s">
        <v>8</v>
      </c>
    </row>
    <row r="836" spans="1:7" s="2" customFormat="1" ht="15" customHeight="1">
      <c r="A836" s="947" t="str">
        <f>'INSUMOS '!$B$385</f>
        <v>ROCIADOR PENDIENTE TEMPERATURA</v>
      </c>
      <c r="B836" s="944"/>
      <c r="C836" s="16" t="s">
        <v>998</v>
      </c>
      <c r="D836" s="54">
        <v>1</v>
      </c>
      <c r="E836" s="17">
        <f>'INSUMOS '!$E$385</f>
        <v>82985.196714975842</v>
      </c>
      <c r="F836" s="55">
        <f>D836*E836</f>
        <v>82985.196714975842</v>
      </c>
      <c r="G836" s="1072"/>
    </row>
    <row r="837" spans="1:7" s="2" customFormat="1" ht="15" customHeight="1">
      <c r="A837" s="947" t="str">
        <f>'INSUMOS '!$B$386</f>
        <v>SOLDADURA PVC X 1/4</v>
      </c>
      <c r="B837" s="944"/>
      <c r="C837" s="16" t="s">
        <v>998</v>
      </c>
      <c r="D837" s="54">
        <v>7.0000000000000007E-2</v>
      </c>
      <c r="E837" s="17">
        <f>'INSUMOS '!$E$386</f>
        <v>74646</v>
      </c>
      <c r="F837" s="55">
        <f>D837*E837</f>
        <v>5225.22</v>
      </c>
      <c r="G837" s="1072"/>
    </row>
    <row r="838" spans="1:7" s="2" customFormat="1" ht="15" customHeight="1">
      <c r="A838" s="947" t="str">
        <f>'INSUMOS '!$B$369</f>
        <v>ACCESORIOS TUB RCI</v>
      </c>
      <c r="B838" s="944"/>
      <c r="C838" s="16" t="s">
        <v>998</v>
      </c>
      <c r="D838" s="54">
        <v>0.02</v>
      </c>
      <c r="E838" s="17">
        <f>'INSUMOS '!$E$369</f>
        <v>76641</v>
      </c>
      <c r="F838" s="55">
        <f>D838*E838</f>
        <v>1532.82</v>
      </c>
      <c r="G838" s="1072"/>
    </row>
    <row r="839" spans="1:7" s="2" customFormat="1" ht="15" customHeight="1">
      <c r="A839" s="947"/>
      <c r="B839" s="944"/>
      <c r="C839" s="16"/>
      <c r="D839" s="58"/>
      <c r="E839" s="17"/>
      <c r="F839" s="55"/>
      <c r="G839" s="57">
        <f>SUM(F835:F839)</f>
        <v>89743.23671497585</v>
      </c>
    </row>
    <row r="840" spans="1:7" s="2" customFormat="1" ht="15" customHeight="1">
      <c r="A840" s="1071" t="s">
        <v>15</v>
      </c>
      <c r="B840" s="944"/>
      <c r="C840" s="944"/>
      <c r="D840" s="944"/>
      <c r="E840" s="944"/>
      <c r="F840" s="944"/>
      <c r="G840" s="1072"/>
    </row>
    <row r="841" spans="1:7" s="2" customFormat="1" ht="15" customHeight="1">
      <c r="A841" s="1074" t="s">
        <v>2</v>
      </c>
      <c r="B841" s="944"/>
      <c r="C841" s="53" t="s">
        <v>3</v>
      </c>
      <c r="D841" s="53" t="s">
        <v>4</v>
      </c>
      <c r="E841" s="53" t="s">
        <v>6</v>
      </c>
      <c r="F841" s="53" t="s">
        <v>11</v>
      </c>
      <c r="G841" s="1075" t="s">
        <v>8</v>
      </c>
    </row>
    <row r="842" spans="1:7" s="2" customFormat="1" ht="15" customHeight="1">
      <c r="A842" s="943" t="s">
        <v>173</v>
      </c>
      <c r="B842" s="944"/>
      <c r="C842" s="16" t="s">
        <v>3</v>
      </c>
      <c r="D842" s="54">
        <v>3.5000000000000003E-2</v>
      </c>
      <c r="E842" s="17">
        <f>+G839</f>
        <v>89743.23671497585</v>
      </c>
      <c r="F842" s="55">
        <f>E842*D842</f>
        <v>3141.0132850241553</v>
      </c>
      <c r="G842" s="1072"/>
    </row>
    <row r="843" spans="1:7" s="2" customFormat="1" ht="15" customHeight="1">
      <c r="A843" s="59"/>
      <c r="B843" s="60"/>
      <c r="C843" s="60"/>
      <c r="D843" s="60"/>
      <c r="E843" s="60"/>
      <c r="F843" s="60"/>
      <c r="G843" s="57">
        <f>SUM(F842:F843)</f>
        <v>3141.0132850241553</v>
      </c>
    </row>
    <row r="844" spans="1:7" s="2" customFormat="1" ht="15" customHeight="1">
      <c r="A844" s="1071" t="s">
        <v>19</v>
      </c>
      <c r="B844" s="944"/>
      <c r="C844" s="944"/>
      <c r="D844" s="944"/>
      <c r="E844" s="944"/>
      <c r="F844" s="944"/>
      <c r="G844" s="1072"/>
    </row>
    <row r="845" spans="1:7" s="2" customFormat="1" ht="15" customHeight="1">
      <c r="A845" s="1074" t="s">
        <v>2</v>
      </c>
      <c r="B845" s="944"/>
      <c r="C845" s="53" t="s">
        <v>3</v>
      </c>
      <c r="D845" s="53" t="s">
        <v>4</v>
      </c>
      <c r="E845" s="53" t="s">
        <v>6</v>
      </c>
      <c r="F845" s="53" t="s">
        <v>11</v>
      </c>
      <c r="G845" s="456" t="s">
        <v>8</v>
      </c>
    </row>
    <row r="846" spans="1:7" s="2" customFormat="1" ht="15.75" customHeight="1">
      <c r="A846" s="978" t="str">
        <f>SALARIOS!$A$70</f>
        <v>CUADRILLA BB INSTALACIONES 1:2</v>
      </c>
      <c r="B846" s="979"/>
      <c r="C846" s="13" t="s">
        <v>1245</v>
      </c>
      <c r="D846" s="32">
        <v>1</v>
      </c>
      <c r="E846" s="13">
        <f>SALARIOS!$C$70</f>
        <v>37469</v>
      </c>
      <c r="F846" s="55">
        <f>+D846*E846</f>
        <v>37469</v>
      </c>
      <c r="G846" s="57">
        <f>SUM(F845:F846)</f>
        <v>37469</v>
      </c>
    </row>
    <row r="847" spans="1:7" s="2" customFormat="1" ht="15" customHeight="1">
      <c r="A847" s="1076" t="s">
        <v>25</v>
      </c>
      <c r="B847" s="944"/>
      <c r="C847" s="944"/>
      <c r="D847" s="944"/>
      <c r="E847" s="944"/>
      <c r="F847" s="944"/>
      <c r="G847" s="1072"/>
    </row>
    <row r="848" spans="1:7" s="2" customFormat="1" ht="15" customHeight="1">
      <c r="A848" s="1077"/>
      <c r="B848" s="944"/>
      <c r="C848" s="944"/>
      <c r="D848" s="944"/>
      <c r="E848" s="944"/>
      <c r="F848" s="944"/>
      <c r="G848" s="62">
        <f>G846+G843+G839+G833</f>
        <v>132226.70000000001</v>
      </c>
    </row>
    <row r="850" spans="1:7" s="2" customFormat="1" ht="15.75" customHeight="1">
      <c r="A850" s="970" t="s">
        <v>1</v>
      </c>
      <c r="B850" s="957"/>
      <c r="C850" s="953" t="s">
        <v>0</v>
      </c>
      <c r="D850" s="953"/>
      <c r="E850" s="953"/>
      <c r="F850" s="953"/>
      <c r="G850" s="1103"/>
    </row>
    <row r="851" spans="1:7" s="2" customFormat="1" ht="69.75" customHeight="1">
      <c r="A851" s="971"/>
      <c r="B851" s="957"/>
      <c r="C851" s="953"/>
      <c r="D851" s="953"/>
      <c r="E851" s="953"/>
      <c r="F851" s="953"/>
      <c r="G851" s="1103"/>
    </row>
    <row r="852" spans="1:7" s="2" customFormat="1" ht="15.75" customHeight="1">
      <c r="A852" s="971"/>
      <c r="B852" s="957"/>
      <c r="C852" s="956"/>
      <c r="D852" s="957"/>
      <c r="E852" s="957"/>
      <c r="F852" s="957"/>
      <c r="G852" s="958"/>
    </row>
    <row r="853" spans="1:7" s="2" customFormat="1" ht="15.75" customHeight="1">
      <c r="A853" s="971"/>
      <c r="B853" s="957"/>
      <c r="C853" s="959" t="s">
        <v>2</v>
      </c>
      <c r="D853" s="957"/>
      <c r="E853" s="957"/>
      <c r="F853" s="23" t="s">
        <v>3</v>
      </c>
      <c r="G853" s="24" t="s">
        <v>4</v>
      </c>
    </row>
    <row r="854" spans="1:7" s="2" customFormat="1" ht="73.5" customHeight="1">
      <c r="A854" s="1089" t="s">
        <v>1952</v>
      </c>
      <c r="B854" s="944"/>
      <c r="C854" s="980" t="s">
        <v>1953</v>
      </c>
      <c r="D854" s="944"/>
      <c r="E854" s="944"/>
      <c r="F854" s="51" t="s">
        <v>3</v>
      </c>
      <c r="G854" s="52">
        <v>270</v>
      </c>
    </row>
    <row r="855" spans="1:7" s="2" customFormat="1" ht="15.75" customHeight="1">
      <c r="A855" s="1071" t="s">
        <v>5</v>
      </c>
      <c r="B855" s="944"/>
      <c r="C855" s="944"/>
      <c r="D855" s="944"/>
      <c r="E855" s="944"/>
      <c r="F855" s="944"/>
      <c r="G855" s="1072"/>
    </row>
    <row r="856" spans="1:7" s="2" customFormat="1" ht="15.75" customHeight="1">
      <c r="A856" s="1074" t="s">
        <v>2</v>
      </c>
      <c r="B856" s="944"/>
      <c r="C856" s="53" t="s">
        <v>3</v>
      </c>
      <c r="D856" s="53" t="s">
        <v>4</v>
      </c>
      <c r="E856" s="53" t="s">
        <v>6</v>
      </c>
      <c r="F856" s="53" t="s">
        <v>7</v>
      </c>
      <c r="G856" s="1075" t="s">
        <v>8</v>
      </c>
    </row>
    <row r="857" spans="1:7" s="2" customFormat="1" ht="15.75" customHeight="1">
      <c r="A857" s="947" t="s">
        <v>167</v>
      </c>
      <c r="B857" s="980"/>
      <c r="C857" s="51" t="s">
        <v>3</v>
      </c>
      <c r="D857" s="54">
        <v>0.05</v>
      </c>
      <c r="E857" s="17">
        <f>+G874</f>
        <v>37469</v>
      </c>
      <c r="F857" s="55">
        <f>D857*E857</f>
        <v>1873.45</v>
      </c>
      <c r="G857" s="1072"/>
    </row>
    <row r="858" spans="1:7" s="2" customFormat="1" ht="15.75" customHeight="1">
      <c r="A858" s="947"/>
      <c r="B858" s="944"/>
      <c r="C858" s="51"/>
      <c r="D858" s="54"/>
      <c r="E858" s="17"/>
      <c r="F858" s="55">
        <f>D858*E858</f>
        <v>0</v>
      </c>
      <c r="G858" s="1072"/>
    </row>
    <row r="859" spans="1:7" s="2" customFormat="1" ht="15.75" customHeight="1">
      <c r="A859" s="947"/>
      <c r="B859" s="980"/>
      <c r="C859" s="141"/>
      <c r="D859" s="16"/>
      <c r="E859" s="143"/>
      <c r="F859" s="55">
        <f>D859*E859</f>
        <v>0</v>
      </c>
      <c r="G859" s="1072"/>
    </row>
    <row r="860" spans="1:7" s="2" customFormat="1" ht="15.75" customHeight="1">
      <c r="A860" s="947"/>
      <c r="B860" s="944"/>
      <c r="C860" s="51"/>
      <c r="D860" s="54"/>
      <c r="E860" s="17"/>
      <c r="F860" s="55">
        <f>D860*E860</f>
        <v>0</v>
      </c>
      <c r="G860" s="1072"/>
    </row>
    <row r="861" spans="1:7" s="2" customFormat="1" ht="15.75" customHeight="1">
      <c r="A861" s="1079"/>
      <c r="B861" s="944"/>
      <c r="C861" s="56"/>
      <c r="D861" s="56"/>
      <c r="E861" s="56"/>
      <c r="F861" s="55"/>
      <c r="G861" s="57">
        <f>SUM(F856:F861)</f>
        <v>1873.45</v>
      </c>
    </row>
    <row r="862" spans="1:7" s="2" customFormat="1" ht="15" customHeight="1">
      <c r="A862" s="1071" t="s">
        <v>10</v>
      </c>
      <c r="B862" s="944"/>
      <c r="C862" s="944"/>
      <c r="D862" s="944"/>
      <c r="E862" s="944"/>
      <c r="F862" s="944"/>
      <c r="G862" s="1072"/>
    </row>
    <row r="863" spans="1:7" s="2" customFormat="1" ht="15" customHeight="1">
      <c r="A863" s="1074" t="s">
        <v>2</v>
      </c>
      <c r="B863" s="944"/>
      <c r="C863" s="53" t="s">
        <v>3</v>
      </c>
      <c r="D863" s="53" t="s">
        <v>4</v>
      </c>
      <c r="E863" s="53" t="s">
        <v>6</v>
      </c>
      <c r="F863" s="53" t="s">
        <v>11</v>
      </c>
      <c r="G863" s="1075" t="s">
        <v>8</v>
      </c>
    </row>
    <row r="864" spans="1:7" s="2" customFormat="1" ht="15" customHeight="1">
      <c r="A864" s="947" t="str">
        <f>'INSUMOS '!$B$386</f>
        <v>SOLDADURA PVC X 1/4</v>
      </c>
      <c r="B864" s="944"/>
      <c r="C864" s="16" t="s">
        <v>998</v>
      </c>
      <c r="D864" s="54">
        <v>7.0000000000000007E-2</v>
      </c>
      <c r="E864" s="17">
        <f>'INSUMOS '!$E$386</f>
        <v>74646</v>
      </c>
      <c r="F864" s="55">
        <f>D864*E864</f>
        <v>5225.22</v>
      </c>
      <c r="G864" s="1072"/>
    </row>
    <row r="865" spans="1:7" s="2" customFormat="1" ht="15" customHeight="1">
      <c r="A865" s="947" t="str">
        <f>'INSUMOS '!$B$387</f>
        <v>ROCIADOR MONTANTE TEMPERATURA</v>
      </c>
      <c r="B865" s="944"/>
      <c r="C865" s="16" t="s">
        <v>998</v>
      </c>
      <c r="D865" s="54">
        <v>1</v>
      </c>
      <c r="E865" s="17">
        <f>'INSUMOS '!$E$387</f>
        <v>157000</v>
      </c>
      <c r="F865" s="55">
        <f>D865*E865</f>
        <v>157000</v>
      </c>
      <c r="G865" s="1072"/>
    </row>
    <row r="866" spans="1:7" s="2" customFormat="1" ht="15" customHeight="1">
      <c r="A866" s="947" t="str">
        <f>'INSUMOS '!$B$369</f>
        <v>ACCESORIOS TUB RCI</v>
      </c>
      <c r="B866" s="944"/>
      <c r="C866" s="16" t="s">
        <v>998</v>
      </c>
      <c r="D866" s="54">
        <v>0.02</v>
      </c>
      <c r="E866" s="17">
        <f>'INSUMOS '!$E$369</f>
        <v>76641</v>
      </c>
      <c r="F866" s="55">
        <f>D866*E866</f>
        <v>1532.82</v>
      </c>
      <c r="G866" s="1072"/>
    </row>
    <row r="867" spans="1:7" s="2" customFormat="1" ht="15" customHeight="1">
      <c r="A867" s="947"/>
      <c r="B867" s="944"/>
      <c r="C867" s="16"/>
      <c r="D867" s="58"/>
      <c r="E867" s="17"/>
      <c r="F867" s="55"/>
      <c r="G867" s="57">
        <f>SUM(F863:F867)</f>
        <v>163758.04</v>
      </c>
    </row>
    <row r="868" spans="1:7" s="2" customFormat="1" ht="15" customHeight="1">
      <c r="A868" s="1071" t="s">
        <v>15</v>
      </c>
      <c r="B868" s="944"/>
      <c r="C868" s="944"/>
      <c r="D868" s="944"/>
      <c r="E868" s="944"/>
      <c r="F868" s="944"/>
      <c r="G868" s="1072"/>
    </row>
    <row r="869" spans="1:7" s="2" customFormat="1" ht="15" customHeight="1">
      <c r="A869" s="1074" t="s">
        <v>2</v>
      </c>
      <c r="B869" s="944"/>
      <c r="C869" s="53" t="s">
        <v>3</v>
      </c>
      <c r="D869" s="53" t="s">
        <v>4</v>
      </c>
      <c r="E869" s="53" t="s">
        <v>6</v>
      </c>
      <c r="F869" s="53" t="s">
        <v>11</v>
      </c>
      <c r="G869" s="1075" t="s">
        <v>8</v>
      </c>
    </row>
    <row r="870" spans="1:7" s="2" customFormat="1" ht="15" customHeight="1">
      <c r="A870" s="943" t="s">
        <v>173</v>
      </c>
      <c r="B870" s="944"/>
      <c r="C870" s="16" t="s">
        <v>3</v>
      </c>
      <c r="D870" s="54">
        <v>3.5000000000000003E-2</v>
      </c>
      <c r="E870" s="17">
        <f>+G867</f>
        <v>163758.04</v>
      </c>
      <c r="F870" s="55">
        <f>E870*D870</f>
        <v>5731.5314000000008</v>
      </c>
      <c r="G870" s="1072"/>
    </row>
    <row r="871" spans="1:7" s="2" customFormat="1" ht="15" customHeight="1">
      <c r="A871" s="59"/>
      <c r="B871" s="60"/>
      <c r="C871" s="60"/>
      <c r="D871" s="60"/>
      <c r="E871" s="60"/>
      <c r="F871" s="60"/>
      <c r="G871" s="57">
        <f>SUM(F870:F871)</f>
        <v>5731.5314000000008</v>
      </c>
    </row>
    <row r="872" spans="1:7" s="2" customFormat="1" ht="15" customHeight="1">
      <c r="A872" s="1071" t="s">
        <v>19</v>
      </c>
      <c r="B872" s="944"/>
      <c r="C872" s="944"/>
      <c r="D872" s="944"/>
      <c r="E872" s="944"/>
      <c r="F872" s="944"/>
      <c r="G872" s="1072"/>
    </row>
    <row r="873" spans="1:7" s="2" customFormat="1" ht="15" customHeight="1">
      <c r="A873" s="1074" t="s">
        <v>2</v>
      </c>
      <c r="B873" s="944"/>
      <c r="C873" s="53" t="s">
        <v>3</v>
      </c>
      <c r="D873" s="53" t="s">
        <v>4</v>
      </c>
      <c r="E873" s="53" t="s">
        <v>6</v>
      </c>
      <c r="F873" s="53" t="s">
        <v>11</v>
      </c>
      <c r="G873" s="456" t="s">
        <v>8</v>
      </c>
    </row>
    <row r="874" spans="1:7" s="2" customFormat="1" ht="15.75" customHeight="1">
      <c r="A874" s="978" t="str">
        <f>SALARIOS!$A$70</f>
        <v>CUADRILLA BB INSTALACIONES 1:2</v>
      </c>
      <c r="B874" s="979"/>
      <c r="C874" s="13" t="s">
        <v>1245</v>
      </c>
      <c r="D874" s="32">
        <v>1</v>
      </c>
      <c r="E874" s="13">
        <f>SALARIOS!$C$70</f>
        <v>37469</v>
      </c>
      <c r="F874" s="55">
        <f>+D874*E874</f>
        <v>37469</v>
      </c>
      <c r="G874" s="57">
        <f>SUM(F873:F874)</f>
        <v>37469</v>
      </c>
    </row>
    <row r="875" spans="1:7" s="2" customFormat="1" ht="15" customHeight="1">
      <c r="A875" s="1076" t="s">
        <v>25</v>
      </c>
      <c r="B875" s="944"/>
      <c r="C875" s="944"/>
      <c r="D875" s="944"/>
      <c r="E875" s="944"/>
      <c r="F875" s="944"/>
      <c r="G875" s="1072"/>
    </row>
    <row r="876" spans="1:7" s="2" customFormat="1" ht="15" customHeight="1">
      <c r="A876" s="1077"/>
      <c r="B876" s="944"/>
      <c r="C876" s="944"/>
      <c r="D876" s="944"/>
      <c r="E876" s="944"/>
      <c r="F876" s="944"/>
      <c r="G876" s="62">
        <f>G874+G871+G867+G861</f>
        <v>208832.02140000003</v>
      </c>
    </row>
    <row r="878" spans="1:7" s="2" customFormat="1" ht="15.75" customHeight="1">
      <c r="A878" s="970" t="s">
        <v>1</v>
      </c>
      <c r="B878" s="957"/>
      <c r="C878" s="953" t="s">
        <v>0</v>
      </c>
      <c r="D878" s="953"/>
      <c r="E878" s="953"/>
      <c r="F878" s="953"/>
      <c r="G878" s="1103"/>
    </row>
    <row r="879" spans="1:7" s="2" customFormat="1" ht="69.75" customHeight="1">
      <c r="A879" s="971"/>
      <c r="B879" s="957"/>
      <c r="C879" s="953"/>
      <c r="D879" s="953"/>
      <c r="E879" s="953"/>
      <c r="F879" s="953"/>
      <c r="G879" s="1103"/>
    </row>
    <row r="880" spans="1:7" s="2" customFormat="1" ht="15.75" customHeight="1">
      <c r="A880" s="971"/>
      <c r="B880" s="957"/>
      <c r="C880" s="956"/>
      <c r="D880" s="957"/>
      <c r="E880" s="957"/>
      <c r="F880" s="957"/>
      <c r="G880" s="958"/>
    </row>
    <row r="881" spans="1:7" s="2" customFormat="1" ht="15.75" customHeight="1">
      <c r="A881" s="971"/>
      <c r="B881" s="957"/>
      <c r="C881" s="959" t="s">
        <v>2</v>
      </c>
      <c r="D881" s="957"/>
      <c r="E881" s="957"/>
      <c r="F881" s="23" t="s">
        <v>3</v>
      </c>
      <c r="G881" s="24" t="s">
        <v>4</v>
      </c>
    </row>
    <row r="882" spans="1:7" s="2" customFormat="1" ht="73.5" customHeight="1">
      <c r="A882" s="1089" t="s">
        <v>1954</v>
      </c>
      <c r="B882" s="944"/>
      <c r="C882" s="980" t="s">
        <v>1955</v>
      </c>
      <c r="D882" s="944"/>
      <c r="E882" s="944"/>
      <c r="F882" s="51" t="s">
        <v>3</v>
      </c>
      <c r="G882" s="52">
        <v>20</v>
      </c>
    </row>
    <row r="883" spans="1:7" s="2" customFormat="1" ht="15.75" customHeight="1">
      <c r="A883" s="1071" t="s">
        <v>5</v>
      </c>
      <c r="B883" s="944"/>
      <c r="C883" s="944"/>
      <c r="D883" s="944"/>
      <c r="E883" s="944"/>
      <c r="F883" s="944"/>
      <c r="G883" s="1072"/>
    </row>
    <row r="884" spans="1:7" s="2" customFormat="1" ht="15.75" customHeight="1">
      <c r="A884" s="1074" t="s">
        <v>2</v>
      </c>
      <c r="B884" s="944"/>
      <c r="C884" s="53" t="s">
        <v>3</v>
      </c>
      <c r="D884" s="53" t="s">
        <v>4</v>
      </c>
      <c r="E884" s="53" t="s">
        <v>6</v>
      </c>
      <c r="F884" s="53" t="s">
        <v>7</v>
      </c>
      <c r="G884" s="1075" t="s">
        <v>8</v>
      </c>
    </row>
    <row r="885" spans="1:7" s="2" customFormat="1" ht="15.75" customHeight="1">
      <c r="A885" s="947" t="s">
        <v>167</v>
      </c>
      <c r="B885" s="980"/>
      <c r="C885" s="51" t="s">
        <v>3</v>
      </c>
      <c r="D885" s="54">
        <v>0.05</v>
      </c>
      <c r="E885" s="17">
        <f>+G902</f>
        <v>37469</v>
      </c>
      <c r="F885" s="55">
        <f>D885*E885</f>
        <v>1873.45</v>
      </c>
      <c r="G885" s="1072"/>
    </row>
    <row r="886" spans="1:7" s="2" customFormat="1" ht="15.75" customHeight="1">
      <c r="A886" s="947"/>
      <c r="B886" s="944"/>
      <c r="C886" s="51"/>
      <c r="D886" s="54"/>
      <c r="E886" s="17"/>
      <c r="F886" s="55">
        <f>D886*E886</f>
        <v>0</v>
      </c>
      <c r="G886" s="1072"/>
    </row>
    <row r="887" spans="1:7" s="2" customFormat="1" ht="15.75" customHeight="1">
      <c r="A887" s="947"/>
      <c r="B887" s="980"/>
      <c r="C887" s="141"/>
      <c r="D887" s="16"/>
      <c r="E887" s="143"/>
      <c r="F887" s="55">
        <f>D887*E887</f>
        <v>0</v>
      </c>
      <c r="G887" s="1072"/>
    </row>
    <row r="888" spans="1:7" s="2" customFormat="1" ht="15.75" customHeight="1">
      <c r="A888" s="947"/>
      <c r="B888" s="944"/>
      <c r="C888" s="51"/>
      <c r="D888" s="54"/>
      <c r="E888" s="17"/>
      <c r="F888" s="55">
        <f>D888*E888</f>
        <v>0</v>
      </c>
      <c r="G888" s="1072"/>
    </row>
    <row r="889" spans="1:7" s="2" customFormat="1" ht="15.75" customHeight="1">
      <c r="A889" s="1079"/>
      <c r="B889" s="944"/>
      <c r="C889" s="56"/>
      <c r="D889" s="56"/>
      <c r="E889" s="56"/>
      <c r="F889" s="55"/>
      <c r="G889" s="57">
        <f>SUM(F884:F889)</f>
        <v>1873.45</v>
      </c>
    </row>
    <row r="890" spans="1:7" s="2" customFormat="1" ht="15" customHeight="1">
      <c r="A890" s="1071" t="s">
        <v>10</v>
      </c>
      <c r="B890" s="944"/>
      <c r="C890" s="944"/>
      <c r="D890" s="944"/>
      <c r="E890" s="944"/>
      <c r="F890" s="944"/>
      <c r="G890" s="1072"/>
    </row>
    <row r="891" spans="1:7" s="2" customFormat="1" ht="15" customHeight="1">
      <c r="A891" s="1074" t="s">
        <v>2</v>
      </c>
      <c r="B891" s="944"/>
      <c r="C891" s="53" t="s">
        <v>3</v>
      </c>
      <c r="D891" s="53" t="s">
        <v>4</v>
      </c>
      <c r="E891" s="53" t="s">
        <v>6</v>
      </c>
      <c r="F891" s="53" t="s">
        <v>11</v>
      </c>
      <c r="G891" s="1075" t="s">
        <v>8</v>
      </c>
    </row>
    <row r="892" spans="1:7" s="2" customFormat="1" ht="15" customHeight="1">
      <c r="A892" s="947" t="str">
        <f>'INSUMOS '!$B$388</f>
        <v>CUELGA ANTISISMICA TRANSVERSAL</v>
      </c>
      <c r="B892" s="944"/>
      <c r="C892" s="16" t="s">
        <v>998</v>
      </c>
      <c r="D892" s="54">
        <v>1</v>
      </c>
      <c r="E892" s="17">
        <f>'INSUMOS '!$E$388</f>
        <v>165514.25120773001</v>
      </c>
      <c r="F892" s="55">
        <f>D892*E892</f>
        <v>165514.25120773001</v>
      </c>
      <c r="G892" s="1072"/>
    </row>
    <row r="893" spans="1:7" s="2" customFormat="1" ht="15" customHeight="1">
      <c r="A893" s="947"/>
      <c r="B893" s="944"/>
      <c r="C893" s="51"/>
      <c r="D893" s="54"/>
      <c r="E893" s="17"/>
      <c r="F893" s="55">
        <f>D893*E893</f>
        <v>0</v>
      </c>
      <c r="G893" s="1072"/>
    </row>
    <row r="894" spans="1:7" s="2" customFormat="1" ht="15" customHeight="1">
      <c r="A894" s="947"/>
      <c r="B894" s="944"/>
      <c r="C894" s="16"/>
      <c r="D894" s="54"/>
      <c r="E894" s="17"/>
      <c r="F894" s="55">
        <f>D894*E894</f>
        <v>0</v>
      </c>
      <c r="G894" s="1072"/>
    </row>
    <row r="895" spans="1:7" s="2" customFormat="1" ht="15" customHeight="1">
      <c r="A895" s="947"/>
      <c r="B895" s="944"/>
      <c r="C895" s="16"/>
      <c r="D895" s="58"/>
      <c r="E895" s="17"/>
      <c r="F895" s="55"/>
      <c r="G895" s="57">
        <f>SUM(F891:F895)</f>
        <v>165514.25120773001</v>
      </c>
    </row>
    <row r="896" spans="1:7" s="2" customFormat="1" ht="15" customHeight="1">
      <c r="A896" s="1071" t="s">
        <v>15</v>
      </c>
      <c r="B896" s="944"/>
      <c r="C896" s="944"/>
      <c r="D896" s="944"/>
      <c r="E896" s="944"/>
      <c r="F896" s="944"/>
      <c r="G896" s="1072"/>
    </row>
    <row r="897" spans="1:7" s="2" customFormat="1" ht="15" customHeight="1">
      <c r="A897" s="1074" t="s">
        <v>2</v>
      </c>
      <c r="B897" s="944"/>
      <c r="C897" s="53" t="s">
        <v>3</v>
      </c>
      <c r="D897" s="53" t="s">
        <v>4</v>
      </c>
      <c r="E897" s="53" t="s">
        <v>6</v>
      </c>
      <c r="F897" s="53" t="s">
        <v>11</v>
      </c>
      <c r="G897" s="1075" t="s">
        <v>8</v>
      </c>
    </row>
    <row r="898" spans="1:7" s="2" customFormat="1" ht="15" customHeight="1">
      <c r="A898" s="943" t="s">
        <v>173</v>
      </c>
      <c r="B898" s="944"/>
      <c r="C898" s="16" t="s">
        <v>3</v>
      </c>
      <c r="D898" s="54">
        <v>3.5000000000000003E-2</v>
      </c>
      <c r="E898" s="17">
        <f>+G895</f>
        <v>165514.25120773001</v>
      </c>
      <c r="F898" s="55">
        <f>E898*D898</f>
        <v>5792.9987922705504</v>
      </c>
      <c r="G898" s="1072"/>
    </row>
    <row r="899" spans="1:7" s="2" customFormat="1" ht="15" customHeight="1">
      <c r="A899" s="59"/>
      <c r="B899" s="60"/>
      <c r="C899" s="60"/>
      <c r="D899" s="60"/>
      <c r="E899" s="60"/>
      <c r="F899" s="60"/>
      <c r="G899" s="57">
        <f>SUM(F898:F899)</f>
        <v>5792.9987922705504</v>
      </c>
    </row>
    <row r="900" spans="1:7" s="2" customFormat="1" ht="15" customHeight="1">
      <c r="A900" s="1071" t="s">
        <v>19</v>
      </c>
      <c r="B900" s="944"/>
      <c r="C900" s="944"/>
      <c r="D900" s="944"/>
      <c r="E900" s="944"/>
      <c r="F900" s="944"/>
      <c r="G900" s="1072"/>
    </row>
    <row r="901" spans="1:7" s="2" customFormat="1" ht="15" customHeight="1">
      <c r="A901" s="1074" t="s">
        <v>2</v>
      </c>
      <c r="B901" s="944"/>
      <c r="C901" s="53" t="s">
        <v>3</v>
      </c>
      <c r="D901" s="53" t="s">
        <v>4</v>
      </c>
      <c r="E901" s="53" t="s">
        <v>6</v>
      </c>
      <c r="F901" s="53" t="s">
        <v>11</v>
      </c>
      <c r="G901" s="456" t="s">
        <v>8</v>
      </c>
    </row>
    <row r="902" spans="1:7" s="2" customFormat="1" ht="15.75" customHeight="1">
      <c r="A902" s="978" t="str">
        <f>SALARIOS!$A$70</f>
        <v>CUADRILLA BB INSTALACIONES 1:2</v>
      </c>
      <c r="B902" s="979"/>
      <c r="C902" s="13" t="s">
        <v>1245</v>
      </c>
      <c r="D902" s="32">
        <v>1</v>
      </c>
      <c r="E902" s="13">
        <f>SALARIOS!$C$70</f>
        <v>37469</v>
      </c>
      <c r="F902" s="55">
        <f>+D902*E902</f>
        <v>37469</v>
      </c>
      <c r="G902" s="57">
        <f>SUM(F901:F902)</f>
        <v>37469</v>
      </c>
    </row>
    <row r="903" spans="1:7" s="2" customFormat="1" ht="15" customHeight="1">
      <c r="A903" s="1076" t="s">
        <v>25</v>
      </c>
      <c r="B903" s="944"/>
      <c r="C903" s="944"/>
      <c r="D903" s="944"/>
      <c r="E903" s="944"/>
      <c r="F903" s="944"/>
      <c r="G903" s="1072"/>
    </row>
    <row r="904" spans="1:7" s="2" customFormat="1" ht="15" customHeight="1">
      <c r="A904" s="1077"/>
      <c r="B904" s="944"/>
      <c r="C904" s="944"/>
      <c r="D904" s="944"/>
      <c r="E904" s="944"/>
      <c r="F904" s="944"/>
      <c r="G904" s="62">
        <f>G902+G899+G895+G889</f>
        <v>210649.70000000056</v>
      </c>
    </row>
    <row r="906" spans="1:7" s="2" customFormat="1" ht="15.75" customHeight="1">
      <c r="A906" s="970" t="s">
        <v>1</v>
      </c>
      <c r="B906" s="957"/>
      <c r="C906" s="953" t="s">
        <v>0</v>
      </c>
      <c r="D906" s="953"/>
      <c r="E906" s="953"/>
      <c r="F906" s="953"/>
      <c r="G906" s="1103"/>
    </row>
    <row r="907" spans="1:7" s="2" customFormat="1" ht="69.75" customHeight="1">
      <c r="A907" s="971"/>
      <c r="B907" s="957"/>
      <c r="C907" s="953"/>
      <c r="D907" s="953"/>
      <c r="E907" s="953"/>
      <c r="F907" s="953"/>
      <c r="G907" s="1103"/>
    </row>
    <row r="908" spans="1:7" s="2" customFormat="1" ht="15.75" customHeight="1">
      <c r="A908" s="971"/>
      <c r="B908" s="957"/>
      <c r="C908" s="956"/>
      <c r="D908" s="957"/>
      <c r="E908" s="957"/>
      <c r="F908" s="957"/>
      <c r="G908" s="958"/>
    </row>
    <row r="909" spans="1:7" s="2" customFormat="1" ht="15.75" customHeight="1">
      <c r="A909" s="971"/>
      <c r="B909" s="957"/>
      <c r="C909" s="959" t="s">
        <v>2</v>
      </c>
      <c r="D909" s="957"/>
      <c r="E909" s="957"/>
      <c r="F909" s="23" t="s">
        <v>3</v>
      </c>
      <c r="G909" s="24" t="s">
        <v>4</v>
      </c>
    </row>
    <row r="910" spans="1:7" s="2" customFormat="1" ht="73.5" customHeight="1">
      <c r="A910" s="1089" t="s">
        <v>1956</v>
      </c>
      <c r="B910" s="944"/>
      <c r="C910" s="980" t="s">
        <v>1957</v>
      </c>
      <c r="D910" s="944"/>
      <c r="E910" s="944"/>
      <c r="F910" s="51" t="s">
        <v>3</v>
      </c>
      <c r="G910" s="52">
        <v>20</v>
      </c>
    </row>
    <row r="911" spans="1:7" s="2" customFormat="1" ht="15.75" customHeight="1">
      <c r="A911" s="1071" t="s">
        <v>5</v>
      </c>
      <c r="B911" s="944"/>
      <c r="C911" s="944"/>
      <c r="D911" s="944"/>
      <c r="E911" s="944"/>
      <c r="F911" s="944"/>
      <c r="G911" s="1072"/>
    </row>
    <row r="912" spans="1:7" s="2" customFormat="1" ht="15.75" customHeight="1">
      <c r="A912" s="1074" t="s">
        <v>2</v>
      </c>
      <c r="B912" s="944"/>
      <c r="C912" s="53" t="s">
        <v>3</v>
      </c>
      <c r="D912" s="53" t="s">
        <v>4</v>
      </c>
      <c r="E912" s="53" t="s">
        <v>6</v>
      </c>
      <c r="F912" s="53" t="s">
        <v>7</v>
      </c>
      <c r="G912" s="1075" t="s">
        <v>8</v>
      </c>
    </row>
    <row r="913" spans="1:8" s="2" customFormat="1" ht="15.75" customHeight="1">
      <c r="A913" s="947" t="s">
        <v>167</v>
      </c>
      <c r="B913" s="980"/>
      <c r="C913" s="51" t="s">
        <v>3</v>
      </c>
      <c r="D913" s="54">
        <v>0.05</v>
      </c>
      <c r="E913" s="17">
        <f>+G930</f>
        <v>37469</v>
      </c>
      <c r="F913" s="55">
        <f>D913*E913</f>
        <v>1873.45</v>
      </c>
      <c r="G913" s="1072"/>
    </row>
    <row r="914" spans="1:8" s="2" customFormat="1" ht="15.75" customHeight="1">
      <c r="A914" s="947"/>
      <c r="B914" s="944"/>
      <c r="C914" s="51"/>
      <c r="D914" s="54"/>
      <c r="E914" s="17"/>
      <c r="F914" s="55">
        <f>D914*E914</f>
        <v>0</v>
      </c>
      <c r="G914" s="1072"/>
    </row>
    <row r="915" spans="1:8" s="2" customFormat="1" ht="15.75" customHeight="1">
      <c r="A915" s="947"/>
      <c r="B915" s="980"/>
      <c r="C915" s="141"/>
      <c r="D915" s="16"/>
      <c r="E915" s="143"/>
      <c r="F915" s="55">
        <f>D915*E915</f>
        <v>0</v>
      </c>
      <c r="G915" s="1072"/>
    </row>
    <row r="916" spans="1:8" s="2" customFormat="1" ht="15.75" customHeight="1">
      <c r="A916" s="947"/>
      <c r="B916" s="944"/>
      <c r="C916" s="51"/>
      <c r="D916" s="54"/>
      <c r="E916" s="17"/>
      <c r="F916" s="55">
        <f>D916*E916</f>
        <v>0</v>
      </c>
      <c r="G916" s="1072"/>
    </row>
    <row r="917" spans="1:8" s="2" customFormat="1" ht="15.75" customHeight="1">
      <c r="A917" s="1079"/>
      <c r="B917" s="944"/>
      <c r="C917" s="56"/>
      <c r="D917" s="56"/>
      <c r="E917" s="56"/>
      <c r="F917" s="55"/>
      <c r="G917" s="57">
        <f>SUM(F912:F917)</f>
        <v>1873.45</v>
      </c>
    </row>
    <row r="918" spans="1:8" s="2" customFormat="1" ht="15" customHeight="1">
      <c r="A918" s="1071" t="s">
        <v>10</v>
      </c>
      <c r="B918" s="944"/>
      <c r="C918" s="944"/>
      <c r="D918" s="944"/>
      <c r="E918" s="944"/>
      <c r="F918" s="944"/>
      <c r="G918" s="1072"/>
    </row>
    <row r="919" spans="1:8" s="2" customFormat="1" ht="15" customHeight="1">
      <c r="A919" s="1074" t="s">
        <v>2</v>
      </c>
      <c r="B919" s="944"/>
      <c r="C919" s="53" t="s">
        <v>3</v>
      </c>
      <c r="D919" s="53" t="s">
        <v>4</v>
      </c>
      <c r="E919" s="53" t="s">
        <v>6</v>
      </c>
      <c r="F919" s="53" t="s">
        <v>11</v>
      </c>
      <c r="G919" s="1075" t="s">
        <v>8</v>
      </c>
    </row>
    <row r="920" spans="1:8" s="2" customFormat="1" ht="15" customHeight="1">
      <c r="A920" s="947" t="str">
        <f>'INSUMOS '!$B$389</f>
        <v>CUELGA ANTISISMICA LONGITUDINAL</v>
      </c>
      <c r="B920" s="944"/>
      <c r="C920" s="16" t="s">
        <v>998</v>
      </c>
      <c r="D920" s="54">
        <v>1</v>
      </c>
      <c r="E920" s="17">
        <f>'INSUMOS '!$E$389</f>
        <v>173347.101449276</v>
      </c>
      <c r="F920" s="55">
        <f>D920*E920</f>
        <v>173347.101449276</v>
      </c>
      <c r="G920" s="1072"/>
    </row>
    <row r="921" spans="1:8" s="2" customFormat="1" ht="15" customHeight="1">
      <c r="A921" s="947"/>
      <c r="B921" s="944"/>
      <c r="C921" s="51"/>
      <c r="D921" s="54"/>
      <c r="E921" s="17"/>
      <c r="F921" s="55">
        <f>D921*E921</f>
        <v>0</v>
      </c>
      <c r="G921" s="1072"/>
    </row>
    <row r="922" spans="1:8" s="2" customFormat="1" ht="15" customHeight="1">
      <c r="A922" s="947"/>
      <c r="B922" s="944"/>
      <c r="C922" s="16"/>
      <c r="D922" s="54"/>
      <c r="E922" s="17"/>
      <c r="F922" s="55">
        <f>D922*E922</f>
        <v>0</v>
      </c>
      <c r="G922" s="1072"/>
    </row>
    <row r="923" spans="1:8" s="2" customFormat="1" ht="15" customHeight="1">
      <c r="A923" s="947"/>
      <c r="B923" s="944"/>
      <c r="C923" s="16"/>
      <c r="D923" s="58"/>
      <c r="E923" s="17"/>
      <c r="F923" s="55"/>
      <c r="G923" s="57">
        <f>SUM(F919:F923)</f>
        <v>173347.101449276</v>
      </c>
    </row>
    <row r="924" spans="1:8" s="2" customFormat="1" ht="15" customHeight="1">
      <c r="A924" s="1071" t="s">
        <v>15</v>
      </c>
      <c r="B924" s="944"/>
      <c r="C924" s="944"/>
      <c r="D924" s="944"/>
      <c r="E924" s="944"/>
      <c r="F924" s="944"/>
      <c r="G924" s="1072"/>
    </row>
    <row r="925" spans="1:8" s="2" customFormat="1" ht="15" customHeight="1">
      <c r="A925" s="1074" t="s">
        <v>2</v>
      </c>
      <c r="B925" s="944"/>
      <c r="C925" s="53" t="s">
        <v>3</v>
      </c>
      <c r="D925" s="53" t="s">
        <v>4</v>
      </c>
      <c r="E925" s="53" t="s">
        <v>6</v>
      </c>
      <c r="F925" s="53" t="s">
        <v>11</v>
      </c>
      <c r="G925" s="1075" t="s">
        <v>8</v>
      </c>
    </row>
    <row r="926" spans="1:8" s="2" customFormat="1" ht="15" customHeight="1">
      <c r="A926" s="943" t="s">
        <v>173</v>
      </c>
      <c r="B926" s="944"/>
      <c r="C926" s="16" t="s">
        <v>3</v>
      </c>
      <c r="D926" s="54">
        <v>3.5000000000000003E-2</v>
      </c>
      <c r="E926" s="17">
        <f>+G923</f>
        <v>173347.101449276</v>
      </c>
      <c r="F926" s="55">
        <f>E926*D926</f>
        <v>6067.1485507246607</v>
      </c>
      <c r="G926" s="1072"/>
    </row>
    <row r="927" spans="1:8" s="2" customFormat="1" ht="15" customHeight="1">
      <c r="A927" s="59"/>
      <c r="B927" s="60"/>
      <c r="C927" s="60"/>
      <c r="D927" s="60"/>
      <c r="E927" s="60"/>
      <c r="F927" s="60"/>
      <c r="G927" s="57">
        <f>SUM(F926:F927)</f>
        <v>6067.1485507246607</v>
      </c>
    </row>
    <row r="928" spans="1:8" s="2" customFormat="1" ht="15" customHeight="1">
      <c r="A928" s="1071" t="s">
        <v>19</v>
      </c>
      <c r="B928" s="944"/>
      <c r="C928" s="944"/>
      <c r="D928" s="944"/>
      <c r="E928" s="944"/>
      <c r="F928" s="944"/>
      <c r="G928" s="1072"/>
      <c r="H928"/>
    </row>
    <row r="929" spans="1:8" s="2" customFormat="1" ht="15" customHeight="1">
      <c r="A929" s="1074" t="s">
        <v>2</v>
      </c>
      <c r="B929" s="944"/>
      <c r="C929" s="53" t="s">
        <v>3</v>
      </c>
      <c r="D929" s="53" t="s">
        <v>4</v>
      </c>
      <c r="E929" s="53" t="s">
        <v>6</v>
      </c>
      <c r="F929" s="53" t="s">
        <v>11</v>
      </c>
      <c r="G929" s="456" t="s">
        <v>8</v>
      </c>
    </row>
    <row r="930" spans="1:8" s="2" customFormat="1" ht="15.75" customHeight="1">
      <c r="A930" s="978" t="str">
        <f>SALARIOS!$A$70</f>
        <v>CUADRILLA BB INSTALACIONES 1:2</v>
      </c>
      <c r="B930" s="979"/>
      <c r="C930" s="13" t="s">
        <v>1245</v>
      </c>
      <c r="D930" s="32">
        <v>1</v>
      </c>
      <c r="E930" s="13">
        <f>SALARIOS!$C$70</f>
        <v>37469</v>
      </c>
      <c r="F930" s="55">
        <f>+D930*E930</f>
        <v>37469</v>
      </c>
      <c r="G930" s="57">
        <f>SUM(F929:F930)</f>
        <v>37469</v>
      </c>
    </row>
    <row r="931" spans="1:8" s="2" customFormat="1" ht="15" customHeight="1">
      <c r="A931" s="1076" t="s">
        <v>25</v>
      </c>
      <c r="B931" s="944"/>
      <c r="C931" s="944"/>
      <c r="D931" s="944"/>
      <c r="E931" s="944"/>
      <c r="F931" s="944"/>
      <c r="G931" s="1072"/>
    </row>
    <row r="932" spans="1:8" s="2" customFormat="1" ht="15" customHeight="1">
      <c r="A932" s="1077"/>
      <c r="B932" s="944"/>
      <c r="C932" s="944"/>
      <c r="D932" s="944"/>
      <c r="E932" s="944"/>
      <c r="F932" s="944"/>
      <c r="G932" s="62">
        <f>G930+G927+G923+G917</f>
        <v>218756.70000000068</v>
      </c>
    </row>
    <row r="933" spans="1:8">
      <c r="H933" s="2"/>
    </row>
    <row r="934" spans="1:8" s="2" customFormat="1" ht="15.75" customHeight="1">
      <c r="A934" s="970" t="s">
        <v>1</v>
      </c>
      <c r="B934" s="957"/>
      <c r="C934" s="953" t="s">
        <v>0</v>
      </c>
      <c r="D934" s="953"/>
      <c r="E934" s="953"/>
      <c r="F934" s="953"/>
      <c r="G934" s="1103"/>
    </row>
    <row r="935" spans="1:8" s="2" customFormat="1" ht="69.75" customHeight="1">
      <c r="A935" s="971"/>
      <c r="B935" s="957"/>
      <c r="C935" s="953"/>
      <c r="D935" s="953"/>
      <c r="E935" s="953"/>
      <c r="F935" s="953"/>
      <c r="G935" s="1103"/>
    </row>
    <row r="936" spans="1:8" s="2" customFormat="1" ht="15.75" customHeight="1">
      <c r="A936" s="971"/>
      <c r="B936" s="957"/>
      <c r="C936" s="956"/>
      <c r="D936" s="957"/>
      <c r="E936" s="957"/>
      <c r="F936" s="957"/>
      <c r="G936" s="958"/>
    </row>
    <row r="937" spans="1:8" s="2" customFormat="1" ht="15.75" customHeight="1">
      <c r="A937" s="971"/>
      <c r="B937" s="957"/>
      <c r="C937" s="959" t="s">
        <v>2</v>
      </c>
      <c r="D937" s="957"/>
      <c r="E937" s="957"/>
      <c r="F937" s="23" t="s">
        <v>3</v>
      </c>
      <c r="G937" s="24" t="s">
        <v>4</v>
      </c>
    </row>
    <row r="938" spans="1:8" s="2" customFormat="1" ht="73.5" customHeight="1">
      <c r="A938" s="1089" t="s">
        <v>1958</v>
      </c>
      <c r="B938" s="944"/>
      <c r="C938" s="980" t="s">
        <v>1959</v>
      </c>
      <c r="D938" s="944"/>
      <c r="E938" s="944"/>
      <c r="F938" s="51" t="s">
        <v>3</v>
      </c>
      <c r="G938" s="52">
        <v>30</v>
      </c>
    </row>
    <row r="939" spans="1:8" s="2" customFormat="1" ht="15.75" customHeight="1">
      <c r="A939" s="1071" t="s">
        <v>5</v>
      </c>
      <c r="B939" s="944"/>
      <c r="C939" s="944"/>
      <c r="D939" s="944"/>
      <c r="E939" s="944"/>
      <c r="F939" s="944"/>
      <c r="G939" s="1072"/>
    </row>
    <row r="940" spans="1:8" s="2" customFormat="1" ht="15.75" customHeight="1">
      <c r="A940" s="1074" t="s">
        <v>2</v>
      </c>
      <c r="B940" s="944"/>
      <c r="C940" s="53" t="s">
        <v>3</v>
      </c>
      <c r="D940" s="53" t="s">
        <v>4</v>
      </c>
      <c r="E940" s="53" t="s">
        <v>6</v>
      </c>
      <c r="F940" s="53" t="s">
        <v>7</v>
      </c>
      <c r="G940" s="1075" t="s">
        <v>8</v>
      </c>
    </row>
    <row r="941" spans="1:8" s="2" customFormat="1" ht="15.75" customHeight="1">
      <c r="A941" s="947" t="s">
        <v>167</v>
      </c>
      <c r="B941" s="980"/>
      <c r="C941" s="51" t="s">
        <v>3</v>
      </c>
      <c r="D941" s="54">
        <v>0.05</v>
      </c>
      <c r="E941" s="17">
        <f>+G958</f>
        <v>37469</v>
      </c>
      <c r="F941" s="55">
        <f>D941*E941</f>
        <v>1873.45</v>
      </c>
      <c r="G941" s="1072"/>
    </row>
    <row r="942" spans="1:8" s="2" customFormat="1" ht="15.75" customHeight="1">
      <c r="A942" s="947"/>
      <c r="B942" s="944"/>
      <c r="C942" s="51"/>
      <c r="D942" s="54"/>
      <c r="E942" s="17"/>
      <c r="F942" s="55">
        <f>D942*E942</f>
        <v>0</v>
      </c>
      <c r="G942" s="1072"/>
    </row>
    <row r="943" spans="1:8" s="2" customFormat="1" ht="15.75" customHeight="1">
      <c r="A943" s="947"/>
      <c r="B943" s="980"/>
      <c r="C943" s="141"/>
      <c r="D943" s="16"/>
      <c r="E943" s="143"/>
      <c r="F943" s="55">
        <f>D943*E943</f>
        <v>0</v>
      </c>
      <c r="G943" s="1072"/>
    </row>
    <row r="944" spans="1:8" s="2" customFormat="1" ht="15.75" customHeight="1">
      <c r="A944" s="947"/>
      <c r="B944" s="944"/>
      <c r="C944" s="51"/>
      <c r="D944" s="54"/>
      <c r="E944" s="17"/>
      <c r="F944" s="55">
        <f>D944*E944</f>
        <v>0</v>
      </c>
      <c r="G944" s="1072"/>
    </row>
    <row r="945" spans="1:8" s="2" customFormat="1" ht="15.75" customHeight="1">
      <c r="A945" s="1079"/>
      <c r="B945" s="944"/>
      <c r="C945" s="56"/>
      <c r="D945" s="56"/>
      <c r="E945" s="56"/>
      <c r="F945" s="55"/>
      <c r="G945" s="57">
        <f>SUM(F940:F945)</f>
        <v>1873.45</v>
      </c>
    </row>
    <row r="946" spans="1:8" s="2" customFormat="1" ht="15" customHeight="1">
      <c r="A946" s="1071" t="s">
        <v>10</v>
      </c>
      <c r="B946" s="944"/>
      <c r="C946" s="944"/>
      <c r="D946" s="944"/>
      <c r="E946" s="944"/>
      <c r="F946" s="944"/>
      <c r="G946" s="1072"/>
    </row>
    <row r="947" spans="1:8" s="2" customFormat="1" ht="15" customHeight="1">
      <c r="A947" s="1074" t="s">
        <v>2</v>
      </c>
      <c r="B947" s="944"/>
      <c r="C947" s="53" t="s">
        <v>3</v>
      </c>
      <c r="D947" s="53" t="s">
        <v>4</v>
      </c>
      <c r="E947" s="53" t="s">
        <v>6</v>
      </c>
      <c r="F947" s="53" t="s">
        <v>11</v>
      </c>
      <c r="G947" s="1075" t="s">
        <v>8</v>
      </c>
    </row>
    <row r="948" spans="1:8" s="2" customFormat="1" ht="15" customHeight="1">
      <c r="A948" s="947" t="str">
        <f>'INSUMOS '!$B$390</f>
        <v>CUELGA ANTISISMICA CUATRO VIAS</v>
      </c>
      <c r="B948" s="944"/>
      <c r="C948" s="16" t="s">
        <v>998</v>
      </c>
      <c r="D948" s="54">
        <v>1</v>
      </c>
      <c r="E948" s="17">
        <f>'INSUMOS '!$E$390</f>
        <v>23050.5</v>
      </c>
      <c r="F948" s="55">
        <f>D948*E948</f>
        <v>23050.5</v>
      </c>
      <c r="G948" s="1072"/>
    </row>
    <row r="949" spans="1:8" s="2" customFormat="1" ht="15" customHeight="1">
      <c r="A949" s="947"/>
      <c r="B949" s="944"/>
      <c r="C949" s="51"/>
      <c r="D949" s="54"/>
      <c r="E949" s="17"/>
      <c r="F949" s="55">
        <f>D949*E949</f>
        <v>0</v>
      </c>
      <c r="G949" s="1072"/>
    </row>
    <row r="950" spans="1:8" s="2" customFormat="1" ht="15" customHeight="1">
      <c r="A950" s="947"/>
      <c r="B950" s="944"/>
      <c r="C950" s="16"/>
      <c r="D950" s="54"/>
      <c r="E950" s="17"/>
      <c r="F950" s="55">
        <f>D950*E950</f>
        <v>0</v>
      </c>
      <c r="G950" s="1072"/>
    </row>
    <row r="951" spans="1:8" s="2" customFormat="1" ht="15" customHeight="1">
      <c r="A951" s="947"/>
      <c r="B951" s="944"/>
      <c r="C951" s="16"/>
      <c r="D951" s="58"/>
      <c r="E951" s="17"/>
      <c r="F951" s="55"/>
      <c r="G951" s="57">
        <f>SUM(F947:F951)</f>
        <v>23050.5</v>
      </c>
    </row>
    <row r="952" spans="1:8" s="2" customFormat="1" ht="15" customHeight="1">
      <c r="A952" s="1071" t="s">
        <v>15</v>
      </c>
      <c r="B952" s="944"/>
      <c r="C952" s="944"/>
      <c r="D952" s="944"/>
      <c r="E952" s="944"/>
      <c r="F952" s="944"/>
      <c r="G952" s="1072"/>
    </row>
    <row r="953" spans="1:8" s="2" customFormat="1" ht="15" customHeight="1">
      <c r="A953" s="1074" t="s">
        <v>2</v>
      </c>
      <c r="B953" s="944"/>
      <c r="C953" s="53" t="s">
        <v>3</v>
      </c>
      <c r="D953" s="53" t="s">
        <v>4</v>
      </c>
      <c r="E953" s="53" t="s">
        <v>6</v>
      </c>
      <c r="F953" s="53" t="s">
        <v>11</v>
      </c>
      <c r="G953" s="1075" t="s">
        <v>8</v>
      </c>
    </row>
    <row r="954" spans="1:8" s="2" customFormat="1" ht="15" customHeight="1">
      <c r="A954" s="943" t="s">
        <v>173</v>
      </c>
      <c r="B954" s="944"/>
      <c r="C954" s="16" t="s">
        <v>3</v>
      </c>
      <c r="D954" s="54">
        <v>3.5000000000000003E-2</v>
      </c>
      <c r="E954" s="17">
        <f>+G951</f>
        <v>23050.5</v>
      </c>
      <c r="F954" s="55">
        <f>E954*D954</f>
        <v>806.76750000000004</v>
      </c>
      <c r="G954" s="1072"/>
    </row>
    <row r="955" spans="1:8" s="2" customFormat="1" ht="15" customHeight="1">
      <c r="A955" s="59"/>
      <c r="B955" s="60"/>
      <c r="C955" s="60"/>
      <c r="D955" s="60"/>
      <c r="E955" s="60"/>
      <c r="F955" s="60"/>
      <c r="G955" s="57">
        <f>SUM(F954:F955)</f>
        <v>806.76750000000004</v>
      </c>
    </row>
    <row r="956" spans="1:8" s="2" customFormat="1" ht="15" customHeight="1">
      <c r="A956" s="1071" t="s">
        <v>19</v>
      </c>
      <c r="B956" s="944"/>
      <c r="C956" s="944"/>
      <c r="D956" s="944"/>
      <c r="E956" s="944"/>
      <c r="F956" s="944"/>
      <c r="G956" s="1072"/>
      <c r="H956"/>
    </row>
    <row r="957" spans="1:8" s="2" customFormat="1" ht="15" customHeight="1">
      <c r="A957" s="1074" t="s">
        <v>2</v>
      </c>
      <c r="B957" s="944"/>
      <c r="C957" s="53" t="s">
        <v>3</v>
      </c>
      <c r="D957" s="53" t="s">
        <v>4</v>
      </c>
      <c r="E957" s="53" t="s">
        <v>6</v>
      </c>
      <c r="F957" s="53" t="s">
        <v>11</v>
      </c>
      <c r="G957" s="456" t="s">
        <v>8</v>
      </c>
    </row>
    <row r="958" spans="1:8" s="2" customFormat="1" ht="15.75" customHeight="1">
      <c r="A958" s="978" t="str">
        <f>SALARIOS!$A$70</f>
        <v>CUADRILLA BB INSTALACIONES 1:2</v>
      </c>
      <c r="B958" s="979"/>
      <c r="C958" s="13" t="s">
        <v>1245</v>
      </c>
      <c r="D958" s="32">
        <v>1</v>
      </c>
      <c r="E958" s="13">
        <f>SALARIOS!$C$70</f>
        <v>37469</v>
      </c>
      <c r="F958" s="55">
        <f>+D958*E958</f>
        <v>37469</v>
      </c>
      <c r="G958" s="57">
        <f>SUM(F957:F958)</f>
        <v>37469</v>
      </c>
    </row>
    <row r="959" spans="1:8" s="2" customFormat="1" ht="15" customHeight="1">
      <c r="A959" s="1076" t="s">
        <v>25</v>
      </c>
      <c r="B959" s="944"/>
      <c r="C959" s="944"/>
      <c r="D959" s="944"/>
      <c r="E959" s="944"/>
      <c r="F959" s="944"/>
      <c r="G959" s="1072"/>
    </row>
    <row r="960" spans="1:8" s="2" customFormat="1" ht="15" customHeight="1">
      <c r="A960" s="1077"/>
      <c r="B960" s="944"/>
      <c r="C960" s="944"/>
      <c r="D960" s="944"/>
      <c r="E960" s="944"/>
      <c r="F960" s="944"/>
      <c r="G960" s="62">
        <f>G958+G955+G951+G945</f>
        <v>63199.717499999999</v>
      </c>
    </row>
    <row r="961" spans="1:8">
      <c r="H961" s="2"/>
    </row>
    <row r="962" spans="1:8" s="2" customFormat="1" ht="15.75" customHeight="1">
      <c r="A962" s="970" t="s">
        <v>1</v>
      </c>
      <c r="B962" s="957"/>
      <c r="C962" s="953" t="s">
        <v>0</v>
      </c>
      <c r="D962" s="953"/>
      <c r="E962" s="953"/>
      <c r="F962" s="953"/>
      <c r="G962" s="1103"/>
    </row>
    <row r="963" spans="1:8" s="2" customFormat="1" ht="69.75" customHeight="1">
      <c r="A963" s="971"/>
      <c r="B963" s="957"/>
      <c r="C963" s="953"/>
      <c r="D963" s="953"/>
      <c r="E963" s="953"/>
      <c r="F963" s="953"/>
      <c r="G963" s="1103"/>
    </row>
    <row r="964" spans="1:8" s="2" customFormat="1" ht="15.75" customHeight="1">
      <c r="A964" s="971"/>
      <c r="B964" s="957"/>
      <c r="C964" s="956"/>
      <c r="D964" s="957"/>
      <c r="E964" s="957"/>
      <c r="F964" s="957"/>
      <c r="G964" s="958"/>
    </row>
    <row r="965" spans="1:8" s="2" customFormat="1" ht="15.75" customHeight="1">
      <c r="A965" s="971"/>
      <c r="B965" s="957"/>
      <c r="C965" s="959" t="s">
        <v>2</v>
      </c>
      <c r="D965" s="957"/>
      <c r="E965" s="957"/>
      <c r="F965" s="23" t="s">
        <v>3</v>
      </c>
      <c r="G965" s="24" t="s">
        <v>4</v>
      </c>
    </row>
    <row r="966" spans="1:8" s="2" customFormat="1" ht="73.5" customHeight="1">
      <c r="A966" s="1089" t="s">
        <v>1960</v>
      </c>
      <c r="B966" s="944"/>
      <c r="C966" s="980" t="s">
        <v>1961</v>
      </c>
      <c r="D966" s="944"/>
      <c r="E966" s="944"/>
      <c r="F966" s="51" t="s">
        <v>3</v>
      </c>
      <c r="G966" s="52">
        <v>366</v>
      </c>
    </row>
    <row r="967" spans="1:8" s="2" customFormat="1" ht="15.75" customHeight="1">
      <c r="A967" s="1071" t="s">
        <v>5</v>
      </c>
      <c r="B967" s="944"/>
      <c r="C967" s="944"/>
      <c r="D967" s="944"/>
      <c r="E967" s="944"/>
      <c r="F967" s="944"/>
      <c r="G967" s="1072"/>
    </row>
    <row r="968" spans="1:8" s="2" customFormat="1" ht="15.75" customHeight="1">
      <c r="A968" s="1074" t="s">
        <v>2</v>
      </c>
      <c r="B968" s="944"/>
      <c r="C968" s="53" t="s">
        <v>3</v>
      </c>
      <c r="D968" s="53" t="s">
        <v>4</v>
      </c>
      <c r="E968" s="53" t="s">
        <v>6</v>
      </c>
      <c r="F968" s="53" t="s">
        <v>7</v>
      </c>
      <c r="G968" s="1075" t="s">
        <v>8</v>
      </c>
    </row>
    <row r="969" spans="1:8" s="2" customFormat="1" ht="15.75" customHeight="1">
      <c r="A969" s="947" t="s">
        <v>167</v>
      </c>
      <c r="B969" s="980"/>
      <c r="C969" s="51" t="s">
        <v>3</v>
      </c>
      <c r="D969" s="54">
        <v>0.05</v>
      </c>
      <c r="E969" s="17">
        <f>+G986</f>
        <v>37469</v>
      </c>
      <c r="F969" s="55">
        <f>D969*E969</f>
        <v>1873.45</v>
      </c>
      <c r="G969" s="1072"/>
    </row>
    <row r="970" spans="1:8" s="2" customFormat="1" ht="15.75" customHeight="1">
      <c r="A970" s="947"/>
      <c r="B970" s="944"/>
      <c r="C970" s="51"/>
      <c r="D970" s="54"/>
      <c r="E970" s="17"/>
      <c r="F970" s="55">
        <f>D970*E970</f>
        <v>0</v>
      </c>
      <c r="G970" s="1072"/>
    </row>
    <row r="971" spans="1:8" s="2" customFormat="1" ht="15.75" customHeight="1">
      <c r="A971" s="947"/>
      <c r="B971" s="980"/>
      <c r="C971" s="141"/>
      <c r="D971" s="16"/>
      <c r="E971" s="143"/>
      <c r="F971" s="55">
        <f>D971*E971</f>
        <v>0</v>
      </c>
      <c r="G971" s="1072"/>
    </row>
    <row r="972" spans="1:8" s="2" customFormat="1" ht="15.75" customHeight="1">
      <c r="A972" s="947"/>
      <c r="B972" s="944"/>
      <c r="C972" s="51"/>
      <c r="D972" s="54"/>
      <c r="E972" s="17"/>
      <c r="F972" s="55">
        <f>D972*E972</f>
        <v>0</v>
      </c>
      <c r="G972" s="1072"/>
    </row>
    <row r="973" spans="1:8" s="2" customFormat="1" ht="15.75" customHeight="1">
      <c r="A973" s="1079"/>
      <c r="B973" s="944"/>
      <c r="C973" s="56"/>
      <c r="D973" s="56"/>
      <c r="E973" s="56"/>
      <c r="F973" s="55"/>
      <c r="G973" s="57">
        <f>SUM(F968:F973)</f>
        <v>1873.45</v>
      </c>
    </row>
    <row r="974" spans="1:8" s="2" customFormat="1" ht="15" customHeight="1">
      <c r="A974" s="1071" t="s">
        <v>10</v>
      </c>
      <c r="B974" s="944"/>
      <c r="C974" s="944"/>
      <c r="D974" s="944"/>
      <c r="E974" s="944"/>
      <c r="F974" s="944"/>
      <c r="G974" s="1072"/>
    </row>
    <row r="975" spans="1:8" s="2" customFormat="1" ht="15" customHeight="1">
      <c r="A975" s="1074" t="s">
        <v>2</v>
      </c>
      <c r="B975" s="944"/>
      <c r="C975" s="53" t="s">
        <v>3</v>
      </c>
      <c r="D975" s="53" t="s">
        <v>4</v>
      </c>
      <c r="E975" s="53" t="s">
        <v>6</v>
      </c>
      <c r="F975" s="53" t="s">
        <v>11</v>
      </c>
      <c r="G975" s="1075" t="s">
        <v>8</v>
      </c>
    </row>
    <row r="976" spans="1:8" s="2" customFormat="1" ht="15" customHeight="1">
      <c r="A976" s="947" t="str">
        <f>'INSUMOS '!$B$391</f>
        <v>CUELGA SENCILLA</v>
      </c>
      <c r="B976" s="944"/>
      <c r="C976" s="16" t="s">
        <v>998</v>
      </c>
      <c r="D976" s="54">
        <v>1</v>
      </c>
      <c r="E976" s="17">
        <f>'INSUMOS '!$E$391</f>
        <v>17929</v>
      </c>
      <c r="F976" s="55">
        <f>D976*E976</f>
        <v>17929</v>
      </c>
      <c r="G976" s="1072"/>
    </row>
    <row r="977" spans="1:8" s="2" customFormat="1" ht="15" customHeight="1">
      <c r="A977" s="947"/>
      <c r="B977" s="944"/>
      <c r="C977" s="51"/>
      <c r="D977" s="54"/>
      <c r="E977" s="17"/>
      <c r="F977" s="55">
        <f>D977*E977</f>
        <v>0</v>
      </c>
      <c r="G977" s="1072"/>
    </row>
    <row r="978" spans="1:8" s="2" customFormat="1" ht="15" customHeight="1">
      <c r="A978" s="947"/>
      <c r="B978" s="944"/>
      <c r="C978" s="16"/>
      <c r="D978" s="54"/>
      <c r="E978" s="17"/>
      <c r="F978" s="55">
        <f>D978*E978</f>
        <v>0</v>
      </c>
      <c r="G978" s="1072"/>
    </row>
    <row r="979" spans="1:8" s="2" customFormat="1" ht="15" customHeight="1">
      <c r="A979" s="947"/>
      <c r="B979" s="944"/>
      <c r="C979" s="16"/>
      <c r="D979" s="58"/>
      <c r="E979" s="17"/>
      <c r="F979" s="55"/>
      <c r="G979" s="57">
        <f>SUM(F975:F979)</f>
        <v>17929</v>
      </c>
    </row>
    <row r="980" spans="1:8" s="2" customFormat="1" ht="15" customHeight="1">
      <c r="A980" s="1071" t="s">
        <v>15</v>
      </c>
      <c r="B980" s="944"/>
      <c r="C980" s="944"/>
      <c r="D980" s="944"/>
      <c r="E980" s="944"/>
      <c r="F980" s="944"/>
      <c r="G980" s="1072"/>
    </row>
    <row r="981" spans="1:8" s="2" customFormat="1" ht="15" customHeight="1">
      <c r="A981" s="1074" t="s">
        <v>2</v>
      </c>
      <c r="B981" s="944"/>
      <c r="C981" s="53" t="s">
        <v>3</v>
      </c>
      <c r="D981" s="53" t="s">
        <v>4</v>
      </c>
      <c r="E981" s="53" t="s">
        <v>6</v>
      </c>
      <c r="F981" s="53" t="s">
        <v>11</v>
      </c>
      <c r="G981" s="1075" t="s">
        <v>8</v>
      </c>
    </row>
    <row r="982" spans="1:8" s="2" customFormat="1" ht="15" customHeight="1">
      <c r="A982" s="943" t="s">
        <v>173</v>
      </c>
      <c r="B982" s="944"/>
      <c r="C982" s="16" t="s">
        <v>3</v>
      </c>
      <c r="D982" s="54">
        <v>3.5000000000000003E-2</v>
      </c>
      <c r="E982" s="17">
        <f>+G979</f>
        <v>17929</v>
      </c>
      <c r="F982" s="55">
        <f>E982*D982</f>
        <v>627.5150000000001</v>
      </c>
      <c r="G982" s="1072"/>
    </row>
    <row r="983" spans="1:8" s="2" customFormat="1" ht="15" customHeight="1">
      <c r="A983" s="59"/>
      <c r="B983" s="60"/>
      <c r="C983" s="60"/>
      <c r="D983" s="60"/>
      <c r="E983" s="60"/>
      <c r="F983" s="60"/>
      <c r="G983" s="57">
        <f>SUM(F982:F983)</f>
        <v>627.5150000000001</v>
      </c>
    </row>
    <row r="984" spans="1:8" s="2" customFormat="1" ht="15" customHeight="1">
      <c r="A984" s="1071" t="s">
        <v>19</v>
      </c>
      <c r="B984" s="944"/>
      <c r="C984" s="944"/>
      <c r="D984" s="944"/>
      <c r="E984" s="944"/>
      <c r="F984" s="944"/>
      <c r="G984" s="1072"/>
      <c r="H984"/>
    </row>
    <row r="985" spans="1:8" s="2" customFormat="1" ht="15" customHeight="1">
      <c r="A985" s="1074" t="s">
        <v>2</v>
      </c>
      <c r="B985" s="944"/>
      <c r="C985" s="53" t="s">
        <v>3</v>
      </c>
      <c r="D985" s="53" t="s">
        <v>4</v>
      </c>
      <c r="E985" s="53" t="s">
        <v>6</v>
      </c>
      <c r="F985" s="53" t="s">
        <v>11</v>
      </c>
      <c r="G985" s="456" t="s">
        <v>8</v>
      </c>
    </row>
    <row r="986" spans="1:8" s="2" customFormat="1" ht="15.75" customHeight="1">
      <c r="A986" s="978" t="str">
        <f>SALARIOS!$A$70</f>
        <v>CUADRILLA BB INSTALACIONES 1:2</v>
      </c>
      <c r="B986" s="979"/>
      <c r="C986" s="13" t="s">
        <v>1245</v>
      </c>
      <c r="D986" s="32">
        <v>1</v>
      </c>
      <c r="E986" s="13">
        <f>SALARIOS!$C$70</f>
        <v>37469</v>
      </c>
      <c r="F986" s="55">
        <f>+D986*E986</f>
        <v>37469</v>
      </c>
      <c r="G986" s="57">
        <f>SUM(F985:F986)</f>
        <v>37469</v>
      </c>
    </row>
    <row r="987" spans="1:8" s="2" customFormat="1" ht="15" customHeight="1">
      <c r="A987" s="1076" t="s">
        <v>25</v>
      </c>
      <c r="B987" s="944"/>
      <c r="C987" s="944"/>
      <c r="D987" s="944"/>
      <c r="E987" s="944"/>
      <c r="F987" s="944"/>
      <c r="G987" s="1072"/>
    </row>
    <row r="988" spans="1:8" s="2" customFormat="1" ht="15" customHeight="1">
      <c r="A988" s="1077"/>
      <c r="B988" s="944"/>
      <c r="C988" s="944"/>
      <c r="D988" s="944"/>
      <c r="E988" s="944"/>
      <c r="F988" s="944"/>
      <c r="G988" s="62">
        <f>G986+G983+G979+G973</f>
        <v>57898.964999999997</v>
      </c>
    </row>
    <row r="989" spans="1:8">
      <c r="H989" s="2"/>
    </row>
    <row r="990" spans="1:8" s="2" customFormat="1" ht="15.75" customHeight="1">
      <c r="A990" s="970" t="s">
        <v>1</v>
      </c>
      <c r="B990" s="957"/>
      <c r="C990" s="953" t="s">
        <v>0</v>
      </c>
      <c r="D990" s="953"/>
      <c r="E990" s="953"/>
      <c r="F990" s="953"/>
      <c r="G990" s="1103"/>
    </row>
    <row r="991" spans="1:8" s="2" customFormat="1" ht="69.75" customHeight="1">
      <c r="A991" s="971"/>
      <c r="B991" s="957"/>
      <c r="C991" s="953"/>
      <c r="D991" s="953"/>
      <c r="E991" s="953"/>
      <c r="F991" s="953"/>
      <c r="G991" s="1103"/>
    </row>
    <row r="992" spans="1:8" s="2" customFormat="1" ht="15.75" customHeight="1">
      <c r="A992" s="971"/>
      <c r="B992" s="957"/>
      <c r="C992" s="956"/>
      <c r="D992" s="957"/>
      <c r="E992" s="957"/>
      <c r="F992" s="957"/>
      <c r="G992" s="958"/>
    </row>
    <row r="993" spans="1:7" s="2" customFormat="1" ht="15.75" customHeight="1">
      <c r="A993" s="971"/>
      <c r="B993" s="957"/>
      <c r="C993" s="959" t="s">
        <v>2</v>
      </c>
      <c r="D993" s="957"/>
      <c r="E993" s="957"/>
      <c r="F993" s="23" t="s">
        <v>3</v>
      </c>
      <c r="G993" s="24" t="s">
        <v>4</v>
      </c>
    </row>
    <row r="994" spans="1:7" s="2" customFormat="1" ht="73.5" customHeight="1">
      <c r="A994" s="1089" t="s">
        <v>1964</v>
      </c>
      <c r="B994" s="944"/>
      <c r="C994" s="980" t="s">
        <v>1965</v>
      </c>
      <c r="D994" s="944"/>
      <c r="E994" s="944"/>
      <c r="F994" s="51" t="s">
        <v>3</v>
      </c>
      <c r="G994" s="52">
        <v>1</v>
      </c>
    </row>
    <row r="995" spans="1:7" s="2" customFormat="1" ht="15.75" customHeight="1">
      <c r="A995" s="1071" t="s">
        <v>5</v>
      </c>
      <c r="B995" s="944"/>
      <c r="C995" s="944"/>
      <c r="D995" s="944"/>
      <c r="E995" s="944"/>
      <c r="F995" s="944"/>
      <c r="G995" s="1072"/>
    </row>
    <row r="996" spans="1:7" s="2" customFormat="1" ht="15.75" customHeight="1">
      <c r="A996" s="1074" t="s">
        <v>2</v>
      </c>
      <c r="B996" s="944"/>
      <c r="C996" s="53" t="s">
        <v>3</v>
      </c>
      <c r="D996" s="53" t="s">
        <v>4</v>
      </c>
      <c r="E996" s="53" t="s">
        <v>6</v>
      </c>
      <c r="F996" s="53" t="s">
        <v>7</v>
      </c>
      <c r="G996" s="1075" t="s">
        <v>8</v>
      </c>
    </row>
    <row r="997" spans="1:7" s="2" customFormat="1" ht="15.75" customHeight="1">
      <c r="A997" s="947" t="s">
        <v>167</v>
      </c>
      <c r="B997" s="980"/>
      <c r="C997" s="51" t="s">
        <v>3</v>
      </c>
      <c r="D997" s="54">
        <v>0.05</v>
      </c>
      <c r="E997" s="17">
        <f>+G1014</f>
        <v>37469</v>
      </c>
      <c r="F997" s="55">
        <f>D997*E997</f>
        <v>1873.45</v>
      </c>
      <c r="G997" s="1072"/>
    </row>
    <row r="998" spans="1:7" s="2" customFormat="1" ht="15.75" customHeight="1">
      <c r="A998" s="947"/>
      <c r="B998" s="944"/>
      <c r="C998" s="51"/>
      <c r="D998" s="54"/>
      <c r="E998" s="17"/>
      <c r="F998" s="55">
        <f>D998*E998</f>
        <v>0</v>
      </c>
      <c r="G998" s="1072"/>
    </row>
    <row r="999" spans="1:7" s="2" customFormat="1" ht="15.75" customHeight="1">
      <c r="A999" s="947"/>
      <c r="B999" s="980"/>
      <c r="C999" s="141"/>
      <c r="D999" s="16"/>
      <c r="E999" s="143"/>
      <c r="F999" s="55">
        <f>D999*E999</f>
        <v>0</v>
      </c>
      <c r="G999" s="1072"/>
    </row>
    <row r="1000" spans="1:7" s="2" customFormat="1" ht="15.75" customHeight="1">
      <c r="A1000" s="947"/>
      <c r="B1000" s="944"/>
      <c r="C1000" s="51"/>
      <c r="D1000" s="54"/>
      <c r="E1000" s="17"/>
      <c r="F1000" s="55">
        <f>D1000*E1000</f>
        <v>0</v>
      </c>
      <c r="G1000" s="1072"/>
    </row>
    <row r="1001" spans="1:7" s="2" customFormat="1" ht="15.75" customHeight="1">
      <c r="A1001" s="1079"/>
      <c r="B1001" s="944"/>
      <c r="C1001" s="56"/>
      <c r="D1001" s="56"/>
      <c r="E1001" s="56"/>
      <c r="F1001" s="55"/>
      <c r="G1001" s="57">
        <f>SUM(F996:F1001)</f>
        <v>1873.45</v>
      </c>
    </row>
    <row r="1002" spans="1:7" s="2" customFormat="1" ht="15" customHeight="1">
      <c r="A1002" s="1071" t="s">
        <v>10</v>
      </c>
      <c r="B1002" s="944"/>
      <c r="C1002" s="944"/>
      <c r="D1002" s="944"/>
      <c r="E1002" s="944"/>
      <c r="F1002" s="944"/>
      <c r="G1002" s="1072"/>
    </row>
    <row r="1003" spans="1:7" s="2" customFormat="1" ht="15" customHeight="1">
      <c r="A1003" s="1074" t="s">
        <v>2</v>
      </c>
      <c r="B1003" s="944"/>
      <c r="C1003" s="53" t="s">
        <v>3</v>
      </c>
      <c r="D1003" s="53" t="s">
        <v>4</v>
      </c>
      <c r="E1003" s="53" t="s">
        <v>6</v>
      </c>
      <c r="F1003" s="53" t="s">
        <v>11</v>
      </c>
      <c r="G1003" s="1075" t="s">
        <v>8</v>
      </c>
    </row>
    <row r="1004" spans="1:7" s="2" customFormat="1" ht="15" customHeight="1">
      <c r="A1004" s="947" t="str">
        <f>'INSUMOS '!$B$392</f>
        <v>CONT T/C RED DE DETECCIÓN Y ALARMA RCI</v>
      </c>
      <c r="B1004" s="944"/>
      <c r="C1004" s="16">
        <v>0</v>
      </c>
      <c r="D1004" s="54">
        <v>1</v>
      </c>
      <c r="E1004" s="17">
        <f>'INSUMOS '!$E$392</f>
        <v>95383176.086956501</v>
      </c>
      <c r="F1004" s="55">
        <f>D1004*E1004</f>
        <v>95383176.086956501</v>
      </c>
      <c r="G1004" s="1072"/>
    </row>
    <row r="1005" spans="1:7" s="2" customFormat="1" ht="15" customHeight="1">
      <c r="A1005" s="947"/>
      <c r="B1005" s="944"/>
      <c r="C1005" s="51"/>
      <c r="D1005" s="54"/>
      <c r="E1005" s="17"/>
      <c r="F1005" s="55">
        <f>D1005*E1005</f>
        <v>0</v>
      </c>
      <c r="G1005" s="1072"/>
    </row>
    <row r="1006" spans="1:7" s="2" customFormat="1" ht="15" customHeight="1">
      <c r="A1006" s="947"/>
      <c r="B1006" s="944"/>
      <c r="C1006" s="16"/>
      <c r="D1006" s="54"/>
      <c r="E1006" s="17"/>
      <c r="F1006" s="55">
        <f>D1006*E1006</f>
        <v>0</v>
      </c>
      <c r="G1006" s="1072"/>
    </row>
    <row r="1007" spans="1:7" s="2" customFormat="1" ht="15" customHeight="1">
      <c r="A1007" s="947"/>
      <c r="B1007" s="944"/>
      <c r="C1007" s="16"/>
      <c r="D1007" s="58"/>
      <c r="E1007" s="17"/>
      <c r="F1007" s="55"/>
      <c r="G1007" s="57">
        <f>SUM(F1003:F1007)</f>
        <v>95383176.086956501</v>
      </c>
    </row>
    <row r="1008" spans="1:7" s="2" customFormat="1" ht="15" customHeight="1">
      <c r="A1008" s="1071" t="s">
        <v>15</v>
      </c>
      <c r="B1008" s="944"/>
      <c r="C1008" s="944"/>
      <c r="D1008" s="944"/>
      <c r="E1008" s="944"/>
      <c r="F1008" s="944"/>
      <c r="G1008" s="1072"/>
    </row>
    <row r="1009" spans="1:8" s="2" customFormat="1" ht="15" customHeight="1">
      <c r="A1009" s="1074" t="s">
        <v>2</v>
      </c>
      <c r="B1009" s="944"/>
      <c r="C1009" s="53" t="s">
        <v>3</v>
      </c>
      <c r="D1009" s="53" t="s">
        <v>4</v>
      </c>
      <c r="E1009" s="53" t="s">
        <v>6</v>
      </c>
      <c r="F1009" s="53" t="s">
        <v>11</v>
      </c>
      <c r="G1009" s="1075" t="s">
        <v>8</v>
      </c>
    </row>
    <row r="1010" spans="1:8" s="2" customFormat="1" ht="15" customHeight="1">
      <c r="A1010" s="943" t="s">
        <v>173</v>
      </c>
      <c r="B1010" s="944"/>
      <c r="C1010" s="16" t="s">
        <v>3</v>
      </c>
      <c r="D1010" s="54">
        <v>3.5000000000000003E-2</v>
      </c>
      <c r="E1010" s="17">
        <f>+G1007</f>
        <v>95383176.086956501</v>
      </c>
      <c r="F1010" s="55">
        <f>E1010*D1010</f>
        <v>3338411.163043478</v>
      </c>
      <c r="G1010" s="1072"/>
    </row>
    <row r="1011" spans="1:8" s="2" customFormat="1" ht="15" customHeight="1">
      <c r="A1011" s="59"/>
      <c r="B1011" s="60"/>
      <c r="C1011" s="60"/>
      <c r="D1011" s="60"/>
      <c r="E1011" s="60"/>
      <c r="F1011" s="60"/>
      <c r="G1011" s="57">
        <f>SUM(F1010:F1011)</f>
        <v>3338411.163043478</v>
      </c>
    </row>
    <row r="1012" spans="1:8" s="2" customFormat="1" ht="15" customHeight="1">
      <c r="A1012" s="1071" t="s">
        <v>19</v>
      </c>
      <c r="B1012" s="944"/>
      <c r="C1012" s="944"/>
      <c r="D1012" s="944"/>
      <c r="E1012" s="944"/>
      <c r="F1012" s="944"/>
      <c r="G1012" s="1072"/>
      <c r="H1012"/>
    </row>
    <row r="1013" spans="1:8" s="2" customFormat="1" ht="15" customHeight="1">
      <c r="A1013" s="1074" t="s">
        <v>2</v>
      </c>
      <c r="B1013" s="944"/>
      <c r="C1013" s="53" t="s">
        <v>3</v>
      </c>
      <c r="D1013" s="53" t="s">
        <v>4</v>
      </c>
      <c r="E1013" s="53" t="s">
        <v>6</v>
      </c>
      <c r="F1013" s="53" t="s">
        <v>11</v>
      </c>
      <c r="G1013" s="456" t="s">
        <v>8</v>
      </c>
    </row>
    <row r="1014" spans="1:8" s="2" customFormat="1" ht="15.75" customHeight="1">
      <c r="A1014" s="978" t="str">
        <f>SALARIOS!$A$70</f>
        <v>CUADRILLA BB INSTALACIONES 1:2</v>
      </c>
      <c r="B1014" s="979"/>
      <c r="C1014" s="13" t="s">
        <v>1245</v>
      </c>
      <c r="D1014" s="32">
        <v>1</v>
      </c>
      <c r="E1014" s="13">
        <f>SALARIOS!$C$70</f>
        <v>37469</v>
      </c>
      <c r="F1014" s="55">
        <f>+D1014*E1014</f>
        <v>37469</v>
      </c>
      <c r="G1014" s="57">
        <f>SUM(F1013:F1014)</f>
        <v>37469</v>
      </c>
      <c r="H1014"/>
    </row>
    <row r="1015" spans="1:8" s="2" customFormat="1" ht="15" customHeight="1">
      <c r="A1015" s="1076" t="s">
        <v>25</v>
      </c>
      <c r="B1015" s="944"/>
      <c r="C1015" s="944"/>
      <c r="D1015" s="944"/>
      <c r="E1015" s="944"/>
      <c r="F1015" s="944"/>
      <c r="G1015" s="1072"/>
      <c r="H1015"/>
    </row>
    <row r="1016" spans="1:8" s="2" customFormat="1" ht="15" customHeight="1">
      <c r="A1016" s="1077"/>
      <c r="B1016" s="944"/>
      <c r="C1016" s="944"/>
      <c r="D1016" s="944"/>
      <c r="E1016" s="944"/>
      <c r="F1016" s="944"/>
      <c r="G1016" s="62">
        <f>G1014+G1011+G1007+G1001</f>
        <v>98760929.699999988</v>
      </c>
      <c r="H1016"/>
    </row>
    <row r="1017" spans="1:8">
      <c r="B1017" s="468"/>
      <c r="F1017" s="455"/>
    </row>
    <row r="1018" spans="1:8">
      <c r="B1018" s="468"/>
      <c r="F1018" s="620"/>
    </row>
    <row r="1019" spans="1:8">
      <c r="B1019" s="468"/>
      <c r="F1019" s="620"/>
      <c r="H1019" s="480"/>
    </row>
    <row r="1020" spans="1:8">
      <c r="B1020" s="468"/>
      <c r="F1020" s="455"/>
    </row>
    <row r="1021" spans="1:8">
      <c r="B1021" s="468"/>
      <c r="F1021" s="455"/>
    </row>
    <row r="1022" spans="1:8">
      <c r="B1022" s="468"/>
      <c r="F1022" s="455"/>
    </row>
    <row r="1023" spans="1:8">
      <c r="B1023" s="966"/>
      <c r="C1023" s="966"/>
      <c r="F1023" s="455"/>
    </row>
    <row r="1024" spans="1:8">
      <c r="B1024" s="966"/>
      <c r="C1024" s="966"/>
      <c r="F1024" s="455"/>
    </row>
    <row r="1025" spans="2:6">
      <c r="B1025" s="468"/>
      <c r="F1025" s="455"/>
    </row>
  </sheetData>
  <mergeCells count="1089">
    <mergeCell ref="B1023:C1023"/>
    <mergeCell ref="B1024:C1024"/>
    <mergeCell ref="A532:G532"/>
    <mergeCell ref="A533:B533"/>
    <mergeCell ref="G533:G534"/>
    <mergeCell ref="A534:B534"/>
    <mergeCell ref="A525:B525"/>
    <mergeCell ref="A526:G526"/>
    <mergeCell ref="A527:B527"/>
    <mergeCell ref="G527:G530"/>
    <mergeCell ref="A528:B528"/>
    <mergeCell ref="A529:B529"/>
    <mergeCell ref="A530:B530"/>
    <mergeCell ref="A990:B993"/>
    <mergeCell ref="C990:G991"/>
    <mergeCell ref="C992:G992"/>
    <mergeCell ref="C993:E993"/>
    <mergeCell ref="A994:B994"/>
    <mergeCell ref="C994:E994"/>
    <mergeCell ref="A984:G984"/>
    <mergeCell ref="A985:B985"/>
    <mergeCell ref="A986:B986"/>
    <mergeCell ref="A987:G987"/>
    <mergeCell ref="A988:F988"/>
    <mergeCell ref="A979:B979"/>
    <mergeCell ref="A980:G980"/>
    <mergeCell ref="A981:B981"/>
    <mergeCell ref="G981:G982"/>
    <mergeCell ref="A536:G536"/>
    <mergeCell ref="A537:B537"/>
    <mergeCell ref="A538:B538"/>
    <mergeCell ref="A539:G539"/>
    <mergeCell ref="A982:B982"/>
    <mergeCell ref="A1016:F1016"/>
    <mergeCell ref="A1007:B1007"/>
    <mergeCell ref="A1008:G1008"/>
    <mergeCell ref="A1009:B1009"/>
    <mergeCell ref="G1009:G1010"/>
    <mergeCell ref="A1010:B1010"/>
    <mergeCell ref="A1001:B1001"/>
    <mergeCell ref="A1002:G1002"/>
    <mergeCell ref="A1003:B1003"/>
    <mergeCell ref="G1003:G1006"/>
    <mergeCell ref="A1004:B1004"/>
    <mergeCell ref="A1005:B1005"/>
    <mergeCell ref="A1006:B1006"/>
    <mergeCell ref="A995:G995"/>
    <mergeCell ref="A996:B996"/>
    <mergeCell ref="G996:G1000"/>
    <mergeCell ref="A997:B997"/>
    <mergeCell ref="A998:B998"/>
    <mergeCell ref="A999:B999"/>
    <mergeCell ref="A1000:B1000"/>
    <mergeCell ref="A1012:G1012"/>
    <mergeCell ref="A1013:B1013"/>
    <mergeCell ref="A1014:B1014"/>
    <mergeCell ref="A1015:G1015"/>
    <mergeCell ref="A978:B978"/>
    <mergeCell ref="A967:G967"/>
    <mergeCell ref="A968:B968"/>
    <mergeCell ref="G968:G972"/>
    <mergeCell ref="A969:B969"/>
    <mergeCell ref="A970:B970"/>
    <mergeCell ref="A971:B971"/>
    <mergeCell ref="A972:B972"/>
    <mergeCell ref="A962:B965"/>
    <mergeCell ref="C962:G963"/>
    <mergeCell ref="C964:G964"/>
    <mergeCell ref="C965:E965"/>
    <mergeCell ref="A966:B966"/>
    <mergeCell ref="C966:E966"/>
    <mergeCell ref="A956:G956"/>
    <mergeCell ref="A957:B957"/>
    <mergeCell ref="A958:B958"/>
    <mergeCell ref="A959:G959"/>
    <mergeCell ref="A960:F960"/>
    <mergeCell ref="A973:B973"/>
    <mergeCell ref="A974:G974"/>
    <mergeCell ref="A975:B975"/>
    <mergeCell ref="G975:G978"/>
    <mergeCell ref="A976:B976"/>
    <mergeCell ref="A977:B977"/>
    <mergeCell ref="A951:B951"/>
    <mergeCell ref="A952:G952"/>
    <mergeCell ref="A953:B953"/>
    <mergeCell ref="G953:G954"/>
    <mergeCell ref="A954:B954"/>
    <mergeCell ref="A945:B945"/>
    <mergeCell ref="A946:G946"/>
    <mergeCell ref="A947:B947"/>
    <mergeCell ref="G947:G950"/>
    <mergeCell ref="A948:B948"/>
    <mergeCell ref="A949:B949"/>
    <mergeCell ref="A950:B950"/>
    <mergeCell ref="A939:G939"/>
    <mergeCell ref="A940:B940"/>
    <mergeCell ref="G940:G944"/>
    <mergeCell ref="A941:B941"/>
    <mergeCell ref="A942:B942"/>
    <mergeCell ref="A943:B943"/>
    <mergeCell ref="A944:B944"/>
    <mergeCell ref="A934:B937"/>
    <mergeCell ref="C934:G935"/>
    <mergeCell ref="C936:G936"/>
    <mergeCell ref="C937:E937"/>
    <mergeCell ref="A938:B938"/>
    <mergeCell ref="C938:E938"/>
    <mergeCell ref="A928:G928"/>
    <mergeCell ref="A929:B929"/>
    <mergeCell ref="A930:B930"/>
    <mergeCell ref="A931:G931"/>
    <mergeCell ref="A932:F932"/>
    <mergeCell ref="A923:B923"/>
    <mergeCell ref="A924:G924"/>
    <mergeCell ref="A925:B925"/>
    <mergeCell ref="G925:G926"/>
    <mergeCell ref="A926:B926"/>
    <mergeCell ref="A917:B917"/>
    <mergeCell ref="A918:G918"/>
    <mergeCell ref="A919:B919"/>
    <mergeCell ref="G919:G922"/>
    <mergeCell ref="A920:B920"/>
    <mergeCell ref="A921:B921"/>
    <mergeCell ref="A922:B922"/>
    <mergeCell ref="A911:G911"/>
    <mergeCell ref="A912:B912"/>
    <mergeCell ref="G912:G916"/>
    <mergeCell ref="A913:B913"/>
    <mergeCell ref="A914:B914"/>
    <mergeCell ref="A915:B915"/>
    <mergeCell ref="A916:B916"/>
    <mergeCell ref="A906:B909"/>
    <mergeCell ref="C906:G907"/>
    <mergeCell ref="C908:G908"/>
    <mergeCell ref="C909:E909"/>
    <mergeCell ref="A910:B910"/>
    <mergeCell ref="C910:E910"/>
    <mergeCell ref="A900:G900"/>
    <mergeCell ref="A901:B901"/>
    <mergeCell ref="A902:B902"/>
    <mergeCell ref="A903:G903"/>
    <mergeCell ref="A904:F904"/>
    <mergeCell ref="A895:B895"/>
    <mergeCell ref="A896:G896"/>
    <mergeCell ref="A897:B897"/>
    <mergeCell ref="G897:G898"/>
    <mergeCell ref="A898:B898"/>
    <mergeCell ref="A889:B889"/>
    <mergeCell ref="A890:G890"/>
    <mergeCell ref="A891:B891"/>
    <mergeCell ref="G891:G894"/>
    <mergeCell ref="A892:B892"/>
    <mergeCell ref="A893:B893"/>
    <mergeCell ref="A894:B894"/>
    <mergeCell ref="A883:G883"/>
    <mergeCell ref="A884:B884"/>
    <mergeCell ref="G884:G888"/>
    <mergeCell ref="A885:B885"/>
    <mergeCell ref="A886:B886"/>
    <mergeCell ref="A887:B887"/>
    <mergeCell ref="A888:B888"/>
    <mergeCell ref="A878:B881"/>
    <mergeCell ref="C878:G879"/>
    <mergeCell ref="C880:G880"/>
    <mergeCell ref="C881:E881"/>
    <mergeCell ref="A882:B882"/>
    <mergeCell ref="C882:E882"/>
    <mergeCell ref="A872:G872"/>
    <mergeCell ref="A873:B873"/>
    <mergeCell ref="A874:B874"/>
    <mergeCell ref="A875:G875"/>
    <mergeCell ref="A876:F876"/>
    <mergeCell ref="A867:B867"/>
    <mergeCell ref="A868:G868"/>
    <mergeCell ref="A869:B869"/>
    <mergeCell ref="G869:G870"/>
    <mergeCell ref="A870:B870"/>
    <mergeCell ref="A861:B861"/>
    <mergeCell ref="A862:G862"/>
    <mergeCell ref="A863:B863"/>
    <mergeCell ref="G863:G866"/>
    <mergeCell ref="A864:B864"/>
    <mergeCell ref="A865:B865"/>
    <mergeCell ref="A866:B866"/>
    <mergeCell ref="A855:G855"/>
    <mergeCell ref="A856:B856"/>
    <mergeCell ref="G856:G860"/>
    <mergeCell ref="A857:B857"/>
    <mergeCell ref="A858:B858"/>
    <mergeCell ref="A859:B859"/>
    <mergeCell ref="A860:B860"/>
    <mergeCell ref="A850:B853"/>
    <mergeCell ref="C850:G851"/>
    <mergeCell ref="C852:G852"/>
    <mergeCell ref="C853:E853"/>
    <mergeCell ref="A854:B854"/>
    <mergeCell ref="C854:E854"/>
    <mergeCell ref="A844:G844"/>
    <mergeCell ref="A845:B845"/>
    <mergeCell ref="A846:B846"/>
    <mergeCell ref="A847:G847"/>
    <mergeCell ref="A848:F848"/>
    <mergeCell ref="A839:B839"/>
    <mergeCell ref="A840:G840"/>
    <mergeCell ref="A841:B841"/>
    <mergeCell ref="G841:G842"/>
    <mergeCell ref="A842:B842"/>
    <mergeCell ref="A833:B833"/>
    <mergeCell ref="A834:G834"/>
    <mergeCell ref="A835:B835"/>
    <mergeCell ref="G835:G838"/>
    <mergeCell ref="A836:B836"/>
    <mergeCell ref="A837:B837"/>
    <mergeCell ref="A838:B838"/>
    <mergeCell ref="A827:G827"/>
    <mergeCell ref="A828:B828"/>
    <mergeCell ref="G828:G832"/>
    <mergeCell ref="A829:B829"/>
    <mergeCell ref="A830:B830"/>
    <mergeCell ref="A831:B831"/>
    <mergeCell ref="A832:B832"/>
    <mergeCell ref="A822:B825"/>
    <mergeCell ref="C822:G823"/>
    <mergeCell ref="C824:G824"/>
    <mergeCell ref="C825:E825"/>
    <mergeCell ref="A826:B826"/>
    <mergeCell ref="C826:E826"/>
    <mergeCell ref="A816:G816"/>
    <mergeCell ref="A817:B817"/>
    <mergeCell ref="A818:B818"/>
    <mergeCell ref="A819:G819"/>
    <mergeCell ref="A820:F820"/>
    <mergeCell ref="A811:B811"/>
    <mergeCell ref="A812:G812"/>
    <mergeCell ref="A813:B813"/>
    <mergeCell ref="G813:G814"/>
    <mergeCell ref="A814:B814"/>
    <mergeCell ref="A805:B805"/>
    <mergeCell ref="A806:G806"/>
    <mergeCell ref="A807:B807"/>
    <mergeCell ref="G807:G810"/>
    <mergeCell ref="A808:B808"/>
    <mergeCell ref="A809:B809"/>
    <mergeCell ref="A810:B810"/>
    <mergeCell ref="A799:G799"/>
    <mergeCell ref="A800:B800"/>
    <mergeCell ref="G800:G804"/>
    <mergeCell ref="A801:B801"/>
    <mergeCell ref="A802:B802"/>
    <mergeCell ref="A803:B803"/>
    <mergeCell ref="A804:B804"/>
    <mergeCell ref="A794:B797"/>
    <mergeCell ref="C794:G795"/>
    <mergeCell ref="C796:G796"/>
    <mergeCell ref="C797:E797"/>
    <mergeCell ref="A798:B798"/>
    <mergeCell ref="C798:E798"/>
    <mergeCell ref="A788:G788"/>
    <mergeCell ref="A789:B789"/>
    <mergeCell ref="A790:B790"/>
    <mergeCell ref="A791:G791"/>
    <mergeCell ref="A792:F792"/>
    <mergeCell ref="A783:B783"/>
    <mergeCell ref="A784:G784"/>
    <mergeCell ref="A785:B785"/>
    <mergeCell ref="G785:G786"/>
    <mergeCell ref="A786:B786"/>
    <mergeCell ref="A777:B777"/>
    <mergeCell ref="A778:G778"/>
    <mergeCell ref="A779:B779"/>
    <mergeCell ref="G779:G782"/>
    <mergeCell ref="A780:B780"/>
    <mergeCell ref="A781:B781"/>
    <mergeCell ref="A782:B782"/>
    <mergeCell ref="A771:G771"/>
    <mergeCell ref="A772:B772"/>
    <mergeCell ref="G772:G776"/>
    <mergeCell ref="A773:B773"/>
    <mergeCell ref="A774:B774"/>
    <mergeCell ref="A775:B775"/>
    <mergeCell ref="A776:B776"/>
    <mergeCell ref="A766:B769"/>
    <mergeCell ref="C766:G767"/>
    <mergeCell ref="C768:G768"/>
    <mergeCell ref="C769:E769"/>
    <mergeCell ref="A770:B770"/>
    <mergeCell ref="C770:E770"/>
    <mergeCell ref="A760:G760"/>
    <mergeCell ref="A761:B761"/>
    <mergeCell ref="A762:B762"/>
    <mergeCell ref="A763:G763"/>
    <mergeCell ref="A764:F764"/>
    <mergeCell ref="A755:B755"/>
    <mergeCell ref="A756:G756"/>
    <mergeCell ref="A757:B757"/>
    <mergeCell ref="G757:G758"/>
    <mergeCell ref="A758:B758"/>
    <mergeCell ref="A749:B749"/>
    <mergeCell ref="A750:G750"/>
    <mergeCell ref="A751:B751"/>
    <mergeCell ref="G751:G754"/>
    <mergeCell ref="A752:B752"/>
    <mergeCell ref="A753:B753"/>
    <mergeCell ref="A754:B754"/>
    <mergeCell ref="A743:G743"/>
    <mergeCell ref="A744:B744"/>
    <mergeCell ref="G744:G748"/>
    <mergeCell ref="A745:B745"/>
    <mergeCell ref="A746:B746"/>
    <mergeCell ref="A747:B747"/>
    <mergeCell ref="A748:B748"/>
    <mergeCell ref="A738:B741"/>
    <mergeCell ref="C738:G739"/>
    <mergeCell ref="C740:G740"/>
    <mergeCell ref="C741:E741"/>
    <mergeCell ref="A742:B742"/>
    <mergeCell ref="C742:E742"/>
    <mergeCell ref="A732:G732"/>
    <mergeCell ref="A733:B733"/>
    <mergeCell ref="A734:B734"/>
    <mergeCell ref="A735:G735"/>
    <mergeCell ref="A736:F736"/>
    <mergeCell ref="A727:B727"/>
    <mergeCell ref="A728:G728"/>
    <mergeCell ref="A729:B729"/>
    <mergeCell ref="G729:G730"/>
    <mergeCell ref="A730:B730"/>
    <mergeCell ref="A721:B721"/>
    <mergeCell ref="A722:G722"/>
    <mergeCell ref="A723:B723"/>
    <mergeCell ref="G723:G726"/>
    <mergeCell ref="A724:B724"/>
    <mergeCell ref="A725:B725"/>
    <mergeCell ref="A726:B726"/>
    <mergeCell ref="A715:G715"/>
    <mergeCell ref="A716:B716"/>
    <mergeCell ref="G716:G720"/>
    <mergeCell ref="A717:B717"/>
    <mergeCell ref="A718:B718"/>
    <mergeCell ref="A719:B719"/>
    <mergeCell ref="A720:B720"/>
    <mergeCell ref="A710:B713"/>
    <mergeCell ref="C710:G711"/>
    <mergeCell ref="C712:G712"/>
    <mergeCell ref="C713:E713"/>
    <mergeCell ref="A714:B714"/>
    <mergeCell ref="C714:E714"/>
    <mergeCell ref="A704:G704"/>
    <mergeCell ref="A705:B705"/>
    <mergeCell ref="A706:B706"/>
    <mergeCell ref="A707:G707"/>
    <mergeCell ref="A708:F708"/>
    <mergeCell ref="A699:B699"/>
    <mergeCell ref="A700:G700"/>
    <mergeCell ref="A701:B701"/>
    <mergeCell ref="G701:G702"/>
    <mergeCell ref="A702:B702"/>
    <mergeCell ref="A693:B693"/>
    <mergeCell ref="A694:G694"/>
    <mergeCell ref="A695:B695"/>
    <mergeCell ref="G695:G698"/>
    <mergeCell ref="A696:B696"/>
    <mergeCell ref="A697:B697"/>
    <mergeCell ref="A698:B698"/>
    <mergeCell ref="A687:G687"/>
    <mergeCell ref="A688:B688"/>
    <mergeCell ref="G688:G692"/>
    <mergeCell ref="A689:B689"/>
    <mergeCell ref="A690:B690"/>
    <mergeCell ref="A691:B691"/>
    <mergeCell ref="A692:B692"/>
    <mergeCell ref="A682:B685"/>
    <mergeCell ref="C682:G683"/>
    <mergeCell ref="C684:G684"/>
    <mergeCell ref="C685:E685"/>
    <mergeCell ref="A686:B686"/>
    <mergeCell ref="C686:E686"/>
    <mergeCell ref="A676:G676"/>
    <mergeCell ref="A677:B677"/>
    <mergeCell ref="A678:B678"/>
    <mergeCell ref="A679:G679"/>
    <mergeCell ref="A680:F680"/>
    <mergeCell ref="A671:B671"/>
    <mergeCell ref="A672:G672"/>
    <mergeCell ref="A673:B673"/>
    <mergeCell ref="G673:G674"/>
    <mergeCell ref="A674:B674"/>
    <mergeCell ref="A665:B665"/>
    <mergeCell ref="A666:G666"/>
    <mergeCell ref="A667:B667"/>
    <mergeCell ref="G667:G670"/>
    <mergeCell ref="A668:B668"/>
    <mergeCell ref="A669:B669"/>
    <mergeCell ref="A670:B670"/>
    <mergeCell ref="A659:G659"/>
    <mergeCell ref="A660:B660"/>
    <mergeCell ref="G660:G664"/>
    <mergeCell ref="A661:B661"/>
    <mergeCell ref="A662:B662"/>
    <mergeCell ref="A663:B663"/>
    <mergeCell ref="A664:B664"/>
    <mergeCell ref="A654:B657"/>
    <mergeCell ref="C654:G655"/>
    <mergeCell ref="C656:G656"/>
    <mergeCell ref="C657:E657"/>
    <mergeCell ref="A658:B658"/>
    <mergeCell ref="C658:E658"/>
    <mergeCell ref="A648:G648"/>
    <mergeCell ref="A649:B649"/>
    <mergeCell ref="A650:B650"/>
    <mergeCell ref="A651:G651"/>
    <mergeCell ref="A652:F652"/>
    <mergeCell ref="A643:B643"/>
    <mergeCell ref="A644:G644"/>
    <mergeCell ref="A645:B645"/>
    <mergeCell ref="G645:G646"/>
    <mergeCell ref="A646:B646"/>
    <mergeCell ref="A637:B637"/>
    <mergeCell ref="A638:G638"/>
    <mergeCell ref="A639:B639"/>
    <mergeCell ref="G639:G642"/>
    <mergeCell ref="A640:B640"/>
    <mergeCell ref="A641:B641"/>
    <mergeCell ref="A642:B642"/>
    <mergeCell ref="A631:G631"/>
    <mergeCell ref="A632:B632"/>
    <mergeCell ref="G632:G636"/>
    <mergeCell ref="A633:B633"/>
    <mergeCell ref="A634:B634"/>
    <mergeCell ref="A635:B635"/>
    <mergeCell ref="A636:B636"/>
    <mergeCell ref="A626:B629"/>
    <mergeCell ref="C626:G627"/>
    <mergeCell ref="C628:G628"/>
    <mergeCell ref="C629:E629"/>
    <mergeCell ref="A630:B630"/>
    <mergeCell ref="C630:E630"/>
    <mergeCell ref="A620:G620"/>
    <mergeCell ref="A621:B621"/>
    <mergeCell ref="A622:B622"/>
    <mergeCell ref="A623:G623"/>
    <mergeCell ref="A624:F624"/>
    <mergeCell ref="A615:B615"/>
    <mergeCell ref="A616:G616"/>
    <mergeCell ref="A617:B617"/>
    <mergeCell ref="G617:G618"/>
    <mergeCell ref="A618:B618"/>
    <mergeCell ref="A609:B609"/>
    <mergeCell ref="A610:G610"/>
    <mergeCell ref="A611:B611"/>
    <mergeCell ref="G611:G614"/>
    <mergeCell ref="A612:B612"/>
    <mergeCell ref="A613:B613"/>
    <mergeCell ref="A614:B614"/>
    <mergeCell ref="A603:G603"/>
    <mergeCell ref="A604:B604"/>
    <mergeCell ref="G604:G608"/>
    <mergeCell ref="A605:B605"/>
    <mergeCell ref="A606:B606"/>
    <mergeCell ref="A607:B607"/>
    <mergeCell ref="A608:B608"/>
    <mergeCell ref="A598:B601"/>
    <mergeCell ref="C598:G599"/>
    <mergeCell ref="C600:G600"/>
    <mergeCell ref="C601:E601"/>
    <mergeCell ref="A602:B602"/>
    <mergeCell ref="C602:E602"/>
    <mergeCell ref="A592:G592"/>
    <mergeCell ref="A593:B593"/>
    <mergeCell ref="A594:B594"/>
    <mergeCell ref="A595:G595"/>
    <mergeCell ref="A596:F596"/>
    <mergeCell ref="A587:B587"/>
    <mergeCell ref="A588:G588"/>
    <mergeCell ref="A589:B589"/>
    <mergeCell ref="G589:G590"/>
    <mergeCell ref="A590:B590"/>
    <mergeCell ref="A581:B581"/>
    <mergeCell ref="A582:G582"/>
    <mergeCell ref="A583:B583"/>
    <mergeCell ref="G583:G586"/>
    <mergeCell ref="A584:B584"/>
    <mergeCell ref="A585:B585"/>
    <mergeCell ref="A586:B586"/>
    <mergeCell ref="A575:G575"/>
    <mergeCell ref="A576:B576"/>
    <mergeCell ref="G576:G580"/>
    <mergeCell ref="A577:B577"/>
    <mergeCell ref="A578:B578"/>
    <mergeCell ref="A579:B579"/>
    <mergeCell ref="A580:B580"/>
    <mergeCell ref="A570:B573"/>
    <mergeCell ref="C570:G571"/>
    <mergeCell ref="C572:G572"/>
    <mergeCell ref="C573:E573"/>
    <mergeCell ref="A574:B574"/>
    <mergeCell ref="C574:E574"/>
    <mergeCell ref="A564:G564"/>
    <mergeCell ref="A565:B565"/>
    <mergeCell ref="A566:B566"/>
    <mergeCell ref="A567:G567"/>
    <mergeCell ref="A568:F568"/>
    <mergeCell ref="A559:B559"/>
    <mergeCell ref="A560:G560"/>
    <mergeCell ref="A561:B561"/>
    <mergeCell ref="G561:G562"/>
    <mergeCell ref="A562:B562"/>
    <mergeCell ref="A553:B553"/>
    <mergeCell ref="A554:G554"/>
    <mergeCell ref="A555:B555"/>
    <mergeCell ref="G555:G558"/>
    <mergeCell ref="A556:B556"/>
    <mergeCell ref="A557:B557"/>
    <mergeCell ref="A558:B558"/>
    <mergeCell ref="A547:G547"/>
    <mergeCell ref="A548:B548"/>
    <mergeCell ref="G548:G552"/>
    <mergeCell ref="A549:B549"/>
    <mergeCell ref="A550:B550"/>
    <mergeCell ref="A551:B551"/>
    <mergeCell ref="A552:B552"/>
    <mergeCell ref="A542:B545"/>
    <mergeCell ref="C542:G543"/>
    <mergeCell ref="C544:G544"/>
    <mergeCell ref="C545:E545"/>
    <mergeCell ref="A546:B546"/>
    <mergeCell ref="C546:E546"/>
    <mergeCell ref="A508:G508"/>
    <mergeCell ref="A509:B509"/>
    <mergeCell ref="A510:B510"/>
    <mergeCell ref="A511:G511"/>
    <mergeCell ref="A512:F512"/>
    <mergeCell ref="A519:G519"/>
    <mergeCell ref="A520:B520"/>
    <mergeCell ref="G520:G524"/>
    <mergeCell ref="A521:B521"/>
    <mergeCell ref="A522:B522"/>
    <mergeCell ref="A523:B523"/>
    <mergeCell ref="A524:B524"/>
    <mergeCell ref="A514:B517"/>
    <mergeCell ref="C514:G515"/>
    <mergeCell ref="C516:G516"/>
    <mergeCell ref="C517:E517"/>
    <mergeCell ref="A518:B518"/>
    <mergeCell ref="C518:E518"/>
    <mergeCell ref="A531:B531"/>
    <mergeCell ref="A540:F540"/>
    <mergeCell ref="A503:B503"/>
    <mergeCell ref="A504:G504"/>
    <mergeCell ref="A505:B505"/>
    <mergeCell ref="G505:G506"/>
    <mergeCell ref="A506:B506"/>
    <mergeCell ref="A497:B497"/>
    <mergeCell ref="A498:G498"/>
    <mergeCell ref="A499:B499"/>
    <mergeCell ref="G499:G502"/>
    <mergeCell ref="A500:B500"/>
    <mergeCell ref="A501:B501"/>
    <mergeCell ref="A502:B502"/>
    <mergeCell ref="A491:G491"/>
    <mergeCell ref="A492:B492"/>
    <mergeCell ref="G492:G496"/>
    <mergeCell ref="A493:B493"/>
    <mergeCell ref="A494:B494"/>
    <mergeCell ref="A495:B495"/>
    <mergeCell ref="A496:B496"/>
    <mergeCell ref="A486:B489"/>
    <mergeCell ref="C486:G487"/>
    <mergeCell ref="C488:G488"/>
    <mergeCell ref="C489:E489"/>
    <mergeCell ref="A490:B490"/>
    <mergeCell ref="C490:E490"/>
    <mergeCell ref="A480:G480"/>
    <mergeCell ref="A481:B481"/>
    <mergeCell ref="A482:B482"/>
    <mergeCell ref="A483:G483"/>
    <mergeCell ref="A484:F484"/>
    <mergeCell ref="A475:B475"/>
    <mergeCell ref="A476:G476"/>
    <mergeCell ref="A477:B477"/>
    <mergeCell ref="G477:G478"/>
    <mergeCell ref="A478:B478"/>
    <mergeCell ref="A469:B469"/>
    <mergeCell ref="A470:G470"/>
    <mergeCell ref="A471:B471"/>
    <mergeCell ref="G471:G474"/>
    <mergeCell ref="A472:B472"/>
    <mergeCell ref="A473:B473"/>
    <mergeCell ref="A474:B474"/>
    <mergeCell ref="A463:G463"/>
    <mergeCell ref="A464:B464"/>
    <mergeCell ref="G464:G468"/>
    <mergeCell ref="A465:B465"/>
    <mergeCell ref="A466:B466"/>
    <mergeCell ref="A467:B467"/>
    <mergeCell ref="A468:B468"/>
    <mergeCell ref="A458:B461"/>
    <mergeCell ref="C458:G459"/>
    <mergeCell ref="C460:G460"/>
    <mergeCell ref="C461:E461"/>
    <mergeCell ref="A462:B462"/>
    <mergeCell ref="C462:E462"/>
    <mergeCell ref="A452:G452"/>
    <mergeCell ref="A453:B453"/>
    <mergeCell ref="A454:B454"/>
    <mergeCell ref="A455:G455"/>
    <mergeCell ref="A456:F456"/>
    <mergeCell ref="A447:B447"/>
    <mergeCell ref="A448:G448"/>
    <mergeCell ref="A449:B449"/>
    <mergeCell ref="G449:G450"/>
    <mergeCell ref="A450:B450"/>
    <mergeCell ref="A441:B441"/>
    <mergeCell ref="A442:G442"/>
    <mergeCell ref="A443:B443"/>
    <mergeCell ref="G443:G446"/>
    <mergeCell ref="A444:B444"/>
    <mergeCell ref="A445:B445"/>
    <mergeCell ref="A446:B446"/>
    <mergeCell ref="A435:G435"/>
    <mergeCell ref="A436:B436"/>
    <mergeCell ref="G436:G440"/>
    <mergeCell ref="A437:B437"/>
    <mergeCell ref="A438:B438"/>
    <mergeCell ref="A439:B439"/>
    <mergeCell ref="A440:B440"/>
    <mergeCell ref="A430:B433"/>
    <mergeCell ref="C430:G431"/>
    <mergeCell ref="C432:G432"/>
    <mergeCell ref="C433:E433"/>
    <mergeCell ref="A434:B434"/>
    <mergeCell ref="C434:E434"/>
    <mergeCell ref="A424:G424"/>
    <mergeCell ref="A425:B425"/>
    <mergeCell ref="A426:B426"/>
    <mergeCell ref="A427:G427"/>
    <mergeCell ref="A428:F428"/>
    <mergeCell ref="A419:B419"/>
    <mergeCell ref="A420:G420"/>
    <mergeCell ref="A421:B421"/>
    <mergeCell ref="G421:G422"/>
    <mergeCell ref="A422:B422"/>
    <mergeCell ref="A413:B413"/>
    <mergeCell ref="A414:G414"/>
    <mergeCell ref="A415:B415"/>
    <mergeCell ref="G415:G418"/>
    <mergeCell ref="A416:B416"/>
    <mergeCell ref="A417:B417"/>
    <mergeCell ref="A418:B418"/>
    <mergeCell ref="A407:G407"/>
    <mergeCell ref="A408:B408"/>
    <mergeCell ref="G408:G412"/>
    <mergeCell ref="A409:B409"/>
    <mergeCell ref="A410:B410"/>
    <mergeCell ref="A411:B411"/>
    <mergeCell ref="A412:B412"/>
    <mergeCell ref="A402:B405"/>
    <mergeCell ref="C402:G403"/>
    <mergeCell ref="C404:G404"/>
    <mergeCell ref="C405:E405"/>
    <mergeCell ref="A406:B406"/>
    <mergeCell ref="C406:E406"/>
    <mergeCell ref="A396:G396"/>
    <mergeCell ref="A397:B397"/>
    <mergeCell ref="A398:B398"/>
    <mergeCell ref="A399:G399"/>
    <mergeCell ref="A400:F400"/>
    <mergeCell ref="A391:B391"/>
    <mergeCell ref="A392:G392"/>
    <mergeCell ref="A393:B393"/>
    <mergeCell ref="G393:G394"/>
    <mergeCell ref="A394:B394"/>
    <mergeCell ref="A385:B385"/>
    <mergeCell ref="A386:G386"/>
    <mergeCell ref="A387:B387"/>
    <mergeCell ref="G387:G390"/>
    <mergeCell ref="A388:B388"/>
    <mergeCell ref="A389:B389"/>
    <mergeCell ref="A390:B390"/>
    <mergeCell ref="A379:G379"/>
    <mergeCell ref="A380:B380"/>
    <mergeCell ref="G380:G384"/>
    <mergeCell ref="A381:B381"/>
    <mergeCell ref="A382:B382"/>
    <mergeCell ref="A383:B383"/>
    <mergeCell ref="A384:B384"/>
    <mergeCell ref="A374:B377"/>
    <mergeCell ref="C374:G375"/>
    <mergeCell ref="C376:G376"/>
    <mergeCell ref="C377:E377"/>
    <mergeCell ref="A378:B378"/>
    <mergeCell ref="C378:E378"/>
    <mergeCell ref="A368:G368"/>
    <mergeCell ref="A369:B369"/>
    <mergeCell ref="A370:B370"/>
    <mergeCell ref="A371:G371"/>
    <mergeCell ref="A372:F372"/>
    <mergeCell ref="A363:B363"/>
    <mergeCell ref="A364:G364"/>
    <mergeCell ref="A365:B365"/>
    <mergeCell ref="G365:G366"/>
    <mergeCell ref="A366:B366"/>
    <mergeCell ref="A357:B357"/>
    <mergeCell ref="A358:G358"/>
    <mergeCell ref="A359:B359"/>
    <mergeCell ref="G359:G362"/>
    <mergeCell ref="A360:B360"/>
    <mergeCell ref="A361:B361"/>
    <mergeCell ref="A362:B362"/>
    <mergeCell ref="A351:G351"/>
    <mergeCell ref="A352:B352"/>
    <mergeCell ref="G352:G356"/>
    <mergeCell ref="A353:B353"/>
    <mergeCell ref="A354:B354"/>
    <mergeCell ref="A355:B355"/>
    <mergeCell ref="A356:B356"/>
    <mergeCell ref="A346:B349"/>
    <mergeCell ref="C346:G347"/>
    <mergeCell ref="C348:G348"/>
    <mergeCell ref="C349:E349"/>
    <mergeCell ref="A350:B350"/>
    <mergeCell ref="C350:E350"/>
    <mergeCell ref="A340:G340"/>
    <mergeCell ref="A341:B341"/>
    <mergeCell ref="A342:B342"/>
    <mergeCell ref="A343:G343"/>
    <mergeCell ref="A344:F344"/>
    <mergeCell ref="A335:B335"/>
    <mergeCell ref="A336:G336"/>
    <mergeCell ref="A337:B337"/>
    <mergeCell ref="G337:G338"/>
    <mergeCell ref="A338:B338"/>
    <mergeCell ref="A325:B325"/>
    <mergeCell ref="A326:G326"/>
    <mergeCell ref="A327:B327"/>
    <mergeCell ref="G327:G334"/>
    <mergeCell ref="A332:B332"/>
    <mergeCell ref="A333:B333"/>
    <mergeCell ref="A334:B334"/>
    <mergeCell ref="A319:G319"/>
    <mergeCell ref="A320:B320"/>
    <mergeCell ref="G320:G324"/>
    <mergeCell ref="A321:B321"/>
    <mergeCell ref="A322:B322"/>
    <mergeCell ref="A323:B323"/>
    <mergeCell ref="A324:B324"/>
    <mergeCell ref="A314:B317"/>
    <mergeCell ref="C314:G315"/>
    <mergeCell ref="C316:G316"/>
    <mergeCell ref="C317:E317"/>
    <mergeCell ref="A318:B318"/>
    <mergeCell ref="C318:E318"/>
    <mergeCell ref="A308:G308"/>
    <mergeCell ref="A309:B309"/>
    <mergeCell ref="A310:B310"/>
    <mergeCell ref="A311:G311"/>
    <mergeCell ref="A312:F312"/>
    <mergeCell ref="A303:B303"/>
    <mergeCell ref="A304:G304"/>
    <mergeCell ref="A305:B305"/>
    <mergeCell ref="G305:G306"/>
    <mergeCell ref="A306:B306"/>
    <mergeCell ref="A297:B297"/>
    <mergeCell ref="A298:G298"/>
    <mergeCell ref="A299:B299"/>
    <mergeCell ref="G299:G302"/>
    <mergeCell ref="A300:B300"/>
    <mergeCell ref="A301:B301"/>
    <mergeCell ref="A302:B302"/>
    <mergeCell ref="A291:G291"/>
    <mergeCell ref="A292:B292"/>
    <mergeCell ref="G292:G296"/>
    <mergeCell ref="A293:B293"/>
    <mergeCell ref="A294:B294"/>
    <mergeCell ref="A295:B295"/>
    <mergeCell ref="A296:B296"/>
    <mergeCell ref="A286:B289"/>
    <mergeCell ref="C286:G287"/>
    <mergeCell ref="C288:G288"/>
    <mergeCell ref="C289:E289"/>
    <mergeCell ref="A290:B290"/>
    <mergeCell ref="C290:E290"/>
    <mergeCell ref="A280:G280"/>
    <mergeCell ref="A281:B281"/>
    <mergeCell ref="A282:B282"/>
    <mergeCell ref="A283:G283"/>
    <mergeCell ref="A284:F284"/>
    <mergeCell ref="A275:B275"/>
    <mergeCell ref="A276:G276"/>
    <mergeCell ref="A277:B277"/>
    <mergeCell ref="G277:G278"/>
    <mergeCell ref="A278:B278"/>
    <mergeCell ref="A269:B269"/>
    <mergeCell ref="A270:G270"/>
    <mergeCell ref="A271:B271"/>
    <mergeCell ref="G271:G274"/>
    <mergeCell ref="A272:B272"/>
    <mergeCell ref="A273:B273"/>
    <mergeCell ref="A274:B274"/>
    <mergeCell ref="A263:G263"/>
    <mergeCell ref="A264:B264"/>
    <mergeCell ref="G264:G268"/>
    <mergeCell ref="A265:B265"/>
    <mergeCell ref="A266:B266"/>
    <mergeCell ref="A267:B267"/>
    <mergeCell ref="A268:B268"/>
    <mergeCell ref="A258:B261"/>
    <mergeCell ref="C258:G259"/>
    <mergeCell ref="C260:G260"/>
    <mergeCell ref="C261:E261"/>
    <mergeCell ref="A262:B262"/>
    <mergeCell ref="C262:E262"/>
    <mergeCell ref="A252:G252"/>
    <mergeCell ref="A253:B253"/>
    <mergeCell ref="A254:B254"/>
    <mergeCell ref="A255:G255"/>
    <mergeCell ref="A256:F256"/>
    <mergeCell ref="A247:B247"/>
    <mergeCell ref="A248:G248"/>
    <mergeCell ref="A249:B249"/>
    <mergeCell ref="G249:G250"/>
    <mergeCell ref="A250:B250"/>
    <mergeCell ref="A241:B241"/>
    <mergeCell ref="A242:G242"/>
    <mergeCell ref="A243:B243"/>
    <mergeCell ref="G243:G246"/>
    <mergeCell ref="A244:B244"/>
    <mergeCell ref="A245:B245"/>
    <mergeCell ref="A246:B246"/>
    <mergeCell ref="A235:G235"/>
    <mergeCell ref="A236:B236"/>
    <mergeCell ref="G236:G240"/>
    <mergeCell ref="A237:B237"/>
    <mergeCell ref="A238:B238"/>
    <mergeCell ref="A239:B239"/>
    <mergeCell ref="A240:B240"/>
    <mergeCell ref="A230:B233"/>
    <mergeCell ref="C230:G231"/>
    <mergeCell ref="C232:G232"/>
    <mergeCell ref="C233:E233"/>
    <mergeCell ref="A234:B234"/>
    <mergeCell ref="C234:E234"/>
    <mergeCell ref="A224:G224"/>
    <mergeCell ref="A225:B225"/>
    <mergeCell ref="A226:B226"/>
    <mergeCell ref="A227:G227"/>
    <mergeCell ref="A228:F228"/>
    <mergeCell ref="A219:B219"/>
    <mergeCell ref="A220:G220"/>
    <mergeCell ref="A221:B221"/>
    <mergeCell ref="G221:G222"/>
    <mergeCell ref="A222:B222"/>
    <mergeCell ref="A213:B213"/>
    <mergeCell ref="A214:G214"/>
    <mergeCell ref="A215:B215"/>
    <mergeCell ref="G215:G218"/>
    <mergeCell ref="A216:B216"/>
    <mergeCell ref="A217:B217"/>
    <mergeCell ref="A218:B218"/>
    <mergeCell ref="A207:G207"/>
    <mergeCell ref="A208:B208"/>
    <mergeCell ref="G208:G212"/>
    <mergeCell ref="A209:B209"/>
    <mergeCell ref="A210:B210"/>
    <mergeCell ref="A211:B211"/>
    <mergeCell ref="A212:B212"/>
    <mergeCell ref="A202:B205"/>
    <mergeCell ref="C202:G203"/>
    <mergeCell ref="C204:G204"/>
    <mergeCell ref="C205:E205"/>
    <mergeCell ref="A206:B206"/>
    <mergeCell ref="C206:E206"/>
    <mergeCell ref="A196:G196"/>
    <mergeCell ref="A197:B197"/>
    <mergeCell ref="A198:B198"/>
    <mergeCell ref="A199:G199"/>
    <mergeCell ref="A200:F200"/>
    <mergeCell ref="A191:B191"/>
    <mergeCell ref="A192:G192"/>
    <mergeCell ref="A193:B193"/>
    <mergeCell ref="G193:G194"/>
    <mergeCell ref="A194:B194"/>
    <mergeCell ref="A185:B185"/>
    <mergeCell ref="A186:G186"/>
    <mergeCell ref="A187:B187"/>
    <mergeCell ref="G187:G190"/>
    <mergeCell ref="A188:B188"/>
    <mergeCell ref="A189:B189"/>
    <mergeCell ref="A190:B190"/>
    <mergeCell ref="A179:G179"/>
    <mergeCell ref="A180:B180"/>
    <mergeCell ref="G180:G184"/>
    <mergeCell ref="A181:B181"/>
    <mergeCell ref="A182:B182"/>
    <mergeCell ref="A183:B183"/>
    <mergeCell ref="A184:B184"/>
    <mergeCell ref="A174:B177"/>
    <mergeCell ref="C174:G175"/>
    <mergeCell ref="C176:G176"/>
    <mergeCell ref="C177:E177"/>
    <mergeCell ref="A178:B178"/>
    <mergeCell ref="C178:E178"/>
    <mergeCell ref="A168:G168"/>
    <mergeCell ref="A169:B169"/>
    <mergeCell ref="A170:B170"/>
    <mergeCell ref="A171:G171"/>
    <mergeCell ref="A172:F172"/>
    <mergeCell ref="A163:B163"/>
    <mergeCell ref="A164:G164"/>
    <mergeCell ref="A165:B165"/>
    <mergeCell ref="G165:G166"/>
    <mergeCell ref="A166:B166"/>
    <mergeCell ref="A157:B157"/>
    <mergeCell ref="A158:G158"/>
    <mergeCell ref="A159:B159"/>
    <mergeCell ref="G159:G162"/>
    <mergeCell ref="A160:B160"/>
    <mergeCell ref="A161:B161"/>
    <mergeCell ref="A162:B162"/>
    <mergeCell ref="A151:G151"/>
    <mergeCell ref="A152:B152"/>
    <mergeCell ref="G152:G156"/>
    <mergeCell ref="A153:B153"/>
    <mergeCell ref="A154:B154"/>
    <mergeCell ref="A155:B155"/>
    <mergeCell ref="A156:B156"/>
    <mergeCell ref="A146:B149"/>
    <mergeCell ref="C146:G147"/>
    <mergeCell ref="C148:G148"/>
    <mergeCell ref="C149:E149"/>
    <mergeCell ref="A150:B150"/>
    <mergeCell ref="C150:E150"/>
    <mergeCell ref="A140:G140"/>
    <mergeCell ref="A141:B141"/>
    <mergeCell ref="A142:B142"/>
    <mergeCell ref="A143:G143"/>
    <mergeCell ref="A144:F144"/>
    <mergeCell ref="A135:B135"/>
    <mergeCell ref="A136:G136"/>
    <mergeCell ref="A137:B137"/>
    <mergeCell ref="G137:G138"/>
    <mergeCell ref="A138:B138"/>
    <mergeCell ref="A129:B129"/>
    <mergeCell ref="A130:G130"/>
    <mergeCell ref="A131:B131"/>
    <mergeCell ref="G131:G134"/>
    <mergeCell ref="A132:B132"/>
    <mergeCell ref="A133:B133"/>
    <mergeCell ref="A134:B134"/>
    <mergeCell ref="A123:G123"/>
    <mergeCell ref="A124:B124"/>
    <mergeCell ref="G124:G128"/>
    <mergeCell ref="A125:B125"/>
    <mergeCell ref="A126:B126"/>
    <mergeCell ref="A127:B127"/>
    <mergeCell ref="A128:B128"/>
    <mergeCell ref="A118:B121"/>
    <mergeCell ref="C118:G119"/>
    <mergeCell ref="C120:G120"/>
    <mergeCell ref="C121:E121"/>
    <mergeCell ref="A122:B122"/>
    <mergeCell ref="C122:E122"/>
    <mergeCell ref="A112:G112"/>
    <mergeCell ref="A113:B113"/>
    <mergeCell ref="A114:B114"/>
    <mergeCell ref="A115:G115"/>
    <mergeCell ref="A116:F116"/>
    <mergeCell ref="A107:B107"/>
    <mergeCell ref="A108:G108"/>
    <mergeCell ref="A109:B109"/>
    <mergeCell ref="G109:G110"/>
    <mergeCell ref="A110:B110"/>
    <mergeCell ref="A101:B101"/>
    <mergeCell ref="A102:G102"/>
    <mergeCell ref="A103:B103"/>
    <mergeCell ref="G103:G106"/>
    <mergeCell ref="A104:B104"/>
    <mergeCell ref="A105:B105"/>
    <mergeCell ref="A106:B106"/>
    <mergeCell ref="A95:G95"/>
    <mergeCell ref="A96:B96"/>
    <mergeCell ref="G96:G100"/>
    <mergeCell ref="A97:B97"/>
    <mergeCell ref="A98:B98"/>
    <mergeCell ref="A99:B99"/>
    <mergeCell ref="A100:B100"/>
    <mergeCell ref="A94:B94"/>
    <mergeCell ref="C94:E94"/>
    <mergeCell ref="A84:G84"/>
    <mergeCell ref="A85:B85"/>
    <mergeCell ref="A86:B86"/>
    <mergeCell ref="A87:G87"/>
    <mergeCell ref="A88:F88"/>
    <mergeCell ref="A79:B79"/>
    <mergeCell ref="A80:G80"/>
    <mergeCell ref="A81:B81"/>
    <mergeCell ref="G81:G82"/>
    <mergeCell ref="A82:B82"/>
    <mergeCell ref="A73:B73"/>
    <mergeCell ref="A74:G74"/>
    <mergeCell ref="A75:B75"/>
    <mergeCell ref="G75:G78"/>
    <mergeCell ref="A76:B76"/>
    <mergeCell ref="A77:B77"/>
    <mergeCell ref="A78:B78"/>
    <mergeCell ref="A11:B11"/>
    <mergeCell ref="A12:B12"/>
    <mergeCell ref="A13:B13"/>
    <mergeCell ref="A36:B39"/>
    <mergeCell ref="C36:G37"/>
    <mergeCell ref="A40:B40"/>
    <mergeCell ref="C40:E40"/>
    <mergeCell ref="A41:G41"/>
    <mergeCell ref="A42:B42"/>
    <mergeCell ref="A43:B43"/>
    <mergeCell ref="A44:B44"/>
    <mergeCell ref="A45:B45"/>
    <mergeCell ref="A47:B47"/>
    <mergeCell ref="G42:G44"/>
    <mergeCell ref="A46:G46"/>
    <mergeCell ref="G47:G50"/>
    <mergeCell ref="A90:B93"/>
    <mergeCell ref="C90:G91"/>
    <mergeCell ref="C92:G92"/>
    <mergeCell ref="C93:E93"/>
    <mergeCell ref="C2:G2"/>
    <mergeCell ref="A4:B7"/>
    <mergeCell ref="C4:G5"/>
    <mergeCell ref="A25:B25"/>
    <mergeCell ref="A26:G26"/>
    <mergeCell ref="A27:B27"/>
    <mergeCell ref="G27:G28"/>
    <mergeCell ref="A28:B28"/>
    <mergeCell ref="A30:G30"/>
    <mergeCell ref="A14:B14"/>
    <mergeCell ref="A15:B15"/>
    <mergeCell ref="A16:G16"/>
    <mergeCell ref="A19:B19"/>
    <mergeCell ref="A20:B20"/>
    <mergeCell ref="A21:B21"/>
    <mergeCell ref="A23:B23"/>
    <mergeCell ref="A67:G67"/>
    <mergeCell ref="A48:B48"/>
    <mergeCell ref="A52:G52"/>
    <mergeCell ref="G53:G54"/>
    <mergeCell ref="A54:B54"/>
    <mergeCell ref="A56:G56"/>
    <mergeCell ref="A57:B57"/>
    <mergeCell ref="A58:B58"/>
    <mergeCell ref="A49:B49"/>
    <mergeCell ref="A50:B50"/>
    <mergeCell ref="A51:B51"/>
    <mergeCell ref="A59:G59"/>
    <mergeCell ref="A60:F60"/>
    <mergeCell ref="A53:B53"/>
    <mergeCell ref="C6:G6"/>
    <mergeCell ref="C7:E7"/>
    <mergeCell ref="A8:B8"/>
    <mergeCell ref="C8:E8"/>
    <mergeCell ref="A9:G9"/>
    <mergeCell ref="A17:B17"/>
    <mergeCell ref="G17:G24"/>
    <mergeCell ref="A18:B18"/>
    <mergeCell ref="A22:B22"/>
    <mergeCell ref="A24:B24"/>
    <mergeCell ref="A31:B31"/>
    <mergeCell ref="A32:B32"/>
    <mergeCell ref="A33:G33"/>
    <mergeCell ref="A34:F34"/>
    <mergeCell ref="C38:G38"/>
    <mergeCell ref="C39:E39"/>
    <mergeCell ref="A328:B328"/>
    <mergeCell ref="A331:B331"/>
    <mergeCell ref="A329:B329"/>
    <mergeCell ref="A330:B330"/>
    <mergeCell ref="A68:B68"/>
    <mergeCell ref="G68:G72"/>
    <mergeCell ref="A69:B69"/>
    <mergeCell ref="A70:B70"/>
    <mergeCell ref="A71:B71"/>
    <mergeCell ref="A72:B72"/>
    <mergeCell ref="A62:B65"/>
    <mergeCell ref="C62:G63"/>
    <mergeCell ref="C64:G64"/>
    <mergeCell ref="C65:E65"/>
    <mergeCell ref="A66:B66"/>
    <mergeCell ref="C66:E66"/>
    <mergeCell ref="A10:B10"/>
    <mergeCell ref="G10:G14"/>
  </mergeCells>
  <pageMargins left="0.7" right="0.7" top="0.75" bottom="0.75" header="0.3" footer="0.3"/>
  <pageSetup paperSize="9" scale="71"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pageSetUpPr fitToPage="1"/>
  </sheetPr>
  <dimension ref="A2:H633"/>
  <sheetViews>
    <sheetView topLeftCell="A623" zoomScaleNormal="100" workbookViewId="0">
      <selection activeCell="B627" sqref="B627:C632"/>
    </sheetView>
  </sheetViews>
  <sheetFormatPr baseColWidth="10" defaultColWidth="10.6640625" defaultRowHeight="14.4"/>
  <cols>
    <col min="1" max="2" width="18.6640625" customWidth="1"/>
    <col min="3" max="7" width="16.6640625" customWidth="1"/>
    <col min="9" max="9" width="11.44140625"/>
  </cols>
  <sheetData>
    <row r="2" spans="1:7" s="2" customFormat="1" ht="116.25" customHeight="1">
      <c r="A2" s="177"/>
      <c r="B2" s="177"/>
      <c r="C2" s="922" t="s">
        <v>0</v>
      </c>
      <c r="D2" s="922"/>
      <c r="E2" s="922"/>
      <c r="F2" s="922"/>
      <c r="G2" s="923"/>
    </row>
    <row r="4" spans="1:7" s="2" customFormat="1" ht="15.75" customHeight="1">
      <c r="A4" s="970" t="s">
        <v>1</v>
      </c>
      <c r="B4" s="957"/>
      <c r="C4" s="953" t="s">
        <v>0</v>
      </c>
      <c r="D4" s="953"/>
      <c r="E4" s="953"/>
      <c r="F4" s="953"/>
      <c r="G4" s="1103"/>
    </row>
    <row r="5" spans="1:7" s="2" customFormat="1" ht="69.75" customHeight="1">
      <c r="A5" s="971"/>
      <c r="B5" s="957"/>
      <c r="C5" s="953"/>
      <c r="D5" s="953"/>
      <c r="E5" s="953"/>
      <c r="F5" s="953"/>
      <c r="G5" s="1103"/>
    </row>
    <row r="6" spans="1:7" s="2" customFormat="1" ht="15.75" customHeight="1">
      <c r="A6" s="971"/>
      <c r="B6" s="957"/>
      <c r="C6" s="956"/>
      <c r="D6" s="957"/>
      <c r="E6" s="957"/>
      <c r="F6" s="957"/>
      <c r="G6" s="958"/>
    </row>
    <row r="7" spans="1:7" s="2" customFormat="1" ht="15.75" customHeight="1">
      <c r="A7" s="971"/>
      <c r="B7" s="957"/>
      <c r="C7" s="959" t="s">
        <v>2</v>
      </c>
      <c r="D7" s="957"/>
      <c r="E7" s="957"/>
      <c r="F7" s="23" t="s">
        <v>3</v>
      </c>
      <c r="G7" s="24" t="s">
        <v>4</v>
      </c>
    </row>
    <row r="8" spans="1:7" s="2" customFormat="1" ht="73.5" customHeight="1">
      <c r="A8" s="1089" t="s">
        <v>1969</v>
      </c>
      <c r="B8" s="944"/>
      <c r="C8" s="980" t="s">
        <v>1970</v>
      </c>
      <c r="D8" s="944"/>
      <c r="E8" s="944"/>
      <c r="F8" s="51" t="s">
        <v>45</v>
      </c>
      <c r="G8" s="52">
        <v>110</v>
      </c>
    </row>
    <row r="9" spans="1:7" s="2" customFormat="1" ht="15.75" customHeight="1">
      <c r="A9" s="1071" t="s">
        <v>5</v>
      </c>
      <c r="B9" s="944"/>
      <c r="C9" s="944"/>
      <c r="D9" s="944"/>
      <c r="E9" s="944"/>
      <c r="F9" s="944"/>
      <c r="G9" s="1072"/>
    </row>
    <row r="10" spans="1:7" s="2" customFormat="1" ht="15.75" customHeight="1">
      <c r="A10" s="1074" t="s">
        <v>2</v>
      </c>
      <c r="B10" s="944"/>
      <c r="C10" s="53" t="s">
        <v>3</v>
      </c>
      <c r="D10" s="53" t="s">
        <v>4</v>
      </c>
      <c r="E10" s="53" t="s">
        <v>6</v>
      </c>
      <c r="F10" s="53" t="s">
        <v>7</v>
      </c>
      <c r="G10" s="1075" t="s">
        <v>8</v>
      </c>
    </row>
    <row r="11" spans="1:7" s="2" customFormat="1" ht="15.75" customHeight="1">
      <c r="A11" s="947" t="s">
        <v>167</v>
      </c>
      <c r="B11" s="980"/>
      <c r="C11" s="51" t="s">
        <v>3</v>
      </c>
      <c r="D11" s="54">
        <v>0.05</v>
      </c>
      <c r="E11" s="17">
        <f>+G28</f>
        <v>5468.2000000000007</v>
      </c>
      <c r="F11" s="55">
        <f>D11*E11</f>
        <v>273.41000000000003</v>
      </c>
      <c r="G11" s="1072"/>
    </row>
    <row r="12" spans="1:7" s="2" customFormat="1" ht="15.75" customHeight="1">
      <c r="A12" s="947"/>
      <c r="B12" s="944"/>
      <c r="C12" s="51"/>
      <c r="D12" s="54"/>
      <c r="E12" s="17"/>
      <c r="F12" s="55">
        <f>D12*E12</f>
        <v>0</v>
      </c>
      <c r="G12" s="1072"/>
    </row>
    <row r="13" spans="1:7" s="2" customFormat="1" ht="15.75" customHeight="1">
      <c r="A13" s="947"/>
      <c r="B13" s="980"/>
      <c r="C13" s="141"/>
      <c r="D13" s="16"/>
      <c r="E13" s="143"/>
      <c r="F13" s="55">
        <f>D13*E13</f>
        <v>0</v>
      </c>
      <c r="G13" s="1072"/>
    </row>
    <row r="14" spans="1:7" s="2" customFormat="1" ht="15.75" customHeight="1">
      <c r="A14" s="947"/>
      <c r="B14" s="944"/>
      <c r="C14" s="51"/>
      <c r="D14" s="54"/>
      <c r="E14" s="17"/>
      <c r="F14" s="55">
        <f>D14*E14</f>
        <v>0</v>
      </c>
      <c r="G14" s="1072"/>
    </row>
    <row r="15" spans="1:7" s="2" customFormat="1" ht="15.75" customHeight="1">
      <c r="A15" s="1079"/>
      <c r="B15" s="944"/>
      <c r="C15" s="56"/>
      <c r="D15" s="56"/>
      <c r="E15" s="56"/>
      <c r="F15" s="55"/>
      <c r="G15" s="57">
        <f>SUM(F10:F15)</f>
        <v>273.41000000000003</v>
      </c>
    </row>
    <row r="16" spans="1:7" s="2" customFormat="1" ht="15" customHeight="1">
      <c r="A16" s="1071" t="s">
        <v>10</v>
      </c>
      <c r="B16" s="944"/>
      <c r="C16" s="944"/>
      <c r="D16" s="944"/>
      <c r="E16" s="944"/>
      <c r="F16" s="944"/>
      <c r="G16" s="1072"/>
    </row>
    <row r="17" spans="1:7" s="2" customFormat="1" ht="15" customHeight="1">
      <c r="A17" s="1074" t="s">
        <v>2</v>
      </c>
      <c r="B17" s="944"/>
      <c r="C17" s="53" t="s">
        <v>3</v>
      </c>
      <c r="D17" s="53" t="s">
        <v>4</v>
      </c>
      <c r="E17" s="53" t="s">
        <v>6</v>
      </c>
      <c r="F17" s="53" t="s">
        <v>11</v>
      </c>
      <c r="G17" s="1075" t="s">
        <v>8</v>
      </c>
    </row>
    <row r="18" spans="1:7" s="2" customFormat="1" ht="15" customHeight="1">
      <c r="A18" s="947" t="str">
        <f>'INSUMOS '!$B$393</f>
        <v>TUBERIA PEMD 1"</v>
      </c>
      <c r="B18" s="944"/>
      <c r="C18" s="16" t="s">
        <v>45</v>
      </c>
      <c r="D18" s="54">
        <v>1</v>
      </c>
      <c r="E18" s="17">
        <f>'INSUMOS '!$E$393</f>
        <v>6630</v>
      </c>
      <c r="F18" s="55">
        <f>D18*E18</f>
        <v>6630</v>
      </c>
      <c r="G18" s="1072"/>
    </row>
    <row r="19" spans="1:7" s="2" customFormat="1" ht="15" customHeight="1">
      <c r="A19" s="947" t="str">
        <f>'INSUMOS '!$B$394</f>
        <v>SELLANTE ACERO QUIMICA 56 GR</v>
      </c>
      <c r="B19" s="944"/>
      <c r="C19" s="16" t="s">
        <v>998</v>
      </c>
      <c r="D19" s="54">
        <v>0.01</v>
      </c>
      <c r="E19" s="17">
        <f>'INSUMOS '!$E$394</f>
        <v>90850</v>
      </c>
      <c r="F19" s="55">
        <f>D19*E19</f>
        <v>908.5</v>
      </c>
      <c r="G19" s="1072"/>
    </row>
    <row r="20" spans="1:7" s="2" customFormat="1" ht="15" customHeight="1">
      <c r="A20" s="947" t="str">
        <f>'INSUMOS '!$B$395</f>
        <v>ABRAZADERA ACERO</v>
      </c>
      <c r="B20" s="944"/>
      <c r="C20" s="16" t="s">
        <v>998</v>
      </c>
      <c r="D20" s="54">
        <v>0.5</v>
      </c>
      <c r="E20" s="17">
        <f>'INSUMOS '!$E$395</f>
        <v>364</v>
      </c>
      <c r="F20" s="55">
        <f>D20*E20</f>
        <v>182</v>
      </c>
      <c r="G20" s="1072"/>
    </row>
    <row r="21" spans="1:7" s="2" customFormat="1" ht="15" customHeight="1">
      <c r="A21" s="947"/>
      <c r="B21" s="944"/>
      <c r="C21" s="16"/>
      <c r="D21" s="58"/>
      <c r="E21" s="17"/>
      <c r="F21" s="55"/>
      <c r="G21" s="57">
        <f>SUM(F17:F21)</f>
        <v>7720.5</v>
      </c>
    </row>
    <row r="22" spans="1:7" s="2" customFormat="1" ht="15" customHeight="1">
      <c r="A22" s="1071" t="s">
        <v>15</v>
      </c>
      <c r="B22" s="944"/>
      <c r="C22" s="944"/>
      <c r="D22" s="944"/>
      <c r="E22" s="944"/>
      <c r="F22" s="944"/>
      <c r="G22" s="1072"/>
    </row>
    <row r="23" spans="1:7" s="2" customFormat="1" ht="15" customHeight="1">
      <c r="A23" s="1074" t="s">
        <v>2</v>
      </c>
      <c r="B23" s="944"/>
      <c r="C23" s="53" t="s">
        <v>3</v>
      </c>
      <c r="D23" s="53" t="s">
        <v>4</v>
      </c>
      <c r="E23" s="53" t="s">
        <v>6</v>
      </c>
      <c r="F23" s="53" t="s">
        <v>11</v>
      </c>
      <c r="G23" s="1075" t="s">
        <v>8</v>
      </c>
    </row>
    <row r="24" spans="1:7" s="2" customFormat="1" ht="15" customHeight="1">
      <c r="A24" s="943" t="s">
        <v>173</v>
      </c>
      <c r="B24" s="944"/>
      <c r="C24" s="16" t="s">
        <v>3</v>
      </c>
      <c r="D24" s="54">
        <v>3.5000000000000003E-2</v>
      </c>
      <c r="E24" s="17">
        <f>+G21</f>
        <v>7720.5</v>
      </c>
      <c r="F24" s="55">
        <f>E24*D24</f>
        <v>270.21750000000003</v>
      </c>
      <c r="G24" s="1072"/>
    </row>
    <row r="25" spans="1:7" s="2" customFormat="1" ht="15" customHeight="1">
      <c r="A25" s="59"/>
      <c r="B25" s="60"/>
      <c r="C25" s="60"/>
      <c r="D25" s="60"/>
      <c r="E25" s="60"/>
      <c r="F25" s="60"/>
      <c r="G25" s="57">
        <f>SUM(F24:F25)</f>
        <v>270.21750000000003</v>
      </c>
    </row>
    <row r="26" spans="1:7" s="2" customFormat="1" ht="15" customHeight="1">
      <c r="A26" s="1071" t="s">
        <v>19</v>
      </c>
      <c r="B26" s="944"/>
      <c r="C26" s="944"/>
      <c r="D26" s="944"/>
      <c r="E26" s="944"/>
      <c r="F26" s="944"/>
      <c r="G26" s="1072"/>
    </row>
    <row r="27" spans="1:7" s="2" customFormat="1" ht="15" customHeight="1">
      <c r="A27" s="1074" t="s">
        <v>2</v>
      </c>
      <c r="B27" s="944"/>
      <c r="C27" s="53" t="s">
        <v>3</v>
      </c>
      <c r="D27" s="53" t="s">
        <v>4</v>
      </c>
      <c r="E27" s="53" t="s">
        <v>6</v>
      </c>
      <c r="F27" s="53" t="s">
        <v>11</v>
      </c>
      <c r="G27" s="456" t="s">
        <v>8</v>
      </c>
    </row>
    <row r="28" spans="1:7" s="2" customFormat="1" ht="15.75" customHeight="1">
      <c r="A28" s="978" t="str">
        <f>SALARIOS!$A$69</f>
        <v>CUADRILLA BB INSTALACIONES 1:1</v>
      </c>
      <c r="B28" s="979"/>
      <c r="C28" s="13" t="s">
        <v>1245</v>
      </c>
      <c r="D28" s="32">
        <v>0.2</v>
      </c>
      <c r="E28" s="13">
        <f>SALARIOS!$C$69</f>
        <v>27341</v>
      </c>
      <c r="F28" s="55">
        <f>+D28*E28</f>
        <v>5468.2000000000007</v>
      </c>
      <c r="G28" s="57">
        <f>SUM(F27:F28)</f>
        <v>5468.2000000000007</v>
      </c>
    </row>
    <row r="29" spans="1:7" s="2" customFormat="1" ht="15" customHeight="1">
      <c r="A29" s="1076" t="s">
        <v>25</v>
      </c>
      <c r="B29" s="944"/>
      <c r="C29" s="944"/>
      <c r="D29" s="944"/>
      <c r="E29" s="944"/>
      <c r="F29" s="944"/>
      <c r="G29" s="1072"/>
    </row>
    <row r="30" spans="1:7" s="2" customFormat="1" ht="15" customHeight="1">
      <c r="A30" s="1077"/>
      <c r="B30" s="944"/>
      <c r="C30" s="944"/>
      <c r="D30" s="944"/>
      <c r="E30" s="944"/>
      <c r="F30" s="944"/>
      <c r="G30" s="62">
        <f>G28+G25+G21+G15</f>
        <v>13732.327499999999</v>
      </c>
    </row>
    <row r="32" spans="1:7" s="2" customFormat="1" ht="15.75" customHeight="1">
      <c r="A32" s="970" t="s">
        <v>1</v>
      </c>
      <c r="B32" s="957"/>
      <c r="C32" s="953" t="s">
        <v>0</v>
      </c>
      <c r="D32" s="953"/>
      <c r="E32" s="953"/>
      <c r="F32" s="953"/>
      <c r="G32" s="1103"/>
    </row>
    <row r="33" spans="1:7" s="2" customFormat="1" ht="69.75" customHeight="1">
      <c r="A33" s="971"/>
      <c r="B33" s="957"/>
      <c r="C33" s="953"/>
      <c r="D33" s="953"/>
      <c r="E33" s="953"/>
      <c r="F33" s="953"/>
      <c r="G33" s="1103"/>
    </row>
    <row r="34" spans="1:7" s="2" customFormat="1" ht="15.75" customHeight="1">
      <c r="A34" s="971"/>
      <c r="B34" s="957"/>
      <c r="C34" s="956"/>
      <c r="D34" s="957"/>
      <c r="E34" s="957"/>
      <c r="F34" s="957"/>
      <c r="G34" s="958"/>
    </row>
    <row r="35" spans="1:7" s="2" customFormat="1" ht="15.75" customHeight="1">
      <c r="A35" s="971"/>
      <c r="B35" s="957"/>
      <c r="C35" s="959" t="s">
        <v>2</v>
      </c>
      <c r="D35" s="957"/>
      <c r="E35" s="957"/>
      <c r="F35" s="23" t="s">
        <v>3</v>
      </c>
      <c r="G35" s="24" t="s">
        <v>4</v>
      </c>
    </row>
    <row r="36" spans="1:7" s="2" customFormat="1" ht="73.5" customHeight="1">
      <c r="A36" s="1089" t="s">
        <v>1971</v>
      </c>
      <c r="B36" s="944"/>
      <c r="C36" s="980" t="s">
        <v>1972</v>
      </c>
      <c r="D36" s="944"/>
      <c r="E36" s="944"/>
      <c r="F36" s="54" t="s">
        <v>45</v>
      </c>
      <c r="G36" s="52">
        <v>15</v>
      </c>
    </row>
    <row r="37" spans="1:7" s="2" customFormat="1" ht="15.75" customHeight="1">
      <c r="A37" s="1071" t="s">
        <v>5</v>
      </c>
      <c r="B37" s="944"/>
      <c r="C37" s="944"/>
      <c r="D37" s="944"/>
      <c r="E37" s="944"/>
      <c r="F37" s="944"/>
      <c r="G37" s="1072"/>
    </row>
    <row r="38" spans="1:7" s="2" customFormat="1" ht="15.75" customHeight="1">
      <c r="A38" s="1074" t="s">
        <v>2</v>
      </c>
      <c r="B38" s="944"/>
      <c r="C38" s="53" t="s">
        <v>3</v>
      </c>
      <c r="D38" s="53" t="s">
        <v>4</v>
      </c>
      <c r="E38" s="53" t="s">
        <v>6</v>
      </c>
      <c r="F38" s="53" t="s">
        <v>7</v>
      </c>
      <c r="G38" s="1075" t="s">
        <v>8</v>
      </c>
    </row>
    <row r="39" spans="1:7" s="2" customFormat="1" ht="15.75" customHeight="1">
      <c r="A39" s="947" t="s">
        <v>167</v>
      </c>
      <c r="B39" s="980"/>
      <c r="C39" s="51" t="s">
        <v>3</v>
      </c>
      <c r="D39" s="54">
        <v>0.05</v>
      </c>
      <c r="E39" s="17">
        <f>+G56</f>
        <v>5468.2000000000007</v>
      </c>
      <c r="F39" s="55">
        <f>D39*E39</f>
        <v>273.41000000000003</v>
      </c>
      <c r="G39" s="1072"/>
    </row>
    <row r="40" spans="1:7" s="2" customFormat="1" ht="15.75" customHeight="1">
      <c r="A40" s="947"/>
      <c r="B40" s="944"/>
      <c r="C40" s="51"/>
      <c r="D40" s="54"/>
      <c r="E40" s="17"/>
      <c r="F40" s="55">
        <f>D40*E40</f>
        <v>0</v>
      </c>
      <c r="G40" s="1072"/>
    </row>
    <row r="41" spans="1:7" s="2" customFormat="1" ht="15.75" customHeight="1">
      <c r="A41" s="947"/>
      <c r="B41" s="980"/>
      <c r="C41" s="141"/>
      <c r="D41" s="16"/>
      <c r="E41" s="143"/>
      <c r="F41" s="55">
        <f>D41*E41</f>
        <v>0</v>
      </c>
      <c r="G41" s="1072"/>
    </row>
    <row r="42" spans="1:7" s="2" customFormat="1" ht="15.75" customHeight="1">
      <c r="A42" s="947"/>
      <c r="B42" s="944"/>
      <c r="C42" s="51"/>
      <c r="D42" s="54"/>
      <c r="E42" s="17"/>
      <c r="F42" s="55">
        <f>D42*E42</f>
        <v>0</v>
      </c>
      <c r="G42" s="1072"/>
    </row>
    <row r="43" spans="1:7" s="2" customFormat="1" ht="15.75" customHeight="1">
      <c r="A43" s="1079"/>
      <c r="B43" s="944"/>
      <c r="C43" s="56"/>
      <c r="D43" s="56"/>
      <c r="E43" s="56"/>
      <c r="F43" s="55"/>
      <c r="G43" s="57">
        <f>SUM(F38:F43)</f>
        <v>273.41000000000003</v>
      </c>
    </row>
    <row r="44" spans="1:7" s="2" customFormat="1" ht="15" customHeight="1">
      <c r="A44" s="1071" t="s">
        <v>10</v>
      </c>
      <c r="B44" s="944"/>
      <c r="C44" s="944"/>
      <c r="D44" s="944"/>
      <c r="E44" s="944"/>
      <c r="F44" s="944"/>
      <c r="G44" s="1072"/>
    </row>
    <row r="45" spans="1:7" s="2" customFormat="1" ht="15" customHeight="1">
      <c r="A45" s="1074" t="s">
        <v>2</v>
      </c>
      <c r="B45" s="944"/>
      <c r="C45" s="53" t="s">
        <v>3</v>
      </c>
      <c r="D45" s="53" t="s">
        <v>4</v>
      </c>
      <c r="E45" s="53" t="s">
        <v>6</v>
      </c>
      <c r="F45" s="53" t="s">
        <v>11</v>
      </c>
      <c r="G45" s="1075" t="s">
        <v>8</v>
      </c>
    </row>
    <row r="46" spans="1:7" s="2" customFormat="1" ht="15" customHeight="1">
      <c r="A46" s="947" t="str">
        <f>'INSUMOS '!$B$394</f>
        <v>SELLANTE ACERO QUIMICA 56 GR</v>
      </c>
      <c r="B46" s="944"/>
      <c r="C46" s="16" t="s">
        <v>998</v>
      </c>
      <c r="D46" s="54">
        <v>0.01</v>
      </c>
      <c r="E46" s="17">
        <f>'INSUMOS '!$E$394</f>
        <v>90850</v>
      </c>
      <c r="F46" s="55">
        <f>D46*E46</f>
        <v>908.5</v>
      </c>
      <c r="G46" s="1072"/>
    </row>
    <row r="47" spans="1:7" s="2" customFormat="1" ht="15" customHeight="1">
      <c r="A47" s="947" t="str">
        <f>'INSUMOS '!$B$395</f>
        <v>ABRAZADERA ACERO</v>
      </c>
      <c r="B47" s="944"/>
      <c r="C47" s="16" t="s">
        <v>998</v>
      </c>
      <c r="D47" s="54">
        <v>0.5</v>
      </c>
      <c r="E47" s="17">
        <f>'INSUMOS '!$E$395</f>
        <v>364</v>
      </c>
      <c r="F47" s="55">
        <f>D47*E47</f>
        <v>182</v>
      </c>
      <c r="G47" s="1072"/>
    </row>
    <row r="48" spans="1:7" s="2" customFormat="1" ht="15" customHeight="1">
      <c r="A48" s="947" t="str">
        <f>'INSUMOS '!$B$396</f>
        <v>TUBERIA ACERO SHEDULLE 1"</v>
      </c>
      <c r="B48" s="944"/>
      <c r="C48" s="16" t="s">
        <v>45</v>
      </c>
      <c r="D48" s="54">
        <v>1</v>
      </c>
      <c r="E48" s="17">
        <f>'INSUMOS '!$E$396</f>
        <v>10335</v>
      </c>
      <c r="F48" s="55">
        <f>D48*E48</f>
        <v>10335</v>
      </c>
      <c r="G48" s="1072"/>
    </row>
    <row r="49" spans="1:7" s="2" customFormat="1" ht="15" customHeight="1">
      <c r="A49" s="947"/>
      <c r="B49" s="944"/>
      <c r="C49" s="16"/>
      <c r="D49" s="58"/>
      <c r="E49" s="17"/>
      <c r="F49" s="55"/>
      <c r="G49" s="57">
        <f>SUM(F45:F49)</f>
        <v>11425.5</v>
      </c>
    </row>
    <row r="50" spans="1:7" s="2" customFormat="1" ht="15" customHeight="1">
      <c r="A50" s="1071" t="s">
        <v>15</v>
      </c>
      <c r="B50" s="944"/>
      <c r="C50" s="944"/>
      <c r="D50" s="944"/>
      <c r="E50" s="944"/>
      <c r="F50" s="944"/>
      <c r="G50" s="1072"/>
    </row>
    <row r="51" spans="1:7" s="2" customFormat="1" ht="15" customHeight="1">
      <c r="A51" s="1074" t="s">
        <v>2</v>
      </c>
      <c r="B51" s="944"/>
      <c r="C51" s="53" t="s">
        <v>3</v>
      </c>
      <c r="D51" s="53" t="s">
        <v>4</v>
      </c>
      <c r="E51" s="53" t="s">
        <v>6</v>
      </c>
      <c r="F51" s="53" t="s">
        <v>11</v>
      </c>
      <c r="G51" s="1075" t="s">
        <v>8</v>
      </c>
    </row>
    <row r="52" spans="1:7" s="2" customFormat="1" ht="15" customHeight="1">
      <c r="A52" s="943" t="s">
        <v>173</v>
      </c>
      <c r="B52" s="944"/>
      <c r="C52" s="16" t="s">
        <v>3</v>
      </c>
      <c r="D52" s="54">
        <v>3.5000000000000003E-2</v>
      </c>
      <c r="E52" s="17">
        <f>+G49</f>
        <v>11425.5</v>
      </c>
      <c r="F52" s="55">
        <f>E52*D52</f>
        <v>399.89250000000004</v>
      </c>
      <c r="G52" s="1072"/>
    </row>
    <row r="53" spans="1:7" s="2" customFormat="1" ht="15" customHeight="1">
      <c r="A53" s="59"/>
      <c r="B53" s="60"/>
      <c r="C53" s="60"/>
      <c r="D53" s="60"/>
      <c r="E53" s="60"/>
      <c r="F53" s="60"/>
      <c r="G53" s="57">
        <f>SUM(F52:F53)</f>
        <v>399.89250000000004</v>
      </c>
    </row>
    <row r="54" spans="1:7" s="2" customFormat="1" ht="15" customHeight="1">
      <c r="A54" s="1071" t="s">
        <v>19</v>
      </c>
      <c r="B54" s="944"/>
      <c r="C54" s="944"/>
      <c r="D54" s="944"/>
      <c r="E54" s="944"/>
      <c r="F54" s="944"/>
      <c r="G54" s="1072"/>
    </row>
    <row r="55" spans="1:7" s="2" customFormat="1" ht="15" customHeight="1">
      <c r="A55" s="1074" t="s">
        <v>2</v>
      </c>
      <c r="B55" s="944"/>
      <c r="C55" s="53" t="s">
        <v>3</v>
      </c>
      <c r="D55" s="53" t="s">
        <v>4</v>
      </c>
      <c r="E55" s="53" t="s">
        <v>6</v>
      </c>
      <c r="F55" s="53" t="s">
        <v>11</v>
      </c>
      <c r="G55" s="456" t="s">
        <v>8</v>
      </c>
    </row>
    <row r="56" spans="1:7" s="2" customFormat="1" ht="15.75" customHeight="1">
      <c r="A56" s="978" t="str">
        <f>SALARIOS!$A$69</f>
        <v>CUADRILLA BB INSTALACIONES 1:1</v>
      </c>
      <c r="B56" s="979"/>
      <c r="C56" s="13" t="s">
        <v>1245</v>
      </c>
      <c r="D56" s="32">
        <v>0.2</v>
      </c>
      <c r="E56" s="13">
        <f>SALARIOS!$C$69</f>
        <v>27341</v>
      </c>
      <c r="F56" s="55">
        <f>+D56*E56</f>
        <v>5468.2000000000007</v>
      </c>
      <c r="G56" s="57">
        <f>SUM(F55:F56)</f>
        <v>5468.2000000000007</v>
      </c>
    </row>
    <row r="57" spans="1:7" s="2" customFormat="1" ht="15" customHeight="1">
      <c r="A57" s="1076" t="s">
        <v>25</v>
      </c>
      <c r="B57" s="944"/>
      <c r="C57" s="944"/>
      <c r="D57" s="944"/>
      <c r="E57" s="944"/>
      <c r="F57" s="944"/>
      <c r="G57" s="1072"/>
    </row>
    <row r="58" spans="1:7" s="2" customFormat="1" ht="15" customHeight="1">
      <c r="A58" s="1077"/>
      <c r="B58" s="944"/>
      <c r="C58" s="944"/>
      <c r="D58" s="944"/>
      <c r="E58" s="944"/>
      <c r="F58" s="944"/>
      <c r="G58" s="62">
        <f>G56+G53+G49+G43</f>
        <v>17567.002499999999</v>
      </c>
    </row>
    <row r="60" spans="1:7" s="2" customFormat="1" ht="15.75" customHeight="1">
      <c r="A60" s="970" t="s">
        <v>1</v>
      </c>
      <c r="B60" s="957"/>
      <c r="C60" s="953" t="s">
        <v>0</v>
      </c>
      <c r="D60" s="953"/>
      <c r="E60" s="953"/>
      <c r="F60" s="953"/>
      <c r="G60" s="1103"/>
    </row>
    <row r="61" spans="1:7" s="2" customFormat="1" ht="69.75" customHeight="1">
      <c r="A61" s="971"/>
      <c r="B61" s="957"/>
      <c r="C61" s="953"/>
      <c r="D61" s="953"/>
      <c r="E61" s="953"/>
      <c r="F61" s="953"/>
      <c r="G61" s="1103"/>
    </row>
    <row r="62" spans="1:7" s="2" customFormat="1" ht="15.75" customHeight="1">
      <c r="A62" s="971"/>
      <c r="B62" s="957"/>
      <c r="C62" s="956"/>
      <c r="D62" s="957"/>
      <c r="E62" s="957"/>
      <c r="F62" s="957"/>
      <c r="G62" s="958"/>
    </row>
    <row r="63" spans="1:7" s="2" customFormat="1" ht="15.75" customHeight="1">
      <c r="A63" s="971"/>
      <c r="B63" s="957"/>
      <c r="C63" s="959" t="s">
        <v>2</v>
      </c>
      <c r="D63" s="957"/>
      <c r="E63" s="957"/>
      <c r="F63" s="23" t="s">
        <v>3</v>
      </c>
      <c r="G63" s="24" t="s">
        <v>4</v>
      </c>
    </row>
    <row r="64" spans="1:7" s="2" customFormat="1" ht="73.5" customHeight="1">
      <c r="A64" s="1089" t="s">
        <v>1973</v>
      </c>
      <c r="B64" s="944"/>
      <c r="C64" s="980" t="s">
        <v>1974</v>
      </c>
      <c r="D64" s="944"/>
      <c r="E64" s="944"/>
      <c r="F64" s="54" t="s">
        <v>45</v>
      </c>
      <c r="G64" s="52">
        <v>40.299999999999997</v>
      </c>
    </row>
    <row r="65" spans="1:8" s="2" customFormat="1" ht="15.75" customHeight="1">
      <c r="A65" s="1071" t="s">
        <v>5</v>
      </c>
      <c r="B65" s="944"/>
      <c r="C65" s="944"/>
      <c r="D65" s="944"/>
      <c r="E65" s="944"/>
      <c r="F65" s="944"/>
      <c r="G65" s="1072"/>
    </row>
    <row r="66" spans="1:8" s="2" customFormat="1" ht="15.75" customHeight="1">
      <c r="A66" s="1074" t="s">
        <v>2</v>
      </c>
      <c r="B66" s="944"/>
      <c r="C66" s="53" t="s">
        <v>3</v>
      </c>
      <c r="D66" s="53" t="s">
        <v>4</v>
      </c>
      <c r="E66" s="53" t="s">
        <v>6</v>
      </c>
      <c r="F66" s="53" t="s">
        <v>7</v>
      </c>
      <c r="G66" s="1075" t="s">
        <v>8</v>
      </c>
    </row>
    <row r="67" spans="1:8" s="2" customFormat="1" ht="15.75" customHeight="1">
      <c r="A67" s="947" t="s">
        <v>167</v>
      </c>
      <c r="B67" s="980"/>
      <c r="C67" s="51" t="s">
        <v>3</v>
      </c>
      <c r="D67" s="54">
        <v>0.05</v>
      </c>
      <c r="E67" s="17">
        <f>+G84</f>
        <v>5468.2000000000007</v>
      </c>
      <c r="F67" s="55">
        <f>D67*E67</f>
        <v>273.41000000000003</v>
      </c>
      <c r="G67" s="1072"/>
      <c r="H67" s="452"/>
    </row>
    <row r="68" spans="1:8" s="2" customFormat="1" ht="15.75" customHeight="1">
      <c r="A68" s="947"/>
      <c r="B68" s="944"/>
      <c r="C68" s="51"/>
      <c r="D68" s="54"/>
      <c r="E68" s="17"/>
      <c r="F68" s="55">
        <f>D68*E68</f>
        <v>0</v>
      </c>
      <c r="G68" s="1072"/>
      <c r="H68" s="452"/>
    </row>
    <row r="69" spans="1:8" s="2" customFormat="1" ht="15.75" customHeight="1">
      <c r="A69" s="947"/>
      <c r="B69" s="980"/>
      <c r="C69" s="141"/>
      <c r="D69" s="16"/>
      <c r="E69" s="143"/>
      <c r="F69" s="55">
        <f>D69*E69</f>
        <v>0</v>
      </c>
      <c r="G69" s="1072"/>
      <c r="H69" s="452"/>
    </row>
    <row r="70" spans="1:8" s="2" customFormat="1" ht="15.75" customHeight="1">
      <c r="A70" s="947"/>
      <c r="B70" s="944"/>
      <c r="C70" s="51"/>
      <c r="D70" s="54"/>
      <c r="E70" s="17"/>
      <c r="F70" s="55">
        <f>D70*E70</f>
        <v>0</v>
      </c>
      <c r="G70" s="1072"/>
      <c r="H70" s="452"/>
    </row>
    <row r="71" spans="1:8" s="2" customFormat="1" ht="15.75" customHeight="1">
      <c r="A71" s="1079"/>
      <c r="B71" s="944"/>
      <c r="C71" s="56"/>
      <c r="D71" s="56"/>
      <c r="E71" s="56"/>
      <c r="F71" s="55"/>
      <c r="G71" s="57">
        <f>SUM(F66:F71)</f>
        <v>273.41000000000003</v>
      </c>
    </row>
    <row r="72" spans="1:8" s="2" customFormat="1" ht="15" customHeight="1">
      <c r="A72" s="1071" t="s">
        <v>10</v>
      </c>
      <c r="B72" s="944"/>
      <c r="C72" s="944"/>
      <c r="D72" s="944"/>
      <c r="E72" s="944"/>
      <c r="F72" s="944"/>
      <c r="G72" s="1072"/>
    </row>
    <row r="73" spans="1:8" s="2" customFormat="1" ht="15" customHeight="1">
      <c r="A73" s="1074" t="s">
        <v>2</v>
      </c>
      <c r="B73" s="944"/>
      <c r="C73" s="53" t="s">
        <v>3</v>
      </c>
      <c r="D73" s="53" t="s">
        <v>4</v>
      </c>
      <c r="E73" s="53" t="s">
        <v>6</v>
      </c>
      <c r="F73" s="53" t="s">
        <v>11</v>
      </c>
      <c r="G73" s="1075" t="s">
        <v>8</v>
      </c>
    </row>
    <row r="74" spans="1:8" s="2" customFormat="1" ht="15" customHeight="1">
      <c r="A74" s="947" t="str">
        <f>'INSUMOS '!$B$394</f>
        <v>SELLANTE ACERO QUIMICA 56 GR</v>
      </c>
      <c r="B74" s="944"/>
      <c r="C74" s="16" t="s">
        <v>998</v>
      </c>
      <c r="D74" s="54">
        <v>0.01</v>
      </c>
      <c r="E74" s="17">
        <f>'INSUMOS '!$E$394</f>
        <v>90850</v>
      </c>
      <c r="F74" s="55">
        <f>D74*E74</f>
        <v>908.5</v>
      </c>
      <c r="G74" s="1072"/>
    </row>
    <row r="75" spans="1:8" s="2" customFormat="1" ht="15" customHeight="1">
      <c r="A75" s="947" t="str">
        <f>'INSUMOS '!$B$395</f>
        <v>ABRAZADERA ACERO</v>
      </c>
      <c r="B75" s="944"/>
      <c r="C75" s="16" t="s">
        <v>998</v>
      </c>
      <c r="D75" s="54">
        <v>0.5</v>
      </c>
      <c r="E75" s="17">
        <f>'INSUMOS '!$E$395</f>
        <v>364</v>
      </c>
      <c r="F75" s="55">
        <f>D75*E75</f>
        <v>182</v>
      </c>
      <c r="G75" s="1072"/>
    </row>
    <row r="76" spans="1:8" s="2" customFormat="1" ht="15" customHeight="1">
      <c r="A76" s="947" t="str">
        <f>'INSUMOS '!$B$397</f>
        <v>TUBERIA ACERO SHEDULLE 3/4"</v>
      </c>
      <c r="B76" s="944"/>
      <c r="C76" s="16" t="s">
        <v>45</v>
      </c>
      <c r="D76" s="54">
        <v>1</v>
      </c>
      <c r="E76" s="17">
        <f>'INSUMOS '!$E$397</f>
        <v>7605</v>
      </c>
      <c r="F76" s="55">
        <f>D76*E76</f>
        <v>7605</v>
      </c>
      <c r="G76" s="1072"/>
    </row>
    <row r="77" spans="1:8" s="2" customFormat="1" ht="15" customHeight="1">
      <c r="A77" s="947"/>
      <c r="B77" s="944"/>
      <c r="C77" s="16"/>
      <c r="D77" s="58"/>
      <c r="E77" s="17"/>
      <c r="F77" s="55"/>
      <c r="G77" s="57">
        <f>SUM(F73:F77)</f>
        <v>8695.5</v>
      </c>
    </row>
    <row r="78" spans="1:8" s="2" customFormat="1" ht="15" customHeight="1">
      <c r="A78" s="1071" t="s">
        <v>15</v>
      </c>
      <c r="B78" s="944"/>
      <c r="C78" s="944"/>
      <c r="D78" s="944"/>
      <c r="E78" s="944"/>
      <c r="F78" s="944"/>
      <c r="G78" s="1072"/>
    </row>
    <row r="79" spans="1:8" s="2" customFormat="1" ht="15" customHeight="1">
      <c r="A79" s="1074" t="s">
        <v>2</v>
      </c>
      <c r="B79" s="944"/>
      <c r="C79" s="53" t="s">
        <v>3</v>
      </c>
      <c r="D79" s="53" t="s">
        <v>4</v>
      </c>
      <c r="E79" s="53" t="s">
        <v>6</v>
      </c>
      <c r="F79" s="53" t="s">
        <v>11</v>
      </c>
      <c r="G79" s="1075" t="s">
        <v>8</v>
      </c>
    </row>
    <row r="80" spans="1:8" s="2" customFormat="1" ht="15" customHeight="1">
      <c r="A80" s="943" t="s">
        <v>173</v>
      </c>
      <c r="B80" s="944"/>
      <c r="C80" s="16" t="s">
        <v>3</v>
      </c>
      <c r="D80" s="54">
        <v>3.5000000000000003E-2</v>
      </c>
      <c r="E80" s="17">
        <f>+G77</f>
        <v>8695.5</v>
      </c>
      <c r="F80" s="55">
        <f>E80*D80</f>
        <v>304.34250000000003</v>
      </c>
      <c r="G80" s="1072"/>
    </row>
    <row r="81" spans="1:7" s="2" customFormat="1" ht="15" customHeight="1">
      <c r="A81" s="59"/>
      <c r="B81" s="60"/>
      <c r="C81" s="60"/>
      <c r="D81" s="60"/>
      <c r="E81" s="60"/>
      <c r="F81" s="60"/>
      <c r="G81" s="57">
        <f>SUM(F80:F81)</f>
        <v>304.34250000000003</v>
      </c>
    </row>
    <row r="82" spans="1:7" s="2" customFormat="1" ht="15" customHeight="1">
      <c r="A82" s="1071" t="s">
        <v>19</v>
      </c>
      <c r="B82" s="944"/>
      <c r="C82" s="944"/>
      <c r="D82" s="944"/>
      <c r="E82" s="944"/>
      <c r="F82" s="944"/>
      <c r="G82" s="1072"/>
    </row>
    <row r="83" spans="1:7" s="2" customFormat="1" ht="15" customHeight="1">
      <c r="A83" s="1074" t="s">
        <v>2</v>
      </c>
      <c r="B83" s="944"/>
      <c r="C83" s="53" t="s">
        <v>3</v>
      </c>
      <c r="D83" s="53" t="s">
        <v>4</v>
      </c>
      <c r="E83" s="53" t="s">
        <v>6</v>
      </c>
      <c r="F83" s="53" t="s">
        <v>11</v>
      </c>
      <c r="G83" s="456" t="s">
        <v>8</v>
      </c>
    </row>
    <row r="84" spans="1:7" s="2" customFormat="1" ht="15.75" customHeight="1">
      <c r="A84" s="978" t="str">
        <f>SALARIOS!$A$69</f>
        <v>CUADRILLA BB INSTALACIONES 1:1</v>
      </c>
      <c r="B84" s="979"/>
      <c r="C84" s="13" t="s">
        <v>1245</v>
      </c>
      <c r="D84" s="32">
        <v>0.2</v>
      </c>
      <c r="E84" s="13">
        <f>SALARIOS!$C$69</f>
        <v>27341</v>
      </c>
      <c r="F84" s="55">
        <f>+D84*E84</f>
        <v>5468.2000000000007</v>
      </c>
      <c r="G84" s="57">
        <f>SUM(F83:F84)</f>
        <v>5468.2000000000007</v>
      </c>
    </row>
    <row r="85" spans="1:7" s="2" customFormat="1" ht="15" customHeight="1">
      <c r="A85" s="1076" t="s">
        <v>25</v>
      </c>
      <c r="B85" s="944"/>
      <c r="C85" s="944"/>
      <c r="D85" s="944"/>
      <c r="E85" s="944"/>
      <c r="F85" s="944"/>
      <c r="G85" s="1072"/>
    </row>
    <row r="86" spans="1:7" s="2" customFormat="1" ht="15" customHeight="1">
      <c r="A86" s="1077"/>
      <c r="B86" s="944"/>
      <c r="C86" s="944"/>
      <c r="D86" s="944"/>
      <c r="E86" s="944"/>
      <c r="F86" s="944"/>
      <c r="G86" s="62">
        <f>G84+G81+G77+G71</f>
        <v>14741.452499999999</v>
      </c>
    </row>
    <row r="88" spans="1:7" s="2" customFormat="1" ht="15.75" customHeight="1">
      <c r="A88" s="970" t="s">
        <v>1</v>
      </c>
      <c r="B88" s="957"/>
      <c r="C88" s="953" t="s">
        <v>0</v>
      </c>
      <c r="D88" s="953"/>
      <c r="E88" s="953"/>
      <c r="F88" s="953"/>
      <c r="G88" s="1103"/>
    </row>
    <row r="89" spans="1:7" s="2" customFormat="1" ht="69.75" customHeight="1">
      <c r="A89" s="971"/>
      <c r="B89" s="957"/>
      <c r="C89" s="953"/>
      <c r="D89" s="953"/>
      <c r="E89" s="953"/>
      <c r="F89" s="953"/>
      <c r="G89" s="1103"/>
    </row>
    <row r="90" spans="1:7" s="2" customFormat="1" ht="15.75" customHeight="1">
      <c r="A90" s="971"/>
      <c r="B90" s="957"/>
      <c r="C90" s="956"/>
      <c r="D90" s="957"/>
      <c r="E90" s="957"/>
      <c r="F90" s="957"/>
      <c r="G90" s="958"/>
    </row>
    <row r="91" spans="1:7" s="2" customFormat="1" ht="15.75" customHeight="1">
      <c r="A91" s="971"/>
      <c r="B91" s="957"/>
      <c r="C91" s="959" t="s">
        <v>2</v>
      </c>
      <c r="D91" s="957"/>
      <c r="E91" s="957"/>
      <c r="F91" s="23" t="s">
        <v>3</v>
      </c>
      <c r="G91" s="24" t="s">
        <v>4</v>
      </c>
    </row>
    <row r="92" spans="1:7" s="2" customFormat="1" ht="73.5" customHeight="1">
      <c r="A92" s="1089" t="s">
        <v>1975</v>
      </c>
      <c r="B92" s="944"/>
      <c r="C92" s="980" t="s">
        <v>1976</v>
      </c>
      <c r="D92" s="944"/>
      <c r="E92" s="944"/>
      <c r="F92" s="54" t="s">
        <v>45</v>
      </c>
      <c r="G92" s="52">
        <v>64.099999999999994</v>
      </c>
    </row>
    <row r="93" spans="1:7" s="2" customFormat="1" ht="15.75" customHeight="1">
      <c r="A93" s="1071" t="s">
        <v>5</v>
      </c>
      <c r="B93" s="944"/>
      <c r="C93" s="944"/>
      <c r="D93" s="944"/>
      <c r="E93" s="944"/>
      <c r="F93" s="944"/>
      <c r="G93" s="1072"/>
    </row>
    <row r="94" spans="1:7" s="2" customFormat="1" ht="15.75" customHeight="1">
      <c r="A94" s="1074" t="s">
        <v>2</v>
      </c>
      <c r="B94" s="944"/>
      <c r="C94" s="53" t="s">
        <v>3</v>
      </c>
      <c r="D94" s="53" t="s">
        <v>4</v>
      </c>
      <c r="E94" s="53" t="s">
        <v>6</v>
      </c>
      <c r="F94" s="53" t="s">
        <v>7</v>
      </c>
      <c r="G94" s="1075" t="s">
        <v>8</v>
      </c>
    </row>
    <row r="95" spans="1:7" s="2" customFormat="1" ht="15.75" customHeight="1">
      <c r="A95" s="947" t="s">
        <v>167</v>
      </c>
      <c r="B95" s="980"/>
      <c r="C95" s="51" t="s">
        <v>3</v>
      </c>
      <c r="D95" s="54">
        <v>0.05</v>
      </c>
      <c r="E95" s="17">
        <f>+G112</f>
        <v>5468.2000000000007</v>
      </c>
      <c r="F95" s="55">
        <f>D95*E95</f>
        <v>273.41000000000003</v>
      </c>
      <c r="G95" s="1072"/>
    </row>
    <row r="96" spans="1:7" s="2" customFormat="1" ht="15.75" customHeight="1">
      <c r="A96" s="947"/>
      <c r="B96" s="944"/>
      <c r="C96" s="51"/>
      <c r="D96" s="54"/>
      <c r="E96" s="17"/>
      <c r="F96" s="55">
        <f>D96*E96</f>
        <v>0</v>
      </c>
      <c r="G96" s="1072"/>
    </row>
    <row r="97" spans="1:7" s="2" customFormat="1" ht="15.75" customHeight="1">
      <c r="A97" s="947"/>
      <c r="B97" s="980"/>
      <c r="C97" s="141"/>
      <c r="D97" s="16"/>
      <c r="E97" s="143"/>
      <c r="F97" s="55">
        <f>D97*E97</f>
        <v>0</v>
      </c>
      <c r="G97" s="1072"/>
    </row>
    <row r="98" spans="1:7" s="2" customFormat="1" ht="15.75" customHeight="1">
      <c r="A98" s="947"/>
      <c r="B98" s="944"/>
      <c r="C98" s="51"/>
      <c r="D98" s="54"/>
      <c r="E98" s="17"/>
      <c r="F98" s="55">
        <f>D98*E98</f>
        <v>0</v>
      </c>
      <c r="G98" s="1072"/>
    </row>
    <row r="99" spans="1:7" s="2" customFormat="1" ht="15.75" customHeight="1">
      <c r="A99" s="1079"/>
      <c r="B99" s="944"/>
      <c r="C99" s="56"/>
      <c r="D99" s="56"/>
      <c r="E99" s="56"/>
      <c r="F99" s="55"/>
      <c r="G99" s="57">
        <f>SUM(F94:F99)</f>
        <v>273.41000000000003</v>
      </c>
    </row>
    <row r="100" spans="1:7" s="2" customFormat="1" ht="15" customHeight="1">
      <c r="A100" s="1071" t="s">
        <v>10</v>
      </c>
      <c r="B100" s="944"/>
      <c r="C100" s="944"/>
      <c r="D100" s="944"/>
      <c r="E100" s="944"/>
      <c r="F100" s="944"/>
      <c r="G100" s="1072"/>
    </row>
    <row r="101" spans="1:7" s="2" customFormat="1" ht="15" customHeight="1">
      <c r="A101" s="1074" t="s">
        <v>2</v>
      </c>
      <c r="B101" s="944"/>
      <c r="C101" s="53" t="s">
        <v>3</v>
      </c>
      <c r="D101" s="53" t="s">
        <v>4</v>
      </c>
      <c r="E101" s="53" t="s">
        <v>6</v>
      </c>
      <c r="F101" s="53" t="s">
        <v>11</v>
      </c>
      <c r="G101" s="1075" t="s">
        <v>8</v>
      </c>
    </row>
    <row r="102" spans="1:7" s="2" customFormat="1" ht="15" customHeight="1">
      <c r="A102" s="947" t="str">
        <f>'INSUMOS '!$B$394</f>
        <v>SELLANTE ACERO QUIMICA 56 GR</v>
      </c>
      <c r="B102" s="944"/>
      <c r="C102" s="16" t="s">
        <v>998</v>
      </c>
      <c r="D102" s="54">
        <v>0.01</v>
      </c>
      <c r="E102" s="17">
        <f>'INSUMOS '!$E$394</f>
        <v>90850</v>
      </c>
      <c r="F102" s="55">
        <f>D102*E102</f>
        <v>908.5</v>
      </c>
      <c r="G102" s="1072"/>
    </row>
    <row r="103" spans="1:7" s="2" customFormat="1" ht="15" customHeight="1">
      <c r="A103" s="947" t="str">
        <f>'INSUMOS '!$B$395</f>
        <v>ABRAZADERA ACERO</v>
      </c>
      <c r="B103" s="944"/>
      <c r="C103" s="16" t="s">
        <v>998</v>
      </c>
      <c r="D103" s="54">
        <v>0.7</v>
      </c>
      <c r="E103" s="17">
        <f>'INSUMOS '!$E$395</f>
        <v>364</v>
      </c>
      <c r="F103" s="55">
        <f>D103*E103</f>
        <v>254.79999999999998</v>
      </c>
      <c r="G103" s="1072"/>
    </row>
    <row r="104" spans="1:7" s="2" customFormat="1" ht="15" customHeight="1">
      <c r="A104" s="947" t="str">
        <f>'INSUMOS '!$B$398</f>
        <v>TUBERIA ACERO SHEDULLE 1/2"</v>
      </c>
      <c r="B104" s="944"/>
      <c r="C104" s="16" t="s">
        <v>45</v>
      </c>
      <c r="D104" s="54">
        <v>1</v>
      </c>
      <c r="E104" s="17">
        <f>'INSUMOS '!$E$398</f>
        <v>6695</v>
      </c>
      <c r="F104" s="55">
        <f>D104*E104</f>
        <v>6695</v>
      </c>
      <c r="G104" s="1072"/>
    </row>
    <row r="105" spans="1:7" s="2" customFormat="1" ht="15" customHeight="1">
      <c r="A105" s="947"/>
      <c r="B105" s="944"/>
      <c r="C105" s="16"/>
      <c r="D105" s="58"/>
      <c r="E105" s="17"/>
      <c r="F105" s="55"/>
      <c r="G105" s="57">
        <f>SUM(F101:F105)</f>
        <v>7858.3</v>
      </c>
    </row>
    <row r="106" spans="1:7" s="2" customFormat="1" ht="15" customHeight="1">
      <c r="A106" s="1071" t="s">
        <v>15</v>
      </c>
      <c r="B106" s="944"/>
      <c r="C106" s="944"/>
      <c r="D106" s="944"/>
      <c r="E106" s="944"/>
      <c r="F106" s="944"/>
      <c r="G106" s="1072"/>
    </row>
    <row r="107" spans="1:7" s="2" customFormat="1" ht="15" customHeight="1">
      <c r="A107" s="1074" t="s">
        <v>2</v>
      </c>
      <c r="B107" s="944"/>
      <c r="C107" s="53" t="s">
        <v>3</v>
      </c>
      <c r="D107" s="53" t="s">
        <v>4</v>
      </c>
      <c r="E107" s="53" t="s">
        <v>6</v>
      </c>
      <c r="F107" s="53" t="s">
        <v>11</v>
      </c>
      <c r="G107" s="1075" t="s">
        <v>8</v>
      </c>
    </row>
    <row r="108" spans="1:7" s="2" customFormat="1" ht="15" customHeight="1">
      <c r="A108" s="943" t="s">
        <v>173</v>
      </c>
      <c r="B108" s="944"/>
      <c r="C108" s="16" t="s">
        <v>3</v>
      </c>
      <c r="D108" s="54">
        <v>3.5000000000000003E-2</v>
      </c>
      <c r="E108" s="17">
        <f>+G105</f>
        <v>7858.3</v>
      </c>
      <c r="F108" s="55">
        <f>E108*D108</f>
        <v>275.04050000000001</v>
      </c>
      <c r="G108" s="1072"/>
    </row>
    <row r="109" spans="1:7" s="2" customFormat="1" ht="15" customHeight="1">
      <c r="A109" s="59"/>
      <c r="B109" s="60"/>
      <c r="C109" s="60"/>
      <c r="D109" s="60"/>
      <c r="E109" s="60"/>
      <c r="F109" s="60"/>
      <c r="G109" s="57">
        <f>SUM(F108:F109)</f>
        <v>275.04050000000001</v>
      </c>
    </row>
    <row r="110" spans="1:7" s="2" customFormat="1" ht="15" customHeight="1">
      <c r="A110" s="1071" t="s">
        <v>19</v>
      </c>
      <c r="B110" s="944"/>
      <c r="C110" s="944"/>
      <c r="D110" s="944"/>
      <c r="E110" s="944"/>
      <c r="F110" s="944"/>
      <c r="G110" s="1072"/>
    </row>
    <row r="111" spans="1:7" s="2" customFormat="1" ht="15" customHeight="1">
      <c r="A111" s="1074" t="s">
        <v>2</v>
      </c>
      <c r="B111" s="944"/>
      <c r="C111" s="53" t="s">
        <v>3</v>
      </c>
      <c r="D111" s="53" t="s">
        <v>4</v>
      </c>
      <c r="E111" s="53" t="s">
        <v>6</v>
      </c>
      <c r="F111" s="53" t="s">
        <v>11</v>
      </c>
      <c r="G111" s="456" t="s">
        <v>8</v>
      </c>
    </row>
    <row r="112" spans="1:7" s="2" customFormat="1" ht="15.75" customHeight="1">
      <c r="A112" s="978" t="str">
        <f>SALARIOS!$A$69</f>
        <v>CUADRILLA BB INSTALACIONES 1:1</v>
      </c>
      <c r="B112" s="979"/>
      <c r="C112" s="13" t="s">
        <v>1245</v>
      </c>
      <c r="D112" s="32">
        <v>0.2</v>
      </c>
      <c r="E112" s="13">
        <f>SALARIOS!$C$69</f>
        <v>27341</v>
      </c>
      <c r="F112" s="55">
        <f>+D112*E112</f>
        <v>5468.2000000000007</v>
      </c>
      <c r="G112" s="57">
        <f>SUM(F111:F112)</f>
        <v>5468.2000000000007</v>
      </c>
    </row>
    <row r="113" spans="1:7" s="2" customFormat="1" ht="15" customHeight="1">
      <c r="A113" s="1076" t="s">
        <v>25</v>
      </c>
      <c r="B113" s="944"/>
      <c r="C113" s="944"/>
      <c r="D113" s="944"/>
      <c r="E113" s="944"/>
      <c r="F113" s="944"/>
      <c r="G113" s="1072"/>
    </row>
    <row r="114" spans="1:7" s="2" customFormat="1" ht="15" customHeight="1">
      <c r="A114" s="1077"/>
      <c r="B114" s="944"/>
      <c r="C114" s="944"/>
      <c r="D114" s="944"/>
      <c r="E114" s="944"/>
      <c r="F114" s="944"/>
      <c r="G114" s="62">
        <f>G112+G109+G105+G99</f>
        <v>13874.950500000001</v>
      </c>
    </row>
    <row r="116" spans="1:7" s="2" customFormat="1" ht="15.75" customHeight="1">
      <c r="A116" s="970" t="s">
        <v>1</v>
      </c>
      <c r="B116" s="957"/>
      <c r="C116" s="953" t="s">
        <v>0</v>
      </c>
      <c r="D116" s="953"/>
      <c r="E116" s="953"/>
      <c r="F116" s="953"/>
      <c r="G116" s="1103"/>
    </row>
    <row r="117" spans="1:7" s="2" customFormat="1" ht="69.75" customHeight="1">
      <c r="A117" s="971"/>
      <c r="B117" s="957"/>
      <c r="C117" s="953"/>
      <c r="D117" s="953"/>
      <c r="E117" s="953"/>
      <c r="F117" s="953"/>
      <c r="G117" s="1103"/>
    </row>
    <row r="118" spans="1:7" s="2" customFormat="1" ht="15.75" customHeight="1">
      <c r="A118" s="971"/>
      <c r="B118" s="957"/>
      <c r="C118" s="956"/>
      <c r="D118" s="957"/>
      <c r="E118" s="957"/>
      <c r="F118" s="957"/>
      <c r="G118" s="958"/>
    </row>
    <row r="119" spans="1:7" s="2" customFormat="1" ht="15.75" customHeight="1">
      <c r="A119" s="971"/>
      <c r="B119" s="957"/>
      <c r="C119" s="959" t="s">
        <v>2</v>
      </c>
      <c r="D119" s="957"/>
      <c r="E119" s="957"/>
      <c r="F119" s="23" t="s">
        <v>3</v>
      </c>
      <c r="G119" s="24" t="s">
        <v>4</v>
      </c>
    </row>
    <row r="120" spans="1:7" s="2" customFormat="1" ht="73.5" customHeight="1">
      <c r="A120" s="1089" t="s">
        <v>1977</v>
      </c>
      <c r="B120" s="944"/>
      <c r="C120" s="980" t="s">
        <v>1978</v>
      </c>
      <c r="D120" s="944"/>
      <c r="E120" s="944"/>
      <c r="F120" s="54" t="s">
        <v>1620</v>
      </c>
      <c r="G120" s="52">
        <v>14</v>
      </c>
    </row>
    <row r="121" spans="1:7" s="2" customFormat="1" ht="15.75" customHeight="1">
      <c r="A121" s="1071" t="s">
        <v>5</v>
      </c>
      <c r="B121" s="944"/>
      <c r="C121" s="944"/>
      <c r="D121" s="944"/>
      <c r="E121" s="944"/>
      <c r="F121" s="944"/>
      <c r="G121" s="1072"/>
    </row>
    <row r="122" spans="1:7" s="2" customFormat="1" ht="15.75" customHeight="1">
      <c r="A122" s="1074" t="s">
        <v>2</v>
      </c>
      <c r="B122" s="944"/>
      <c r="C122" s="53" t="s">
        <v>3</v>
      </c>
      <c r="D122" s="53" t="s">
        <v>4</v>
      </c>
      <c r="E122" s="53" t="s">
        <v>6</v>
      </c>
      <c r="F122" s="53" t="s">
        <v>7</v>
      </c>
      <c r="G122" s="1075" t="s">
        <v>8</v>
      </c>
    </row>
    <row r="123" spans="1:7" s="2" customFormat="1" ht="15.75" customHeight="1">
      <c r="A123" s="947" t="s">
        <v>167</v>
      </c>
      <c r="B123" s="980"/>
      <c r="C123" s="51" t="s">
        <v>3</v>
      </c>
      <c r="D123" s="54">
        <v>0.05</v>
      </c>
      <c r="E123" s="17">
        <f>+G140</f>
        <v>5468.2000000000007</v>
      </c>
      <c r="F123" s="55">
        <f>D123*E123</f>
        <v>273.41000000000003</v>
      </c>
      <c r="G123" s="1072"/>
    </row>
    <row r="124" spans="1:7" s="2" customFormat="1" ht="15.75" customHeight="1">
      <c r="A124" s="947"/>
      <c r="B124" s="944"/>
      <c r="C124" s="51"/>
      <c r="D124" s="54"/>
      <c r="E124" s="17"/>
      <c r="F124" s="55">
        <f>D124*E124</f>
        <v>0</v>
      </c>
      <c r="G124" s="1072"/>
    </row>
    <row r="125" spans="1:7" s="2" customFormat="1" ht="15.75" customHeight="1">
      <c r="A125" s="947"/>
      <c r="B125" s="980"/>
      <c r="C125" s="141"/>
      <c r="D125" s="16"/>
      <c r="E125" s="143"/>
      <c r="F125" s="55">
        <f>D125*E125</f>
        <v>0</v>
      </c>
      <c r="G125" s="1072"/>
    </row>
    <row r="126" spans="1:7" s="2" customFormat="1" ht="15.75" customHeight="1">
      <c r="A126" s="947"/>
      <c r="B126" s="944"/>
      <c r="C126" s="51"/>
      <c r="D126" s="54"/>
      <c r="E126" s="17"/>
      <c r="F126" s="55">
        <f>D126*E126</f>
        <v>0</v>
      </c>
      <c r="G126" s="1072"/>
    </row>
    <row r="127" spans="1:7" s="2" customFormat="1" ht="15.75" customHeight="1">
      <c r="A127" s="1079"/>
      <c r="B127" s="944"/>
      <c r="C127" s="56"/>
      <c r="D127" s="56"/>
      <c r="E127" s="56"/>
      <c r="F127" s="55"/>
      <c r="G127" s="57">
        <f>SUM(F122:F127)</f>
        <v>273.41000000000003</v>
      </c>
    </row>
    <row r="128" spans="1:7" s="2" customFormat="1" ht="15" customHeight="1">
      <c r="A128" s="1071" t="s">
        <v>10</v>
      </c>
      <c r="B128" s="944"/>
      <c r="C128" s="944"/>
      <c r="D128" s="944"/>
      <c r="E128" s="944"/>
      <c r="F128" s="944"/>
      <c r="G128" s="1072"/>
    </row>
    <row r="129" spans="1:7" s="2" customFormat="1" ht="15" customHeight="1">
      <c r="A129" s="1074" t="s">
        <v>2</v>
      </c>
      <c r="B129" s="944"/>
      <c r="C129" s="53" t="s">
        <v>3</v>
      </c>
      <c r="D129" s="53" t="s">
        <v>4</v>
      </c>
      <c r="E129" s="53" t="s">
        <v>6</v>
      </c>
      <c r="F129" s="53" t="s">
        <v>11</v>
      </c>
      <c r="G129" s="1075" t="s">
        <v>8</v>
      </c>
    </row>
    <row r="130" spans="1:7" s="2" customFormat="1" ht="15" customHeight="1">
      <c r="A130" s="947" t="str">
        <f>'INSUMOS '!$B$394</f>
        <v>SELLANTE ACERO QUIMICA 56 GR</v>
      </c>
      <c r="B130" s="944"/>
      <c r="C130" s="16" t="s">
        <v>998</v>
      </c>
      <c r="D130" s="54">
        <v>0.01</v>
      </c>
      <c r="E130" s="17">
        <f>'INSUMOS '!$E$394</f>
        <v>90850</v>
      </c>
      <c r="F130" s="55">
        <f>D130*E130</f>
        <v>908.5</v>
      </c>
      <c r="G130" s="1072"/>
    </row>
    <row r="131" spans="1:7" s="2" customFormat="1" ht="15" customHeight="1">
      <c r="A131" s="947" t="str">
        <f>'INSUMOS '!$B$399</f>
        <v>VALVULA ACERO SHEDULLE 1/2"</v>
      </c>
      <c r="B131" s="944"/>
      <c r="C131" s="16" t="s">
        <v>998</v>
      </c>
      <c r="D131" s="54">
        <v>1</v>
      </c>
      <c r="E131" s="17">
        <f>'INSUMOS '!$E$399</f>
        <v>5569.2</v>
      </c>
      <c r="F131" s="55">
        <f>D131*E131</f>
        <v>5569.2</v>
      </c>
      <c r="G131" s="1072"/>
    </row>
    <row r="132" spans="1:7" s="2" customFormat="1" ht="15" customHeight="1">
      <c r="A132" s="947"/>
      <c r="B132" s="944"/>
      <c r="C132" s="16"/>
      <c r="D132" s="54"/>
      <c r="E132" s="17"/>
      <c r="F132" s="55">
        <f>D132*E132</f>
        <v>0</v>
      </c>
      <c r="G132" s="1072"/>
    </row>
    <row r="133" spans="1:7" s="2" customFormat="1" ht="15" customHeight="1">
      <c r="A133" s="947"/>
      <c r="B133" s="944"/>
      <c r="C133" s="16"/>
      <c r="D133" s="58"/>
      <c r="E133" s="17"/>
      <c r="F133" s="55"/>
      <c r="G133" s="57">
        <f>SUM(F129:F133)</f>
        <v>6477.7</v>
      </c>
    </row>
    <row r="134" spans="1:7" s="2" customFormat="1" ht="15" customHeight="1">
      <c r="A134" s="1071" t="s">
        <v>15</v>
      </c>
      <c r="B134" s="944"/>
      <c r="C134" s="944"/>
      <c r="D134" s="944"/>
      <c r="E134" s="944"/>
      <c r="F134" s="944"/>
      <c r="G134" s="1072"/>
    </row>
    <row r="135" spans="1:7" s="2" customFormat="1" ht="15" customHeight="1">
      <c r="A135" s="1074" t="s">
        <v>2</v>
      </c>
      <c r="B135" s="944"/>
      <c r="C135" s="53" t="s">
        <v>3</v>
      </c>
      <c r="D135" s="53" t="s">
        <v>4</v>
      </c>
      <c r="E135" s="53" t="s">
        <v>6</v>
      </c>
      <c r="F135" s="53" t="s">
        <v>11</v>
      </c>
      <c r="G135" s="1075" t="s">
        <v>8</v>
      </c>
    </row>
    <row r="136" spans="1:7" s="2" customFormat="1" ht="15" customHeight="1">
      <c r="A136" s="943" t="s">
        <v>173</v>
      </c>
      <c r="B136" s="944"/>
      <c r="C136" s="16" t="s">
        <v>3</v>
      </c>
      <c r="D136" s="54">
        <v>3.5000000000000003E-2</v>
      </c>
      <c r="E136" s="17">
        <f>+G133</f>
        <v>6477.7</v>
      </c>
      <c r="F136" s="55">
        <f>E136*D136</f>
        <v>226.71950000000001</v>
      </c>
      <c r="G136" s="1072"/>
    </row>
    <row r="137" spans="1:7" s="2" customFormat="1" ht="15" customHeight="1">
      <c r="A137" s="59"/>
      <c r="B137" s="60"/>
      <c r="C137" s="60"/>
      <c r="D137" s="60"/>
      <c r="E137" s="60"/>
      <c r="F137" s="60"/>
      <c r="G137" s="57">
        <f>SUM(F136:F137)</f>
        <v>226.71950000000001</v>
      </c>
    </row>
    <row r="138" spans="1:7" s="2" customFormat="1" ht="15" customHeight="1">
      <c r="A138" s="1071" t="s">
        <v>19</v>
      </c>
      <c r="B138" s="944"/>
      <c r="C138" s="944"/>
      <c r="D138" s="944"/>
      <c r="E138" s="944"/>
      <c r="F138" s="944"/>
      <c r="G138" s="1072"/>
    </row>
    <row r="139" spans="1:7" s="2" customFormat="1" ht="15" customHeight="1">
      <c r="A139" s="1074" t="s">
        <v>2</v>
      </c>
      <c r="B139" s="944"/>
      <c r="C139" s="53" t="s">
        <v>3</v>
      </c>
      <c r="D139" s="53" t="s">
        <v>4</v>
      </c>
      <c r="E139" s="53" t="s">
        <v>6</v>
      </c>
      <c r="F139" s="53" t="s">
        <v>11</v>
      </c>
      <c r="G139" s="456" t="s">
        <v>8</v>
      </c>
    </row>
    <row r="140" spans="1:7" s="2" customFormat="1" ht="15.75" customHeight="1">
      <c r="A140" s="978" t="str">
        <f>SALARIOS!$A$69</f>
        <v>CUADRILLA BB INSTALACIONES 1:1</v>
      </c>
      <c r="B140" s="979"/>
      <c r="C140" s="13" t="s">
        <v>1245</v>
      </c>
      <c r="D140" s="32">
        <v>0.2</v>
      </c>
      <c r="E140" s="13">
        <f>SALARIOS!$C$69</f>
        <v>27341</v>
      </c>
      <c r="F140" s="55">
        <f>+D140*E140</f>
        <v>5468.2000000000007</v>
      </c>
      <c r="G140" s="57">
        <f>SUM(F139:F140)</f>
        <v>5468.2000000000007</v>
      </c>
    </row>
    <row r="141" spans="1:7" s="2" customFormat="1" ht="15" customHeight="1">
      <c r="A141" s="1076" t="s">
        <v>25</v>
      </c>
      <c r="B141" s="944"/>
      <c r="C141" s="944"/>
      <c r="D141" s="944"/>
      <c r="E141" s="944"/>
      <c r="F141" s="944"/>
      <c r="G141" s="1072"/>
    </row>
    <row r="142" spans="1:7" s="2" customFormat="1" ht="15" customHeight="1">
      <c r="A142" s="1077"/>
      <c r="B142" s="944"/>
      <c r="C142" s="944"/>
      <c r="D142" s="944"/>
      <c r="E142" s="944"/>
      <c r="F142" s="944"/>
      <c r="G142" s="62">
        <f>G140+G137+G133+G127</f>
        <v>12446.029500000001</v>
      </c>
    </row>
    <row r="144" spans="1:7" s="2" customFormat="1" ht="15.75" customHeight="1">
      <c r="A144" s="970" t="s">
        <v>1</v>
      </c>
      <c r="B144" s="957"/>
      <c r="C144" s="953" t="s">
        <v>0</v>
      </c>
      <c r="D144" s="953"/>
      <c r="E144" s="953"/>
      <c r="F144" s="953"/>
      <c r="G144" s="1103"/>
    </row>
    <row r="145" spans="1:7" s="2" customFormat="1" ht="69.75" customHeight="1">
      <c r="A145" s="971"/>
      <c r="B145" s="957"/>
      <c r="C145" s="953"/>
      <c r="D145" s="953"/>
      <c r="E145" s="953"/>
      <c r="F145" s="953"/>
      <c r="G145" s="1103"/>
    </row>
    <row r="146" spans="1:7" s="2" customFormat="1" ht="15.75" customHeight="1">
      <c r="A146" s="971"/>
      <c r="B146" s="957"/>
      <c r="C146" s="956"/>
      <c r="D146" s="957"/>
      <c r="E146" s="957"/>
      <c r="F146" s="957"/>
      <c r="G146" s="958"/>
    </row>
    <row r="147" spans="1:7" s="2" customFormat="1" ht="15.75" customHeight="1">
      <c r="A147" s="971"/>
      <c r="B147" s="957"/>
      <c r="C147" s="959" t="s">
        <v>2</v>
      </c>
      <c r="D147" s="957"/>
      <c r="E147" s="957"/>
      <c r="F147" s="23" t="s">
        <v>3</v>
      </c>
      <c r="G147" s="24" t="s">
        <v>4</v>
      </c>
    </row>
    <row r="148" spans="1:7" s="2" customFormat="1" ht="73.5" customHeight="1">
      <c r="A148" s="1089" t="s">
        <v>1979</v>
      </c>
      <c r="B148" s="944"/>
      <c r="C148" s="980" t="s">
        <v>1980</v>
      </c>
      <c r="D148" s="944"/>
      <c r="E148" s="944"/>
      <c r="F148" s="54" t="s">
        <v>1620</v>
      </c>
      <c r="G148" s="52">
        <v>7</v>
      </c>
    </row>
    <row r="149" spans="1:7" s="2" customFormat="1" ht="15.75" customHeight="1">
      <c r="A149" s="1071" t="s">
        <v>5</v>
      </c>
      <c r="B149" s="944"/>
      <c r="C149" s="944"/>
      <c r="D149" s="944"/>
      <c r="E149" s="944"/>
      <c r="F149" s="944"/>
      <c r="G149" s="1072"/>
    </row>
    <row r="150" spans="1:7" s="2" customFormat="1" ht="15.75" customHeight="1">
      <c r="A150" s="1074" t="s">
        <v>2</v>
      </c>
      <c r="B150" s="944"/>
      <c r="C150" s="53" t="s">
        <v>3</v>
      </c>
      <c r="D150" s="53" t="s">
        <v>4</v>
      </c>
      <c r="E150" s="53" t="s">
        <v>6</v>
      </c>
      <c r="F150" s="53" t="s">
        <v>7</v>
      </c>
      <c r="G150" s="1075" t="s">
        <v>8</v>
      </c>
    </row>
    <row r="151" spans="1:7" s="2" customFormat="1" ht="15.75" customHeight="1">
      <c r="A151" s="947" t="s">
        <v>167</v>
      </c>
      <c r="B151" s="980"/>
      <c r="C151" s="51" t="s">
        <v>3</v>
      </c>
      <c r="D151" s="54">
        <v>0.05</v>
      </c>
      <c r="E151" s="17">
        <f>+G168</f>
        <v>5468.2000000000007</v>
      </c>
      <c r="F151" s="55">
        <f>D151*E151</f>
        <v>273.41000000000003</v>
      </c>
      <c r="G151" s="1072"/>
    </row>
    <row r="152" spans="1:7" s="2" customFormat="1" ht="15.75" customHeight="1">
      <c r="A152" s="947"/>
      <c r="B152" s="944"/>
      <c r="C152" s="51"/>
      <c r="D152" s="54"/>
      <c r="E152" s="17"/>
      <c r="F152" s="55">
        <f>D152*E152</f>
        <v>0</v>
      </c>
      <c r="G152" s="1072"/>
    </row>
    <row r="153" spans="1:7" s="2" customFormat="1" ht="15.75" customHeight="1">
      <c r="A153" s="947"/>
      <c r="B153" s="980"/>
      <c r="C153" s="141"/>
      <c r="D153" s="16"/>
      <c r="E153" s="143"/>
      <c r="F153" s="55">
        <f>D153*E153</f>
        <v>0</v>
      </c>
      <c r="G153" s="1072"/>
    </row>
    <row r="154" spans="1:7" s="2" customFormat="1" ht="15.75" customHeight="1">
      <c r="A154" s="947"/>
      <c r="B154" s="944"/>
      <c r="C154" s="51"/>
      <c r="D154" s="54"/>
      <c r="E154" s="17"/>
      <c r="F154" s="55">
        <f>D154*E154</f>
        <v>0</v>
      </c>
      <c r="G154" s="1072"/>
    </row>
    <row r="155" spans="1:7" s="2" customFormat="1" ht="15.75" customHeight="1">
      <c r="A155" s="1079"/>
      <c r="B155" s="944"/>
      <c r="C155" s="56"/>
      <c r="D155" s="56"/>
      <c r="E155" s="56"/>
      <c r="F155" s="55"/>
      <c r="G155" s="57">
        <f>SUM(F150:F155)</f>
        <v>273.41000000000003</v>
      </c>
    </row>
    <row r="156" spans="1:7" s="2" customFormat="1" ht="15" customHeight="1">
      <c r="A156" s="1071" t="s">
        <v>10</v>
      </c>
      <c r="B156" s="944"/>
      <c r="C156" s="944"/>
      <c r="D156" s="944"/>
      <c r="E156" s="944"/>
      <c r="F156" s="944"/>
      <c r="G156" s="1072"/>
    </row>
    <row r="157" spans="1:7" s="2" customFormat="1" ht="15" customHeight="1">
      <c r="A157" s="1074" t="s">
        <v>2</v>
      </c>
      <c r="B157" s="944"/>
      <c r="C157" s="53" t="s">
        <v>3</v>
      </c>
      <c r="D157" s="53" t="s">
        <v>4</v>
      </c>
      <c r="E157" s="53" t="s">
        <v>6</v>
      </c>
      <c r="F157" s="53" t="s">
        <v>11</v>
      </c>
      <c r="G157" s="1075" t="s">
        <v>8</v>
      </c>
    </row>
    <row r="158" spans="1:7" s="2" customFormat="1" ht="15" customHeight="1">
      <c r="A158" s="947" t="str">
        <f>'INSUMOS '!$B$394</f>
        <v>SELLANTE ACERO QUIMICA 56 GR</v>
      </c>
      <c r="B158" s="944"/>
      <c r="C158" s="16" t="s">
        <v>998</v>
      </c>
      <c r="D158" s="54">
        <v>0.01</v>
      </c>
      <c r="E158" s="17">
        <f>'INSUMOS '!$E$394</f>
        <v>90850</v>
      </c>
      <c r="F158" s="55">
        <f>D158*E158</f>
        <v>908.5</v>
      </c>
      <c r="G158" s="1072"/>
    </row>
    <row r="159" spans="1:7" s="2" customFormat="1" ht="15" customHeight="1">
      <c r="A159" s="947" t="str">
        <f>'INSUMOS '!$B$400</f>
        <v>CODO ACERO SHEDULLE 1"</v>
      </c>
      <c r="B159" s="944"/>
      <c r="C159" s="16" t="s">
        <v>998</v>
      </c>
      <c r="D159" s="54">
        <v>1</v>
      </c>
      <c r="E159" s="17">
        <f>'INSUMOS '!$E$400</f>
        <v>1105</v>
      </c>
      <c r="F159" s="55">
        <f>D159*E159</f>
        <v>1105</v>
      </c>
      <c r="G159" s="1072"/>
    </row>
    <row r="160" spans="1:7" s="2" customFormat="1" ht="15" customHeight="1">
      <c r="A160" s="947"/>
      <c r="B160" s="944"/>
      <c r="C160" s="16"/>
      <c r="D160" s="54"/>
      <c r="E160" s="17"/>
      <c r="F160" s="55">
        <f>D160*E160</f>
        <v>0</v>
      </c>
      <c r="G160" s="1072"/>
    </row>
    <row r="161" spans="1:7" s="2" customFormat="1" ht="15" customHeight="1">
      <c r="A161" s="947"/>
      <c r="B161" s="944"/>
      <c r="C161" s="16"/>
      <c r="D161" s="58"/>
      <c r="E161" s="17"/>
      <c r="F161" s="55"/>
      <c r="G161" s="57">
        <f>SUM(F157:F161)</f>
        <v>2013.5</v>
      </c>
    </row>
    <row r="162" spans="1:7" s="2" customFormat="1" ht="15" customHeight="1">
      <c r="A162" s="1071" t="s">
        <v>15</v>
      </c>
      <c r="B162" s="944"/>
      <c r="C162" s="944"/>
      <c r="D162" s="944"/>
      <c r="E162" s="944"/>
      <c r="F162" s="944"/>
      <c r="G162" s="1072"/>
    </row>
    <row r="163" spans="1:7" s="2" customFormat="1" ht="15" customHeight="1">
      <c r="A163" s="1074" t="s">
        <v>2</v>
      </c>
      <c r="B163" s="944"/>
      <c r="C163" s="53" t="s">
        <v>3</v>
      </c>
      <c r="D163" s="53" t="s">
        <v>4</v>
      </c>
      <c r="E163" s="53" t="s">
        <v>6</v>
      </c>
      <c r="F163" s="53" t="s">
        <v>11</v>
      </c>
      <c r="G163" s="1075" t="s">
        <v>8</v>
      </c>
    </row>
    <row r="164" spans="1:7" s="2" customFormat="1" ht="15" customHeight="1">
      <c r="A164" s="943" t="s">
        <v>173</v>
      </c>
      <c r="B164" s="944"/>
      <c r="C164" s="16" t="s">
        <v>3</v>
      </c>
      <c r="D164" s="54">
        <v>3.5000000000000003E-2</v>
      </c>
      <c r="E164" s="17">
        <f>+G161</f>
        <v>2013.5</v>
      </c>
      <c r="F164" s="55">
        <f>E164*D164</f>
        <v>70.472500000000011</v>
      </c>
      <c r="G164" s="1072"/>
    </row>
    <row r="165" spans="1:7" s="2" customFormat="1" ht="15" customHeight="1">
      <c r="A165" s="59"/>
      <c r="B165" s="60"/>
      <c r="C165" s="60"/>
      <c r="D165" s="60"/>
      <c r="E165" s="60"/>
      <c r="F165" s="60"/>
      <c r="G165" s="57">
        <f>SUM(F164:F165)</f>
        <v>70.472500000000011</v>
      </c>
    </row>
    <row r="166" spans="1:7" s="2" customFormat="1" ht="15" customHeight="1">
      <c r="A166" s="1071" t="s">
        <v>19</v>
      </c>
      <c r="B166" s="944"/>
      <c r="C166" s="944"/>
      <c r="D166" s="944"/>
      <c r="E166" s="944"/>
      <c r="F166" s="944"/>
      <c r="G166" s="1072"/>
    </row>
    <row r="167" spans="1:7" s="2" customFormat="1" ht="15" customHeight="1">
      <c r="A167" s="1074" t="s">
        <v>2</v>
      </c>
      <c r="B167" s="944"/>
      <c r="C167" s="53" t="s">
        <v>3</v>
      </c>
      <c r="D167" s="53" t="s">
        <v>4</v>
      </c>
      <c r="E167" s="53" t="s">
        <v>6</v>
      </c>
      <c r="F167" s="53" t="s">
        <v>11</v>
      </c>
      <c r="G167" s="456" t="s">
        <v>8</v>
      </c>
    </row>
    <row r="168" spans="1:7" s="2" customFormat="1" ht="15.75" customHeight="1">
      <c r="A168" s="978" t="str">
        <f>SALARIOS!$A$69</f>
        <v>CUADRILLA BB INSTALACIONES 1:1</v>
      </c>
      <c r="B168" s="979"/>
      <c r="C168" s="13" t="s">
        <v>1245</v>
      </c>
      <c r="D168" s="32">
        <v>0.2</v>
      </c>
      <c r="E168" s="13">
        <f>SALARIOS!$C$69</f>
        <v>27341</v>
      </c>
      <c r="F168" s="55">
        <f>+D168*E168</f>
        <v>5468.2000000000007</v>
      </c>
      <c r="G168" s="57">
        <f>SUM(F167:F168)</f>
        <v>5468.2000000000007</v>
      </c>
    </row>
    <row r="169" spans="1:7" s="2" customFormat="1" ht="15" customHeight="1">
      <c r="A169" s="1076" t="s">
        <v>25</v>
      </c>
      <c r="B169" s="944"/>
      <c r="C169" s="944"/>
      <c r="D169" s="944"/>
      <c r="E169" s="944"/>
      <c r="F169" s="944"/>
      <c r="G169" s="1072"/>
    </row>
    <row r="170" spans="1:7" s="2" customFormat="1" ht="15" customHeight="1">
      <c r="A170" s="1077"/>
      <c r="B170" s="944"/>
      <c r="C170" s="944"/>
      <c r="D170" s="944"/>
      <c r="E170" s="944"/>
      <c r="F170" s="944"/>
      <c r="G170" s="62">
        <f>G168+G165+G161+G155</f>
        <v>7825.5825000000004</v>
      </c>
    </row>
    <row r="172" spans="1:7" s="2" customFormat="1" ht="15.75" customHeight="1">
      <c r="A172" s="970" t="s">
        <v>1</v>
      </c>
      <c r="B172" s="957"/>
      <c r="C172" s="953" t="s">
        <v>0</v>
      </c>
      <c r="D172" s="953"/>
      <c r="E172" s="953"/>
      <c r="F172" s="953"/>
      <c r="G172" s="1103"/>
    </row>
    <row r="173" spans="1:7" s="2" customFormat="1" ht="69.75" customHeight="1">
      <c r="A173" s="971"/>
      <c r="B173" s="957"/>
      <c r="C173" s="953"/>
      <c r="D173" s="953"/>
      <c r="E173" s="953"/>
      <c r="F173" s="953"/>
      <c r="G173" s="1103"/>
    </row>
    <row r="174" spans="1:7" s="2" customFormat="1" ht="15.75" customHeight="1">
      <c r="A174" s="971"/>
      <c r="B174" s="957"/>
      <c r="C174" s="956"/>
      <c r="D174" s="957"/>
      <c r="E174" s="957"/>
      <c r="F174" s="957"/>
      <c r="G174" s="958"/>
    </row>
    <row r="175" spans="1:7" s="2" customFormat="1" ht="15.75" customHeight="1">
      <c r="A175" s="971"/>
      <c r="B175" s="957"/>
      <c r="C175" s="959" t="s">
        <v>2</v>
      </c>
      <c r="D175" s="957"/>
      <c r="E175" s="957"/>
      <c r="F175" s="23" t="s">
        <v>3</v>
      </c>
      <c r="G175" s="24" t="s">
        <v>4</v>
      </c>
    </row>
    <row r="176" spans="1:7" s="2" customFormat="1" ht="73.5" customHeight="1">
      <c r="A176" s="1089" t="s">
        <v>1981</v>
      </c>
      <c r="B176" s="944"/>
      <c r="C176" s="980" t="s">
        <v>1982</v>
      </c>
      <c r="D176" s="944"/>
      <c r="E176" s="944"/>
      <c r="F176" s="54" t="s">
        <v>1620</v>
      </c>
      <c r="G176" s="52">
        <v>15</v>
      </c>
    </row>
    <row r="177" spans="1:7" s="2" customFormat="1" ht="15.75" customHeight="1">
      <c r="A177" s="1071" t="s">
        <v>5</v>
      </c>
      <c r="B177" s="944"/>
      <c r="C177" s="944"/>
      <c r="D177" s="944"/>
      <c r="E177" s="944"/>
      <c r="F177" s="944"/>
      <c r="G177" s="1072"/>
    </row>
    <row r="178" spans="1:7" s="2" customFormat="1" ht="15.75" customHeight="1">
      <c r="A178" s="1074" t="s">
        <v>2</v>
      </c>
      <c r="B178" s="944"/>
      <c r="C178" s="53" t="s">
        <v>3</v>
      </c>
      <c r="D178" s="53" t="s">
        <v>4</v>
      </c>
      <c r="E178" s="53" t="s">
        <v>6</v>
      </c>
      <c r="F178" s="53" t="s">
        <v>7</v>
      </c>
      <c r="G178" s="1075" t="s">
        <v>8</v>
      </c>
    </row>
    <row r="179" spans="1:7" s="2" customFormat="1" ht="15.75" customHeight="1">
      <c r="A179" s="947" t="s">
        <v>167</v>
      </c>
      <c r="B179" s="980"/>
      <c r="C179" s="51" t="s">
        <v>3</v>
      </c>
      <c r="D179" s="54">
        <v>0.05</v>
      </c>
      <c r="E179" s="17">
        <f>+G196</f>
        <v>5468.2000000000007</v>
      </c>
      <c r="F179" s="55">
        <f>D179*E179</f>
        <v>273.41000000000003</v>
      </c>
      <c r="G179" s="1072"/>
    </row>
    <row r="180" spans="1:7" s="2" customFormat="1" ht="15.75" customHeight="1">
      <c r="A180" s="947"/>
      <c r="B180" s="944"/>
      <c r="C180" s="51"/>
      <c r="D180" s="54"/>
      <c r="E180" s="17"/>
      <c r="F180" s="55">
        <f>D180*E180</f>
        <v>0</v>
      </c>
      <c r="G180" s="1072"/>
    </row>
    <row r="181" spans="1:7" s="2" customFormat="1" ht="15.75" customHeight="1">
      <c r="A181" s="947"/>
      <c r="B181" s="980"/>
      <c r="C181" s="141"/>
      <c r="D181" s="16"/>
      <c r="E181" s="143"/>
      <c r="F181" s="55">
        <f>D181*E181</f>
        <v>0</v>
      </c>
      <c r="G181" s="1072"/>
    </row>
    <row r="182" spans="1:7" s="2" customFormat="1" ht="15.75" customHeight="1">
      <c r="A182" s="947"/>
      <c r="B182" s="944"/>
      <c r="C182" s="51"/>
      <c r="D182" s="54"/>
      <c r="E182" s="17"/>
      <c r="F182" s="55">
        <f>D182*E182</f>
        <v>0</v>
      </c>
      <c r="G182" s="1072"/>
    </row>
    <row r="183" spans="1:7" s="2" customFormat="1" ht="15.75" customHeight="1">
      <c r="A183" s="1079"/>
      <c r="B183" s="944"/>
      <c r="C183" s="56"/>
      <c r="D183" s="56"/>
      <c r="E183" s="56"/>
      <c r="F183" s="55"/>
      <c r="G183" s="57">
        <f>SUM(F178:F183)</f>
        <v>273.41000000000003</v>
      </c>
    </row>
    <row r="184" spans="1:7" s="2" customFormat="1" ht="15" customHeight="1">
      <c r="A184" s="1071" t="s">
        <v>10</v>
      </c>
      <c r="B184" s="944"/>
      <c r="C184" s="944"/>
      <c r="D184" s="944"/>
      <c r="E184" s="944"/>
      <c r="F184" s="944"/>
      <c r="G184" s="1072"/>
    </row>
    <row r="185" spans="1:7" s="2" customFormat="1" ht="15" customHeight="1">
      <c r="A185" s="1074" t="s">
        <v>2</v>
      </c>
      <c r="B185" s="944"/>
      <c r="C185" s="53" t="s">
        <v>3</v>
      </c>
      <c r="D185" s="53" t="s">
        <v>4</v>
      </c>
      <c r="E185" s="53" t="s">
        <v>6</v>
      </c>
      <c r="F185" s="53" t="s">
        <v>11</v>
      </c>
      <c r="G185" s="1075" t="s">
        <v>8</v>
      </c>
    </row>
    <row r="186" spans="1:7" s="2" customFormat="1" ht="15" customHeight="1">
      <c r="A186" s="947" t="str">
        <f>'INSUMOS '!$B$394</f>
        <v>SELLANTE ACERO QUIMICA 56 GR</v>
      </c>
      <c r="B186" s="944"/>
      <c r="C186" s="16" t="s">
        <v>998</v>
      </c>
      <c r="D186" s="54">
        <v>0.02</v>
      </c>
      <c r="E186" s="17">
        <f>'INSUMOS '!$E$394</f>
        <v>90850</v>
      </c>
      <c r="F186" s="55">
        <f>D186*E186</f>
        <v>1817</v>
      </c>
      <c r="G186" s="1072"/>
    </row>
    <row r="187" spans="1:7" s="2" customFormat="1" ht="15" customHeight="1">
      <c r="A187" s="947" t="str">
        <f>'INSUMOS '!$B$401</f>
        <v>CODO ACERO SHEDULLE 3/4"</v>
      </c>
      <c r="B187" s="944"/>
      <c r="C187" s="16" t="s">
        <v>998</v>
      </c>
      <c r="D187" s="54">
        <v>1</v>
      </c>
      <c r="E187" s="17">
        <f>'INSUMOS '!$E$401</f>
        <v>1053</v>
      </c>
      <c r="F187" s="55">
        <f>D187*E187</f>
        <v>1053</v>
      </c>
      <c r="G187" s="1072"/>
    </row>
    <row r="188" spans="1:7" s="2" customFormat="1" ht="15" customHeight="1">
      <c r="A188" s="947"/>
      <c r="B188" s="944"/>
      <c r="C188" s="16"/>
      <c r="D188" s="54"/>
      <c r="E188" s="17"/>
      <c r="F188" s="55">
        <f>D188*E188</f>
        <v>0</v>
      </c>
      <c r="G188" s="1072"/>
    </row>
    <row r="189" spans="1:7" s="2" customFormat="1" ht="15" customHeight="1">
      <c r="A189" s="947"/>
      <c r="B189" s="944"/>
      <c r="C189" s="16"/>
      <c r="D189" s="58"/>
      <c r="E189" s="17"/>
      <c r="F189" s="55"/>
      <c r="G189" s="57">
        <f>SUM(F185:F189)</f>
        <v>2870</v>
      </c>
    </row>
    <row r="190" spans="1:7" s="2" customFormat="1" ht="15" customHeight="1">
      <c r="A190" s="1071" t="s">
        <v>15</v>
      </c>
      <c r="B190" s="944"/>
      <c r="C190" s="944"/>
      <c r="D190" s="944"/>
      <c r="E190" s="944"/>
      <c r="F190" s="944"/>
      <c r="G190" s="1072"/>
    </row>
    <row r="191" spans="1:7" s="2" customFormat="1" ht="15" customHeight="1">
      <c r="A191" s="1074" t="s">
        <v>2</v>
      </c>
      <c r="B191" s="944"/>
      <c r="C191" s="53" t="s">
        <v>3</v>
      </c>
      <c r="D191" s="53" t="s">
        <v>4</v>
      </c>
      <c r="E191" s="53" t="s">
        <v>6</v>
      </c>
      <c r="F191" s="53" t="s">
        <v>11</v>
      </c>
      <c r="G191" s="1075" t="s">
        <v>8</v>
      </c>
    </row>
    <row r="192" spans="1:7" s="2" customFormat="1" ht="15" customHeight="1">
      <c r="A192" s="943" t="s">
        <v>173</v>
      </c>
      <c r="B192" s="944"/>
      <c r="C192" s="16" t="s">
        <v>3</v>
      </c>
      <c r="D192" s="54">
        <v>3.5000000000000003E-2</v>
      </c>
      <c r="E192" s="17">
        <f>+G189</f>
        <v>2870</v>
      </c>
      <c r="F192" s="55">
        <f>E192*D192</f>
        <v>100.45</v>
      </c>
      <c r="G192" s="1072"/>
    </row>
    <row r="193" spans="1:7" s="2" customFormat="1" ht="15" customHeight="1">
      <c r="A193" s="59"/>
      <c r="B193" s="60"/>
      <c r="C193" s="60"/>
      <c r="D193" s="60"/>
      <c r="E193" s="60"/>
      <c r="F193" s="60"/>
      <c r="G193" s="57">
        <f>SUM(F192:F193)</f>
        <v>100.45</v>
      </c>
    </row>
    <row r="194" spans="1:7" s="2" customFormat="1" ht="15" customHeight="1">
      <c r="A194" s="1071" t="s">
        <v>19</v>
      </c>
      <c r="B194" s="944"/>
      <c r="C194" s="944"/>
      <c r="D194" s="944"/>
      <c r="E194" s="944"/>
      <c r="F194" s="944"/>
      <c r="G194" s="1072"/>
    </row>
    <row r="195" spans="1:7" s="2" customFormat="1" ht="15" customHeight="1">
      <c r="A195" s="1074" t="s">
        <v>2</v>
      </c>
      <c r="B195" s="944"/>
      <c r="C195" s="53" t="s">
        <v>3</v>
      </c>
      <c r="D195" s="53" t="s">
        <v>4</v>
      </c>
      <c r="E195" s="53" t="s">
        <v>6</v>
      </c>
      <c r="F195" s="53" t="s">
        <v>11</v>
      </c>
      <c r="G195" s="456" t="s">
        <v>8</v>
      </c>
    </row>
    <row r="196" spans="1:7" s="2" customFormat="1" ht="15.75" customHeight="1">
      <c r="A196" s="978" t="str">
        <f>SALARIOS!$A$69</f>
        <v>CUADRILLA BB INSTALACIONES 1:1</v>
      </c>
      <c r="B196" s="979"/>
      <c r="C196" s="13" t="s">
        <v>1245</v>
      </c>
      <c r="D196" s="32">
        <v>0.2</v>
      </c>
      <c r="E196" s="13">
        <f>SALARIOS!$C$69</f>
        <v>27341</v>
      </c>
      <c r="F196" s="55">
        <f>+D196*E196</f>
        <v>5468.2000000000007</v>
      </c>
      <c r="G196" s="57">
        <f>SUM(F195:F196)</f>
        <v>5468.2000000000007</v>
      </c>
    </row>
    <row r="197" spans="1:7" s="2" customFormat="1" ht="15" customHeight="1">
      <c r="A197" s="1076" t="s">
        <v>25</v>
      </c>
      <c r="B197" s="944"/>
      <c r="C197" s="944"/>
      <c r="D197" s="944"/>
      <c r="E197" s="944"/>
      <c r="F197" s="944"/>
      <c r="G197" s="1072"/>
    </row>
    <row r="198" spans="1:7" s="2" customFormat="1" ht="15" customHeight="1">
      <c r="A198" s="1077"/>
      <c r="B198" s="944"/>
      <c r="C198" s="944"/>
      <c r="D198" s="944"/>
      <c r="E198" s="944"/>
      <c r="F198" s="944"/>
      <c r="G198" s="62">
        <f>G196+G193+G189+G183</f>
        <v>8712.0600000000013</v>
      </c>
    </row>
    <row r="200" spans="1:7" s="2" customFormat="1" ht="15.75" customHeight="1">
      <c r="A200" s="970" t="s">
        <v>1</v>
      </c>
      <c r="B200" s="957"/>
      <c r="C200" s="953" t="s">
        <v>0</v>
      </c>
      <c r="D200" s="953"/>
      <c r="E200" s="953"/>
      <c r="F200" s="953"/>
      <c r="G200" s="1103"/>
    </row>
    <row r="201" spans="1:7" s="2" customFormat="1" ht="69.75" customHeight="1">
      <c r="A201" s="971"/>
      <c r="B201" s="957"/>
      <c r="C201" s="953"/>
      <c r="D201" s="953"/>
      <c r="E201" s="953"/>
      <c r="F201" s="953"/>
      <c r="G201" s="1103"/>
    </row>
    <row r="202" spans="1:7" s="2" customFormat="1" ht="15.75" customHeight="1">
      <c r="A202" s="971"/>
      <c r="B202" s="957"/>
      <c r="C202" s="956"/>
      <c r="D202" s="957"/>
      <c r="E202" s="957"/>
      <c r="F202" s="957"/>
      <c r="G202" s="958"/>
    </row>
    <row r="203" spans="1:7" s="2" customFormat="1" ht="15.75" customHeight="1">
      <c r="A203" s="971"/>
      <c r="B203" s="957"/>
      <c r="C203" s="959" t="s">
        <v>2</v>
      </c>
      <c r="D203" s="957"/>
      <c r="E203" s="957"/>
      <c r="F203" s="23" t="s">
        <v>3</v>
      </c>
      <c r="G203" s="24" t="s">
        <v>4</v>
      </c>
    </row>
    <row r="204" spans="1:7" s="2" customFormat="1" ht="73.5" customHeight="1">
      <c r="A204" s="1089" t="s">
        <v>1983</v>
      </c>
      <c r="B204" s="944"/>
      <c r="C204" s="980" t="s">
        <v>1984</v>
      </c>
      <c r="D204" s="944"/>
      <c r="E204" s="944"/>
      <c r="F204" s="54" t="s">
        <v>1620</v>
      </c>
      <c r="G204" s="52">
        <v>48</v>
      </c>
    </row>
    <row r="205" spans="1:7" s="2" customFormat="1" ht="15.75" customHeight="1">
      <c r="A205" s="1071" t="s">
        <v>5</v>
      </c>
      <c r="B205" s="944"/>
      <c r="C205" s="944"/>
      <c r="D205" s="944"/>
      <c r="E205" s="944"/>
      <c r="F205" s="944"/>
      <c r="G205" s="1072"/>
    </row>
    <row r="206" spans="1:7" s="2" customFormat="1" ht="15.75" customHeight="1">
      <c r="A206" s="1074" t="s">
        <v>2</v>
      </c>
      <c r="B206" s="944"/>
      <c r="C206" s="53" t="s">
        <v>3</v>
      </c>
      <c r="D206" s="53" t="s">
        <v>4</v>
      </c>
      <c r="E206" s="53" t="s">
        <v>6</v>
      </c>
      <c r="F206" s="53" t="s">
        <v>7</v>
      </c>
      <c r="G206" s="1075" t="s">
        <v>8</v>
      </c>
    </row>
    <row r="207" spans="1:7" s="2" customFormat="1" ht="15.75" customHeight="1">
      <c r="A207" s="947" t="s">
        <v>167</v>
      </c>
      <c r="B207" s="980"/>
      <c r="C207" s="51" t="s">
        <v>3</v>
      </c>
      <c r="D207" s="54">
        <v>0.05</v>
      </c>
      <c r="E207" s="17">
        <f>+G224</f>
        <v>5468.2000000000007</v>
      </c>
      <c r="F207" s="55">
        <f>D207*E207</f>
        <v>273.41000000000003</v>
      </c>
      <c r="G207" s="1072"/>
    </row>
    <row r="208" spans="1:7" s="2" customFormat="1" ht="15.75" customHeight="1">
      <c r="A208" s="947"/>
      <c r="B208" s="944"/>
      <c r="C208" s="51"/>
      <c r="D208" s="54"/>
      <c r="E208" s="17"/>
      <c r="F208" s="55">
        <f>D208*E208</f>
        <v>0</v>
      </c>
      <c r="G208" s="1072"/>
    </row>
    <row r="209" spans="1:7" s="2" customFormat="1" ht="15.75" customHeight="1">
      <c r="A209" s="947"/>
      <c r="B209" s="980"/>
      <c r="C209" s="141"/>
      <c r="D209" s="16"/>
      <c r="E209" s="143"/>
      <c r="F209" s="55">
        <f>D209*E209</f>
        <v>0</v>
      </c>
      <c r="G209" s="1072"/>
    </row>
    <row r="210" spans="1:7" s="2" customFormat="1" ht="15.75" customHeight="1">
      <c r="A210" s="947"/>
      <c r="B210" s="944"/>
      <c r="C210" s="51"/>
      <c r="D210" s="54"/>
      <c r="E210" s="17"/>
      <c r="F210" s="55">
        <f>D210*E210</f>
        <v>0</v>
      </c>
      <c r="G210" s="1072"/>
    </row>
    <row r="211" spans="1:7" s="2" customFormat="1" ht="15.75" customHeight="1">
      <c r="A211" s="1079"/>
      <c r="B211" s="944"/>
      <c r="C211" s="56"/>
      <c r="D211" s="56"/>
      <c r="E211" s="56"/>
      <c r="F211" s="55"/>
      <c r="G211" s="57">
        <f>SUM(F206:F211)</f>
        <v>273.41000000000003</v>
      </c>
    </row>
    <row r="212" spans="1:7" s="2" customFormat="1" ht="15" customHeight="1">
      <c r="A212" s="1071" t="s">
        <v>10</v>
      </c>
      <c r="B212" s="944"/>
      <c r="C212" s="944"/>
      <c r="D212" s="944"/>
      <c r="E212" s="944"/>
      <c r="F212" s="944"/>
      <c r="G212" s="1072"/>
    </row>
    <row r="213" spans="1:7" s="2" customFormat="1" ht="15" customHeight="1">
      <c r="A213" s="1074" t="s">
        <v>2</v>
      </c>
      <c r="B213" s="944"/>
      <c r="C213" s="53" t="s">
        <v>3</v>
      </c>
      <c r="D213" s="53" t="s">
        <v>4</v>
      </c>
      <c r="E213" s="53" t="s">
        <v>6</v>
      </c>
      <c r="F213" s="53" t="s">
        <v>11</v>
      </c>
      <c r="G213" s="1075" t="s">
        <v>8</v>
      </c>
    </row>
    <row r="214" spans="1:7" s="2" customFormat="1" ht="15" customHeight="1">
      <c r="A214" s="947" t="str">
        <f>'INSUMOS '!$B$394</f>
        <v>SELLANTE ACERO QUIMICA 56 GR</v>
      </c>
      <c r="B214" s="944"/>
      <c r="C214" s="16" t="s">
        <v>998</v>
      </c>
      <c r="D214" s="54">
        <v>2E-3</v>
      </c>
      <c r="E214" s="17">
        <f>'INSUMOS '!$E$394</f>
        <v>90850</v>
      </c>
      <c r="F214" s="55">
        <f>D214*E214</f>
        <v>181.70000000000002</v>
      </c>
      <c r="G214" s="1072"/>
    </row>
    <row r="215" spans="1:7" s="2" customFormat="1" ht="15" customHeight="1">
      <c r="A215" s="947" t="str">
        <f>'INSUMOS '!$B$402</f>
        <v>CODO ACERO SHEDULLE 1/2"</v>
      </c>
      <c r="B215" s="944"/>
      <c r="C215" s="16" t="s">
        <v>998</v>
      </c>
      <c r="D215" s="54">
        <v>1</v>
      </c>
      <c r="E215" s="17">
        <f>'INSUMOS '!$E$402</f>
        <v>620.1</v>
      </c>
      <c r="F215" s="55">
        <f>D215*E215</f>
        <v>620.1</v>
      </c>
      <c r="G215" s="1072"/>
    </row>
    <row r="216" spans="1:7" s="2" customFormat="1" ht="15" customHeight="1">
      <c r="A216" s="947"/>
      <c r="B216" s="944"/>
      <c r="C216" s="16"/>
      <c r="D216" s="54"/>
      <c r="E216" s="17"/>
      <c r="F216" s="55">
        <f>D216*E216</f>
        <v>0</v>
      </c>
      <c r="G216" s="1072"/>
    </row>
    <row r="217" spans="1:7" s="2" customFormat="1" ht="15" customHeight="1">
      <c r="A217" s="947"/>
      <c r="B217" s="944"/>
      <c r="C217" s="16"/>
      <c r="D217" s="58"/>
      <c r="E217" s="17"/>
      <c r="F217" s="55"/>
      <c r="G217" s="57">
        <f>SUM(F213:F217)</f>
        <v>801.80000000000007</v>
      </c>
    </row>
    <row r="218" spans="1:7" s="2" customFormat="1" ht="15" customHeight="1">
      <c r="A218" s="1071" t="s">
        <v>15</v>
      </c>
      <c r="B218" s="944"/>
      <c r="C218" s="944"/>
      <c r="D218" s="944"/>
      <c r="E218" s="944"/>
      <c r="F218" s="944"/>
      <c r="G218" s="1072"/>
    </row>
    <row r="219" spans="1:7" s="2" customFormat="1" ht="15" customHeight="1">
      <c r="A219" s="1074" t="s">
        <v>2</v>
      </c>
      <c r="B219" s="944"/>
      <c r="C219" s="53" t="s">
        <v>3</v>
      </c>
      <c r="D219" s="53" t="s">
        <v>4</v>
      </c>
      <c r="E219" s="53" t="s">
        <v>6</v>
      </c>
      <c r="F219" s="53" t="s">
        <v>11</v>
      </c>
      <c r="G219" s="1075" t="s">
        <v>8</v>
      </c>
    </row>
    <row r="220" spans="1:7" s="2" customFormat="1" ht="15" customHeight="1">
      <c r="A220" s="943" t="s">
        <v>173</v>
      </c>
      <c r="B220" s="944"/>
      <c r="C220" s="16" t="s">
        <v>3</v>
      </c>
      <c r="D220" s="54">
        <v>3.5000000000000003E-2</v>
      </c>
      <c r="E220" s="17">
        <f>+G217</f>
        <v>801.80000000000007</v>
      </c>
      <c r="F220" s="55">
        <f>E220*D220</f>
        <v>28.063000000000006</v>
      </c>
      <c r="G220" s="1072"/>
    </row>
    <row r="221" spans="1:7" s="2" customFormat="1" ht="15" customHeight="1">
      <c r="A221" s="59"/>
      <c r="B221" s="60"/>
      <c r="C221" s="60"/>
      <c r="D221" s="60"/>
      <c r="E221" s="60"/>
      <c r="F221" s="60"/>
      <c r="G221" s="57">
        <f>SUM(F220:F221)</f>
        <v>28.063000000000006</v>
      </c>
    </row>
    <row r="222" spans="1:7" s="2" customFormat="1" ht="15" customHeight="1">
      <c r="A222" s="1071" t="s">
        <v>19</v>
      </c>
      <c r="B222" s="944"/>
      <c r="C222" s="944"/>
      <c r="D222" s="944"/>
      <c r="E222" s="944"/>
      <c r="F222" s="944"/>
      <c r="G222" s="1072"/>
    </row>
    <row r="223" spans="1:7" s="2" customFormat="1" ht="15" customHeight="1">
      <c r="A223" s="1074" t="s">
        <v>2</v>
      </c>
      <c r="B223" s="944"/>
      <c r="C223" s="53" t="s">
        <v>3</v>
      </c>
      <c r="D223" s="53" t="s">
        <v>4</v>
      </c>
      <c r="E223" s="53" t="s">
        <v>6</v>
      </c>
      <c r="F223" s="53" t="s">
        <v>11</v>
      </c>
      <c r="G223" s="456" t="s">
        <v>8</v>
      </c>
    </row>
    <row r="224" spans="1:7" s="2" customFormat="1" ht="15.75" customHeight="1">
      <c r="A224" s="978" t="str">
        <f>SALARIOS!$A$69</f>
        <v>CUADRILLA BB INSTALACIONES 1:1</v>
      </c>
      <c r="B224" s="979"/>
      <c r="C224" s="13" t="s">
        <v>1245</v>
      </c>
      <c r="D224" s="32">
        <v>0.2</v>
      </c>
      <c r="E224" s="13">
        <f>SALARIOS!$C$69</f>
        <v>27341</v>
      </c>
      <c r="F224" s="55">
        <f>+D224*E224</f>
        <v>5468.2000000000007</v>
      </c>
      <c r="G224" s="57">
        <f>SUM(F223:F224)</f>
        <v>5468.2000000000007</v>
      </c>
    </row>
    <row r="225" spans="1:7" s="2" customFormat="1" ht="15" customHeight="1">
      <c r="A225" s="1076" t="s">
        <v>25</v>
      </c>
      <c r="B225" s="944"/>
      <c r="C225" s="944"/>
      <c r="D225" s="944"/>
      <c r="E225" s="944"/>
      <c r="F225" s="944"/>
      <c r="G225" s="1072"/>
    </row>
    <row r="226" spans="1:7" s="2" customFormat="1" ht="15" customHeight="1">
      <c r="A226" s="1077"/>
      <c r="B226" s="944"/>
      <c r="C226" s="944"/>
      <c r="D226" s="944"/>
      <c r="E226" s="944"/>
      <c r="F226" s="944"/>
      <c r="G226" s="62">
        <f>G224+G221+G217+G211</f>
        <v>6571.4730000000009</v>
      </c>
    </row>
    <row r="228" spans="1:7" s="2" customFormat="1" ht="15.75" customHeight="1">
      <c r="A228" s="970" t="s">
        <v>1</v>
      </c>
      <c r="B228" s="957"/>
      <c r="C228" s="953" t="s">
        <v>0</v>
      </c>
      <c r="D228" s="953"/>
      <c r="E228" s="953"/>
      <c r="F228" s="953"/>
      <c r="G228" s="1103"/>
    </row>
    <row r="229" spans="1:7" s="2" customFormat="1" ht="69.75" customHeight="1">
      <c r="A229" s="971"/>
      <c r="B229" s="957"/>
      <c r="C229" s="953"/>
      <c r="D229" s="953"/>
      <c r="E229" s="953"/>
      <c r="F229" s="953"/>
      <c r="G229" s="1103"/>
    </row>
    <row r="230" spans="1:7" s="2" customFormat="1" ht="15.75" customHeight="1">
      <c r="A230" s="971"/>
      <c r="B230" s="957"/>
      <c r="C230" s="956"/>
      <c r="D230" s="957"/>
      <c r="E230" s="957"/>
      <c r="F230" s="957"/>
      <c r="G230" s="958"/>
    </row>
    <row r="231" spans="1:7" s="2" customFormat="1" ht="15.75" customHeight="1">
      <c r="A231" s="971"/>
      <c r="B231" s="957"/>
      <c r="C231" s="959" t="s">
        <v>2</v>
      </c>
      <c r="D231" s="957"/>
      <c r="E231" s="957"/>
      <c r="F231" s="23" t="s">
        <v>3</v>
      </c>
      <c r="G231" s="24" t="s">
        <v>4</v>
      </c>
    </row>
    <row r="232" spans="1:7" s="2" customFormat="1" ht="73.5" customHeight="1">
      <c r="A232" s="1089" t="s">
        <v>1985</v>
      </c>
      <c r="B232" s="944"/>
      <c r="C232" s="980" t="s">
        <v>1986</v>
      </c>
      <c r="D232" s="944"/>
      <c r="E232" s="944"/>
      <c r="F232" s="54" t="s">
        <v>1620</v>
      </c>
      <c r="G232" s="52">
        <v>3</v>
      </c>
    </row>
    <row r="233" spans="1:7" s="2" customFormat="1" ht="15.75" customHeight="1">
      <c r="A233" s="1071" t="s">
        <v>5</v>
      </c>
      <c r="B233" s="944"/>
      <c r="C233" s="944"/>
      <c r="D233" s="944"/>
      <c r="E233" s="944"/>
      <c r="F233" s="944"/>
      <c r="G233" s="1072"/>
    </row>
    <row r="234" spans="1:7" s="2" customFormat="1" ht="15.75" customHeight="1">
      <c r="A234" s="1074" t="s">
        <v>2</v>
      </c>
      <c r="B234" s="944"/>
      <c r="C234" s="53" t="s">
        <v>3</v>
      </c>
      <c r="D234" s="53" t="s">
        <v>4</v>
      </c>
      <c r="E234" s="53" t="s">
        <v>6</v>
      </c>
      <c r="F234" s="53" t="s">
        <v>7</v>
      </c>
      <c r="G234" s="1075" t="s">
        <v>8</v>
      </c>
    </row>
    <row r="235" spans="1:7" s="2" customFormat="1" ht="15.75" customHeight="1">
      <c r="A235" s="947" t="s">
        <v>167</v>
      </c>
      <c r="B235" s="980"/>
      <c r="C235" s="51" t="s">
        <v>3</v>
      </c>
      <c r="D235" s="54">
        <v>0.05</v>
      </c>
      <c r="E235" s="17">
        <f>+G252</f>
        <v>5468.2000000000007</v>
      </c>
      <c r="F235" s="55">
        <f>D235*E235</f>
        <v>273.41000000000003</v>
      </c>
      <c r="G235" s="1072"/>
    </row>
    <row r="236" spans="1:7" s="2" customFormat="1" ht="15.75" customHeight="1">
      <c r="A236" s="947"/>
      <c r="B236" s="944"/>
      <c r="C236" s="51"/>
      <c r="D236" s="54"/>
      <c r="E236" s="17"/>
      <c r="F236" s="55">
        <f>D236*E236</f>
        <v>0</v>
      </c>
      <c r="G236" s="1072"/>
    </row>
    <row r="237" spans="1:7" s="2" customFormat="1" ht="15.75" customHeight="1">
      <c r="A237" s="947"/>
      <c r="B237" s="980"/>
      <c r="C237" s="141"/>
      <c r="D237" s="16"/>
      <c r="E237" s="143"/>
      <c r="F237" s="55">
        <f>D237*E237</f>
        <v>0</v>
      </c>
      <c r="G237" s="1072"/>
    </row>
    <row r="238" spans="1:7" s="2" customFormat="1" ht="15.75" customHeight="1">
      <c r="A238" s="947"/>
      <c r="B238" s="944"/>
      <c r="C238" s="51"/>
      <c r="D238" s="54"/>
      <c r="E238" s="17"/>
      <c r="F238" s="55">
        <f>D238*E238</f>
        <v>0</v>
      </c>
      <c r="G238" s="1072"/>
    </row>
    <row r="239" spans="1:7" s="2" customFormat="1" ht="15.75" customHeight="1">
      <c r="A239" s="1079"/>
      <c r="B239" s="944"/>
      <c r="C239" s="56"/>
      <c r="D239" s="56"/>
      <c r="E239" s="56"/>
      <c r="F239" s="55"/>
      <c r="G239" s="57">
        <f>SUM(F234:F239)</f>
        <v>273.41000000000003</v>
      </c>
    </row>
    <row r="240" spans="1:7" s="2" customFormat="1" ht="15" customHeight="1">
      <c r="A240" s="1071" t="s">
        <v>10</v>
      </c>
      <c r="B240" s="944"/>
      <c r="C240" s="944"/>
      <c r="D240" s="944"/>
      <c r="E240" s="944"/>
      <c r="F240" s="944"/>
      <c r="G240" s="1072"/>
    </row>
    <row r="241" spans="1:7" s="2" customFormat="1" ht="15" customHeight="1">
      <c r="A241" s="1074" t="s">
        <v>2</v>
      </c>
      <c r="B241" s="944"/>
      <c r="C241" s="53" t="s">
        <v>3</v>
      </c>
      <c r="D241" s="53" t="s">
        <v>4</v>
      </c>
      <c r="E241" s="53" t="s">
        <v>6</v>
      </c>
      <c r="F241" s="53" t="s">
        <v>11</v>
      </c>
      <c r="G241" s="1075" t="s">
        <v>8</v>
      </c>
    </row>
    <row r="242" spans="1:7" s="2" customFormat="1" ht="15" customHeight="1">
      <c r="A242" s="947" t="str">
        <f>'INSUMOS '!$B$394</f>
        <v>SELLANTE ACERO QUIMICA 56 GR</v>
      </c>
      <c r="B242" s="944"/>
      <c r="C242" s="16" t="s">
        <v>998</v>
      </c>
      <c r="D242" s="54">
        <v>2E-3</v>
      </c>
      <c r="E242" s="17">
        <f>'INSUMOS '!$E$394</f>
        <v>90850</v>
      </c>
      <c r="F242" s="55">
        <f>D242*E242</f>
        <v>181.70000000000002</v>
      </c>
      <c r="G242" s="1072"/>
    </row>
    <row r="243" spans="1:7" s="2" customFormat="1" ht="15" customHeight="1">
      <c r="A243" s="947" t="str">
        <f>'INSUMOS '!$B$403</f>
        <v>REDUCCION ACERO SHEDULLE 1X3/4"</v>
      </c>
      <c r="B243" s="944"/>
      <c r="C243" s="16" t="s">
        <v>998</v>
      </c>
      <c r="D243" s="54">
        <v>1</v>
      </c>
      <c r="E243" s="17">
        <f>'INSUMOS '!$E$403</f>
        <v>586.30000000000007</v>
      </c>
      <c r="F243" s="55">
        <f>D243*E243</f>
        <v>586.30000000000007</v>
      </c>
      <c r="G243" s="1072"/>
    </row>
    <row r="244" spans="1:7" s="2" customFormat="1" ht="15" customHeight="1">
      <c r="A244" s="947"/>
      <c r="B244" s="944"/>
      <c r="C244" s="16"/>
      <c r="D244" s="54"/>
      <c r="E244" s="17"/>
      <c r="F244" s="55">
        <f>D244*E244</f>
        <v>0</v>
      </c>
      <c r="G244" s="1072"/>
    </row>
    <row r="245" spans="1:7" s="2" customFormat="1" ht="15" customHeight="1">
      <c r="A245" s="947"/>
      <c r="B245" s="944"/>
      <c r="C245" s="16"/>
      <c r="D245" s="58"/>
      <c r="E245" s="17"/>
      <c r="F245" s="55"/>
      <c r="G245" s="57">
        <f>SUM(F241:F245)</f>
        <v>768.00000000000011</v>
      </c>
    </row>
    <row r="246" spans="1:7" s="2" customFormat="1" ht="15" customHeight="1">
      <c r="A246" s="1071" t="s">
        <v>15</v>
      </c>
      <c r="B246" s="944"/>
      <c r="C246" s="944"/>
      <c r="D246" s="944"/>
      <c r="E246" s="944"/>
      <c r="F246" s="944"/>
      <c r="G246" s="1072"/>
    </row>
    <row r="247" spans="1:7" s="2" customFormat="1" ht="15" customHeight="1">
      <c r="A247" s="1074" t="s">
        <v>2</v>
      </c>
      <c r="B247" s="944"/>
      <c r="C247" s="53" t="s">
        <v>3</v>
      </c>
      <c r="D247" s="53" t="s">
        <v>4</v>
      </c>
      <c r="E247" s="53" t="s">
        <v>6</v>
      </c>
      <c r="F247" s="53" t="s">
        <v>11</v>
      </c>
      <c r="G247" s="1075" t="s">
        <v>8</v>
      </c>
    </row>
    <row r="248" spans="1:7" s="2" customFormat="1" ht="15" customHeight="1">
      <c r="A248" s="943" t="s">
        <v>173</v>
      </c>
      <c r="B248" s="944"/>
      <c r="C248" s="16" t="s">
        <v>3</v>
      </c>
      <c r="D248" s="54">
        <v>3.5000000000000003E-2</v>
      </c>
      <c r="E248" s="17">
        <f>+G245</f>
        <v>768.00000000000011</v>
      </c>
      <c r="F248" s="55">
        <f>E248*D248</f>
        <v>26.880000000000006</v>
      </c>
      <c r="G248" s="1072"/>
    </row>
    <row r="249" spans="1:7" s="2" customFormat="1" ht="15" customHeight="1">
      <c r="A249" s="59"/>
      <c r="B249" s="60"/>
      <c r="C249" s="60"/>
      <c r="D249" s="60"/>
      <c r="E249" s="60"/>
      <c r="F249" s="60"/>
      <c r="G249" s="57">
        <f>SUM(F248:F249)</f>
        <v>26.880000000000006</v>
      </c>
    </row>
    <row r="250" spans="1:7" s="2" customFormat="1" ht="15" customHeight="1">
      <c r="A250" s="1071" t="s">
        <v>19</v>
      </c>
      <c r="B250" s="944"/>
      <c r="C250" s="944"/>
      <c r="D250" s="944"/>
      <c r="E250" s="944"/>
      <c r="F250" s="944"/>
      <c r="G250" s="1072"/>
    </row>
    <row r="251" spans="1:7" s="2" customFormat="1" ht="15" customHeight="1">
      <c r="A251" s="1074" t="s">
        <v>2</v>
      </c>
      <c r="B251" s="944"/>
      <c r="C251" s="53" t="s">
        <v>3</v>
      </c>
      <c r="D251" s="53" t="s">
        <v>4</v>
      </c>
      <c r="E251" s="53" t="s">
        <v>6</v>
      </c>
      <c r="F251" s="53" t="s">
        <v>11</v>
      </c>
      <c r="G251" s="456" t="s">
        <v>8</v>
      </c>
    </row>
    <row r="252" spans="1:7" s="2" customFormat="1" ht="15.75" customHeight="1">
      <c r="A252" s="978" t="str">
        <f>SALARIOS!$A$69</f>
        <v>CUADRILLA BB INSTALACIONES 1:1</v>
      </c>
      <c r="B252" s="979"/>
      <c r="C252" s="13" t="s">
        <v>1245</v>
      </c>
      <c r="D252" s="32">
        <v>0.2</v>
      </c>
      <c r="E252" s="13">
        <f>SALARIOS!$C$69</f>
        <v>27341</v>
      </c>
      <c r="F252" s="55">
        <f>+D252*E252</f>
        <v>5468.2000000000007</v>
      </c>
      <c r="G252" s="57">
        <f>SUM(F251:F252)</f>
        <v>5468.2000000000007</v>
      </c>
    </row>
    <row r="253" spans="1:7" s="2" customFormat="1" ht="15" customHeight="1">
      <c r="A253" s="1076" t="s">
        <v>25</v>
      </c>
      <c r="B253" s="944"/>
      <c r="C253" s="944"/>
      <c r="D253" s="944"/>
      <c r="E253" s="944"/>
      <c r="F253" s="944"/>
      <c r="G253" s="1072"/>
    </row>
    <row r="254" spans="1:7" s="2" customFormat="1" ht="15" customHeight="1">
      <c r="A254" s="1077"/>
      <c r="B254" s="944"/>
      <c r="C254" s="944"/>
      <c r="D254" s="944"/>
      <c r="E254" s="944"/>
      <c r="F254" s="944"/>
      <c r="G254" s="62">
        <f>G252+G249+G245+G239</f>
        <v>6536.4900000000007</v>
      </c>
    </row>
    <row r="256" spans="1:7" s="2" customFormat="1" ht="15.75" customHeight="1">
      <c r="A256" s="970" t="s">
        <v>1</v>
      </c>
      <c r="B256" s="957"/>
      <c r="C256" s="953" t="s">
        <v>0</v>
      </c>
      <c r="D256" s="953"/>
      <c r="E256" s="953"/>
      <c r="F256" s="953"/>
      <c r="G256" s="1103"/>
    </row>
    <row r="257" spans="1:7" s="2" customFormat="1" ht="69.75" customHeight="1">
      <c r="A257" s="971"/>
      <c r="B257" s="957"/>
      <c r="C257" s="953"/>
      <c r="D257" s="953"/>
      <c r="E257" s="953"/>
      <c r="F257" s="953"/>
      <c r="G257" s="1103"/>
    </row>
    <row r="258" spans="1:7" s="2" customFormat="1" ht="15.75" customHeight="1">
      <c r="A258" s="971"/>
      <c r="B258" s="957"/>
      <c r="C258" s="956"/>
      <c r="D258" s="957"/>
      <c r="E258" s="957"/>
      <c r="F258" s="957"/>
      <c r="G258" s="958"/>
    </row>
    <row r="259" spans="1:7" s="2" customFormat="1" ht="15.75" customHeight="1">
      <c r="A259" s="971"/>
      <c r="B259" s="957"/>
      <c r="C259" s="959" t="s">
        <v>2</v>
      </c>
      <c r="D259" s="957"/>
      <c r="E259" s="957"/>
      <c r="F259" s="23" t="s">
        <v>3</v>
      </c>
      <c r="G259" s="24" t="s">
        <v>4</v>
      </c>
    </row>
    <row r="260" spans="1:7" s="2" customFormat="1" ht="73.5" customHeight="1">
      <c r="A260" s="1089" t="s">
        <v>1987</v>
      </c>
      <c r="B260" s="944"/>
      <c r="C260" s="980" t="s">
        <v>1988</v>
      </c>
      <c r="D260" s="944"/>
      <c r="E260" s="944"/>
      <c r="F260" s="54" t="s">
        <v>1620</v>
      </c>
      <c r="G260" s="52">
        <v>5</v>
      </c>
    </row>
    <row r="261" spans="1:7" s="2" customFormat="1" ht="15.75" customHeight="1">
      <c r="A261" s="1071" t="s">
        <v>5</v>
      </c>
      <c r="B261" s="944"/>
      <c r="C261" s="944"/>
      <c r="D261" s="944"/>
      <c r="E261" s="944"/>
      <c r="F261" s="944"/>
      <c r="G261" s="1072"/>
    </row>
    <row r="262" spans="1:7" s="2" customFormat="1" ht="15.75" customHeight="1">
      <c r="A262" s="1074" t="s">
        <v>2</v>
      </c>
      <c r="B262" s="944"/>
      <c r="C262" s="53" t="s">
        <v>3</v>
      </c>
      <c r="D262" s="53" t="s">
        <v>4</v>
      </c>
      <c r="E262" s="53" t="s">
        <v>6</v>
      </c>
      <c r="F262" s="53" t="s">
        <v>7</v>
      </c>
      <c r="G262" s="1075" t="s">
        <v>8</v>
      </c>
    </row>
    <row r="263" spans="1:7" s="2" customFormat="1" ht="15.75" customHeight="1">
      <c r="A263" s="947" t="s">
        <v>167</v>
      </c>
      <c r="B263" s="980"/>
      <c r="C263" s="51" t="s">
        <v>3</v>
      </c>
      <c r="D263" s="54">
        <v>0.05</v>
      </c>
      <c r="E263" s="17">
        <f>+G280</f>
        <v>5468.2000000000007</v>
      </c>
      <c r="F263" s="55">
        <f>D263*E263</f>
        <v>273.41000000000003</v>
      </c>
      <c r="G263" s="1072"/>
    </row>
    <row r="264" spans="1:7" s="2" customFormat="1" ht="15.75" customHeight="1">
      <c r="A264" s="947"/>
      <c r="B264" s="944"/>
      <c r="C264" s="51"/>
      <c r="D264" s="54"/>
      <c r="E264" s="17"/>
      <c r="F264" s="55">
        <f>D264*E264</f>
        <v>0</v>
      </c>
      <c r="G264" s="1072"/>
    </row>
    <row r="265" spans="1:7" s="2" customFormat="1" ht="15.75" customHeight="1">
      <c r="A265" s="947"/>
      <c r="B265" s="980"/>
      <c r="C265" s="141"/>
      <c r="D265" s="16"/>
      <c r="E265" s="143"/>
      <c r="F265" s="55">
        <f>D265*E265</f>
        <v>0</v>
      </c>
      <c r="G265" s="1072"/>
    </row>
    <row r="266" spans="1:7" s="2" customFormat="1" ht="15.75" customHeight="1">
      <c r="A266" s="947"/>
      <c r="B266" s="944"/>
      <c r="C266" s="51"/>
      <c r="D266" s="54"/>
      <c r="E266" s="17"/>
      <c r="F266" s="55">
        <f>D266*E266</f>
        <v>0</v>
      </c>
      <c r="G266" s="1072"/>
    </row>
    <row r="267" spans="1:7" s="2" customFormat="1" ht="15.75" customHeight="1">
      <c r="A267" s="1079"/>
      <c r="B267" s="944"/>
      <c r="C267" s="56"/>
      <c r="D267" s="56"/>
      <c r="E267" s="56"/>
      <c r="F267" s="55"/>
      <c r="G267" s="57">
        <f>SUM(F262:F267)</f>
        <v>273.41000000000003</v>
      </c>
    </row>
    <row r="268" spans="1:7" s="2" customFormat="1" ht="15" customHeight="1">
      <c r="A268" s="1071" t="s">
        <v>10</v>
      </c>
      <c r="B268" s="944"/>
      <c r="C268" s="944"/>
      <c r="D268" s="944"/>
      <c r="E268" s="944"/>
      <c r="F268" s="944"/>
      <c r="G268" s="1072"/>
    </row>
    <row r="269" spans="1:7" s="2" customFormat="1" ht="15" customHeight="1">
      <c r="A269" s="1074" t="s">
        <v>2</v>
      </c>
      <c r="B269" s="944"/>
      <c r="C269" s="53" t="s">
        <v>3</v>
      </c>
      <c r="D269" s="53" t="s">
        <v>4</v>
      </c>
      <c r="E269" s="53" t="s">
        <v>6</v>
      </c>
      <c r="F269" s="53" t="s">
        <v>11</v>
      </c>
      <c r="G269" s="1075" t="s">
        <v>8</v>
      </c>
    </row>
    <row r="270" spans="1:7" s="2" customFormat="1" ht="15" customHeight="1">
      <c r="A270" s="947" t="str">
        <f>'INSUMOS '!$B$394</f>
        <v>SELLANTE ACERO QUIMICA 56 GR</v>
      </c>
      <c r="B270" s="944"/>
      <c r="C270" s="16" t="s">
        <v>998</v>
      </c>
      <c r="D270" s="54">
        <v>0.02</v>
      </c>
      <c r="E270" s="17">
        <f>'INSUMOS '!$E$394</f>
        <v>90850</v>
      </c>
      <c r="F270" s="55">
        <f>D270*E270</f>
        <v>1817</v>
      </c>
      <c r="G270" s="1072"/>
    </row>
    <row r="271" spans="1:7" s="2" customFormat="1" ht="15" customHeight="1">
      <c r="A271" s="947" t="str">
        <f>'INSUMOS '!$B$404</f>
        <v>REDUCCION ACERO SHEDULLE 3/4X1/2"</v>
      </c>
      <c r="B271" s="944"/>
      <c r="C271" s="16" t="s">
        <v>998</v>
      </c>
      <c r="D271" s="54">
        <v>1</v>
      </c>
      <c r="E271" s="17">
        <f>'INSUMOS '!$E$404</f>
        <v>261.3</v>
      </c>
      <c r="F271" s="55">
        <f>D271*E271</f>
        <v>261.3</v>
      </c>
      <c r="G271" s="1072"/>
    </row>
    <row r="272" spans="1:7" s="2" customFormat="1" ht="15" customHeight="1">
      <c r="A272" s="947"/>
      <c r="B272" s="944"/>
      <c r="C272" s="16"/>
      <c r="D272" s="54"/>
      <c r="E272" s="17"/>
      <c r="F272" s="55">
        <f>D272*E272</f>
        <v>0</v>
      </c>
      <c r="G272" s="1072"/>
    </row>
    <row r="273" spans="1:7" s="2" customFormat="1" ht="15" customHeight="1">
      <c r="A273" s="947"/>
      <c r="B273" s="944"/>
      <c r="C273" s="16"/>
      <c r="D273" s="58"/>
      <c r="E273" s="17"/>
      <c r="F273" s="55"/>
      <c r="G273" s="57">
        <f>SUM(F269:F273)</f>
        <v>2078.3000000000002</v>
      </c>
    </row>
    <row r="274" spans="1:7" s="2" customFormat="1" ht="15" customHeight="1">
      <c r="A274" s="1071" t="s">
        <v>15</v>
      </c>
      <c r="B274" s="944"/>
      <c r="C274" s="944"/>
      <c r="D274" s="944"/>
      <c r="E274" s="944"/>
      <c r="F274" s="944"/>
      <c r="G274" s="1072"/>
    </row>
    <row r="275" spans="1:7" s="2" customFormat="1" ht="15" customHeight="1">
      <c r="A275" s="1074" t="s">
        <v>2</v>
      </c>
      <c r="B275" s="944"/>
      <c r="C275" s="53" t="s">
        <v>3</v>
      </c>
      <c r="D275" s="53" t="s">
        <v>4</v>
      </c>
      <c r="E275" s="53" t="s">
        <v>6</v>
      </c>
      <c r="F275" s="53" t="s">
        <v>11</v>
      </c>
      <c r="G275" s="1075" t="s">
        <v>8</v>
      </c>
    </row>
    <row r="276" spans="1:7" s="2" customFormat="1" ht="15" customHeight="1">
      <c r="A276" s="943" t="s">
        <v>173</v>
      </c>
      <c r="B276" s="944"/>
      <c r="C276" s="16" t="s">
        <v>3</v>
      </c>
      <c r="D276" s="54">
        <v>3.5000000000000003E-2</v>
      </c>
      <c r="E276" s="17">
        <f>+G273</f>
        <v>2078.3000000000002</v>
      </c>
      <c r="F276" s="55">
        <f>E276*D276</f>
        <v>72.740500000000011</v>
      </c>
      <c r="G276" s="1072"/>
    </row>
    <row r="277" spans="1:7" s="2" customFormat="1" ht="15" customHeight="1">
      <c r="A277" s="59"/>
      <c r="B277" s="60"/>
      <c r="C277" s="60"/>
      <c r="D277" s="60"/>
      <c r="E277" s="60"/>
      <c r="F277" s="60"/>
      <c r="G277" s="57">
        <f>SUM(F276:F277)</f>
        <v>72.740500000000011</v>
      </c>
    </row>
    <row r="278" spans="1:7" s="2" customFormat="1" ht="15" customHeight="1">
      <c r="A278" s="1071" t="s">
        <v>19</v>
      </c>
      <c r="B278" s="944"/>
      <c r="C278" s="944"/>
      <c r="D278" s="944"/>
      <c r="E278" s="944"/>
      <c r="F278" s="944"/>
      <c r="G278" s="1072"/>
    </row>
    <row r="279" spans="1:7" s="2" customFormat="1" ht="15" customHeight="1">
      <c r="A279" s="1074" t="s">
        <v>2</v>
      </c>
      <c r="B279" s="944"/>
      <c r="C279" s="53" t="s">
        <v>3</v>
      </c>
      <c r="D279" s="53" t="s">
        <v>4</v>
      </c>
      <c r="E279" s="53" t="s">
        <v>6</v>
      </c>
      <c r="F279" s="53" t="s">
        <v>11</v>
      </c>
      <c r="G279" s="456" t="s">
        <v>8</v>
      </c>
    </row>
    <row r="280" spans="1:7" s="2" customFormat="1" ht="15.75" customHeight="1">
      <c r="A280" s="978" t="str">
        <f>SALARIOS!$A$69</f>
        <v>CUADRILLA BB INSTALACIONES 1:1</v>
      </c>
      <c r="B280" s="979"/>
      <c r="C280" s="13" t="s">
        <v>1245</v>
      </c>
      <c r="D280" s="32">
        <v>0.2</v>
      </c>
      <c r="E280" s="13">
        <f>SALARIOS!$C$69</f>
        <v>27341</v>
      </c>
      <c r="F280" s="55">
        <f>+D280*E280</f>
        <v>5468.2000000000007</v>
      </c>
      <c r="G280" s="57">
        <f>SUM(F279:F280)</f>
        <v>5468.2000000000007</v>
      </c>
    </row>
    <row r="281" spans="1:7" s="2" customFormat="1" ht="15" customHeight="1">
      <c r="A281" s="1076" t="s">
        <v>25</v>
      </c>
      <c r="B281" s="944"/>
      <c r="C281" s="944"/>
      <c r="D281" s="944"/>
      <c r="E281" s="944"/>
      <c r="F281" s="944"/>
      <c r="G281" s="1072"/>
    </row>
    <row r="282" spans="1:7" s="2" customFormat="1" ht="15" customHeight="1">
      <c r="A282" s="1077"/>
      <c r="B282" s="944"/>
      <c r="C282" s="944"/>
      <c r="D282" s="944"/>
      <c r="E282" s="944"/>
      <c r="F282" s="944"/>
      <c r="G282" s="62">
        <f>G280+G277+G273+G267</f>
        <v>7892.6505000000006</v>
      </c>
    </row>
    <row r="284" spans="1:7" s="2" customFormat="1" ht="15.75" customHeight="1">
      <c r="A284" s="970" t="s">
        <v>1</v>
      </c>
      <c r="B284" s="957"/>
      <c r="C284" s="953" t="s">
        <v>0</v>
      </c>
      <c r="D284" s="953"/>
      <c r="E284" s="953"/>
      <c r="F284" s="953"/>
      <c r="G284" s="1103"/>
    </row>
    <row r="285" spans="1:7" s="2" customFormat="1" ht="69.75" customHeight="1">
      <c r="A285" s="971"/>
      <c r="B285" s="957"/>
      <c r="C285" s="953"/>
      <c r="D285" s="953"/>
      <c r="E285" s="953"/>
      <c r="F285" s="953"/>
      <c r="G285" s="1103"/>
    </row>
    <row r="286" spans="1:7" s="2" customFormat="1" ht="15.75" customHeight="1">
      <c r="A286" s="971"/>
      <c r="B286" s="957"/>
      <c r="C286" s="956"/>
      <c r="D286" s="957"/>
      <c r="E286" s="957"/>
      <c r="F286" s="957"/>
      <c r="G286" s="958"/>
    </row>
    <row r="287" spans="1:7" s="2" customFormat="1" ht="15.75" customHeight="1">
      <c r="A287" s="971"/>
      <c r="B287" s="957"/>
      <c r="C287" s="959" t="s">
        <v>2</v>
      </c>
      <c r="D287" s="957"/>
      <c r="E287" s="957"/>
      <c r="F287" s="23" t="s">
        <v>3</v>
      </c>
      <c r="G287" s="24" t="s">
        <v>4</v>
      </c>
    </row>
    <row r="288" spans="1:7" s="2" customFormat="1" ht="73.5" customHeight="1">
      <c r="A288" s="1089" t="s">
        <v>1989</v>
      </c>
      <c r="B288" s="944"/>
      <c r="C288" s="980" t="s">
        <v>1990</v>
      </c>
      <c r="D288" s="944"/>
      <c r="E288" s="944"/>
      <c r="F288" s="54" t="s">
        <v>1620</v>
      </c>
      <c r="G288" s="52">
        <v>2</v>
      </c>
    </row>
    <row r="289" spans="1:7" s="2" customFormat="1" ht="15.75" customHeight="1">
      <c r="A289" s="1071" t="s">
        <v>5</v>
      </c>
      <c r="B289" s="944"/>
      <c r="C289" s="944"/>
      <c r="D289" s="944"/>
      <c r="E289" s="944"/>
      <c r="F289" s="944"/>
      <c r="G289" s="1072"/>
    </row>
    <row r="290" spans="1:7" s="2" customFormat="1" ht="15.75" customHeight="1">
      <c r="A290" s="1074" t="s">
        <v>2</v>
      </c>
      <c r="B290" s="944"/>
      <c r="C290" s="53" t="s">
        <v>3</v>
      </c>
      <c r="D290" s="53" t="s">
        <v>4</v>
      </c>
      <c r="E290" s="53" t="s">
        <v>6</v>
      </c>
      <c r="F290" s="53" t="s">
        <v>7</v>
      </c>
      <c r="G290" s="1075" t="s">
        <v>8</v>
      </c>
    </row>
    <row r="291" spans="1:7" s="2" customFormat="1" ht="15.75" customHeight="1">
      <c r="A291" s="947" t="s">
        <v>167</v>
      </c>
      <c r="B291" s="980"/>
      <c r="C291" s="51" t="s">
        <v>3</v>
      </c>
      <c r="D291" s="54">
        <v>0.05</v>
      </c>
      <c r="E291" s="17">
        <f>+G308</f>
        <v>5468.2000000000007</v>
      </c>
      <c r="F291" s="55">
        <f>D291*E291</f>
        <v>273.41000000000003</v>
      </c>
      <c r="G291" s="1072"/>
    </row>
    <row r="292" spans="1:7" s="2" customFormat="1" ht="15.75" customHeight="1">
      <c r="A292" s="947"/>
      <c r="B292" s="944"/>
      <c r="C292" s="51"/>
      <c r="D292" s="54"/>
      <c r="E292" s="17"/>
      <c r="F292" s="55">
        <f>D292*E292</f>
        <v>0</v>
      </c>
      <c r="G292" s="1072"/>
    </row>
    <row r="293" spans="1:7" s="2" customFormat="1" ht="15.75" customHeight="1">
      <c r="A293" s="947"/>
      <c r="B293" s="980"/>
      <c r="C293" s="141"/>
      <c r="D293" s="16"/>
      <c r="E293" s="143"/>
      <c r="F293" s="55">
        <f>D293*E293</f>
        <v>0</v>
      </c>
      <c r="G293" s="1072"/>
    </row>
    <row r="294" spans="1:7" s="2" customFormat="1" ht="15.75" customHeight="1">
      <c r="A294" s="947"/>
      <c r="B294" s="944"/>
      <c r="C294" s="51"/>
      <c r="D294" s="54"/>
      <c r="E294" s="17"/>
      <c r="F294" s="55">
        <f>D294*E294</f>
        <v>0</v>
      </c>
      <c r="G294" s="1072"/>
    </row>
    <row r="295" spans="1:7" s="2" customFormat="1" ht="15.75" customHeight="1">
      <c r="A295" s="1079"/>
      <c r="B295" s="944"/>
      <c r="C295" s="56"/>
      <c r="D295" s="56"/>
      <c r="E295" s="56"/>
      <c r="F295" s="55"/>
      <c r="G295" s="57">
        <f>SUM(F290:F295)</f>
        <v>273.41000000000003</v>
      </c>
    </row>
    <row r="296" spans="1:7" s="2" customFormat="1" ht="15" customHeight="1">
      <c r="A296" s="1071" t="s">
        <v>10</v>
      </c>
      <c r="B296" s="944"/>
      <c r="C296" s="944"/>
      <c r="D296" s="944"/>
      <c r="E296" s="944"/>
      <c r="F296" s="944"/>
      <c r="G296" s="1072"/>
    </row>
    <row r="297" spans="1:7" s="2" customFormat="1" ht="15" customHeight="1">
      <c r="A297" s="1074" t="s">
        <v>2</v>
      </c>
      <c r="B297" s="944"/>
      <c r="C297" s="53" t="s">
        <v>3</v>
      </c>
      <c r="D297" s="53" t="s">
        <v>4</v>
      </c>
      <c r="E297" s="53" t="s">
        <v>6</v>
      </c>
      <c r="F297" s="53" t="s">
        <v>11</v>
      </c>
      <c r="G297" s="1075" t="s">
        <v>8</v>
      </c>
    </row>
    <row r="298" spans="1:7" s="2" customFormat="1" ht="15" customHeight="1">
      <c r="A298" s="947" t="str">
        <f>'INSUMOS '!$B$394</f>
        <v>SELLANTE ACERO QUIMICA 56 GR</v>
      </c>
      <c r="B298" s="944"/>
      <c r="C298" s="16" t="s">
        <v>998</v>
      </c>
      <c r="D298" s="54">
        <v>0.02</v>
      </c>
      <c r="E298" s="17">
        <f>'INSUMOS '!$E$394</f>
        <v>90850</v>
      </c>
      <c r="F298" s="55">
        <f>D298*E298</f>
        <v>1817</v>
      </c>
      <c r="G298" s="1072"/>
    </row>
    <row r="299" spans="1:7" s="2" customFormat="1" ht="15" customHeight="1">
      <c r="A299" s="947" t="str">
        <f>'INSUMOS '!$B$405</f>
        <v>TEE ACERO SHEDULLE 1"</v>
      </c>
      <c r="B299" s="944"/>
      <c r="C299" s="16" t="s">
        <v>998</v>
      </c>
      <c r="D299" s="54">
        <v>1</v>
      </c>
      <c r="E299" s="17">
        <f>'INSUMOS '!$E$405</f>
        <v>2828.8</v>
      </c>
      <c r="F299" s="55">
        <f>D299*E299</f>
        <v>2828.8</v>
      </c>
      <c r="G299" s="1072"/>
    </row>
    <row r="300" spans="1:7" s="2" customFormat="1" ht="15" customHeight="1">
      <c r="A300" s="947"/>
      <c r="B300" s="944"/>
      <c r="C300" s="16"/>
      <c r="D300" s="54"/>
      <c r="E300" s="17"/>
      <c r="F300" s="55">
        <f>D300*E300</f>
        <v>0</v>
      </c>
      <c r="G300" s="1072"/>
    </row>
    <row r="301" spans="1:7" s="2" customFormat="1" ht="15" customHeight="1">
      <c r="A301" s="947"/>
      <c r="B301" s="944"/>
      <c r="C301" s="16"/>
      <c r="D301" s="58"/>
      <c r="E301" s="17"/>
      <c r="F301" s="55"/>
      <c r="G301" s="57">
        <f>SUM(F297:F301)</f>
        <v>4645.8</v>
      </c>
    </row>
    <row r="302" spans="1:7" s="2" customFormat="1" ht="15" customHeight="1">
      <c r="A302" s="1071" t="s">
        <v>15</v>
      </c>
      <c r="B302" s="944"/>
      <c r="C302" s="944"/>
      <c r="D302" s="944"/>
      <c r="E302" s="944"/>
      <c r="F302" s="944"/>
      <c r="G302" s="1072"/>
    </row>
    <row r="303" spans="1:7" s="2" customFormat="1" ht="15" customHeight="1">
      <c r="A303" s="1074" t="s">
        <v>2</v>
      </c>
      <c r="B303" s="944"/>
      <c r="C303" s="53" t="s">
        <v>3</v>
      </c>
      <c r="D303" s="53" t="s">
        <v>4</v>
      </c>
      <c r="E303" s="53" t="s">
        <v>6</v>
      </c>
      <c r="F303" s="53" t="s">
        <v>11</v>
      </c>
      <c r="G303" s="1075" t="s">
        <v>8</v>
      </c>
    </row>
    <row r="304" spans="1:7" s="2" customFormat="1" ht="15" customHeight="1">
      <c r="A304" s="943" t="s">
        <v>173</v>
      </c>
      <c r="B304" s="944"/>
      <c r="C304" s="16" t="s">
        <v>3</v>
      </c>
      <c r="D304" s="54">
        <v>3.5000000000000003E-2</v>
      </c>
      <c r="E304" s="17">
        <f>+G301</f>
        <v>4645.8</v>
      </c>
      <c r="F304" s="55">
        <f>E304*D304</f>
        <v>162.60300000000001</v>
      </c>
      <c r="G304" s="1072"/>
    </row>
    <row r="305" spans="1:7" s="2" customFormat="1" ht="15" customHeight="1">
      <c r="A305" s="59"/>
      <c r="B305" s="60"/>
      <c r="C305" s="60"/>
      <c r="D305" s="60"/>
      <c r="E305" s="60"/>
      <c r="F305" s="60"/>
      <c r="G305" s="57">
        <f>SUM(F304:F305)</f>
        <v>162.60300000000001</v>
      </c>
    </row>
    <row r="306" spans="1:7" s="2" customFormat="1" ht="15" customHeight="1">
      <c r="A306" s="1071" t="s">
        <v>19</v>
      </c>
      <c r="B306" s="944"/>
      <c r="C306" s="944"/>
      <c r="D306" s="944"/>
      <c r="E306" s="944"/>
      <c r="F306" s="944"/>
      <c r="G306" s="1072"/>
    </row>
    <row r="307" spans="1:7" s="2" customFormat="1" ht="15" customHeight="1">
      <c r="A307" s="1074" t="s">
        <v>2</v>
      </c>
      <c r="B307" s="944"/>
      <c r="C307" s="53" t="s">
        <v>3</v>
      </c>
      <c r="D307" s="53" t="s">
        <v>4</v>
      </c>
      <c r="E307" s="53" t="s">
        <v>6</v>
      </c>
      <c r="F307" s="53" t="s">
        <v>11</v>
      </c>
      <c r="G307" s="456" t="s">
        <v>8</v>
      </c>
    </row>
    <row r="308" spans="1:7" s="2" customFormat="1" ht="15.75" customHeight="1">
      <c r="A308" s="978" t="str">
        <f>SALARIOS!$A$69</f>
        <v>CUADRILLA BB INSTALACIONES 1:1</v>
      </c>
      <c r="B308" s="979"/>
      <c r="C308" s="13" t="s">
        <v>1245</v>
      </c>
      <c r="D308" s="32">
        <v>0.2</v>
      </c>
      <c r="E308" s="13">
        <f>SALARIOS!$C$69</f>
        <v>27341</v>
      </c>
      <c r="F308" s="55">
        <f>+D308*E308</f>
        <v>5468.2000000000007</v>
      </c>
      <c r="G308" s="57">
        <f>SUM(F307:F308)</f>
        <v>5468.2000000000007</v>
      </c>
    </row>
    <row r="309" spans="1:7" s="2" customFormat="1" ht="15" customHeight="1">
      <c r="A309" s="1076" t="s">
        <v>25</v>
      </c>
      <c r="B309" s="944"/>
      <c r="C309" s="944"/>
      <c r="D309" s="944"/>
      <c r="E309" s="944"/>
      <c r="F309" s="944"/>
      <c r="G309" s="1072"/>
    </row>
    <row r="310" spans="1:7" s="2" customFormat="1" ht="15" customHeight="1">
      <c r="A310" s="1077"/>
      <c r="B310" s="944"/>
      <c r="C310" s="944"/>
      <c r="D310" s="944"/>
      <c r="E310" s="944"/>
      <c r="F310" s="944"/>
      <c r="G310" s="62">
        <f>G308+G305+G301+G295</f>
        <v>10550.013000000001</v>
      </c>
    </row>
    <row r="312" spans="1:7" s="2" customFormat="1" ht="15.75" customHeight="1">
      <c r="A312" s="970" t="s">
        <v>1</v>
      </c>
      <c r="B312" s="957"/>
      <c r="C312" s="953" t="s">
        <v>0</v>
      </c>
      <c r="D312" s="953"/>
      <c r="E312" s="953"/>
      <c r="F312" s="953"/>
      <c r="G312" s="1103"/>
    </row>
    <row r="313" spans="1:7" s="2" customFormat="1" ht="69.75" customHeight="1">
      <c r="A313" s="971"/>
      <c r="B313" s="957"/>
      <c r="C313" s="953"/>
      <c r="D313" s="953"/>
      <c r="E313" s="953"/>
      <c r="F313" s="953"/>
      <c r="G313" s="1103"/>
    </row>
    <row r="314" spans="1:7" s="2" customFormat="1" ht="15.75" customHeight="1">
      <c r="A314" s="971"/>
      <c r="B314" s="957"/>
      <c r="C314" s="956"/>
      <c r="D314" s="957"/>
      <c r="E314" s="957"/>
      <c r="F314" s="957"/>
      <c r="G314" s="958"/>
    </row>
    <row r="315" spans="1:7" s="2" customFormat="1" ht="15.75" customHeight="1">
      <c r="A315" s="971"/>
      <c r="B315" s="957"/>
      <c r="C315" s="959" t="s">
        <v>2</v>
      </c>
      <c r="D315" s="957"/>
      <c r="E315" s="957"/>
      <c r="F315" s="23" t="s">
        <v>3</v>
      </c>
      <c r="G315" s="24" t="s">
        <v>4</v>
      </c>
    </row>
    <row r="316" spans="1:7" s="2" customFormat="1" ht="73.5" customHeight="1">
      <c r="A316" s="1089" t="s">
        <v>1991</v>
      </c>
      <c r="B316" s="944"/>
      <c r="C316" s="980" t="s">
        <v>1992</v>
      </c>
      <c r="D316" s="944"/>
      <c r="E316" s="944"/>
      <c r="F316" s="54" t="s">
        <v>1620</v>
      </c>
      <c r="G316" s="52">
        <v>6</v>
      </c>
    </row>
    <row r="317" spans="1:7" s="2" customFormat="1" ht="15.75" customHeight="1">
      <c r="A317" s="1071" t="s">
        <v>5</v>
      </c>
      <c r="B317" s="944"/>
      <c r="C317" s="944"/>
      <c r="D317" s="944"/>
      <c r="E317" s="944"/>
      <c r="F317" s="944"/>
      <c r="G317" s="1072"/>
    </row>
    <row r="318" spans="1:7" s="2" customFormat="1" ht="15.75" customHeight="1">
      <c r="A318" s="1074" t="s">
        <v>2</v>
      </c>
      <c r="B318" s="944"/>
      <c r="C318" s="53" t="s">
        <v>3</v>
      </c>
      <c r="D318" s="53" t="s">
        <v>4</v>
      </c>
      <c r="E318" s="53" t="s">
        <v>6</v>
      </c>
      <c r="F318" s="53" t="s">
        <v>7</v>
      </c>
      <c r="G318" s="1075" t="s">
        <v>8</v>
      </c>
    </row>
    <row r="319" spans="1:7" s="2" customFormat="1" ht="15.75" customHeight="1">
      <c r="A319" s="947" t="s">
        <v>167</v>
      </c>
      <c r="B319" s="980"/>
      <c r="C319" s="51" t="s">
        <v>3</v>
      </c>
      <c r="D319" s="54">
        <v>0.05</v>
      </c>
      <c r="E319" s="17">
        <f>+G336</f>
        <v>5468.2000000000007</v>
      </c>
      <c r="F319" s="55">
        <f>D319*E319</f>
        <v>273.41000000000003</v>
      </c>
      <c r="G319" s="1072"/>
    </row>
    <row r="320" spans="1:7" s="2" customFormat="1" ht="15.75" customHeight="1">
      <c r="A320" s="947"/>
      <c r="B320" s="944"/>
      <c r="C320" s="51"/>
      <c r="D320" s="54"/>
      <c r="E320" s="17"/>
      <c r="F320" s="55">
        <f>D320*E320</f>
        <v>0</v>
      </c>
      <c r="G320" s="1072"/>
    </row>
    <row r="321" spans="1:7" s="2" customFormat="1" ht="15.75" customHeight="1">
      <c r="A321" s="947"/>
      <c r="B321" s="980"/>
      <c r="C321" s="141"/>
      <c r="D321" s="16"/>
      <c r="E321" s="143"/>
      <c r="F321" s="55">
        <f>D321*E321</f>
        <v>0</v>
      </c>
      <c r="G321" s="1072"/>
    </row>
    <row r="322" spans="1:7" s="2" customFormat="1" ht="15.75" customHeight="1">
      <c r="A322" s="947"/>
      <c r="B322" s="944"/>
      <c r="C322" s="51"/>
      <c r="D322" s="54"/>
      <c r="E322" s="17"/>
      <c r="F322" s="55">
        <f>D322*E322</f>
        <v>0</v>
      </c>
      <c r="G322" s="1072"/>
    </row>
    <row r="323" spans="1:7" s="2" customFormat="1" ht="15.75" customHeight="1">
      <c r="A323" s="1079"/>
      <c r="B323" s="944"/>
      <c r="C323" s="56"/>
      <c r="D323" s="56"/>
      <c r="E323" s="56"/>
      <c r="F323" s="55"/>
      <c r="G323" s="57">
        <f>SUM(F318:F323)</f>
        <v>273.41000000000003</v>
      </c>
    </row>
    <row r="324" spans="1:7" s="2" customFormat="1" ht="15" customHeight="1">
      <c r="A324" s="1071" t="s">
        <v>10</v>
      </c>
      <c r="B324" s="944"/>
      <c r="C324" s="944"/>
      <c r="D324" s="944"/>
      <c r="E324" s="944"/>
      <c r="F324" s="944"/>
      <c r="G324" s="1072"/>
    </row>
    <row r="325" spans="1:7" s="2" customFormat="1" ht="15" customHeight="1">
      <c r="A325" s="1074" t="s">
        <v>2</v>
      </c>
      <c r="B325" s="944"/>
      <c r="C325" s="53" t="s">
        <v>3</v>
      </c>
      <c r="D325" s="53" t="s">
        <v>4</v>
      </c>
      <c r="E325" s="53" t="s">
        <v>6</v>
      </c>
      <c r="F325" s="53" t="s">
        <v>11</v>
      </c>
      <c r="G325" s="1075" t="s">
        <v>8</v>
      </c>
    </row>
    <row r="326" spans="1:7" s="2" customFormat="1" ht="15" customHeight="1">
      <c r="A326" s="947" t="str">
        <f>'INSUMOS '!$B$394</f>
        <v>SELLANTE ACERO QUIMICA 56 GR</v>
      </c>
      <c r="B326" s="944"/>
      <c r="C326" s="16" t="s">
        <v>998</v>
      </c>
      <c r="D326" s="54">
        <v>0.02</v>
      </c>
      <c r="E326" s="17">
        <f>'INSUMOS '!$E$394</f>
        <v>90850</v>
      </c>
      <c r="F326" s="55">
        <f>D326*E326</f>
        <v>1817</v>
      </c>
      <c r="G326" s="1072"/>
    </row>
    <row r="327" spans="1:7" s="2" customFormat="1" ht="15" customHeight="1">
      <c r="A327" s="947" t="str">
        <f>'INSUMOS '!$B$406</f>
        <v>TEE ACERO SHEDULLE 3/4</v>
      </c>
      <c r="B327" s="944"/>
      <c r="C327" s="16" t="s">
        <v>998</v>
      </c>
      <c r="D327" s="54">
        <v>1</v>
      </c>
      <c r="E327" s="17">
        <f>'INSUMOS '!$E$406</f>
        <v>1232.3999999999999</v>
      </c>
      <c r="F327" s="55">
        <f>D327*E327</f>
        <v>1232.3999999999999</v>
      </c>
      <c r="G327" s="1072"/>
    </row>
    <row r="328" spans="1:7" s="2" customFormat="1" ht="15" customHeight="1">
      <c r="A328" s="947"/>
      <c r="B328" s="944"/>
      <c r="C328" s="16"/>
      <c r="D328" s="54"/>
      <c r="E328" s="17"/>
      <c r="F328" s="55">
        <f>D328*E328</f>
        <v>0</v>
      </c>
      <c r="G328" s="1072"/>
    </row>
    <row r="329" spans="1:7" s="2" customFormat="1" ht="15" customHeight="1">
      <c r="A329" s="947"/>
      <c r="B329" s="944"/>
      <c r="C329" s="16"/>
      <c r="D329" s="58"/>
      <c r="E329" s="17"/>
      <c r="F329" s="55"/>
      <c r="G329" s="57">
        <f>SUM(F325:F329)</f>
        <v>3049.3999999999996</v>
      </c>
    </row>
    <row r="330" spans="1:7" s="2" customFormat="1" ht="15" customHeight="1">
      <c r="A330" s="1071" t="s">
        <v>15</v>
      </c>
      <c r="B330" s="944"/>
      <c r="C330" s="944"/>
      <c r="D330" s="944"/>
      <c r="E330" s="944"/>
      <c r="F330" s="944"/>
      <c r="G330" s="1072"/>
    </row>
    <row r="331" spans="1:7" s="2" customFormat="1" ht="15" customHeight="1">
      <c r="A331" s="1074" t="s">
        <v>2</v>
      </c>
      <c r="B331" s="944"/>
      <c r="C331" s="53" t="s">
        <v>3</v>
      </c>
      <c r="D331" s="53" t="s">
        <v>4</v>
      </c>
      <c r="E331" s="53" t="s">
        <v>6</v>
      </c>
      <c r="F331" s="53" t="s">
        <v>11</v>
      </c>
      <c r="G331" s="1075" t="s">
        <v>8</v>
      </c>
    </row>
    <row r="332" spans="1:7" s="2" customFormat="1" ht="15" customHeight="1">
      <c r="A332" s="943" t="s">
        <v>173</v>
      </c>
      <c r="B332" s="944"/>
      <c r="C332" s="16" t="s">
        <v>3</v>
      </c>
      <c r="D332" s="54">
        <v>3.5000000000000003E-2</v>
      </c>
      <c r="E332" s="17">
        <f>+G329</f>
        <v>3049.3999999999996</v>
      </c>
      <c r="F332" s="55">
        <f>E332*D332</f>
        <v>106.729</v>
      </c>
      <c r="G332" s="1072"/>
    </row>
    <row r="333" spans="1:7" s="2" customFormat="1" ht="15" customHeight="1">
      <c r="A333" s="59"/>
      <c r="B333" s="60"/>
      <c r="C333" s="60"/>
      <c r="D333" s="60"/>
      <c r="E333" s="60"/>
      <c r="F333" s="60"/>
      <c r="G333" s="57">
        <f>SUM(F332:F333)</f>
        <v>106.729</v>
      </c>
    </row>
    <row r="334" spans="1:7" s="2" customFormat="1" ht="15" customHeight="1">
      <c r="A334" s="1071" t="s">
        <v>19</v>
      </c>
      <c r="B334" s="944"/>
      <c r="C334" s="944"/>
      <c r="D334" s="944"/>
      <c r="E334" s="944"/>
      <c r="F334" s="944"/>
      <c r="G334" s="1072"/>
    </row>
    <row r="335" spans="1:7" s="2" customFormat="1" ht="15" customHeight="1">
      <c r="A335" s="1074" t="s">
        <v>2</v>
      </c>
      <c r="B335" s="944"/>
      <c r="C335" s="53" t="s">
        <v>3</v>
      </c>
      <c r="D335" s="53" t="s">
        <v>4</v>
      </c>
      <c r="E335" s="53" t="s">
        <v>6</v>
      </c>
      <c r="F335" s="53" t="s">
        <v>11</v>
      </c>
      <c r="G335" s="456" t="s">
        <v>8</v>
      </c>
    </row>
    <row r="336" spans="1:7" s="2" customFormat="1" ht="15.75" customHeight="1">
      <c r="A336" s="978" t="str">
        <f>SALARIOS!$A$69</f>
        <v>CUADRILLA BB INSTALACIONES 1:1</v>
      </c>
      <c r="B336" s="979"/>
      <c r="C336" s="13" t="s">
        <v>1245</v>
      </c>
      <c r="D336" s="32">
        <v>0.2</v>
      </c>
      <c r="E336" s="13">
        <f>SALARIOS!$C$69</f>
        <v>27341</v>
      </c>
      <c r="F336" s="55">
        <f>+D336*E336</f>
        <v>5468.2000000000007</v>
      </c>
      <c r="G336" s="57">
        <f>SUM(F335:F336)</f>
        <v>5468.2000000000007</v>
      </c>
    </row>
    <row r="337" spans="1:7" s="2" customFormat="1" ht="15" customHeight="1">
      <c r="A337" s="1076" t="s">
        <v>25</v>
      </c>
      <c r="B337" s="944"/>
      <c r="C337" s="944"/>
      <c r="D337" s="944"/>
      <c r="E337" s="944"/>
      <c r="F337" s="944"/>
      <c r="G337" s="1072"/>
    </row>
    <row r="338" spans="1:7" s="2" customFormat="1" ht="15" customHeight="1">
      <c r="A338" s="1077"/>
      <c r="B338" s="944"/>
      <c r="C338" s="944"/>
      <c r="D338" s="944"/>
      <c r="E338" s="944"/>
      <c r="F338" s="944"/>
      <c r="G338" s="62">
        <f>G336+G333+G329+G323</f>
        <v>8897.7390000000014</v>
      </c>
    </row>
    <row r="340" spans="1:7" s="2" customFormat="1" ht="15.75" customHeight="1">
      <c r="A340" s="970" t="s">
        <v>1</v>
      </c>
      <c r="B340" s="957"/>
      <c r="C340" s="953" t="s">
        <v>0</v>
      </c>
      <c r="D340" s="953"/>
      <c r="E340" s="953"/>
      <c r="F340" s="953"/>
      <c r="G340" s="1103"/>
    </row>
    <row r="341" spans="1:7" s="2" customFormat="1" ht="69.75" customHeight="1">
      <c r="A341" s="971"/>
      <c r="B341" s="957"/>
      <c r="C341" s="953"/>
      <c r="D341" s="953"/>
      <c r="E341" s="953"/>
      <c r="F341" s="953"/>
      <c r="G341" s="1103"/>
    </row>
    <row r="342" spans="1:7" s="2" customFormat="1" ht="15.75" customHeight="1">
      <c r="A342" s="971"/>
      <c r="B342" s="957"/>
      <c r="C342" s="956"/>
      <c r="D342" s="957"/>
      <c r="E342" s="957"/>
      <c r="F342" s="957"/>
      <c r="G342" s="958"/>
    </row>
    <row r="343" spans="1:7" s="2" customFormat="1" ht="15.75" customHeight="1">
      <c r="A343" s="971"/>
      <c r="B343" s="957"/>
      <c r="C343" s="959" t="s">
        <v>2</v>
      </c>
      <c r="D343" s="957"/>
      <c r="E343" s="957"/>
      <c r="F343" s="23" t="s">
        <v>3</v>
      </c>
      <c r="G343" s="24" t="s">
        <v>4</v>
      </c>
    </row>
    <row r="344" spans="1:7" s="2" customFormat="1" ht="73.5" customHeight="1">
      <c r="A344" s="1089" t="s">
        <v>1993</v>
      </c>
      <c r="B344" s="944"/>
      <c r="C344" s="980" t="s">
        <v>1994</v>
      </c>
      <c r="D344" s="944"/>
      <c r="E344" s="944"/>
      <c r="F344" s="54" t="s">
        <v>1620</v>
      </c>
      <c r="G344" s="52">
        <v>12</v>
      </c>
    </row>
    <row r="345" spans="1:7" s="2" customFormat="1" ht="15.75" customHeight="1">
      <c r="A345" s="1071" t="s">
        <v>5</v>
      </c>
      <c r="B345" s="944"/>
      <c r="C345" s="944"/>
      <c r="D345" s="944"/>
      <c r="E345" s="944"/>
      <c r="F345" s="944"/>
      <c r="G345" s="1072"/>
    </row>
    <row r="346" spans="1:7" s="2" customFormat="1" ht="15.75" customHeight="1">
      <c r="A346" s="1074" t="s">
        <v>2</v>
      </c>
      <c r="B346" s="944"/>
      <c r="C346" s="53" t="s">
        <v>3</v>
      </c>
      <c r="D346" s="53" t="s">
        <v>4</v>
      </c>
      <c r="E346" s="53" t="s">
        <v>6</v>
      </c>
      <c r="F346" s="53" t="s">
        <v>7</v>
      </c>
      <c r="G346" s="1075" t="s">
        <v>8</v>
      </c>
    </row>
    <row r="347" spans="1:7" s="2" customFormat="1" ht="15.75" customHeight="1">
      <c r="A347" s="947" t="s">
        <v>167</v>
      </c>
      <c r="B347" s="980"/>
      <c r="C347" s="51" t="s">
        <v>3</v>
      </c>
      <c r="D347" s="54">
        <v>0.05</v>
      </c>
      <c r="E347" s="17">
        <f>+G364</f>
        <v>5468.2000000000007</v>
      </c>
      <c r="F347" s="55">
        <f>D347*E347</f>
        <v>273.41000000000003</v>
      </c>
      <c r="G347" s="1072"/>
    </row>
    <row r="348" spans="1:7" s="2" customFormat="1" ht="15.75" customHeight="1">
      <c r="A348" s="947"/>
      <c r="B348" s="944"/>
      <c r="C348" s="51"/>
      <c r="D348" s="54"/>
      <c r="E348" s="17"/>
      <c r="F348" s="55">
        <f>D348*E348</f>
        <v>0</v>
      </c>
      <c r="G348" s="1072"/>
    </row>
    <row r="349" spans="1:7" s="2" customFormat="1" ht="15.75" customHeight="1">
      <c r="A349" s="947"/>
      <c r="B349" s="980"/>
      <c r="C349" s="141"/>
      <c r="D349" s="16"/>
      <c r="E349" s="143"/>
      <c r="F349" s="55">
        <f>D349*E349</f>
        <v>0</v>
      </c>
      <c r="G349" s="1072"/>
    </row>
    <row r="350" spans="1:7" s="2" customFormat="1" ht="15.75" customHeight="1">
      <c r="A350" s="947"/>
      <c r="B350" s="944"/>
      <c r="C350" s="51"/>
      <c r="D350" s="54"/>
      <c r="E350" s="17"/>
      <c r="F350" s="55">
        <f>D350*E350</f>
        <v>0</v>
      </c>
      <c r="G350" s="1072"/>
    </row>
    <row r="351" spans="1:7" s="2" customFormat="1" ht="15.75" customHeight="1">
      <c r="A351" s="1079"/>
      <c r="B351" s="944"/>
      <c r="C351" s="56"/>
      <c r="D351" s="56"/>
      <c r="E351" s="56"/>
      <c r="F351" s="55"/>
      <c r="G351" s="57">
        <f>SUM(F346:F351)</f>
        <v>273.41000000000003</v>
      </c>
    </row>
    <row r="352" spans="1:7" s="2" customFormat="1" ht="15" customHeight="1">
      <c r="A352" s="1071" t="s">
        <v>10</v>
      </c>
      <c r="B352" s="944"/>
      <c r="C352" s="944"/>
      <c r="D352" s="944"/>
      <c r="E352" s="944"/>
      <c r="F352" s="944"/>
      <c r="G352" s="1072"/>
    </row>
    <row r="353" spans="1:7" s="2" customFormat="1" ht="15" customHeight="1">
      <c r="A353" s="1074" t="s">
        <v>2</v>
      </c>
      <c r="B353" s="944"/>
      <c r="C353" s="53" t="s">
        <v>3</v>
      </c>
      <c r="D353" s="53" t="s">
        <v>4</v>
      </c>
      <c r="E353" s="53" t="s">
        <v>6</v>
      </c>
      <c r="F353" s="53" t="s">
        <v>11</v>
      </c>
      <c r="G353" s="1075" t="s">
        <v>8</v>
      </c>
    </row>
    <row r="354" spans="1:7" s="2" customFormat="1" ht="15" customHeight="1">
      <c r="A354" s="947" t="str">
        <f>'INSUMOS '!$B$394</f>
        <v>SELLANTE ACERO QUIMICA 56 GR</v>
      </c>
      <c r="B354" s="944"/>
      <c r="C354" s="16" t="s">
        <v>998</v>
      </c>
      <c r="D354" s="54">
        <v>0.02</v>
      </c>
      <c r="E354" s="17">
        <f>'INSUMOS '!$E$394</f>
        <v>90850</v>
      </c>
      <c r="F354" s="55">
        <f>D354*E354</f>
        <v>1817</v>
      </c>
      <c r="G354" s="1072"/>
    </row>
    <row r="355" spans="1:7" s="2" customFormat="1" ht="15" customHeight="1">
      <c r="A355" s="947" t="str">
        <f>'INSUMOS '!$B$407</f>
        <v>TEE ACERO SHEDULLE 1/2"</v>
      </c>
      <c r="B355" s="944"/>
      <c r="C355" s="16" t="s">
        <v>998</v>
      </c>
      <c r="D355" s="54">
        <v>1</v>
      </c>
      <c r="E355" s="17">
        <f>'INSUMOS '!$E$407</f>
        <v>632.4</v>
      </c>
      <c r="F355" s="55">
        <f>D355*E355</f>
        <v>632.4</v>
      </c>
      <c r="G355" s="1072"/>
    </row>
    <row r="356" spans="1:7" s="2" customFormat="1" ht="15" customHeight="1">
      <c r="A356" s="947"/>
      <c r="B356" s="944"/>
      <c r="C356" s="16"/>
      <c r="D356" s="54"/>
      <c r="E356" s="17"/>
      <c r="F356" s="55">
        <f>D356*E356</f>
        <v>0</v>
      </c>
      <c r="G356" s="1072"/>
    </row>
    <row r="357" spans="1:7" s="2" customFormat="1" ht="15" customHeight="1">
      <c r="A357" s="947"/>
      <c r="B357" s="944"/>
      <c r="C357" s="16"/>
      <c r="D357" s="58"/>
      <c r="E357" s="17"/>
      <c r="F357" s="55"/>
      <c r="G357" s="57">
        <f>SUM(F353:F357)</f>
        <v>2449.4</v>
      </c>
    </row>
    <row r="358" spans="1:7" s="2" customFormat="1" ht="15" customHeight="1">
      <c r="A358" s="1071" t="s">
        <v>15</v>
      </c>
      <c r="B358" s="944"/>
      <c r="C358" s="944"/>
      <c r="D358" s="944"/>
      <c r="E358" s="944"/>
      <c r="F358" s="944"/>
      <c r="G358" s="1072"/>
    </row>
    <row r="359" spans="1:7" s="2" customFormat="1" ht="15" customHeight="1">
      <c r="A359" s="1074" t="s">
        <v>2</v>
      </c>
      <c r="B359" s="944"/>
      <c r="C359" s="53" t="s">
        <v>3</v>
      </c>
      <c r="D359" s="53" t="s">
        <v>4</v>
      </c>
      <c r="E359" s="53" t="s">
        <v>6</v>
      </c>
      <c r="F359" s="53" t="s">
        <v>11</v>
      </c>
      <c r="G359" s="1075" t="s">
        <v>8</v>
      </c>
    </row>
    <row r="360" spans="1:7" s="2" customFormat="1" ht="15" customHeight="1">
      <c r="A360" s="943" t="s">
        <v>173</v>
      </c>
      <c r="B360" s="944"/>
      <c r="C360" s="16" t="s">
        <v>3</v>
      </c>
      <c r="D360" s="54">
        <v>3.5000000000000003E-2</v>
      </c>
      <c r="E360" s="17">
        <f>+G357</f>
        <v>2449.4</v>
      </c>
      <c r="F360" s="55">
        <f>E360*D360</f>
        <v>85.729000000000013</v>
      </c>
      <c r="G360" s="1072"/>
    </row>
    <row r="361" spans="1:7" s="2" customFormat="1" ht="15" customHeight="1">
      <c r="A361" s="59"/>
      <c r="B361" s="60"/>
      <c r="C361" s="60"/>
      <c r="D361" s="60"/>
      <c r="E361" s="60"/>
      <c r="F361" s="60"/>
      <c r="G361" s="57">
        <f>SUM(F360:F361)</f>
        <v>85.729000000000013</v>
      </c>
    </row>
    <row r="362" spans="1:7" s="2" customFormat="1" ht="15" customHeight="1">
      <c r="A362" s="1071" t="s">
        <v>19</v>
      </c>
      <c r="B362" s="944"/>
      <c r="C362" s="944"/>
      <c r="D362" s="944"/>
      <c r="E362" s="944"/>
      <c r="F362" s="944"/>
      <c r="G362" s="1072"/>
    </row>
    <row r="363" spans="1:7" s="2" customFormat="1" ht="15" customHeight="1">
      <c r="A363" s="1074" t="s">
        <v>2</v>
      </c>
      <c r="B363" s="944"/>
      <c r="C363" s="53" t="s">
        <v>3</v>
      </c>
      <c r="D363" s="53" t="s">
        <v>4</v>
      </c>
      <c r="E363" s="53" t="s">
        <v>6</v>
      </c>
      <c r="F363" s="53" t="s">
        <v>11</v>
      </c>
      <c r="G363" s="456" t="s">
        <v>8</v>
      </c>
    </row>
    <row r="364" spans="1:7" s="2" customFormat="1" ht="15.75" customHeight="1">
      <c r="A364" s="978" t="str">
        <f>SALARIOS!$A$69</f>
        <v>CUADRILLA BB INSTALACIONES 1:1</v>
      </c>
      <c r="B364" s="979"/>
      <c r="C364" s="13" t="s">
        <v>1245</v>
      </c>
      <c r="D364" s="32">
        <v>0.2</v>
      </c>
      <c r="E364" s="13">
        <f>SALARIOS!$C$69</f>
        <v>27341</v>
      </c>
      <c r="F364" s="55">
        <f>+D364*E364</f>
        <v>5468.2000000000007</v>
      </c>
      <c r="G364" s="57">
        <f>SUM(F363:F364)</f>
        <v>5468.2000000000007</v>
      </c>
    </row>
    <row r="365" spans="1:7" s="2" customFormat="1" ht="15" customHeight="1">
      <c r="A365" s="1076" t="s">
        <v>25</v>
      </c>
      <c r="B365" s="944"/>
      <c r="C365" s="944"/>
      <c r="D365" s="944"/>
      <c r="E365" s="944"/>
      <c r="F365" s="944"/>
      <c r="G365" s="1072"/>
    </row>
    <row r="366" spans="1:7" s="2" customFormat="1" ht="15" customHeight="1">
      <c r="A366" s="1077"/>
      <c r="B366" s="944"/>
      <c r="C366" s="944"/>
      <c r="D366" s="944"/>
      <c r="E366" s="944"/>
      <c r="F366" s="944"/>
      <c r="G366" s="62">
        <f>G364+G361+G357+G351</f>
        <v>8276.7390000000014</v>
      </c>
    </row>
    <row r="368" spans="1:7" s="2" customFormat="1" ht="15.75" customHeight="1">
      <c r="A368" s="970" t="s">
        <v>1</v>
      </c>
      <c r="B368" s="957"/>
      <c r="C368" s="953" t="s">
        <v>0</v>
      </c>
      <c r="D368" s="953"/>
      <c r="E368" s="953"/>
      <c r="F368" s="953"/>
      <c r="G368" s="1103"/>
    </row>
    <row r="369" spans="1:7" s="2" customFormat="1" ht="69.75" customHeight="1">
      <c r="A369" s="971"/>
      <c r="B369" s="957"/>
      <c r="C369" s="953"/>
      <c r="D369" s="953"/>
      <c r="E369" s="953"/>
      <c r="F369" s="953"/>
      <c r="G369" s="1103"/>
    </row>
    <row r="370" spans="1:7" s="2" customFormat="1" ht="15.75" customHeight="1">
      <c r="A370" s="971"/>
      <c r="B370" s="957"/>
      <c r="C370" s="956"/>
      <c r="D370" s="957"/>
      <c r="E370" s="957"/>
      <c r="F370" s="957"/>
      <c r="G370" s="958"/>
    </row>
    <row r="371" spans="1:7" s="2" customFormat="1" ht="15.75" customHeight="1">
      <c r="A371" s="971"/>
      <c r="B371" s="957"/>
      <c r="C371" s="959" t="s">
        <v>2</v>
      </c>
      <c r="D371" s="957"/>
      <c r="E371" s="957"/>
      <c r="F371" s="23" t="s">
        <v>3</v>
      </c>
      <c r="G371" s="24" t="s">
        <v>4</v>
      </c>
    </row>
    <row r="372" spans="1:7" s="2" customFormat="1" ht="73.5" customHeight="1">
      <c r="A372" s="1089" t="s">
        <v>1995</v>
      </c>
      <c r="B372" s="944"/>
      <c r="C372" s="980" t="s">
        <v>1996</v>
      </c>
      <c r="D372" s="944"/>
      <c r="E372" s="944"/>
      <c r="F372" s="54" t="s">
        <v>1620</v>
      </c>
      <c r="G372" s="52">
        <v>2</v>
      </c>
    </row>
    <row r="373" spans="1:7" s="2" customFormat="1" ht="15.75" customHeight="1">
      <c r="A373" s="1071" t="s">
        <v>5</v>
      </c>
      <c r="B373" s="944"/>
      <c r="C373" s="944"/>
      <c r="D373" s="944"/>
      <c r="E373" s="944"/>
      <c r="F373" s="944"/>
      <c r="G373" s="1072"/>
    </row>
    <row r="374" spans="1:7" s="2" customFormat="1" ht="15.75" customHeight="1">
      <c r="A374" s="1074" t="s">
        <v>2</v>
      </c>
      <c r="B374" s="944"/>
      <c r="C374" s="53" t="s">
        <v>3</v>
      </c>
      <c r="D374" s="53" t="s">
        <v>4</v>
      </c>
      <c r="E374" s="53" t="s">
        <v>6</v>
      </c>
      <c r="F374" s="53" t="s">
        <v>7</v>
      </c>
      <c r="G374" s="1075" t="s">
        <v>8</v>
      </c>
    </row>
    <row r="375" spans="1:7" s="2" customFormat="1" ht="15.75" customHeight="1">
      <c r="A375" s="947" t="s">
        <v>167</v>
      </c>
      <c r="B375" s="980"/>
      <c r="C375" s="51" t="s">
        <v>3</v>
      </c>
      <c r="D375" s="54">
        <v>0.05</v>
      </c>
      <c r="E375" s="17">
        <f>+G392</f>
        <v>27341</v>
      </c>
      <c r="F375" s="55">
        <f>D375*E375</f>
        <v>1367.0500000000002</v>
      </c>
      <c r="G375" s="1072"/>
    </row>
    <row r="376" spans="1:7" s="2" customFormat="1" ht="15.75" customHeight="1">
      <c r="A376" s="947"/>
      <c r="B376" s="944"/>
      <c r="C376" s="51"/>
      <c r="D376" s="54"/>
      <c r="E376" s="17"/>
      <c r="F376" s="55">
        <f>D376*E376</f>
        <v>0</v>
      </c>
      <c r="G376" s="1072"/>
    </row>
    <row r="377" spans="1:7" s="2" customFormat="1" ht="15.75" customHeight="1">
      <c r="A377" s="947"/>
      <c r="B377" s="980"/>
      <c r="C377" s="141"/>
      <c r="D377" s="16"/>
      <c r="E377" s="143"/>
      <c r="F377" s="55">
        <f>D377*E377</f>
        <v>0</v>
      </c>
      <c r="G377" s="1072"/>
    </row>
    <row r="378" spans="1:7" s="2" customFormat="1" ht="15.75" customHeight="1">
      <c r="A378" s="947"/>
      <c r="B378" s="944"/>
      <c r="C378" s="51"/>
      <c r="D378" s="54"/>
      <c r="E378" s="17"/>
      <c r="F378" s="55">
        <f>D378*E378</f>
        <v>0</v>
      </c>
      <c r="G378" s="1072"/>
    </row>
    <row r="379" spans="1:7" s="2" customFormat="1" ht="15.75" customHeight="1">
      <c r="A379" s="1079"/>
      <c r="B379" s="944"/>
      <c r="C379" s="56"/>
      <c r="D379" s="56"/>
      <c r="E379" s="56"/>
      <c r="F379" s="55"/>
      <c r="G379" s="57">
        <f>SUM(F374:F379)</f>
        <v>1367.0500000000002</v>
      </c>
    </row>
    <row r="380" spans="1:7" s="2" customFormat="1" ht="15" customHeight="1">
      <c r="A380" s="1071" t="s">
        <v>10</v>
      </c>
      <c r="B380" s="944"/>
      <c r="C380" s="944"/>
      <c r="D380" s="944"/>
      <c r="E380" s="944"/>
      <c r="F380" s="944"/>
      <c r="G380" s="1072"/>
    </row>
    <row r="381" spans="1:7" s="2" customFormat="1" ht="15" customHeight="1">
      <c r="A381" s="1074" t="s">
        <v>2</v>
      </c>
      <c r="B381" s="944"/>
      <c r="C381" s="53" t="s">
        <v>3</v>
      </c>
      <c r="D381" s="53" t="s">
        <v>4</v>
      </c>
      <c r="E381" s="53" t="s">
        <v>6</v>
      </c>
      <c r="F381" s="53" t="s">
        <v>11</v>
      </c>
      <c r="G381" s="1075" t="s">
        <v>8</v>
      </c>
    </row>
    <row r="382" spans="1:7" s="2" customFormat="1" ht="15" customHeight="1">
      <c r="A382" s="947" t="str">
        <f>'INSUMOS '!$B$408</f>
        <v>REGULADOR Y MANOMETRO RED DE GAS</v>
      </c>
      <c r="B382" s="944"/>
      <c r="C382" s="16">
        <v>0</v>
      </c>
      <c r="D382" s="54">
        <v>1</v>
      </c>
      <c r="E382" s="17">
        <f>'INSUMOS '!$E$408</f>
        <v>52440</v>
      </c>
      <c r="F382" s="55">
        <f>D382*E382</f>
        <v>52440</v>
      </c>
      <c r="G382" s="1072"/>
    </row>
    <row r="383" spans="1:7" s="2" customFormat="1" ht="15" customHeight="1">
      <c r="A383" s="947" t="str">
        <f>'INSUMOS '!$B$409</f>
        <v>ACCESORIOS REGULADOR HUMCAR R7</v>
      </c>
      <c r="B383" s="944"/>
      <c r="C383" s="16">
        <v>0</v>
      </c>
      <c r="D383" s="54">
        <v>1</v>
      </c>
      <c r="E383" s="17">
        <f>'INSUMOS '!$E$409</f>
        <v>24541.200000000001</v>
      </c>
      <c r="F383" s="55">
        <f>D383*E383</f>
        <v>24541.200000000001</v>
      </c>
      <c r="G383" s="1072"/>
    </row>
    <row r="384" spans="1:7" s="2" customFormat="1" ht="15" customHeight="1">
      <c r="A384" s="947"/>
      <c r="B384" s="944"/>
      <c r="C384" s="16"/>
      <c r="D384" s="54"/>
      <c r="E384" s="17"/>
      <c r="F384" s="55">
        <f>D384*E384</f>
        <v>0</v>
      </c>
      <c r="G384" s="1072"/>
    </row>
    <row r="385" spans="1:8" s="2" customFormat="1" ht="15" customHeight="1">
      <c r="A385" s="947"/>
      <c r="B385" s="944"/>
      <c r="C385" s="16"/>
      <c r="D385" s="58"/>
      <c r="E385" s="17"/>
      <c r="F385" s="55"/>
      <c r="G385" s="57">
        <f>SUM(F381:F385)</f>
        <v>76981.2</v>
      </c>
    </row>
    <row r="386" spans="1:8" s="2" customFormat="1" ht="15" customHeight="1">
      <c r="A386" s="1071" t="s">
        <v>15</v>
      </c>
      <c r="B386" s="944"/>
      <c r="C386" s="944"/>
      <c r="D386" s="944"/>
      <c r="E386" s="944"/>
      <c r="F386" s="944"/>
      <c r="G386" s="1072"/>
    </row>
    <row r="387" spans="1:8" s="2" customFormat="1" ht="15" customHeight="1">
      <c r="A387" s="1074" t="s">
        <v>2</v>
      </c>
      <c r="B387" s="944"/>
      <c r="C387" s="53" t="s">
        <v>3</v>
      </c>
      <c r="D387" s="53" t="s">
        <v>4</v>
      </c>
      <c r="E387" s="53" t="s">
        <v>6</v>
      </c>
      <c r="F387" s="53" t="s">
        <v>11</v>
      </c>
      <c r="G387" s="1075" t="s">
        <v>8</v>
      </c>
    </row>
    <row r="388" spans="1:8" s="2" customFormat="1" ht="15" customHeight="1">
      <c r="A388" s="943" t="s">
        <v>173</v>
      </c>
      <c r="B388" s="944"/>
      <c r="C388" s="16" t="s">
        <v>3</v>
      </c>
      <c r="D388" s="54">
        <v>3.5000000000000003E-2</v>
      </c>
      <c r="E388" s="17">
        <f>+G385</f>
        <v>76981.2</v>
      </c>
      <c r="F388" s="55">
        <f>E388*D388</f>
        <v>2694.3420000000001</v>
      </c>
      <c r="G388" s="1072"/>
      <c r="H388" s="452"/>
    </row>
    <row r="389" spans="1:8" s="2" customFormat="1" ht="15" customHeight="1">
      <c r="A389" s="59"/>
      <c r="B389" s="60"/>
      <c r="C389" s="60"/>
      <c r="D389" s="60"/>
      <c r="E389" s="60"/>
      <c r="F389" s="60"/>
      <c r="G389" s="57">
        <f>SUM(F388:F389)</f>
        <v>2694.3420000000001</v>
      </c>
      <c r="H389" s="452"/>
    </row>
    <row r="390" spans="1:8" s="2" customFormat="1" ht="15" customHeight="1">
      <c r="A390" s="1071" t="s">
        <v>19</v>
      </c>
      <c r="B390" s="944"/>
      <c r="C390" s="944"/>
      <c r="D390" s="944"/>
      <c r="E390" s="944"/>
      <c r="F390" s="944"/>
      <c r="G390" s="1072"/>
      <c r="H390" s="452"/>
    </row>
    <row r="391" spans="1:8" s="2" customFormat="1" ht="15" customHeight="1">
      <c r="A391" s="1074" t="s">
        <v>2</v>
      </c>
      <c r="B391" s="944"/>
      <c r="C391" s="53" t="s">
        <v>3</v>
      </c>
      <c r="D391" s="53" t="s">
        <v>4</v>
      </c>
      <c r="E391" s="53" t="s">
        <v>6</v>
      </c>
      <c r="F391" s="53" t="s">
        <v>11</v>
      </c>
      <c r="G391" s="456" t="s">
        <v>8</v>
      </c>
    </row>
    <row r="392" spans="1:8" s="2" customFormat="1" ht="15.75" customHeight="1">
      <c r="A392" s="978" t="str">
        <f>SALARIOS!$A$69</f>
        <v>CUADRILLA BB INSTALACIONES 1:1</v>
      </c>
      <c r="B392" s="979"/>
      <c r="C392" s="13" t="s">
        <v>1245</v>
      </c>
      <c r="D392" s="32">
        <v>1</v>
      </c>
      <c r="E392" s="13">
        <f>SALARIOS!$C$69</f>
        <v>27341</v>
      </c>
      <c r="F392" s="55">
        <f>+D392*E392</f>
        <v>27341</v>
      </c>
      <c r="G392" s="57">
        <f>SUM(F391:F392)</f>
        <v>27341</v>
      </c>
      <c r="H392" s="452"/>
    </row>
    <row r="393" spans="1:8" s="2" customFormat="1" ht="15" customHeight="1">
      <c r="A393" s="1076" t="s">
        <v>25</v>
      </c>
      <c r="B393" s="944"/>
      <c r="C393" s="944"/>
      <c r="D393" s="944"/>
      <c r="E393" s="944"/>
      <c r="F393" s="944"/>
      <c r="G393" s="1072"/>
      <c r="H393" s="452"/>
    </row>
    <row r="394" spans="1:8" s="2" customFormat="1" ht="15" customHeight="1">
      <c r="A394" s="1077"/>
      <c r="B394" s="944"/>
      <c r="C394" s="944"/>
      <c r="D394" s="944"/>
      <c r="E394" s="944"/>
      <c r="F394" s="944"/>
      <c r="G394" s="62">
        <f>G392+G389+G385+G379</f>
        <v>108383.592</v>
      </c>
      <c r="H394" s="452"/>
    </row>
    <row r="395" spans="1:8" ht="15">
      <c r="H395" s="452"/>
    </row>
    <row r="396" spans="1:8" s="2" customFormat="1" ht="15.75" customHeight="1">
      <c r="A396" s="970" t="s">
        <v>1</v>
      </c>
      <c r="B396" s="957"/>
      <c r="C396" s="953" t="s">
        <v>0</v>
      </c>
      <c r="D396" s="953"/>
      <c r="E396" s="953"/>
      <c r="F396" s="953"/>
      <c r="G396" s="1103"/>
      <c r="H396" s="452"/>
    </row>
    <row r="397" spans="1:8" s="2" customFormat="1" ht="69.75" customHeight="1">
      <c r="A397" s="971"/>
      <c r="B397" s="957"/>
      <c r="C397" s="953"/>
      <c r="D397" s="953"/>
      <c r="E397" s="953"/>
      <c r="F397" s="953"/>
      <c r="G397" s="1103"/>
    </row>
    <row r="398" spans="1:8" s="2" customFormat="1" ht="15.75" customHeight="1">
      <c r="A398" s="971"/>
      <c r="B398" s="957"/>
      <c r="C398" s="956"/>
      <c r="D398" s="957"/>
      <c r="E398" s="957"/>
      <c r="F398" s="957"/>
      <c r="G398" s="958"/>
    </row>
    <row r="399" spans="1:8" s="2" customFormat="1" ht="15.75" customHeight="1">
      <c r="A399" s="971"/>
      <c r="B399" s="957"/>
      <c r="C399" s="959" t="s">
        <v>2</v>
      </c>
      <c r="D399" s="957"/>
      <c r="E399" s="957"/>
      <c r="F399" s="23" t="s">
        <v>3</v>
      </c>
      <c r="G399" s="24" t="s">
        <v>4</v>
      </c>
    </row>
    <row r="400" spans="1:8" s="2" customFormat="1" ht="73.5" customHeight="1">
      <c r="A400" s="1089" t="s">
        <v>1997</v>
      </c>
      <c r="B400" s="944"/>
      <c r="C400" s="980" t="s">
        <v>1998</v>
      </c>
      <c r="D400" s="944"/>
      <c r="E400" s="944"/>
      <c r="F400" s="54" t="s">
        <v>1620</v>
      </c>
      <c r="G400" s="52">
        <v>12</v>
      </c>
    </row>
    <row r="401" spans="1:7" s="2" customFormat="1" ht="15.75" customHeight="1">
      <c r="A401" s="1071" t="s">
        <v>5</v>
      </c>
      <c r="B401" s="944"/>
      <c r="C401" s="944"/>
      <c r="D401" s="944"/>
      <c r="E401" s="944"/>
      <c r="F401" s="944"/>
      <c r="G401" s="1072"/>
    </row>
    <row r="402" spans="1:7" s="2" customFormat="1" ht="15.75" customHeight="1">
      <c r="A402" s="1074" t="s">
        <v>2</v>
      </c>
      <c r="B402" s="944"/>
      <c r="C402" s="53" t="s">
        <v>3</v>
      </c>
      <c r="D402" s="53" t="s">
        <v>4</v>
      </c>
      <c r="E402" s="53" t="s">
        <v>6</v>
      </c>
      <c r="F402" s="53" t="s">
        <v>7</v>
      </c>
      <c r="G402" s="1075" t="s">
        <v>8</v>
      </c>
    </row>
    <row r="403" spans="1:7" s="2" customFormat="1" ht="15.75" customHeight="1">
      <c r="A403" s="947" t="s">
        <v>167</v>
      </c>
      <c r="B403" s="980"/>
      <c r="C403" s="51" t="s">
        <v>3</v>
      </c>
      <c r="D403" s="54">
        <v>0.05</v>
      </c>
      <c r="E403" s="17">
        <f>+G420</f>
        <v>27341</v>
      </c>
      <c r="F403" s="55">
        <f>D403*E403</f>
        <v>1367.0500000000002</v>
      </c>
      <c r="G403" s="1072"/>
    </row>
    <row r="404" spans="1:7" s="2" customFormat="1" ht="15.75" customHeight="1">
      <c r="A404" s="947"/>
      <c r="B404" s="944"/>
      <c r="C404" s="51"/>
      <c r="D404" s="54"/>
      <c r="E404" s="17"/>
      <c r="F404" s="55">
        <f>D404*E404</f>
        <v>0</v>
      </c>
      <c r="G404" s="1072"/>
    </row>
    <row r="405" spans="1:7" s="2" customFormat="1" ht="15.75" customHeight="1">
      <c r="A405" s="947"/>
      <c r="B405" s="980"/>
      <c r="C405" s="141"/>
      <c r="D405" s="16"/>
      <c r="E405" s="143"/>
      <c r="F405" s="55">
        <f>D405*E405</f>
        <v>0</v>
      </c>
      <c r="G405" s="1072"/>
    </row>
    <row r="406" spans="1:7" s="2" customFormat="1" ht="15.75" customHeight="1">
      <c r="A406" s="947"/>
      <c r="B406" s="944"/>
      <c r="C406" s="51"/>
      <c r="D406" s="54"/>
      <c r="E406" s="17"/>
      <c r="F406" s="55">
        <f>D406*E406</f>
        <v>0</v>
      </c>
      <c r="G406" s="1072"/>
    </row>
    <row r="407" spans="1:7" s="2" customFormat="1" ht="15.75" customHeight="1">
      <c r="A407" s="1079"/>
      <c r="B407" s="944"/>
      <c r="C407" s="56"/>
      <c r="D407" s="56"/>
      <c r="E407" s="56"/>
      <c r="F407" s="55"/>
      <c r="G407" s="57">
        <f>SUM(F402:F407)</f>
        <v>1367.0500000000002</v>
      </c>
    </row>
    <row r="408" spans="1:7" s="2" customFormat="1" ht="15" customHeight="1">
      <c r="A408" s="1071" t="s">
        <v>10</v>
      </c>
      <c r="B408" s="944"/>
      <c r="C408" s="944"/>
      <c r="D408" s="944"/>
      <c r="E408" s="944"/>
      <c r="F408" s="944"/>
      <c r="G408" s="1072"/>
    </row>
    <row r="409" spans="1:7" s="2" customFormat="1" ht="15" customHeight="1">
      <c r="A409" s="1074" t="s">
        <v>2</v>
      </c>
      <c r="B409" s="944"/>
      <c r="C409" s="53" t="s">
        <v>3</v>
      </c>
      <c r="D409" s="53" t="s">
        <v>4</v>
      </c>
      <c r="E409" s="53" t="s">
        <v>6</v>
      </c>
      <c r="F409" s="53" t="s">
        <v>11</v>
      </c>
      <c r="G409" s="1075" t="s">
        <v>8</v>
      </c>
    </row>
    <row r="410" spans="1:7" s="2" customFormat="1" ht="15" customHeight="1">
      <c r="A410" s="947" t="str">
        <f>'INSUMOS '!$B$410</f>
        <v>ACCESORIOS REGULADOR HUMCAR R7</v>
      </c>
      <c r="B410" s="944"/>
      <c r="C410" s="16" t="s">
        <v>998</v>
      </c>
      <c r="D410" s="54">
        <v>0.54</v>
      </c>
      <c r="E410" s="17">
        <f>'INSUMOS '!$E$410</f>
        <v>24541.200000000001</v>
      </c>
      <c r="F410" s="55">
        <f>D410*E410</f>
        <v>13252.248000000001</v>
      </c>
      <c r="G410" s="1072"/>
    </row>
    <row r="411" spans="1:7" s="2" customFormat="1" ht="15" customHeight="1">
      <c r="A411" s="947" t="str">
        <f>'INSUMOS '!$B$411</f>
        <v>REGULADOR Y MANOMETRO RED DE GAS</v>
      </c>
      <c r="B411" s="944"/>
      <c r="C411" s="16" t="s">
        <v>998</v>
      </c>
      <c r="D411" s="54">
        <v>1</v>
      </c>
      <c r="E411" s="17">
        <f>'INSUMOS '!$E$411</f>
        <v>70440</v>
      </c>
      <c r="F411" s="55">
        <f>D411*E411</f>
        <v>70440</v>
      </c>
      <c r="G411" s="1072"/>
    </row>
    <row r="412" spans="1:7" s="2" customFormat="1" ht="15" customHeight="1">
      <c r="A412" s="947"/>
      <c r="B412" s="944"/>
      <c r="C412" s="16"/>
      <c r="D412" s="54"/>
      <c r="E412" s="17"/>
      <c r="F412" s="55">
        <f>D412*E412</f>
        <v>0</v>
      </c>
      <c r="G412" s="1072"/>
    </row>
    <row r="413" spans="1:7" s="2" customFormat="1" ht="15" customHeight="1">
      <c r="A413" s="947"/>
      <c r="B413" s="944"/>
      <c r="C413" s="16"/>
      <c r="D413" s="58"/>
      <c r="E413" s="17"/>
      <c r="F413" s="55"/>
      <c r="G413" s="57">
        <f>SUM(F409:F413)</f>
        <v>83692.248000000007</v>
      </c>
    </row>
    <row r="414" spans="1:7" s="2" customFormat="1" ht="15" customHeight="1">
      <c r="A414" s="1071" t="s">
        <v>15</v>
      </c>
      <c r="B414" s="944"/>
      <c r="C414" s="944"/>
      <c r="D414" s="944"/>
      <c r="E414" s="944"/>
      <c r="F414" s="944"/>
      <c r="G414" s="1072"/>
    </row>
    <row r="415" spans="1:7" s="2" customFormat="1" ht="15" customHeight="1">
      <c r="A415" s="1074" t="s">
        <v>2</v>
      </c>
      <c r="B415" s="944"/>
      <c r="C415" s="53" t="s">
        <v>3</v>
      </c>
      <c r="D415" s="53" t="s">
        <v>4</v>
      </c>
      <c r="E415" s="53" t="s">
        <v>6</v>
      </c>
      <c r="F415" s="53" t="s">
        <v>11</v>
      </c>
      <c r="G415" s="1075" t="s">
        <v>8</v>
      </c>
    </row>
    <row r="416" spans="1:7" s="2" customFormat="1" ht="15" customHeight="1">
      <c r="A416" s="943" t="s">
        <v>173</v>
      </c>
      <c r="B416" s="944"/>
      <c r="C416" s="16" t="s">
        <v>3</v>
      </c>
      <c r="D416" s="54">
        <v>3.5000000000000003E-2</v>
      </c>
      <c r="E416" s="17">
        <f>+G413</f>
        <v>83692.248000000007</v>
      </c>
      <c r="F416" s="55">
        <f>E416*D416</f>
        <v>2929.2286800000006</v>
      </c>
      <c r="G416" s="1072"/>
    </row>
    <row r="417" spans="1:7" s="2" customFormat="1" ht="15" customHeight="1">
      <c r="A417" s="59"/>
      <c r="B417" s="60"/>
      <c r="C417" s="60"/>
      <c r="D417" s="60"/>
      <c r="E417" s="60"/>
      <c r="F417" s="60"/>
      <c r="G417" s="57">
        <f>SUM(F416:F417)</f>
        <v>2929.2286800000006</v>
      </c>
    </row>
    <row r="418" spans="1:7" s="2" customFormat="1" ht="15" customHeight="1">
      <c r="A418" s="1071" t="s">
        <v>19</v>
      </c>
      <c r="B418" s="944"/>
      <c r="C418" s="944"/>
      <c r="D418" s="944"/>
      <c r="E418" s="944"/>
      <c r="F418" s="944"/>
      <c r="G418" s="1072"/>
    </row>
    <row r="419" spans="1:7" s="2" customFormat="1" ht="15" customHeight="1">
      <c r="A419" s="1074" t="s">
        <v>2</v>
      </c>
      <c r="B419" s="944"/>
      <c r="C419" s="53" t="s">
        <v>3</v>
      </c>
      <c r="D419" s="53" t="s">
        <v>4</v>
      </c>
      <c r="E419" s="53" t="s">
        <v>6</v>
      </c>
      <c r="F419" s="53" t="s">
        <v>11</v>
      </c>
      <c r="G419" s="456" t="s">
        <v>8</v>
      </c>
    </row>
    <row r="420" spans="1:7" s="2" customFormat="1" ht="15.75" customHeight="1">
      <c r="A420" s="978" t="str">
        <f>SALARIOS!$A$69</f>
        <v>CUADRILLA BB INSTALACIONES 1:1</v>
      </c>
      <c r="B420" s="979"/>
      <c r="C420" s="13" t="s">
        <v>1245</v>
      </c>
      <c r="D420" s="32">
        <v>1</v>
      </c>
      <c r="E420" s="13">
        <f>SALARIOS!$C$69</f>
        <v>27341</v>
      </c>
      <c r="F420" s="55">
        <f>+D420*E420</f>
        <v>27341</v>
      </c>
      <c r="G420" s="57">
        <f>SUM(F419:F420)</f>
        <v>27341</v>
      </c>
    </row>
    <row r="421" spans="1:7" s="2" customFormat="1" ht="15" customHeight="1">
      <c r="A421" s="1076" t="s">
        <v>25</v>
      </c>
      <c r="B421" s="944"/>
      <c r="C421" s="944"/>
      <c r="D421" s="944"/>
      <c r="E421" s="944"/>
      <c r="F421" s="944"/>
      <c r="G421" s="1072"/>
    </row>
    <row r="422" spans="1:7" s="2" customFormat="1" ht="15" customHeight="1">
      <c r="A422" s="1077"/>
      <c r="B422" s="944"/>
      <c r="C422" s="944"/>
      <c r="D422" s="944"/>
      <c r="E422" s="944"/>
      <c r="F422" s="944"/>
      <c r="G422" s="62">
        <f>G420+G417+G413+G407</f>
        <v>115329.52668000001</v>
      </c>
    </row>
    <row r="424" spans="1:7" s="2" customFormat="1" ht="15.75" customHeight="1">
      <c r="A424" s="970" t="s">
        <v>1</v>
      </c>
      <c r="B424" s="957"/>
      <c r="C424" s="953" t="s">
        <v>0</v>
      </c>
      <c r="D424" s="953"/>
      <c r="E424" s="953"/>
      <c r="F424" s="953"/>
      <c r="G424" s="1103"/>
    </row>
    <row r="425" spans="1:7" s="2" customFormat="1" ht="69.75" customHeight="1">
      <c r="A425" s="971"/>
      <c r="B425" s="957"/>
      <c r="C425" s="953"/>
      <c r="D425" s="953"/>
      <c r="E425" s="953"/>
      <c r="F425" s="953"/>
      <c r="G425" s="1103"/>
    </row>
    <row r="426" spans="1:7" s="2" customFormat="1" ht="15.75" customHeight="1">
      <c r="A426" s="971"/>
      <c r="B426" s="957"/>
      <c r="C426" s="956"/>
      <c r="D426" s="957"/>
      <c r="E426" s="957"/>
      <c r="F426" s="957"/>
      <c r="G426" s="958"/>
    </row>
    <row r="427" spans="1:7" s="2" customFormat="1" ht="15.75" customHeight="1">
      <c r="A427" s="971"/>
      <c r="B427" s="957"/>
      <c r="C427" s="959" t="s">
        <v>2</v>
      </c>
      <c r="D427" s="957"/>
      <c r="E427" s="957"/>
      <c r="F427" s="23" t="s">
        <v>3</v>
      </c>
      <c r="G427" s="24" t="s">
        <v>4</v>
      </c>
    </row>
    <row r="428" spans="1:7" s="2" customFormat="1" ht="73.5" customHeight="1">
      <c r="A428" s="1089" t="s">
        <v>1999</v>
      </c>
      <c r="B428" s="944"/>
      <c r="C428" s="980" t="s">
        <v>2000</v>
      </c>
      <c r="D428" s="944"/>
      <c r="E428" s="944"/>
      <c r="F428" s="54" t="s">
        <v>1620</v>
      </c>
      <c r="G428" s="52">
        <v>1</v>
      </c>
    </row>
    <row r="429" spans="1:7" s="2" customFormat="1" ht="15.75" customHeight="1">
      <c r="A429" s="1071" t="s">
        <v>5</v>
      </c>
      <c r="B429" s="944"/>
      <c r="C429" s="944"/>
      <c r="D429" s="944"/>
      <c r="E429" s="944"/>
      <c r="F429" s="944"/>
      <c r="G429" s="1072"/>
    </row>
    <row r="430" spans="1:7" s="2" customFormat="1" ht="15.75" customHeight="1">
      <c r="A430" s="1074" t="s">
        <v>2</v>
      </c>
      <c r="B430" s="944"/>
      <c r="C430" s="53" t="s">
        <v>3</v>
      </c>
      <c r="D430" s="53" t="s">
        <v>4</v>
      </c>
      <c r="E430" s="53" t="s">
        <v>6</v>
      </c>
      <c r="F430" s="53" t="s">
        <v>7</v>
      </c>
      <c r="G430" s="1075" t="s">
        <v>8</v>
      </c>
    </row>
    <row r="431" spans="1:7" s="2" customFormat="1" ht="15.75" customHeight="1">
      <c r="A431" s="947" t="s">
        <v>167</v>
      </c>
      <c r="B431" s="980"/>
      <c r="C431" s="51" t="s">
        <v>3</v>
      </c>
      <c r="D431" s="54">
        <v>0.05</v>
      </c>
      <c r="E431" s="17">
        <f>+G450</f>
        <v>54682</v>
      </c>
      <c r="F431" s="55">
        <f>D431*E431</f>
        <v>2734.1000000000004</v>
      </c>
      <c r="G431" s="1072"/>
    </row>
    <row r="432" spans="1:7" s="2" customFormat="1" ht="15.75" customHeight="1">
      <c r="A432" s="947"/>
      <c r="B432" s="944"/>
      <c r="C432" s="51"/>
      <c r="D432" s="54"/>
      <c r="E432" s="17"/>
      <c r="F432" s="55">
        <f>D432*E432</f>
        <v>0</v>
      </c>
      <c r="G432" s="1072"/>
    </row>
    <row r="433" spans="1:7" s="2" customFormat="1" ht="15.75" customHeight="1">
      <c r="A433" s="947"/>
      <c r="B433" s="980"/>
      <c r="C433" s="141"/>
      <c r="D433" s="16"/>
      <c r="E433" s="143"/>
      <c r="F433" s="55">
        <f>D433*E433</f>
        <v>0</v>
      </c>
      <c r="G433" s="1072"/>
    </row>
    <row r="434" spans="1:7" s="2" customFormat="1" ht="15.75" customHeight="1">
      <c r="A434" s="947"/>
      <c r="B434" s="944"/>
      <c r="C434" s="51"/>
      <c r="D434" s="54"/>
      <c r="E434" s="17"/>
      <c r="F434" s="55">
        <f>D434*E434</f>
        <v>0</v>
      </c>
      <c r="G434" s="1072"/>
    </row>
    <row r="435" spans="1:7" s="2" customFormat="1" ht="15.75" customHeight="1">
      <c r="A435" s="1079"/>
      <c r="B435" s="944"/>
      <c r="C435" s="56"/>
      <c r="D435" s="56"/>
      <c r="E435" s="56"/>
      <c r="F435" s="55"/>
      <c r="G435" s="57">
        <f>SUM(F430:F435)</f>
        <v>2734.1000000000004</v>
      </c>
    </row>
    <row r="436" spans="1:7" s="2" customFormat="1" ht="15" customHeight="1">
      <c r="A436" s="1071" t="s">
        <v>10</v>
      </c>
      <c r="B436" s="944"/>
      <c r="C436" s="944"/>
      <c r="D436" s="944"/>
      <c r="E436" s="944"/>
      <c r="F436" s="944"/>
      <c r="G436" s="1072"/>
    </row>
    <row r="437" spans="1:7" s="2" customFormat="1" ht="15" customHeight="1">
      <c r="A437" s="1074" t="s">
        <v>2</v>
      </c>
      <c r="B437" s="944"/>
      <c r="C437" s="53" t="s">
        <v>3</v>
      </c>
      <c r="D437" s="53" t="s">
        <v>4</v>
      </c>
      <c r="E437" s="53" t="s">
        <v>6</v>
      </c>
      <c r="F437" s="53" t="s">
        <v>11</v>
      </c>
      <c r="G437" s="1075" t="s">
        <v>8</v>
      </c>
    </row>
    <row r="438" spans="1:7" s="2" customFormat="1" ht="15" customHeight="1">
      <c r="A438" s="947" t="str">
        <f>'INSUMOS '!$B$412</f>
        <v>SUMINISTRO GABINETE GAS</v>
      </c>
      <c r="B438" s="944"/>
      <c r="C438" s="16" t="s">
        <v>998</v>
      </c>
      <c r="D438" s="54">
        <v>1</v>
      </c>
      <c r="E438" s="17">
        <f>'INSUMOS '!$E$412</f>
        <v>536000</v>
      </c>
      <c r="F438" s="55">
        <f>D438*E438</f>
        <v>536000</v>
      </c>
      <c r="G438" s="1072"/>
    </row>
    <row r="439" spans="1:7" s="2" customFormat="1" ht="15" customHeight="1">
      <c r="A439" s="947" t="str">
        <f>'INSUMOS '!$B$413</f>
        <v>REGULADOR SEGUNDA ETAPA</v>
      </c>
      <c r="B439" s="944"/>
      <c r="C439" s="16" t="s">
        <v>998</v>
      </c>
      <c r="D439" s="54">
        <v>1</v>
      </c>
      <c r="E439" s="17">
        <f>'INSUMOS '!$E$413</f>
        <v>1800000</v>
      </c>
      <c r="F439" s="55">
        <f>D439*E439</f>
        <v>1800000</v>
      </c>
      <c r="G439" s="1072"/>
    </row>
    <row r="440" spans="1:7" s="2" customFormat="1" ht="15" customHeight="1">
      <c r="A440" s="947" t="str">
        <f>'INSUMOS '!$B$414</f>
        <v>ACCESORIOS REGULADOR HUMCAR R7</v>
      </c>
      <c r="B440" s="944"/>
      <c r="C440" s="16" t="s">
        <v>998</v>
      </c>
      <c r="D440" s="54">
        <v>1</v>
      </c>
      <c r="E440" s="17">
        <f>'INSUMOS '!$E$414</f>
        <v>24541.200000000001</v>
      </c>
      <c r="F440" s="55">
        <f>D440*E440</f>
        <v>24541.200000000001</v>
      </c>
      <c r="G440" s="1072"/>
    </row>
    <row r="441" spans="1:7" s="2" customFormat="1" ht="15" customHeight="1">
      <c r="A441" s="947" t="str">
        <f>'INSUMOS '!$B$415</f>
        <v>MEDIDOR DE GAS</v>
      </c>
      <c r="B441" s="944"/>
      <c r="C441" s="16" t="s">
        <v>998</v>
      </c>
      <c r="D441" s="54">
        <v>1</v>
      </c>
      <c r="E441" s="17">
        <f>'INSUMOS '!$E$415</f>
        <v>1018500</v>
      </c>
      <c r="F441" s="55">
        <f>D441*E441</f>
        <v>1018500</v>
      </c>
      <c r="G441" s="1072"/>
    </row>
    <row r="442" spans="1:7" s="2" customFormat="1" ht="15" customHeight="1">
      <c r="A442" s="947" t="str">
        <f>'INSUMOS '!$B$416</f>
        <v>LOTAI GAS</v>
      </c>
      <c r="B442" s="944"/>
      <c r="C442" s="16" t="s">
        <v>998</v>
      </c>
      <c r="D442" s="54">
        <v>1</v>
      </c>
      <c r="E442" s="17">
        <f>'INSUMOS '!$E$416</f>
        <v>10140</v>
      </c>
      <c r="F442" s="55">
        <f>D442*E442</f>
        <v>10140</v>
      </c>
      <c r="G442" s="1072"/>
    </row>
    <row r="443" spans="1:7" s="2" customFormat="1" ht="15" customHeight="1">
      <c r="A443" s="947"/>
      <c r="B443" s="944"/>
      <c r="C443" s="16"/>
      <c r="D443" s="58"/>
      <c r="E443" s="17"/>
      <c r="F443" s="55"/>
      <c r="G443" s="57">
        <f>SUM(F437:F443)</f>
        <v>3389181.2</v>
      </c>
    </row>
    <row r="444" spans="1:7" s="2" customFormat="1" ht="15" customHeight="1">
      <c r="A444" s="1071" t="s">
        <v>15</v>
      </c>
      <c r="B444" s="944"/>
      <c r="C444" s="944"/>
      <c r="D444" s="944"/>
      <c r="E444" s="944"/>
      <c r="F444" s="944"/>
      <c r="G444" s="1072"/>
    </row>
    <row r="445" spans="1:7" s="2" customFormat="1" ht="15" customHeight="1">
      <c r="A445" s="1074" t="s">
        <v>2</v>
      </c>
      <c r="B445" s="944"/>
      <c r="C445" s="53" t="s">
        <v>3</v>
      </c>
      <c r="D445" s="53" t="s">
        <v>4</v>
      </c>
      <c r="E445" s="53" t="s">
        <v>6</v>
      </c>
      <c r="F445" s="53" t="s">
        <v>11</v>
      </c>
      <c r="G445" s="1075" t="s">
        <v>8</v>
      </c>
    </row>
    <row r="446" spans="1:7" s="2" customFormat="1" ht="15" customHeight="1">
      <c r="A446" s="943" t="s">
        <v>173</v>
      </c>
      <c r="B446" s="944"/>
      <c r="C446" s="16" t="s">
        <v>3</v>
      </c>
      <c r="D446" s="54">
        <v>3.5000000000000003E-2</v>
      </c>
      <c r="E446" s="17">
        <f>+G443</f>
        <v>3389181.2</v>
      </c>
      <c r="F446" s="55">
        <f>E446*D446</f>
        <v>118621.34200000002</v>
      </c>
      <c r="G446" s="1072"/>
    </row>
    <row r="447" spans="1:7" s="2" customFormat="1" ht="15" customHeight="1">
      <c r="A447" s="59"/>
      <c r="B447" s="60"/>
      <c r="C447" s="60"/>
      <c r="D447" s="60"/>
      <c r="E447" s="60"/>
      <c r="F447" s="60"/>
      <c r="G447" s="57">
        <f>SUM(F446:F447)</f>
        <v>118621.34200000002</v>
      </c>
    </row>
    <row r="448" spans="1:7" s="2" customFormat="1" ht="15" customHeight="1">
      <c r="A448" s="1071" t="s">
        <v>19</v>
      </c>
      <c r="B448" s="944"/>
      <c r="C448" s="944"/>
      <c r="D448" s="944"/>
      <c r="E448" s="944"/>
      <c r="F448" s="944"/>
      <c r="G448" s="1072"/>
    </row>
    <row r="449" spans="1:7" s="2" customFormat="1" ht="15" customHeight="1">
      <c r="A449" s="1074" t="s">
        <v>2</v>
      </c>
      <c r="B449" s="944"/>
      <c r="C449" s="53" t="s">
        <v>3</v>
      </c>
      <c r="D449" s="53" t="s">
        <v>4</v>
      </c>
      <c r="E449" s="53" t="s">
        <v>6</v>
      </c>
      <c r="F449" s="53" t="s">
        <v>11</v>
      </c>
      <c r="G449" s="456" t="s">
        <v>8</v>
      </c>
    </row>
    <row r="450" spans="1:7" s="2" customFormat="1" ht="15.75" customHeight="1">
      <c r="A450" s="978" t="str">
        <f>SALARIOS!$A$69</f>
        <v>CUADRILLA BB INSTALACIONES 1:1</v>
      </c>
      <c r="B450" s="979"/>
      <c r="C450" s="13" t="s">
        <v>1245</v>
      </c>
      <c r="D450" s="32">
        <v>2</v>
      </c>
      <c r="E450" s="13">
        <f>SALARIOS!$C$69</f>
        <v>27341</v>
      </c>
      <c r="F450" s="55">
        <f>+D450*E450</f>
        <v>54682</v>
      </c>
      <c r="G450" s="57">
        <f>SUM(F449:F450)</f>
        <v>54682</v>
      </c>
    </row>
    <row r="451" spans="1:7" s="2" customFormat="1" ht="15" customHeight="1">
      <c r="A451" s="1076" t="s">
        <v>25</v>
      </c>
      <c r="B451" s="944"/>
      <c r="C451" s="944"/>
      <c r="D451" s="944"/>
      <c r="E451" s="944"/>
      <c r="F451" s="944"/>
      <c r="G451" s="1072"/>
    </row>
    <row r="452" spans="1:7" s="2" customFormat="1" ht="15" customHeight="1">
      <c r="A452" s="1077"/>
      <c r="B452" s="944"/>
      <c r="C452" s="944"/>
      <c r="D452" s="944"/>
      <c r="E452" s="944"/>
      <c r="F452" s="944"/>
      <c r="G452" s="62">
        <f>G450+G447+G443+G435</f>
        <v>3565218.6420000005</v>
      </c>
    </row>
    <row r="454" spans="1:7" s="2" customFormat="1" ht="15.75" customHeight="1">
      <c r="A454" s="970" t="s">
        <v>1</v>
      </c>
      <c r="B454" s="957"/>
      <c r="C454" s="953" t="s">
        <v>0</v>
      </c>
      <c r="D454" s="953"/>
      <c r="E454" s="953"/>
      <c r="F454" s="953"/>
      <c r="G454" s="1103"/>
    </row>
    <row r="455" spans="1:7" s="2" customFormat="1" ht="69.75" customHeight="1">
      <c r="A455" s="971"/>
      <c r="B455" s="957"/>
      <c r="C455" s="953"/>
      <c r="D455" s="953"/>
      <c r="E455" s="953"/>
      <c r="F455" s="953"/>
      <c r="G455" s="1103"/>
    </row>
    <row r="456" spans="1:7" s="2" customFormat="1" ht="15.75" customHeight="1">
      <c r="A456" s="971"/>
      <c r="B456" s="957"/>
      <c r="C456" s="956"/>
      <c r="D456" s="957"/>
      <c r="E456" s="957"/>
      <c r="F456" s="957"/>
      <c r="G456" s="958"/>
    </row>
    <row r="457" spans="1:7" s="2" customFormat="1" ht="15.75" customHeight="1">
      <c r="A457" s="971"/>
      <c r="B457" s="957"/>
      <c r="C457" s="959" t="s">
        <v>2</v>
      </c>
      <c r="D457" s="957"/>
      <c r="E457" s="957"/>
      <c r="F457" s="23" t="s">
        <v>3</v>
      </c>
      <c r="G457" s="24" t="s">
        <v>4</v>
      </c>
    </row>
    <row r="458" spans="1:7" s="2" customFormat="1" ht="73.5" customHeight="1">
      <c r="A458" s="1089" t="s">
        <v>2001</v>
      </c>
      <c r="B458" s="944"/>
      <c r="C458" s="980" t="s">
        <v>2002</v>
      </c>
      <c r="D458" s="944"/>
      <c r="E458" s="944"/>
      <c r="F458" s="54" t="s">
        <v>1620</v>
      </c>
      <c r="G458" s="52">
        <v>1</v>
      </c>
    </row>
    <row r="459" spans="1:7" s="2" customFormat="1" ht="15.75" customHeight="1">
      <c r="A459" s="1071" t="s">
        <v>5</v>
      </c>
      <c r="B459" s="944"/>
      <c r="C459" s="944"/>
      <c r="D459" s="944"/>
      <c r="E459" s="944"/>
      <c r="F459" s="944"/>
      <c r="G459" s="1072"/>
    </row>
    <row r="460" spans="1:7" s="2" customFormat="1" ht="15.75" customHeight="1">
      <c r="A460" s="1074" t="s">
        <v>2</v>
      </c>
      <c r="B460" s="944"/>
      <c r="C460" s="53" t="s">
        <v>3</v>
      </c>
      <c r="D460" s="53" t="s">
        <v>4</v>
      </c>
      <c r="E460" s="53" t="s">
        <v>6</v>
      </c>
      <c r="F460" s="53" t="s">
        <v>7</v>
      </c>
      <c r="G460" s="1075" t="s">
        <v>8</v>
      </c>
    </row>
    <row r="461" spans="1:7" s="2" customFormat="1" ht="15.75" customHeight="1">
      <c r="A461" s="947" t="s">
        <v>167</v>
      </c>
      <c r="B461" s="980"/>
      <c r="C461" s="51" t="s">
        <v>3</v>
      </c>
      <c r="D461" s="54">
        <v>0.05</v>
      </c>
      <c r="E461" s="17">
        <f>+G480</f>
        <v>54682</v>
      </c>
      <c r="F461" s="55">
        <f>D461*E461</f>
        <v>2734.1000000000004</v>
      </c>
      <c r="G461" s="1072"/>
    </row>
    <row r="462" spans="1:7" s="2" customFormat="1" ht="15.75" customHeight="1">
      <c r="A462" s="947"/>
      <c r="B462" s="944"/>
      <c r="C462" s="51"/>
      <c r="D462" s="54"/>
      <c r="E462" s="17"/>
      <c r="F462" s="55">
        <f>D462*E462</f>
        <v>0</v>
      </c>
      <c r="G462" s="1072"/>
    </row>
    <row r="463" spans="1:7" s="2" customFormat="1" ht="15.75" customHeight="1">
      <c r="A463" s="947"/>
      <c r="B463" s="980"/>
      <c r="C463" s="141"/>
      <c r="D463" s="16"/>
      <c r="E463" s="143"/>
      <c r="F463" s="55">
        <f>D463*E463</f>
        <v>0</v>
      </c>
      <c r="G463" s="1072"/>
    </row>
    <row r="464" spans="1:7" s="2" customFormat="1" ht="15.75" customHeight="1">
      <c r="A464" s="947"/>
      <c r="B464" s="944"/>
      <c r="C464" s="51"/>
      <c r="D464" s="54"/>
      <c r="E464" s="17"/>
      <c r="F464" s="55">
        <f>D464*E464</f>
        <v>0</v>
      </c>
      <c r="G464" s="1072"/>
    </row>
    <row r="465" spans="1:7" s="2" customFormat="1" ht="15.75" customHeight="1">
      <c r="A465" s="1079"/>
      <c r="B465" s="944"/>
      <c r="C465" s="56"/>
      <c r="D465" s="56"/>
      <c r="E465" s="56"/>
      <c r="F465" s="55"/>
      <c r="G465" s="57">
        <f>SUM(F460:F465)</f>
        <v>2734.1000000000004</v>
      </c>
    </row>
    <row r="466" spans="1:7" s="2" customFormat="1" ht="15" customHeight="1">
      <c r="A466" s="1071" t="s">
        <v>10</v>
      </c>
      <c r="B466" s="944"/>
      <c r="C466" s="944"/>
      <c r="D466" s="944"/>
      <c r="E466" s="944"/>
      <c r="F466" s="944"/>
      <c r="G466" s="1072"/>
    </row>
    <row r="467" spans="1:7" s="2" customFormat="1" ht="15" customHeight="1">
      <c r="A467" s="1074" t="s">
        <v>2</v>
      </c>
      <c r="B467" s="944"/>
      <c r="C467" s="53" t="s">
        <v>3</v>
      </c>
      <c r="D467" s="53" t="s">
        <v>4</v>
      </c>
      <c r="E467" s="53" t="s">
        <v>6</v>
      </c>
      <c r="F467" s="53" t="s">
        <v>11</v>
      </c>
      <c r="G467" s="1075" t="s">
        <v>8</v>
      </c>
    </row>
    <row r="468" spans="1:7" s="2" customFormat="1" ht="15" customHeight="1">
      <c r="A468" s="947" t="str">
        <f>'INSUMOS '!$B$412</f>
        <v>SUMINISTRO GABINETE GAS</v>
      </c>
      <c r="B468" s="944"/>
      <c r="C468" s="51" t="s">
        <v>998</v>
      </c>
      <c r="D468" s="54">
        <v>1</v>
      </c>
      <c r="E468" s="17">
        <f>'INSUMOS '!$E$412</f>
        <v>536000</v>
      </c>
      <c r="F468" s="55">
        <f>D468*E468</f>
        <v>536000</v>
      </c>
      <c r="G468" s="1075"/>
    </row>
    <row r="469" spans="1:7" s="2" customFormat="1" ht="15" customHeight="1">
      <c r="A469" s="947" t="str">
        <f>'INSUMOS '!$B$413</f>
        <v>REGULADOR SEGUNDA ETAPA</v>
      </c>
      <c r="B469" s="944"/>
      <c r="C469" s="51" t="s">
        <v>998</v>
      </c>
      <c r="D469" s="54">
        <v>1</v>
      </c>
      <c r="E469" s="17">
        <f>'INSUMOS '!$E$413</f>
        <v>1800000</v>
      </c>
      <c r="F469" s="55">
        <f>D469*E469</f>
        <v>1800000</v>
      </c>
      <c r="G469" s="1075"/>
    </row>
    <row r="470" spans="1:7" s="2" customFormat="1" ht="15" customHeight="1">
      <c r="A470" s="947" t="str">
        <f>'INSUMOS '!$B$414</f>
        <v>ACCESORIOS REGULADOR HUMCAR R7</v>
      </c>
      <c r="B470" s="944"/>
      <c r="C470" s="51" t="s">
        <v>998</v>
      </c>
      <c r="D470" s="54">
        <v>1</v>
      </c>
      <c r="E470" s="17">
        <f>'INSUMOS '!$E$414</f>
        <v>24541.200000000001</v>
      </c>
      <c r="F470" s="55">
        <f>D470*E470</f>
        <v>24541.200000000001</v>
      </c>
      <c r="G470" s="1072"/>
    </row>
    <row r="471" spans="1:7" s="2" customFormat="1" ht="15" customHeight="1">
      <c r="A471" s="947" t="str">
        <f>'INSUMOS '!$B$416</f>
        <v>LOTAI GAS</v>
      </c>
      <c r="B471" s="944"/>
      <c r="C471" s="51" t="s">
        <v>998</v>
      </c>
      <c r="D471" s="54">
        <v>1.23</v>
      </c>
      <c r="E471" s="17">
        <f>'INSUMOS '!$E$416</f>
        <v>10140</v>
      </c>
      <c r="F471" s="55">
        <f>D471*E471</f>
        <v>12472.2</v>
      </c>
      <c r="G471" s="1072"/>
    </row>
    <row r="472" spans="1:7" s="2" customFormat="1" ht="15" customHeight="1">
      <c r="A472" s="947" t="str">
        <f>'INSUMOS '!$B$417</f>
        <v>MEDIDOR GAS 61.6</v>
      </c>
      <c r="B472" s="944"/>
      <c r="C472" s="51" t="s">
        <v>998</v>
      </c>
      <c r="D472" s="54">
        <v>1</v>
      </c>
      <c r="E472" s="17">
        <f>'INSUMOS '!$E$417</f>
        <v>1579822.4</v>
      </c>
      <c r="F472" s="55">
        <f>D472*E472</f>
        <v>1579822.4</v>
      </c>
      <c r="G472" s="1072"/>
    </row>
    <row r="473" spans="1:7" s="2" customFormat="1" ht="15" customHeight="1">
      <c r="A473" s="947"/>
      <c r="B473" s="944"/>
      <c r="C473" s="16"/>
      <c r="D473" s="58"/>
      <c r="E473" s="17"/>
      <c r="F473" s="55"/>
      <c r="G473" s="57">
        <f>SUM(F467:F473)</f>
        <v>3952835.8000000003</v>
      </c>
    </row>
    <row r="474" spans="1:7" s="2" customFormat="1" ht="15" customHeight="1">
      <c r="A474" s="1071" t="s">
        <v>15</v>
      </c>
      <c r="B474" s="944"/>
      <c r="C474" s="944"/>
      <c r="D474" s="944"/>
      <c r="E474" s="944"/>
      <c r="F474" s="944"/>
      <c r="G474" s="1072"/>
    </row>
    <row r="475" spans="1:7" s="2" customFormat="1" ht="15" customHeight="1">
      <c r="A475" s="1074" t="s">
        <v>2</v>
      </c>
      <c r="B475" s="944"/>
      <c r="C475" s="53" t="s">
        <v>3</v>
      </c>
      <c r="D475" s="53" t="s">
        <v>4</v>
      </c>
      <c r="E475" s="53" t="s">
        <v>6</v>
      </c>
      <c r="F475" s="53" t="s">
        <v>11</v>
      </c>
      <c r="G475" s="1075" t="s">
        <v>8</v>
      </c>
    </row>
    <row r="476" spans="1:7" s="2" customFormat="1" ht="15" customHeight="1">
      <c r="A476" s="943" t="s">
        <v>173</v>
      </c>
      <c r="B476" s="944"/>
      <c r="C476" s="16" t="s">
        <v>3</v>
      </c>
      <c r="D476" s="54">
        <v>3.5000000000000003E-2</v>
      </c>
      <c r="E476" s="17">
        <f>+G473</f>
        <v>3952835.8000000003</v>
      </c>
      <c r="F476" s="55">
        <f>E476*D476</f>
        <v>138349.25300000003</v>
      </c>
      <c r="G476" s="1072"/>
    </row>
    <row r="477" spans="1:7" s="2" customFormat="1" ht="15" customHeight="1">
      <c r="A477" s="59"/>
      <c r="B477" s="60"/>
      <c r="C477" s="60"/>
      <c r="D477" s="60"/>
      <c r="E477" s="60"/>
      <c r="F477" s="60"/>
      <c r="G477" s="57">
        <f>SUM(F476:F477)</f>
        <v>138349.25300000003</v>
      </c>
    </row>
    <row r="478" spans="1:7" s="2" customFormat="1" ht="15" customHeight="1">
      <c r="A478" s="1071" t="s">
        <v>19</v>
      </c>
      <c r="B478" s="944"/>
      <c r="C478" s="944"/>
      <c r="D478" s="944"/>
      <c r="E478" s="944"/>
      <c r="F478" s="944"/>
      <c r="G478" s="1072"/>
    </row>
    <row r="479" spans="1:7" s="2" customFormat="1" ht="15" customHeight="1">
      <c r="A479" s="1074" t="s">
        <v>2</v>
      </c>
      <c r="B479" s="944"/>
      <c r="C479" s="53" t="s">
        <v>3</v>
      </c>
      <c r="D479" s="53" t="s">
        <v>4</v>
      </c>
      <c r="E479" s="53" t="s">
        <v>6</v>
      </c>
      <c r="F479" s="53" t="s">
        <v>11</v>
      </c>
      <c r="G479" s="456" t="s">
        <v>8</v>
      </c>
    </row>
    <row r="480" spans="1:7" s="2" customFormat="1" ht="15.75" customHeight="1">
      <c r="A480" s="978" t="str">
        <f>SALARIOS!$A$69</f>
        <v>CUADRILLA BB INSTALACIONES 1:1</v>
      </c>
      <c r="B480" s="979"/>
      <c r="C480" s="13" t="s">
        <v>1245</v>
      </c>
      <c r="D480" s="32">
        <v>2</v>
      </c>
      <c r="E480" s="13">
        <f>SALARIOS!$C$69</f>
        <v>27341</v>
      </c>
      <c r="F480" s="55">
        <f>+D480*E480</f>
        <v>54682</v>
      </c>
      <c r="G480" s="57">
        <f>SUM(F479:F480)</f>
        <v>54682</v>
      </c>
    </row>
    <row r="481" spans="1:7" s="2" customFormat="1" ht="15" customHeight="1">
      <c r="A481" s="1076" t="s">
        <v>25</v>
      </c>
      <c r="B481" s="944"/>
      <c r="C481" s="944"/>
      <c r="D481" s="944"/>
      <c r="E481" s="944"/>
      <c r="F481" s="944"/>
      <c r="G481" s="1072"/>
    </row>
    <row r="482" spans="1:7" s="2" customFormat="1" ht="15" customHeight="1">
      <c r="A482" s="1077"/>
      <c r="B482" s="944"/>
      <c r="C482" s="944"/>
      <c r="D482" s="944"/>
      <c r="E482" s="944"/>
      <c r="F482" s="944"/>
      <c r="G482" s="62">
        <f>G480+G477+G473+G465</f>
        <v>4148601.1530000004</v>
      </c>
    </row>
    <row r="484" spans="1:7" s="2" customFormat="1" ht="15.75" customHeight="1">
      <c r="A484" s="970" t="s">
        <v>1</v>
      </c>
      <c r="B484" s="957"/>
      <c r="C484" s="953" t="s">
        <v>0</v>
      </c>
      <c r="D484" s="953"/>
      <c r="E484" s="953"/>
      <c r="F484" s="953"/>
      <c r="G484" s="1103"/>
    </row>
    <row r="485" spans="1:7" s="2" customFormat="1" ht="69.75" customHeight="1">
      <c r="A485" s="971"/>
      <c r="B485" s="957"/>
      <c r="C485" s="953"/>
      <c r="D485" s="953"/>
      <c r="E485" s="953"/>
      <c r="F485" s="953"/>
      <c r="G485" s="1103"/>
    </row>
    <row r="486" spans="1:7" s="2" customFormat="1" ht="15.75" customHeight="1">
      <c r="A486" s="971"/>
      <c r="B486" s="957"/>
      <c r="C486" s="956"/>
      <c r="D486" s="957"/>
      <c r="E486" s="957"/>
      <c r="F486" s="957"/>
      <c r="G486" s="958"/>
    </row>
    <row r="487" spans="1:7" s="2" customFormat="1" ht="15.75" customHeight="1">
      <c r="A487" s="971"/>
      <c r="B487" s="957"/>
      <c r="C487" s="959" t="s">
        <v>2</v>
      </c>
      <c r="D487" s="957"/>
      <c r="E487" s="957"/>
      <c r="F487" s="23" t="s">
        <v>3</v>
      </c>
      <c r="G487" s="24" t="s">
        <v>4</v>
      </c>
    </row>
    <row r="488" spans="1:7" s="2" customFormat="1" ht="73.5" customHeight="1">
      <c r="A488" s="1089" t="s">
        <v>2003</v>
      </c>
      <c r="B488" s="944"/>
      <c r="C488" s="980" t="s">
        <v>2004</v>
      </c>
      <c r="D488" s="944"/>
      <c r="E488" s="944"/>
      <c r="F488" s="54" t="s">
        <v>1620</v>
      </c>
      <c r="G488" s="52">
        <v>8</v>
      </c>
    </row>
    <row r="489" spans="1:7" s="2" customFormat="1" ht="15.75" customHeight="1">
      <c r="A489" s="1071" t="s">
        <v>5</v>
      </c>
      <c r="B489" s="944"/>
      <c r="C489" s="944"/>
      <c r="D489" s="944"/>
      <c r="E489" s="944"/>
      <c r="F489" s="944"/>
      <c r="G489" s="1072"/>
    </row>
    <row r="490" spans="1:7" s="2" customFormat="1" ht="15.75" customHeight="1">
      <c r="A490" s="1074" t="s">
        <v>2</v>
      </c>
      <c r="B490" s="944"/>
      <c r="C490" s="53" t="s">
        <v>3</v>
      </c>
      <c r="D490" s="53" t="s">
        <v>4</v>
      </c>
      <c r="E490" s="53" t="s">
        <v>6</v>
      </c>
      <c r="F490" s="53" t="s">
        <v>7</v>
      </c>
      <c r="G490" s="1075" t="s">
        <v>8</v>
      </c>
    </row>
    <row r="491" spans="1:7" s="2" customFormat="1" ht="15.75" customHeight="1">
      <c r="A491" s="947" t="s">
        <v>167</v>
      </c>
      <c r="B491" s="980"/>
      <c r="C491" s="51" t="s">
        <v>3</v>
      </c>
      <c r="D491" s="54">
        <v>0.05</v>
      </c>
      <c r="E491" s="17">
        <f>+G508</f>
        <v>27341</v>
      </c>
      <c r="F491" s="55">
        <f>D491*E491</f>
        <v>1367.0500000000002</v>
      </c>
      <c r="G491" s="1072"/>
    </row>
    <row r="492" spans="1:7" s="2" customFormat="1" ht="15.75" customHeight="1">
      <c r="A492" s="947"/>
      <c r="B492" s="944"/>
      <c r="C492" s="51"/>
      <c r="D492" s="54"/>
      <c r="E492" s="17"/>
      <c r="F492" s="55">
        <f>D492*E492</f>
        <v>0</v>
      </c>
      <c r="G492" s="1072"/>
    </row>
    <row r="493" spans="1:7" s="2" customFormat="1" ht="15.75" customHeight="1">
      <c r="A493" s="947"/>
      <c r="B493" s="980"/>
      <c r="C493" s="141"/>
      <c r="D493" s="16"/>
      <c r="E493" s="143"/>
      <c r="F493" s="55">
        <f>D493*E493</f>
        <v>0</v>
      </c>
      <c r="G493" s="1072"/>
    </row>
    <row r="494" spans="1:7" s="2" customFormat="1" ht="15.75" customHeight="1">
      <c r="A494" s="947"/>
      <c r="B494" s="944"/>
      <c r="C494" s="51"/>
      <c r="D494" s="54"/>
      <c r="E494" s="17"/>
      <c r="F494" s="55">
        <f>D494*E494</f>
        <v>0</v>
      </c>
      <c r="G494" s="1072"/>
    </row>
    <row r="495" spans="1:7" s="2" customFormat="1" ht="15.75" customHeight="1">
      <c r="A495" s="1079"/>
      <c r="B495" s="944"/>
      <c r="C495" s="56"/>
      <c r="D495" s="56"/>
      <c r="E495" s="56"/>
      <c r="F495" s="55"/>
      <c r="G495" s="57">
        <f>SUM(F490:F495)</f>
        <v>1367.0500000000002</v>
      </c>
    </row>
    <row r="496" spans="1:7" s="2" customFormat="1" ht="15" customHeight="1">
      <c r="A496" s="1071" t="s">
        <v>10</v>
      </c>
      <c r="B496" s="944"/>
      <c r="C496" s="944"/>
      <c r="D496" s="944"/>
      <c r="E496" s="944"/>
      <c r="F496" s="944"/>
      <c r="G496" s="1072"/>
    </row>
    <row r="497" spans="1:7" s="2" customFormat="1" ht="15" customHeight="1">
      <c r="A497" s="1074" t="s">
        <v>2</v>
      </c>
      <c r="B497" s="944"/>
      <c r="C497" s="53" t="s">
        <v>3</v>
      </c>
      <c r="D497" s="53" t="s">
        <v>4</v>
      </c>
      <c r="E497" s="53" t="s">
        <v>6</v>
      </c>
      <c r="F497" s="53" t="s">
        <v>11</v>
      </c>
      <c r="G497" s="1075" t="s">
        <v>8</v>
      </c>
    </row>
    <row r="498" spans="1:7" s="2" customFormat="1" ht="15" customHeight="1">
      <c r="A498" s="947" t="str">
        <f>'INSUMOS '!$B$418</f>
        <v>REJILLA VENTILACION 0.6*0.45</v>
      </c>
      <c r="B498" s="944"/>
      <c r="C498" s="16" t="s">
        <v>998</v>
      </c>
      <c r="D498" s="54">
        <v>1</v>
      </c>
      <c r="E498" s="17">
        <f>'INSUMOS '!$E$418</f>
        <v>76080</v>
      </c>
      <c r="F498" s="55">
        <f>D498*E498</f>
        <v>76080</v>
      </c>
      <c r="G498" s="1072"/>
    </row>
    <row r="499" spans="1:7" s="2" customFormat="1" ht="15" customHeight="1">
      <c r="A499" s="947"/>
      <c r="B499" s="944"/>
      <c r="C499" s="51"/>
      <c r="D499" s="54"/>
      <c r="E499" s="17"/>
      <c r="F499" s="55">
        <f>D499*E499</f>
        <v>0</v>
      </c>
      <c r="G499" s="1072"/>
    </row>
    <row r="500" spans="1:7" s="2" customFormat="1" ht="15" customHeight="1">
      <c r="A500" s="947"/>
      <c r="B500" s="944"/>
      <c r="C500" s="16"/>
      <c r="D500" s="54"/>
      <c r="E500" s="17"/>
      <c r="F500" s="55">
        <f>D500*E500</f>
        <v>0</v>
      </c>
      <c r="G500" s="1072"/>
    </row>
    <row r="501" spans="1:7" s="2" customFormat="1" ht="15" customHeight="1">
      <c r="A501" s="947"/>
      <c r="B501" s="944"/>
      <c r="C501" s="16"/>
      <c r="D501" s="58"/>
      <c r="E501" s="17"/>
      <c r="F501" s="55"/>
      <c r="G501" s="57">
        <f>SUM(F497:F501)</f>
        <v>76080</v>
      </c>
    </row>
    <row r="502" spans="1:7" s="2" customFormat="1" ht="15" customHeight="1">
      <c r="A502" s="1071" t="s">
        <v>15</v>
      </c>
      <c r="B502" s="944"/>
      <c r="C502" s="944"/>
      <c r="D502" s="944"/>
      <c r="E502" s="944"/>
      <c r="F502" s="944"/>
      <c r="G502" s="1072"/>
    </row>
    <row r="503" spans="1:7" s="2" customFormat="1" ht="15" customHeight="1">
      <c r="A503" s="1074" t="s">
        <v>2</v>
      </c>
      <c r="B503" s="944"/>
      <c r="C503" s="53" t="s">
        <v>3</v>
      </c>
      <c r="D503" s="53" t="s">
        <v>4</v>
      </c>
      <c r="E503" s="53" t="s">
        <v>6</v>
      </c>
      <c r="F503" s="53" t="s">
        <v>11</v>
      </c>
      <c r="G503" s="1075" t="s">
        <v>8</v>
      </c>
    </row>
    <row r="504" spans="1:7" s="2" customFormat="1" ht="15" customHeight="1">
      <c r="A504" s="943" t="s">
        <v>173</v>
      </c>
      <c r="B504" s="944"/>
      <c r="C504" s="16" t="s">
        <v>3</v>
      </c>
      <c r="D504" s="54">
        <v>3.5000000000000003E-2</v>
      </c>
      <c r="E504" s="17">
        <f>+G501</f>
        <v>76080</v>
      </c>
      <c r="F504" s="55">
        <f>E504*D504</f>
        <v>2662.8</v>
      </c>
      <c r="G504" s="1072"/>
    </row>
    <row r="505" spans="1:7" s="2" customFormat="1" ht="15" customHeight="1">
      <c r="A505" s="59"/>
      <c r="B505" s="60"/>
      <c r="C505" s="60"/>
      <c r="D505" s="60"/>
      <c r="E505" s="60"/>
      <c r="F505" s="60"/>
      <c r="G505" s="57">
        <f>SUM(F504:F505)</f>
        <v>2662.8</v>
      </c>
    </row>
    <row r="506" spans="1:7" s="2" customFormat="1" ht="15" customHeight="1">
      <c r="A506" s="1071" t="s">
        <v>19</v>
      </c>
      <c r="B506" s="944"/>
      <c r="C506" s="944"/>
      <c r="D506" s="944"/>
      <c r="E506" s="944"/>
      <c r="F506" s="944"/>
      <c r="G506" s="1072"/>
    </row>
    <row r="507" spans="1:7" s="2" customFormat="1" ht="15" customHeight="1">
      <c r="A507" s="1074" t="s">
        <v>2</v>
      </c>
      <c r="B507" s="944"/>
      <c r="C507" s="53" t="s">
        <v>3</v>
      </c>
      <c r="D507" s="53" t="s">
        <v>4</v>
      </c>
      <c r="E507" s="53" t="s">
        <v>6</v>
      </c>
      <c r="F507" s="53" t="s">
        <v>11</v>
      </c>
      <c r="G507" s="456" t="s">
        <v>8</v>
      </c>
    </row>
    <row r="508" spans="1:7" s="2" customFormat="1" ht="15.75" customHeight="1">
      <c r="A508" s="978" t="str">
        <f>SALARIOS!$A$69</f>
        <v>CUADRILLA BB INSTALACIONES 1:1</v>
      </c>
      <c r="B508" s="979"/>
      <c r="C508" s="13" t="s">
        <v>1245</v>
      </c>
      <c r="D508" s="32">
        <v>1</v>
      </c>
      <c r="E508" s="13">
        <f>SALARIOS!$C$69</f>
        <v>27341</v>
      </c>
      <c r="F508" s="55">
        <f>+D508*E508</f>
        <v>27341</v>
      </c>
      <c r="G508" s="57">
        <f>SUM(F507:F508)</f>
        <v>27341</v>
      </c>
    </row>
    <row r="509" spans="1:7" s="2" customFormat="1" ht="15" customHeight="1">
      <c r="A509" s="1076" t="s">
        <v>25</v>
      </c>
      <c r="B509" s="944"/>
      <c r="C509" s="944"/>
      <c r="D509" s="944"/>
      <c r="E509" s="944"/>
      <c r="F509" s="944"/>
      <c r="G509" s="1072"/>
    </row>
    <row r="510" spans="1:7" s="2" customFormat="1" ht="15" customHeight="1">
      <c r="A510" s="1077"/>
      <c r="B510" s="944"/>
      <c r="C510" s="944"/>
      <c r="D510" s="944"/>
      <c r="E510" s="944"/>
      <c r="F510" s="944"/>
      <c r="G510" s="62">
        <f>G508+G505+G501+G495</f>
        <v>107450.85</v>
      </c>
    </row>
    <row r="512" spans="1:7" s="2" customFormat="1" ht="15.75" customHeight="1">
      <c r="A512" s="970" t="s">
        <v>1</v>
      </c>
      <c r="B512" s="957"/>
      <c r="C512" s="953" t="s">
        <v>0</v>
      </c>
      <c r="D512" s="953"/>
      <c r="E512" s="953"/>
      <c r="F512" s="953"/>
      <c r="G512" s="1103"/>
    </row>
    <row r="513" spans="1:7" s="2" customFormat="1" ht="69.75" customHeight="1">
      <c r="A513" s="971"/>
      <c r="B513" s="957"/>
      <c r="C513" s="953"/>
      <c r="D513" s="953"/>
      <c r="E513" s="953"/>
      <c r="F513" s="953"/>
      <c r="G513" s="1103"/>
    </row>
    <row r="514" spans="1:7" s="2" customFormat="1" ht="15.75" customHeight="1">
      <c r="A514" s="971"/>
      <c r="B514" s="957"/>
      <c r="C514" s="956"/>
      <c r="D514" s="957"/>
      <c r="E514" s="957"/>
      <c r="F514" s="957"/>
      <c r="G514" s="958"/>
    </row>
    <row r="515" spans="1:7" s="2" customFormat="1" ht="15.75" customHeight="1">
      <c r="A515" s="971"/>
      <c r="B515" s="957"/>
      <c r="C515" s="959" t="s">
        <v>2</v>
      </c>
      <c r="D515" s="957"/>
      <c r="E515" s="957"/>
      <c r="F515" s="23" t="s">
        <v>3</v>
      </c>
      <c r="G515" s="24" t="s">
        <v>4</v>
      </c>
    </row>
    <row r="516" spans="1:7" s="2" customFormat="1" ht="73.5" customHeight="1">
      <c r="A516" s="1089" t="s">
        <v>2007</v>
      </c>
      <c r="B516" s="944"/>
      <c r="C516" s="980" t="s">
        <v>2008</v>
      </c>
      <c r="D516" s="944"/>
      <c r="E516" s="944"/>
      <c r="F516" s="54" t="s">
        <v>39</v>
      </c>
      <c r="G516" s="52">
        <v>39.6</v>
      </c>
    </row>
    <row r="517" spans="1:7" s="2" customFormat="1" ht="15.75" customHeight="1">
      <c r="A517" s="1071" t="s">
        <v>5</v>
      </c>
      <c r="B517" s="944"/>
      <c r="C517" s="944"/>
      <c r="D517" s="944"/>
      <c r="E517" s="944"/>
      <c r="F517" s="944"/>
      <c r="G517" s="1072"/>
    </row>
    <row r="518" spans="1:7" s="2" customFormat="1" ht="15.75" customHeight="1">
      <c r="A518" s="1074" t="s">
        <v>2</v>
      </c>
      <c r="B518" s="944"/>
      <c r="C518" s="53" t="s">
        <v>3</v>
      </c>
      <c r="D518" s="53" t="s">
        <v>4</v>
      </c>
      <c r="E518" s="53" t="s">
        <v>6</v>
      </c>
      <c r="F518" s="53" t="s">
        <v>7</v>
      </c>
      <c r="G518" s="1075" t="s">
        <v>8</v>
      </c>
    </row>
    <row r="519" spans="1:7" s="2" customFormat="1" ht="15.75" customHeight="1">
      <c r="A519" s="947" t="s">
        <v>167</v>
      </c>
      <c r="B519" s="980"/>
      <c r="C519" s="51" t="s">
        <v>3</v>
      </c>
      <c r="D519" s="54">
        <v>0.05</v>
      </c>
      <c r="E519" s="17">
        <f>+G536</f>
        <v>8654.2000000000007</v>
      </c>
      <c r="F519" s="55">
        <f>D519*E519</f>
        <v>432.71000000000004</v>
      </c>
      <c r="G519" s="1072"/>
    </row>
    <row r="520" spans="1:7" s="2" customFormat="1" ht="15.75" customHeight="1">
      <c r="A520" s="947" t="str">
        <f>'MAQUINARIA Y EQUIPOS'!$D$43</f>
        <v>RETROEXCAVADORA EN ORUGAS</v>
      </c>
      <c r="B520" s="944"/>
      <c r="C520" s="51" t="s">
        <v>58</v>
      </c>
      <c r="D520" s="54">
        <v>0.16</v>
      </c>
      <c r="E520" s="17">
        <f>'MAQUINARIA Y EQUIPOS'!$F$43</f>
        <v>140000</v>
      </c>
      <c r="F520" s="55">
        <f>D520*E520</f>
        <v>22400</v>
      </c>
      <c r="G520" s="1072"/>
    </row>
    <row r="521" spans="1:7" s="2" customFormat="1" ht="15.75" customHeight="1">
      <c r="A521" s="947"/>
      <c r="B521" s="980"/>
      <c r="C521" s="141"/>
      <c r="D521" s="16"/>
      <c r="E521" s="143"/>
      <c r="F521" s="55">
        <f>D521*E521</f>
        <v>0</v>
      </c>
      <c r="G521" s="1072"/>
    </row>
    <row r="522" spans="1:7" s="2" customFormat="1" ht="15.75" customHeight="1">
      <c r="A522" s="947"/>
      <c r="B522" s="944"/>
      <c r="C522" s="51"/>
      <c r="D522" s="54"/>
      <c r="E522" s="17"/>
      <c r="F522" s="55">
        <f>D522*E522</f>
        <v>0</v>
      </c>
      <c r="G522" s="1072"/>
    </row>
    <row r="523" spans="1:7" s="2" customFormat="1" ht="15.75" customHeight="1">
      <c r="A523" s="1079"/>
      <c r="B523" s="944"/>
      <c r="C523" s="56"/>
      <c r="D523" s="56"/>
      <c r="E523" s="56"/>
      <c r="F523" s="55"/>
      <c r="G523" s="57">
        <f>SUM(F518:F523)</f>
        <v>22832.71</v>
      </c>
    </row>
    <row r="524" spans="1:7" s="2" customFormat="1" ht="15" customHeight="1">
      <c r="A524" s="1071" t="s">
        <v>10</v>
      </c>
      <c r="B524" s="944"/>
      <c r="C524" s="944"/>
      <c r="D524" s="944"/>
      <c r="E524" s="944"/>
      <c r="F524" s="944"/>
      <c r="G524" s="1072"/>
    </row>
    <row r="525" spans="1:7" s="2" customFormat="1" ht="15" customHeight="1">
      <c r="A525" s="1074" t="s">
        <v>2</v>
      </c>
      <c r="B525" s="944"/>
      <c r="C525" s="53" t="s">
        <v>3</v>
      </c>
      <c r="D525" s="53" t="s">
        <v>4</v>
      </c>
      <c r="E525" s="53" t="s">
        <v>6</v>
      </c>
      <c r="F525" s="53" t="s">
        <v>11</v>
      </c>
      <c r="G525" s="1075" t="s">
        <v>8</v>
      </c>
    </row>
    <row r="526" spans="1:7" s="2" customFormat="1" ht="15" customHeight="1">
      <c r="A526" s="947"/>
      <c r="B526" s="944"/>
      <c r="C526" s="16"/>
      <c r="D526" s="54"/>
      <c r="E526" s="17"/>
      <c r="F526" s="55">
        <f>D526*E526</f>
        <v>0</v>
      </c>
      <c r="G526" s="1072"/>
    </row>
    <row r="527" spans="1:7" s="2" customFormat="1" ht="15" customHeight="1">
      <c r="A527" s="947"/>
      <c r="B527" s="944"/>
      <c r="C527" s="51"/>
      <c r="D527" s="54"/>
      <c r="E527" s="17"/>
      <c r="F527" s="55">
        <f>D527*E527</f>
        <v>0</v>
      </c>
      <c r="G527" s="1072"/>
    </row>
    <row r="528" spans="1:7" s="2" customFormat="1" ht="15" customHeight="1">
      <c r="A528" s="947"/>
      <c r="B528" s="944"/>
      <c r="C528" s="16"/>
      <c r="D528" s="54"/>
      <c r="E528" s="17"/>
      <c r="F528" s="55">
        <f>D528*E528</f>
        <v>0</v>
      </c>
      <c r="G528" s="1072"/>
    </row>
    <row r="529" spans="1:7" s="2" customFormat="1" ht="15" customHeight="1">
      <c r="A529" s="947"/>
      <c r="B529" s="944"/>
      <c r="C529" s="16"/>
      <c r="D529" s="58"/>
      <c r="E529" s="17"/>
      <c r="F529" s="55"/>
      <c r="G529" s="57">
        <f>SUM(F525:F529)</f>
        <v>0</v>
      </c>
    </row>
    <row r="530" spans="1:7" s="2" customFormat="1" ht="15" customHeight="1">
      <c r="A530" s="1071" t="s">
        <v>15</v>
      </c>
      <c r="B530" s="944"/>
      <c r="C530" s="944"/>
      <c r="D530" s="944"/>
      <c r="E530" s="944"/>
      <c r="F530" s="944"/>
      <c r="G530" s="1072"/>
    </row>
    <row r="531" spans="1:7" s="2" customFormat="1" ht="15" customHeight="1">
      <c r="A531" s="1074" t="s">
        <v>2</v>
      </c>
      <c r="B531" s="944"/>
      <c r="C531" s="53" t="s">
        <v>3</v>
      </c>
      <c r="D531" s="53" t="s">
        <v>4</v>
      </c>
      <c r="E531" s="53" t="s">
        <v>6</v>
      </c>
      <c r="F531" s="53" t="s">
        <v>11</v>
      </c>
      <c r="G531" s="1075" t="s">
        <v>8</v>
      </c>
    </row>
    <row r="532" spans="1:7" s="2" customFormat="1" ht="15" customHeight="1">
      <c r="A532" s="943" t="s">
        <v>2561</v>
      </c>
      <c r="B532" s="944"/>
      <c r="C532" s="16" t="s">
        <v>39</v>
      </c>
      <c r="D532" s="16">
        <v>1.3</v>
      </c>
      <c r="E532" s="17">
        <v>16260</v>
      </c>
      <c r="F532" s="55">
        <f>E532*D532</f>
        <v>21138</v>
      </c>
      <c r="G532" s="1072"/>
    </row>
    <row r="533" spans="1:7" s="2" customFormat="1" ht="15" customHeight="1">
      <c r="A533" s="59"/>
      <c r="B533" s="60"/>
      <c r="C533" s="60"/>
      <c r="D533" s="60"/>
      <c r="E533" s="60"/>
      <c r="F533" s="60"/>
      <c r="G533" s="57">
        <f>SUM(F532:F533)</f>
        <v>21138</v>
      </c>
    </row>
    <row r="534" spans="1:7" s="2" customFormat="1" ht="15" customHeight="1">
      <c r="A534" s="1071" t="s">
        <v>19</v>
      </c>
      <c r="B534" s="944"/>
      <c r="C534" s="944"/>
      <c r="D534" s="944"/>
      <c r="E534" s="944"/>
      <c r="F534" s="944"/>
      <c r="G534" s="1072"/>
    </row>
    <row r="535" spans="1:7" s="2" customFormat="1" ht="15" customHeight="1">
      <c r="A535" s="1074" t="s">
        <v>2</v>
      </c>
      <c r="B535" s="944"/>
      <c r="C535" s="53" t="s">
        <v>3</v>
      </c>
      <c r="D535" s="53" t="s">
        <v>4</v>
      </c>
      <c r="E535" s="53" t="s">
        <v>6</v>
      </c>
      <c r="F535" s="53" t="s">
        <v>11</v>
      </c>
      <c r="G535" s="456" t="s">
        <v>8</v>
      </c>
    </row>
    <row r="536" spans="1:7" s="2" customFormat="1" ht="15.75" customHeight="1">
      <c r="A536" s="978" t="str">
        <f>SALARIOS!$A$63</f>
        <v>CUADRILLA AA ALBAÑILERÍA 1:3</v>
      </c>
      <c r="B536" s="979"/>
      <c r="C536" s="13" t="s">
        <v>1245</v>
      </c>
      <c r="D536" s="32">
        <v>0.2</v>
      </c>
      <c r="E536" s="13">
        <f>SALARIOS!$C$63</f>
        <v>43271</v>
      </c>
      <c r="F536" s="55">
        <f>+D536*E536</f>
        <v>8654.2000000000007</v>
      </c>
      <c r="G536" s="57">
        <f>SUM(F535:F536)</f>
        <v>8654.2000000000007</v>
      </c>
    </row>
    <row r="537" spans="1:7" s="2" customFormat="1" ht="15" customHeight="1">
      <c r="A537" s="1076" t="s">
        <v>25</v>
      </c>
      <c r="B537" s="944"/>
      <c r="C537" s="944"/>
      <c r="D537" s="944"/>
      <c r="E537" s="944"/>
      <c r="F537" s="944"/>
      <c r="G537" s="1072"/>
    </row>
    <row r="538" spans="1:7" s="2" customFormat="1" ht="15" customHeight="1">
      <c r="A538" s="1077"/>
      <c r="B538" s="944"/>
      <c r="C538" s="944"/>
      <c r="D538" s="944"/>
      <c r="E538" s="944"/>
      <c r="F538" s="944"/>
      <c r="G538" s="62">
        <f>G536+G533+G529+G523</f>
        <v>52624.91</v>
      </c>
    </row>
    <row r="540" spans="1:7" s="2" customFormat="1" ht="15.75" customHeight="1">
      <c r="A540" s="970" t="s">
        <v>1</v>
      </c>
      <c r="B540" s="957"/>
      <c r="C540" s="953" t="s">
        <v>0</v>
      </c>
      <c r="D540" s="953"/>
      <c r="E540" s="953"/>
      <c r="F540" s="953"/>
      <c r="G540" s="1103"/>
    </row>
    <row r="541" spans="1:7" s="2" customFormat="1" ht="69.75" customHeight="1">
      <c r="A541" s="971"/>
      <c r="B541" s="957"/>
      <c r="C541" s="953"/>
      <c r="D541" s="953"/>
      <c r="E541" s="953"/>
      <c r="F541" s="953"/>
      <c r="G541" s="1103"/>
    </row>
    <row r="542" spans="1:7" s="2" customFormat="1" ht="15.75" customHeight="1">
      <c r="A542" s="971"/>
      <c r="B542" s="957"/>
      <c r="C542" s="956"/>
      <c r="D542" s="957"/>
      <c r="E542" s="957"/>
      <c r="F542" s="957"/>
      <c r="G542" s="958"/>
    </row>
    <row r="543" spans="1:7" s="2" customFormat="1" ht="15.75" customHeight="1">
      <c r="A543" s="971"/>
      <c r="B543" s="957"/>
      <c r="C543" s="959" t="s">
        <v>2</v>
      </c>
      <c r="D543" s="957"/>
      <c r="E543" s="957"/>
      <c r="F543" s="23" t="s">
        <v>3</v>
      </c>
      <c r="G543" s="24" t="s">
        <v>4</v>
      </c>
    </row>
    <row r="544" spans="1:7" s="2" customFormat="1" ht="73.5" customHeight="1">
      <c r="A544" s="1089" t="s">
        <v>2009</v>
      </c>
      <c r="B544" s="944"/>
      <c r="C544" s="980" t="s">
        <v>2010</v>
      </c>
      <c r="D544" s="944"/>
      <c r="E544" s="944"/>
      <c r="F544" s="54" t="s">
        <v>39</v>
      </c>
      <c r="G544" s="52">
        <v>31.7</v>
      </c>
    </row>
    <row r="545" spans="1:7" s="2" customFormat="1" ht="15.75" customHeight="1">
      <c r="A545" s="1071" t="s">
        <v>5</v>
      </c>
      <c r="B545" s="944"/>
      <c r="C545" s="944"/>
      <c r="D545" s="944"/>
      <c r="E545" s="944"/>
      <c r="F545" s="944"/>
      <c r="G545" s="1072"/>
    </row>
    <row r="546" spans="1:7" s="2" customFormat="1" ht="15.75" customHeight="1">
      <c r="A546" s="1074" t="s">
        <v>2</v>
      </c>
      <c r="B546" s="944"/>
      <c r="C546" s="53" t="s">
        <v>3</v>
      </c>
      <c r="D546" s="53" t="s">
        <v>4</v>
      </c>
      <c r="E546" s="53" t="s">
        <v>6</v>
      </c>
      <c r="F546" s="53" t="s">
        <v>7</v>
      </c>
      <c r="G546" s="1075" t="s">
        <v>8</v>
      </c>
    </row>
    <row r="547" spans="1:7" s="2" customFormat="1" ht="15.75" customHeight="1">
      <c r="A547" s="947" t="s">
        <v>167</v>
      </c>
      <c r="B547" s="980"/>
      <c r="C547" s="51" t="s">
        <v>3</v>
      </c>
      <c r="D547" s="54">
        <v>0.05</v>
      </c>
      <c r="E547" s="17">
        <f>+G564</f>
        <v>29826</v>
      </c>
      <c r="F547" s="55">
        <f>D547*E547</f>
        <v>1491.3000000000002</v>
      </c>
      <c r="G547" s="1072"/>
    </row>
    <row r="548" spans="1:7" s="2" customFormat="1" ht="15.75" customHeight="1">
      <c r="A548" s="947" t="str">
        <f>'MAQUINARIA Y EQUIPOS'!$D$44</f>
        <v>VIBROCOMPACTADOR</v>
      </c>
      <c r="B548" s="944"/>
      <c r="C548" s="51" t="s">
        <v>60</v>
      </c>
      <c r="D548" s="54">
        <v>0.03</v>
      </c>
      <c r="E548" s="17">
        <f>'MAQUINARIA Y EQUIPOS'!$F$44</f>
        <v>75000</v>
      </c>
      <c r="F548" s="55">
        <f>D548*E548</f>
        <v>2250</v>
      </c>
      <c r="G548" s="1072"/>
    </row>
    <row r="549" spans="1:7" s="2" customFormat="1" ht="15.75" customHeight="1">
      <c r="A549" s="947"/>
      <c r="B549" s="980"/>
      <c r="C549" s="141"/>
      <c r="D549" s="16"/>
      <c r="E549" s="143"/>
      <c r="F549" s="55">
        <f>D549*E549</f>
        <v>0</v>
      </c>
      <c r="G549" s="1072"/>
    </row>
    <row r="550" spans="1:7" s="2" customFormat="1" ht="15.75" customHeight="1">
      <c r="A550" s="947"/>
      <c r="B550" s="944"/>
      <c r="C550" s="51"/>
      <c r="D550" s="54"/>
      <c r="E550" s="17"/>
      <c r="F550" s="55">
        <f>D550*E550</f>
        <v>0</v>
      </c>
      <c r="G550" s="1072"/>
    </row>
    <row r="551" spans="1:7" s="2" customFormat="1" ht="15.75" customHeight="1">
      <c r="A551" s="1079"/>
      <c r="B551" s="944"/>
      <c r="C551" s="56"/>
      <c r="D551" s="56"/>
      <c r="E551" s="56"/>
      <c r="F551" s="55"/>
      <c r="G551" s="57">
        <f>SUM(F546:F551)</f>
        <v>3741.3</v>
      </c>
    </row>
    <row r="552" spans="1:7" s="2" customFormat="1" ht="15" customHeight="1">
      <c r="A552" s="1071" t="s">
        <v>10</v>
      </c>
      <c r="B552" s="944"/>
      <c r="C552" s="944"/>
      <c r="D552" s="944"/>
      <c r="E552" s="944"/>
      <c r="F552" s="944"/>
      <c r="G552" s="1072"/>
    </row>
    <row r="553" spans="1:7" s="2" customFormat="1" ht="15" customHeight="1">
      <c r="A553" s="1074" t="s">
        <v>2</v>
      </c>
      <c r="B553" s="944"/>
      <c r="C553" s="53" t="s">
        <v>3</v>
      </c>
      <c r="D553" s="53" t="s">
        <v>4</v>
      </c>
      <c r="E553" s="53" t="s">
        <v>6</v>
      </c>
      <c r="F553" s="53" t="s">
        <v>11</v>
      </c>
      <c r="G553" s="1075" t="s">
        <v>8</v>
      </c>
    </row>
    <row r="554" spans="1:7" s="2" customFormat="1" ht="15" customHeight="1">
      <c r="A554" s="947"/>
      <c r="B554" s="944"/>
      <c r="C554" s="16"/>
      <c r="D554" s="54"/>
      <c r="E554" s="17"/>
      <c r="F554" s="55">
        <f>D554*E554</f>
        <v>0</v>
      </c>
      <c r="G554" s="1072"/>
    </row>
    <row r="555" spans="1:7" s="2" customFormat="1" ht="15" customHeight="1">
      <c r="A555" s="947"/>
      <c r="B555" s="944"/>
      <c r="C555" s="51"/>
      <c r="D555" s="54"/>
      <c r="E555" s="17"/>
      <c r="F555" s="55">
        <f>D555*E555</f>
        <v>0</v>
      </c>
      <c r="G555" s="1072"/>
    </row>
    <row r="556" spans="1:7" s="2" customFormat="1" ht="15" customHeight="1">
      <c r="A556" s="947"/>
      <c r="B556" s="944"/>
      <c r="C556" s="16"/>
      <c r="D556" s="54"/>
      <c r="E556" s="17"/>
      <c r="F556" s="55">
        <f>D556*E556</f>
        <v>0</v>
      </c>
      <c r="G556" s="1072"/>
    </row>
    <row r="557" spans="1:7" s="2" customFormat="1" ht="15" customHeight="1">
      <c r="A557" s="947"/>
      <c r="B557" s="944"/>
      <c r="C557" s="16"/>
      <c r="D557" s="58"/>
      <c r="E557" s="17"/>
      <c r="F557" s="55"/>
      <c r="G557" s="57">
        <f>SUM(F553:F557)</f>
        <v>0</v>
      </c>
    </row>
    <row r="558" spans="1:7" s="2" customFormat="1" ht="15" customHeight="1">
      <c r="A558" s="1071" t="s">
        <v>15</v>
      </c>
      <c r="B558" s="944"/>
      <c r="C558" s="944"/>
      <c r="D558" s="944"/>
      <c r="E558" s="944"/>
      <c r="F558" s="944"/>
      <c r="G558" s="1072"/>
    </row>
    <row r="559" spans="1:7" s="2" customFormat="1" ht="15" customHeight="1">
      <c r="A559" s="1074" t="s">
        <v>2</v>
      </c>
      <c r="B559" s="944"/>
      <c r="C559" s="53" t="s">
        <v>3</v>
      </c>
      <c r="D559" s="53" t="s">
        <v>4</v>
      </c>
      <c r="E559" s="53" t="s">
        <v>6</v>
      </c>
      <c r="F559" s="53" t="s">
        <v>11</v>
      </c>
      <c r="G559" s="1075" t="s">
        <v>8</v>
      </c>
    </row>
    <row r="560" spans="1:7" s="2" customFormat="1" ht="15" customHeight="1">
      <c r="A560" s="943" t="s">
        <v>2561</v>
      </c>
      <c r="B560" s="944"/>
      <c r="C560" s="16" t="s">
        <v>39</v>
      </c>
      <c r="D560" s="16">
        <v>1.2</v>
      </c>
      <c r="E560" s="17">
        <f>'MAQUINARIA Y EQUIPOS'!$F$22</f>
        <v>42000</v>
      </c>
      <c r="F560" s="55">
        <f>E560*D560</f>
        <v>50400</v>
      </c>
      <c r="G560" s="1072"/>
    </row>
    <row r="561" spans="1:7" s="2" customFormat="1" ht="15" customHeight="1">
      <c r="A561" s="59"/>
      <c r="B561" s="60"/>
      <c r="C561" s="60"/>
      <c r="D561" s="60"/>
      <c r="E561" s="60"/>
      <c r="F561" s="60"/>
      <c r="G561" s="57">
        <f>SUM(F560:F561)</f>
        <v>50400</v>
      </c>
    </row>
    <row r="562" spans="1:7" s="2" customFormat="1" ht="15" customHeight="1">
      <c r="A562" s="1071" t="s">
        <v>19</v>
      </c>
      <c r="B562" s="944"/>
      <c r="C562" s="944"/>
      <c r="D562" s="944"/>
      <c r="E562" s="944"/>
      <c r="F562" s="944"/>
      <c r="G562" s="1072"/>
    </row>
    <row r="563" spans="1:7" s="2" customFormat="1" ht="15" customHeight="1">
      <c r="A563" s="1074" t="s">
        <v>2</v>
      </c>
      <c r="B563" s="944"/>
      <c r="C563" s="53" t="s">
        <v>3</v>
      </c>
      <c r="D563" s="53" t="s">
        <v>4</v>
      </c>
      <c r="E563" s="53" t="s">
        <v>6</v>
      </c>
      <c r="F563" s="53" t="s">
        <v>11</v>
      </c>
      <c r="G563" s="456" t="s">
        <v>8</v>
      </c>
    </row>
    <row r="564" spans="1:7" s="2" customFormat="1" ht="15.75" customHeight="1">
      <c r="A564" s="978" t="str">
        <f>SALARIOS!$A$61</f>
        <v>CUADRILLA AA ALBAÑILERÍA 1:1</v>
      </c>
      <c r="B564" s="979"/>
      <c r="C564" s="13" t="s">
        <v>1245</v>
      </c>
      <c r="D564" s="32">
        <v>1.2</v>
      </c>
      <c r="E564" s="13">
        <f>SALARIOS!$C$61</f>
        <v>24855</v>
      </c>
      <c r="F564" s="55">
        <f>+D564*E564</f>
        <v>29826</v>
      </c>
      <c r="G564" s="57">
        <f>SUM(F563:F564)</f>
        <v>29826</v>
      </c>
    </row>
    <row r="565" spans="1:7" s="2" customFormat="1" ht="15" customHeight="1">
      <c r="A565" s="1076" t="s">
        <v>25</v>
      </c>
      <c r="B565" s="944"/>
      <c r="C565" s="944"/>
      <c r="D565" s="944"/>
      <c r="E565" s="944"/>
      <c r="F565" s="944"/>
      <c r="G565" s="1072"/>
    </row>
    <row r="566" spans="1:7" s="2" customFormat="1" ht="15" customHeight="1">
      <c r="A566" s="1077"/>
      <c r="B566" s="944"/>
      <c r="C566" s="944"/>
      <c r="D566" s="944"/>
      <c r="E566" s="944"/>
      <c r="F566" s="944"/>
      <c r="G566" s="62">
        <f>G564+G561+G557+G551</f>
        <v>83967.3</v>
      </c>
    </row>
    <row r="568" spans="1:7" s="2" customFormat="1" ht="15.75" customHeight="1">
      <c r="A568" s="970" t="s">
        <v>1</v>
      </c>
      <c r="B568" s="957"/>
      <c r="C568" s="953" t="s">
        <v>0</v>
      </c>
      <c r="D568" s="953"/>
      <c r="E568" s="953"/>
      <c r="F568" s="953"/>
      <c r="G568" s="1103"/>
    </row>
    <row r="569" spans="1:7" s="2" customFormat="1" ht="69.75" customHeight="1">
      <c r="A569" s="971"/>
      <c r="B569" s="957"/>
      <c r="C569" s="953"/>
      <c r="D569" s="953"/>
      <c r="E569" s="953"/>
      <c r="F569" s="953"/>
      <c r="G569" s="1103"/>
    </row>
    <row r="570" spans="1:7" s="2" customFormat="1" ht="15.75" customHeight="1">
      <c r="A570" s="971"/>
      <c r="B570" s="957"/>
      <c r="C570" s="956"/>
      <c r="D570" s="957"/>
      <c r="E570" s="957"/>
      <c r="F570" s="957"/>
      <c r="G570" s="958"/>
    </row>
    <row r="571" spans="1:7" s="2" customFormat="1" ht="15.75" customHeight="1">
      <c r="A571" s="971"/>
      <c r="B571" s="957"/>
      <c r="C571" s="959" t="s">
        <v>2</v>
      </c>
      <c r="D571" s="957"/>
      <c r="E571" s="957"/>
      <c r="F571" s="23" t="s">
        <v>3</v>
      </c>
      <c r="G571" s="24" t="s">
        <v>4</v>
      </c>
    </row>
    <row r="572" spans="1:7" s="2" customFormat="1" ht="73.5" customHeight="1">
      <c r="A572" s="1089" t="s">
        <v>2011</v>
      </c>
      <c r="B572" s="944"/>
      <c r="C572" s="980" t="s">
        <v>2012</v>
      </c>
      <c r="D572" s="944"/>
      <c r="E572" s="944"/>
      <c r="F572" s="54" t="s">
        <v>39</v>
      </c>
      <c r="G572" s="52">
        <v>7.9</v>
      </c>
    </row>
    <row r="573" spans="1:7" s="2" customFormat="1" ht="15.75" customHeight="1">
      <c r="A573" s="1071" t="s">
        <v>5</v>
      </c>
      <c r="B573" s="944"/>
      <c r="C573" s="944"/>
      <c r="D573" s="944"/>
      <c r="E573" s="944"/>
      <c r="F573" s="944"/>
      <c r="G573" s="1072"/>
    </row>
    <row r="574" spans="1:7" s="2" customFormat="1" ht="15.75" customHeight="1">
      <c r="A574" s="1074" t="s">
        <v>2</v>
      </c>
      <c r="B574" s="944"/>
      <c r="C574" s="53" t="s">
        <v>3</v>
      </c>
      <c r="D574" s="53" t="s">
        <v>4</v>
      </c>
      <c r="E574" s="53" t="s">
        <v>6</v>
      </c>
      <c r="F574" s="53" t="s">
        <v>7</v>
      </c>
      <c r="G574" s="1075" t="s">
        <v>8</v>
      </c>
    </row>
    <row r="575" spans="1:7" s="2" customFormat="1" ht="15.75" customHeight="1">
      <c r="A575" s="947" t="s">
        <v>167</v>
      </c>
      <c r="B575" s="980"/>
      <c r="C575" s="51" t="s">
        <v>3</v>
      </c>
      <c r="D575" s="54">
        <v>0.05</v>
      </c>
      <c r="E575" s="17">
        <f>+G593</f>
        <v>40875.599999999999</v>
      </c>
      <c r="F575" s="55">
        <f>D575*E575</f>
        <v>2043.78</v>
      </c>
      <c r="G575" s="1072"/>
    </row>
    <row r="576" spans="1:7" s="2" customFormat="1" ht="15.75" customHeight="1">
      <c r="A576" s="947" t="str">
        <f>'MAQUINARIA Y EQUIPOS'!$D$44</f>
        <v>VIBROCOMPACTADOR</v>
      </c>
      <c r="B576" s="944"/>
      <c r="C576" s="51" t="s">
        <v>60</v>
      </c>
      <c r="D576" s="54">
        <v>0.03</v>
      </c>
      <c r="E576" s="17">
        <f>'MAQUINARIA Y EQUIPOS'!$F$44</f>
        <v>75000</v>
      </c>
      <c r="F576" s="55">
        <f>D576*E576</f>
        <v>2250</v>
      </c>
      <c r="G576" s="1072"/>
    </row>
    <row r="577" spans="1:7" s="2" customFormat="1" ht="15.75" customHeight="1">
      <c r="A577" s="947"/>
      <c r="B577" s="980"/>
      <c r="C577" s="141"/>
      <c r="D577" s="16"/>
      <c r="E577" s="143"/>
      <c r="F577" s="55">
        <f>D577*E577</f>
        <v>0</v>
      </c>
      <c r="G577" s="1072"/>
    </row>
    <row r="578" spans="1:7" s="2" customFormat="1" ht="15.75" customHeight="1">
      <c r="A578" s="947"/>
      <c r="B578" s="944"/>
      <c r="C578" s="51"/>
      <c r="D578" s="54"/>
      <c r="E578" s="17"/>
      <c r="F578" s="55">
        <f>D578*E578</f>
        <v>0</v>
      </c>
      <c r="G578" s="1072"/>
    </row>
    <row r="579" spans="1:7" s="2" customFormat="1" ht="15.75" customHeight="1">
      <c r="A579" s="1079"/>
      <c r="B579" s="944"/>
      <c r="C579" s="56"/>
      <c r="D579" s="56"/>
      <c r="E579" s="56"/>
      <c r="F579" s="55"/>
      <c r="G579" s="57">
        <f>SUM(F574:F579)</f>
        <v>4293.78</v>
      </c>
    </row>
    <row r="580" spans="1:7" s="2" customFormat="1" ht="15" customHeight="1">
      <c r="A580" s="1071" t="s">
        <v>10</v>
      </c>
      <c r="B580" s="944"/>
      <c r="C580" s="944"/>
      <c r="D580" s="944"/>
      <c r="E580" s="944"/>
      <c r="F580" s="944"/>
      <c r="G580" s="1072"/>
    </row>
    <row r="581" spans="1:7" s="2" customFormat="1" ht="15" customHeight="1">
      <c r="A581" s="1074" t="s">
        <v>2</v>
      </c>
      <c r="B581" s="944"/>
      <c r="C581" s="53" t="s">
        <v>3</v>
      </c>
      <c r="D581" s="53" t="s">
        <v>4</v>
      </c>
      <c r="E581" s="53" t="s">
        <v>6</v>
      </c>
      <c r="F581" s="53" t="s">
        <v>11</v>
      </c>
      <c r="G581" s="1075" t="s">
        <v>8</v>
      </c>
    </row>
    <row r="582" spans="1:7" s="2" customFormat="1" ht="15" customHeight="1">
      <c r="A582" s="947" t="s">
        <v>2112</v>
      </c>
      <c r="B582" s="944"/>
      <c r="C582" s="16" t="s">
        <v>39</v>
      </c>
      <c r="D582" s="54">
        <v>1.2</v>
      </c>
      <c r="E582" s="17">
        <f>'INSUMOS '!$E$512</f>
        <v>45000</v>
      </c>
      <c r="F582" s="55">
        <f>D582*E582</f>
        <v>54000</v>
      </c>
      <c r="G582" s="1072"/>
    </row>
    <row r="583" spans="1:7" s="2" customFormat="1" ht="15" customHeight="1">
      <c r="A583" s="947"/>
      <c r="B583" s="944"/>
      <c r="C583" s="51"/>
      <c r="D583" s="54"/>
      <c r="E583" s="17"/>
      <c r="F583" s="55">
        <f>D583*E583</f>
        <v>0</v>
      </c>
      <c r="G583" s="1072"/>
    </row>
    <row r="584" spans="1:7" s="2" customFormat="1" ht="15" customHeight="1">
      <c r="A584" s="947"/>
      <c r="B584" s="944"/>
      <c r="C584" s="16"/>
      <c r="D584" s="54"/>
      <c r="E584" s="17"/>
      <c r="F584" s="55">
        <f>D584*E584</f>
        <v>0</v>
      </c>
      <c r="G584" s="1072"/>
    </row>
    <row r="585" spans="1:7" s="2" customFormat="1" ht="15" customHeight="1">
      <c r="A585" s="947"/>
      <c r="B585" s="944"/>
      <c r="C585" s="16"/>
      <c r="D585" s="58"/>
      <c r="E585" s="17"/>
      <c r="F585" s="55"/>
      <c r="G585" s="57">
        <f>SUM(F581:F585)</f>
        <v>54000</v>
      </c>
    </row>
    <row r="586" spans="1:7" s="2" customFormat="1" ht="15" customHeight="1">
      <c r="A586" s="1071" t="s">
        <v>15</v>
      </c>
      <c r="B586" s="944"/>
      <c r="C586" s="944"/>
      <c r="D586" s="944"/>
      <c r="E586" s="944"/>
      <c r="F586" s="944"/>
      <c r="G586" s="1072"/>
    </row>
    <row r="587" spans="1:7" s="2" customFormat="1" ht="15" customHeight="1">
      <c r="A587" s="1074" t="s">
        <v>2</v>
      </c>
      <c r="B587" s="944"/>
      <c r="C587" s="53" t="s">
        <v>3</v>
      </c>
      <c r="D587" s="53" t="s">
        <v>4</v>
      </c>
      <c r="E587" s="53" t="s">
        <v>6</v>
      </c>
      <c r="F587" s="53" t="s">
        <v>11</v>
      </c>
      <c r="G587" s="1075" t="s">
        <v>8</v>
      </c>
    </row>
    <row r="588" spans="1:7" s="2" customFormat="1" ht="15" customHeight="1">
      <c r="A588" s="943" t="s">
        <v>104</v>
      </c>
      <c r="B588" s="944"/>
      <c r="C588" s="16" t="s">
        <v>3</v>
      </c>
      <c r="D588" s="54">
        <v>3.5000000000000003E-2</v>
      </c>
      <c r="E588" s="17">
        <f>+G585</f>
        <v>54000</v>
      </c>
      <c r="F588" s="55">
        <f>E588*D588</f>
        <v>1890.0000000000002</v>
      </c>
      <c r="G588" s="1072"/>
    </row>
    <row r="589" spans="1:7" s="2" customFormat="1" ht="15" customHeight="1">
      <c r="A589" s="943" t="s">
        <v>2660</v>
      </c>
      <c r="B589" s="944"/>
      <c r="C589" s="16" t="s">
        <v>39</v>
      </c>
      <c r="D589" s="54">
        <v>1.2</v>
      </c>
      <c r="E589" s="17">
        <f>'MAQUINARIA Y EQUIPOS'!$F$22</f>
        <v>42000</v>
      </c>
      <c r="F589" s="55">
        <f>E589*D589</f>
        <v>50400</v>
      </c>
      <c r="G589" s="123"/>
    </row>
    <row r="590" spans="1:7" s="2" customFormat="1" ht="15" customHeight="1">
      <c r="A590" s="59"/>
      <c r="B590" s="60"/>
      <c r="C590" s="60"/>
      <c r="D590" s="60"/>
      <c r="E590" s="60"/>
      <c r="F590" s="60"/>
      <c r="G590" s="57">
        <f>SUM(F588:F590)</f>
        <v>52290</v>
      </c>
    </row>
    <row r="591" spans="1:7" s="2" customFormat="1" ht="15" customHeight="1">
      <c r="A591" s="1071" t="s">
        <v>19</v>
      </c>
      <c r="B591" s="944"/>
      <c r="C591" s="944"/>
      <c r="D591" s="944"/>
      <c r="E591" s="944"/>
      <c r="F591" s="944"/>
      <c r="G591" s="1072"/>
    </row>
    <row r="592" spans="1:7" s="2" customFormat="1" ht="15" customHeight="1">
      <c r="A592" s="1074" t="s">
        <v>2</v>
      </c>
      <c r="B592" s="944"/>
      <c r="C592" s="53" t="s">
        <v>3</v>
      </c>
      <c r="D592" s="53" t="s">
        <v>4</v>
      </c>
      <c r="E592" s="53" t="s">
        <v>6</v>
      </c>
      <c r="F592" s="53" t="s">
        <v>11</v>
      </c>
      <c r="G592" s="456" t="s">
        <v>8</v>
      </c>
    </row>
    <row r="593" spans="1:7" s="2" customFormat="1" ht="15.75" customHeight="1">
      <c r="A593" s="978" t="str">
        <f>SALARIOS!$A$62</f>
        <v>CUADRILLA AA ALBAÑILERÍA 1:2</v>
      </c>
      <c r="B593" s="979"/>
      <c r="C593" s="13" t="s">
        <v>1245</v>
      </c>
      <c r="D593" s="32">
        <v>1.2</v>
      </c>
      <c r="E593" s="13">
        <f>SALARIOS!$C$62</f>
        <v>34063</v>
      </c>
      <c r="F593" s="55">
        <f>+D593*E593</f>
        <v>40875.599999999999</v>
      </c>
      <c r="G593" s="57">
        <f>SUM(F592:F593)</f>
        <v>40875.599999999999</v>
      </c>
    </row>
    <row r="594" spans="1:7" s="2" customFormat="1" ht="15.75" customHeight="1">
      <c r="A594" s="1076" t="s">
        <v>25</v>
      </c>
      <c r="B594" s="944"/>
      <c r="C594" s="944"/>
      <c r="D594" s="944"/>
      <c r="E594" s="944"/>
      <c r="F594" s="944"/>
      <c r="G594" s="1072"/>
    </row>
    <row r="595" spans="1:7" s="2" customFormat="1" ht="15" customHeight="1">
      <c r="A595" s="1077"/>
      <c r="B595" s="944"/>
      <c r="C595" s="944"/>
      <c r="D595" s="944"/>
      <c r="E595" s="944"/>
      <c r="F595" s="944"/>
      <c r="G595" s="62">
        <f>G593+G590+G585+G579</f>
        <v>151459.38</v>
      </c>
    </row>
    <row r="597" spans="1:7" s="2" customFormat="1" ht="15.75" customHeight="1">
      <c r="A597" s="970" t="s">
        <v>1</v>
      </c>
      <c r="B597" s="957"/>
      <c r="C597" s="953" t="s">
        <v>0</v>
      </c>
      <c r="D597" s="953"/>
      <c r="E597" s="953"/>
      <c r="F597" s="953"/>
      <c r="G597" s="1103"/>
    </row>
    <row r="598" spans="1:7" s="2" customFormat="1" ht="69.75" customHeight="1">
      <c r="A598" s="971"/>
      <c r="B598" s="957"/>
      <c r="C598" s="953"/>
      <c r="D598" s="953"/>
      <c r="E598" s="953"/>
      <c r="F598" s="953"/>
      <c r="G598" s="1103"/>
    </row>
    <row r="599" spans="1:7" s="2" customFormat="1" ht="15.75" customHeight="1">
      <c r="A599" s="971"/>
      <c r="B599" s="957"/>
      <c r="C599" s="956"/>
      <c r="D599" s="957"/>
      <c r="E599" s="957"/>
      <c r="F599" s="957"/>
      <c r="G599" s="958"/>
    </row>
    <row r="600" spans="1:7" s="2" customFormat="1" ht="15.75" customHeight="1">
      <c r="A600" s="971"/>
      <c r="B600" s="957"/>
      <c r="C600" s="959" t="s">
        <v>2</v>
      </c>
      <c r="D600" s="957"/>
      <c r="E600" s="957"/>
      <c r="F600" s="23" t="s">
        <v>3</v>
      </c>
      <c r="G600" s="24" t="s">
        <v>4</v>
      </c>
    </row>
    <row r="601" spans="1:7" s="2" customFormat="1" ht="73.5" customHeight="1">
      <c r="A601" s="1089" t="s">
        <v>2013</v>
      </c>
      <c r="B601" s="944"/>
      <c r="C601" s="980" t="s">
        <v>2014</v>
      </c>
      <c r="D601" s="944"/>
      <c r="E601" s="944"/>
      <c r="F601" s="54" t="s">
        <v>39</v>
      </c>
      <c r="G601" s="52">
        <v>8.6999999999999993</v>
      </c>
    </row>
    <row r="602" spans="1:7" s="2" customFormat="1" ht="15.75" customHeight="1">
      <c r="A602" s="1071" t="s">
        <v>5</v>
      </c>
      <c r="B602" s="944"/>
      <c r="C602" s="944"/>
      <c r="D602" s="944"/>
      <c r="E602" s="944"/>
      <c r="F602" s="944"/>
      <c r="G602" s="1072"/>
    </row>
    <row r="603" spans="1:7" s="2" customFormat="1" ht="15.75" customHeight="1">
      <c r="A603" s="1074" t="s">
        <v>2</v>
      </c>
      <c r="B603" s="944"/>
      <c r="C603" s="53" t="s">
        <v>3</v>
      </c>
      <c r="D603" s="53" t="s">
        <v>4</v>
      </c>
      <c r="E603" s="53" t="s">
        <v>6</v>
      </c>
      <c r="F603" s="53" t="s">
        <v>7</v>
      </c>
      <c r="G603" s="1075" t="s">
        <v>8</v>
      </c>
    </row>
    <row r="604" spans="1:7" s="2" customFormat="1" ht="15.75" customHeight="1">
      <c r="A604" s="947" t="s">
        <v>167</v>
      </c>
      <c r="B604" s="980"/>
      <c r="C604" s="51" t="s">
        <v>3</v>
      </c>
      <c r="D604" s="54">
        <v>0.05</v>
      </c>
      <c r="E604" s="17">
        <f>+G622</f>
        <v>18416</v>
      </c>
      <c r="F604" s="55">
        <f>D604*E604</f>
        <v>920.80000000000007</v>
      </c>
      <c r="G604" s="1072"/>
    </row>
    <row r="605" spans="1:7" s="2" customFormat="1" ht="15.75" customHeight="1">
      <c r="A605" s="947"/>
      <c r="B605" s="944"/>
      <c r="C605" s="51"/>
      <c r="D605" s="54"/>
      <c r="E605" s="17"/>
      <c r="F605" s="55">
        <f>D605*E605</f>
        <v>0</v>
      </c>
      <c r="G605" s="1072"/>
    </row>
    <row r="606" spans="1:7" s="2" customFormat="1" ht="15.75" customHeight="1">
      <c r="A606" s="947"/>
      <c r="B606" s="980"/>
      <c r="C606" s="141"/>
      <c r="D606" s="16"/>
      <c r="E606" s="143"/>
      <c r="F606" s="55">
        <f>D606*E606</f>
        <v>0</v>
      </c>
      <c r="G606" s="1072"/>
    </row>
    <row r="607" spans="1:7" s="2" customFormat="1" ht="15.75" customHeight="1">
      <c r="A607" s="947"/>
      <c r="B607" s="944"/>
      <c r="C607" s="51"/>
      <c r="D607" s="54"/>
      <c r="E607" s="17"/>
      <c r="F607" s="55">
        <f>D607*E607</f>
        <v>0</v>
      </c>
      <c r="G607" s="1072"/>
    </row>
    <row r="608" spans="1:7" s="2" customFormat="1" ht="15.75" customHeight="1">
      <c r="A608" s="1079"/>
      <c r="B608" s="944"/>
      <c r="C608" s="56"/>
      <c r="D608" s="56"/>
      <c r="E608" s="56"/>
      <c r="F608" s="55"/>
      <c r="G608" s="57">
        <f>SUM(F603:F608)</f>
        <v>920.80000000000007</v>
      </c>
    </row>
    <row r="609" spans="1:7" s="2" customFormat="1" ht="15" customHeight="1">
      <c r="A609" s="1071" t="s">
        <v>10</v>
      </c>
      <c r="B609" s="944"/>
      <c r="C609" s="944"/>
      <c r="D609" s="944"/>
      <c r="E609" s="944"/>
      <c r="F609" s="944"/>
      <c r="G609" s="1072"/>
    </row>
    <row r="610" spans="1:7" s="2" customFormat="1" ht="15" customHeight="1">
      <c r="A610" s="1074" t="s">
        <v>2</v>
      </c>
      <c r="B610" s="944"/>
      <c r="C610" s="53" t="s">
        <v>3</v>
      </c>
      <c r="D610" s="53" t="s">
        <v>4</v>
      </c>
      <c r="E610" s="53" t="s">
        <v>6</v>
      </c>
      <c r="F610" s="53" t="s">
        <v>11</v>
      </c>
      <c r="G610" s="1075" t="s">
        <v>8</v>
      </c>
    </row>
    <row r="611" spans="1:7" s="2" customFormat="1" ht="15" customHeight="1">
      <c r="A611" s="947"/>
      <c r="B611" s="944"/>
      <c r="C611" s="16"/>
      <c r="D611" s="54"/>
      <c r="E611" s="17"/>
      <c r="F611" s="55">
        <f>D611*E611</f>
        <v>0</v>
      </c>
      <c r="G611" s="1072"/>
    </row>
    <row r="612" spans="1:7" s="2" customFormat="1" ht="15" customHeight="1">
      <c r="A612" s="947"/>
      <c r="B612" s="944"/>
      <c r="C612" s="51"/>
      <c r="D612" s="54"/>
      <c r="E612" s="17"/>
      <c r="F612" s="55">
        <f>D612*E612</f>
        <v>0</v>
      </c>
      <c r="G612" s="1072"/>
    </row>
    <row r="613" spans="1:7" s="2" customFormat="1" ht="15" customHeight="1">
      <c r="A613" s="947"/>
      <c r="B613" s="944"/>
      <c r="C613" s="16"/>
      <c r="D613" s="54"/>
      <c r="E613" s="17"/>
      <c r="F613" s="55">
        <f>D613*E613</f>
        <v>0</v>
      </c>
      <c r="G613" s="1072"/>
    </row>
    <row r="614" spans="1:7" s="2" customFormat="1" ht="15" customHeight="1">
      <c r="A614" s="947"/>
      <c r="B614" s="944"/>
      <c r="C614" s="16"/>
      <c r="D614" s="58"/>
      <c r="E614" s="17"/>
      <c r="F614" s="55"/>
      <c r="G614" s="57">
        <f>SUM(F610:F614)</f>
        <v>0</v>
      </c>
    </row>
    <row r="615" spans="1:7" s="2" customFormat="1" ht="15" customHeight="1">
      <c r="A615" s="1071" t="s">
        <v>15</v>
      </c>
      <c r="B615" s="944"/>
      <c r="C615" s="944"/>
      <c r="D615" s="944"/>
      <c r="E615" s="944"/>
      <c r="F615" s="944"/>
      <c r="G615" s="1072"/>
    </row>
    <row r="616" spans="1:7" s="2" customFormat="1" ht="15" customHeight="1">
      <c r="A616" s="1074" t="s">
        <v>2</v>
      </c>
      <c r="B616" s="944"/>
      <c r="C616" s="53" t="s">
        <v>3</v>
      </c>
      <c r="D616" s="53" t="s">
        <v>4</v>
      </c>
      <c r="E616" s="53" t="s">
        <v>6</v>
      </c>
      <c r="F616" s="53" t="s">
        <v>11</v>
      </c>
      <c r="G616" s="1075" t="s">
        <v>8</v>
      </c>
    </row>
    <row r="617" spans="1:7" s="2" customFormat="1" ht="15" customHeight="1">
      <c r="A617" s="943" t="s">
        <v>2646</v>
      </c>
      <c r="B617" s="944"/>
      <c r="C617" s="16" t="s">
        <v>2645</v>
      </c>
      <c r="D617" s="629">
        <v>30</v>
      </c>
      <c r="E617" s="17">
        <f>'MAQUINARIA Y EQUIPOS'!F46</f>
        <v>1650</v>
      </c>
      <c r="F617" s="55">
        <f>E617*D617</f>
        <v>49500</v>
      </c>
      <c r="G617" s="1075"/>
    </row>
    <row r="618" spans="1:7" s="2" customFormat="1" ht="15" customHeight="1">
      <c r="A618" s="943" t="str">
        <f>'MAQUINARIA Y EQUIPOS'!$D$22</f>
        <v>Cargue de material sobrante (2 paleros)</v>
      </c>
      <c r="B618" s="944"/>
      <c r="C618" s="16" t="s">
        <v>39</v>
      </c>
      <c r="D618" s="16">
        <v>1</v>
      </c>
      <c r="E618" s="17">
        <f>'MAQUINARIA Y EQUIPOS'!$F$22</f>
        <v>42000</v>
      </c>
      <c r="F618" s="55">
        <f>E618*D618</f>
        <v>42000</v>
      </c>
      <c r="G618" s="1072"/>
    </row>
    <row r="619" spans="1:7" s="2" customFormat="1" ht="15" customHeight="1">
      <c r="A619" s="59"/>
      <c r="B619" s="60"/>
      <c r="C619" s="60"/>
      <c r="D619" s="60"/>
      <c r="E619" s="60"/>
      <c r="F619" s="60"/>
      <c r="G619" s="57">
        <f>SUM(F616:F619)</f>
        <v>91500</v>
      </c>
    </row>
    <row r="620" spans="1:7" s="2" customFormat="1" ht="15" customHeight="1">
      <c r="A620" s="1071" t="s">
        <v>19</v>
      </c>
      <c r="B620" s="944"/>
      <c r="C620" s="944"/>
      <c r="D620" s="944"/>
      <c r="E620" s="944"/>
      <c r="F620" s="944"/>
      <c r="G620" s="1072"/>
    </row>
    <row r="621" spans="1:7" s="2" customFormat="1" ht="15" customHeight="1">
      <c r="A621" s="1074" t="s">
        <v>2</v>
      </c>
      <c r="B621" s="944"/>
      <c r="C621" s="53" t="s">
        <v>3</v>
      </c>
      <c r="D621" s="53" t="s">
        <v>4</v>
      </c>
      <c r="E621" s="53" t="s">
        <v>6</v>
      </c>
      <c r="F621" s="53" t="s">
        <v>11</v>
      </c>
      <c r="G621" s="456" t="s">
        <v>8</v>
      </c>
    </row>
    <row r="622" spans="1:7" s="2" customFormat="1" ht="15.75" customHeight="1">
      <c r="A622" s="978" t="str">
        <f>SALARIOS!$A$59</f>
        <v>CUADRILLA AA ALBAÑILERÍA 0:2</v>
      </c>
      <c r="B622" s="979"/>
      <c r="C622" s="13" t="s">
        <v>1245</v>
      </c>
      <c r="D622" s="32">
        <v>1</v>
      </c>
      <c r="E622" s="13">
        <f>SALARIOS!$C$59</f>
        <v>18416</v>
      </c>
      <c r="F622" s="55">
        <f>+D622*E622</f>
        <v>18416</v>
      </c>
      <c r="G622" s="57">
        <f>SUM(F621:F622)</f>
        <v>18416</v>
      </c>
    </row>
    <row r="623" spans="1:7" s="2" customFormat="1" ht="15" customHeight="1">
      <c r="A623" s="1076" t="s">
        <v>25</v>
      </c>
      <c r="B623" s="944"/>
      <c r="C623" s="944"/>
      <c r="D623" s="944"/>
      <c r="E623" s="944"/>
      <c r="F623" s="944"/>
      <c r="G623" s="1072"/>
    </row>
    <row r="624" spans="1:7" s="2" customFormat="1" ht="15" customHeight="1">
      <c r="A624" s="1077"/>
      <c r="B624" s="944"/>
      <c r="C624" s="944"/>
      <c r="D624" s="944"/>
      <c r="E624" s="944"/>
      <c r="F624" s="944"/>
      <c r="G624" s="62">
        <f>G622+G619+G614+G608</f>
        <v>110836.8</v>
      </c>
    </row>
    <row r="625" spans="2:8">
      <c r="B625" s="468"/>
      <c r="F625" s="455"/>
    </row>
    <row r="626" spans="2:8">
      <c r="B626" s="468"/>
      <c r="F626" s="620"/>
    </row>
    <row r="627" spans="2:8">
      <c r="B627" s="468"/>
      <c r="F627" s="620"/>
      <c r="H627" s="480"/>
    </row>
    <row r="628" spans="2:8">
      <c r="B628" s="468"/>
      <c r="F628" s="455"/>
    </row>
    <row r="629" spans="2:8">
      <c r="B629" s="468"/>
      <c r="F629" s="455"/>
    </row>
    <row r="630" spans="2:8">
      <c r="B630" s="468"/>
      <c r="F630" s="455"/>
    </row>
    <row r="631" spans="2:8">
      <c r="B631" s="966"/>
      <c r="C631" s="966"/>
      <c r="F631" s="455"/>
    </row>
    <row r="632" spans="2:8">
      <c r="B632" s="966"/>
      <c r="C632" s="966"/>
      <c r="F632" s="455"/>
    </row>
    <row r="633" spans="2:8">
      <c r="B633" s="468"/>
      <c r="F633" s="455"/>
    </row>
  </sheetData>
  <mergeCells count="669">
    <mergeCell ref="B631:C631"/>
    <mergeCell ref="B632:C632"/>
    <mergeCell ref="A621:B621"/>
    <mergeCell ref="A622:B622"/>
    <mergeCell ref="A623:G623"/>
    <mergeCell ref="A624:F624"/>
    <mergeCell ref="A614:B614"/>
    <mergeCell ref="A615:G615"/>
    <mergeCell ref="A616:B616"/>
    <mergeCell ref="G616:G618"/>
    <mergeCell ref="A618:B618"/>
    <mergeCell ref="A620:G620"/>
    <mergeCell ref="A617:B617"/>
    <mergeCell ref="A608:B608"/>
    <mergeCell ref="A609:G609"/>
    <mergeCell ref="A610:B610"/>
    <mergeCell ref="G610:G613"/>
    <mergeCell ref="A611:B611"/>
    <mergeCell ref="A612:B612"/>
    <mergeCell ref="A613:B613"/>
    <mergeCell ref="A601:B601"/>
    <mergeCell ref="C601:E601"/>
    <mergeCell ref="A602:G602"/>
    <mergeCell ref="A603:B603"/>
    <mergeCell ref="G603:G607"/>
    <mergeCell ref="A604:B604"/>
    <mergeCell ref="A605:B605"/>
    <mergeCell ref="A606:B606"/>
    <mergeCell ref="A607:B607"/>
    <mergeCell ref="A592:B592"/>
    <mergeCell ref="A595:F595"/>
    <mergeCell ref="A597:B600"/>
    <mergeCell ref="C597:G598"/>
    <mergeCell ref="C599:G599"/>
    <mergeCell ref="C600:E600"/>
    <mergeCell ref="A585:B585"/>
    <mergeCell ref="A586:G586"/>
    <mergeCell ref="A587:B587"/>
    <mergeCell ref="G587:G588"/>
    <mergeCell ref="A588:B588"/>
    <mergeCell ref="A589:B589"/>
    <mergeCell ref="A591:G591"/>
    <mergeCell ref="A593:B593"/>
    <mergeCell ref="A594:G594"/>
    <mergeCell ref="A579:B579"/>
    <mergeCell ref="A580:G580"/>
    <mergeCell ref="A581:B581"/>
    <mergeCell ref="G581:G584"/>
    <mergeCell ref="A582:B582"/>
    <mergeCell ref="A583:B583"/>
    <mergeCell ref="A584:B584"/>
    <mergeCell ref="A572:B572"/>
    <mergeCell ref="C572:E572"/>
    <mergeCell ref="A573:G573"/>
    <mergeCell ref="A574:B574"/>
    <mergeCell ref="G574:G578"/>
    <mergeCell ref="A575:B575"/>
    <mergeCell ref="A576:B576"/>
    <mergeCell ref="A577:B577"/>
    <mergeCell ref="A578:B578"/>
    <mergeCell ref="A563:B563"/>
    <mergeCell ref="A564:B564"/>
    <mergeCell ref="A565:G565"/>
    <mergeCell ref="A566:F566"/>
    <mergeCell ref="A568:B571"/>
    <mergeCell ref="C568:G569"/>
    <mergeCell ref="C570:G570"/>
    <mergeCell ref="C571:E571"/>
    <mergeCell ref="A557:B557"/>
    <mergeCell ref="A558:G558"/>
    <mergeCell ref="A559:B559"/>
    <mergeCell ref="G559:G560"/>
    <mergeCell ref="A560:B560"/>
    <mergeCell ref="A562:G562"/>
    <mergeCell ref="A551:B551"/>
    <mergeCell ref="A552:G552"/>
    <mergeCell ref="A553:B553"/>
    <mergeCell ref="G553:G556"/>
    <mergeCell ref="A554:B554"/>
    <mergeCell ref="A555:B555"/>
    <mergeCell ref="A556:B556"/>
    <mergeCell ref="A544:B544"/>
    <mergeCell ref="C544:E544"/>
    <mergeCell ref="A545:G545"/>
    <mergeCell ref="A546:B546"/>
    <mergeCell ref="G546:G550"/>
    <mergeCell ref="A547:B547"/>
    <mergeCell ref="A548:B548"/>
    <mergeCell ref="A549:B549"/>
    <mergeCell ref="A550:B550"/>
    <mergeCell ref="A535:B535"/>
    <mergeCell ref="A536:B536"/>
    <mergeCell ref="A537:G537"/>
    <mergeCell ref="A538:F538"/>
    <mergeCell ref="A540:B543"/>
    <mergeCell ref="C540:G541"/>
    <mergeCell ref="C542:G542"/>
    <mergeCell ref="C543:E543"/>
    <mergeCell ref="A529:B529"/>
    <mergeCell ref="A530:G530"/>
    <mergeCell ref="A531:B531"/>
    <mergeCell ref="G531:G532"/>
    <mergeCell ref="A532:B532"/>
    <mergeCell ref="A534:G534"/>
    <mergeCell ref="A523:B523"/>
    <mergeCell ref="A524:G524"/>
    <mergeCell ref="A525:B525"/>
    <mergeCell ref="G525:G528"/>
    <mergeCell ref="A526:B526"/>
    <mergeCell ref="A527:B527"/>
    <mergeCell ref="A528:B528"/>
    <mergeCell ref="A516:B516"/>
    <mergeCell ref="C516:E516"/>
    <mergeCell ref="A517:G517"/>
    <mergeCell ref="A518:B518"/>
    <mergeCell ref="G518:G522"/>
    <mergeCell ref="A519:B519"/>
    <mergeCell ref="A520:B520"/>
    <mergeCell ref="A521:B521"/>
    <mergeCell ref="A522:B522"/>
    <mergeCell ref="A507:B507"/>
    <mergeCell ref="A508:B508"/>
    <mergeCell ref="A509:G509"/>
    <mergeCell ref="A510:F510"/>
    <mergeCell ref="A512:B515"/>
    <mergeCell ref="C512:G513"/>
    <mergeCell ref="C514:G514"/>
    <mergeCell ref="C515:E515"/>
    <mergeCell ref="A501:B501"/>
    <mergeCell ref="A502:G502"/>
    <mergeCell ref="A503:B503"/>
    <mergeCell ref="G503:G504"/>
    <mergeCell ref="A504:B504"/>
    <mergeCell ref="A506:G506"/>
    <mergeCell ref="A495:B495"/>
    <mergeCell ref="A496:G496"/>
    <mergeCell ref="A497:B497"/>
    <mergeCell ref="G497:G500"/>
    <mergeCell ref="A498:B498"/>
    <mergeCell ref="A499:B499"/>
    <mergeCell ref="A500:B500"/>
    <mergeCell ref="A488:B488"/>
    <mergeCell ref="C488:E488"/>
    <mergeCell ref="A489:G489"/>
    <mergeCell ref="A490:B490"/>
    <mergeCell ref="G490:G494"/>
    <mergeCell ref="A491:B491"/>
    <mergeCell ref="A492:B492"/>
    <mergeCell ref="A493:B493"/>
    <mergeCell ref="A494:B494"/>
    <mergeCell ref="A479:B479"/>
    <mergeCell ref="A480:B480"/>
    <mergeCell ref="A481:G481"/>
    <mergeCell ref="A482:F482"/>
    <mergeCell ref="A484:B487"/>
    <mergeCell ref="C484:G485"/>
    <mergeCell ref="C486:G486"/>
    <mergeCell ref="C487:E487"/>
    <mergeCell ref="A473:B473"/>
    <mergeCell ref="A474:G474"/>
    <mergeCell ref="A475:B475"/>
    <mergeCell ref="G475:G476"/>
    <mergeCell ref="A476:B476"/>
    <mergeCell ref="A478:G478"/>
    <mergeCell ref="A465:B465"/>
    <mergeCell ref="A466:G466"/>
    <mergeCell ref="A467:B467"/>
    <mergeCell ref="G467:G472"/>
    <mergeCell ref="A470:B470"/>
    <mergeCell ref="A471:B471"/>
    <mergeCell ref="A472:B472"/>
    <mergeCell ref="A458:B458"/>
    <mergeCell ref="C458:E458"/>
    <mergeCell ref="A459:G459"/>
    <mergeCell ref="A460:B460"/>
    <mergeCell ref="G460:G464"/>
    <mergeCell ref="A461:B461"/>
    <mergeCell ref="A462:B462"/>
    <mergeCell ref="A463:B463"/>
    <mergeCell ref="A464:B464"/>
    <mergeCell ref="A468:B468"/>
    <mergeCell ref="A469:B469"/>
    <mergeCell ref="A449:B449"/>
    <mergeCell ref="A450:B450"/>
    <mergeCell ref="A451:G451"/>
    <mergeCell ref="A452:F452"/>
    <mergeCell ref="A454:B457"/>
    <mergeCell ref="C454:G455"/>
    <mergeCell ref="C456:G456"/>
    <mergeCell ref="C457:E457"/>
    <mergeCell ref="A443:B443"/>
    <mergeCell ref="A444:G444"/>
    <mergeCell ref="A445:B445"/>
    <mergeCell ref="G445:G446"/>
    <mergeCell ref="A446:B446"/>
    <mergeCell ref="A448:G448"/>
    <mergeCell ref="A435:B435"/>
    <mergeCell ref="A436:G436"/>
    <mergeCell ref="A437:B437"/>
    <mergeCell ref="G437:G442"/>
    <mergeCell ref="A438:B438"/>
    <mergeCell ref="A441:B441"/>
    <mergeCell ref="A442:B442"/>
    <mergeCell ref="A428:B428"/>
    <mergeCell ref="C428:E428"/>
    <mergeCell ref="A429:G429"/>
    <mergeCell ref="A430:B430"/>
    <mergeCell ref="G430:G434"/>
    <mergeCell ref="A431:B431"/>
    <mergeCell ref="A432:B432"/>
    <mergeCell ref="A433:B433"/>
    <mergeCell ref="A434:B434"/>
    <mergeCell ref="A439:B439"/>
    <mergeCell ref="A440:B440"/>
    <mergeCell ref="A419:B419"/>
    <mergeCell ref="A420:B420"/>
    <mergeCell ref="A421:G421"/>
    <mergeCell ref="A422:F422"/>
    <mergeCell ref="A424:B427"/>
    <mergeCell ref="C424:G425"/>
    <mergeCell ref="C426:G426"/>
    <mergeCell ref="C427:E427"/>
    <mergeCell ref="A413:B413"/>
    <mergeCell ref="A414:G414"/>
    <mergeCell ref="A415:B415"/>
    <mergeCell ref="G415:G416"/>
    <mergeCell ref="A416:B416"/>
    <mergeCell ref="A418:G418"/>
    <mergeCell ref="A407:B407"/>
    <mergeCell ref="A408:G408"/>
    <mergeCell ref="A409:B409"/>
    <mergeCell ref="G409:G412"/>
    <mergeCell ref="A410:B410"/>
    <mergeCell ref="A411:B411"/>
    <mergeCell ref="A412:B412"/>
    <mergeCell ref="A400:B400"/>
    <mergeCell ref="C400:E400"/>
    <mergeCell ref="A401:G401"/>
    <mergeCell ref="A402:B402"/>
    <mergeCell ref="G402:G406"/>
    <mergeCell ref="A403:B403"/>
    <mergeCell ref="A404:B404"/>
    <mergeCell ref="A405:B405"/>
    <mergeCell ref="A406:B406"/>
    <mergeCell ref="A391:B391"/>
    <mergeCell ref="A392:B392"/>
    <mergeCell ref="A393:G393"/>
    <mergeCell ref="A394:F394"/>
    <mergeCell ref="A396:B399"/>
    <mergeCell ref="C396:G397"/>
    <mergeCell ref="C398:G398"/>
    <mergeCell ref="C399:E399"/>
    <mergeCell ref="A385:B385"/>
    <mergeCell ref="A386:G386"/>
    <mergeCell ref="A387:B387"/>
    <mergeCell ref="G387:G388"/>
    <mergeCell ref="A388:B388"/>
    <mergeCell ref="A390:G390"/>
    <mergeCell ref="A379:B379"/>
    <mergeCell ref="A380:G380"/>
    <mergeCell ref="A381:B381"/>
    <mergeCell ref="G381:G384"/>
    <mergeCell ref="A382:B382"/>
    <mergeCell ref="A383:B383"/>
    <mergeCell ref="A384:B384"/>
    <mergeCell ref="A372:B372"/>
    <mergeCell ref="C372:E372"/>
    <mergeCell ref="A373:G373"/>
    <mergeCell ref="A374:B374"/>
    <mergeCell ref="G374:G378"/>
    <mergeCell ref="A375:B375"/>
    <mergeCell ref="A376:B376"/>
    <mergeCell ref="A377:B377"/>
    <mergeCell ref="A378:B378"/>
    <mergeCell ref="A363:B363"/>
    <mergeCell ref="A364:B364"/>
    <mergeCell ref="A365:G365"/>
    <mergeCell ref="A366:F366"/>
    <mergeCell ref="A368:B371"/>
    <mergeCell ref="C368:G369"/>
    <mergeCell ref="C370:G370"/>
    <mergeCell ref="C371:E371"/>
    <mergeCell ref="A357:B357"/>
    <mergeCell ref="A358:G358"/>
    <mergeCell ref="A359:B359"/>
    <mergeCell ref="G359:G360"/>
    <mergeCell ref="A360:B360"/>
    <mergeCell ref="A362:G362"/>
    <mergeCell ref="A351:B351"/>
    <mergeCell ref="A352:G352"/>
    <mergeCell ref="A353:B353"/>
    <mergeCell ref="G353:G356"/>
    <mergeCell ref="A354:B354"/>
    <mergeCell ref="A355:B355"/>
    <mergeCell ref="A356:B356"/>
    <mergeCell ref="A344:B344"/>
    <mergeCell ref="C344:E344"/>
    <mergeCell ref="A345:G345"/>
    <mergeCell ref="A346:B346"/>
    <mergeCell ref="G346:G350"/>
    <mergeCell ref="A347:B347"/>
    <mergeCell ref="A348:B348"/>
    <mergeCell ref="A349:B349"/>
    <mergeCell ref="A350:B350"/>
    <mergeCell ref="A335:B335"/>
    <mergeCell ref="A336:B336"/>
    <mergeCell ref="A337:G337"/>
    <mergeCell ref="A338:F338"/>
    <mergeCell ref="A340:B343"/>
    <mergeCell ref="C340:G341"/>
    <mergeCell ref="C342:G342"/>
    <mergeCell ref="C343:E343"/>
    <mergeCell ref="A329:B329"/>
    <mergeCell ref="A330:G330"/>
    <mergeCell ref="A331:B331"/>
    <mergeCell ref="G331:G332"/>
    <mergeCell ref="A332:B332"/>
    <mergeCell ref="A334:G334"/>
    <mergeCell ref="A323:B323"/>
    <mergeCell ref="A324:G324"/>
    <mergeCell ref="A325:B325"/>
    <mergeCell ref="G325:G328"/>
    <mergeCell ref="A326:B326"/>
    <mergeCell ref="A327:B327"/>
    <mergeCell ref="A328:B328"/>
    <mergeCell ref="A316:B316"/>
    <mergeCell ref="C316:E316"/>
    <mergeCell ref="A317:G317"/>
    <mergeCell ref="A318:B318"/>
    <mergeCell ref="G318:G322"/>
    <mergeCell ref="A319:B319"/>
    <mergeCell ref="A320:B320"/>
    <mergeCell ref="A321:B321"/>
    <mergeCell ref="A322:B322"/>
    <mergeCell ref="A307:B307"/>
    <mergeCell ref="A308:B308"/>
    <mergeCell ref="A309:G309"/>
    <mergeCell ref="A310:F310"/>
    <mergeCell ref="A312:B315"/>
    <mergeCell ref="C312:G313"/>
    <mergeCell ref="C314:G314"/>
    <mergeCell ref="C315:E315"/>
    <mergeCell ref="A301:B301"/>
    <mergeCell ref="A302:G302"/>
    <mergeCell ref="A303:B303"/>
    <mergeCell ref="G303:G304"/>
    <mergeCell ref="A304:B304"/>
    <mergeCell ref="A306:G306"/>
    <mergeCell ref="A295:B295"/>
    <mergeCell ref="A296:G296"/>
    <mergeCell ref="A297:B297"/>
    <mergeCell ref="G297:G300"/>
    <mergeCell ref="A298:B298"/>
    <mergeCell ref="A299:B299"/>
    <mergeCell ref="A300:B300"/>
    <mergeCell ref="A288:B288"/>
    <mergeCell ref="C288:E288"/>
    <mergeCell ref="A289:G289"/>
    <mergeCell ref="A290:B290"/>
    <mergeCell ref="G290:G294"/>
    <mergeCell ref="A291:B291"/>
    <mergeCell ref="A292:B292"/>
    <mergeCell ref="A293:B293"/>
    <mergeCell ref="A294:B294"/>
    <mergeCell ref="A279:B279"/>
    <mergeCell ref="A280:B280"/>
    <mergeCell ref="A281:G281"/>
    <mergeCell ref="A282:F282"/>
    <mergeCell ref="A284:B287"/>
    <mergeCell ref="C284:G285"/>
    <mergeCell ref="C286:G286"/>
    <mergeCell ref="C287:E287"/>
    <mergeCell ref="A273:B273"/>
    <mergeCell ref="A274:G274"/>
    <mergeCell ref="A275:B275"/>
    <mergeCell ref="G275:G276"/>
    <mergeCell ref="A276:B276"/>
    <mergeCell ref="A278:G278"/>
    <mergeCell ref="A267:B267"/>
    <mergeCell ref="A268:G268"/>
    <mergeCell ref="A269:B269"/>
    <mergeCell ref="G269:G272"/>
    <mergeCell ref="A270:B270"/>
    <mergeCell ref="A271:B271"/>
    <mergeCell ref="A272:B272"/>
    <mergeCell ref="A260:B260"/>
    <mergeCell ref="C260:E260"/>
    <mergeCell ref="A261:G261"/>
    <mergeCell ref="A262:B262"/>
    <mergeCell ref="G262:G266"/>
    <mergeCell ref="A263:B263"/>
    <mergeCell ref="A264:B264"/>
    <mergeCell ref="A265:B265"/>
    <mergeCell ref="A266:B266"/>
    <mergeCell ref="A251:B251"/>
    <mergeCell ref="A252:B252"/>
    <mergeCell ref="A253:G253"/>
    <mergeCell ref="A254:F254"/>
    <mergeCell ref="A256:B259"/>
    <mergeCell ref="C256:G257"/>
    <mergeCell ref="C258:G258"/>
    <mergeCell ref="C259:E259"/>
    <mergeCell ref="A245:B245"/>
    <mergeCell ref="A246:G246"/>
    <mergeCell ref="A247:B247"/>
    <mergeCell ref="G247:G248"/>
    <mergeCell ref="A248:B248"/>
    <mergeCell ref="A250:G250"/>
    <mergeCell ref="A239:B239"/>
    <mergeCell ref="A240:G240"/>
    <mergeCell ref="A241:B241"/>
    <mergeCell ref="G241:G244"/>
    <mergeCell ref="A242:B242"/>
    <mergeCell ref="A243:B243"/>
    <mergeCell ref="A244:B244"/>
    <mergeCell ref="A232:B232"/>
    <mergeCell ref="C232:E232"/>
    <mergeCell ref="A233:G233"/>
    <mergeCell ref="A234:B234"/>
    <mergeCell ref="G234:G238"/>
    <mergeCell ref="A235:B235"/>
    <mergeCell ref="A236:B236"/>
    <mergeCell ref="A237:B237"/>
    <mergeCell ref="A238:B238"/>
    <mergeCell ref="A223:B223"/>
    <mergeCell ref="A224:B224"/>
    <mergeCell ref="A225:G225"/>
    <mergeCell ref="A226:F226"/>
    <mergeCell ref="A228:B231"/>
    <mergeCell ref="C228:G229"/>
    <mergeCell ref="C230:G230"/>
    <mergeCell ref="C231:E231"/>
    <mergeCell ref="A217:B217"/>
    <mergeCell ref="A218:G218"/>
    <mergeCell ref="A219:B219"/>
    <mergeCell ref="G219:G220"/>
    <mergeCell ref="A220:B220"/>
    <mergeCell ref="A222:G222"/>
    <mergeCell ref="A211:B211"/>
    <mergeCell ref="A212:G212"/>
    <mergeCell ref="A213:B213"/>
    <mergeCell ref="G213:G216"/>
    <mergeCell ref="A214:B214"/>
    <mergeCell ref="A215:B215"/>
    <mergeCell ref="A216:B216"/>
    <mergeCell ref="A204:B204"/>
    <mergeCell ref="C204:E204"/>
    <mergeCell ref="A205:G205"/>
    <mergeCell ref="A206:B206"/>
    <mergeCell ref="G206:G210"/>
    <mergeCell ref="A207:B207"/>
    <mergeCell ref="A208:B208"/>
    <mergeCell ref="A209:B209"/>
    <mergeCell ref="A210:B210"/>
    <mergeCell ref="A195:B195"/>
    <mergeCell ref="A196:B196"/>
    <mergeCell ref="A197:G197"/>
    <mergeCell ref="A198:F198"/>
    <mergeCell ref="A200:B203"/>
    <mergeCell ref="C200:G201"/>
    <mergeCell ref="C202:G202"/>
    <mergeCell ref="C203:E203"/>
    <mergeCell ref="A189:B189"/>
    <mergeCell ref="A190:G190"/>
    <mergeCell ref="A191:B191"/>
    <mergeCell ref="G191:G192"/>
    <mergeCell ref="A192:B192"/>
    <mergeCell ref="A194:G194"/>
    <mergeCell ref="A183:B183"/>
    <mergeCell ref="A184:G184"/>
    <mergeCell ref="A185:B185"/>
    <mergeCell ref="G185:G188"/>
    <mergeCell ref="A186:B186"/>
    <mergeCell ref="A187:B187"/>
    <mergeCell ref="A188:B188"/>
    <mergeCell ref="A176:B176"/>
    <mergeCell ref="C176:E176"/>
    <mergeCell ref="A177:G177"/>
    <mergeCell ref="A178:B178"/>
    <mergeCell ref="G178:G182"/>
    <mergeCell ref="A179:B179"/>
    <mergeCell ref="A180:B180"/>
    <mergeCell ref="A181:B181"/>
    <mergeCell ref="A182:B182"/>
    <mergeCell ref="A167:B167"/>
    <mergeCell ref="A168:B168"/>
    <mergeCell ref="A169:G169"/>
    <mergeCell ref="A170:F170"/>
    <mergeCell ref="A172:B175"/>
    <mergeCell ref="C172:G173"/>
    <mergeCell ref="C174:G174"/>
    <mergeCell ref="C175:E175"/>
    <mergeCell ref="A161:B161"/>
    <mergeCell ref="A162:G162"/>
    <mergeCell ref="A163:B163"/>
    <mergeCell ref="G163:G164"/>
    <mergeCell ref="A164:B164"/>
    <mergeCell ref="A166:G166"/>
    <mergeCell ref="A155:B155"/>
    <mergeCell ref="A156:G156"/>
    <mergeCell ref="A157:B157"/>
    <mergeCell ref="G157:G160"/>
    <mergeCell ref="A158:B158"/>
    <mergeCell ref="A159:B159"/>
    <mergeCell ref="A160:B160"/>
    <mergeCell ref="A148:B148"/>
    <mergeCell ref="C148:E148"/>
    <mergeCell ref="A149:G149"/>
    <mergeCell ref="A150:B150"/>
    <mergeCell ref="G150:G154"/>
    <mergeCell ref="A151:B151"/>
    <mergeCell ref="A152:B152"/>
    <mergeCell ref="A153:B153"/>
    <mergeCell ref="A154:B154"/>
    <mergeCell ref="A139:B139"/>
    <mergeCell ref="A140:B140"/>
    <mergeCell ref="A141:G141"/>
    <mergeCell ref="A142:F142"/>
    <mergeCell ref="A144:B147"/>
    <mergeCell ref="C144:G145"/>
    <mergeCell ref="C146:G146"/>
    <mergeCell ref="C147:E147"/>
    <mergeCell ref="A133:B133"/>
    <mergeCell ref="A134:G134"/>
    <mergeCell ref="A135:B135"/>
    <mergeCell ref="G135:G136"/>
    <mergeCell ref="A136:B136"/>
    <mergeCell ref="A138:G138"/>
    <mergeCell ref="A127:B127"/>
    <mergeCell ref="A128:G128"/>
    <mergeCell ref="A129:B129"/>
    <mergeCell ref="G129:G132"/>
    <mergeCell ref="A130:B130"/>
    <mergeCell ref="A131:B131"/>
    <mergeCell ref="A132:B132"/>
    <mergeCell ref="A120:B120"/>
    <mergeCell ref="C120:E120"/>
    <mergeCell ref="A121:G121"/>
    <mergeCell ref="A122:B122"/>
    <mergeCell ref="G122:G126"/>
    <mergeCell ref="A123:B123"/>
    <mergeCell ref="A124:B124"/>
    <mergeCell ref="A125:B125"/>
    <mergeCell ref="A126:B126"/>
    <mergeCell ref="A111:B111"/>
    <mergeCell ref="A112:B112"/>
    <mergeCell ref="A113:G113"/>
    <mergeCell ref="A114:F114"/>
    <mergeCell ref="A116:B119"/>
    <mergeCell ref="C116:G117"/>
    <mergeCell ref="C118:G118"/>
    <mergeCell ref="C119:E119"/>
    <mergeCell ref="A105:B105"/>
    <mergeCell ref="A106:G106"/>
    <mergeCell ref="A107:B107"/>
    <mergeCell ref="G107:G108"/>
    <mergeCell ref="A108:B108"/>
    <mergeCell ref="A110:G110"/>
    <mergeCell ref="A99:B99"/>
    <mergeCell ref="A100:G100"/>
    <mergeCell ref="A101:B101"/>
    <mergeCell ref="G101:G104"/>
    <mergeCell ref="A102:B102"/>
    <mergeCell ref="A103:B103"/>
    <mergeCell ref="A104:B104"/>
    <mergeCell ref="A92:B92"/>
    <mergeCell ref="C92:E92"/>
    <mergeCell ref="A93:G93"/>
    <mergeCell ref="A94:B94"/>
    <mergeCell ref="G94:G98"/>
    <mergeCell ref="A95:B95"/>
    <mergeCell ref="A96:B96"/>
    <mergeCell ref="A97:B97"/>
    <mergeCell ref="A98:B98"/>
    <mergeCell ref="A83:B83"/>
    <mergeCell ref="A84:B84"/>
    <mergeCell ref="A85:G85"/>
    <mergeCell ref="A86:F86"/>
    <mergeCell ref="A88:B91"/>
    <mergeCell ref="C88:G89"/>
    <mergeCell ref="C90:G90"/>
    <mergeCell ref="C91:E91"/>
    <mergeCell ref="A77:B77"/>
    <mergeCell ref="A78:G78"/>
    <mergeCell ref="A79:B79"/>
    <mergeCell ref="G79:G80"/>
    <mergeCell ref="A80:B80"/>
    <mergeCell ref="A82:G82"/>
    <mergeCell ref="A71:B71"/>
    <mergeCell ref="A72:G72"/>
    <mergeCell ref="A73:B73"/>
    <mergeCell ref="G73:G76"/>
    <mergeCell ref="A74:B74"/>
    <mergeCell ref="A75:B75"/>
    <mergeCell ref="A76:B76"/>
    <mergeCell ref="A64:B64"/>
    <mergeCell ref="C64:E64"/>
    <mergeCell ref="A65:G65"/>
    <mergeCell ref="A66:B66"/>
    <mergeCell ref="G66:G70"/>
    <mergeCell ref="A67:B67"/>
    <mergeCell ref="A68:B68"/>
    <mergeCell ref="A69:B69"/>
    <mergeCell ref="A70:B70"/>
    <mergeCell ref="A55:B55"/>
    <mergeCell ref="A56:B56"/>
    <mergeCell ref="A57:G57"/>
    <mergeCell ref="A58:F58"/>
    <mergeCell ref="A60:B63"/>
    <mergeCell ref="C60:G61"/>
    <mergeCell ref="C62:G62"/>
    <mergeCell ref="C63:E63"/>
    <mergeCell ref="A49:B49"/>
    <mergeCell ref="A50:G50"/>
    <mergeCell ref="A51:B51"/>
    <mergeCell ref="G51:G52"/>
    <mergeCell ref="A52:B52"/>
    <mergeCell ref="A54:G54"/>
    <mergeCell ref="A43:B43"/>
    <mergeCell ref="A44:G44"/>
    <mergeCell ref="A45:B45"/>
    <mergeCell ref="G45:G48"/>
    <mergeCell ref="A46:B46"/>
    <mergeCell ref="A47:B47"/>
    <mergeCell ref="A48:B48"/>
    <mergeCell ref="A36:B36"/>
    <mergeCell ref="C36:E36"/>
    <mergeCell ref="A37:G37"/>
    <mergeCell ref="A38:B38"/>
    <mergeCell ref="G38:G42"/>
    <mergeCell ref="A39:B39"/>
    <mergeCell ref="A40:B40"/>
    <mergeCell ref="A41:B41"/>
    <mergeCell ref="A42:B42"/>
    <mergeCell ref="A27:B27"/>
    <mergeCell ref="A28:B28"/>
    <mergeCell ref="A29:G29"/>
    <mergeCell ref="A30:F30"/>
    <mergeCell ref="A32:B35"/>
    <mergeCell ref="C32:G33"/>
    <mergeCell ref="C34:G34"/>
    <mergeCell ref="C35:E35"/>
    <mergeCell ref="A21:B21"/>
    <mergeCell ref="A22:G22"/>
    <mergeCell ref="A23:B23"/>
    <mergeCell ref="G23:G24"/>
    <mergeCell ref="A24:B24"/>
    <mergeCell ref="A26:G26"/>
    <mergeCell ref="A17:B17"/>
    <mergeCell ref="G17:G20"/>
    <mergeCell ref="A18:B18"/>
    <mergeCell ref="A19:B19"/>
    <mergeCell ref="A20:B20"/>
    <mergeCell ref="A9:G9"/>
    <mergeCell ref="A10:B10"/>
    <mergeCell ref="G10:G14"/>
    <mergeCell ref="A11:B11"/>
    <mergeCell ref="A12:B12"/>
    <mergeCell ref="A13:B13"/>
    <mergeCell ref="A14:B14"/>
    <mergeCell ref="C2:G2"/>
    <mergeCell ref="A4:B7"/>
    <mergeCell ref="C4:G5"/>
    <mergeCell ref="C6:G6"/>
    <mergeCell ref="C7:E7"/>
    <mergeCell ref="A8:B8"/>
    <mergeCell ref="C8:E8"/>
    <mergeCell ref="A15:B15"/>
    <mergeCell ref="A16:G16"/>
  </mergeCells>
  <pageMargins left="0.7" right="0.7" top="0.75" bottom="0.75" header="0.3" footer="0.3"/>
  <pageSetup paperSize="9" scale="7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00"/>
    <pageSetUpPr fitToPage="1"/>
  </sheetPr>
  <dimension ref="A2:H2076"/>
  <sheetViews>
    <sheetView topLeftCell="A2051" zoomScaleNormal="100" workbookViewId="0">
      <selection activeCell="B2070" sqref="B2070:C2076"/>
    </sheetView>
  </sheetViews>
  <sheetFormatPr baseColWidth="10" defaultColWidth="10.6640625" defaultRowHeight="14.4"/>
  <cols>
    <col min="1" max="2" width="18.6640625" customWidth="1"/>
    <col min="3" max="5" width="16.6640625" customWidth="1"/>
    <col min="6" max="6" width="16.88671875" customWidth="1"/>
    <col min="7" max="7" width="17.5546875" customWidth="1"/>
    <col min="8" max="8" width="7.33203125" bestFit="1" customWidth="1"/>
    <col min="9" max="9" width="35.44140625" customWidth="1"/>
    <col min="10" max="10" width="4" bestFit="1" customWidth="1"/>
    <col min="11" max="11" width="6.33203125" bestFit="1" customWidth="1"/>
  </cols>
  <sheetData>
    <row r="2" spans="1:7" ht="116.25" customHeight="1">
      <c r="A2" s="177"/>
      <c r="B2" s="177"/>
      <c r="C2" s="922" t="s">
        <v>0</v>
      </c>
      <c r="D2" s="922"/>
      <c r="E2" s="922"/>
      <c r="F2" s="922"/>
      <c r="G2" s="923"/>
    </row>
    <row r="3" spans="1:7" ht="21" customHeight="1"/>
    <row r="4" spans="1:7" ht="44.25" customHeight="1">
      <c r="A4" s="970" t="s">
        <v>1</v>
      </c>
      <c r="B4" s="957"/>
      <c r="C4" s="953" t="s">
        <v>0</v>
      </c>
      <c r="D4" s="953"/>
      <c r="E4" s="953"/>
      <c r="F4" s="953"/>
      <c r="G4" s="1103"/>
    </row>
    <row r="5" spans="1:7">
      <c r="A5" s="971"/>
      <c r="B5" s="957"/>
      <c r="C5" s="953"/>
      <c r="D5" s="953"/>
      <c r="E5" s="953"/>
      <c r="F5" s="953"/>
      <c r="G5" s="1103"/>
    </row>
    <row r="6" spans="1:7" ht="17.399999999999999">
      <c r="A6" s="971"/>
      <c r="B6" s="957"/>
      <c r="C6" s="956"/>
      <c r="D6" s="957"/>
      <c r="E6" s="957"/>
      <c r="F6" s="957"/>
      <c r="G6" s="958"/>
    </row>
    <row r="7" spans="1:7">
      <c r="A7" s="971"/>
      <c r="B7" s="957"/>
      <c r="C7" s="959" t="s">
        <v>2</v>
      </c>
      <c r="D7" s="957"/>
      <c r="E7" s="957"/>
      <c r="F7" s="23" t="s">
        <v>3</v>
      </c>
      <c r="G7" s="24" t="s">
        <v>4</v>
      </c>
    </row>
    <row r="8" spans="1:7" ht="49.5" customHeight="1">
      <c r="A8" s="1089" t="s">
        <v>2020</v>
      </c>
      <c r="B8" s="944"/>
      <c r="C8" s="980" t="s">
        <v>2010</v>
      </c>
      <c r="D8" s="944"/>
      <c r="E8" s="944"/>
      <c r="F8" s="51" t="s">
        <v>39</v>
      </c>
      <c r="G8" s="52">
        <v>310.2</v>
      </c>
    </row>
    <row r="9" spans="1:7" s="2" customFormat="1" ht="15.75" customHeight="1">
      <c r="A9" s="1071" t="s">
        <v>5</v>
      </c>
      <c r="B9" s="944"/>
      <c r="C9" s="944"/>
      <c r="D9" s="944"/>
      <c r="E9" s="944"/>
      <c r="F9" s="944"/>
      <c r="G9" s="1072"/>
    </row>
    <row r="10" spans="1:7" s="2" customFormat="1" ht="15.75" customHeight="1">
      <c r="A10" s="1074" t="s">
        <v>2</v>
      </c>
      <c r="B10" s="944"/>
      <c r="C10" s="53" t="s">
        <v>3</v>
      </c>
      <c r="D10" s="53" t="s">
        <v>4</v>
      </c>
      <c r="E10" s="53" t="s">
        <v>6</v>
      </c>
      <c r="F10" s="53" t="s">
        <v>7</v>
      </c>
      <c r="G10" s="1075" t="s">
        <v>8</v>
      </c>
    </row>
    <row r="11" spans="1:7" s="2" customFormat="1" ht="15.75" customHeight="1">
      <c r="A11" s="947" t="s">
        <v>167</v>
      </c>
      <c r="B11" s="980"/>
      <c r="C11" s="51" t="s">
        <v>3</v>
      </c>
      <c r="D11" s="54">
        <v>0.05</v>
      </c>
      <c r="E11" s="17">
        <f>+G28</f>
        <v>29826</v>
      </c>
      <c r="F11" s="55">
        <f>D11*E11</f>
        <v>1491.3000000000002</v>
      </c>
      <c r="G11" s="1072"/>
    </row>
    <row r="12" spans="1:7" s="2" customFormat="1" ht="15.75" customHeight="1">
      <c r="A12" s="947" t="str">
        <f>'MAQUINARIA Y EQUIPOS'!$D$44</f>
        <v>VIBROCOMPACTADOR</v>
      </c>
      <c r="B12" s="944"/>
      <c r="C12" s="51" t="s">
        <v>60</v>
      </c>
      <c r="D12" s="54">
        <v>0.03</v>
      </c>
      <c r="E12" s="17">
        <f>'MAQUINARIA Y EQUIPOS'!$F$44</f>
        <v>75000</v>
      </c>
      <c r="F12" s="55">
        <f>D12*E12</f>
        <v>2250</v>
      </c>
      <c r="G12" s="1072"/>
    </row>
    <row r="13" spans="1:7" s="2" customFormat="1" ht="15.75" customHeight="1">
      <c r="A13" s="947"/>
      <c r="B13" s="980"/>
      <c r="C13" s="141"/>
      <c r="D13" s="16"/>
      <c r="E13" s="143"/>
      <c r="F13" s="55">
        <f>D13*E13</f>
        <v>0</v>
      </c>
      <c r="G13" s="1072"/>
    </row>
    <row r="14" spans="1:7" s="2" customFormat="1" ht="15.75" customHeight="1">
      <c r="A14" s="947"/>
      <c r="B14" s="944"/>
      <c r="C14" s="51"/>
      <c r="D14" s="54"/>
      <c r="E14" s="17"/>
      <c r="F14" s="55">
        <f>D14*E14</f>
        <v>0</v>
      </c>
      <c r="G14" s="1072"/>
    </row>
    <row r="15" spans="1:7" s="2" customFormat="1" ht="15.75" customHeight="1">
      <c r="A15" s="1079"/>
      <c r="B15" s="944"/>
      <c r="C15" s="56"/>
      <c r="D15" s="56"/>
      <c r="E15" s="56"/>
      <c r="F15" s="55"/>
      <c r="G15" s="57">
        <f>SUM(F10:F15)</f>
        <v>3741.3</v>
      </c>
    </row>
    <row r="16" spans="1:7" s="2" customFormat="1" ht="15" customHeight="1">
      <c r="A16" s="1071" t="s">
        <v>10</v>
      </c>
      <c r="B16" s="944"/>
      <c r="C16" s="944"/>
      <c r="D16" s="944"/>
      <c r="E16" s="944"/>
      <c r="F16" s="944"/>
      <c r="G16" s="1072"/>
    </row>
    <row r="17" spans="1:7" s="2" customFormat="1" ht="15" customHeight="1">
      <c r="A17" s="1074" t="s">
        <v>2</v>
      </c>
      <c r="B17" s="944"/>
      <c r="C17" s="53" t="s">
        <v>3</v>
      </c>
      <c r="D17" s="53" t="s">
        <v>4</v>
      </c>
      <c r="E17" s="53" t="s">
        <v>6</v>
      </c>
      <c r="F17" s="53" t="s">
        <v>11</v>
      </c>
      <c r="G17" s="1075" t="s">
        <v>8</v>
      </c>
    </row>
    <row r="18" spans="1:7" s="2" customFormat="1" ht="15" customHeight="1">
      <c r="A18" s="947"/>
      <c r="B18" s="944"/>
      <c r="C18" s="16"/>
      <c r="D18" s="54"/>
      <c r="E18" s="17"/>
      <c r="F18" s="55">
        <f>D18*E18</f>
        <v>0</v>
      </c>
      <c r="G18" s="1072"/>
    </row>
    <row r="19" spans="1:7" s="2" customFormat="1" ht="15" customHeight="1">
      <c r="A19" s="947"/>
      <c r="B19" s="944"/>
      <c r="C19" s="51"/>
      <c r="D19" s="54"/>
      <c r="E19" s="17"/>
      <c r="F19" s="55">
        <f>D19*E19</f>
        <v>0</v>
      </c>
      <c r="G19" s="1072"/>
    </row>
    <row r="20" spans="1:7" s="2" customFormat="1" ht="15" customHeight="1">
      <c r="A20" s="947"/>
      <c r="B20" s="944"/>
      <c r="C20" s="16"/>
      <c r="D20" s="54"/>
      <c r="E20" s="17"/>
      <c r="F20" s="55">
        <f>D20*E20</f>
        <v>0</v>
      </c>
      <c r="G20" s="1072"/>
    </row>
    <row r="21" spans="1:7" s="2" customFormat="1" ht="15" customHeight="1">
      <c r="A21" s="947"/>
      <c r="B21" s="944"/>
      <c r="C21" s="16"/>
      <c r="D21" s="58"/>
      <c r="E21" s="17"/>
      <c r="F21" s="55"/>
      <c r="G21" s="57">
        <f>SUM(F17:F21)</f>
        <v>0</v>
      </c>
    </row>
    <row r="22" spans="1:7" s="2" customFormat="1" ht="15" customHeight="1">
      <c r="A22" s="1071" t="s">
        <v>15</v>
      </c>
      <c r="B22" s="944"/>
      <c r="C22" s="944"/>
      <c r="D22" s="944"/>
      <c r="E22" s="944"/>
      <c r="F22" s="944"/>
      <c r="G22" s="1072"/>
    </row>
    <row r="23" spans="1:7" s="2" customFormat="1" ht="15" customHeight="1">
      <c r="A23" s="1074" t="s">
        <v>2</v>
      </c>
      <c r="B23" s="944"/>
      <c r="C23" s="53" t="s">
        <v>3</v>
      </c>
      <c r="D23" s="53" t="s">
        <v>4</v>
      </c>
      <c r="E23" s="53" t="s">
        <v>6</v>
      </c>
      <c r="F23" s="53" t="s">
        <v>11</v>
      </c>
      <c r="G23" s="1075" t="s">
        <v>8</v>
      </c>
    </row>
    <row r="24" spans="1:7" s="2" customFormat="1" ht="15" customHeight="1">
      <c r="A24" s="943" t="s">
        <v>2561</v>
      </c>
      <c r="B24" s="944"/>
      <c r="C24" s="16" t="s">
        <v>39</v>
      </c>
      <c r="D24" s="16">
        <v>1.2</v>
      </c>
      <c r="E24" s="17">
        <f>'MAQUINARIA Y EQUIPOS'!$F$22</f>
        <v>42000</v>
      </c>
      <c r="F24" s="55">
        <f>E24*D24</f>
        <v>50400</v>
      </c>
      <c r="G24" s="1072"/>
    </row>
    <row r="25" spans="1:7" s="2" customFormat="1" ht="15" customHeight="1">
      <c r="A25" s="59"/>
      <c r="B25" s="60"/>
      <c r="C25" s="60"/>
      <c r="D25" s="60"/>
      <c r="E25" s="60"/>
      <c r="F25" s="60"/>
      <c r="G25" s="57">
        <f>SUM(F24:F25)</f>
        <v>50400</v>
      </c>
    </row>
    <row r="26" spans="1:7" s="2" customFormat="1" ht="15" customHeight="1">
      <c r="A26" s="1071" t="s">
        <v>19</v>
      </c>
      <c r="B26" s="944"/>
      <c r="C26" s="944"/>
      <c r="D26" s="944"/>
      <c r="E26" s="944"/>
      <c r="F26" s="944"/>
      <c r="G26" s="1072"/>
    </row>
    <row r="27" spans="1:7" s="2" customFormat="1" ht="15" customHeight="1">
      <c r="A27" s="1074" t="s">
        <v>2</v>
      </c>
      <c r="B27" s="944"/>
      <c r="C27" s="53" t="s">
        <v>3</v>
      </c>
      <c r="D27" s="53" t="s">
        <v>4</v>
      </c>
      <c r="E27" s="53" t="s">
        <v>6</v>
      </c>
      <c r="F27" s="53" t="s">
        <v>11</v>
      </c>
      <c r="G27" s="456" t="s">
        <v>8</v>
      </c>
    </row>
    <row r="28" spans="1:7" s="2" customFormat="1" ht="15.75" customHeight="1">
      <c r="A28" s="978" t="str">
        <f>SALARIOS!$A$61</f>
        <v>CUADRILLA AA ALBAÑILERÍA 1:1</v>
      </c>
      <c r="B28" s="979"/>
      <c r="C28" s="13" t="s">
        <v>1245</v>
      </c>
      <c r="D28" s="32">
        <v>1.2</v>
      </c>
      <c r="E28" s="13">
        <f>SALARIOS!$C$61</f>
        <v>24855</v>
      </c>
      <c r="F28" s="55">
        <f>+D28*E28</f>
        <v>29826</v>
      </c>
      <c r="G28" s="57">
        <f>SUM(F27:F28)</f>
        <v>29826</v>
      </c>
    </row>
    <row r="29" spans="1:7">
      <c r="A29" s="1076" t="s">
        <v>25</v>
      </c>
      <c r="B29" s="944"/>
      <c r="C29" s="944"/>
      <c r="D29" s="944"/>
      <c r="E29" s="944"/>
      <c r="F29" s="944"/>
      <c r="G29" s="1072"/>
    </row>
    <row r="30" spans="1:7" ht="17.399999999999999">
      <c r="A30" s="1077"/>
      <c r="B30" s="944"/>
      <c r="C30" s="944"/>
      <c r="D30" s="944"/>
      <c r="E30" s="944"/>
      <c r="F30" s="944"/>
      <c r="G30" s="62">
        <f>G28+G25+G21+G15</f>
        <v>83967.3</v>
      </c>
    </row>
    <row r="31" spans="1:7" ht="20.25" customHeight="1"/>
    <row r="32" spans="1:7" ht="49.5" customHeight="1">
      <c r="A32" s="970" t="s">
        <v>1</v>
      </c>
      <c r="B32" s="957"/>
      <c r="C32" s="953" t="s">
        <v>0</v>
      </c>
      <c r="D32" s="953"/>
      <c r="E32" s="953"/>
      <c r="F32" s="953"/>
      <c r="G32" s="1103"/>
    </row>
    <row r="33" spans="1:7">
      <c r="A33" s="971"/>
      <c r="B33" s="957"/>
      <c r="C33" s="953"/>
      <c r="D33" s="953"/>
      <c r="E33" s="953"/>
      <c r="F33" s="953"/>
      <c r="G33" s="1103"/>
    </row>
    <row r="34" spans="1:7" ht="17.399999999999999">
      <c r="A34" s="971"/>
      <c r="B34" s="957"/>
      <c r="C34" s="956"/>
      <c r="D34" s="957"/>
      <c r="E34" s="957"/>
      <c r="F34" s="957"/>
      <c r="G34" s="958"/>
    </row>
    <row r="35" spans="1:7">
      <c r="A35" s="971"/>
      <c r="B35" s="957"/>
      <c r="C35" s="959" t="s">
        <v>2</v>
      </c>
      <c r="D35" s="957"/>
      <c r="E35" s="957"/>
      <c r="F35" s="23" t="s">
        <v>3</v>
      </c>
      <c r="G35" s="24" t="s">
        <v>4</v>
      </c>
    </row>
    <row r="36" spans="1:7" ht="49.5" customHeight="1">
      <c r="A36" s="1089" t="s">
        <v>2021</v>
      </c>
      <c r="B36" s="944"/>
      <c r="C36" s="980" t="s">
        <v>2022</v>
      </c>
      <c r="D36" s="944"/>
      <c r="E36" s="944"/>
      <c r="F36" s="51" t="s">
        <v>39</v>
      </c>
      <c r="G36" s="52">
        <v>77.5</v>
      </c>
    </row>
    <row r="37" spans="1:7">
      <c r="A37" s="1071" t="s">
        <v>5</v>
      </c>
      <c r="B37" s="944"/>
      <c r="C37" s="944"/>
      <c r="D37" s="944"/>
      <c r="E37" s="944"/>
      <c r="F37" s="944"/>
      <c r="G37" s="1072"/>
    </row>
    <row r="38" spans="1:7" s="2" customFormat="1" ht="15.75" customHeight="1">
      <c r="A38" s="1074" t="s">
        <v>2</v>
      </c>
      <c r="B38" s="944"/>
      <c r="C38" s="53" t="s">
        <v>3</v>
      </c>
      <c r="D38" s="53" t="s">
        <v>4</v>
      </c>
      <c r="E38" s="53" t="s">
        <v>6</v>
      </c>
      <c r="F38" s="53" t="s">
        <v>7</v>
      </c>
      <c r="G38" s="1075" t="s">
        <v>8</v>
      </c>
    </row>
    <row r="39" spans="1:7" s="2" customFormat="1" ht="15.75" customHeight="1">
      <c r="A39" s="947" t="s">
        <v>167</v>
      </c>
      <c r="B39" s="980"/>
      <c r="C39" s="51" t="s">
        <v>3</v>
      </c>
      <c r="D39" s="54">
        <v>0.05</v>
      </c>
      <c r="E39" s="17">
        <f>+G56</f>
        <v>40875.599999999999</v>
      </c>
      <c r="F39" s="55">
        <f>D39*E39</f>
        <v>2043.78</v>
      </c>
      <c r="G39" s="1072"/>
    </row>
    <row r="40" spans="1:7" s="2" customFormat="1" ht="15.75" customHeight="1">
      <c r="A40" s="947" t="str">
        <f>'MAQUINARIA Y EQUIPOS'!$D$44</f>
        <v>VIBROCOMPACTADOR</v>
      </c>
      <c r="B40" s="944"/>
      <c r="C40" s="51" t="s">
        <v>60</v>
      </c>
      <c r="D40" s="54">
        <v>0.03</v>
      </c>
      <c r="E40" s="17">
        <f>'MAQUINARIA Y EQUIPOS'!$F$44</f>
        <v>75000</v>
      </c>
      <c r="F40" s="55">
        <f>D40*E40</f>
        <v>2250</v>
      </c>
      <c r="G40" s="1072"/>
    </row>
    <row r="41" spans="1:7" s="2" customFormat="1" ht="15.75" customHeight="1">
      <c r="A41" s="947"/>
      <c r="B41" s="944"/>
      <c r="C41" s="51"/>
      <c r="D41" s="54"/>
      <c r="E41" s="17"/>
      <c r="F41" s="55">
        <f>D41*E41</f>
        <v>0</v>
      </c>
      <c r="G41" s="1072"/>
    </row>
    <row r="42" spans="1:7" s="2" customFormat="1" ht="15.75" customHeight="1">
      <c r="A42" s="1079"/>
      <c r="B42" s="944"/>
      <c r="C42" s="56"/>
      <c r="D42" s="56"/>
      <c r="E42" s="56"/>
      <c r="F42" s="55"/>
      <c r="G42" s="57">
        <f>SUM(F38:F42)</f>
        <v>4293.78</v>
      </c>
    </row>
    <row r="43" spans="1:7" s="2" customFormat="1" ht="15" customHeight="1">
      <c r="A43" s="1071" t="s">
        <v>10</v>
      </c>
      <c r="B43" s="944"/>
      <c r="C43" s="944"/>
      <c r="D43" s="944"/>
      <c r="E43" s="944"/>
      <c r="F43" s="944"/>
      <c r="G43" s="1072"/>
    </row>
    <row r="44" spans="1:7" s="2" customFormat="1" ht="15" customHeight="1">
      <c r="A44" s="1074" t="s">
        <v>2</v>
      </c>
      <c r="B44" s="944"/>
      <c r="C44" s="53" t="s">
        <v>3</v>
      </c>
      <c r="D44" s="53" t="s">
        <v>4</v>
      </c>
      <c r="E44" s="53" t="s">
        <v>6</v>
      </c>
      <c r="F44" s="53" t="s">
        <v>11</v>
      </c>
      <c r="G44" s="1075" t="s">
        <v>8</v>
      </c>
    </row>
    <row r="45" spans="1:7" s="2" customFormat="1" ht="15" customHeight="1">
      <c r="A45" s="947" t="s">
        <v>2112</v>
      </c>
      <c r="B45" s="944"/>
      <c r="C45" s="16" t="s">
        <v>39</v>
      </c>
      <c r="D45" s="54">
        <v>1.1000000000000001</v>
      </c>
      <c r="E45" s="17">
        <f>'INSUMOS '!$E$512</f>
        <v>45000</v>
      </c>
      <c r="F45" s="55">
        <f>D45*E45</f>
        <v>49500.000000000007</v>
      </c>
      <c r="G45" s="1072"/>
    </row>
    <row r="46" spans="1:7" s="2" customFormat="1" ht="15" customHeight="1">
      <c r="A46" s="947"/>
      <c r="B46" s="944"/>
      <c r="C46" s="51"/>
      <c r="D46" s="54"/>
      <c r="E46" s="17"/>
      <c r="F46" s="55">
        <f>D46*E46</f>
        <v>0</v>
      </c>
      <c r="G46" s="1072"/>
    </row>
    <row r="47" spans="1:7" s="2" customFormat="1" ht="15" customHeight="1">
      <c r="A47" s="947"/>
      <c r="B47" s="944"/>
      <c r="C47" s="16"/>
      <c r="D47" s="54"/>
      <c r="E47" s="17"/>
      <c r="F47" s="55">
        <f>D47*E47</f>
        <v>0</v>
      </c>
      <c r="G47" s="1072"/>
    </row>
    <row r="48" spans="1:7" s="2" customFormat="1" ht="15" customHeight="1">
      <c r="A48" s="947"/>
      <c r="B48" s="944"/>
      <c r="C48" s="16"/>
      <c r="D48" s="58"/>
      <c r="E48" s="17"/>
      <c r="F48" s="55"/>
      <c r="G48" s="57">
        <f>SUM(F44:F48)</f>
        <v>49500.000000000007</v>
      </c>
    </row>
    <row r="49" spans="1:7" s="2" customFormat="1" ht="15" customHeight="1">
      <c r="A49" s="1071" t="s">
        <v>15</v>
      </c>
      <c r="B49" s="944"/>
      <c r="C49" s="944"/>
      <c r="D49" s="944"/>
      <c r="E49" s="944"/>
      <c r="F49" s="944"/>
      <c r="G49" s="1072"/>
    </row>
    <row r="50" spans="1:7" s="2" customFormat="1" ht="15" customHeight="1">
      <c r="A50" s="1074" t="s">
        <v>2</v>
      </c>
      <c r="B50" s="944"/>
      <c r="C50" s="53" t="s">
        <v>3</v>
      </c>
      <c r="D50" s="53" t="s">
        <v>4</v>
      </c>
      <c r="E50" s="53" t="s">
        <v>6</v>
      </c>
      <c r="F50" s="53" t="s">
        <v>11</v>
      </c>
      <c r="G50" s="1075" t="s">
        <v>8</v>
      </c>
    </row>
    <row r="51" spans="1:7" s="2" customFormat="1" ht="15" customHeight="1">
      <c r="A51" s="943" t="s">
        <v>104</v>
      </c>
      <c r="B51" s="944"/>
      <c r="C51" s="16" t="s">
        <v>3</v>
      </c>
      <c r="D51" s="54">
        <v>3.5000000000000003E-2</v>
      </c>
      <c r="E51" s="17">
        <f>+G48</f>
        <v>49500.000000000007</v>
      </c>
      <c r="F51" s="55">
        <f>E51*D51</f>
        <v>1732.5000000000005</v>
      </c>
      <c r="G51" s="1072"/>
    </row>
    <row r="52" spans="1:7" s="2" customFormat="1" ht="15" customHeight="1">
      <c r="A52" s="943" t="s">
        <v>2660</v>
      </c>
      <c r="B52" s="944"/>
      <c r="C52" s="16" t="s">
        <v>39</v>
      </c>
      <c r="D52" s="16">
        <v>1.1000000000000001</v>
      </c>
      <c r="E52" s="17">
        <f>'MAQUINARIA Y EQUIPOS'!$F$22</f>
        <v>42000</v>
      </c>
      <c r="F52" s="55">
        <f>E52*D52</f>
        <v>46200.000000000007</v>
      </c>
      <c r="G52" s="123"/>
    </row>
    <row r="53" spans="1:7" s="2" customFormat="1" ht="15" customHeight="1">
      <c r="A53" s="59"/>
      <c r="B53" s="60"/>
      <c r="C53" s="60"/>
      <c r="D53" s="60"/>
      <c r="E53" s="60"/>
      <c r="F53" s="60"/>
      <c r="G53" s="57">
        <f>SUM(F51:F53)</f>
        <v>47932.500000000007</v>
      </c>
    </row>
    <row r="54" spans="1:7" s="2" customFormat="1" ht="15" customHeight="1">
      <c r="A54" s="1071" t="s">
        <v>19</v>
      </c>
      <c r="B54" s="944"/>
      <c r="C54" s="944"/>
      <c r="D54" s="944"/>
      <c r="E54" s="944"/>
      <c r="F54" s="944"/>
      <c r="G54" s="1072"/>
    </row>
    <row r="55" spans="1:7" s="2" customFormat="1" ht="15" customHeight="1">
      <c r="A55" s="1074" t="s">
        <v>2</v>
      </c>
      <c r="B55" s="944"/>
      <c r="C55" s="53" t="s">
        <v>3</v>
      </c>
      <c r="D55" s="53" t="s">
        <v>4</v>
      </c>
      <c r="E55" s="53" t="s">
        <v>6</v>
      </c>
      <c r="F55" s="53" t="s">
        <v>11</v>
      </c>
      <c r="G55" s="456" t="s">
        <v>8</v>
      </c>
    </row>
    <row r="56" spans="1:7" s="2" customFormat="1" ht="15.75" customHeight="1">
      <c r="A56" s="978" t="str">
        <f>SALARIOS!$A$62</f>
        <v>CUADRILLA AA ALBAÑILERÍA 1:2</v>
      </c>
      <c r="B56" s="979"/>
      <c r="C56" s="13" t="s">
        <v>1245</v>
      </c>
      <c r="D56" s="32">
        <v>1.2</v>
      </c>
      <c r="E56" s="13">
        <f>SALARIOS!$C$62</f>
        <v>34063</v>
      </c>
      <c r="F56" s="55">
        <f>+D56*E56</f>
        <v>40875.599999999999</v>
      </c>
      <c r="G56" s="57">
        <f>SUM(F55:F56)</f>
        <v>40875.599999999999</v>
      </c>
    </row>
    <row r="57" spans="1:7">
      <c r="A57" s="1076" t="s">
        <v>25</v>
      </c>
      <c r="B57" s="944"/>
      <c r="C57" s="944"/>
      <c r="D57" s="944"/>
      <c r="E57" s="944"/>
      <c r="F57" s="944"/>
      <c r="G57" s="1072"/>
    </row>
    <row r="58" spans="1:7" ht="17.399999999999999">
      <c r="A58" s="1077"/>
      <c r="B58" s="944"/>
      <c r="C58" s="944"/>
      <c r="D58" s="944"/>
      <c r="E58" s="944"/>
      <c r="F58" s="944"/>
      <c r="G58" s="62">
        <f>G56+G53+G48+G42</f>
        <v>142601.88</v>
      </c>
    </row>
    <row r="59" spans="1:7" ht="15.75" customHeight="1"/>
    <row r="60" spans="1:7">
      <c r="A60" s="970" t="s">
        <v>1</v>
      </c>
      <c r="B60" s="957"/>
      <c r="C60" s="953" t="s">
        <v>0</v>
      </c>
      <c r="D60" s="953"/>
      <c r="E60" s="953"/>
      <c r="F60" s="953"/>
      <c r="G60" s="1103"/>
    </row>
    <row r="61" spans="1:7" ht="50.25" customHeight="1">
      <c r="A61" s="971"/>
      <c r="B61" s="957"/>
      <c r="C61" s="953"/>
      <c r="D61" s="953"/>
      <c r="E61" s="953"/>
      <c r="F61" s="953"/>
      <c r="G61" s="1103"/>
    </row>
    <row r="62" spans="1:7" ht="18" customHeight="1">
      <c r="A62" s="971"/>
      <c r="B62" s="957"/>
      <c r="C62" s="956"/>
      <c r="D62" s="957"/>
      <c r="E62" s="957"/>
      <c r="F62" s="957"/>
      <c r="G62" s="958"/>
    </row>
    <row r="63" spans="1:7">
      <c r="A63" s="971"/>
      <c r="B63" s="957"/>
      <c r="C63" s="959" t="s">
        <v>2</v>
      </c>
      <c r="D63" s="957"/>
      <c r="E63" s="957"/>
      <c r="F63" s="23" t="s">
        <v>3</v>
      </c>
      <c r="G63" s="24" t="s">
        <v>4</v>
      </c>
    </row>
    <row r="64" spans="1:7" ht="34.799999999999997">
      <c r="A64" s="1089" t="s">
        <v>2023</v>
      </c>
      <c r="B64" s="944"/>
      <c r="C64" s="980" t="s">
        <v>2014</v>
      </c>
      <c r="D64" s="944"/>
      <c r="E64" s="944"/>
      <c r="F64" s="51" t="s">
        <v>39</v>
      </c>
      <c r="G64" s="52">
        <v>85.3</v>
      </c>
    </row>
    <row r="65" spans="1:7">
      <c r="A65" s="1071" t="s">
        <v>5</v>
      </c>
      <c r="B65" s="944"/>
      <c r="C65" s="944"/>
      <c r="D65" s="944"/>
      <c r="E65" s="944"/>
      <c r="F65" s="944"/>
      <c r="G65" s="1072"/>
    </row>
    <row r="66" spans="1:7">
      <c r="A66" s="1074" t="s">
        <v>2</v>
      </c>
      <c r="B66" s="944"/>
      <c r="C66" s="53" t="s">
        <v>3</v>
      </c>
      <c r="D66" s="53" t="s">
        <v>4</v>
      </c>
      <c r="E66" s="53" t="s">
        <v>6</v>
      </c>
      <c r="F66" s="53" t="s">
        <v>7</v>
      </c>
      <c r="G66" s="1075" t="s">
        <v>8</v>
      </c>
    </row>
    <row r="67" spans="1:7">
      <c r="A67" s="947" t="s">
        <v>167</v>
      </c>
      <c r="B67" s="980"/>
      <c r="C67" s="51" t="s">
        <v>3</v>
      </c>
      <c r="D67" s="54">
        <v>0.05</v>
      </c>
      <c r="E67" s="17">
        <f>+G85</f>
        <v>18416</v>
      </c>
      <c r="F67" s="55">
        <f>D67*E67</f>
        <v>920.80000000000007</v>
      </c>
      <c r="G67" s="1072"/>
    </row>
    <row r="68" spans="1:7">
      <c r="A68" s="947"/>
      <c r="B68" s="944"/>
      <c r="C68" s="51"/>
      <c r="D68" s="54"/>
      <c r="E68" s="17"/>
      <c r="F68" s="55">
        <f>D68*E68</f>
        <v>0</v>
      </c>
      <c r="G68" s="1072"/>
    </row>
    <row r="69" spans="1:7">
      <c r="A69" s="947"/>
      <c r="B69" s="980"/>
      <c r="C69" s="141"/>
      <c r="D69" s="16"/>
      <c r="E69" s="143"/>
      <c r="F69" s="55">
        <f>D69*E69</f>
        <v>0</v>
      </c>
      <c r="G69" s="1072"/>
    </row>
    <row r="70" spans="1:7">
      <c r="A70" s="947"/>
      <c r="B70" s="944"/>
      <c r="C70" s="51"/>
      <c r="D70" s="54"/>
      <c r="E70" s="17"/>
      <c r="F70" s="55">
        <f>D70*E70</f>
        <v>0</v>
      </c>
      <c r="G70" s="1072"/>
    </row>
    <row r="71" spans="1:7">
      <c r="A71" s="1079"/>
      <c r="B71" s="944"/>
      <c r="C71" s="56"/>
      <c r="D71" s="56"/>
      <c r="E71" s="56"/>
      <c r="F71" s="55"/>
      <c r="G71" s="57">
        <f>SUM(F66:F71)</f>
        <v>920.80000000000007</v>
      </c>
    </row>
    <row r="72" spans="1:7">
      <c r="A72" s="1071" t="s">
        <v>10</v>
      </c>
      <c r="B72" s="944"/>
      <c r="C72" s="944"/>
      <c r="D72" s="944"/>
      <c r="E72" s="944"/>
      <c r="F72" s="944"/>
      <c r="G72" s="1072"/>
    </row>
    <row r="73" spans="1:7">
      <c r="A73" s="1074" t="s">
        <v>2</v>
      </c>
      <c r="B73" s="944"/>
      <c r="C73" s="53" t="s">
        <v>3</v>
      </c>
      <c r="D73" s="53" t="s">
        <v>4</v>
      </c>
      <c r="E73" s="53" t="s">
        <v>6</v>
      </c>
      <c r="F73" s="53" t="s">
        <v>11</v>
      </c>
      <c r="G73" s="1075" t="s">
        <v>8</v>
      </c>
    </row>
    <row r="74" spans="1:7">
      <c r="A74" s="947"/>
      <c r="B74" s="944"/>
      <c r="C74" s="16"/>
      <c r="D74" s="54"/>
      <c r="E74" s="17"/>
      <c r="F74" s="55">
        <f>D74*E74</f>
        <v>0</v>
      </c>
      <c r="G74" s="1072"/>
    </row>
    <row r="75" spans="1:7">
      <c r="A75" s="947"/>
      <c r="B75" s="944"/>
      <c r="C75" s="51"/>
      <c r="D75" s="54"/>
      <c r="E75" s="17"/>
      <c r="F75" s="55">
        <f>D75*E75</f>
        <v>0</v>
      </c>
      <c r="G75" s="1072"/>
    </row>
    <row r="76" spans="1:7">
      <c r="A76" s="947"/>
      <c r="B76" s="944"/>
      <c r="C76" s="16"/>
      <c r="D76" s="54"/>
      <c r="E76" s="17"/>
      <c r="F76" s="55">
        <f>D76*E76</f>
        <v>0</v>
      </c>
      <c r="G76" s="1072"/>
    </row>
    <row r="77" spans="1:7">
      <c r="A77" s="947"/>
      <c r="B77" s="944"/>
      <c r="C77" s="16"/>
      <c r="D77" s="58"/>
      <c r="E77" s="17"/>
      <c r="F77" s="55"/>
      <c r="G77" s="57">
        <f>SUM(F73:F77)</f>
        <v>0</v>
      </c>
    </row>
    <row r="78" spans="1:7">
      <c r="A78" s="1071" t="s">
        <v>15</v>
      </c>
      <c r="B78" s="944"/>
      <c r="C78" s="944"/>
      <c r="D78" s="944"/>
      <c r="E78" s="944"/>
      <c r="F78" s="944"/>
      <c r="G78" s="1072"/>
    </row>
    <row r="79" spans="1:7">
      <c r="A79" s="1074" t="s">
        <v>2</v>
      </c>
      <c r="B79" s="944"/>
      <c r="C79" s="53" t="s">
        <v>3</v>
      </c>
      <c r="D79" s="53" t="s">
        <v>4</v>
      </c>
      <c r="E79" s="53" t="s">
        <v>6</v>
      </c>
      <c r="F79" s="53" t="s">
        <v>11</v>
      </c>
      <c r="G79" s="1075" t="s">
        <v>8</v>
      </c>
    </row>
    <row r="80" spans="1:7">
      <c r="A80" s="943" t="s">
        <v>15</v>
      </c>
      <c r="B80" s="944"/>
      <c r="C80" s="16" t="s">
        <v>2645</v>
      </c>
      <c r="D80" s="629">
        <v>30</v>
      </c>
      <c r="E80" s="17">
        <f>'MAQUINARIA Y EQUIPOS'!F46</f>
        <v>1650</v>
      </c>
      <c r="F80" s="55">
        <f>E80*D80</f>
        <v>49500</v>
      </c>
      <c r="G80" s="1075"/>
    </row>
    <row r="81" spans="1:7">
      <c r="A81" s="943" t="str">
        <f>'MAQUINARIA Y EQUIPOS'!D22</f>
        <v>Cargue de material sobrante (2 paleros)</v>
      </c>
      <c r="B81" s="944"/>
      <c r="C81" s="16" t="s">
        <v>39</v>
      </c>
      <c r="D81" s="16">
        <v>1</v>
      </c>
      <c r="E81" s="17">
        <f>'MAQUINARIA Y EQUIPOS'!F22</f>
        <v>42000</v>
      </c>
      <c r="F81" s="55">
        <f>E81*D81</f>
        <v>42000</v>
      </c>
      <c r="G81" s="1072"/>
    </row>
    <row r="82" spans="1:7">
      <c r="A82" s="59"/>
      <c r="B82" s="60"/>
      <c r="C82" s="60"/>
      <c r="D82" s="60"/>
      <c r="E82" s="60"/>
      <c r="F82" s="60"/>
      <c r="G82" s="57">
        <f>SUM(F79:F82)</f>
        <v>91500</v>
      </c>
    </row>
    <row r="83" spans="1:7">
      <c r="A83" s="1071" t="s">
        <v>19</v>
      </c>
      <c r="B83" s="944"/>
      <c r="C83" s="944"/>
      <c r="D83" s="944"/>
      <c r="E83" s="944"/>
      <c r="F83" s="944"/>
      <c r="G83" s="1072"/>
    </row>
    <row r="84" spans="1:7">
      <c r="A84" s="1074" t="s">
        <v>2</v>
      </c>
      <c r="B84" s="944"/>
      <c r="C84" s="53" t="s">
        <v>3</v>
      </c>
      <c r="D84" s="53" t="s">
        <v>4</v>
      </c>
      <c r="E84" s="53" t="s">
        <v>6</v>
      </c>
      <c r="F84" s="53" t="s">
        <v>11</v>
      </c>
      <c r="G84" s="456" t="s">
        <v>8</v>
      </c>
    </row>
    <row r="85" spans="1:7">
      <c r="A85" s="978" t="str">
        <f>SALARIOS!$A$59</f>
        <v>CUADRILLA AA ALBAÑILERÍA 0:2</v>
      </c>
      <c r="B85" s="979"/>
      <c r="C85" s="13" t="s">
        <v>1245</v>
      </c>
      <c r="D85" s="32">
        <v>1</v>
      </c>
      <c r="E85" s="13">
        <f>SALARIOS!$C$59</f>
        <v>18416</v>
      </c>
      <c r="F85" s="55">
        <f>+D85*E85</f>
        <v>18416</v>
      </c>
      <c r="G85" s="57">
        <f>SUM(F84:F85)</f>
        <v>18416</v>
      </c>
    </row>
    <row r="86" spans="1:7">
      <c r="A86" s="1076" t="s">
        <v>25</v>
      </c>
      <c r="B86" s="944"/>
      <c r="C86" s="944"/>
      <c r="D86" s="944"/>
      <c r="E86" s="944"/>
      <c r="F86" s="944"/>
      <c r="G86" s="1072"/>
    </row>
    <row r="87" spans="1:7" ht="17.399999999999999">
      <c r="A87" s="1077"/>
      <c r="B87" s="944"/>
      <c r="C87" s="944"/>
      <c r="D87" s="944"/>
      <c r="E87" s="944"/>
      <c r="F87" s="944"/>
      <c r="G87" s="62">
        <f>G85+G82+G77+G71</f>
        <v>110836.8</v>
      </c>
    </row>
    <row r="89" spans="1:7">
      <c r="A89" s="970" t="s">
        <v>1</v>
      </c>
      <c r="B89" s="957"/>
      <c r="C89" s="953" t="s">
        <v>0</v>
      </c>
      <c r="D89" s="953"/>
      <c r="E89" s="953"/>
      <c r="F89" s="953"/>
      <c r="G89" s="1103"/>
    </row>
    <row r="90" spans="1:7" ht="48" customHeight="1">
      <c r="A90" s="971"/>
      <c r="B90" s="957"/>
      <c r="C90" s="953"/>
      <c r="D90" s="953"/>
      <c r="E90" s="953"/>
      <c r="F90" s="953"/>
      <c r="G90" s="1103"/>
    </row>
    <row r="91" spans="1:7" ht="17.399999999999999">
      <c r="A91" s="971"/>
      <c r="B91" s="957"/>
      <c r="C91" s="956"/>
      <c r="D91" s="957"/>
      <c r="E91" s="957"/>
      <c r="F91" s="957"/>
      <c r="G91" s="958"/>
    </row>
    <row r="92" spans="1:7">
      <c r="A92" s="971"/>
      <c r="B92" s="957"/>
      <c r="C92" s="959" t="s">
        <v>2</v>
      </c>
      <c r="D92" s="957"/>
      <c r="E92" s="957"/>
      <c r="F92" s="23" t="s">
        <v>3</v>
      </c>
      <c r="G92" s="24" t="s">
        <v>4</v>
      </c>
    </row>
    <row r="93" spans="1:7" ht="51.75" customHeight="1">
      <c r="A93" s="1089" t="s">
        <v>2026</v>
      </c>
      <c r="B93" s="944"/>
      <c r="C93" s="980" t="s">
        <v>2027</v>
      </c>
      <c r="D93" s="944"/>
      <c r="E93" s="944"/>
      <c r="F93" s="51" t="s">
        <v>45</v>
      </c>
      <c r="G93" s="52">
        <v>75</v>
      </c>
    </row>
    <row r="94" spans="1:7">
      <c r="A94" s="1071" t="s">
        <v>5</v>
      </c>
      <c r="B94" s="944"/>
      <c r="C94" s="944"/>
      <c r="D94" s="944"/>
      <c r="E94" s="944"/>
      <c r="F94" s="944"/>
      <c r="G94" s="1072"/>
    </row>
    <row r="95" spans="1:7">
      <c r="A95" s="1074" t="s">
        <v>2</v>
      </c>
      <c r="B95" s="944"/>
      <c r="C95" s="53" t="s">
        <v>3</v>
      </c>
      <c r="D95" s="53" t="s">
        <v>4</v>
      </c>
      <c r="E95" s="53" t="s">
        <v>6</v>
      </c>
      <c r="F95" s="53" t="s">
        <v>7</v>
      </c>
      <c r="G95" s="1075" t="s">
        <v>8</v>
      </c>
    </row>
    <row r="96" spans="1:7">
      <c r="A96" s="947" t="s">
        <v>167</v>
      </c>
      <c r="B96" s="980"/>
      <c r="C96" s="51" t="s">
        <v>3</v>
      </c>
      <c r="D96" s="54">
        <v>0.05</v>
      </c>
      <c r="E96" s="17">
        <f>+G118</f>
        <v>8202.2999999999993</v>
      </c>
      <c r="F96" s="55">
        <f>D96*E96</f>
        <v>410.11500000000001</v>
      </c>
      <c r="G96" s="1072"/>
    </row>
    <row r="97" spans="1:7">
      <c r="A97" s="947"/>
      <c r="B97" s="944"/>
      <c r="C97" s="51"/>
      <c r="D97" s="54"/>
      <c r="E97" s="17"/>
      <c r="F97" s="55">
        <f>D97*E97</f>
        <v>0</v>
      </c>
      <c r="G97" s="1072"/>
    </row>
    <row r="98" spans="1:7">
      <c r="A98" s="947"/>
      <c r="B98" s="980"/>
      <c r="C98" s="141"/>
      <c r="D98" s="16"/>
      <c r="E98" s="143"/>
      <c r="F98" s="55">
        <f>D98*E98</f>
        <v>0</v>
      </c>
      <c r="G98" s="1072"/>
    </row>
    <row r="99" spans="1:7">
      <c r="A99" s="947"/>
      <c r="B99" s="944"/>
      <c r="C99" s="51"/>
      <c r="D99" s="54"/>
      <c r="E99" s="17"/>
      <c r="F99" s="55">
        <f>D99*E99</f>
        <v>0</v>
      </c>
      <c r="G99" s="1072"/>
    </row>
    <row r="100" spans="1:7">
      <c r="A100" s="1079"/>
      <c r="B100" s="944"/>
      <c r="C100" s="56"/>
      <c r="D100" s="56"/>
      <c r="E100" s="56"/>
      <c r="F100" s="55"/>
      <c r="G100" s="57">
        <f>SUM(F95:F100)</f>
        <v>410.11500000000001</v>
      </c>
    </row>
    <row r="101" spans="1:7">
      <c r="A101" s="1071" t="s">
        <v>10</v>
      </c>
      <c r="B101" s="944"/>
      <c r="C101" s="944"/>
      <c r="D101" s="944"/>
      <c r="E101" s="944"/>
      <c r="F101" s="944"/>
      <c r="G101" s="1072"/>
    </row>
    <row r="102" spans="1:7">
      <c r="A102" s="1074" t="s">
        <v>2</v>
      </c>
      <c r="B102" s="944"/>
      <c r="C102" s="53" t="s">
        <v>3</v>
      </c>
      <c r="D102" s="53" t="s">
        <v>4</v>
      </c>
      <c r="E102" s="53" t="s">
        <v>6</v>
      </c>
      <c r="F102" s="53" t="s">
        <v>11</v>
      </c>
      <c r="G102" s="1075" t="s">
        <v>8</v>
      </c>
    </row>
    <row r="103" spans="1:7">
      <c r="A103" s="947" t="str">
        <f>'INSUMOS '!$B$419</f>
        <v>TUBERIA PVC-P 3</v>
      </c>
      <c r="B103" s="944"/>
      <c r="C103" s="51" t="s">
        <v>45</v>
      </c>
      <c r="D103" s="54">
        <v>1</v>
      </c>
      <c r="E103" s="17">
        <f>'INSUMOS '!$E$419</f>
        <v>25643.599999999999</v>
      </c>
      <c r="F103" s="55">
        <f t="shared" ref="F103:F110" si="0">D103*E103</f>
        <v>25643.599999999999</v>
      </c>
      <c r="G103" s="1075"/>
    </row>
    <row r="104" spans="1:7">
      <c r="A104" s="947" t="str">
        <f>'INSUMOS '!$B$386</f>
        <v>SOLDADURA PVC X 1/4</v>
      </c>
      <c r="B104" s="944"/>
      <c r="C104" s="51" t="s">
        <v>998</v>
      </c>
      <c r="D104" s="54">
        <v>0.05</v>
      </c>
      <c r="E104" s="17">
        <f>'INSUMOS '!$E$386</f>
        <v>74646</v>
      </c>
      <c r="F104" s="55">
        <f t="shared" si="0"/>
        <v>3732.3</v>
      </c>
      <c r="G104" s="1075"/>
    </row>
    <row r="105" spans="1:7">
      <c r="A105" s="947" t="str">
        <f>'INSUMOS '!$B$420</f>
        <v>LIMPIADOR PVC X 12 O.Z.</v>
      </c>
      <c r="B105" s="944"/>
      <c r="C105" s="51" t="s">
        <v>998</v>
      </c>
      <c r="D105" s="54">
        <v>0.05</v>
      </c>
      <c r="E105" s="17">
        <f>'INSUMOS '!$E$420</f>
        <v>31166.2</v>
      </c>
      <c r="F105" s="55">
        <f t="shared" si="0"/>
        <v>1558.3100000000002</v>
      </c>
      <c r="G105" s="1075"/>
    </row>
    <row r="106" spans="1:7">
      <c r="A106" s="1015" t="str">
        <f>'INSUMOS '!$B$421</f>
        <v>UNION PVC-P 3</v>
      </c>
      <c r="B106" s="1016"/>
      <c r="C106" s="16" t="s">
        <v>998</v>
      </c>
      <c r="D106" s="54">
        <v>0.17</v>
      </c>
      <c r="E106" s="17">
        <f>'INSUMOS '!$E$421</f>
        <v>6785</v>
      </c>
      <c r="F106" s="55">
        <f t="shared" si="0"/>
        <v>1153.45</v>
      </c>
      <c r="G106" s="1075"/>
    </row>
    <row r="107" spans="1:7">
      <c r="A107" s="1015" t="str">
        <f>'INSUMOS '!$B$422</f>
        <v>CODO PVC-P 3</v>
      </c>
      <c r="B107" s="1016"/>
      <c r="C107" s="16" t="s">
        <v>998</v>
      </c>
      <c r="D107" s="54">
        <v>0.61</v>
      </c>
      <c r="E107" s="17">
        <f>'INSUMOS '!$E$433</f>
        <v>41730</v>
      </c>
      <c r="F107" s="55">
        <f t="shared" si="0"/>
        <v>25455.3</v>
      </c>
      <c r="G107" s="1075"/>
    </row>
    <row r="108" spans="1:7">
      <c r="A108" s="1015" t="str">
        <f>'INSUMOS '!$B$423</f>
        <v>MEDIO CODO PVC-P 3</v>
      </c>
      <c r="B108" s="1016"/>
      <c r="C108" s="16" t="s">
        <v>45</v>
      </c>
      <c r="D108" s="54">
        <v>0.66</v>
      </c>
      <c r="E108" s="17">
        <f>'INSUMOS '!$E$434</f>
        <v>6397.6</v>
      </c>
      <c r="F108" s="55">
        <f t="shared" si="0"/>
        <v>4222.4160000000002</v>
      </c>
      <c r="G108" s="1072"/>
    </row>
    <row r="109" spans="1:7">
      <c r="A109" s="1015" t="str">
        <f>'INSUMOS '!$B$424</f>
        <v>TAPON SOLDADO PCV-P 3</v>
      </c>
      <c r="B109" s="1016"/>
      <c r="C109" s="16" t="s">
        <v>998</v>
      </c>
      <c r="D109" s="54">
        <v>2</v>
      </c>
      <c r="E109" s="17">
        <f>'INSUMOS '!$E$435</f>
        <v>2991.3</v>
      </c>
      <c r="F109" s="55">
        <f t="shared" si="0"/>
        <v>5982.6</v>
      </c>
      <c r="G109" s="1072"/>
    </row>
    <row r="110" spans="1:7">
      <c r="A110" s="1015" t="str">
        <f>'INSUMOS '!$B$425</f>
        <v>TEE PVC-P 3</v>
      </c>
      <c r="B110" s="1016"/>
      <c r="C110" s="16" t="s">
        <v>998</v>
      </c>
      <c r="D110" s="54">
        <v>0.35</v>
      </c>
      <c r="E110" s="17">
        <f>'INSUMOS '!$E$436</f>
        <v>6918.6</v>
      </c>
      <c r="F110" s="55">
        <f t="shared" si="0"/>
        <v>2421.5099999999998</v>
      </c>
      <c r="G110" s="1072"/>
    </row>
    <row r="111" spans="1:7">
      <c r="A111" s="947"/>
      <c r="B111" s="944"/>
      <c r="C111" s="16"/>
      <c r="D111" s="58"/>
      <c r="E111" s="17"/>
      <c r="F111" s="55"/>
      <c r="G111" s="57">
        <f>SUM(F102:F111)</f>
        <v>70169.48599999999</v>
      </c>
    </row>
    <row r="112" spans="1:7">
      <c r="A112" s="1071" t="s">
        <v>15</v>
      </c>
      <c r="B112" s="944"/>
      <c r="C112" s="944"/>
      <c r="D112" s="944"/>
      <c r="E112" s="944"/>
      <c r="F112" s="944"/>
      <c r="G112" s="1072"/>
    </row>
    <row r="113" spans="1:7">
      <c r="A113" s="1074" t="s">
        <v>2</v>
      </c>
      <c r="B113" s="944"/>
      <c r="C113" s="53" t="s">
        <v>3</v>
      </c>
      <c r="D113" s="53" t="s">
        <v>4</v>
      </c>
      <c r="E113" s="53" t="s">
        <v>6</v>
      </c>
      <c r="F113" s="53" t="s">
        <v>11</v>
      </c>
      <c r="G113" s="1075" t="s">
        <v>8</v>
      </c>
    </row>
    <row r="114" spans="1:7">
      <c r="A114" s="943" t="s">
        <v>173</v>
      </c>
      <c r="B114" s="944"/>
      <c r="C114" s="16" t="s">
        <v>3</v>
      </c>
      <c r="D114" s="54">
        <v>3.5000000000000003E-2</v>
      </c>
      <c r="E114" s="17">
        <f>+G111</f>
        <v>70169.48599999999</v>
      </c>
      <c r="F114" s="55">
        <f>E114*D114</f>
        <v>2455.93201</v>
      </c>
      <c r="G114" s="1072"/>
    </row>
    <row r="115" spans="1:7">
      <c r="A115" s="59"/>
      <c r="B115" s="60"/>
      <c r="C115" s="60"/>
      <c r="D115" s="60"/>
      <c r="E115" s="60"/>
      <c r="F115" s="60"/>
      <c r="G115" s="57">
        <f>SUM(F114:F115)</f>
        <v>2455.93201</v>
      </c>
    </row>
    <row r="116" spans="1:7">
      <c r="A116" s="1071" t="s">
        <v>19</v>
      </c>
      <c r="B116" s="944"/>
      <c r="C116" s="944"/>
      <c r="D116" s="944"/>
      <c r="E116" s="944"/>
      <c r="F116" s="944"/>
      <c r="G116" s="1072"/>
    </row>
    <row r="117" spans="1:7">
      <c r="A117" s="1074" t="s">
        <v>2</v>
      </c>
      <c r="B117" s="944"/>
      <c r="C117" s="53" t="s">
        <v>3</v>
      </c>
      <c r="D117" s="53" t="s">
        <v>4</v>
      </c>
      <c r="E117" s="53" t="s">
        <v>6</v>
      </c>
      <c r="F117" s="53" t="s">
        <v>11</v>
      </c>
      <c r="G117" s="456" t="s">
        <v>8</v>
      </c>
    </row>
    <row r="118" spans="1:7">
      <c r="A118" s="978" t="str">
        <f>SALARIOS!$A$69</f>
        <v>CUADRILLA BB INSTALACIONES 1:1</v>
      </c>
      <c r="B118" s="979"/>
      <c r="C118" s="13" t="s">
        <v>1245</v>
      </c>
      <c r="D118" s="32">
        <v>0.3</v>
      </c>
      <c r="E118" s="13">
        <f>SALARIOS!$C$69</f>
        <v>27341</v>
      </c>
      <c r="F118" s="55">
        <f>+D118*E118</f>
        <v>8202.2999999999993</v>
      </c>
      <c r="G118" s="57">
        <f>SUM(F117:F118)</f>
        <v>8202.2999999999993</v>
      </c>
    </row>
    <row r="119" spans="1:7">
      <c r="A119" s="1076" t="s">
        <v>25</v>
      </c>
      <c r="B119" s="944"/>
      <c r="C119" s="944"/>
      <c r="D119" s="944"/>
      <c r="E119" s="944"/>
      <c r="F119" s="944"/>
      <c r="G119" s="1072"/>
    </row>
    <row r="120" spans="1:7" ht="17.399999999999999">
      <c r="A120" s="1077"/>
      <c r="B120" s="944"/>
      <c r="C120" s="944"/>
      <c r="D120" s="944"/>
      <c r="E120" s="944"/>
      <c r="F120" s="944"/>
      <c r="G120" s="62">
        <f>G118+G115+G111+G100</f>
        <v>81237.833009999988</v>
      </c>
    </row>
    <row r="122" spans="1:7">
      <c r="A122" s="970" t="s">
        <v>1</v>
      </c>
      <c r="B122" s="957"/>
      <c r="C122" s="953" t="s">
        <v>0</v>
      </c>
      <c r="D122" s="953"/>
      <c r="E122" s="953"/>
      <c r="F122" s="953"/>
      <c r="G122" s="1103"/>
    </row>
    <row r="123" spans="1:7" ht="43.5" customHeight="1">
      <c r="A123" s="971"/>
      <c r="B123" s="957"/>
      <c r="C123" s="953"/>
      <c r="D123" s="953"/>
      <c r="E123" s="953"/>
      <c r="F123" s="953"/>
      <c r="G123" s="1103"/>
    </row>
    <row r="124" spans="1:7" ht="17.399999999999999">
      <c r="A124" s="971"/>
      <c r="B124" s="957"/>
      <c r="C124" s="956"/>
      <c r="D124" s="957"/>
      <c r="E124" s="957"/>
      <c r="F124" s="957"/>
      <c r="G124" s="958"/>
    </row>
    <row r="125" spans="1:7">
      <c r="A125" s="971"/>
      <c r="B125" s="957"/>
      <c r="C125" s="959" t="s">
        <v>2</v>
      </c>
      <c r="D125" s="957"/>
      <c r="E125" s="957"/>
      <c r="F125" s="23" t="s">
        <v>3</v>
      </c>
      <c r="G125" s="24" t="s">
        <v>4</v>
      </c>
    </row>
    <row r="126" spans="1:7" ht="34.799999999999997">
      <c r="A126" s="1089" t="s">
        <v>2028</v>
      </c>
      <c r="B126" s="944"/>
      <c r="C126" s="980" t="s">
        <v>2029</v>
      </c>
      <c r="D126" s="944"/>
      <c r="E126" s="944"/>
      <c r="F126" s="51" t="s">
        <v>45</v>
      </c>
      <c r="G126" s="52">
        <v>7.7000000000000028</v>
      </c>
    </row>
    <row r="127" spans="1:7">
      <c r="A127" s="1071" t="s">
        <v>5</v>
      </c>
      <c r="B127" s="944"/>
      <c r="C127" s="944"/>
      <c r="D127" s="944"/>
      <c r="E127" s="944"/>
      <c r="F127" s="944"/>
      <c r="G127" s="1072"/>
    </row>
    <row r="128" spans="1:7">
      <c r="A128" s="1074" t="s">
        <v>2</v>
      </c>
      <c r="B128" s="944"/>
      <c r="C128" s="53" t="s">
        <v>3</v>
      </c>
      <c r="D128" s="53" t="s">
        <v>4</v>
      </c>
      <c r="E128" s="53" t="s">
        <v>6</v>
      </c>
      <c r="F128" s="53" t="s">
        <v>7</v>
      </c>
      <c r="G128" s="1075" t="s">
        <v>8</v>
      </c>
    </row>
    <row r="129" spans="1:7">
      <c r="A129" s="947" t="s">
        <v>167</v>
      </c>
      <c r="B129" s="980"/>
      <c r="C129" s="51" t="s">
        <v>3</v>
      </c>
      <c r="D129" s="54">
        <v>0.05</v>
      </c>
      <c r="E129" s="17">
        <f>+G151</f>
        <v>5468.2000000000007</v>
      </c>
      <c r="F129" s="55">
        <f>D129*E129</f>
        <v>273.41000000000003</v>
      </c>
      <c r="G129" s="1072"/>
    </row>
    <row r="130" spans="1:7">
      <c r="A130" s="947"/>
      <c r="B130" s="944"/>
      <c r="C130" s="51"/>
      <c r="D130" s="54"/>
      <c r="E130" s="17"/>
      <c r="F130" s="55">
        <f>D130*E130</f>
        <v>0</v>
      </c>
      <c r="G130" s="1072"/>
    </row>
    <row r="131" spans="1:7">
      <c r="A131" s="947"/>
      <c r="B131" s="980"/>
      <c r="C131" s="141"/>
      <c r="D131" s="16"/>
      <c r="E131" s="143"/>
      <c r="F131" s="55">
        <f>D131*E131</f>
        <v>0</v>
      </c>
      <c r="G131" s="1072"/>
    </row>
    <row r="132" spans="1:7">
      <c r="A132" s="947"/>
      <c r="B132" s="944"/>
      <c r="C132" s="51"/>
      <c r="D132" s="54"/>
      <c r="E132" s="17"/>
      <c r="F132" s="55">
        <f>D132*E132</f>
        <v>0</v>
      </c>
      <c r="G132" s="1072"/>
    </row>
    <row r="133" spans="1:7">
      <c r="A133" s="1079"/>
      <c r="B133" s="944"/>
      <c r="C133" s="56"/>
      <c r="D133" s="56"/>
      <c r="E133" s="56"/>
      <c r="F133" s="55"/>
      <c r="G133" s="57">
        <f>SUM(F128:F133)</f>
        <v>273.41000000000003</v>
      </c>
    </row>
    <row r="134" spans="1:7">
      <c r="A134" s="1071" t="s">
        <v>10</v>
      </c>
      <c r="B134" s="944"/>
      <c r="C134" s="944"/>
      <c r="D134" s="944"/>
      <c r="E134" s="944"/>
      <c r="F134" s="944"/>
      <c r="G134" s="1072"/>
    </row>
    <row r="135" spans="1:7">
      <c r="A135" s="1074" t="s">
        <v>2</v>
      </c>
      <c r="B135" s="944"/>
      <c r="C135" s="53" t="s">
        <v>3</v>
      </c>
      <c r="D135" s="53" t="s">
        <v>4</v>
      </c>
      <c r="E135" s="53" t="s">
        <v>6</v>
      </c>
      <c r="F135" s="53" t="s">
        <v>11</v>
      </c>
      <c r="G135" s="1075" t="s">
        <v>8</v>
      </c>
    </row>
    <row r="136" spans="1:7">
      <c r="A136" s="947" t="str">
        <f>'INSUMOS '!$B$386</f>
        <v>SOLDADURA PVC X 1/4</v>
      </c>
      <c r="B136" s="944"/>
      <c r="C136" s="51" t="s">
        <v>998</v>
      </c>
      <c r="D136" s="54">
        <v>0.04</v>
      </c>
      <c r="E136" s="17">
        <f>'INSUMOS '!$E$386</f>
        <v>74646</v>
      </c>
      <c r="F136" s="55">
        <f t="shared" ref="F136:F143" si="1">D136*E136</f>
        <v>2985.84</v>
      </c>
      <c r="G136" s="1075"/>
    </row>
    <row r="137" spans="1:7">
      <c r="A137" s="947" t="str">
        <f>'INSUMOS '!$B$420</f>
        <v>LIMPIADOR PVC X 12 O.Z.</v>
      </c>
      <c r="B137" s="944"/>
      <c r="C137" s="51" t="s">
        <v>998</v>
      </c>
      <c r="D137" s="54">
        <v>0.03</v>
      </c>
      <c r="E137" s="17">
        <f>'INSUMOS '!$E$420</f>
        <v>31166.2</v>
      </c>
      <c r="F137" s="55">
        <f t="shared" si="1"/>
        <v>934.98599999999999</v>
      </c>
      <c r="G137" s="1075"/>
    </row>
    <row r="138" spans="1:7">
      <c r="A138" s="947" t="str">
        <f>'INSUMOS '!$B$426</f>
        <v>TUBERIA PCV-P 1 1/2</v>
      </c>
      <c r="B138" s="944"/>
      <c r="C138" s="51" t="s">
        <v>998</v>
      </c>
      <c r="D138" s="54">
        <v>1</v>
      </c>
      <c r="E138" s="17">
        <f>'INSUMOS '!$E$426</f>
        <v>7150</v>
      </c>
      <c r="F138" s="55">
        <f t="shared" si="1"/>
        <v>7150</v>
      </c>
      <c r="G138" s="1075"/>
    </row>
    <row r="139" spans="1:7">
      <c r="A139" s="947" t="str">
        <f>'INSUMOS '!$B$427</f>
        <v>UNION PVC-P 1 1/2</v>
      </c>
      <c r="B139" s="944"/>
      <c r="C139" s="51" t="s">
        <v>998</v>
      </c>
      <c r="D139" s="54">
        <v>0.6</v>
      </c>
      <c r="E139" s="17">
        <f>'INSUMOS '!$E$427</f>
        <v>1625</v>
      </c>
      <c r="F139" s="55">
        <f t="shared" si="1"/>
        <v>975</v>
      </c>
      <c r="G139" s="1075"/>
    </row>
    <row r="140" spans="1:7">
      <c r="A140" s="947" t="str">
        <f>'INSUMOS '!$B$428</f>
        <v>CODO PVC P 1 1/2 45</v>
      </c>
      <c r="B140" s="944"/>
      <c r="C140" s="51" t="s">
        <v>998</v>
      </c>
      <c r="D140" s="54">
        <v>0.75</v>
      </c>
      <c r="E140" s="17">
        <f>'INSUMOS '!$E$428</f>
        <v>1495</v>
      </c>
      <c r="F140" s="55">
        <f t="shared" si="1"/>
        <v>1121.25</v>
      </c>
      <c r="G140" s="1075"/>
    </row>
    <row r="141" spans="1:7">
      <c r="A141" s="947" t="str">
        <f>'INSUMOS '!$B$429</f>
        <v>CODO PVC-P 1 1/2</v>
      </c>
      <c r="B141" s="944"/>
      <c r="C141" s="51" t="s">
        <v>998</v>
      </c>
      <c r="D141" s="54">
        <v>0.62</v>
      </c>
      <c r="E141" s="17">
        <f>'INSUMOS '!$E$429</f>
        <v>1495</v>
      </c>
      <c r="F141" s="55">
        <f t="shared" si="1"/>
        <v>926.9</v>
      </c>
      <c r="G141" s="1072"/>
    </row>
    <row r="142" spans="1:7">
      <c r="A142" s="947" t="str">
        <f>'INSUMOS '!$B$430</f>
        <v>TEE PCV-P 1 1/2</v>
      </c>
      <c r="B142" s="944"/>
      <c r="C142" s="51" t="s">
        <v>998</v>
      </c>
      <c r="D142" s="54">
        <v>0.4</v>
      </c>
      <c r="E142" s="17">
        <f>'INSUMOS '!$E$430</f>
        <v>3575</v>
      </c>
      <c r="F142" s="55">
        <f t="shared" si="1"/>
        <v>1430</v>
      </c>
      <c r="G142" s="1072"/>
    </row>
    <row r="143" spans="1:7">
      <c r="A143" s="947" t="str">
        <f>'INSUMOS '!$B$431</f>
        <v>TAPON PVC-P 1 1/2</v>
      </c>
      <c r="B143" s="944"/>
      <c r="C143" s="51" t="s">
        <v>998</v>
      </c>
      <c r="D143" s="54">
        <v>2</v>
      </c>
      <c r="E143" s="17">
        <f>'INSUMOS '!$E$431</f>
        <v>975</v>
      </c>
      <c r="F143" s="55">
        <f t="shared" si="1"/>
        <v>1950</v>
      </c>
      <c r="G143" s="1072"/>
    </row>
    <row r="144" spans="1:7">
      <c r="A144" s="947"/>
      <c r="B144" s="944"/>
      <c r="C144" s="16"/>
      <c r="D144" s="58"/>
      <c r="E144" s="17"/>
      <c r="F144" s="55"/>
      <c r="G144" s="57">
        <f>SUM(F135:F144)</f>
        <v>17473.976000000002</v>
      </c>
    </row>
    <row r="145" spans="1:7">
      <c r="A145" s="1071" t="s">
        <v>15</v>
      </c>
      <c r="B145" s="944"/>
      <c r="C145" s="944"/>
      <c r="D145" s="944"/>
      <c r="E145" s="944"/>
      <c r="F145" s="944"/>
      <c r="G145" s="1072"/>
    </row>
    <row r="146" spans="1:7">
      <c r="A146" s="1074" t="s">
        <v>2</v>
      </c>
      <c r="B146" s="944"/>
      <c r="C146" s="53" t="s">
        <v>3</v>
      </c>
      <c r="D146" s="53" t="s">
        <v>4</v>
      </c>
      <c r="E146" s="53" t="s">
        <v>6</v>
      </c>
      <c r="F146" s="53" t="s">
        <v>11</v>
      </c>
      <c r="G146" s="1075" t="s">
        <v>8</v>
      </c>
    </row>
    <row r="147" spans="1:7">
      <c r="A147" s="943" t="s">
        <v>173</v>
      </c>
      <c r="B147" s="944"/>
      <c r="C147" s="16" t="s">
        <v>3</v>
      </c>
      <c r="D147" s="54">
        <v>3.5000000000000003E-2</v>
      </c>
      <c r="E147" s="17">
        <f>+G144</f>
        <v>17473.976000000002</v>
      </c>
      <c r="F147" s="55">
        <f>E147*D147</f>
        <v>611.58916000000011</v>
      </c>
      <c r="G147" s="1072"/>
    </row>
    <row r="148" spans="1:7">
      <c r="A148" s="59"/>
      <c r="B148" s="60"/>
      <c r="C148" s="60"/>
      <c r="D148" s="60"/>
      <c r="E148" s="60"/>
      <c r="F148" s="60"/>
      <c r="G148" s="57">
        <f>SUM(F147:F148)</f>
        <v>611.58916000000011</v>
      </c>
    </row>
    <row r="149" spans="1:7">
      <c r="A149" s="1071" t="s">
        <v>19</v>
      </c>
      <c r="B149" s="944"/>
      <c r="C149" s="944"/>
      <c r="D149" s="944"/>
      <c r="E149" s="944"/>
      <c r="F149" s="944"/>
      <c r="G149" s="1072"/>
    </row>
    <row r="150" spans="1:7">
      <c r="A150" s="1074" t="s">
        <v>2</v>
      </c>
      <c r="B150" s="944"/>
      <c r="C150" s="53" t="s">
        <v>3</v>
      </c>
      <c r="D150" s="53" t="s">
        <v>4</v>
      </c>
      <c r="E150" s="53" t="s">
        <v>6</v>
      </c>
      <c r="F150" s="53" t="s">
        <v>11</v>
      </c>
      <c r="G150" s="456" t="s">
        <v>8</v>
      </c>
    </row>
    <row r="151" spans="1:7">
      <c r="A151" s="978" t="str">
        <f>SALARIOS!$A$69</f>
        <v>CUADRILLA BB INSTALACIONES 1:1</v>
      </c>
      <c r="B151" s="979"/>
      <c r="C151" s="13" t="s">
        <v>1245</v>
      </c>
      <c r="D151" s="32">
        <v>0.2</v>
      </c>
      <c r="E151" s="13">
        <f>SALARIOS!$C$69</f>
        <v>27341</v>
      </c>
      <c r="F151" s="55">
        <f>+D151*E151</f>
        <v>5468.2000000000007</v>
      </c>
      <c r="G151" s="57">
        <f>SUM(F150:F151)</f>
        <v>5468.2000000000007</v>
      </c>
    </row>
    <row r="152" spans="1:7">
      <c r="A152" s="1076" t="s">
        <v>25</v>
      </c>
      <c r="B152" s="944"/>
      <c r="C152" s="944"/>
      <c r="D152" s="944"/>
      <c r="E152" s="944"/>
      <c r="F152" s="944"/>
      <c r="G152" s="1072"/>
    </row>
    <row r="153" spans="1:7" ht="17.399999999999999">
      <c r="A153" s="1077"/>
      <c r="B153" s="944"/>
      <c r="C153" s="944"/>
      <c r="D153" s="944"/>
      <c r="E153" s="944"/>
      <c r="F153" s="944"/>
      <c r="G153" s="62">
        <f>G151+G148+G144+G133</f>
        <v>23827.175160000003</v>
      </c>
    </row>
    <row r="155" spans="1:7">
      <c r="A155" s="970" t="s">
        <v>1</v>
      </c>
      <c r="B155" s="957"/>
      <c r="C155" s="953" t="s">
        <v>0</v>
      </c>
      <c r="D155" s="953"/>
      <c r="E155" s="953"/>
      <c r="F155" s="953"/>
      <c r="G155" s="1103"/>
    </row>
    <row r="156" spans="1:7" ht="42.75" customHeight="1">
      <c r="A156" s="971"/>
      <c r="B156" s="957"/>
      <c r="C156" s="953"/>
      <c r="D156" s="953"/>
      <c r="E156" s="953"/>
      <c r="F156" s="953"/>
      <c r="G156" s="1103"/>
    </row>
    <row r="157" spans="1:7" ht="17.399999999999999">
      <c r="A157" s="971"/>
      <c r="B157" s="957"/>
      <c r="C157" s="956"/>
      <c r="D157" s="957"/>
      <c r="E157" s="957"/>
      <c r="F157" s="957"/>
      <c r="G157" s="958"/>
    </row>
    <row r="158" spans="1:7">
      <c r="A158" s="971"/>
      <c r="B158" s="957"/>
      <c r="C158" s="959" t="s">
        <v>2</v>
      </c>
      <c r="D158" s="957"/>
      <c r="E158" s="957"/>
      <c r="F158" s="23" t="s">
        <v>3</v>
      </c>
      <c r="G158" s="24" t="s">
        <v>4</v>
      </c>
    </row>
    <row r="159" spans="1:7" ht="52.5" customHeight="1">
      <c r="A159" s="1089" t="s">
        <v>2030</v>
      </c>
      <c r="B159" s="944"/>
      <c r="C159" s="980" t="s">
        <v>2031</v>
      </c>
      <c r="D159" s="944"/>
      <c r="E159" s="944"/>
      <c r="F159" s="51" t="s">
        <v>45</v>
      </c>
      <c r="G159" s="52">
        <v>30</v>
      </c>
    </row>
    <row r="160" spans="1:7">
      <c r="A160" s="1071" t="s">
        <v>5</v>
      </c>
      <c r="B160" s="944"/>
      <c r="C160" s="944"/>
      <c r="D160" s="944"/>
      <c r="E160" s="944"/>
      <c r="F160" s="944"/>
      <c r="G160" s="1072"/>
    </row>
    <row r="161" spans="1:7">
      <c r="A161" s="1074" t="s">
        <v>2</v>
      </c>
      <c r="B161" s="944"/>
      <c r="C161" s="53" t="s">
        <v>3</v>
      </c>
      <c r="D161" s="53" t="s">
        <v>4</v>
      </c>
      <c r="E161" s="53" t="s">
        <v>6</v>
      </c>
      <c r="F161" s="53" t="s">
        <v>7</v>
      </c>
      <c r="G161" s="1075" t="s">
        <v>8</v>
      </c>
    </row>
    <row r="162" spans="1:7">
      <c r="A162" s="947" t="s">
        <v>167</v>
      </c>
      <c r="B162" s="980"/>
      <c r="C162" s="51" t="s">
        <v>3</v>
      </c>
      <c r="D162" s="54">
        <v>0.05</v>
      </c>
      <c r="E162" s="17">
        <f>+G186</f>
        <v>8202.2999999999993</v>
      </c>
      <c r="F162" s="55">
        <f>D162*E162</f>
        <v>410.11500000000001</v>
      </c>
      <c r="G162" s="1072"/>
    </row>
    <row r="163" spans="1:7">
      <c r="A163" s="947"/>
      <c r="B163" s="944"/>
      <c r="C163" s="51"/>
      <c r="D163" s="54"/>
      <c r="E163" s="17"/>
      <c r="F163" s="55">
        <f>D163*E163</f>
        <v>0</v>
      </c>
      <c r="G163" s="1072"/>
    </row>
    <row r="164" spans="1:7">
      <c r="A164" s="947"/>
      <c r="B164" s="980"/>
      <c r="C164" s="141"/>
      <c r="D164" s="16"/>
      <c r="E164" s="143"/>
      <c r="F164" s="55">
        <f>D164*E164</f>
        <v>0</v>
      </c>
      <c r="G164" s="1072"/>
    </row>
    <row r="165" spans="1:7">
      <c r="A165" s="947"/>
      <c r="B165" s="944"/>
      <c r="C165" s="51"/>
      <c r="D165" s="54"/>
      <c r="E165" s="17"/>
      <c r="F165" s="55">
        <f>D165*E165</f>
        <v>0</v>
      </c>
      <c r="G165" s="1072"/>
    </row>
    <row r="166" spans="1:7">
      <c r="A166" s="1079"/>
      <c r="B166" s="944"/>
      <c r="C166" s="56"/>
      <c r="D166" s="56"/>
      <c r="E166" s="56"/>
      <c r="F166" s="55"/>
      <c r="G166" s="57">
        <f>SUM(F161:F166)</f>
        <v>410.11500000000001</v>
      </c>
    </row>
    <row r="167" spans="1:7">
      <c r="A167" s="1071" t="s">
        <v>10</v>
      </c>
      <c r="B167" s="944"/>
      <c r="C167" s="944"/>
      <c r="D167" s="944"/>
      <c r="E167" s="944"/>
      <c r="F167" s="944"/>
      <c r="G167" s="1072"/>
    </row>
    <row r="168" spans="1:7">
      <c r="A168" s="1074" t="s">
        <v>2</v>
      </c>
      <c r="B168" s="944"/>
      <c r="C168" s="53" t="s">
        <v>3</v>
      </c>
      <c r="D168" s="53" t="s">
        <v>4</v>
      </c>
      <c r="E168" s="53" t="s">
        <v>6</v>
      </c>
      <c r="F168" s="53" t="s">
        <v>11</v>
      </c>
      <c r="G168" s="1075" t="s">
        <v>8</v>
      </c>
    </row>
    <row r="169" spans="1:7">
      <c r="A169" s="947" t="str">
        <f>'INSUMOS '!$B$386</f>
        <v>SOLDADURA PVC X 1/4</v>
      </c>
      <c r="B169" s="944"/>
      <c r="C169" s="51" t="s">
        <v>998</v>
      </c>
      <c r="D169" s="54">
        <v>0.02</v>
      </c>
      <c r="E169" s="17">
        <f>'INSUMOS '!$E$386</f>
        <v>74646</v>
      </c>
      <c r="F169" s="55">
        <f t="shared" ref="F169:F174" si="2">D169*E169</f>
        <v>1492.92</v>
      </c>
      <c r="G169" s="1075"/>
    </row>
    <row r="170" spans="1:7">
      <c r="A170" s="947" t="str">
        <f>'INSUMOS '!$B$420</f>
        <v>LIMPIADOR PVC X 12 O.Z.</v>
      </c>
      <c r="B170" s="944"/>
      <c r="C170" s="51" t="s">
        <v>998</v>
      </c>
      <c r="D170" s="54">
        <v>0.02</v>
      </c>
      <c r="E170" s="17">
        <f>'INSUMOS '!$E$420</f>
        <v>31166.2</v>
      </c>
      <c r="F170" s="55">
        <f t="shared" si="2"/>
        <v>623.32400000000007</v>
      </c>
      <c r="G170" s="1075"/>
    </row>
    <row r="171" spans="1:7">
      <c r="A171" s="947" t="str">
        <f>'INSUMOS '!$B$432</f>
        <v>TUBERIA PVC-S 4</v>
      </c>
      <c r="B171" s="944"/>
      <c r="C171" s="51" t="s">
        <v>998</v>
      </c>
      <c r="D171" s="54">
        <v>1</v>
      </c>
      <c r="E171" s="17">
        <f>'INSUMOS '!$E$432</f>
        <v>21890.7</v>
      </c>
      <c r="F171" s="55">
        <f t="shared" si="2"/>
        <v>21890.7</v>
      </c>
      <c r="G171" s="1075"/>
    </row>
    <row r="172" spans="1:7">
      <c r="A172" s="947" t="str">
        <f>'INSUMOS '!$B$433</f>
        <v>CODO PVC-S 4 CXC 45</v>
      </c>
      <c r="B172" s="944"/>
      <c r="C172" s="51" t="s">
        <v>998</v>
      </c>
      <c r="D172" s="54">
        <v>0.06</v>
      </c>
      <c r="E172" s="17">
        <f>'INSUMOS '!$E$433</f>
        <v>41730</v>
      </c>
      <c r="F172" s="55">
        <f t="shared" si="2"/>
        <v>2503.7999999999997</v>
      </c>
      <c r="G172" s="1075"/>
    </row>
    <row r="173" spans="1:7">
      <c r="A173" s="947" t="str">
        <f>'INSUMOS '!$B$434</f>
        <v>CODO PVC-S 4 CXC 90</v>
      </c>
      <c r="B173" s="944"/>
      <c r="C173" s="51" t="s">
        <v>998</v>
      </c>
      <c r="D173" s="54">
        <v>0.21</v>
      </c>
      <c r="E173" s="17">
        <f>'INSUMOS '!$E$434</f>
        <v>6397.6</v>
      </c>
      <c r="F173" s="55">
        <f t="shared" si="2"/>
        <v>1343.4960000000001</v>
      </c>
      <c r="G173" s="1075"/>
    </row>
    <row r="174" spans="1:7">
      <c r="A174" s="947" t="str">
        <f>'INSUMOS '!$B$435</f>
        <v>UNION PVC-S 4</v>
      </c>
      <c r="B174" s="944"/>
      <c r="C174" s="51" t="s">
        <v>998</v>
      </c>
      <c r="D174" s="54">
        <v>0.08</v>
      </c>
      <c r="E174" s="17">
        <f>'INSUMOS '!$E$435</f>
        <v>2991.3</v>
      </c>
      <c r="F174" s="55">
        <f t="shared" si="2"/>
        <v>239.30400000000003</v>
      </c>
      <c r="G174" s="1075"/>
    </row>
    <row r="175" spans="1:7">
      <c r="A175" s="947" t="str">
        <f>'INSUMOS '!$B$436</f>
        <v>TEE PVC-S 4</v>
      </c>
      <c r="B175" s="944"/>
      <c r="C175" s="51" t="s">
        <v>998</v>
      </c>
      <c r="D175" s="54">
        <v>7.0000000000000007E-2</v>
      </c>
      <c r="E175" s="17">
        <f>'INSUMOS '!$E$436</f>
        <v>6918.6</v>
      </c>
      <c r="F175" s="55">
        <f>D175*E175</f>
        <v>484.30200000000008</v>
      </c>
      <c r="G175" s="1072"/>
    </row>
    <row r="176" spans="1:7">
      <c r="A176" s="947" t="str">
        <f>'INSUMOS '!$B$437</f>
        <v>YEE PVC-S 4</v>
      </c>
      <c r="B176" s="944"/>
      <c r="C176" s="51" t="s">
        <v>998</v>
      </c>
      <c r="D176" s="54">
        <v>0.09</v>
      </c>
      <c r="E176" s="17">
        <f>'INSUMOS '!$E$437</f>
        <v>39022.9</v>
      </c>
      <c r="F176" s="55">
        <f>D176*E176</f>
        <v>3512.0610000000001</v>
      </c>
      <c r="G176" s="1072"/>
    </row>
    <row r="177" spans="1:7">
      <c r="A177" s="947" t="str">
        <f>'INSUMOS '!$B$439</f>
        <v>BUJE PVC-S 4 X 3 SOLDADO</v>
      </c>
      <c r="B177" s="944"/>
      <c r="C177" s="51" t="s">
        <v>998</v>
      </c>
      <c r="D177" s="54">
        <v>0.08</v>
      </c>
      <c r="E177" s="17">
        <f>'INSUMOS '!$E$439</f>
        <v>4325.1000000000004</v>
      </c>
      <c r="F177" s="55">
        <f>D177*E177</f>
        <v>346.00800000000004</v>
      </c>
      <c r="G177" s="1072"/>
    </row>
    <row r="178" spans="1:7">
      <c r="A178" s="947" t="str">
        <f>'INSUMOS '!$B$438</f>
        <v>YEE PVC-S 3X 2 REDUCIDA</v>
      </c>
      <c r="B178" s="944"/>
      <c r="C178" s="51" t="s">
        <v>998</v>
      </c>
      <c r="D178" s="54">
        <v>0.08</v>
      </c>
      <c r="E178" s="17">
        <f>'INSUMOS '!$E$438</f>
        <v>5621.2</v>
      </c>
      <c r="F178" s="55">
        <f>D178*E178</f>
        <v>449.69599999999997</v>
      </c>
      <c r="G178" s="1072"/>
    </row>
    <row r="179" spans="1:7">
      <c r="A179" s="947"/>
      <c r="B179" s="944"/>
      <c r="C179" s="16"/>
      <c r="D179" s="58"/>
      <c r="E179" s="17"/>
      <c r="F179" s="55"/>
      <c r="G179" s="57">
        <f>SUM(F168:F179)</f>
        <v>32885.611000000004</v>
      </c>
    </row>
    <row r="180" spans="1:7">
      <c r="A180" s="1071" t="s">
        <v>15</v>
      </c>
      <c r="B180" s="944"/>
      <c r="C180" s="944"/>
      <c r="D180" s="944"/>
      <c r="E180" s="944"/>
      <c r="F180" s="944"/>
      <c r="G180" s="1072"/>
    </row>
    <row r="181" spans="1:7">
      <c r="A181" s="1074" t="s">
        <v>2</v>
      </c>
      <c r="B181" s="944"/>
      <c r="C181" s="53" t="s">
        <v>3</v>
      </c>
      <c r="D181" s="53" t="s">
        <v>4</v>
      </c>
      <c r="E181" s="53" t="s">
        <v>6</v>
      </c>
      <c r="F181" s="53" t="s">
        <v>11</v>
      </c>
      <c r="G181" s="1075" t="s">
        <v>8</v>
      </c>
    </row>
    <row r="182" spans="1:7">
      <c r="A182" s="943" t="s">
        <v>173</v>
      </c>
      <c r="B182" s="944"/>
      <c r="C182" s="16" t="s">
        <v>3</v>
      </c>
      <c r="D182" s="54">
        <v>3.5000000000000003E-2</v>
      </c>
      <c r="E182" s="17">
        <f>+G179</f>
        <v>32885.611000000004</v>
      </c>
      <c r="F182" s="55">
        <f>E182*D182</f>
        <v>1150.9963850000004</v>
      </c>
      <c r="G182" s="1072"/>
    </row>
    <row r="183" spans="1:7">
      <c r="A183" s="59"/>
      <c r="B183" s="60"/>
      <c r="C183" s="60"/>
      <c r="D183" s="60"/>
      <c r="E183" s="60"/>
      <c r="F183" s="60"/>
      <c r="G183" s="57">
        <f>SUM(F182:F183)</f>
        <v>1150.9963850000004</v>
      </c>
    </row>
    <row r="184" spans="1:7">
      <c r="A184" s="1071" t="s">
        <v>19</v>
      </c>
      <c r="B184" s="944"/>
      <c r="C184" s="944"/>
      <c r="D184" s="944"/>
      <c r="E184" s="944"/>
      <c r="F184" s="944"/>
      <c r="G184" s="1072"/>
    </row>
    <row r="185" spans="1:7">
      <c r="A185" s="1074" t="s">
        <v>2</v>
      </c>
      <c r="B185" s="944"/>
      <c r="C185" s="53" t="s">
        <v>3</v>
      </c>
      <c r="D185" s="53" t="s">
        <v>4</v>
      </c>
      <c r="E185" s="53" t="s">
        <v>6</v>
      </c>
      <c r="F185" s="53" t="s">
        <v>11</v>
      </c>
      <c r="G185" s="456" t="s">
        <v>8</v>
      </c>
    </row>
    <row r="186" spans="1:7">
      <c r="A186" s="978" t="str">
        <f>SALARIOS!$A$69</f>
        <v>CUADRILLA BB INSTALACIONES 1:1</v>
      </c>
      <c r="B186" s="979"/>
      <c r="C186" s="13" t="s">
        <v>1245</v>
      </c>
      <c r="D186" s="32">
        <v>0.3</v>
      </c>
      <c r="E186" s="13">
        <f>SALARIOS!$C$69</f>
        <v>27341</v>
      </c>
      <c r="F186" s="55">
        <f>+D186*E186</f>
        <v>8202.2999999999993</v>
      </c>
      <c r="G186" s="57">
        <f>SUM(F185:F186)</f>
        <v>8202.2999999999993</v>
      </c>
    </row>
    <row r="187" spans="1:7">
      <c r="A187" s="1076" t="s">
        <v>25</v>
      </c>
      <c r="B187" s="944"/>
      <c r="C187" s="944"/>
      <c r="D187" s="944"/>
      <c r="E187" s="944"/>
      <c r="F187" s="944"/>
      <c r="G187" s="1072"/>
    </row>
    <row r="188" spans="1:7" ht="17.399999999999999">
      <c r="A188" s="1077"/>
      <c r="B188" s="944"/>
      <c r="C188" s="944"/>
      <c r="D188" s="944"/>
      <c r="E188" s="944"/>
      <c r="F188" s="944"/>
      <c r="G188" s="62">
        <f>G186+G183+G179+G166</f>
        <v>42649.022385000004</v>
      </c>
    </row>
    <row r="190" spans="1:7">
      <c r="A190" s="970" t="s">
        <v>1</v>
      </c>
      <c r="B190" s="957"/>
      <c r="C190" s="953" t="s">
        <v>0</v>
      </c>
      <c r="D190" s="953"/>
      <c r="E190" s="953"/>
      <c r="F190" s="953"/>
      <c r="G190" s="1103"/>
    </row>
    <row r="191" spans="1:7" ht="51.75" customHeight="1">
      <c r="A191" s="971"/>
      <c r="B191" s="957"/>
      <c r="C191" s="953"/>
      <c r="D191" s="953"/>
      <c r="E191" s="953"/>
      <c r="F191" s="953"/>
      <c r="G191" s="1103"/>
    </row>
    <row r="192" spans="1:7" ht="17.399999999999999">
      <c r="A192" s="971"/>
      <c r="B192" s="957"/>
      <c r="C192" s="956"/>
      <c r="D192" s="957"/>
      <c r="E192" s="957"/>
      <c r="F192" s="957"/>
      <c r="G192" s="958"/>
    </row>
    <row r="193" spans="1:7">
      <c r="A193" s="971"/>
      <c r="B193" s="957"/>
      <c r="C193" s="959" t="s">
        <v>2</v>
      </c>
      <c r="D193" s="957"/>
      <c r="E193" s="957"/>
      <c r="F193" s="23" t="s">
        <v>3</v>
      </c>
      <c r="G193" s="24" t="s">
        <v>4</v>
      </c>
    </row>
    <row r="194" spans="1:7" ht="34.799999999999997">
      <c r="A194" s="1089" t="s">
        <v>2034</v>
      </c>
      <c r="B194" s="944"/>
      <c r="C194" s="980" t="s">
        <v>2035</v>
      </c>
      <c r="D194" s="944"/>
      <c r="E194" s="944"/>
      <c r="F194" s="51" t="s">
        <v>1620</v>
      </c>
      <c r="G194" s="52">
        <v>11</v>
      </c>
    </row>
    <row r="195" spans="1:7">
      <c r="A195" s="1071" t="s">
        <v>5</v>
      </c>
      <c r="B195" s="944"/>
      <c r="C195" s="944"/>
      <c r="D195" s="944"/>
      <c r="E195" s="944"/>
      <c r="F195" s="944"/>
      <c r="G195" s="1072"/>
    </row>
    <row r="196" spans="1:7">
      <c r="A196" s="1074" t="s">
        <v>2</v>
      </c>
      <c r="B196" s="944"/>
      <c r="C196" s="53" t="s">
        <v>3</v>
      </c>
      <c r="D196" s="53" t="s">
        <v>4</v>
      </c>
      <c r="E196" s="53" t="s">
        <v>6</v>
      </c>
      <c r="F196" s="53" t="s">
        <v>7</v>
      </c>
      <c r="G196" s="1075" t="s">
        <v>8</v>
      </c>
    </row>
    <row r="197" spans="1:7">
      <c r="A197" s="947" t="s">
        <v>167</v>
      </c>
      <c r="B197" s="980"/>
      <c r="C197" s="51" t="s">
        <v>3</v>
      </c>
      <c r="D197" s="54">
        <v>0.05</v>
      </c>
      <c r="E197" s="17">
        <f>+G220</f>
        <v>27341</v>
      </c>
      <c r="F197" s="55">
        <f>D197*E197</f>
        <v>1367.0500000000002</v>
      </c>
      <c r="G197" s="1072"/>
    </row>
    <row r="198" spans="1:7">
      <c r="A198" s="947"/>
      <c r="B198" s="944"/>
      <c r="C198" s="51"/>
      <c r="D198" s="54"/>
      <c r="E198" s="17"/>
      <c r="F198" s="55">
        <f>D198*E198</f>
        <v>0</v>
      </c>
      <c r="G198" s="1072"/>
    </row>
    <row r="199" spans="1:7">
      <c r="A199" s="947"/>
      <c r="B199" s="980"/>
      <c r="C199" s="141"/>
      <c r="D199" s="16"/>
      <c r="E199" s="143"/>
      <c r="F199" s="55">
        <f>D199*E199</f>
        <v>0</v>
      </c>
      <c r="G199" s="1072"/>
    </row>
    <row r="200" spans="1:7">
      <c r="A200" s="947"/>
      <c r="B200" s="944"/>
      <c r="C200" s="51"/>
      <c r="D200" s="54"/>
      <c r="E200" s="17"/>
      <c r="F200" s="55">
        <f>D200*E200</f>
        <v>0</v>
      </c>
      <c r="G200" s="1072"/>
    </row>
    <row r="201" spans="1:7">
      <c r="A201" s="1079"/>
      <c r="B201" s="944"/>
      <c r="C201" s="56"/>
      <c r="D201" s="56"/>
      <c r="E201" s="56"/>
      <c r="F201" s="55"/>
      <c r="G201" s="57">
        <f>SUM(F196:F201)</f>
        <v>1367.0500000000002</v>
      </c>
    </row>
    <row r="202" spans="1:7">
      <c r="A202" s="1071" t="s">
        <v>10</v>
      </c>
      <c r="B202" s="944"/>
      <c r="C202" s="944"/>
      <c r="D202" s="944"/>
      <c r="E202" s="944"/>
      <c r="F202" s="944"/>
      <c r="G202" s="1072"/>
    </row>
    <row r="203" spans="1:7">
      <c r="A203" s="1074" t="s">
        <v>2</v>
      </c>
      <c r="B203" s="944"/>
      <c r="C203" s="53" t="s">
        <v>3</v>
      </c>
      <c r="D203" s="53" t="s">
        <v>4</v>
      </c>
      <c r="E203" s="53" t="s">
        <v>6</v>
      </c>
      <c r="F203" s="53" t="s">
        <v>11</v>
      </c>
      <c r="G203" s="1075" t="s">
        <v>8</v>
      </c>
    </row>
    <row r="204" spans="1:7">
      <c r="A204" s="947" t="str">
        <f>'INSUMOS '!$B$386</f>
        <v>SOLDADURA PVC X 1/4</v>
      </c>
      <c r="B204" s="944"/>
      <c r="C204" s="51" t="s">
        <v>998</v>
      </c>
      <c r="D204" s="54">
        <v>0.02</v>
      </c>
      <c r="E204" s="17">
        <f>'INSUMOS '!$E$386</f>
        <v>74646</v>
      </c>
      <c r="F204" s="55">
        <f t="shared" ref="F204:F209" si="3">D204*E204</f>
        <v>1492.92</v>
      </c>
      <c r="G204" s="1075"/>
    </row>
    <row r="205" spans="1:7">
      <c r="A205" s="947" t="str">
        <f>'INSUMOS '!$B$420</f>
        <v>LIMPIADOR PVC X 12 O.Z.</v>
      </c>
      <c r="B205" s="944"/>
      <c r="C205" s="51" t="s">
        <v>998</v>
      </c>
      <c r="D205" s="54">
        <v>0.02</v>
      </c>
      <c r="E205" s="17">
        <f>'INSUMOS '!$E$420</f>
        <v>31166.2</v>
      </c>
      <c r="F205" s="55">
        <f t="shared" si="3"/>
        <v>623.32400000000007</v>
      </c>
      <c r="G205" s="1075"/>
    </row>
    <row r="206" spans="1:7">
      <c r="A206" s="947" t="str">
        <f>'INSUMOS '!$B$440</f>
        <v>TUBERIA PVC-P 3/4</v>
      </c>
      <c r="B206" s="944"/>
      <c r="C206" s="51" t="s">
        <v>998</v>
      </c>
      <c r="D206" s="54">
        <v>1</v>
      </c>
      <c r="E206" s="17">
        <f>'INSUMOS '!$E$440</f>
        <v>1926.6000000000001</v>
      </c>
      <c r="F206" s="55">
        <f t="shared" si="3"/>
        <v>1926.6000000000001</v>
      </c>
      <c r="G206" s="1075"/>
    </row>
    <row r="207" spans="1:7">
      <c r="A207" s="947" t="str">
        <f>'INSUMOS '!$B$441</f>
        <v>CODO PVC-P 3/4 45</v>
      </c>
      <c r="B207" s="944"/>
      <c r="C207" s="51" t="s">
        <v>998</v>
      </c>
      <c r="D207" s="54">
        <v>28</v>
      </c>
      <c r="E207" s="17">
        <f>'INSUMOS '!$E$441</f>
        <v>650</v>
      </c>
      <c r="F207" s="55">
        <f t="shared" si="3"/>
        <v>18200</v>
      </c>
      <c r="G207" s="1075"/>
    </row>
    <row r="208" spans="1:7">
      <c r="A208" s="947" t="str">
        <f>'INSUMOS '!$B$442</f>
        <v>CODO PVC-P 3/4 90</v>
      </c>
      <c r="B208" s="944"/>
      <c r="C208" s="51" t="s">
        <v>998</v>
      </c>
      <c r="D208" s="54">
        <v>27</v>
      </c>
      <c r="E208" s="17">
        <f>'INSUMOS '!$E$442</f>
        <v>443.3</v>
      </c>
      <c r="F208" s="55">
        <f t="shared" si="3"/>
        <v>11969.1</v>
      </c>
      <c r="G208" s="1075"/>
    </row>
    <row r="209" spans="1:7">
      <c r="A209" s="947" t="str">
        <f>'INSUMOS '!$B$443</f>
        <v>UNION PVC-P 3/4</v>
      </c>
      <c r="B209" s="944"/>
      <c r="C209" s="51" t="s">
        <v>998</v>
      </c>
      <c r="D209" s="54">
        <v>25</v>
      </c>
      <c r="E209" s="17">
        <f>'INSUMOS '!$E$443</f>
        <v>317.2</v>
      </c>
      <c r="F209" s="55">
        <f t="shared" si="3"/>
        <v>7930</v>
      </c>
      <c r="G209" s="1075"/>
    </row>
    <row r="210" spans="1:7">
      <c r="A210" s="947" t="str">
        <f>'INSUMOS '!$B$444</f>
        <v>TEE PVC-P 3/4</v>
      </c>
      <c r="B210" s="944"/>
      <c r="C210" s="51" t="s">
        <v>998</v>
      </c>
      <c r="D210" s="54">
        <v>15</v>
      </c>
      <c r="E210" s="17">
        <f>'INSUMOS '!$E$444</f>
        <v>625.30000000000007</v>
      </c>
      <c r="F210" s="55">
        <f>D210*E210</f>
        <v>9379.5000000000018</v>
      </c>
      <c r="G210" s="1072"/>
    </row>
    <row r="211" spans="1:7">
      <c r="A211" s="947" t="str">
        <f>'INSUMOS '!$B$445</f>
        <v>ADAPTADOR MACHO PVC-P 3/4</v>
      </c>
      <c r="B211" s="944"/>
      <c r="C211" s="51" t="s">
        <v>998</v>
      </c>
      <c r="D211" s="54">
        <v>23</v>
      </c>
      <c r="E211" s="17">
        <f>'INSUMOS '!$E$445</f>
        <v>353.6</v>
      </c>
      <c r="F211" s="55">
        <f>D211*E211</f>
        <v>8132.8</v>
      </c>
      <c r="G211" s="1072"/>
    </row>
    <row r="212" spans="1:7">
      <c r="A212" s="947" t="str">
        <f>'INSUMOS '!$B$446</f>
        <v>TEFLON POR CARRETA</v>
      </c>
      <c r="B212" s="944"/>
      <c r="C212" s="51" t="s">
        <v>998</v>
      </c>
      <c r="D212" s="54">
        <v>8</v>
      </c>
      <c r="E212" s="17">
        <f>'INSUMOS '!$E$446</f>
        <v>427.7</v>
      </c>
      <c r="F212" s="55">
        <f>D212*E212</f>
        <v>3421.6</v>
      </c>
      <c r="G212" s="1072"/>
    </row>
    <row r="213" spans="1:7">
      <c r="A213" s="947"/>
      <c r="B213" s="944"/>
      <c r="C213" s="16"/>
      <c r="D213" s="58"/>
      <c r="E213" s="17"/>
      <c r="F213" s="55"/>
      <c r="G213" s="57">
        <f>SUM(F203:F213)</f>
        <v>63075.844000000005</v>
      </c>
    </row>
    <row r="214" spans="1:7">
      <c r="A214" s="1071" t="s">
        <v>15</v>
      </c>
      <c r="B214" s="944"/>
      <c r="C214" s="944"/>
      <c r="D214" s="944"/>
      <c r="E214" s="944"/>
      <c r="F214" s="944"/>
      <c r="G214" s="1072"/>
    </row>
    <row r="215" spans="1:7">
      <c r="A215" s="1074" t="s">
        <v>2</v>
      </c>
      <c r="B215" s="944"/>
      <c r="C215" s="53" t="s">
        <v>3</v>
      </c>
      <c r="D215" s="53" t="s">
        <v>4</v>
      </c>
      <c r="E215" s="53" t="s">
        <v>6</v>
      </c>
      <c r="F215" s="53" t="s">
        <v>11</v>
      </c>
      <c r="G215" s="1075" t="s">
        <v>8</v>
      </c>
    </row>
    <row r="216" spans="1:7">
      <c r="A216" s="943" t="s">
        <v>173</v>
      </c>
      <c r="B216" s="944"/>
      <c r="C216" s="16" t="s">
        <v>3</v>
      </c>
      <c r="D216" s="54">
        <v>3.5000000000000003E-2</v>
      </c>
      <c r="E216" s="17">
        <f>+G213</f>
        <v>63075.844000000005</v>
      </c>
      <c r="F216" s="55">
        <f>E216*D216</f>
        <v>2207.6545400000005</v>
      </c>
      <c r="G216" s="1072"/>
    </row>
    <row r="217" spans="1:7">
      <c r="A217" s="59"/>
      <c r="B217" s="60"/>
      <c r="C217" s="60"/>
      <c r="D217" s="60"/>
      <c r="E217" s="60"/>
      <c r="F217" s="60"/>
      <c r="G217" s="57">
        <f>SUM(F216:F217)</f>
        <v>2207.6545400000005</v>
      </c>
    </row>
    <row r="218" spans="1:7">
      <c r="A218" s="1071" t="s">
        <v>19</v>
      </c>
      <c r="B218" s="944"/>
      <c r="C218" s="944"/>
      <c r="D218" s="944"/>
      <c r="E218" s="944"/>
      <c r="F218" s="944"/>
      <c r="G218" s="1072"/>
    </row>
    <row r="219" spans="1:7">
      <c r="A219" s="1074" t="s">
        <v>2</v>
      </c>
      <c r="B219" s="944"/>
      <c r="C219" s="53" t="s">
        <v>3</v>
      </c>
      <c r="D219" s="53" t="s">
        <v>4</v>
      </c>
      <c r="E219" s="53" t="s">
        <v>6</v>
      </c>
      <c r="F219" s="53" t="s">
        <v>11</v>
      </c>
      <c r="G219" s="456" t="s">
        <v>8</v>
      </c>
    </row>
    <row r="220" spans="1:7">
      <c r="A220" s="978" t="str">
        <f>SALARIOS!$A$69</f>
        <v>CUADRILLA BB INSTALACIONES 1:1</v>
      </c>
      <c r="B220" s="979"/>
      <c r="C220" s="13" t="s">
        <v>1245</v>
      </c>
      <c r="D220" s="32">
        <v>1</v>
      </c>
      <c r="E220" s="13">
        <f>SALARIOS!$C$69</f>
        <v>27341</v>
      </c>
      <c r="F220" s="55">
        <f>+D220*E220</f>
        <v>27341</v>
      </c>
      <c r="G220" s="57">
        <f>SUM(F219:F220)</f>
        <v>27341</v>
      </c>
    </row>
    <row r="221" spans="1:7">
      <c r="A221" s="1076" t="s">
        <v>25</v>
      </c>
      <c r="B221" s="944"/>
      <c r="C221" s="944"/>
      <c r="D221" s="944"/>
      <c r="E221" s="944"/>
      <c r="F221" s="944"/>
      <c r="G221" s="1072"/>
    </row>
    <row r="222" spans="1:7" ht="17.399999999999999">
      <c r="A222" s="1077"/>
      <c r="B222" s="944"/>
      <c r="C222" s="944"/>
      <c r="D222" s="944"/>
      <c r="E222" s="944"/>
      <c r="F222" s="944"/>
      <c r="G222" s="62">
        <f>G220+G217+G213+G201</f>
        <v>93991.548540000003</v>
      </c>
    </row>
    <row r="224" spans="1:7">
      <c r="A224" s="970" t="s">
        <v>1</v>
      </c>
      <c r="B224" s="957"/>
      <c r="C224" s="953" t="s">
        <v>0</v>
      </c>
      <c r="D224" s="953"/>
      <c r="E224" s="953"/>
      <c r="F224" s="953"/>
      <c r="G224" s="1103"/>
    </row>
    <row r="225" spans="1:7" ht="45.75" customHeight="1">
      <c r="A225" s="971"/>
      <c r="B225" s="957"/>
      <c r="C225" s="953"/>
      <c r="D225" s="953"/>
      <c r="E225" s="953"/>
      <c r="F225" s="953"/>
      <c r="G225" s="1103"/>
    </row>
    <row r="226" spans="1:7" ht="17.399999999999999">
      <c r="A226" s="971"/>
      <c r="B226" s="957"/>
      <c r="C226" s="956"/>
      <c r="D226" s="957"/>
      <c r="E226" s="957"/>
      <c r="F226" s="957"/>
      <c r="G226" s="958"/>
    </row>
    <row r="227" spans="1:7">
      <c r="A227" s="971"/>
      <c r="B227" s="957"/>
      <c r="C227" s="959" t="s">
        <v>2</v>
      </c>
      <c r="D227" s="957"/>
      <c r="E227" s="957"/>
      <c r="F227" s="23" t="s">
        <v>3</v>
      </c>
      <c r="G227" s="24" t="s">
        <v>4</v>
      </c>
    </row>
    <row r="228" spans="1:7" ht="34.799999999999997">
      <c r="A228" s="1089" t="s">
        <v>2036</v>
      </c>
      <c r="B228" s="944"/>
      <c r="C228" s="980" t="s">
        <v>2037</v>
      </c>
      <c r="D228" s="944"/>
      <c r="E228" s="944"/>
      <c r="F228" s="51" t="s">
        <v>1620</v>
      </c>
      <c r="G228" s="52">
        <v>10</v>
      </c>
    </row>
    <row r="229" spans="1:7">
      <c r="A229" s="1071" t="s">
        <v>5</v>
      </c>
      <c r="B229" s="944"/>
      <c r="C229" s="944"/>
      <c r="D229" s="944"/>
      <c r="E229" s="944"/>
      <c r="F229" s="944"/>
      <c r="G229" s="1072"/>
    </row>
    <row r="230" spans="1:7">
      <c r="A230" s="1074" t="s">
        <v>2</v>
      </c>
      <c r="B230" s="944"/>
      <c r="C230" s="53" t="s">
        <v>3</v>
      </c>
      <c r="D230" s="53" t="s">
        <v>4</v>
      </c>
      <c r="E230" s="53" t="s">
        <v>6</v>
      </c>
      <c r="F230" s="53" t="s">
        <v>7</v>
      </c>
      <c r="G230" s="1075" t="s">
        <v>8</v>
      </c>
    </row>
    <row r="231" spans="1:7">
      <c r="A231" s="947" t="s">
        <v>167</v>
      </c>
      <c r="B231" s="980"/>
      <c r="C231" s="51" t="s">
        <v>3</v>
      </c>
      <c r="D231" s="54">
        <v>0.05</v>
      </c>
      <c r="E231" s="17">
        <f>+G254</f>
        <v>8202.2999999999993</v>
      </c>
      <c r="F231" s="55">
        <f>D231*E231</f>
        <v>410.11500000000001</v>
      </c>
      <c r="G231" s="1072"/>
    </row>
    <row r="232" spans="1:7">
      <c r="A232" s="947"/>
      <c r="B232" s="944"/>
      <c r="C232" s="51"/>
      <c r="D232" s="54"/>
      <c r="E232" s="17"/>
      <c r="F232" s="55">
        <f>D232*E232</f>
        <v>0</v>
      </c>
      <c r="G232" s="1072"/>
    </row>
    <row r="233" spans="1:7">
      <c r="A233" s="947"/>
      <c r="B233" s="980"/>
      <c r="C233" s="141"/>
      <c r="D233" s="16"/>
      <c r="E233" s="143"/>
      <c r="F233" s="55">
        <f>D233*E233</f>
        <v>0</v>
      </c>
      <c r="G233" s="1072"/>
    </row>
    <row r="234" spans="1:7">
      <c r="A234" s="947"/>
      <c r="B234" s="944"/>
      <c r="C234" s="51"/>
      <c r="D234" s="54"/>
      <c r="E234" s="17"/>
      <c r="F234" s="55">
        <f>D234*E234</f>
        <v>0</v>
      </c>
      <c r="G234" s="1072"/>
    </row>
    <row r="235" spans="1:7">
      <c r="A235" s="1079"/>
      <c r="B235" s="944"/>
      <c r="C235" s="56"/>
      <c r="D235" s="56"/>
      <c r="E235" s="56"/>
      <c r="F235" s="55"/>
      <c r="G235" s="57">
        <f>SUM(F230:F235)</f>
        <v>410.11500000000001</v>
      </c>
    </row>
    <row r="236" spans="1:7">
      <c r="A236" s="1071" t="s">
        <v>10</v>
      </c>
      <c r="B236" s="944"/>
      <c r="C236" s="944"/>
      <c r="D236" s="944"/>
      <c r="E236" s="944"/>
      <c r="F236" s="944"/>
      <c r="G236" s="1072"/>
    </row>
    <row r="237" spans="1:7">
      <c r="A237" s="1074" t="s">
        <v>2</v>
      </c>
      <c r="B237" s="944"/>
      <c r="C237" s="53" t="s">
        <v>3</v>
      </c>
      <c r="D237" s="53" t="s">
        <v>4</v>
      </c>
      <c r="E237" s="53" t="s">
        <v>6</v>
      </c>
      <c r="F237" s="53" t="s">
        <v>11</v>
      </c>
      <c r="G237" s="1075" t="s">
        <v>8</v>
      </c>
    </row>
    <row r="238" spans="1:7">
      <c r="A238" s="947" t="str">
        <f>'INSUMOS '!$B$386</f>
        <v>SOLDADURA PVC X 1/4</v>
      </c>
      <c r="B238" s="944"/>
      <c r="C238" s="51" t="s">
        <v>998</v>
      </c>
      <c r="D238" s="54">
        <v>0.02</v>
      </c>
      <c r="E238" s="17">
        <f>'INSUMOS '!$E$386</f>
        <v>74646</v>
      </c>
      <c r="F238" s="55">
        <f t="shared" ref="F238:F243" si="4">D238*E238</f>
        <v>1492.92</v>
      </c>
      <c r="G238" s="1075"/>
    </row>
    <row r="239" spans="1:7">
      <c r="A239" s="947" t="str">
        <f>'INSUMOS '!$B$420</f>
        <v>LIMPIADOR PVC X 12 O.Z.</v>
      </c>
      <c r="B239" s="944"/>
      <c r="C239" s="51" t="s">
        <v>998</v>
      </c>
      <c r="D239" s="54">
        <v>0.02</v>
      </c>
      <c r="E239" s="17">
        <f>'INSUMOS '!$E$420</f>
        <v>31166.2</v>
      </c>
      <c r="F239" s="55">
        <f t="shared" si="4"/>
        <v>623.32400000000007</v>
      </c>
      <c r="G239" s="1075"/>
    </row>
    <row r="240" spans="1:7">
      <c r="A240" s="947" t="str">
        <f>'INSUMOS '!$B$446</f>
        <v>TEFLON POR CARRETA</v>
      </c>
      <c r="B240" s="944"/>
      <c r="C240" s="51" t="s">
        <v>998</v>
      </c>
      <c r="D240" s="54">
        <v>9</v>
      </c>
      <c r="E240" s="17">
        <f>'INSUMOS '!$E$446</f>
        <v>427.7</v>
      </c>
      <c r="F240" s="55">
        <f t="shared" si="4"/>
        <v>3849.2999999999997</v>
      </c>
      <c r="G240" s="1075"/>
    </row>
    <row r="241" spans="1:7">
      <c r="A241" s="947" t="str">
        <f>'INSUMOS '!$B$447</f>
        <v>ADAPTADOR MACHO PVC-P 1/2</v>
      </c>
      <c r="B241" s="944"/>
      <c r="C241" s="51" t="s">
        <v>998</v>
      </c>
      <c r="D241" s="54">
        <v>27</v>
      </c>
      <c r="E241" s="17">
        <f>'INSUMOS '!$E$447</f>
        <v>158.6</v>
      </c>
      <c r="F241" s="55">
        <f t="shared" si="4"/>
        <v>4282.2</v>
      </c>
      <c r="G241" s="1075"/>
    </row>
    <row r="242" spans="1:7">
      <c r="A242" s="947" t="str">
        <f>'INSUMOS '!$B$448</f>
        <v>CODO PVC-P 1/2 45</v>
      </c>
      <c r="B242" s="944"/>
      <c r="C242" s="51" t="s">
        <v>998</v>
      </c>
      <c r="D242" s="54">
        <v>26</v>
      </c>
      <c r="E242" s="17">
        <f>'INSUMOS '!$E$448</f>
        <v>382.2</v>
      </c>
      <c r="F242" s="55">
        <f t="shared" si="4"/>
        <v>9937.1999999999989</v>
      </c>
      <c r="G242" s="1075"/>
    </row>
    <row r="243" spans="1:7">
      <c r="A243" s="947" t="str">
        <f>'INSUMOS '!$B$449</f>
        <v>CODO PVC-P 1/2 90</v>
      </c>
      <c r="B243" s="944"/>
      <c r="C243" s="51" t="s">
        <v>998</v>
      </c>
      <c r="D243" s="54">
        <v>25</v>
      </c>
      <c r="E243" s="17">
        <f>'INSUMOS '!$E$449</f>
        <v>312</v>
      </c>
      <c r="F243" s="55">
        <f t="shared" si="4"/>
        <v>7800</v>
      </c>
      <c r="G243" s="1075"/>
    </row>
    <row r="244" spans="1:7">
      <c r="A244" s="947" t="str">
        <f>'INSUMOS '!$B$450</f>
        <v>TEE PVC-P 1/2</v>
      </c>
      <c r="B244" s="944"/>
      <c r="C244" s="51" t="s">
        <v>998</v>
      </c>
      <c r="D244" s="54">
        <v>27</v>
      </c>
      <c r="E244" s="17">
        <f>'INSUMOS '!$E$450</f>
        <v>479.9</v>
      </c>
      <c r="F244" s="55">
        <f>D244*E244</f>
        <v>12957.3</v>
      </c>
      <c r="G244" s="1072"/>
    </row>
    <row r="245" spans="1:7">
      <c r="A245" s="947" t="str">
        <f>'INSUMOS '!$B$451</f>
        <v>TUBERIA PVC-P 1/2 RDE 9</v>
      </c>
      <c r="B245" s="944"/>
      <c r="C245" s="51" t="s">
        <v>998</v>
      </c>
      <c r="D245" s="54">
        <v>1</v>
      </c>
      <c r="E245" s="17">
        <f>'INSUMOS '!$E$451</f>
        <v>2065.5</v>
      </c>
      <c r="F245" s="55">
        <f>D245*E245</f>
        <v>2065.5</v>
      </c>
      <c r="G245" s="1072"/>
    </row>
    <row r="246" spans="1:7">
      <c r="A246" s="947" t="str">
        <f>'INSUMOS '!$B$452</f>
        <v>UNION PVC-P 1/2</v>
      </c>
      <c r="B246" s="944"/>
      <c r="C246" s="51" t="s">
        <v>998</v>
      </c>
      <c r="D246" s="54">
        <v>37</v>
      </c>
      <c r="E246" s="17">
        <f>'INSUMOS '!$E$452</f>
        <v>235.3</v>
      </c>
      <c r="F246" s="55">
        <f>D246*E246</f>
        <v>8706.1</v>
      </c>
      <c r="G246" s="1072"/>
    </row>
    <row r="247" spans="1:7">
      <c r="A247" s="947"/>
      <c r="B247" s="944"/>
      <c r="C247" s="16"/>
      <c r="D247" s="58"/>
      <c r="E247" s="17"/>
      <c r="F247" s="55"/>
      <c r="G247" s="57">
        <f>SUM(F237:F247)</f>
        <v>51713.84399999999</v>
      </c>
    </row>
    <row r="248" spans="1:7">
      <c r="A248" s="1071" t="s">
        <v>15</v>
      </c>
      <c r="B248" s="944"/>
      <c r="C248" s="944"/>
      <c r="D248" s="944"/>
      <c r="E248" s="944"/>
      <c r="F248" s="944"/>
      <c r="G248" s="1072"/>
    </row>
    <row r="249" spans="1:7">
      <c r="A249" s="1074" t="s">
        <v>2</v>
      </c>
      <c r="B249" s="944"/>
      <c r="C249" s="53" t="s">
        <v>3</v>
      </c>
      <c r="D249" s="53" t="s">
        <v>4</v>
      </c>
      <c r="E249" s="53" t="s">
        <v>6</v>
      </c>
      <c r="F249" s="53" t="s">
        <v>11</v>
      </c>
      <c r="G249" s="1075" t="s">
        <v>8</v>
      </c>
    </row>
    <row r="250" spans="1:7">
      <c r="A250" s="943" t="s">
        <v>173</v>
      </c>
      <c r="B250" s="944"/>
      <c r="C250" s="16" t="s">
        <v>3</v>
      </c>
      <c r="D250" s="54">
        <v>3.5000000000000003E-2</v>
      </c>
      <c r="E250" s="17">
        <f>+G247</f>
        <v>51713.84399999999</v>
      </c>
      <c r="F250" s="55">
        <f>E250*D250</f>
        <v>1809.9845399999999</v>
      </c>
      <c r="G250" s="1072"/>
    </row>
    <row r="251" spans="1:7">
      <c r="A251" s="59"/>
      <c r="B251" s="60"/>
      <c r="C251" s="60"/>
      <c r="D251" s="60"/>
      <c r="E251" s="60"/>
      <c r="F251" s="60"/>
      <c r="G251" s="57">
        <f>SUM(F250:F251)</f>
        <v>1809.9845399999999</v>
      </c>
    </row>
    <row r="252" spans="1:7">
      <c r="A252" s="1071" t="s">
        <v>19</v>
      </c>
      <c r="B252" s="944"/>
      <c r="C252" s="944"/>
      <c r="D252" s="944"/>
      <c r="E252" s="944"/>
      <c r="F252" s="944"/>
      <c r="G252" s="1072"/>
    </row>
    <row r="253" spans="1:7">
      <c r="A253" s="1074" t="s">
        <v>2</v>
      </c>
      <c r="B253" s="944"/>
      <c r="C253" s="53" t="s">
        <v>3</v>
      </c>
      <c r="D253" s="53" t="s">
        <v>4</v>
      </c>
      <c r="E253" s="53" t="s">
        <v>6</v>
      </c>
      <c r="F253" s="53" t="s">
        <v>11</v>
      </c>
      <c r="G253" s="456" t="s">
        <v>8</v>
      </c>
    </row>
    <row r="254" spans="1:7">
      <c r="A254" s="978" t="str">
        <f>SALARIOS!$A$69</f>
        <v>CUADRILLA BB INSTALACIONES 1:1</v>
      </c>
      <c r="B254" s="979"/>
      <c r="C254" s="13" t="s">
        <v>1245</v>
      </c>
      <c r="D254" s="32">
        <v>0.3</v>
      </c>
      <c r="E254" s="13">
        <f>SALARIOS!$C$69</f>
        <v>27341</v>
      </c>
      <c r="F254" s="55">
        <f>+D254*E254</f>
        <v>8202.2999999999993</v>
      </c>
      <c r="G254" s="57">
        <f>SUM(F253:F254)</f>
        <v>8202.2999999999993</v>
      </c>
    </row>
    <row r="255" spans="1:7">
      <c r="A255" s="1076" t="s">
        <v>25</v>
      </c>
      <c r="B255" s="944"/>
      <c r="C255" s="944"/>
      <c r="D255" s="944"/>
      <c r="E255" s="944"/>
      <c r="F255" s="944"/>
      <c r="G255" s="1072"/>
    </row>
    <row r="256" spans="1:7" ht="17.399999999999999">
      <c r="A256" s="1077"/>
      <c r="B256" s="944"/>
      <c r="C256" s="944"/>
      <c r="D256" s="944"/>
      <c r="E256" s="944"/>
      <c r="F256" s="944"/>
      <c r="G256" s="62">
        <f>G254+G251+G247+G235</f>
        <v>62136.243539999989</v>
      </c>
    </row>
    <row r="258" spans="1:7">
      <c r="A258" s="970" t="s">
        <v>1</v>
      </c>
      <c r="B258" s="957"/>
      <c r="C258" s="953" t="s">
        <v>0</v>
      </c>
      <c r="D258" s="953"/>
      <c r="E258" s="953"/>
      <c r="F258" s="953"/>
      <c r="G258" s="1103"/>
    </row>
    <row r="259" spans="1:7" ht="47.25" customHeight="1">
      <c r="A259" s="971"/>
      <c r="B259" s="957"/>
      <c r="C259" s="953"/>
      <c r="D259" s="953"/>
      <c r="E259" s="953"/>
      <c r="F259" s="953"/>
      <c r="G259" s="1103"/>
    </row>
    <row r="260" spans="1:7" ht="15.75" customHeight="1">
      <c r="A260" s="971"/>
      <c r="B260" s="957"/>
      <c r="C260" s="956"/>
      <c r="D260" s="957"/>
      <c r="E260" s="957"/>
      <c r="F260" s="957"/>
      <c r="G260" s="958"/>
    </row>
    <row r="261" spans="1:7">
      <c r="A261" s="971"/>
      <c r="B261" s="957"/>
      <c r="C261" s="959" t="s">
        <v>2</v>
      </c>
      <c r="D261" s="957"/>
      <c r="E261" s="957"/>
      <c r="F261" s="23" t="s">
        <v>3</v>
      </c>
      <c r="G261" s="24" t="s">
        <v>4</v>
      </c>
    </row>
    <row r="262" spans="1:7" ht="34.799999999999997">
      <c r="A262" s="1089" t="s">
        <v>2038</v>
      </c>
      <c r="B262" s="944"/>
      <c r="C262" s="980" t="s">
        <v>2039</v>
      </c>
      <c r="D262" s="944"/>
      <c r="E262" s="944"/>
      <c r="F262" s="51" t="s">
        <v>1620</v>
      </c>
      <c r="G262" s="52">
        <v>10</v>
      </c>
    </row>
    <row r="263" spans="1:7">
      <c r="A263" s="1071" t="s">
        <v>5</v>
      </c>
      <c r="B263" s="944"/>
      <c r="C263" s="944"/>
      <c r="D263" s="944"/>
      <c r="E263" s="944"/>
      <c r="F263" s="944"/>
      <c r="G263" s="1072"/>
    </row>
    <row r="264" spans="1:7">
      <c r="A264" s="1074" t="s">
        <v>2</v>
      </c>
      <c r="B264" s="944"/>
      <c r="C264" s="53" t="s">
        <v>3</v>
      </c>
      <c r="D264" s="53" t="s">
        <v>4</v>
      </c>
      <c r="E264" s="53" t="s">
        <v>6</v>
      </c>
      <c r="F264" s="53" t="s">
        <v>7</v>
      </c>
      <c r="G264" s="1075" t="s">
        <v>8</v>
      </c>
    </row>
    <row r="265" spans="1:7">
      <c r="A265" s="947" t="s">
        <v>167</v>
      </c>
      <c r="B265" s="980"/>
      <c r="C265" s="51" t="s">
        <v>3</v>
      </c>
      <c r="D265" s="54">
        <v>0.05</v>
      </c>
      <c r="E265" s="17">
        <f>+G288</f>
        <v>8202.2999999999993</v>
      </c>
      <c r="F265" s="55">
        <f>D265*E265</f>
        <v>410.11500000000001</v>
      </c>
      <c r="G265" s="1072"/>
    </row>
    <row r="266" spans="1:7">
      <c r="A266" s="1015" t="str">
        <f>'MAQUINARIA Y EQUIPOS'!$D$45</f>
        <v>BOMBA HIDROSTATICA PARA PRESURIZACIÓN(Alquiler)</v>
      </c>
      <c r="B266" s="1113"/>
      <c r="C266" s="51" t="s">
        <v>60</v>
      </c>
      <c r="D266" s="54">
        <v>0.08</v>
      </c>
      <c r="E266" s="17">
        <f>'MAQUINARIA Y EQUIPOS'!$F$45</f>
        <v>40000</v>
      </c>
      <c r="F266" s="55">
        <f>D266*E266</f>
        <v>3200</v>
      </c>
      <c r="G266" s="1072"/>
    </row>
    <row r="267" spans="1:7">
      <c r="A267" s="947"/>
      <c r="B267" s="980"/>
      <c r="C267" s="141"/>
      <c r="D267" s="16"/>
      <c r="E267" s="143"/>
      <c r="F267" s="55">
        <f>D267*E267</f>
        <v>0</v>
      </c>
      <c r="G267" s="1072"/>
    </row>
    <row r="268" spans="1:7">
      <c r="A268" s="947"/>
      <c r="B268" s="944"/>
      <c r="C268" s="51"/>
      <c r="D268" s="54"/>
      <c r="E268" s="17"/>
      <c r="F268" s="55">
        <f>D268*E268</f>
        <v>0</v>
      </c>
      <c r="G268" s="1072"/>
    </row>
    <row r="269" spans="1:7">
      <c r="A269" s="1079"/>
      <c r="B269" s="944"/>
      <c r="C269" s="56"/>
      <c r="D269" s="56"/>
      <c r="E269" s="56"/>
      <c r="F269" s="55"/>
      <c r="G269" s="57">
        <f>SUM(F264:F269)</f>
        <v>3610.1149999999998</v>
      </c>
    </row>
    <row r="270" spans="1:7">
      <c r="A270" s="1071" t="s">
        <v>10</v>
      </c>
      <c r="B270" s="944"/>
      <c r="C270" s="944"/>
      <c r="D270" s="944"/>
      <c r="E270" s="944"/>
      <c r="F270" s="944"/>
      <c r="G270" s="1072"/>
    </row>
    <row r="271" spans="1:7">
      <c r="A271" s="1074" t="s">
        <v>2</v>
      </c>
      <c r="B271" s="944"/>
      <c r="C271" s="53" t="s">
        <v>3</v>
      </c>
      <c r="D271" s="53" t="s">
        <v>4</v>
      </c>
      <c r="E271" s="53" t="s">
        <v>6</v>
      </c>
      <c r="F271" s="53" t="s">
        <v>11</v>
      </c>
      <c r="G271" s="1075" t="s">
        <v>8</v>
      </c>
    </row>
    <row r="272" spans="1:7">
      <c r="A272" s="947" t="str">
        <f>'INSUMOS '!$B$386</f>
        <v>SOLDADURA PVC X 1/4</v>
      </c>
      <c r="B272" s="944"/>
      <c r="C272" s="51" t="s">
        <v>998</v>
      </c>
      <c r="D272" s="54">
        <v>0.02</v>
      </c>
      <c r="E272" s="17">
        <f>'INSUMOS '!$E$386</f>
        <v>74646</v>
      </c>
      <c r="F272" s="55">
        <f t="shared" ref="F272:F277" si="5">D272*E272</f>
        <v>1492.92</v>
      </c>
      <c r="G272" s="1075"/>
    </row>
    <row r="273" spans="1:7">
      <c r="A273" s="947" t="str">
        <f>'INSUMOS '!$B$420</f>
        <v>LIMPIADOR PVC X 12 O.Z.</v>
      </c>
      <c r="B273" s="944"/>
      <c r="C273" s="51" t="s">
        <v>998</v>
      </c>
      <c r="D273" s="54">
        <v>0.02</v>
      </c>
      <c r="E273" s="17">
        <f>'INSUMOS '!$E$420</f>
        <v>31166.2</v>
      </c>
      <c r="F273" s="55">
        <f t="shared" si="5"/>
        <v>623.32400000000007</v>
      </c>
      <c r="G273" s="1075"/>
    </row>
    <row r="274" spans="1:7" ht="15" customHeight="1">
      <c r="A274" s="947" t="str">
        <f>'INSUMOS '!$B$446</f>
        <v>TEFLON POR CARRETA</v>
      </c>
      <c r="B274" s="944"/>
      <c r="C274" s="51" t="s">
        <v>998</v>
      </c>
      <c r="D274" s="54">
        <v>8</v>
      </c>
      <c r="E274" s="17">
        <f>'INSUMOS '!$E$446</f>
        <v>427.7</v>
      </c>
      <c r="F274" s="55">
        <f t="shared" si="5"/>
        <v>3421.6</v>
      </c>
      <c r="G274" s="1075"/>
    </row>
    <row r="275" spans="1:7" ht="15" customHeight="1">
      <c r="A275" s="947" t="str">
        <f>'INSUMOS '!$B$445</f>
        <v>ADAPTADOR MACHO PVC-P 3/4</v>
      </c>
      <c r="B275" s="944"/>
      <c r="C275" s="51" t="s">
        <v>998</v>
      </c>
      <c r="D275" s="54">
        <v>25</v>
      </c>
      <c r="E275" s="17">
        <f>'INSUMOS '!$E$445</f>
        <v>353.6</v>
      </c>
      <c r="F275" s="55">
        <f t="shared" si="5"/>
        <v>8840</v>
      </c>
      <c r="G275" s="1075"/>
    </row>
    <row r="276" spans="1:7">
      <c r="A276" s="947" t="str">
        <f>'INSUMOS '!$B$441</f>
        <v>CODO PVC-P 3/4 45</v>
      </c>
      <c r="B276" s="944"/>
      <c r="C276" s="51" t="s">
        <v>998</v>
      </c>
      <c r="D276" s="54">
        <v>28</v>
      </c>
      <c r="E276" s="17">
        <f>'INSUMOS '!$E$441</f>
        <v>650</v>
      </c>
      <c r="F276" s="55">
        <f t="shared" si="5"/>
        <v>18200</v>
      </c>
      <c r="G276" s="1075"/>
    </row>
    <row r="277" spans="1:7">
      <c r="A277" s="947" t="str">
        <f>'INSUMOS '!$B$442</f>
        <v>CODO PVC-P 3/4 90</v>
      </c>
      <c r="B277" s="944"/>
      <c r="C277" s="51" t="s">
        <v>998</v>
      </c>
      <c r="D277" s="54">
        <v>20</v>
      </c>
      <c r="E277" s="17">
        <f>'INSUMOS '!$E$442</f>
        <v>443.3</v>
      </c>
      <c r="F277" s="55">
        <f t="shared" si="5"/>
        <v>8866</v>
      </c>
      <c r="G277" s="1075"/>
    </row>
    <row r="278" spans="1:7" ht="15" customHeight="1">
      <c r="A278" s="947" t="str">
        <f>'INSUMOS '!$B$443</f>
        <v>UNION PVC-P 3/4</v>
      </c>
      <c r="B278" s="944"/>
      <c r="C278" s="51" t="s">
        <v>998</v>
      </c>
      <c r="D278" s="54">
        <v>35</v>
      </c>
      <c r="E278" s="17">
        <f>'INSUMOS '!$E$443</f>
        <v>317.2</v>
      </c>
      <c r="F278" s="55">
        <f>D278*E278</f>
        <v>11102</v>
      </c>
      <c r="G278" s="1072"/>
    </row>
    <row r="279" spans="1:7" ht="15" customHeight="1">
      <c r="A279" s="947" t="str">
        <f>'INSUMOS '!$B$444</f>
        <v>TEE PVC-P 3/4</v>
      </c>
      <c r="B279" s="944"/>
      <c r="C279" s="51" t="s">
        <v>998</v>
      </c>
      <c r="D279" s="54">
        <v>1</v>
      </c>
      <c r="E279" s="17">
        <f>'INSUMOS '!$E$444</f>
        <v>625.30000000000007</v>
      </c>
      <c r="F279" s="55">
        <f>D279*E279</f>
        <v>625.30000000000007</v>
      </c>
      <c r="G279" s="1072"/>
    </row>
    <row r="280" spans="1:7">
      <c r="A280" s="947"/>
      <c r="B280" s="944"/>
      <c r="C280" s="16"/>
      <c r="D280" s="54"/>
      <c r="E280" s="17"/>
      <c r="F280" s="55">
        <f>D280*E280</f>
        <v>0</v>
      </c>
      <c r="G280" s="1072"/>
    </row>
    <row r="281" spans="1:7">
      <c r="A281" s="947"/>
      <c r="B281" s="944"/>
      <c r="C281" s="16"/>
      <c r="D281" s="58"/>
      <c r="E281" s="17"/>
      <c r="F281" s="55"/>
      <c r="G281" s="57">
        <f>SUM(F271:F281)</f>
        <v>53171.144</v>
      </c>
    </row>
    <row r="282" spans="1:7">
      <c r="A282" s="1071" t="s">
        <v>15</v>
      </c>
      <c r="B282" s="944"/>
      <c r="C282" s="944"/>
      <c r="D282" s="944"/>
      <c r="E282" s="944"/>
      <c r="F282" s="944"/>
      <c r="G282" s="1072"/>
    </row>
    <row r="283" spans="1:7">
      <c r="A283" s="1074" t="s">
        <v>2</v>
      </c>
      <c r="B283" s="944"/>
      <c r="C283" s="53" t="s">
        <v>3</v>
      </c>
      <c r="D283" s="53" t="s">
        <v>4</v>
      </c>
      <c r="E283" s="53" t="s">
        <v>6</v>
      </c>
      <c r="F283" s="53" t="s">
        <v>11</v>
      </c>
      <c r="G283" s="1075" t="s">
        <v>8</v>
      </c>
    </row>
    <row r="284" spans="1:7">
      <c r="A284" s="943" t="s">
        <v>173</v>
      </c>
      <c r="B284" s="944"/>
      <c r="C284" s="16" t="s">
        <v>3</v>
      </c>
      <c r="D284" s="54">
        <v>3.5000000000000003E-2</v>
      </c>
      <c r="E284" s="17">
        <f>+G281</f>
        <v>53171.144</v>
      </c>
      <c r="F284" s="55">
        <f>E284*D284</f>
        <v>1860.9900400000001</v>
      </c>
      <c r="G284" s="1072"/>
    </row>
    <row r="285" spans="1:7">
      <c r="A285" s="59"/>
      <c r="B285" s="60"/>
      <c r="C285" s="60"/>
      <c r="D285" s="60"/>
      <c r="E285" s="60"/>
      <c r="F285" s="60"/>
      <c r="G285" s="57">
        <f>SUM(F284:F285)</f>
        <v>1860.9900400000001</v>
      </c>
    </row>
    <row r="286" spans="1:7">
      <c r="A286" s="1071" t="s">
        <v>19</v>
      </c>
      <c r="B286" s="944"/>
      <c r="C286" s="944"/>
      <c r="D286" s="944"/>
      <c r="E286" s="944"/>
      <c r="F286" s="944"/>
      <c r="G286" s="1072"/>
    </row>
    <row r="287" spans="1:7">
      <c r="A287" s="1074" t="s">
        <v>2</v>
      </c>
      <c r="B287" s="944"/>
      <c r="C287" s="53" t="s">
        <v>3</v>
      </c>
      <c r="D287" s="53" t="s">
        <v>4</v>
      </c>
      <c r="E287" s="53" t="s">
        <v>6</v>
      </c>
      <c r="F287" s="53" t="s">
        <v>11</v>
      </c>
      <c r="G287" s="456" t="s">
        <v>8</v>
      </c>
    </row>
    <row r="288" spans="1:7">
      <c r="A288" s="978" t="str">
        <f>SALARIOS!$A$69</f>
        <v>CUADRILLA BB INSTALACIONES 1:1</v>
      </c>
      <c r="B288" s="979"/>
      <c r="C288" s="13" t="s">
        <v>1245</v>
      </c>
      <c r="D288" s="32">
        <v>0.3</v>
      </c>
      <c r="E288" s="13">
        <f>SALARIOS!$C$69</f>
        <v>27341</v>
      </c>
      <c r="F288" s="55">
        <f>+D288*E288</f>
        <v>8202.2999999999993</v>
      </c>
      <c r="G288" s="57">
        <f>SUM(F287:F288)</f>
        <v>8202.2999999999993</v>
      </c>
    </row>
    <row r="289" spans="1:7">
      <c r="A289" s="1076" t="s">
        <v>25</v>
      </c>
      <c r="B289" s="944"/>
      <c r="C289" s="944"/>
      <c r="D289" s="944"/>
      <c r="E289" s="944"/>
      <c r="F289" s="944"/>
      <c r="G289" s="1072"/>
    </row>
    <row r="290" spans="1:7" ht="17.399999999999999">
      <c r="A290" s="1077"/>
      <c r="B290" s="944"/>
      <c r="C290" s="944"/>
      <c r="D290" s="944"/>
      <c r="E290" s="944"/>
      <c r="F290" s="944"/>
      <c r="G290" s="62">
        <f>G288+G285+G281+G269</f>
        <v>66844.549039999998</v>
      </c>
    </row>
    <row r="292" spans="1:7">
      <c r="A292" s="970" t="s">
        <v>1</v>
      </c>
      <c r="B292" s="957"/>
      <c r="C292" s="953" t="s">
        <v>0</v>
      </c>
      <c r="D292" s="953"/>
      <c r="E292" s="953"/>
      <c r="F292" s="953"/>
      <c r="G292" s="1103"/>
    </row>
    <row r="293" spans="1:7" ht="45.75" customHeight="1">
      <c r="A293" s="971"/>
      <c r="B293" s="957"/>
      <c r="C293" s="953"/>
      <c r="D293" s="953"/>
      <c r="E293" s="953"/>
      <c r="F293" s="953"/>
      <c r="G293" s="1103"/>
    </row>
    <row r="294" spans="1:7" ht="17.399999999999999">
      <c r="A294" s="971"/>
      <c r="B294" s="957"/>
      <c r="C294" s="956"/>
      <c r="D294" s="957"/>
      <c r="E294" s="957"/>
      <c r="F294" s="957"/>
      <c r="G294" s="958"/>
    </row>
    <row r="295" spans="1:7">
      <c r="A295" s="971"/>
      <c r="B295" s="957"/>
      <c r="C295" s="959" t="s">
        <v>2</v>
      </c>
      <c r="D295" s="957"/>
      <c r="E295" s="957"/>
      <c r="F295" s="23" t="s">
        <v>3</v>
      </c>
      <c r="G295" s="24" t="s">
        <v>4</v>
      </c>
    </row>
    <row r="296" spans="1:7" ht="34.799999999999997">
      <c r="A296" s="1089" t="s">
        <v>2040</v>
      </c>
      <c r="B296" s="944"/>
      <c r="C296" s="980" t="s">
        <v>2041</v>
      </c>
      <c r="D296" s="944"/>
      <c r="E296" s="944"/>
      <c r="F296" s="51" t="s">
        <v>1620</v>
      </c>
      <c r="G296" s="52">
        <v>26</v>
      </c>
    </row>
    <row r="297" spans="1:7">
      <c r="A297" s="1071" t="s">
        <v>5</v>
      </c>
      <c r="B297" s="944"/>
      <c r="C297" s="944"/>
      <c r="D297" s="944"/>
      <c r="E297" s="944"/>
      <c r="F297" s="944"/>
      <c r="G297" s="1072"/>
    </row>
    <row r="298" spans="1:7">
      <c r="A298" s="1074" t="s">
        <v>2</v>
      </c>
      <c r="B298" s="944"/>
      <c r="C298" s="53" t="s">
        <v>3</v>
      </c>
      <c r="D298" s="53" t="s">
        <v>4</v>
      </c>
      <c r="E298" s="53" t="s">
        <v>6</v>
      </c>
      <c r="F298" s="53" t="s">
        <v>7</v>
      </c>
      <c r="G298" s="1075" t="s">
        <v>8</v>
      </c>
    </row>
    <row r="299" spans="1:7">
      <c r="A299" s="947" t="s">
        <v>167</v>
      </c>
      <c r="B299" s="980"/>
      <c r="C299" s="51" t="s">
        <v>3</v>
      </c>
      <c r="D299" s="54">
        <v>0.05</v>
      </c>
      <c r="E299" s="17">
        <f>+G316</f>
        <v>13670.5</v>
      </c>
      <c r="F299" s="55">
        <f>D299*E299</f>
        <v>683.52500000000009</v>
      </c>
      <c r="G299" s="1072"/>
    </row>
    <row r="300" spans="1:7">
      <c r="A300" s="947"/>
      <c r="B300" s="944"/>
      <c r="C300" s="51"/>
      <c r="D300" s="54"/>
      <c r="E300" s="17"/>
      <c r="F300" s="55">
        <f>D300*E300</f>
        <v>0</v>
      </c>
      <c r="G300" s="1072"/>
    </row>
    <row r="301" spans="1:7">
      <c r="A301" s="947"/>
      <c r="B301" s="980"/>
      <c r="C301" s="141"/>
      <c r="D301" s="16"/>
      <c r="E301" s="143"/>
      <c r="F301" s="55">
        <f>D301*E301</f>
        <v>0</v>
      </c>
      <c r="G301" s="1072"/>
    </row>
    <row r="302" spans="1:7">
      <c r="A302" s="947"/>
      <c r="B302" s="944"/>
      <c r="C302" s="51"/>
      <c r="D302" s="54"/>
      <c r="E302" s="17"/>
      <c r="F302" s="55">
        <f>D302*E302</f>
        <v>0</v>
      </c>
      <c r="G302" s="1072"/>
    </row>
    <row r="303" spans="1:7">
      <c r="A303" s="1079"/>
      <c r="B303" s="944"/>
      <c r="C303" s="56"/>
      <c r="D303" s="56"/>
      <c r="E303" s="56"/>
      <c r="F303" s="55"/>
      <c r="G303" s="57">
        <f>SUM(F298:F303)</f>
        <v>683.52500000000009</v>
      </c>
    </row>
    <row r="304" spans="1:7">
      <c r="A304" s="1071" t="s">
        <v>10</v>
      </c>
      <c r="B304" s="944"/>
      <c r="C304" s="944"/>
      <c r="D304" s="944"/>
      <c r="E304" s="944"/>
      <c r="F304" s="944"/>
      <c r="G304" s="1072"/>
    </row>
    <row r="305" spans="1:7">
      <c r="A305" s="1074" t="s">
        <v>2</v>
      </c>
      <c r="B305" s="944"/>
      <c r="C305" s="53" t="s">
        <v>3</v>
      </c>
      <c r="D305" s="53" t="s">
        <v>4</v>
      </c>
      <c r="E305" s="53" t="s">
        <v>6</v>
      </c>
      <c r="F305" s="53" t="s">
        <v>11</v>
      </c>
      <c r="G305" s="1075" t="s">
        <v>8</v>
      </c>
    </row>
    <row r="306" spans="1:7">
      <c r="A306" s="947" t="str">
        <f>'INSUMOS '!$B$453</f>
        <v>VALVULA COMPUERTA 3</v>
      </c>
      <c r="B306" s="944"/>
      <c r="C306" s="16" t="s">
        <v>998</v>
      </c>
      <c r="D306" s="54">
        <v>1</v>
      </c>
      <c r="E306" s="17">
        <f>'INSUMOS '!$E$453</f>
        <v>230960</v>
      </c>
      <c r="F306" s="55">
        <f>D306*E306</f>
        <v>230960</v>
      </c>
      <c r="G306" s="1072"/>
    </row>
    <row r="307" spans="1:7">
      <c r="A307" s="947" t="str">
        <f>'INSUMOS '!$B$454</f>
        <v>TRABA QUIMICA FUERZA ALTA</v>
      </c>
      <c r="B307" s="944"/>
      <c r="C307" s="16" t="s">
        <v>998</v>
      </c>
      <c r="D307" s="54">
        <v>1</v>
      </c>
      <c r="E307" s="17">
        <f>'INSUMOS '!$E$454</f>
        <v>16740</v>
      </c>
      <c r="F307" s="55">
        <f>D307*E307</f>
        <v>16740</v>
      </c>
      <c r="G307" s="1072"/>
    </row>
    <row r="308" spans="1:7">
      <c r="A308" s="947" t="str">
        <f>'INSUMOS '!$B$455</f>
        <v>ADAPTADOR MACHO PVC-P 3</v>
      </c>
      <c r="B308" s="944"/>
      <c r="C308" s="16" t="s">
        <v>998</v>
      </c>
      <c r="D308" s="54">
        <v>1</v>
      </c>
      <c r="E308" s="17">
        <f>'INSUMOS '!$E$455</f>
        <v>4095</v>
      </c>
      <c r="F308" s="55">
        <f>D308*E308</f>
        <v>4095</v>
      </c>
      <c r="G308" s="1072"/>
    </row>
    <row r="309" spans="1:7">
      <c r="A309" s="947"/>
      <c r="B309" s="944"/>
      <c r="C309" s="16"/>
      <c r="D309" s="58"/>
      <c r="E309" s="17"/>
      <c r="F309" s="55"/>
      <c r="G309" s="57">
        <f>SUM(F305:F309)</f>
        <v>251795</v>
      </c>
    </row>
    <row r="310" spans="1:7">
      <c r="A310" s="1071" t="s">
        <v>15</v>
      </c>
      <c r="B310" s="944"/>
      <c r="C310" s="944"/>
      <c r="D310" s="944"/>
      <c r="E310" s="944"/>
      <c r="F310" s="944"/>
      <c r="G310" s="1072"/>
    </row>
    <row r="311" spans="1:7">
      <c r="A311" s="1074" t="s">
        <v>2</v>
      </c>
      <c r="B311" s="944"/>
      <c r="C311" s="53" t="s">
        <v>3</v>
      </c>
      <c r="D311" s="53" t="s">
        <v>4</v>
      </c>
      <c r="E311" s="53" t="s">
        <v>6</v>
      </c>
      <c r="F311" s="53" t="s">
        <v>11</v>
      </c>
      <c r="G311" s="1075" t="s">
        <v>8</v>
      </c>
    </row>
    <row r="312" spans="1:7">
      <c r="A312" s="943" t="s">
        <v>173</v>
      </c>
      <c r="B312" s="944"/>
      <c r="C312" s="16" t="s">
        <v>3</v>
      </c>
      <c r="D312" s="54">
        <v>3.5000000000000003E-2</v>
      </c>
      <c r="E312" s="17">
        <f>+G309</f>
        <v>251795</v>
      </c>
      <c r="F312" s="55">
        <f>E312*D312</f>
        <v>8812.8250000000007</v>
      </c>
      <c r="G312" s="1072"/>
    </row>
    <row r="313" spans="1:7">
      <c r="A313" s="59"/>
      <c r="B313" s="60"/>
      <c r="C313" s="60"/>
      <c r="D313" s="60"/>
      <c r="E313" s="60"/>
      <c r="F313" s="60"/>
      <c r="G313" s="57">
        <f>SUM(F312:F313)</f>
        <v>8812.8250000000007</v>
      </c>
    </row>
    <row r="314" spans="1:7">
      <c r="A314" s="1071" t="s">
        <v>19</v>
      </c>
      <c r="B314" s="944"/>
      <c r="C314" s="944"/>
      <c r="D314" s="944"/>
      <c r="E314" s="944"/>
      <c r="F314" s="944"/>
      <c r="G314" s="1072"/>
    </row>
    <row r="315" spans="1:7">
      <c r="A315" s="1074" t="s">
        <v>2</v>
      </c>
      <c r="B315" s="944"/>
      <c r="C315" s="53" t="s">
        <v>3</v>
      </c>
      <c r="D315" s="53" t="s">
        <v>4</v>
      </c>
      <c r="E315" s="53" t="s">
        <v>6</v>
      </c>
      <c r="F315" s="53" t="s">
        <v>11</v>
      </c>
      <c r="G315" s="456" t="s">
        <v>8</v>
      </c>
    </row>
    <row r="316" spans="1:7">
      <c r="A316" s="978" t="str">
        <f>SALARIOS!$A$69</f>
        <v>CUADRILLA BB INSTALACIONES 1:1</v>
      </c>
      <c r="B316" s="979"/>
      <c r="C316" s="13" t="s">
        <v>1245</v>
      </c>
      <c r="D316" s="32">
        <v>0.5</v>
      </c>
      <c r="E316" s="13">
        <f>SALARIOS!$C$69</f>
        <v>27341</v>
      </c>
      <c r="F316" s="55">
        <f>+D316*E316</f>
        <v>13670.5</v>
      </c>
      <c r="G316" s="57">
        <f>SUM(F315:F316)</f>
        <v>13670.5</v>
      </c>
    </row>
    <row r="317" spans="1:7">
      <c r="A317" s="1076" t="s">
        <v>25</v>
      </c>
      <c r="B317" s="944"/>
      <c r="C317" s="944"/>
      <c r="D317" s="944"/>
      <c r="E317" s="944"/>
      <c r="F317" s="944"/>
      <c r="G317" s="1072"/>
    </row>
    <row r="318" spans="1:7" ht="17.399999999999999">
      <c r="A318" s="1077"/>
      <c r="B318" s="944"/>
      <c r="C318" s="944"/>
      <c r="D318" s="944"/>
      <c r="E318" s="944"/>
      <c r="F318" s="944"/>
      <c r="G318" s="62">
        <f>G316+G313+G309+G303</f>
        <v>274961.85000000003</v>
      </c>
    </row>
    <row r="320" spans="1:7">
      <c r="A320" s="970" t="s">
        <v>1</v>
      </c>
      <c r="B320" s="957"/>
      <c r="C320" s="953" t="s">
        <v>0</v>
      </c>
      <c r="D320" s="953"/>
      <c r="E320" s="953"/>
      <c r="F320" s="953"/>
      <c r="G320" s="1103"/>
    </row>
    <row r="321" spans="1:8" ht="48.75" customHeight="1">
      <c r="A321" s="971"/>
      <c r="B321" s="957"/>
      <c r="C321" s="953"/>
      <c r="D321" s="953"/>
      <c r="E321" s="953"/>
      <c r="F321" s="953"/>
      <c r="G321" s="1103"/>
    </row>
    <row r="322" spans="1:8" ht="17.399999999999999">
      <c r="A322" s="971"/>
      <c r="B322" s="957"/>
      <c r="C322" s="956"/>
      <c r="D322" s="957"/>
      <c r="E322" s="957"/>
      <c r="F322" s="957"/>
      <c r="G322" s="958"/>
    </row>
    <row r="323" spans="1:8">
      <c r="A323" s="971"/>
      <c r="B323" s="957"/>
      <c r="C323" s="959" t="s">
        <v>2</v>
      </c>
      <c r="D323" s="957"/>
      <c r="E323" s="957"/>
      <c r="F323" s="23" t="s">
        <v>3</v>
      </c>
      <c r="G323" s="24" t="s">
        <v>4</v>
      </c>
    </row>
    <row r="324" spans="1:8" ht="34.799999999999997">
      <c r="A324" s="1089" t="s">
        <v>2042</v>
      </c>
      <c r="B324" s="944"/>
      <c r="C324" s="980" t="s">
        <v>2043</v>
      </c>
      <c r="D324" s="944"/>
      <c r="E324" s="944"/>
      <c r="F324" s="51" t="s">
        <v>1620</v>
      </c>
      <c r="G324" s="52">
        <v>3</v>
      </c>
    </row>
    <row r="325" spans="1:8" ht="15">
      <c r="A325" s="1071" t="s">
        <v>5</v>
      </c>
      <c r="B325" s="944"/>
      <c r="C325" s="944"/>
      <c r="D325" s="944"/>
      <c r="E325" s="944"/>
      <c r="F325" s="944"/>
      <c r="G325" s="1072"/>
      <c r="H325" s="452"/>
    </row>
    <row r="326" spans="1:8" ht="15">
      <c r="A326" s="1074" t="s">
        <v>2</v>
      </c>
      <c r="B326" s="944"/>
      <c r="C326" s="53" t="s">
        <v>3</v>
      </c>
      <c r="D326" s="53" t="s">
        <v>4</v>
      </c>
      <c r="E326" s="53" t="s">
        <v>6</v>
      </c>
      <c r="F326" s="53" t="s">
        <v>7</v>
      </c>
      <c r="G326" s="1075" t="s">
        <v>8</v>
      </c>
      <c r="H326" s="452"/>
    </row>
    <row r="327" spans="1:8" ht="15">
      <c r="A327" s="947" t="s">
        <v>167</v>
      </c>
      <c r="B327" s="980"/>
      <c r="C327" s="51" t="s">
        <v>3</v>
      </c>
      <c r="D327" s="54">
        <v>0.05</v>
      </c>
      <c r="E327" s="17">
        <f>+G344</f>
        <v>13670.5</v>
      </c>
      <c r="F327" s="55">
        <f>D327*E327</f>
        <v>683.52500000000009</v>
      </c>
      <c r="G327" s="1072"/>
      <c r="H327" s="452"/>
    </row>
    <row r="328" spans="1:8" ht="15">
      <c r="A328" s="947"/>
      <c r="B328" s="944"/>
      <c r="C328" s="51"/>
      <c r="D328" s="54"/>
      <c r="E328" s="17"/>
      <c r="F328" s="55">
        <f>D328*E328</f>
        <v>0</v>
      </c>
      <c r="G328" s="1072"/>
      <c r="H328" s="452"/>
    </row>
    <row r="329" spans="1:8">
      <c r="A329" s="947"/>
      <c r="B329" s="980"/>
      <c r="C329" s="141"/>
      <c r="D329" s="16"/>
      <c r="E329" s="143"/>
      <c r="F329" s="55">
        <f>D329*E329</f>
        <v>0</v>
      </c>
      <c r="G329" s="1072"/>
    </row>
    <row r="330" spans="1:8">
      <c r="A330" s="947"/>
      <c r="B330" s="944"/>
      <c r="C330" s="51"/>
      <c r="D330" s="54"/>
      <c r="E330" s="17"/>
      <c r="F330" s="55">
        <f>D330*E330</f>
        <v>0</v>
      </c>
      <c r="G330" s="1072"/>
    </row>
    <row r="331" spans="1:8">
      <c r="A331" s="1079"/>
      <c r="B331" s="944"/>
      <c r="C331" s="56"/>
      <c r="D331" s="56"/>
      <c r="E331" s="56"/>
      <c r="F331" s="55"/>
      <c r="G331" s="57">
        <f>SUM(F326:F331)</f>
        <v>683.52500000000009</v>
      </c>
    </row>
    <row r="332" spans="1:8">
      <c r="A332" s="1071" t="s">
        <v>10</v>
      </c>
      <c r="B332" s="944"/>
      <c r="C332" s="944"/>
      <c r="D332" s="944"/>
      <c r="E332" s="944"/>
      <c r="F332" s="944"/>
      <c r="G332" s="1072"/>
    </row>
    <row r="333" spans="1:8">
      <c r="A333" s="1074" t="s">
        <v>2</v>
      </c>
      <c r="B333" s="944"/>
      <c r="C333" s="53" t="s">
        <v>3</v>
      </c>
      <c r="D333" s="53" t="s">
        <v>4</v>
      </c>
      <c r="E333" s="53" t="s">
        <v>6</v>
      </c>
      <c r="F333" s="53" t="s">
        <v>11</v>
      </c>
      <c r="G333" s="1075" t="s">
        <v>8</v>
      </c>
    </row>
    <row r="334" spans="1:8">
      <c r="A334" s="947" t="str">
        <f>'INSUMOS '!B454</f>
        <v>TRABA QUIMICA FUERZA ALTA</v>
      </c>
      <c r="B334" s="944"/>
      <c r="C334" s="16" t="s">
        <v>998</v>
      </c>
      <c r="D334" s="54">
        <v>1</v>
      </c>
      <c r="E334" s="17">
        <f>'INSUMOS '!$E$454</f>
        <v>16740</v>
      </c>
      <c r="F334" s="55">
        <f>D334*E334</f>
        <v>16740</v>
      </c>
      <c r="G334" s="1072"/>
    </row>
    <row r="335" spans="1:8">
      <c r="A335" s="947" t="str">
        <f>'INSUMOS '!$B$456</f>
        <v>VALVULA COMPUERTA 1 1/2</v>
      </c>
      <c r="B335" s="944"/>
      <c r="C335" s="51" t="s">
        <v>998</v>
      </c>
      <c r="D335" s="54">
        <v>1</v>
      </c>
      <c r="E335" s="17">
        <f>'INSUMOS '!$E$456</f>
        <v>86902.400000000009</v>
      </c>
      <c r="F335" s="55">
        <f>D335*E335</f>
        <v>86902.400000000009</v>
      </c>
      <c r="G335" s="1072"/>
    </row>
    <row r="336" spans="1:8">
      <c r="A336" s="947" t="str">
        <f>'INSUMOS '!$B$457</f>
        <v>ADAPTADOR MACHO PVC-P 1 1/2</v>
      </c>
      <c r="B336" s="944"/>
      <c r="C336" s="51" t="s">
        <v>998</v>
      </c>
      <c r="D336" s="54">
        <v>1</v>
      </c>
      <c r="E336" s="17">
        <f>'INSUMOS '!$E$457</f>
        <v>2795</v>
      </c>
      <c r="F336" s="55">
        <f>D336*E336</f>
        <v>2795</v>
      </c>
      <c r="G336" s="1072"/>
    </row>
    <row r="337" spans="1:7">
      <c r="A337" s="947"/>
      <c r="B337" s="944"/>
      <c r="C337" s="16"/>
      <c r="D337" s="58"/>
      <c r="E337" s="17"/>
      <c r="F337" s="55"/>
      <c r="G337" s="57">
        <f>SUM(F333:F337)</f>
        <v>106437.40000000001</v>
      </c>
    </row>
    <row r="338" spans="1:7">
      <c r="A338" s="1071" t="s">
        <v>15</v>
      </c>
      <c r="B338" s="944"/>
      <c r="C338" s="944"/>
      <c r="D338" s="944"/>
      <c r="E338" s="944"/>
      <c r="F338" s="944"/>
      <c r="G338" s="1072"/>
    </row>
    <row r="339" spans="1:7">
      <c r="A339" s="1074" t="s">
        <v>2</v>
      </c>
      <c r="B339" s="944"/>
      <c r="C339" s="53" t="s">
        <v>3</v>
      </c>
      <c r="D339" s="53" t="s">
        <v>4</v>
      </c>
      <c r="E339" s="53" t="s">
        <v>6</v>
      </c>
      <c r="F339" s="53" t="s">
        <v>11</v>
      </c>
      <c r="G339" s="1075" t="s">
        <v>8</v>
      </c>
    </row>
    <row r="340" spans="1:7">
      <c r="A340" s="943" t="s">
        <v>173</v>
      </c>
      <c r="B340" s="944"/>
      <c r="C340" s="16" t="s">
        <v>3</v>
      </c>
      <c r="D340" s="54">
        <v>3.5000000000000003E-2</v>
      </c>
      <c r="E340" s="17">
        <f>+G337</f>
        <v>106437.40000000001</v>
      </c>
      <c r="F340" s="55">
        <f>E340*D340</f>
        <v>3725.3090000000007</v>
      </c>
      <c r="G340" s="1072"/>
    </row>
    <row r="341" spans="1:7">
      <c r="A341" s="59"/>
      <c r="B341" s="60"/>
      <c r="C341" s="60"/>
      <c r="D341" s="60"/>
      <c r="E341" s="60"/>
      <c r="F341" s="60"/>
      <c r="G341" s="57">
        <f>SUM(F340:F341)</f>
        <v>3725.3090000000007</v>
      </c>
    </row>
    <row r="342" spans="1:7">
      <c r="A342" s="1071" t="s">
        <v>19</v>
      </c>
      <c r="B342" s="944"/>
      <c r="C342" s="944"/>
      <c r="D342" s="944"/>
      <c r="E342" s="944"/>
      <c r="F342" s="944"/>
      <c r="G342" s="1072"/>
    </row>
    <row r="343" spans="1:7">
      <c r="A343" s="1074" t="s">
        <v>2</v>
      </c>
      <c r="B343" s="944"/>
      <c r="C343" s="53" t="s">
        <v>3</v>
      </c>
      <c r="D343" s="53" t="s">
        <v>4</v>
      </c>
      <c r="E343" s="53" t="s">
        <v>6</v>
      </c>
      <c r="F343" s="53" t="s">
        <v>11</v>
      </c>
      <c r="G343" s="456" t="s">
        <v>8</v>
      </c>
    </row>
    <row r="344" spans="1:7">
      <c r="A344" s="978" t="str">
        <f>SALARIOS!$A$69</f>
        <v>CUADRILLA BB INSTALACIONES 1:1</v>
      </c>
      <c r="B344" s="979"/>
      <c r="C344" s="13" t="s">
        <v>1245</v>
      </c>
      <c r="D344" s="32">
        <v>0.5</v>
      </c>
      <c r="E344" s="13">
        <f>SALARIOS!$C$69</f>
        <v>27341</v>
      </c>
      <c r="F344" s="55">
        <f>+D344*E344</f>
        <v>13670.5</v>
      </c>
      <c r="G344" s="57">
        <f>SUM(F343:F344)</f>
        <v>13670.5</v>
      </c>
    </row>
    <row r="345" spans="1:7">
      <c r="A345" s="1076" t="s">
        <v>25</v>
      </c>
      <c r="B345" s="944"/>
      <c r="C345" s="944"/>
      <c r="D345" s="944"/>
      <c r="E345" s="944"/>
      <c r="F345" s="944"/>
      <c r="G345" s="1072"/>
    </row>
    <row r="346" spans="1:7" ht="17.399999999999999">
      <c r="A346" s="1077"/>
      <c r="B346" s="944"/>
      <c r="C346" s="944"/>
      <c r="D346" s="944"/>
      <c r="E346" s="944"/>
      <c r="F346" s="944"/>
      <c r="G346" s="62">
        <f>G344+G341+G337+G331</f>
        <v>124516.734</v>
      </c>
    </row>
    <row r="348" spans="1:7">
      <c r="A348" s="970" t="s">
        <v>1</v>
      </c>
      <c r="B348" s="957"/>
      <c r="C348" s="953" t="s">
        <v>0</v>
      </c>
      <c r="D348" s="953"/>
      <c r="E348" s="953"/>
      <c r="F348" s="953"/>
      <c r="G348" s="1103"/>
    </row>
    <row r="349" spans="1:7" ht="51.75" customHeight="1">
      <c r="A349" s="971"/>
      <c r="B349" s="957"/>
      <c r="C349" s="953"/>
      <c r="D349" s="953"/>
      <c r="E349" s="953"/>
      <c r="F349" s="953"/>
      <c r="G349" s="1103"/>
    </row>
    <row r="350" spans="1:7" ht="17.399999999999999">
      <c r="A350" s="971"/>
      <c r="B350" s="957"/>
      <c r="C350" s="956"/>
      <c r="D350" s="957"/>
      <c r="E350" s="957"/>
      <c r="F350" s="957"/>
      <c r="G350" s="958"/>
    </row>
    <row r="351" spans="1:7">
      <c r="A351" s="971"/>
      <c r="B351" s="957"/>
      <c r="C351" s="959" t="s">
        <v>2</v>
      </c>
      <c r="D351" s="957"/>
      <c r="E351" s="957"/>
      <c r="F351" s="23" t="s">
        <v>3</v>
      </c>
      <c r="G351" s="24" t="s">
        <v>4</v>
      </c>
    </row>
    <row r="352" spans="1:7" ht="34.799999999999997">
      <c r="A352" s="1089" t="s">
        <v>2044</v>
      </c>
      <c r="B352" s="944"/>
      <c r="C352" s="980" t="s">
        <v>2045</v>
      </c>
      <c r="D352" s="944"/>
      <c r="E352" s="944"/>
      <c r="F352" s="51" t="s">
        <v>1620</v>
      </c>
      <c r="G352" s="52">
        <v>6</v>
      </c>
    </row>
    <row r="353" spans="1:7">
      <c r="A353" s="1071" t="s">
        <v>5</v>
      </c>
      <c r="B353" s="944"/>
      <c r="C353" s="944"/>
      <c r="D353" s="944"/>
      <c r="E353" s="944"/>
      <c r="F353" s="944"/>
      <c r="G353" s="1072"/>
    </row>
    <row r="354" spans="1:7">
      <c r="A354" s="1074" t="s">
        <v>2</v>
      </c>
      <c r="B354" s="944"/>
      <c r="C354" s="53" t="s">
        <v>3</v>
      </c>
      <c r="D354" s="53" t="s">
        <v>4</v>
      </c>
      <c r="E354" s="53" t="s">
        <v>6</v>
      </c>
      <c r="F354" s="53" t="s">
        <v>7</v>
      </c>
      <c r="G354" s="1075" t="s">
        <v>8</v>
      </c>
    </row>
    <row r="355" spans="1:7">
      <c r="A355" s="947" t="s">
        <v>167</v>
      </c>
      <c r="B355" s="980"/>
      <c r="C355" s="51" t="s">
        <v>3</v>
      </c>
      <c r="D355" s="54">
        <v>0.05</v>
      </c>
      <c r="E355" s="17">
        <f>+G372</f>
        <v>13670.5</v>
      </c>
      <c r="F355" s="55">
        <f>D355*E355</f>
        <v>683.52500000000009</v>
      </c>
      <c r="G355" s="1072"/>
    </row>
    <row r="356" spans="1:7">
      <c r="A356" s="947"/>
      <c r="B356" s="944"/>
      <c r="C356" s="51"/>
      <c r="D356" s="54"/>
      <c r="E356" s="17"/>
      <c r="F356" s="55">
        <f>D356*E356</f>
        <v>0</v>
      </c>
      <c r="G356" s="1072"/>
    </row>
    <row r="357" spans="1:7">
      <c r="A357" s="947"/>
      <c r="B357" s="980"/>
      <c r="C357" s="141"/>
      <c r="D357" s="16"/>
      <c r="E357" s="143"/>
      <c r="F357" s="55">
        <f>D357*E357</f>
        <v>0</v>
      </c>
      <c r="G357" s="1072"/>
    </row>
    <row r="358" spans="1:7">
      <c r="A358" s="947"/>
      <c r="B358" s="944"/>
      <c r="C358" s="51"/>
      <c r="D358" s="54"/>
      <c r="E358" s="17"/>
      <c r="F358" s="55">
        <f>D358*E358</f>
        <v>0</v>
      </c>
      <c r="G358" s="1072"/>
    </row>
    <row r="359" spans="1:7">
      <c r="A359" s="1079"/>
      <c r="B359" s="944"/>
      <c r="C359" s="56"/>
      <c r="D359" s="56"/>
      <c r="E359" s="56"/>
      <c r="F359" s="55"/>
      <c r="G359" s="57">
        <f>SUM(F354:F359)</f>
        <v>683.52500000000009</v>
      </c>
    </row>
    <row r="360" spans="1:7">
      <c r="A360" s="1071" t="s">
        <v>10</v>
      </c>
      <c r="B360" s="944"/>
      <c r="C360" s="944"/>
      <c r="D360" s="944"/>
      <c r="E360" s="944"/>
      <c r="F360" s="944"/>
      <c r="G360" s="1072"/>
    </row>
    <row r="361" spans="1:7">
      <c r="A361" s="1074" t="s">
        <v>2</v>
      </c>
      <c r="B361" s="944"/>
      <c r="C361" s="53" t="s">
        <v>3</v>
      </c>
      <c r="D361" s="53" t="s">
        <v>4</v>
      </c>
      <c r="E361" s="53" t="s">
        <v>6</v>
      </c>
      <c r="F361" s="53" t="s">
        <v>11</v>
      </c>
      <c r="G361" s="1075" t="s">
        <v>8</v>
      </c>
    </row>
    <row r="362" spans="1:7">
      <c r="A362" s="947" t="str">
        <f>'INSUMOS '!$B$454</f>
        <v>TRABA QUIMICA FUERZA ALTA</v>
      </c>
      <c r="B362" s="944"/>
      <c r="C362" s="51" t="s">
        <v>998</v>
      </c>
      <c r="D362" s="54">
        <v>1</v>
      </c>
      <c r="E362" s="17">
        <f>'INSUMOS '!$E$454</f>
        <v>16740</v>
      </c>
      <c r="F362" s="55">
        <f>D362*E362</f>
        <v>16740</v>
      </c>
      <c r="G362" s="1072"/>
    </row>
    <row r="363" spans="1:7">
      <c r="A363" s="947" t="str">
        <f>'INSUMOS '!$B$458</f>
        <v>VALVULA COMPUERTA 1</v>
      </c>
      <c r="B363" s="944"/>
      <c r="C363" s="51" t="s">
        <v>998</v>
      </c>
      <c r="D363" s="54">
        <v>1</v>
      </c>
      <c r="E363" s="17">
        <f>'INSUMOS '!$E$458</f>
        <v>46470</v>
      </c>
      <c r="F363" s="55">
        <f>D363*E363</f>
        <v>46470</v>
      </c>
      <c r="G363" s="1072"/>
    </row>
    <row r="364" spans="1:7">
      <c r="A364" s="947" t="str">
        <f>'INSUMOS '!$B$459</f>
        <v>ADAPTADOR MACHO PVC-P 1</v>
      </c>
      <c r="B364" s="944"/>
      <c r="C364" s="51" t="s">
        <v>998</v>
      </c>
      <c r="D364" s="54">
        <v>1</v>
      </c>
      <c r="E364" s="17">
        <f>'INSUMOS '!$E$459</f>
        <v>3094</v>
      </c>
      <c r="F364" s="55">
        <f>D364*E364</f>
        <v>3094</v>
      </c>
      <c r="G364" s="1072"/>
    </row>
    <row r="365" spans="1:7">
      <c r="A365" s="947"/>
      <c r="B365" s="944"/>
      <c r="C365" s="16"/>
      <c r="D365" s="58"/>
      <c r="E365" s="17"/>
      <c r="F365" s="55"/>
      <c r="G365" s="57">
        <f>SUM(F361:F365)</f>
        <v>66304</v>
      </c>
    </row>
    <row r="366" spans="1:7">
      <c r="A366" s="1071" t="s">
        <v>15</v>
      </c>
      <c r="B366" s="944"/>
      <c r="C366" s="944"/>
      <c r="D366" s="944"/>
      <c r="E366" s="944"/>
      <c r="F366" s="944"/>
      <c r="G366" s="1072"/>
    </row>
    <row r="367" spans="1:7">
      <c r="A367" s="1074" t="s">
        <v>2</v>
      </c>
      <c r="B367" s="944"/>
      <c r="C367" s="53" t="s">
        <v>3</v>
      </c>
      <c r="D367" s="53" t="s">
        <v>4</v>
      </c>
      <c r="E367" s="53" t="s">
        <v>6</v>
      </c>
      <c r="F367" s="53" t="s">
        <v>11</v>
      </c>
      <c r="G367" s="1075" t="s">
        <v>8</v>
      </c>
    </row>
    <row r="368" spans="1:7">
      <c r="A368" s="943" t="s">
        <v>173</v>
      </c>
      <c r="B368" s="944"/>
      <c r="C368" s="16" t="s">
        <v>3</v>
      </c>
      <c r="D368" s="54">
        <v>3.5000000000000003E-2</v>
      </c>
      <c r="E368" s="17">
        <f>+G365</f>
        <v>66304</v>
      </c>
      <c r="F368" s="55">
        <f>E368*D368</f>
        <v>2320.6400000000003</v>
      </c>
      <c r="G368" s="1072"/>
    </row>
    <row r="369" spans="1:7">
      <c r="A369" s="59"/>
      <c r="B369" s="60"/>
      <c r="C369" s="60"/>
      <c r="D369" s="60"/>
      <c r="E369" s="60"/>
      <c r="F369" s="60"/>
      <c r="G369" s="57">
        <f>SUM(F368:F369)</f>
        <v>2320.6400000000003</v>
      </c>
    </row>
    <row r="370" spans="1:7">
      <c r="A370" s="1071" t="s">
        <v>19</v>
      </c>
      <c r="B370" s="944"/>
      <c r="C370" s="944"/>
      <c r="D370" s="944"/>
      <c r="E370" s="944"/>
      <c r="F370" s="944"/>
      <c r="G370" s="1072"/>
    </row>
    <row r="371" spans="1:7">
      <c r="A371" s="1074" t="s">
        <v>2</v>
      </c>
      <c r="B371" s="944"/>
      <c r="C371" s="53" t="s">
        <v>3</v>
      </c>
      <c r="D371" s="53" t="s">
        <v>4</v>
      </c>
      <c r="E371" s="53" t="s">
        <v>6</v>
      </c>
      <c r="F371" s="53" t="s">
        <v>11</v>
      </c>
      <c r="G371" s="456" t="s">
        <v>8</v>
      </c>
    </row>
    <row r="372" spans="1:7">
      <c r="A372" s="978" t="str">
        <f>SALARIOS!$A$69</f>
        <v>CUADRILLA BB INSTALACIONES 1:1</v>
      </c>
      <c r="B372" s="979"/>
      <c r="C372" s="13" t="s">
        <v>1245</v>
      </c>
      <c r="D372" s="32">
        <v>0.5</v>
      </c>
      <c r="E372" s="13">
        <f>SALARIOS!$C$69</f>
        <v>27341</v>
      </c>
      <c r="F372" s="55">
        <f>+D372*E372</f>
        <v>13670.5</v>
      </c>
      <c r="G372" s="57">
        <f>SUM(F371:F372)</f>
        <v>13670.5</v>
      </c>
    </row>
    <row r="373" spans="1:7">
      <c r="A373" s="1076" t="s">
        <v>25</v>
      </c>
      <c r="B373" s="944"/>
      <c r="C373" s="944"/>
      <c r="D373" s="944"/>
      <c r="E373" s="944"/>
      <c r="F373" s="944"/>
      <c r="G373" s="1072"/>
    </row>
    <row r="374" spans="1:7" ht="17.399999999999999">
      <c r="A374" s="1077"/>
      <c r="B374" s="944"/>
      <c r="C374" s="944"/>
      <c r="D374" s="944"/>
      <c r="E374" s="944"/>
      <c r="F374" s="944"/>
      <c r="G374" s="62">
        <f>G372+G369+G365+G359</f>
        <v>82978.664999999994</v>
      </c>
    </row>
    <row r="376" spans="1:7">
      <c r="A376" s="970" t="s">
        <v>1</v>
      </c>
      <c r="B376" s="957"/>
      <c r="C376" s="953" t="s">
        <v>0</v>
      </c>
      <c r="D376" s="953"/>
      <c r="E376" s="953"/>
      <c r="F376" s="953"/>
      <c r="G376" s="1103"/>
    </row>
    <row r="377" spans="1:7" ht="46.5" customHeight="1">
      <c r="A377" s="971"/>
      <c r="B377" s="957"/>
      <c r="C377" s="953"/>
      <c r="D377" s="953"/>
      <c r="E377" s="953"/>
      <c r="F377" s="953"/>
      <c r="G377" s="1103"/>
    </row>
    <row r="378" spans="1:7" ht="17.399999999999999">
      <c r="A378" s="971"/>
      <c r="B378" s="957"/>
      <c r="C378" s="956"/>
      <c r="D378" s="957"/>
      <c r="E378" s="957"/>
      <c r="F378" s="957"/>
      <c r="G378" s="958"/>
    </row>
    <row r="379" spans="1:7">
      <c r="A379" s="971"/>
      <c r="B379" s="957"/>
      <c r="C379" s="959" t="s">
        <v>2</v>
      </c>
      <c r="D379" s="957"/>
      <c r="E379" s="957"/>
      <c r="F379" s="23" t="s">
        <v>3</v>
      </c>
      <c r="G379" s="24" t="s">
        <v>4</v>
      </c>
    </row>
    <row r="380" spans="1:7" ht="34.799999999999997">
      <c r="A380" s="1089" t="s">
        <v>2046</v>
      </c>
      <c r="B380" s="944"/>
      <c r="C380" s="980" t="s">
        <v>2047</v>
      </c>
      <c r="D380" s="944"/>
      <c r="E380" s="944"/>
      <c r="F380" s="51" t="s">
        <v>1620</v>
      </c>
      <c r="G380" s="52">
        <v>1</v>
      </c>
    </row>
    <row r="381" spans="1:7">
      <c r="A381" s="1071" t="s">
        <v>5</v>
      </c>
      <c r="B381" s="944"/>
      <c r="C381" s="944"/>
      <c r="D381" s="944"/>
      <c r="E381" s="944"/>
      <c r="F381" s="944"/>
      <c r="G381" s="1072"/>
    </row>
    <row r="382" spans="1:7">
      <c r="A382" s="1074" t="s">
        <v>2</v>
      </c>
      <c r="B382" s="944"/>
      <c r="C382" s="53" t="s">
        <v>3</v>
      </c>
      <c r="D382" s="53" t="s">
        <v>4</v>
      </c>
      <c r="E382" s="53" t="s">
        <v>6</v>
      </c>
      <c r="F382" s="53" t="s">
        <v>7</v>
      </c>
      <c r="G382" s="1075" t="s">
        <v>8</v>
      </c>
    </row>
    <row r="383" spans="1:7">
      <c r="A383" s="947" t="s">
        <v>167</v>
      </c>
      <c r="B383" s="980"/>
      <c r="C383" s="51" t="s">
        <v>3</v>
      </c>
      <c r="D383" s="54">
        <v>0.05</v>
      </c>
      <c r="E383" s="17">
        <f>+G400</f>
        <v>13670.5</v>
      </c>
      <c r="F383" s="55">
        <f>D383*E383</f>
        <v>683.52500000000009</v>
      </c>
      <c r="G383" s="1072"/>
    </row>
    <row r="384" spans="1:7">
      <c r="A384" s="947"/>
      <c r="B384" s="944"/>
      <c r="C384" s="51"/>
      <c r="D384" s="54"/>
      <c r="E384" s="17"/>
      <c r="F384" s="55">
        <f>D384*E384</f>
        <v>0</v>
      </c>
      <c r="G384" s="1072"/>
    </row>
    <row r="385" spans="1:7">
      <c r="A385" s="947"/>
      <c r="B385" s="980"/>
      <c r="C385" s="141"/>
      <c r="D385" s="16"/>
      <c r="E385" s="143"/>
      <c r="F385" s="55">
        <f>D385*E385</f>
        <v>0</v>
      </c>
      <c r="G385" s="1072"/>
    </row>
    <row r="386" spans="1:7">
      <c r="A386" s="947"/>
      <c r="B386" s="944"/>
      <c r="C386" s="51"/>
      <c r="D386" s="54"/>
      <c r="E386" s="17"/>
      <c r="F386" s="55">
        <f>D386*E386</f>
        <v>0</v>
      </c>
      <c r="G386" s="1072"/>
    </row>
    <row r="387" spans="1:7">
      <c r="A387" s="1079"/>
      <c r="B387" s="944"/>
      <c r="C387" s="56"/>
      <c r="D387" s="56"/>
      <c r="E387" s="56"/>
      <c r="F387" s="55"/>
      <c r="G387" s="57">
        <f>SUM(F382:F387)</f>
        <v>683.52500000000009</v>
      </c>
    </row>
    <row r="388" spans="1:7">
      <c r="A388" s="1071" t="s">
        <v>10</v>
      </c>
      <c r="B388" s="944"/>
      <c r="C388" s="944"/>
      <c r="D388" s="944"/>
      <c r="E388" s="944"/>
      <c r="F388" s="944"/>
      <c r="G388" s="1072"/>
    </row>
    <row r="389" spans="1:7">
      <c r="A389" s="1074" t="s">
        <v>2</v>
      </c>
      <c r="B389" s="944"/>
      <c r="C389" s="53" t="s">
        <v>3</v>
      </c>
      <c r="D389" s="53" t="s">
        <v>4</v>
      </c>
      <c r="E389" s="53" t="s">
        <v>6</v>
      </c>
      <c r="F389" s="53" t="s">
        <v>11</v>
      </c>
      <c r="G389" s="1075" t="s">
        <v>8</v>
      </c>
    </row>
    <row r="390" spans="1:7">
      <c r="A390" s="947" t="str">
        <f>'INSUMOS '!$B$454</f>
        <v>TRABA QUIMICA FUERZA ALTA</v>
      </c>
      <c r="B390" s="944"/>
      <c r="C390" s="51" t="s">
        <v>998</v>
      </c>
      <c r="D390" s="54">
        <v>1</v>
      </c>
      <c r="E390" s="17">
        <f>'INSUMOS '!$E$454</f>
        <v>16740</v>
      </c>
      <c r="F390" s="55">
        <f>D390*E390</f>
        <v>16740</v>
      </c>
      <c r="G390" s="1072"/>
    </row>
    <row r="391" spans="1:7">
      <c r="A391" s="947" t="str">
        <f>'INSUMOS '!$B$460</f>
        <v>VALVULA COMPUERTA 3/4</v>
      </c>
      <c r="B391" s="944"/>
      <c r="C391" s="51" t="s">
        <v>998</v>
      </c>
      <c r="D391" s="54">
        <v>1</v>
      </c>
      <c r="E391" s="17">
        <f>'INSUMOS '!$E$460</f>
        <v>23140</v>
      </c>
      <c r="F391" s="55">
        <f>D391*E391</f>
        <v>23140</v>
      </c>
      <c r="G391" s="1072"/>
    </row>
    <row r="392" spans="1:7">
      <c r="A392" s="947" t="str">
        <f>'INSUMOS '!$B$461</f>
        <v>ADAPTADOR MACHO PVC-P 3/4</v>
      </c>
      <c r="B392" s="944"/>
      <c r="C392" s="51" t="s">
        <v>998</v>
      </c>
      <c r="D392" s="54">
        <v>1</v>
      </c>
      <c r="E392" s="17">
        <f>'INSUMOS '!$E$461</f>
        <v>353.6</v>
      </c>
      <c r="F392" s="55">
        <f>D392*E392</f>
        <v>353.6</v>
      </c>
      <c r="G392" s="1072"/>
    </row>
    <row r="393" spans="1:7">
      <c r="A393" s="947"/>
      <c r="B393" s="944"/>
      <c r="C393" s="16"/>
      <c r="D393" s="58"/>
      <c r="E393" s="17"/>
      <c r="F393" s="55"/>
      <c r="G393" s="57">
        <f>SUM(F389:F393)</f>
        <v>40233.599999999999</v>
      </c>
    </row>
    <row r="394" spans="1:7">
      <c r="A394" s="1071" t="s">
        <v>15</v>
      </c>
      <c r="B394" s="944"/>
      <c r="C394" s="944"/>
      <c r="D394" s="944"/>
      <c r="E394" s="944"/>
      <c r="F394" s="944"/>
      <c r="G394" s="1072"/>
    </row>
    <row r="395" spans="1:7">
      <c r="A395" s="1074" t="s">
        <v>2</v>
      </c>
      <c r="B395" s="944"/>
      <c r="C395" s="53" t="s">
        <v>3</v>
      </c>
      <c r="D395" s="53" t="s">
        <v>4</v>
      </c>
      <c r="E395" s="53" t="s">
        <v>6</v>
      </c>
      <c r="F395" s="53" t="s">
        <v>11</v>
      </c>
      <c r="G395" s="1075" t="s">
        <v>8</v>
      </c>
    </row>
    <row r="396" spans="1:7">
      <c r="A396" s="943" t="s">
        <v>173</v>
      </c>
      <c r="B396" s="944"/>
      <c r="C396" s="16" t="s">
        <v>3</v>
      </c>
      <c r="D396" s="54">
        <v>3.5000000000000003E-2</v>
      </c>
      <c r="E396" s="17">
        <f>+G393</f>
        <v>40233.599999999999</v>
      </c>
      <c r="F396" s="55">
        <f>E396*D396</f>
        <v>1408.1760000000002</v>
      </c>
      <c r="G396" s="1072"/>
    </row>
    <row r="397" spans="1:7">
      <c r="A397" s="59"/>
      <c r="B397" s="60"/>
      <c r="C397" s="60"/>
      <c r="D397" s="60"/>
      <c r="E397" s="60"/>
      <c r="F397" s="60"/>
      <c r="G397" s="57">
        <f>SUM(F396:F397)</f>
        <v>1408.1760000000002</v>
      </c>
    </row>
    <row r="398" spans="1:7">
      <c r="A398" s="1071" t="s">
        <v>19</v>
      </c>
      <c r="B398" s="944"/>
      <c r="C398" s="944"/>
      <c r="D398" s="944"/>
      <c r="E398" s="944"/>
      <c r="F398" s="944"/>
      <c r="G398" s="1072"/>
    </row>
    <row r="399" spans="1:7">
      <c r="A399" s="1074" t="s">
        <v>2</v>
      </c>
      <c r="B399" s="944"/>
      <c r="C399" s="53" t="s">
        <v>3</v>
      </c>
      <c r="D399" s="53" t="s">
        <v>4</v>
      </c>
      <c r="E399" s="53" t="s">
        <v>6</v>
      </c>
      <c r="F399" s="53" t="s">
        <v>11</v>
      </c>
      <c r="G399" s="456" t="s">
        <v>8</v>
      </c>
    </row>
    <row r="400" spans="1:7">
      <c r="A400" s="978" t="str">
        <f>SALARIOS!$A$69</f>
        <v>CUADRILLA BB INSTALACIONES 1:1</v>
      </c>
      <c r="B400" s="979"/>
      <c r="C400" s="13" t="s">
        <v>1245</v>
      </c>
      <c r="D400" s="32">
        <v>0.5</v>
      </c>
      <c r="E400" s="13">
        <f>SALARIOS!$C$69</f>
        <v>27341</v>
      </c>
      <c r="F400" s="55">
        <f>+D400*E400</f>
        <v>13670.5</v>
      </c>
      <c r="G400" s="57">
        <f>SUM(F399:F400)</f>
        <v>13670.5</v>
      </c>
    </row>
    <row r="401" spans="1:7">
      <c r="A401" s="1076" t="s">
        <v>25</v>
      </c>
      <c r="B401" s="944"/>
      <c r="C401" s="944"/>
      <c r="D401" s="944"/>
      <c r="E401" s="944"/>
      <c r="F401" s="944"/>
      <c r="G401" s="1072"/>
    </row>
    <row r="402" spans="1:7" ht="17.399999999999999">
      <c r="A402" s="1077"/>
      <c r="B402" s="944"/>
      <c r="C402" s="944"/>
      <c r="D402" s="944"/>
      <c r="E402" s="944"/>
      <c r="F402" s="944"/>
      <c r="G402" s="62">
        <f>G400+G397+G393+G387</f>
        <v>55995.800999999999</v>
      </c>
    </row>
    <row r="404" spans="1:7">
      <c r="A404" s="970" t="s">
        <v>1</v>
      </c>
      <c r="B404" s="957"/>
      <c r="C404" s="953" t="s">
        <v>0</v>
      </c>
      <c r="D404" s="953"/>
      <c r="E404" s="953"/>
      <c r="F404" s="953"/>
      <c r="G404" s="1103"/>
    </row>
    <row r="405" spans="1:7" ht="53.25" customHeight="1">
      <c r="A405" s="971"/>
      <c r="B405" s="957"/>
      <c r="C405" s="953"/>
      <c r="D405" s="953"/>
      <c r="E405" s="953"/>
      <c r="F405" s="953"/>
      <c r="G405" s="1103"/>
    </row>
    <row r="406" spans="1:7" ht="17.399999999999999">
      <c r="A406" s="971"/>
      <c r="B406" s="957"/>
      <c r="C406" s="956"/>
      <c r="D406" s="957"/>
      <c r="E406" s="957"/>
      <c r="F406" s="957"/>
      <c r="G406" s="958"/>
    </row>
    <row r="407" spans="1:7">
      <c r="A407" s="971"/>
      <c r="B407" s="957"/>
      <c r="C407" s="959" t="s">
        <v>2</v>
      </c>
      <c r="D407" s="957"/>
      <c r="E407" s="957"/>
      <c r="F407" s="23" t="s">
        <v>3</v>
      </c>
      <c r="G407" s="24" t="s">
        <v>4</v>
      </c>
    </row>
    <row r="408" spans="1:7" ht="34.799999999999997">
      <c r="A408" s="1089" t="s">
        <v>2048</v>
      </c>
      <c r="B408" s="944"/>
      <c r="C408" s="980" t="s">
        <v>2049</v>
      </c>
      <c r="D408" s="944"/>
      <c r="E408" s="944"/>
      <c r="F408" s="51" t="s">
        <v>1620</v>
      </c>
      <c r="G408" s="52">
        <v>2</v>
      </c>
    </row>
    <row r="409" spans="1:7">
      <c r="A409" s="1071" t="s">
        <v>5</v>
      </c>
      <c r="B409" s="944"/>
      <c r="C409" s="944"/>
      <c r="D409" s="944"/>
      <c r="E409" s="944"/>
      <c r="F409" s="944"/>
      <c r="G409" s="1072"/>
    </row>
    <row r="410" spans="1:7">
      <c r="A410" s="1074" t="s">
        <v>2</v>
      </c>
      <c r="B410" s="944"/>
      <c r="C410" s="53" t="s">
        <v>3</v>
      </c>
      <c r="D410" s="53" t="s">
        <v>4</v>
      </c>
      <c r="E410" s="53" t="s">
        <v>6</v>
      </c>
      <c r="F410" s="53" t="s">
        <v>7</v>
      </c>
      <c r="G410" s="1075" t="s">
        <v>8</v>
      </c>
    </row>
    <row r="411" spans="1:7">
      <c r="A411" s="947" t="s">
        <v>167</v>
      </c>
      <c r="B411" s="980"/>
      <c r="C411" s="51" t="s">
        <v>3</v>
      </c>
      <c r="D411" s="54">
        <v>0.05</v>
      </c>
      <c r="E411" s="17">
        <f>+G428</f>
        <v>13670.5</v>
      </c>
      <c r="F411" s="55">
        <f>D411*E411</f>
        <v>683.52500000000009</v>
      </c>
      <c r="G411" s="1072"/>
    </row>
    <row r="412" spans="1:7">
      <c r="A412" s="947"/>
      <c r="B412" s="944"/>
      <c r="C412" s="51"/>
      <c r="D412" s="54"/>
      <c r="E412" s="17"/>
      <c r="F412" s="55">
        <f>D412*E412</f>
        <v>0</v>
      </c>
      <c r="G412" s="1072"/>
    </row>
    <row r="413" spans="1:7">
      <c r="A413" s="947"/>
      <c r="B413" s="980"/>
      <c r="C413" s="141"/>
      <c r="D413" s="16"/>
      <c r="E413" s="143"/>
      <c r="F413" s="55">
        <f>D413*E413</f>
        <v>0</v>
      </c>
      <c r="G413" s="1072"/>
    </row>
    <row r="414" spans="1:7">
      <c r="A414" s="947"/>
      <c r="B414" s="944"/>
      <c r="C414" s="51"/>
      <c r="D414" s="54"/>
      <c r="E414" s="17"/>
      <c r="F414" s="55">
        <f>D414*E414</f>
        <v>0</v>
      </c>
      <c r="G414" s="1072"/>
    </row>
    <row r="415" spans="1:7">
      <c r="A415" s="1079"/>
      <c r="B415" s="944"/>
      <c r="C415" s="56"/>
      <c r="D415" s="56"/>
      <c r="E415" s="56"/>
      <c r="F415" s="55"/>
      <c r="G415" s="57">
        <f>SUM(F410:F415)</f>
        <v>683.52500000000009</v>
      </c>
    </row>
    <row r="416" spans="1:7">
      <c r="A416" s="1071" t="s">
        <v>10</v>
      </c>
      <c r="B416" s="944"/>
      <c r="C416" s="944"/>
      <c r="D416" s="944"/>
      <c r="E416" s="944"/>
      <c r="F416" s="944"/>
      <c r="G416" s="1072"/>
    </row>
    <row r="417" spans="1:7">
      <c r="A417" s="1074" t="s">
        <v>2</v>
      </c>
      <c r="B417" s="944"/>
      <c r="C417" s="53" t="s">
        <v>3</v>
      </c>
      <c r="D417" s="53" t="s">
        <v>4</v>
      </c>
      <c r="E417" s="53" t="s">
        <v>6</v>
      </c>
      <c r="F417" s="53" t="s">
        <v>11</v>
      </c>
      <c r="G417" s="1075" t="s">
        <v>8</v>
      </c>
    </row>
    <row r="418" spans="1:7">
      <c r="A418" s="947" t="str">
        <f>'INSUMOS '!$B$454</f>
        <v>TRABA QUIMICA FUERZA ALTA</v>
      </c>
      <c r="B418" s="944"/>
      <c r="C418" s="51" t="s">
        <v>998</v>
      </c>
      <c r="D418" s="54">
        <v>1</v>
      </c>
      <c r="E418" s="17">
        <f>'INSUMOS '!$E$454</f>
        <v>16740</v>
      </c>
      <c r="F418" s="55">
        <f>D418*E418</f>
        <v>16740</v>
      </c>
      <c r="G418" s="1072"/>
    </row>
    <row r="419" spans="1:7">
      <c r="A419" s="947" t="str">
        <f>'INSUMOS '!$B$462</f>
        <v>ADAPTADOR MACHO PVC-P 1/2</v>
      </c>
      <c r="B419" s="944"/>
      <c r="C419" s="51" t="s">
        <v>998</v>
      </c>
      <c r="D419" s="54">
        <v>1</v>
      </c>
      <c r="E419" s="17">
        <f>'INSUMOS '!$E$462</f>
        <v>158.6</v>
      </c>
      <c r="F419" s="55">
        <f>D419*E419</f>
        <v>158.6</v>
      </c>
      <c r="G419" s="1072"/>
    </row>
    <row r="420" spans="1:7">
      <c r="A420" s="947" t="str">
        <f>'INSUMOS '!$B$463</f>
        <v>VALVULA COMPUERTA 1/2</v>
      </c>
      <c r="B420" s="944"/>
      <c r="C420" s="51" t="s">
        <v>998</v>
      </c>
      <c r="D420" s="54">
        <v>1</v>
      </c>
      <c r="E420" s="17">
        <f>'INSUMOS '!$E$463</f>
        <v>19481.8</v>
      </c>
      <c r="F420" s="55">
        <f>D420*E420</f>
        <v>19481.8</v>
      </c>
      <c r="G420" s="1072"/>
    </row>
    <row r="421" spans="1:7">
      <c r="A421" s="947"/>
      <c r="B421" s="944"/>
      <c r="C421" s="16"/>
      <c r="D421" s="58"/>
      <c r="E421" s="17"/>
      <c r="F421" s="55"/>
      <c r="G421" s="57">
        <f>SUM(F417:F421)</f>
        <v>36380.399999999994</v>
      </c>
    </row>
    <row r="422" spans="1:7">
      <c r="A422" s="1071" t="s">
        <v>15</v>
      </c>
      <c r="B422" s="944"/>
      <c r="C422" s="944"/>
      <c r="D422" s="944"/>
      <c r="E422" s="944"/>
      <c r="F422" s="944"/>
      <c r="G422" s="1072"/>
    </row>
    <row r="423" spans="1:7">
      <c r="A423" s="1074" t="s">
        <v>2</v>
      </c>
      <c r="B423" s="944"/>
      <c r="C423" s="53" t="s">
        <v>3</v>
      </c>
      <c r="D423" s="53" t="s">
        <v>4</v>
      </c>
      <c r="E423" s="53" t="s">
        <v>6</v>
      </c>
      <c r="F423" s="53" t="s">
        <v>11</v>
      </c>
      <c r="G423" s="1075" t="s">
        <v>8</v>
      </c>
    </row>
    <row r="424" spans="1:7">
      <c r="A424" s="943" t="s">
        <v>173</v>
      </c>
      <c r="B424" s="944"/>
      <c r="C424" s="16" t="s">
        <v>3</v>
      </c>
      <c r="D424" s="54">
        <v>3.5000000000000003E-2</v>
      </c>
      <c r="E424" s="17">
        <f>+G421</f>
        <v>36380.399999999994</v>
      </c>
      <c r="F424" s="55">
        <f>E424*D424</f>
        <v>1273.3139999999999</v>
      </c>
      <c r="G424" s="1072"/>
    </row>
    <row r="425" spans="1:7">
      <c r="A425" s="59"/>
      <c r="B425" s="60"/>
      <c r="C425" s="60"/>
      <c r="D425" s="60"/>
      <c r="E425" s="60"/>
      <c r="F425" s="60"/>
      <c r="G425" s="57">
        <f>SUM(F424:F425)</f>
        <v>1273.3139999999999</v>
      </c>
    </row>
    <row r="426" spans="1:7">
      <c r="A426" s="1071" t="s">
        <v>19</v>
      </c>
      <c r="B426" s="944"/>
      <c r="C426" s="944"/>
      <c r="D426" s="944"/>
      <c r="E426" s="944"/>
      <c r="F426" s="944"/>
      <c r="G426" s="1072"/>
    </row>
    <row r="427" spans="1:7">
      <c r="A427" s="1074" t="s">
        <v>2</v>
      </c>
      <c r="B427" s="944"/>
      <c r="C427" s="53" t="s">
        <v>3</v>
      </c>
      <c r="D427" s="53" t="s">
        <v>4</v>
      </c>
      <c r="E427" s="53" t="s">
        <v>6</v>
      </c>
      <c r="F427" s="53" t="s">
        <v>11</v>
      </c>
      <c r="G427" s="456" t="s">
        <v>8</v>
      </c>
    </row>
    <row r="428" spans="1:7">
      <c r="A428" s="978" t="str">
        <f>SALARIOS!$A$69</f>
        <v>CUADRILLA BB INSTALACIONES 1:1</v>
      </c>
      <c r="B428" s="979"/>
      <c r="C428" s="13" t="s">
        <v>1245</v>
      </c>
      <c r="D428" s="32">
        <v>0.5</v>
      </c>
      <c r="E428" s="13">
        <f>SALARIOS!$C$69</f>
        <v>27341</v>
      </c>
      <c r="F428" s="55">
        <f>+D428*E428</f>
        <v>13670.5</v>
      </c>
      <c r="G428" s="57">
        <f>SUM(F427:F428)</f>
        <v>13670.5</v>
      </c>
    </row>
    <row r="429" spans="1:7">
      <c r="A429" s="1076" t="s">
        <v>25</v>
      </c>
      <c r="B429" s="944"/>
      <c r="C429" s="944"/>
      <c r="D429" s="944"/>
      <c r="E429" s="944"/>
      <c r="F429" s="944"/>
      <c r="G429" s="1072"/>
    </row>
    <row r="430" spans="1:7" ht="17.399999999999999">
      <c r="A430" s="1077"/>
      <c r="B430" s="944"/>
      <c r="C430" s="944"/>
      <c r="D430" s="944"/>
      <c r="E430" s="944"/>
      <c r="F430" s="944"/>
      <c r="G430" s="62">
        <f>G428+G425+G421+G415</f>
        <v>52007.738999999994</v>
      </c>
    </row>
    <row r="432" spans="1:7">
      <c r="A432" s="970" t="s">
        <v>1</v>
      </c>
      <c r="B432" s="957"/>
      <c r="C432" s="953" t="s">
        <v>0</v>
      </c>
      <c r="D432" s="953"/>
      <c r="E432" s="953"/>
      <c r="F432" s="953"/>
      <c r="G432" s="1103"/>
    </row>
    <row r="433" spans="1:7" ht="43.5" customHeight="1">
      <c r="A433" s="971"/>
      <c r="B433" s="957"/>
      <c r="C433" s="953"/>
      <c r="D433" s="953"/>
      <c r="E433" s="953"/>
      <c r="F433" s="953"/>
      <c r="G433" s="1103"/>
    </row>
    <row r="434" spans="1:7" ht="17.399999999999999">
      <c r="A434" s="971"/>
      <c r="B434" s="957"/>
      <c r="C434" s="956"/>
      <c r="D434" s="957"/>
      <c r="E434" s="957"/>
      <c r="F434" s="957"/>
      <c r="G434" s="958"/>
    </row>
    <row r="435" spans="1:7">
      <c r="A435" s="971"/>
      <c r="B435" s="957"/>
      <c r="C435" s="959" t="s">
        <v>2</v>
      </c>
      <c r="D435" s="957"/>
      <c r="E435" s="957"/>
      <c r="F435" s="23" t="s">
        <v>3</v>
      </c>
      <c r="G435" s="24" t="s">
        <v>4</v>
      </c>
    </row>
    <row r="436" spans="1:7" ht="34.799999999999997">
      <c r="A436" s="1089" t="s">
        <v>2050</v>
      </c>
      <c r="B436" s="944"/>
      <c r="C436" s="980" t="s">
        <v>2051</v>
      </c>
      <c r="D436" s="944"/>
      <c r="E436" s="944"/>
      <c r="F436" s="51" t="s">
        <v>1620</v>
      </c>
      <c r="G436" s="52">
        <v>6</v>
      </c>
    </row>
    <row r="437" spans="1:7">
      <c r="A437" s="1071" t="s">
        <v>5</v>
      </c>
      <c r="B437" s="944"/>
      <c r="C437" s="944"/>
      <c r="D437" s="944"/>
      <c r="E437" s="944"/>
      <c r="F437" s="944"/>
      <c r="G437" s="1072"/>
    </row>
    <row r="438" spans="1:7">
      <c r="A438" s="1074" t="s">
        <v>2</v>
      </c>
      <c r="B438" s="944"/>
      <c r="C438" s="53" t="s">
        <v>3</v>
      </c>
      <c r="D438" s="53" t="s">
        <v>4</v>
      </c>
      <c r="E438" s="53" t="s">
        <v>6</v>
      </c>
      <c r="F438" s="53" t="s">
        <v>7</v>
      </c>
      <c r="G438" s="1075" t="s">
        <v>8</v>
      </c>
    </row>
    <row r="439" spans="1:7">
      <c r="A439" s="947" t="s">
        <v>167</v>
      </c>
      <c r="B439" s="980"/>
      <c r="C439" s="51" t="s">
        <v>3</v>
      </c>
      <c r="D439" s="54">
        <v>0.05</v>
      </c>
      <c r="E439" s="17">
        <f>+G456</f>
        <v>27341</v>
      </c>
      <c r="F439" s="55">
        <f>D439*E439</f>
        <v>1367.0500000000002</v>
      </c>
      <c r="G439" s="1072"/>
    </row>
    <row r="440" spans="1:7">
      <c r="A440" s="947"/>
      <c r="B440" s="944"/>
      <c r="C440" s="51"/>
      <c r="D440" s="54"/>
      <c r="E440" s="17"/>
      <c r="F440" s="55">
        <f>D440*E440</f>
        <v>0</v>
      </c>
      <c r="G440" s="1072"/>
    </row>
    <row r="441" spans="1:7">
      <c r="A441" s="947"/>
      <c r="B441" s="980"/>
      <c r="C441" s="141"/>
      <c r="D441" s="16"/>
      <c r="E441" s="143"/>
      <c r="F441" s="55">
        <f>D441*E441</f>
        <v>0</v>
      </c>
      <c r="G441" s="1072"/>
    </row>
    <row r="442" spans="1:7">
      <c r="A442" s="947"/>
      <c r="B442" s="944"/>
      <c r="C442" s="51"/>
      <c r="D442" s="54"/>
      <c r="E442" s="17"/>
      <c r="F442" s="55">
        <f>D442*E442</f>
        <v>0</v>
      </c>
      <c r="G442" s="1072"/>
    </row>
    <row r="443" spans="1:7">
      <c r="A443" s="1079"/>
      <c r="B443" s="944"/>
      <c r="C443" s="56"/>
      <c r="D443" s="56"/>
      <c r="E443" s="56"/>
      <c r="F443" s="55"/>
      <c r="G443" s="57">
        <f>SUM(F438:F443)</f>
        <v>1367.0500000000002</v>
      </c>
    </row>
    <row r="444" spans="1:7">
      <c r="A444" s="1071" t="s">
        <v>10</v>
      </c>
      <c r="B444" s="944"/>
      <c r="C444" s="944"/>
      <c r="D444" s="944"/>
      <c r="E444" s="944"/>
      <c r="F444" s="944"/>
      <c r="G444" s="1072"/>
    </row>
    <row r="445" spans="1:7">
      <c r="A445" s="1074" t="s">
        <v>2</v>
      </c>
      <c r="B445" s="944"/>
      <c r="C445" s="53" t="s">
        <v>3</v>
      </c>
      <c r="D445" s="53" t="s">
        <v>4</v>
      </c>
      <c r="E445" s="53" t="s">
        <v>6</v>
      </c>
      <c r="F445" s="53" t="s">
        <v>11</v>
      </c>
      <c r="G445" s="1075" t="s">
        <v>8</v>
      </c>
    </row>
    <row r="446" spans="1:7">
      <c r="A446" s="947" t="str">
        <f>'INSUMOS '!$B$454</f>
        <v>TRABA QUIMICA FUERZA ALTA</v>
      </c>
      <c r="B446" s="944"/>
      <c r="C446" s="51" t="s">
        <v>998</v>
      </c>
      <c r="D446" s="54">
        <v>1</v>
      </c>
      <c r="E446" s="17">
        <f>'INSUMOS '!$E$454</f>
        <v>16740</v>
      </c>
      <c r="F446" s="55">
        <f>D446*E446</f>
        <v>16740</v>
      </c>
      <c r="G446" s="1072"/>
    </row>
    <row r="447" spans="1:7">
      <c r="A447" s="947" t="str">
        <f>'INSUMOS '!$B$464</f>
        <v>ADAPTADOR MACHO PVC-P 3</v>
      </c>
      <c r="B447" s="944"/>
      <c r="C447" s="51" t="s">
        <v>998</v>
      </c>
      <c r="D447" s="54">
        <v>1</v>
      </c>
      <c r="E447" s="17">
        <f>'INSUMOS '!$E$464</f>
        <v>4095</v>
      </c>
      <c r="F447" s="55">
        <f>D447*E447</f>
        <v>4095</v>
      </c>
      <c r="G447" s="1072"/>
    </row>
    <row r="448" spans="1:7">
      <c r="A448" s="947" t="str">
        <f>'INSUMOS '!$B$465</f>
        <v>VALVULA RETENCION 3</v>
      </c>
      <c r="B448" s="944"/>
      <c r="C448" s="51" t="s">
        <v>998</v>
      </c>
      <c r="D448" s="54">
        <v>1</v>
      </c>
      <c r="E448" s="17">
        <f>'INSUMOS '!$E$465</f>
        <v>163567.30000000002</v>
      </c>
      <c r="F448" s="55">
        <f>D448*E448</f>
        <v>163567.30000000002</v>
      </c>
      <c r="G448" s="1072"/>
    </row>
    <row r="449" spans="1:7">
      <c r="A449" s="947"/>
      <c r="B449" s="944"/>
      <c r="C449" s="16"/>
      <c r="D449" s="58"/>
      <c r="E449" s="17"/>
      <c r="F449" s="55"/>
      <c r="G449" s="57">
        <f>SUM(F445:F449)</f>
        <v>184402.30000000002</v>
      </c>
    </row>
    <row r="450" spans="1:7">
      <c r="A450" s="1071" t="s">
        <v>15</v>
      </c>
      <c r="B450" s="944"/>
      <c r="C450" s="944"/>
      <c r="D450" s="944"/>
      <c r="E450" s="944"/>
      <c r="F450" s="944"/>
      <c r="G450" s="1072"/>
    </row>
    <row r="451" spans="1:7">
      <c r="A451" s="1074" t="s">
        <v>2</v>
      </c>
      <c r="B451" s="944"/>
      <c r="C451" s="53" t="s">
        <v>3</v>
      </c>
      <c r="D451" s="53" t="s">
        <v>4</v>
      </c>
      <c r="E451" s="53" t="s">
        <v>6</v>
      </c>
      <c r="F451" s="53" t="s">
        <v>11</v>
      </c>
      <c r="G451" s="1075" t="s">
        <v>8</v>
      </c>
    </row>
    <row r="452" spans="1:7">
      <c r="A452" s="943" t="s">
        <v>173</v>
      </c>
      <c r="B452" s="944"/>
      <c r="C452" s="16" t="s">
        <v>3</v>
      </c>
      <c r="D452" s="54">
        <v>3.5000000000000003E-2</v>
      </c>
      <c r="E452" s="17">
        <f>+G449</f>
        <v>184402.30000000002</v>
      </c>
      <c r="F452" s="55">
        <f>E452*D452</f>
        <v>6454.0805000000009</v>
      </c>
      <c r="G452" s="1072"/>
    </row>
    <row r="453" spans="1:7">
      <c r="A453" s="59"/>
      <c r="B453" s="60"/>
      <c r="C453" s="60"/>
      <c r="D453" s="60"/>
      <c r="E453" s="60"/>
      <c r="F453" s="60"/>
      <c r="G453" s="57">
        <f>SUM(F452:F453)</f>
        <v>6454.0805000000009</v>
      </c>
    </row>
    <row r="454" spans="1:7">
      <c r="A454" s="1071" t="s">
        <v>19</v>
      </c>
      <c r="B454" s="944"/>
      <c r="C454" s="944"/>
      <c r="D454" s="944"/>
      <c r="E454" s="944"/>
      <c r="F454" s="944"/>
      <c r="G454" s="1072"/>
    </row>
    <row r="455" spans="1:7">
      <c r="A455" s="1074" t="s">
        <v>2</v>
      </c>
      <c r="B455" s="944"/>
      <c r="C455" s="53" t="s">
        <v>3</v>
      </c>
      <c r="D455" s="53" t="s">
        <v>4</v>
      </c>
      <c r="E455" s="53" t="s">
        <v>6</v>
      </c>
      <c r="F455" s="53" t="s">
        <v>11</v>
      </c>
      <c r="G455" s="456" t="s">
        <v>8</v>
      </c>
    </row>
    <row r="456" spans="1:7">
      <c r="A456" s="978" t="str">
        <f>SALARIOS!$A$69</f>
        <v>CUADRILLA BB INSTALACIONES 1:1</v>
      </c>
      <c r="B456" s="979"/>
      <c r="C456" s="13" t="s">
        <v>1245</v>
      </c>
      <c r="D456" s="32">
        <v>1</v>
      </c>
      <c r="E456" s="13">
        <f>SALARIOS!$C$69</f>
        <v>27341</v>
      </c>
      <c r="F456" s="55">
        <f>+D456*E456</f>
        <v>27341</v>
      </c>
      <c r="G456" s="57">
        <f>SUM(F455:F456)</f>
        <v>27341</v>
      </c>
    </row>
    <row r="457" spans="1:7">
      <c r="A457" s="1076" t="s">
        <v>25</v>
      </c>
      <c r="B457" s="944"/>
      <c r="C457" s="944"/>
      <c r="D457" s="944"/>
      <c r="E457" s="944"/>
      <c r="F457" s="944"/>
      <c r="G457" s="1072"/>
    </row>
    <row r="458" spans="1:7" ht="17.399999999999999">
      <c r="A458" s="1077"/>
      <c r="B458" s="944"/>
      <c r="C458" s="944"/>
      <c r="D458" s="944"/>
      <c r="E458" s="944"/>
      <c r="F458" s="944"/>
      <c r="G458" s="62">
        <f>G456+G453+G449+G443</f>
        <v>219564.43050000002</v>
      </c>
    </row>
    <row r="460" spans="1:7">
      <c r="A460" s="970" t="s">
        <v>1</v>
      </c>
      <c r="B460" s="957"/>
      <c r="C460" s="953" t="s">
        <v>0</v>
      </c>
      <c r="D460" s="953"/>
      <c r="E460" s="953"/>
      <c r="F460" s="953"/>
      <c r="G460" s="1103"/>
    </row>
    <row r="461" spans="1:7" ht="47.25" customHeight="1">
      <c r="A461" s="971"/>
      <c r="B461" s="957"/>
      <c r="C461" s="953"/>
      <c r="D461" s="953"/>
      <c r="E461" s="953"/>
      <c r="F461" s="953"/>
      <c r="G461" s="1103"/>
    </row>
    <row r="462" spans="1:7" ht="17.399999999999999">
      <c r="A462" s="971"/>
      <c r="B462" s="957"/>
      <c r="C462" s="956"/>
      <c r="D462" s="957"/>
      <c r="E462" s="957"/>
      <c r="F462" s="957"/>
      <c r="G462" s="958"/>
    </row>
    <row r="463" spans="1:7">
      <c r="A463" s="971"/>
      <c r="B463" s="957"/>
      <c r="C463" s="959" t="s">
        <v>2</v>
      </c>
      <c r="D463" s="957"/>
      <c r="E463" s="957"/>
      <c r="F463" s="23" t="s">
        <v>3</v>
      </c>
      <c r="G463" s="24" t="s">
        <v>4</v>
      </c>
    </row>
    <row r="464" spans="1:7" ht="34.799999999999997">
      <c r="A464" s="1089" t="s">
        <v>2052</v>
      </c>
      <c r="B464" s="944"/>
      <c r="C464" s="980" t="s">
        <v>2053</v>
      </c>
      <c r="D464" s="944"/>
      <c r="E464" s="944"/>
      <c r="F464" s="51" t="s">
        <v>1620</v>
      </c>
      <c r="G464" s="52">
        <v>1</v>
      </c>
    </row>
    <row r="465" spans="1:7">
      <c r="A465" s="1071" t="s">
        <v>5</v>
      </c>
      <c r="B465" s="944"/>
      <c r="C465" s="944"/>
      <c r="D465" s="944"/>
      <c r="E465" s="944"/>
      <c r="F465" s="944"/>
      <c r="G465" s="1072"/>
    </row>
    <row r="466" spans="1:7">
      <c r="A466" s="1074" t="s">
        <v>2</v>
      </c>
      <c r="B466" s="944"/>
      <c r="C466" s="53" t="s">
        <v>3</v>
      </c>
      <c r="D466" s="53" t="s">
        <v>4</v>
      </c>
      <c r="E466" s="53" t="s">
        <v>6</v>
      </c>
      <c r="F466" s="53" t="s">
        <v>7</v>
      </c>
      <c r="G466" s="1075" t="s">
        <v>8</v>
      </c>
    </row>
    <row r="467" spans="1:7">
      <c r="A467" s="947" t="s">
        <v>167</v>
      </c>
      <c r="B467" s="980"/>
      <c r="C467" s="51" t="s">
        <v>3</v>
      </c>
      <c r="D467" s="54">
        <v>0.05</v>
      </c>
      <c r="E467" s="17">
        <f>+G484</f>
        <v>218728</v>
      </c>
      <c r="F467" s="55">
        <f>D467*E467</f>
        <v>10936.400000000001</v>
      </c>
      <c r="G467" s="1072"/>
    </row>
    <row r="468" spans="1:7">
      <c r="A468" s="947"/>
      <c r="B468" s="944"/>
      <c r="C468" s="51"/>
      <c r="D468" s="54"/>
      <c r="E468" s="17"/>
      <c r="F468" s="55">
        <f>D468*E468</f>
        <v>0</v>
      </c>
      <c r="G468" s="1072"/>
    </row>
    <row r="469" spans="1:7">
      <c r="A469" s="947"/>
      <c r="B469" s="980"/>
      <c r="C469" s="141"/>
      <c r="D469" s="16"/>
      <c r="E469" s="143"/>
      <c r="F469" s="55">
        <f>D469*E469</f>
        <v>0</v>
      </c>
      <c r="G469" s="1072"/>
    </row>
    <row r="470" spans="1:7">
      <c r="A470" s="947"/>
      <c r="B470" s="944"/>
      <c r="C470" s="51"/>
      <c r="D470" s="54"/>
      <c r="E470" s="17"/>
      <c r="F470" s="55">
        <f>D470*E470</f>
        <v>0</v>
      </c>
      <c r="G470" s="1072"/>
    </row>
    <row r="471" spans="1:7">
      <c r="A471" s="1079"/>
      <c r="B471" s="944"/>
      <c r="C471" s="56"/>
      <c r="D471" s="56"/>
      <c r="E471" s="56"/>
      <c r="F471" s="55"/>
      <c r="G471" s="57">
        <f>SUM(F466:F471)</f>
        <v>10936.400000000001</v>
      </c>
    </row>
    <row r="472" spans="1:7">
      <c r="A472" s="1071" t="s">
        <v>10</v>
      </c>
      <c r="B472" s="944"/>
      <c r="C472" s="944"/>
      <c r="D472" s="944"/>
      <c r="E472" s="944"/>
      <c r="F472" s="944"/>
      <c r="G472" s="1072"/>
    </row>
    <row r="473" spans="1:7">
      <c r="A473" s="1074" t="s">
        <v>2</v>
      </c>
      <c r="B473" s="944"/>
      <c r="C473" s="53" t="s">
        <v>3</v>
      </c>
      <c r="D473" s="53" t="s">
        <v>4</v>
      </c>
      <c r="E473" s="53" t="s">
        <v>6</v>
      </c>
      <c r="F473" s="53" t="s">
        <v>11</v>
      </c>
      <c r="G473" s="1075" t="s">
        <v>8</v>
      </c>
    </row>
    <row r="474" spans="1:7">
      <c r="A474" s="947" t="str">
        <f>'INSUMOS '!$B$466</f>
        <v>MEDIDOR ACUEDUCTO 1" CLASE B</v>
      </c>
      <c r="B474" s="944"/>
      <c r="C474" s="51" t="s">
        <v>998</v>
      </c>
      <c r="D474" s="54">
        <v>1</v>
      </c>
      <c r="E474" s="17">
        <f>'INSUMOS '!$E$466</f>
        <v>565500</v>
      </c>
      <c r="F474" s="55">
        <f>D474*E474</f>
        <v>565500</v>
      </c>
      <c r="G474" s="1072"/>
    </row>
    <row r="475" spans="1:7">
      <c r="A475" s="947" t="str">
        <f>'INSUMOS '!$B$467</f>
        <v>ACCESORIOS INST MEDIDOR ACUEDUC</v>
      </c>
      <c r="B475" s="944"/>
      <c r="C475" s="51" t="s">
        <v>998</v>
      </c>
      <c r="D475" s="54">
        <v>1</v>
      </c>
      <c r="E475" s="17">
        <f>'INSUMOS '!$E$467</f>
        <v>380038.40000000002</v>
      </c>
      <c r="F475" s="55">
        <f>D475*E475</f>
        <v>380038.40000000002</v>
      </c>
      <c r="G475" s="1072"/>
    </row>
    <row r="476" spans="1:7">
      <c r="A476" s="947"/>
      <c r="B476" s="944"/>
      <c r="C476" s="16"/>
      <c r="D476" s="54"/>
      <c r="E476" s="17"/>
      <c r="F476" s="55">
        <f>D476*E476</f>
        <v>0</v>
      </c>
      <c r="G476" s="1072"/>
    </row>
    <row r="477" spans="1:7">
      <c r="A477" s="947"/>
      <c r="B477" s="944"/>
      <c r="C477" s="16"/>
      <c r="D477" s="58"/>
      <c r="E477" s="17"/>
      <c r="F477" s="55"/>
      <c r="G477" s="57">
        <f>SUM(F473:F477)</f>
        <v>945538.4</v>
      </c>
    </row>
    <row r="478" spans="1:7">
      <c r="A478" s="1071" t="s">
        <v>15</v>
      </c>
      <c r="B478" s="944"/>
      <c r="C478" s="944"/>
      <c r="D478" s="944"/>
      <c r="E478" s="944"/>
      <c r="F478" s="944"/>
      <c r="G478" s="1072"/>
    </row>
    <row r="479" spans="1:7">
      <c r="A479" s="1074" t="s">
        <v>2</v>
      </c>
      <c r="B479" s="944"/>
      <c r="C479" s="53" t="s">
        <v>3</v>
      </c>
      <c r="D479" s="53" t="s">
        <v>4</v>
      </c>
      <c r="E479" s="53" t="s">
        <v>6</v>
      </c>
      <c r="F479" s="53" t="s">
        <v>11</v>
      </c>
      <c r="G479" s="1075" t="s">
        <v>8</v>
      </c>
    </row>
    <row r="480" spans="1:7">
      <c r="A480" s="943" t="s">
        <v>173</v>
      </c>
      <c r="B480" s="944"/>
      <c r="C480" s="16" t="s">
        <v>3</v>
      </c>
      <c r="D480" s="54">
        <v>3.5000000000000003E-2</v>
      </c>
      <c r="E480" s="17">
        <f>+G477</f>
        <v>945538.4</v>
      </c>
      <c r="F480" s="55">
        <f>E480*D480</f>
        <v>33093.844000000005</v>
      </c>
      <c r="G480" s="1072"/>
    </row>
    <row r="481" spans="1:7">
      <c r="A481" s="59"/>
      <c r="B481" s="60"/>
      <c r="C481" s="60"/>
      <c r="D481" s="60"/>
      <c r="E481" s="60"/>
      <c r="F481" s="60"/>
      <c r="G481" s="57">
        <f>SUM(F480:F481)</f>
        <v>33093.844000000005</v>
      </c>
    </row>
    <row r="482" spans="1:7">
      <c r="A482" s="1071" t="s">
        <v>19</v>
      </c>
      <c r="B482" s="944"/>
      <c r="C482" s="944"/>
      <c r="D482" s="944"/>
      <c r="E482" s="944"/>
      <c r="F482" s="944"/>
      <c r="G482" s="1072"/>
    </row>
    <row r="483" spans="1:7">
      <c r="A483" s="1074" t="s">
        <v>2</v>
      </c>
      <c r="B483" s="944"/>
      <c r="C483" s="53" t="s">
        <v>3</v>
      </c>
      <c r="D483" s="53" t="s">
        <v>4</v>
      </c>
      <c r="E483" s="53" t="s">
        <v>6</v>
      </c>
      <c r="F483" s="53" t="s">
        <v>11</v>
      </c>
      <c r="G483" s="456" t="s">
        <v>8</v>
      </c>
    </row>
    <row r="484" spans="1:7">
      <c r="A484" s="978" t="str">
        <f>SALARIOS!$A$69</f>
        <v>CUADRILLA BB INSTALACIONES 1:1</v>
      </c>
      <c r="B484" s="979"/>
      <c r="C484" s="13" t="s">
        <v>1245</v>
      </c>
      <c r="D484" s="32">
        <v>8</v>
      </c>
      <c r="E484" s="13">
        <f>SALARIOS!$C$69</f>
        <v>27341</v>
      </c>
      <c r="F484" s="55">
        <f>+D484*E484</f>
        <v>218728</v>
      </c>
      <c r="G484" s="57">
        <f>SUM(F483:F484)</f>
        <v>218728</v>
      </c>
    </row>
    <row r="485" spans="1:7">
      <c r="A485" s="1076" t="s">
        <v>25</v>
      </c>
      <c r="B485" s="944"/>
      <c r="C485" s="944"/>
      <c r="D485" s="944"/>
      <c r="E485" s="944"/>
      <c r="F485" s="944"/>
      <c r="G485" s="1072"/>
    </row>
    <row r="486" spans="1:7" ht="17.399999999999999">
      <c r="A486" s="1077"/>
      <c r="B486" s="944"/>
      <c r="C486" s="944"/>
      <c r="D486" s="944"/>
      <c r="E486" s="944"/>
      <c r="F486" s="944"/>
      <c r="G486" s="62">
        <f>G484+G481+G477+G471</f>
        <v>1208296.6439999999</v>
      </c>
    </row>
    <row r="488" spans="1:7">
      <c r="A488" s="970" t="s">
        <v>1</v>
      </c>
      <c r="B488" s="957"/>
      <c r="C488" s="953" t="s">
        <v>0</v>
      </c>
      <c r="D488" s="953"/>
      <c r="E488" s="953"/>
      <c r="F488" s="953"/>
      <c r="G488" s="1103"/>
    </row>
    <row r="489" spans="1:7" ht="50.25" customHeight="1">
      <c r="A489" s="971"/>
      <c r="B489" s="957"/>
      <c r="C489" s="953"/>
      <c r="D489" s="953"/>
      <c r="E489" s="953"/>
      <c r="F489" s="953"/>
      <c r="G489" s="1103"/>
    </row>
    <row r="490" spans="1:7" ht="17.399999999999999">
      <c r="A490" s="971"/>
      <c r="B490" s="957"/>
      <c r="C490" s="956"/>
      <c r="D490" s="957"/>
      <c r="E490" s="957"/>
      <c r="F490" s="957"/>
      <c r="G490" s="958"/>
    </row>
    <row r="491" spans="1:7">
      <c r="A491" s="971"/>
      <c r="B491" s="957"/>
      <c r="C491" s="959" t="s">
        <v>2</v>
      </c>
      <c r="D491" s="957"/>
      <c r="E491" s="957"/>
      <c r="F491" s="23" t="s">
        <v>3</v>
      </c>
      <c r="G491" s="24" t="s">
        <v>4</v>
      </c>
    </row>
    <row r="492" spans="1:7" ht="34.799999999999997">
      <c r="A492" s="1089" t="s">
        <v>2054</v>
      </c>
      <c r="B492" s="944"/>
      <c r="C492" s="980" t="s">
        <v>2055</v>
      </c>
      <c r="D492" s="944"/>
      <c r="E492" s="944"/>
      <c r="F492" s="51" t="s">
        <v>1620</v>
      </c>
      <c r="G492" s="52">
        <v>2</v>
      </c>
    </row>
    <row r="493" spans="1:7">
      <c r="A493" s="1071" t="s">
        <v>5</v>
      </c>
      <c r="B493" s="944"/>
      <c r="C493" s="944"/>
      <c r="D493" s="944"/>
      <c r="E493" s="944"/>
      <c r="F493" s="944"/>
      <c r="G493" s="1072"/>
    </row>
    <row r="494" spans="1:7">
      <c r="A494" s="1074" t="s">
        <v>2</v>
      </c>
      <c r="B494" s="944"/>
      <c r="C494" s="53" t="s">
        <v>3</v>
      </c>
      <c r="D494" s="53" t="s">
        <v>4</v>
      </c>
      <c r="E494" s="53" t="s">
        <v>6</v>
      </c>
      <c r="F494" s="53" t="s">
        <v>7</v>
      </c>
      <c r="G494" s="1075" t="s">
        <v>8</v>
      </c>
    </row>
    <row r="495" spans="1:7">
      <c r="A495" s="947" t="s">
        <v>167</v>
      </c>
      <c r="B495" s="980"/>
      <c r="C495" s="51" t="s">
        <v>3</v>
      </c>
      <c r="D495" s="54">
        <v>0.05</v>
      </c>
      <c r="E495" s="17">
        <f>+G512</f>
        <v>218728</v>
      </c>
      <c r="F495" s="55">
        <f>D495*E495</f>
        <v>10936.400000000001</v>
      </c>
      <c r="G495" s="1072"/>
    </row>
    <row r="496" spans="1:7">
      <c r="A496" s="947"/>
      <c r="B496" s="944"/>
      <c r="C496" s="51"/>
      <c r="D496" s="54"/>
      <c r="E496" s="17"/>
      <c r="F496" s="55">
        <f>D496*E496</f>
        <v>0</v>
      </c>
      <c r="G496" s="1072"/>
    </row>
    <row r="497" spans="1:7">
      <c r="A497" s="947"/>
      <c r="B497" s="980"/>
      <c r="C497" s="141"/>
      <c r="D497" s="16"/>
      <c r="E497" s="143"/>
      <c r="F497" s="55">
        <f>D497*E497</f>
        <v>0</v>
      </c>
      <c r="G497" s="1072"/>
    </row>
    <row r="498" spans="1:7">
      <c r="A498" s="947"/>
      <c r="B498" s="944"/>
      <c r="C498" s="51"/>
      <c r="D498" s="54"/>
      <c r="E498" s="17"/>
      <c r="F498" s="55">
        <f>D498*E498</f>
        <v>0</v>
      </c>
      <c r="G498" s="1072"/>
    </row>
    <row r="499" spans="1:7">
      <c r="A499" s="1079"/>
      <c r="B499" s="944"/>
      <c r="C499" s="56"/>
      <c r="D499" s="56"/>
      <c r="E499" s="56"/>
      <c r="F499" s="55"/>
      <c r="G499" s="57">
        <f>SUM(F494:F499)</f>
        <v>10936.400000000001</v>
      </c>
    </row>
    <row r="500" spans="1:7">
      <c r="A500" s="1071" t="s">
        <v>10</v>
      </c>
      <c r="B500" s="944"/>
      <c r="C500" s="944"/>
      <c r="D500" s="944"/>
      <c r="E500" s="944"/>
      <c r="F500" s="944"/>
      <c r="G500" s="1072"/>
    </row>
    <row r="501" spans="1:7">
      <c r="A501" s="1074" t="s">
        <v>2</v>
      </c>
      <c r="B501" s="944"/>
      <c r="C501" s="53" t="s">
        <v>3</v>
      </c>
      <c r="D501" s="53" t="s">
        <v>4</v>
      </c>
      <c r="E501" s="53" t="s">
        <v>6</v>
      </c>
      <c r="F501" s="53" t="s">
        <v>11</v>
      </c>
      <c r="G501" s="1075" t="s">
        <v>8</v>
      </c>
    </row>
    <row r="502" spans="1:7">
      <c r="A502" s="947" t="str">
        <f>'INSUMOS '!$B$468</f>
        <v>CALENTADOR ACUMULACION</v>
      </c>
      <c r="B502" s="944"/>
      <c r="C502" s="51" t="s">
        <v>998</v>
      </c>
      <c r="D502" s="54">
        <v>1</v>
      </c>
      <c r="E502" s="17">
        <f>'INSUMOS '!$E$468</f>
        <v>1738030</v>
      </c>
      <c r="F502" s="55">
        <f>D502*E502</f>
        <v>1738030</v>
      </c>
      <c r="G502" s="1072"/>
    </row>
    <row r="503" spans="1:7">
      <c r="A503" s="947"/>
      <c r="B503" s="944"/>
      <c r="C503" s="51"/>
      <c r="D503" s="54"/>
      <c r="E503" s="17"/>
      <c r="F503" s="55">
        <f>D503*E503</f>
        <v>0</v>
      </c>
      <c r="G503" s="1072"/>
    </row>
    <row r="504" spans="1:7">
      <c r="A504" s="947"/>
      <c r="B504" s="944"/>
      <c r="C504" s="16"/>
      <c r="D504" s="54"/>
      <c r="E504" s="17"/>
      <c r="F504" s="55">
        <f>D504*E504</f>
        <v>0</v>
      </c>
      <c r="G504" s="1072"/>
    </row>
    <row r="505" spans="1:7">
      <c r="A505" s="947"/>
      <c r="B505" s="944"/>
      <c r="C505" s="16"/>
      <c r="D505" s="58"/>
      <c r="E505" s="17"/>
      <c r="F505" s="55"/>
      <c r="G505" s="57">
        <f>SUM(F501:F505)</f>
        <v>1738030</v>
      </c>
    </row>
    <row r="506" spans="1:7">
      <c r="A506" s="1071" t="s">
        <v>15</v>
      </c>
      <c r="B506" s="944"/>
      <c r="C506" s="944"/>
      <c r="D506" s="944"/>
      <c r="E506" s="944"/>
      <c r="F506" s="944"/>
      <c r="G506" s="1072"/>
    </row>
    <row r="507" spans="1:7">
      <c r="A507" s="1074" t="s">
        <v>2</v>
      </c>
      <c r="B507" s="944"/>
      <c r="C507" s="53" t="s">
        <v>3</v>
      </c>
      <c r="D507" s="53" t="s">
        <v>4</v>
      </c>
      <c r="E507" s="53" t="s">
        <v>6</v>
      </c>
      <c r="F507" s="53" t="s">
        <v>11</v>
      </c>
      <c r="G507" s="1075" t="s">
        <v>8</v>
      </c>
    </row>
    <row r="508" spans="1:7">
      <c r="A508" s="943" t="s">
        <v>173</v>
      </c>
      <c r="B508" s="944"/>
      <c r="C508" s="16" t="s">
        <v>3</v>
      </c>
      <c r="D508" s="54">
        <v>3.5000000000000003E-2</v>
      </c>
      <c r="E508" s="17">
        <f>+G505</f>
        <v>1738030</v>
      </c>
      <c r="F508" s="55">
        <f>E508*D508</f>
        <v>60831.05</v>
      </c>
      <c r="G508" s="1072"/>
    </row>
    <row r="509" spans="1:7">
      <c r="A509" s="59"/>
      <c r="B509" s="60"/>
      <c r="C509" s="60"/>
      <c r="D509" s="60"/>
      <c r="E509" s="60"/>
      <c r="F509" s="60"/>
      <c r="G509" s="57">
        <f>SUM(F508:F509)</f>
        <v>60831.05</v>
      </c>
    </row>
    <row r="510" spans="1:7">
      <c r="A510" s="1071" t="s">
        <v>19</v>
      </c>
      <c r="B510" s="944"/>
      <c r="C510" s="944"/>
      <c r="D510" s="944"/>
      <c r="E510" s="944"/>
      <c r="F510" s="944"/>
      <c r="G510" s="1072"/>
    </row>
    <row r="511" spans="1:7">
      <c r="A511" s="1074" t="s">
        <v>2</v>
      </c>
      <c r="B511" s="944"/>
      <c r="C511" s="53" t="s">
        <v>3</v>
      </c>
      <c r="D511" s="53" t="s">
        <v>4</v>
      </c>
      <c r="E511" s="53" t="s">
        <v>6</v>
      </c>
      <c r="F511" s="53" t="s">
        <v>11</v>
      </c>
      <c r="G511" s="456" t="s">
        <v>8</v>
      </c>
    </row>
    <row r="512" spans="1:7">
      <c r="A512" s="978" t="str">
        <f>SALARIOS!$A$69</f>
        <v>CUADRILLA BB INSTALACIONES 1:1</v>
      </c>
      <c r="B512" s="979"/>
      <c r="C512" s="13" t="s">
        <v>1245</v>
      </c>
      <c r="D512" s="32">
        <v>8</v>
      </c>
      <c r="E512" s="13">
        <f>SALARIOS!$C$69</f>
        <v>27341</v>
      </c>
      <c r="F512" s="55">
        <f>+D512*E512</f>
        <v>218728</v>
      </c>
      <c r="G512" s="57">
        <f>SUM(F511:F512)</f>
        <v>218728</v>
      </c>
    </row>
    <row r="513" spans="1:7">
      <c r="A513" s="1076" t="s">
        <v>25</v>
      </c>
      <c r="B513" s="944"/>
      <c r="C513" s="944"/>
      <c r="D513" s="944"/>
      <c r="E513" s="944"/>
      <c r="F513" s="944"/>
      <c r="G513" s="1072"/>
    </row>
    <row r="514" spans="1:7" ht="17.399999999999999">
      <c r="A514" s="1077"/>
      <c r="B514" s="944"/>
      <c r="C514" s="944"/>
      <c r="D514" s="944"/>
      <c r="E514" s="944"/>
      <c r="F514" s="944"/>
      <c r="G514" s="62">
        <f>G512+G509+G505+G499</f>
        <v>2028525.45</v>
      </c>
    </row>
    <row r="516" spans="1:7">
      <c r="A516" s="970" t="s">
        <v>1</v>
      </c>
      <c r="B516" s="957"/>
      <c r="C516" s="953" t="s">
        <v>0</v>
      </c>
      <c r="D516" s="953"/>
      <c r="E516" s="953"/>
      <c r="F516" s="953"/>
      <c r="G516" s="1103"/>
    </row>
    <row r="517" spans="1:7" ht="47.25" customHeight="1">
      <c r="A517" s="971"/>
      <c r="B517" s="957"/>
      <c r="C517" s="953"/>
      <c r="D517" s="953"/>
      <c r="E517" s="953"/>
      <c r="F517" s="953"/>
      <c r="G517" s="1103"/>
    </row>
    <row r="518" spans="1:7" ht="17.399999999999999">
      <c r="A518" s="971"/>
      <c r="B518" s="957"/>
      <c r="C518" s="956"/>
      <c r="D518" s="957"/>
      <c r="E518" s="957"/>
      <c r="F518" s="957"/>
      <c r="G518" s="958"/>
    </row>
    <row r="519" spans="1:7">
      <c r="A519" s="971"/>
      <c r="B519" s="957"/>
      <c r="C519" s="959" t="s">
        <v>2</v>
      </c>
      <c r="D519" s="957"/>
      <c r="E519" s="957"/>
      <c r="F519" s="23" t="s">
        <v>3</v>
      </c>
      <c r="G519" s="24" t="s">
        <v>4</v>
      </c>
    </row>
    <row r="520" spans="1:7" ht="116.25" customHeight="1">
      <c r="A520" s="1089" t="s">
        <v>2058</v>
      </c>
      <c r="B520" s="944"/>
      <c r="C520" s="980" t="s">
        <v>2059</v>
      </c>
      <c r="D520" s="944"/>
      <c r="E520" s="944"/>
      <c r="F520" s="51" t="s">
        <v>1620</v>
      </c>
      <c r="G520" s="52">
        <v>1</v>
      </c>
    </row>
    <row r="521" spans="1:7">
      <c r="A521" s="1071" t="s">
        <v>5</v>
      </c>
      <c r="B521" s="944"/>
      <c r="C521" s="944"/>
      <c r="D521" s="944"/>
      <c r="E521" s="944"/>
      <c r="F521" s="944"/>
      <c r="G521" s="1072"/>
    </row>
    <row r="522" spans="1:7">
      <c r="A522" s="1074" t="s">
        <v>2</v>
      </c>
      <c r="B522" s="944"/>
      <c r="C522" s="53" t="s">
        <v>3</v>
      </c>
      <c r="D522" s="53" t="s">
        <v>4</v>
      </c>
      <c r="E522" s="53" t="s">
        <v>6</v>
      </c>
      <c r="F522" s="53" t="s">
        <v>7</v>
      </c>
      <c r="G522" s="1075" t="s">
        <v>8</v>
      </c>
    </row>
    <row r="523" spans="1:7">
      <c r="A523" s="947" t="s">
        <v>167</v>
      </c>
      <c r="B523" s="980"/>
      <c r="C523" s="51" t="s">
        <v>3</v>
      </c>
      <c r="D523" s="54">
        <v>0.05</v>
      </c>
      <c r="E523" s="17">
        <f>+G543</f>
        <v>346362</v>
      </c>
      <c r="F523" s="55">
        <f>D523*E523</f>
        <v>17318.100000000002</v>
      </c>
      <c r="G523" s="1072"/>
    </row>
    <row r="524" spans="1:7">
      <c r="A524" s="947"/>
      <c r="B524" s="944"/>
      <c r="C524" s="51"/>
      <c r="D524" s="54"/>
      <c r="E524" s="17"/>
      <c r="F524" s="55">
        <f>D524*E524</f>
        <v>0</v>
      </c>
      <c r="G524" s="1072"/>
    </row>
    <row r="525" spans="1:7">
      <c r="A525" s="947"/>
      <c r="B525" s="980"/>
      <c r="C525" s="141"/>
      <c r="D525" s="16"/>
      <c r="E525" s="143"/>
      <c r="F525" s="55">
        <f>D525*E525</f>
        <v>0</v>
      </c>
      <c r="G525" s="1072"/>
    </row>
    <row r="526" spans="1:7">
      <c r="A526" s="947"/>
      <c r="B526" s="944"/>
      <c r="C526" s="51"/>
      <c r="D526" s="54"/>
      <c r="E526" s="17"/>
      <c r="F526" s="55">
        <f>D526*E526</f>
        <v>0</v>
      </c>
      <c r="G526" s="1072"/>
    </row>
    <row r="527" spans="1:7">
      <c r="A527" s="1079"/>
      <c r="B527" s="944"/>
      <c r="C527" s="56"/>
      <c r="D527" s="56"/>
      <c r="E527" s="56"/>
      <c r="F527" s="55"/>
      <c r="G527" s="57">
        <f>SUM(F522:F527)</f>
        <v>17318.100000000002</v>
      </c>
    </row>
    <row r="528" spans="1:7">
      <c r="A528" s="1071" t="s">
        <v>10</v>
      </c>
      <c r="B528" s="944"/>
      <c r="C528" s="944"/>
      <c r="D528" s="944"/>
      <c r="E528" s="944"/>
      <c r="F528" s="944"/>
      <c r="G528" s="1072"/>
    </row>
    <row r="529" spans="1:7">
      <c r="A529" s="1074" t="s">
        <v>2</v>
      </c>
      <c r="B529" s="944"/>
      <c r="C529" s="53" t="s">
        <v>3</v>
      </c>
      <c r="D529" s="53" t="s">
        <v>4</v>
      </c>
      <c r="E529" s="53" t="s">
        <v>6</v>
      </c>
      <c r="F529" s="53" t="s">
        <v>11</v>
      </c>
      <c r="G529" s="1075" t="s">
        <v>8</v>
      </c>
    </row>
    <row r="530" spans="1:7">
      <c r="A530" s="947" t="str">
        <f>'INSUMOS '!$B$469</f>
        <v>MANOMETRO GLICERINA 200PSI</v>
      </c>
      <c r="B530" s="944"/>
      <c r="C530" s="16" t="s">
        <v>998</v>
      </c>
      <c r="D530" s="54">
        <v>1</v>
      </c>
      <c r="E530" s="17">
        <f>'INSUMOS '!$E$469</f>
        <v>62270</v>
      </c>
      <c r="F530" s="55">
        <f t="shared" ref="F530:F535" si="6">D530*E530</f>
        <v>62270</v>
      </c>
      <c r="G530" s="1075"/>
    </row>
    <row r="531" spans="1:7">
      <c r="A531" s="947" t="str">
        <f>'INSUMOS '!$B$470</f>
        <v>VALVULA RW 1"</v>
      </c>
      <c r="B531" s="944"/>
      <c r="C531" s="16" t="s">
        <v>998</v>
      </c>
      <c r="D531" s="54">
        <v>2</v>
      </c>
      <c r="E531" s="17">
        <f>'INSUMOS '!$E$470</f>
        <v>234000</v>
      </c>
      <c r="F531" s="55">
        <f t="shared" si="6"/>
        <v>468000</v>
      </c>
      <c r="G531" s="1075"/>
    </row>
    <row r="532" spans="1:7">
      <c r="A532" s="947" t="str">
        <f>'INSUMOS '!$B$471</f>
        <v>BOMBA 38GPM HD 53</v>
      </c>
      <c r="B532" s="944"/>
      <c r="C532" s="16" t="s">
        <v>998</v>
      </c>
      <c r="D532" s="54">
        <v>1</v>
      </c>
      <c r="E532" s="17">
        <f>'INSUMOS '!$E$471</f>
        <v>38500000</v>
      </c>
      <c r="F532" s="55">
        <f t="shared" si="6"/>
        <v>38500000</v>
      </c>
      <c r="G532" s="1075"/>
    </row>
    <row r="533" spans="1:7">
      <c r="A533" s="947" t="str">
        <f>'INSUMOS '!$B$472</f>
        <v>BOMBA 25.4GPM</v>
      </c>
      <c r="B533" s="944"/>
      <c r="C533" s="16" t="s">
        <v>998</v>
      </c>
      <c r="D533" s="54">
        <v>1</v>
      </c>
      <c r="E533" s="17">
        <f>'INSUMOS '!$E$472</f>
        <v>28500000</v>
      </c>
      <c r="F533" s="55">
        <f t="shared" si="6"/>
        <v>28500000</v>
      </c>
      <c r="G533" s="1072"/>
    </row>
    <row r="534" spans="1:7">
      <c r="A534" s="947" t="str">
        <f>'INSUMOS '!$B$473</f>
        <v>FLOTADOR ELECTRICO</v>
      </c>
      <c r="B534" s="944"/>
      <c r="C534" s="16" t="s">
        <v>998</v>
      </c>
      <c r="D534" s="54">
        <v>1</v>
      </c>
      <c r="E534" s="17">
        <f>'INSUMOS '!$E$473</f>
        <v>156000</v>
      </c>
      <c r="F534" s="55">
        <f t="shared" si="6"/>
        <v>156000</v>
      </c>
      <c r="G534" s="1072"/>
    </row>
    <row r="535" spans="1:7">
      <c r="A535" s="947" t="str">
        <f>'INSUMOS '!$B$474</f>
        <v>HIDROACUMULADOR 300L</v>
      </c>
      <c r="B535" s="944"/>
      <c r="C535" s="16" t="s">
        <v>998</v>
      </c>
      <c r="D535" s="54">
        <v>1</v>
      </c>
      <c r="E535" s="17">
        <f>'INSUMOS '!$E$474</f>
        <v>918320</v>
      </c>
      <c r="F535" s="55">
        <f t="shared" si="6"/>
        <v>918320</v>
      </c>
      <c r="G535" s="1072"/>
    </row>
    <row r="536" spans="1:7">
      <c r="A536" s="947"/>
      <c r="B536" s="944"/>
      <c r="C536" s="16"/>
      <c r="D536" s="58"/>
      <c r="E536" s="17"/>
      <c r="F536" s="55"/>
      <c r="G536" s="57">
        <f>SUM(F529:F536)</f>
        <v>68604590</v>
      </c>
    </row>
    <row r="537" spans="1:7">
      <c r="A537" s="1071" t="s">
        <v>15</v>
      </c>
      <c r="B537" s="944"/>
      <c r="C537" s="944"/>
      <c r="D537" s="944"/>
      <c r="E537" s="944"/>
      <c r="F537" s="944"/>
      <c r="G537" s="1072"/>
    </row>
    <row r="538" spans="1:7">
      <c r="A538" s="1074" t="s">
        <v>2</v>
      </c>
      <c r="B538" s="944"/>
      <c r="C538" s="53" t="s">
        <v>3</v>
      </c>
      <c r="D538" s="53" t="s">
        <v>4</v>
      </c>
      <c r="E538" s="53" t="s">
        <v>6</v>
      </c>
      <c r="F538" s="53" t="s">
        <v>11</v>
      </c>
      <c r="G538" s="1075" t="s">
        <v>8</v>
      </c>
    </row>
    <row r="539" spans="1:7">
      <c r="A539" s="943" t="s">
        <v>173</v>
      </c>
      <c r="B539" s="944"/>
      <c r="C539" s="16" t="s">
        <v>3</v>
      </c>
      <c r="D539" s="54">
        <v>3.5000000000000003E-2</v>
      </c>
      <c r="E539" s="17">
        <f>+G536</f>
        <v>68604590</v>
      </c>
      <c r="F539" s="55">
        <f>E539*D539</f>
        <v>2401160.6500000004</v>
      </c>
      <c r="G539" s="1072"/>
    </row>
    <row r="540" spans="1:7">
      <c r="A540" s="59"/>
      <c r="B540" s="60"/>
      <c r="C540" s="60"/>
      <c r="D540" s="60"/>
      <c r="E540" s="60"/>
      <c r="F540" s="60"/>
      <c r="G540" s="57">
        <f>SUM(F539:F540)</f>
        <v>2401160.6500000004</v>
      </c>
    </row>
    <row r="541" spans="1:7">
      <c r="A541" s="1071" t="s">
        <v>19</v>
      </c>
      <c r="B541" s="944"/>
      <c r="C541" s="944"/>
      <c r="D541" s="944"/>
      <c r="E541" s="944"/>
      <c r="F541" s="944"/>
      <c r="G541" s="1072"/>
    </row>
    <row r="542" spans="1:7">
      <c r="A542" s="1074" t="s">
        <v>2</v>
      </c>
      <c r="B542" s="944"/>
      <c r="C542" s="53" t="s">
        <v>3</v>
      </c>
      <c r="D542" s="53" t="s">
        <v>4</v>
      </c>
      <c r="E542" s="53" t="s">
        <v>6</v>
      </c>
      <c r="F542" s="53" t="s">
        <v>11</v>
      </c>
      <c r="G542" s="456" t="s">
        <v>8</v>
      </c>
    </row>
    <row r="543" spans="1:7">
      <c r="A543" s="978" t="str">
        <f>SALARIOS!$A$72</f>
        <v>CUADRILLA BB INSTALACIONES 1:4</v>
      </c>
      <c r="B543" s="979"/>
      <c r="C543" s="13" t="s">
        <v>1245</v>
      </c>
      <c r="D543" s="32">
        <v>6</v>
      </c>
      <c r="E543" s="13">
        <f>SALARIOS!$C$72</f>
        <v>57727</v>
      </c>
      <c r="F543" s="55">
        <f>+D543*E543</f>
        <v>346362</v>
      </c>
      <c r="G543" s="57">
        <f>SUM(F542:F543)</f>
        <v>346362</v>
      </c>
    </row>
    <row r="544" spans="1:7">
      <c r="A544" s="1076" t="s">
        <v>25</v>
      </c>
      <c r="B544" s="944"/>
      <c r="C544" s="944"/>
      <c r="D544" s="944"/>
      <c r="E544" s="944"/>
      <c r="F544" s="944"/>
      <c r="G544" s="1072"/>
    </row>
    <row r="545" spans="1:7" ht="17.399999999999999">
      <c r="A545" s="1077"/>
      <c r="B545" s="944"/>
      <c r="C545" s="944"/>
      <c r="D545" s="944"/>
      <c r="E545" s="944"/>
      <c r="F545" s="944"/>
      <c r="G545" s="62">
        <f>G543+G540+G536+G527</f>
        <v>71369430.75</v>
      </c>
    </row>
    <row r="547" spans="1:7">
      <c r="A547" s="970" t="s">
        <v>1</v>
      </c>
      <c r="B547" s="957"/>
      <c r="C547" s="953" t="s">
        <v>0</v>
      </c>
      <c r="D547" s="953"/>
      <c r="E547" s="953"/>
      <c r="F547" s="953"/>
      <c r="G547" s="1103"/>
    </row>
    <row r="548" spans="1:7" ht="56.25" customHeight="1">
      <c r="A548" s="971"/>
      <c r="B548" s="957"/>
      <c r="C548" s="953"/>
      <c r="D548" s="953"/>
      <c r="E548" s="953"/>
      <c r="F548" s="953"/>
      <c r="G548" s="1103"/>
    </row>
    <row r="549" spans="1:7" ht="17.399999999999999">
      <c r="A549" s="971"/>
      <c r="B549" s="957"/>
      <c r="C549" s="956"/>
      <c r="D549" s="957"/>
      <c r="E549" s="957"/>
      <c r="F549" s="957"/>
      <c r="G549" s="958"/>
    </row>
    <row r="550" spans="1:7">
      <c r="A550" s="971"/>
      <c r="B550" s="957"/>
      <c r="C550" s="959" t="s">
        <v>2</v>
      </c>
      <c r="D550" s="957"/>
      <c r="E550" s="957"/>
      <c r="F550" s="23" t="s">
        <v>3</v>
      </c>
      <c r="G550" s="24" t="s">
        <v>4</v>
      </c>
    </row>
    <row r="551" spans="1:7" ht="125.25" customHeight="1">
      <c r="A551" s="1089" t="s">
        <v>2060</v>
      </c>
      <c r="B551" s="944"/>
      <c r="C551" s="980" t="s">
        <v>2061</v>
      </c>
      <c r="D551" s="944"/>
      <c r="E551" s="944"/>
      <c r="F551" s="51" t="s">
        <v>1620</v>
      </c>
      <c r="G551" s="52">
        <v>1</v>
      </c>
    </row>
    <row r="552" spans="1:7">
      <c r="A552" s="1071" t="s">
        <v>5</v>
      </c>
      <c r="B552" s="944"/>
      <c r="C552" s="944"/>
      <c r="D552" s="944"/>
      <c r="E552" s="944"/>
      <c r="F552" s="944"/>
      <c r="G552" s="1072"/>
    </row>
    <row r="553" spans="1:7">
      <c r="A553" s="1074" t="s">
        <v>2</v>
      </c>
      <c r="B553" s="944"/>
      <c r="C553" s="53" t="s">
        <v>3</v>
      </c>
      <c r="D553" s="53" t="s">
        <v>4</v>
      </c>
      <c r="E553" s="53" t="s">
        <v>6</v>
      </c>
      <c r="F553" s="53" t="s">
        <v>7</v>
      </c>
      <c r="G553" s="1075" t="s">
        <v>8</v>
      </c>
    </row>
    <row r="554" spans="1:7">
      <c r="A554" s="947" t="s">
        <v>167</v>
      </c>
      <c r="B554" s="980"/>
      <c r="C554" s="51" t="s">
        <v>3</v>
      </c>
      <c r="D554" s="54">
        <v>0.05</v>
      </c>
      <c r="E554" s="17">
        <f>+G574</f>
        <v>346362</v>
      </c>
      <c r="F554" s="55">
        <f>D554*E554</f>
        <v>17318.100000000002</v>
      </c>
      <c r="G554" s="1072"/>
    </row>
    <row r="555" spans="1:7">
      <c r="A555" s="947"/>
      <c r="B555" s="944"/>
      <c r="C555" s="51"/>
      <c r="D555" s="54"/>
      <c r="E555" s="17"/>
      <c r="F555" s="55">
        <f>D555*E555</f>
        <v>0</v>
      </c>
      <c r="G555" s="1072"/>
    </row>
    <row r="556" spans="1:7">
      <c r="A556" s="947"/>
      <c r="B556" s="980"/>
      <c r="C556" s="141"/>
      <c r="D556" s="16"/>
      <c r="E556" s="143"/>
      <c r="F556" s="55">
        <f>D556*E556</f>
        <v>0</v>
      </c>
      <c r="G556" s="1072"/>
    </row>
    <row r="557" spans="1:7">
      <c r="A557" s="947"/>
      <c r="B557" s="944"/>
      <c r="C557" s="51"/>
      <c r="D557" s="54"/>
      <c r="E557" s="17"/>
      <c r="F557" s="55">
        <f>D557*E557</f>
        <v>0</v>
      </c>
      <c r="G557" s="1072"/>
    </row>
    <row r="558" spans="1:7">
      <c r="A558" s="1079"/>
      <c r="B558" s="944"/>
      <c r="C558" s="56"/>
      <c r="D558" s="56"/>
      <c r="E558" s="56"/>
      <c r="F558" s="55"/>
      <c r="G558" s="57">
        <f>SUM(F553:F558)</f>
        <v>17318.100000000002</v>
      </c>
    </row>
    <row r="559" spans="1:7">
      <c r="A559" s="1071" t="s">
        <v>10</v>
      </c>
      <c r="B559" s="944"/>
      <c r="C559" s="944"/>
      <c r="D559" s="944"/>
      <c r="E559" s="944"/>
      <c r="F559" s="944"/>
      <c r="G559" s="1072"/>
    </row>
    <row r="560" spans="1:7">
      <c r="A560" s="1074" t="s">
        <v>2</v>
      </c>
      <c r="B560" s="944"/>
      <c r="C560" s="53" t="s">
        <v>3</v>
      </c>
      <c r="D560" s="53" t="s">
        <v>4</v>
      </c>
      <c r="E560" s="53" t="s">
        <v>6</v>
      </c>
      <c r="F560" s="53" t="s">
        <v>11</v>
      </c>
      <c r="G560" s="1075" t="s">
        <v>8</v>
      </c>
    </row>
    <row r="561" spans="1:7">
      <c r="A561" s="947" t="str">
        <f>'INSUMOS '!$B$469</f>
        <v>MANOMETRO GLICERINA 200PSI</v>
      </c>
      <c r="B561" s="944"/>
      <c r="C561" s="16" t="s">
        <v>998</v>
      </c>
      <c r="D561" s="54">
        <v>1</v>
      </c>
      <c r="E561" s="17">
        <f>'INSUMOS '!$E$469</f>
        <v>62270</v>
      </c>
      <c r="F561" s="55">
        <f t="shared" ref="F561:F566" si="7">D561*E561</f>
        <v>62270</v>
      </c>
      <c r="G561" s="1075"/>
    </row>
    <row r="562" spans="1:7">
      <c r="A562" s="947" t="str">
        <f>'INSUMOS '!$B$470</f>
        <v>VALVULA RW 1"</v>
      </c>
      <c r="B562" s="944"/>
      <c r="C562" s="16" t="s">
        <v>998</v>
      </c>
      <c r="D562" s="54">
        <v>2</v>
      </c>
      <c r="E562" s="17">
        <f>'INSUMOS '!$E$470</f>
        <v>234000</v>
      </c>
      <c r="F562" s="55">
        <f t="shared" si="7"/>
        <v>468000</v>
      </c>
      <c r="G562" s="1075"/>
    </row>
    <row r="563" spans="1:7">
      <c r="A563" s="947" t="str">
        <f>'INSUMOS '!$B$471</f>
        <v>BOMBA 38GPM HD 53</v>
      </c>
      <c r="B563" s="944"/>
      <c r="C563" s="16" t="s">
        <v>998</v>
      </c>
      <c r="D563" s="54">
        <v>1</v>
      </c>
      <c r="E563" s="17">
        <f>'INSUMOS '!$E$471</f>
        <v>38500000</v>
      </c>
      <c r="F563" s="55">
        <f t="shared" si="7"/>
        <v>38500000</v>
      </c>
      <c r="G563" s="1075"/>
    </row>
    <row r="564" spans="1:7">
      <c r="A564" s="947" t="str">
        <f>'INSUMOS '!$B$472</f>
        <v>BOMBA 25.4GPM</v>
      </c>
      <c r="B564" s="944"/>
      <c r="C564" s="16" t="s">
        <v>998</v>
      </c>
      <c r="D564" s="54">
        <v>1</v>
      </c>
      <c r="E564" s="17">
        <f>'INSUMOS '!$E$472</f>
        <v>28500000</v>
      </c>
      <c r="F564" s="55">
        <f t="shared" si="7"/>
        <v>28500000</v>
      </c>
      <c r="G564" s="1072"/>
    </row>
    <row r="565" spans="1:7">
      <c r="A565" s="947" t="str">
        <f>'INSUMOS '!$B$473</f>
        <v>FLOTADOR ELECTRICO</v>
      </c>
      <c r="B565" s="944"/>
      <c r="C565" s="16" t="s">
        <v>998</v>
      </c>
      <c r="D565" s="54">
        <v>1</v>
      </c>
      <c r="E565" s="17">
        <f>'INSUMOS '!$E$473</f>
        <v>156000</v>
      </c>
      <c r="F565" s="55">
        <f t="shared" si="7"/>
        <v>156000</v>
      </c>
      <c r="G565" s="1072"/>
    </row>
    <row r="566" spans="1:7">
      <c r="A566" s="947" t="str">
        <f>'INSUMOS '!$B$474</f>
        <v>HIDROACUMULADOR 300L</v>
      </c>
      <c r="B566" s="944"/>
      <c r="C566" s="16" t="s">
        <v>998</v>
      </c>
      <c r="D566" s="54">
        <v>1</v>
      </c>
      <c r="E566" s="17">
        <f>'INSUMOS '!$E$474</f>
        <v>918320</v>
      </c>
      <c r="F566" s="55">
        <f t="shared" si="7"/>
        <v>918320</v>
      </c>
      <c r="G566" s="1072"/>
    </row>
    <row r="567" spans="1:7">
      <c r="A567" s="947"/>
      <c r="B567" s="944"/>
      <c r="C567" s="16"/>
      <c r="D567" s="58"/>
      <c r="E567" s="17"/>
      <c r="F567" s="55"/>
      <c r="G567" s="57">
        <f>SUM(F560:F567)</f>
        <v>68604590</v>
      </c>
    </row>
    <row r="568" spans="1:7">
      <c r="A568" s="1071" t="s">
        <v>15</v>
      </c>
      <c r="B568" s="944"/>
      <c r="C568" s="944"/>
      <c r="D568" s="944"/>
      <c r="E568" s="944"/>
      <c r="F568" s="944"/>
      <c r="G568" s="1072"/>
    </row>
    <row r="569" spans="1:7">
      <c r="A569" s="1074" t="s">
        <v>2</v>
      </c>
      <c r="B569" s="944"/>
      <c r="C569" s="53" t="s">
        <v>3</v>
      </c>
      <c r="D569" s="53" t="s">
        <v>4</v>
      </c>
      <c r="E569" s="53" t="s">
        <v>6</v>
      </c>
      <c r="F569" s="53" t="s">
        <v>11</v>
      </c>
      <c r="G569" s="1075" t="s">
        <v>8</v>
      </c>
    </row>
    <row r="570" spans="1:7">
      <c r="A570" s="943" t="s">
        <v>173</v>
      </c>
      <c r="B570" s="944"/>
      <c r="C570" s="16" t="s">
        <v>3</v>
      </c>
      <c r="D570" s="54">
        <v>3.5000000000000003E-2</v>
      </c>
      <c r="E570" s="17">
        <f>+G567</f>
        <v>68604590</v>
      </c>
      <c r="F570" s="55">
        <f>E570*D570</f>
        <v>2401160.6500000004</v>
      </c>
      <c r="G570" s="1072"/>
    </row>
    <row r="571" spans="1:7">
      <c r="A571" s="59"/>
      <c r="B571" s="60"/>
      <c r="C571" s="60"/>
      <c r="D571" s="60"/>
      <c r="E571" s="60"/>
      <c r="F571" s="60"/>
      <c r="G571" s="57">
        <f>SUM(F570:F571)</f>
        <v>2401160.6500000004</v>
      </c>
    </row>
    <row r="572" spans="1:7">
      <c r="A572" s="1071" t="s">
        <v>19</v>
      </c>
      <c r="B572" s="944"/>
      <c r="C572" s="944"/>
      <c r="D572" s="944"/>
      <c r="E572" s="944"/>
      <c r="F572" s="944"/>
      <c r="G572" s="1072"/>
    </row>
    <row r="573" spans="1:7">
      <c r="A573" s="1074" t="s">
        <v>2</v>
      </c>
      <c r="B573" s="944"/>
      <c r="C573" s="53" t="s">
        <v>3</v>
      </c>
      <c r="D573" s="53" t="s">
        <v>4</v>
      </c>
      <c r="E573" s="53" t="s">
        <v>6</v>
      </c>
      <c r="F573" s="53" t="s">
        <v>11</v>
      </c>
      <c r="G573" s="456" t="s">
        <v>8</v>
      </c>
    </row>
    <row r="574" spans="1:7">
      <c r="A574" s="978" t="str">
        <f>SALARIOS!$A$72</f>
        <v>CUADRILLA BB INSTALACIONES 1:4</v>
      </c>
      <c r="B574" s="979"/>
      <c r="C574" s="13" t="s">
        <v>1245</v>
      </c>
      <c r="D574" s="32">
        <v>6</v>
      </c>
      <c r="E574" s="13">
        <f>SALARIOS!$C$72</f>
        <v>57727</v>
      </c>
      <c r="F574" s="55">
        <f>+D574*E574</f>
        <v>346362</v>
      </c>
      <c r="G574" s="57">
        <f>SUM(F573:F574)</f>
        <v>346362</v>
      </c>
    </row>
    <row r="575" spans="1:7">
      <c r="A575" s="1076" t="s">
        <v>25</v>
      </c>
      <c r="B575" s="944"/>
      <c r="C575" s="944"/>
      <c r="D575" s="944"/>
      <c r="E575" s="944"/>
      <c r="F575" s="944"/>
      <c r="G575" s="1072"/>
    </row>
    <row r="576" spans="1:7" ht="17.399999999999999">
      <c r="A576" s="1077"/>
      <c r="B576" s="944"/>
      <c r="C576" s="944"/>
      <c r="D576" s="944"/>
      <c r="E576" s="944"/>
      <c r="F576" s="944"/>
      <c r="G576" s="62">
        <f>G574+G571+G567+G558</f>
        <v>71369430.75</v>
      </c>
    </row>
    <row r="578" spans="1:7">
      <c r="A578" s="970" t="s">
        <v>1</v>
      </c>
      <c r="B578" s="957"/>
      <c r="C578" s="953" t="s">
        <v>0</v>
      </c>
      <c r="D578" s="953"/>
      <c r="E578" s="953"/>
      <c r="F578" s="953"/>
      <c r="G578" s="1103"/>
    </row>
    <row r="579" spans="1:7" ht="56.25" customHeight="1">
      <c r="A579" s="971"/>
      <c r="B579" s="957"/>
      <c r="C579" s="953"/>
      <c r="D579" s="953"/>
      <c r="E579" s="953"/>
      <c r="F579" s="953"/>
      <c r="G579" s="1103"/>
    </row>
    <row r="580" spans="1:7" ht="17.399999999999999">
      <c r="A580" s="971"/>
      <c r="B580" s="957"/>
      <c r="C580" s="956"/>
      <c r="D580" s="957"/>
      <c r="E580" s="957"/>
      <c r="F580" s="957"/>
      <c r="G580" s="958"/>
    </row>
    <row r="581" spans="1:7">
      <c r="A581" s="971"/>
      <c r="B581" s="957"/>
      <c r="C581" s="959" t="s">
        <v>2</v>
      </c>
      <c r="D581" s="957"/>
      <c r="E581" s="957"/>
      <c r="F581" s="23" t="s">
        <v>3</v>
      </c>
      <c r="G581" s="24" t="s">
        <v>4</v>
      </c>
    </row>
    <row r="582" spans="1:7" ht="68.25" customHeight="1">
      <c r="A582" s="1089" t="s">
        <v>2062</v>
      </c>
      <c r="B582" s="944"/>
      <c r="C582" s="980" t="s">
        <v>2063</v>
      </c>
      <c r="D582" s="944"/>
      <c r="E582" s="944"/>
      <c r="F582" s="51" t="s">
        <v>1620</v>
      </c>
      <c r="G582" s="52">
        <v>1</v>
      </c>
    </row>
    <row r="583" spans="1:7">
      <c r="A583" s="1071" t="s">
        <v>5</v>
      </c>
      <c r="B583" s="944"/>
      <c r="C583" s="944"/>
      <c r="D583" s="944"/>
      <c r="E583" s="944"/>
      <c r="F583" s="944"/>
      <c r="G583" s="1072"/>
    </row>
    <row r="584" spans="1:7">
      <c r="A584" s="1074" t="s">
        <v>2</v>
      </c>
      <c r="B584" s="944"/>
      <c r="C584" s="53" t="s">
        <v>3</v>
      </c>
      <c r="D584" s="53" t="s">
        <v>4</v>
      </c>
      <c r="E584" s="53" t="s">
        <v>6</v>
      </c>
      <c r="F584" s="53" t="s">
        <v>7</v>
      </c>
      <c r="G584" s="1075" t="s">
        <v>8</v>
      </c>
    </row>
    <row r="585" spans="1:7">
      <c r="A585" s="947" t="s">
        <v>167</v>
      </c>
      <c r="B585" s="980"/>
      <c r="C585" s="51" t="s">
        <v>3</v>
      </c>
      <c r="D585" s="54">
        <v>0.05</v>
      </c>
      <c r="E585" s="17">
        <f>+G603</f>
        <v>461816</v>
      </c>
      <c r="F585" s="55">
        <f>D585*E585</f>
        <v>23090.800000000003</v>
      </c>
      <c r="G585" s="1072"/>
    </row>
    <row r="586" spans="1:7">
      <c r="A586" s="947"/>
      <c r="B586" s="944"/>
      <c r="C586" s="51"/>
      <c r="D586" s="54"/>
      <c r="E586" s="17"/>
      <c r="F586" s="55">
        <f>D586*E586</f>
        <v>0</v>
      </c>
      <c r="G586" s="1072"/>
    </row>
    <row r="587" spans="1:7">
      <c r="A587" s="947"/>
      <c r="B587" s="980"/>
      <c r="C587" s="141"/>
      <c r="D587" s="16"/>
      <c r="E587" s="143"/>
      <c r="F587" s="55">
        <f>D587*E587</f>
        <v>0</v>
      </c>
      <c r="G587" s="1072"/>
    </row>
    <row r="588" spans="1:7">
      <c r="A588" s="947"/>
      <c r="B588" s="944"/>
      <c r="C588" s="51"/>
      <c r="D588" s="54"/>
      <c r="E588" s="17"/>
      <c r="F588" s="55">
        <f>D588*E588</f>
        <v>0</v>
      </c>
      <c r="G588" s="1072"/>
    </row>
    <row r="589" spans="1:7">
      <c r="A589" s="1079"/>
      <c r="B589" s="944"/>
      <c r="C589" s="56"/>
      <c r="D589" s="56"/>
      <c r="E589" s="56"/>
      <c r="F589" s="55"/>
      <c r="G589" s="57">
        <f>SUM(F584:F589)</f>
        <v>23090.800000000003</v>
      </c>
    </row>
    <row r="590" spans="1:7">
      <c r="A590" s="1071" t="s">
        <v>10</v>
      </c>
      <c r="B590" s="944"/>
      <c r="C590" s="944"/>
      <c r="D590" s="944"/>
      <c r="E590" s="944"/>
      <c r="F590" s="944"/>
      <c r="G590" s="1072"/>
    </row>
    <row r="591" spans="1:7">
      <c r="A591" s="1074" t="s">
        <v>2</v>
      </c>
      <c r="B591" s="944"/>
      <c r="C591" s="53" t="s">
        <v>3</v>
      </c>
      <c r="D591" s="53" t="s">
        <v>4</v>
      </c>
      <c r="E591" s="53" t="s">
        <v>6</v>
      </c>
      <c r="F591" s="53" t="s">
        <v>11</v>
      </c>
      <c r="G591" s="1075" t="s">
        <v>8</v>
      </c>
    </row>
    <row r="592" spans="1:7">
      <c r="A592" s="947" t="str">
        <f>'INSUMOS '!$B$469</f>
        <v>MANOMETRO GLICERINA 200PSI</v>
      </c>
      <c r="B592" s="944"/>
      <c r="C592" s="16" t="s">
        <v>998</v>
      </c>
      <c r="D592" s="54">
        <v>1</v>
      </c>
      <c r="E592" s="17">
        <f>'INSUMOS '!$E$469</f>
        <v>62270</v>
      </c>
      <c r="F592" s="55">
        <f>D592*E592</f>
        <v>62270</v>
      </c>
      <c r="G592" s="1072"/>
    </row>
    <row r="593" spans="1:7">
      <c r="A593" s="947" t="str">
        <f>'INSUMOS '!$B$473</f>
        <v>FLOTADOR ELECTRICO</v>
      </c>
      <c r="B593" s="944"/>
      <c r="C593" s="16" t="s">
        <v>998</v>
      </c>
      <c r="D593" s="54">
        <v>1</v>
      </c>
      <c r="E593" s="17">
        <f>'INSUMOS '!$E$473</f>
        <v>156000</v>
      </c>
      <c r="F593" s="55">
        <f>D593*E593</f>
        <v>156000</v>
      </c>
      <c r="G593" s="1072"/>
    </row>
    <row r="594" spans="1:7">
      <c r="A594" s="947" t="str">
        <f>'INSUMOS '!$B$475</f>
        <v>VALVULA RW 3/4</v>
      </c>
      <c r="B594" s="944"/>
      <c r="C594" s="16">
        <v>0</v>
      </c>
      <c r="D594" s="54">
        <v>1</v>
      </c>
      <c r="E594" s="17">
        <f>'INSUMOS '!$E$475</f>
        <v>41600</v>
      </c>
      <c r="F594" s="55">
        <f>D594*E594</f>
        <v>41600</v>
      </c>
      <c r="G594" s="1072"/>
    </row>
    <row r="595" spans="1:7">
      <c r="A595" s="947" t="str">
        <f>'INSUMOS '!$B$476</f>
        <v>MOTOBOMBA TRIFASICA 80GPM</v>
      </c>
      <c r="B595" s="944"/>
      <c r="C595" s="16">
        <v>0</v>
      </c>
      <c r="D595" s="54">
        <v>1</v>
      </c>
      <c r="E595" s="17">
        <f>'INSUMOS '!$E$476</f>
        <v>13422528.6</v>
      </c>
      <c r="F595" s="55">
        <f>D595*E595</f>
        <v>13422528.6</v>
      </c>
      <c r="G595" s="1072"/>
    </row>
    <row r="596" spans="1:7">
      <c r="A596" s="947"/>
      <c r="B596" s="944"/>
      <c r="C596" s="16"/>
      <c r="D596" s="58"/>
      <c r="E596" s="17"/>
      <c r="F596" s="55"/>
      <c r="G596" s="57">
        <f>SUM(F591:F596)</f>
        <v>13682398.6</v>
      </c>
    </row>
    <row r="597" spans="1:7">
      <c r="A597" s="1071" t="s">
        <v>15</v>
      </c>
      <c r="B597" s="944"/>
      <c r="C597" s="944"/>
      <c r="D597" s="944"/>
      <c r="E597" s="944"/>
      <c r="F597" s="944"/>
      <c r="G597" s="1072"/>
    </row>
    <row r="598" spans="1:7">
      <c r="A598" s="1074" t="s">
        <v>2</v>
      </c>
      <c r="B598" s="944"/>
      <c r="C598" s="53" t="s">
        <v>3</v>
      </c>
      <c r="D598" s="53" t="s">
        <v>4</v>
      </c>
      <c r="E598" s="53" t="s">
        <v>6</v>
      </c>
      <c r="F598" s="53" t="s">
        <v>11</v>
      </c>
      <c r="G598" s="1075" t="s">
        <v>8</v>
      </c>
    </row>
    <row r="599" spans="1:7">
      <c r="A599" s="943" t="s">
        <v>173</v>
      </c>
      <c r="B599" s="944"/>
      <c r="C599" s="16" t="s">
        <v>3</v>
      </c>
      <c r="D599" s="54">
        <v>3.5000000000000003E-2</v>
      </c>
      <c r="E599" s="17">
        <f>+G596</f>
        <v>13682398.6</v>
      </c>
      <c r="F599" s="55">
        <f>E599*D599</f>
        <v>478883.95100000006</v>
      </c>
      <c r="G599" s="1072"/>
    </row>
    <row r="600" spans="1:7">
      <c r="A600" s="59"/>
      <c r="B600" s="60"/>
      <c r="C600" s="60"/>
      <c r="D600" s="60"/>
      <c r="E600" s="60"/>
      <c r="F600" s="60"/>
      <c r="G600" s="57">
        <f>SUM(F599:F600)</f>
        <v>478883.95100000006</v>
      </c>
    </row>
    <row r="601" spans="1:7">
      <c r="A601" s="1071" t="s">
        <v>19</v>
      </c>
      <c r="B601" s="944"/>
      <c r="C601" s="944"/>
      <c r="D601" s="944"/>
      <c r="E601" s="944"/>
      <c r="F601" s="944"/>
      <c r="G601" s="1072"/>
    </row>
    <row r="602" spans="1:7">
      <c r="A602" s="1074" t="s">
        <v>2</v>
      </c>
      <c r="B602" s="944"/>
      <c r="C602" s="53" t="s">
        <v>3</v>
      </c>
      <c r="D602" s="53" t="s">
        <v>4</v>
      </c>
      <c r="E602" s="53" t="s">
        <v>6</v>
      </c>
      <c r="F602" s="53" t="s">
        <v>11</v>
      </c>
      <c r="G602" s="456" t="s">
        <v>8</v>
      </c>
    </row>
    <row r="603" spans="1:7">
      <c r="A603" s="978" t="str">
        <f>SALARIOS!$A$72</f>
        <v>CUADRILLA BB INSTALACIONES 1:4</v>
      </c>
      <c r="B603" s="979"/>
      <c r="C603" s="13" t="s">
        <v>1245</v>
      </c>
      <c r="D603" s="32">
        <v>8</v>
      </c>
      <c r="E603" s="13">
        <f>SALARIOS!$C$72</f>
        <v>57727</v>
      </c>
      <c r="F603" s="55">
        <f>+D603*E603</f>
        <v>461816</v>
      </c>
      <c r="G603" s="57">
        <f>SUM(F602:F603)</f>
        <v>461816</v>
      </c>
    </row>
    <row r="604" spans="1:7">
      <c r="A604" s="1076" t="s">
        <v>25</v>
      </c>
      <c r="B604" s="944"/>
      <c r="C604" s="944"/>
      <c r="D604" s="944"/>
      <c r="E604" s="944"/>
      <c r="F604" s="944"/>
      <c r="G604" s="1072"/>
    </row>
    <row r="605" spans="1:7" ht="17.399999999999999">
      <c r="A605" s="1077"/>
      <c r="B605" s="944"/>
      <c r="C605" s="944"/>
      <c r="D605" s="944"/>
      <c r="E605" s="944"/>
      <c r="F605" s="944"/>
      <c r="G605" s="62">
        <f>G603+G600+G596+G589</f>
        <v>14646189.351</v>
      </c>
    </row>
    <row r="607" spans="1:7">
      <c r="A607" s="970" t="s">
        <v>1</v>
      </c>
      <c r="B607" s="957"/>
      <c r="C607" s="953" t="s">
        <v>0</v>
      </c>
      <c r="D607" s="953"/>
      <c r="E607" s="953"/>
      <c r="F607" s="953"/>
      <c r="G607" s="1103"/>
    </row>
    <row r="608" spans="1:7" ht="51.75" customHeight="1">
      <c r="A608" s="971"/>
      <c r="B608" s="957"/>
      <c r="C608" s="953"/>
      <c r="D608" s="953"/>
      <c r="E608" s="953"/>
      <c r="F608" s="953"/>
      <c r="G608" s="1103"/>
    </row>
    <row r="609" spans="1:7" ht="17.399999999999999">
      <c r="A609" s="971"/>
      <c r="B609" s="957"/>
      <c r="C609" s="956"/>
      <c r="D609" s="957"/>
      <c r="E609" s="957"/>
      <c r="F609" s="957"/>
      <c r="G609" s="958"/>
    </row>
    <row r="610" spans="1:7">
      <c r="A610" s="971"/>
      <c r="B610" s="957"/>
      <c r="C610" s="959" t="s">
        <v>2</v>
      </c>
      <c r="D610" s="957"/>
      <c r="E610" s="957"/>
      <c r="F610" s="23" t="s">
        <v>3</v>
      </c>
      <c r="G610" s="24" t="s">
        <v>4</v>
      </c>
    </row>
    <row r="611" spans="1:7" ht="51" customHeight="1">
      <c r="A611" s="1089" t="s">
        <v>2064</v>
      </c>
      <c r="B611" s="944"/>
      <c r="C611" s="980" t="s">
        <v>2065</v>
      </c>
      <c r="D611" s="944"/>
      <c r="E611" s="944"/>
      <c r="F611" s="51" t="s">
        <v>1620</v>
      </c>
      <c r="G611" s="52">
        <v>4</v>
      </c>
    </row>
    <row r="612" spans="1:7">
      <c r="A612" s="1071" t="s">
        <v>5</v>
      </c>
      <c r="B612" s="944"/>
      <c r="C612" s="944"/>
      <c r="D612" s="944"/>
      <c r="E612" s="944"/>
      <c r="F612" s="944"/>
      <c r="G612" s="1072"/>
    </row>
    <row r="613" spans="1:7">
      <c r="A613" s="1074" t="s">
        <v>2</v>
      </c>
      <c r="B613" s="944"/>
      <c r="C613" s="53" t="s">
        <v>3</v>
      </c>
      <c r="D613" s="53" t="s">
        <v>4</v>
      </c>
      <c r="E613" s="53" t="s">
        <v>6</v>
      </c>
      <c r="F613" s="53" t="s">
        <v>7</v>
      </c>
      <c r="G613" s="1075" t="s">
        <v>8</v>
      </c>
    </row>
    <row r="614" spans="1:7">
      <c r="A614" s="947" t="s">
        <v>167</v>
      </c>
      <c r="B614" s="980"/>
      <c r="C614" s="51" t="s">
        <v>3</v>
      </c>
      <c r="D614" s="54">
        <v>0.05</v>
      </c>
      <c r="E614" s="17">
        <f>+G631</f>
        <v>749380</v>
      </c>
      <c r="F614" s="55">
        <f>D614*E614</f>
        <v>37469</v>
      </c>
      <c r="G614" s="1072"/>
    </row>
    <row r="615" spans="1:7">
      <c r="A615" s="947"/>
      <c r="B615" s="944"/>
      <c r="C615" s="51"/>
      <c r="D615" s="54"/>
      <c r="E615" s="17"/>
      <c r="F615" s="55">
        <f>D615*E615</f>
        <v>0</v>
      </c>
      <c r="G615" s="1072"/>
    </row>
    <row r="616" spans="1:7">
      <c r="A616" s="947"/>
      <c r="B616" s="980"/>
      <c r="C616" s="141"/>
      <c r="D616" s="16"/>
      <c r="E616" s="143"/>
      <c r="F616" s="55">
        <f>D616*E616</f>
        <v>0</v>
      </c>
      <c r="G616" s="1072"/>
    </row>
    <row r="617" spans="1:7">
      <c r="A617" s="947"/>
      <c r="B617" s="944"/>
      <c r="C617" s="51"/>
      <c r="D617" s="54"/>
      <c r="E617" s="17"/>
      <c r="F617" s="55">
        <f>D617*E617</f>
        <v>0</v>
      </c>
      <c r="G617" s="1072"/>
    </row>
    <row r="618" spans="1:7">
      <c r="A618" s="1079"/>
      <c r="B618" s="944"/>
      <c r="C618" s="56"/>
      <c r="D618" s="56"/>
      <c r="E618" s="56"/>
      <c r="F618" s="55"/>
      <c r="G618" s="57">
        <f>SUM(F613:F618)</f>
        <v>37469</v>
      </c>
    </row>
    <row r="619" spans="1:7">
      <c r="A619" s="1071" t="s">
        <v>10</v>
      </c>
      <c r="B619" s="944"/>
      <c r="C619" s="944"/>
      <c r="D619" s="944"/>
      <c r="E619" s="944"/>
      <c r="F619" s="944"/>
      <c r="G619" s="1072"/>
    </row>
    <row r="620" spans="1:7">
      <c r="A620" s="1074" t="s">
        <v>2</v>
      </c>
      <c r="B620" s="944"/>
      <c r="C620" s="53" t="s">
        <v>3</v>
      </c>
      <c r="D620" s="53" t="s">
        <v>4</v>
      </c>
      <c r="E620" s="53" t="s">
        <v>6</v>
      </c>
      <c r="F620" s="53" t="s">
        <v>11</v>
      </c>
      <c r="G620" s="1075" t="s">
        <v>8</v>
      </c>
    </row>
    <row r="621" spans="1:7">
      <c r="A621" s="947" t="str">
        <f>'INSUMOS '!$B$477</f>
        <v>FILTRO TRATAMIENTO ALL</v>
      </c>
      <c r="B621" s="944"/>
      <c r="C621" s="16" t="s">
        <v>998</v>
      </c>
      <c r="D621" s="54">
        <v>1</v>
      </c>
      <c r="E621" s="17">
        <f>'INSUMOS '!$E$477</f>
        <v>11042398</v>
      </c>
      <c r="F621" s="55">
        <f>D621*E621</f>
        <v>11042398</v>
      </c>
      <c r="G621" s="1072"/>
    </row>
    <row r="622" spans="1:7">
      <c r="A622" s="947"/>
      <c r="B622" s="944"/>
      <c r="C622" s="51"/>
      <c r="D622" s="54"/>
      <c r="E622" s="17"/>
      <c r="F622" s="55">
        <f>D622*E622</f>
        <v>0</v>
      </c>
      <c r="G622" s="1072"/>
    </row>
    <row r="623" spans="1:7">
      <c r="A623" s="947"/>
      <c r="B623" s="944"/>
      <c r="C623" s="16"/>
      <c r="D623" s="54"/>
      <c r="E623" s="17"/>
      <c r="F623" s="55">
        <f>D623*E623</f>
        <v>0</v>
      </c>
      <c r="G623" s="1072"/>
    </row>
    <row r="624" spans="1:7">
      <c r="A624" s="947"/>
      <c r="B624" s="944"/>
      <c r="C624" s="16"/>
      <c r="D624" s="58"/>
      <c r="E624" s="17"/>
      <c r="F624" s="55"/>
      <c r="G624" s="57">
        <f>SUM(F620:F624)</f>
        <v>11042398</v>
      </c>
    </row>
    <row r="625" spans="1:7">
      <c r="A625" s="1071" t="s">
        <v>15</v>
      </c>
      <c r="B625" s="944"/>
      <c r="C625" s="944"/>
      <c r="D625" s="944"/>
      <c r="E625" s="944"/>
      <c r="F625" s="944"/>
      <c r="G625" s="1072"/>
    </row>
    <row r="626" spans="1:7">
      <c r="A626" s="1074" t="s">
        <v>2</v>
      </c>
      <c r="B626" s="944"/>
      <c r="C626" s="53" t="s">
        <v>3</v>
      </c>
      <c r="D626" s="53" t="s">
        <v>4</v>
      </c>
      <c r="E626" s="53" t="s">
        <v>6</v>
      </c>
      <c r="F626" s="53" t="s">
        <v>11</v>
      </c>
      <c r="G626" s="1075" t="s">
        <v>8</v>
      </c>
    </row>
    <row r="627" spans="1:7">
      <c r="A627" s="943" t="s">
        <v>173</v>
      </c>
      <c r="B627" s="944"/>
      <c r="C627" s="16" t="s">
        <v>3</v>
      </c>
      <c r="D627" s="54">
        <v>3.5000000000000003E-2</v>
      </c>
      <c r="E627" s="17">
        <f>+G624</f>
        <v>11042398</v>
      </c>
      <c r="F627" s="55">
        <f>E627*D627</f>
        <v>386483.93000000005</v>
      </c>
      <c r="G627" s="1072"/>
    </row>
    <row r="628" spans="1:7">
      <c r="A628" s="59"/>
      <c r="B628" s="60"/>
      <c r="C628" s="60"/>
      <c r="D628" s="60"/>
      <c r="E628" s="60"/>
      <c r="F628" s="60"/>
      <c r="G628" s="57">
        <f>SUM(F627:F628)</f>
        <v>386483.93000000005</v>
      </c>
    </row>
    <row r="629" spans="1:7">
      <c r="A629" s="1071" t="s">
        <v>19</v>
      </c>
      <c r="B629" s="944"/>
      <c r="C629" s="944"/>
      <c r="D629" s="944"/>
      <c r="E629" s="944"/>
      <c r="F629" s="944"/>
      <c r="G629" s="1072"/>
    </row>
    <row r="630" spans="1:7">
      <c r="A630" s="1074" t="s">
        <v>2</v>
      </c>
      <c r="B630" s="944"/>
      <c r="C630" s="53" t="s">
        <v>3</v>
      </c>
      <c r="D630" s="53" t="s">
        <v>4</v>
      </c>
      <c r="E630" s="53" t="s">
        <v>6</v>
      </c>
      <c r="F630" s="53" t="s">
        <v>11</v>
      </c>
      <c r="G630" s="456" t="s">
        <v>8</v>
      </c>
    </row>
    <row r="631" spans="1:7">
      <c r="A631" s="978" t="str">
        <f>SALARIOS!$A$70</f>
        <v>CUADRILLA BB INSTALACIONES 1:2</v>
      </c>
      <c r="B631" s="979"/>
      <c r="C631" s="13" t="s">
        <v>1245</v>
      </c>
      <c r="D631" s="32">
        <v>20</v>
      </c>
      <c r="E631" s="13">
        <f>SALARIOS!$C$70</f>
        <v>37469</v>
      </c>
      <c r="F631" s="55">
        <f>+D631*E631</f>
        <v>749380</v>
      </c>
      <c r="G631" s="57">
        <f>SUM(F630:F631)</f>
        <v>749380</v>
      </c>
    </row>
    <row r="632" spans="1:7">
      <c r="A632" s="1076" t="s">
        <v>25</v>
      </c>
      <c r="B632" s="944"/>
      <c r="C632" s="944"/>
      <c r="D632" s="944"/>
      <c r="E632" s="944"/>
      <c r="F632" s="944"/>
      <c r="G632" s="1072"/>
    </row>
    <row r="633" spans="1:7" ht="17.399999999999999">
      <c r="A633" s="1077"/>
      <c r="B633" s="944"/>
      <c r="C633" s="944"/>
      <c r="D633" s="944"/>
      <c r="E633" s="944"/>
      <c r="F633" s="944"/>
      <c r="G633" s="62">
        <f>G631+G628+G624+G618</f>
        <v>12215730.93</v>
      </c>
    </row>
    <row r="635" spans="1:7">
      <c r="A635" s="970" t="s">
        <v>1</v>
      </c>
      <c r="B635" s="957"/>
      <c r="C635" s="953" t="s">
        <v>0</v>
      </c>
      <c r="D635" s="953"/>
      <c r="E635" s="953"/>
      <c r="F635" s="953"/>
      <c r="G635" s="1103"/>
    </row>
    <row r="636" spans="1:7" ht="42" customHeight="1">
      <c r="A636" s="971"/>
      <c r="B636" s="957"/>
      <c r="C636" s="953"/>
      <c r="D636" s="953"/>
      <c r="E636" s="953"/>
      <c r="F636" s="953"/>
      <c r="G636" s="1103"/>
    </row>
    <row r="637" spans="1:7" ht="17.399999999999999">
      <c r="A637" s="971"/>
      <c r="B637" s="957"/>
      <c r="C637" s="956"/>
      <c r="D637" s="957"/>
      <c r="E637" s="957"/>
      <c r="F637" s="957"/>
      <c r="G637" s="958"/>
    </row>
    <row r="638" spans="1:7">
      <c r="A638" s="971"/>
      <c r="B638" s="957"/>
      <c r="C638" s="959" t="s">
        <v>2</v>
      </c>
      <c r="D638" s="957"/>
      <c r="E638" s="957"/>
      <c r="F638" s="23" t="s">
        <v>3</v>
      </c>
      <c r="G638" s="24" t="s">
        <v>4</v>
      </c>
    </row>
    <row r="639" spans="1:7" ht="44.25" customHeight="1">
      <c r="A639" s="1089" t="s">
        <v>2066</v>
      </c>
      <c r="B639" s="944"/>
      <c r="C639" s="980" t="s">
        <v>2067</v>
      </c>
      <c r="D639" s="944"/>
      <c r="E639" s="944"/>
      <c r="F639" s="51" t="s">
        <v>1620</v>
      </c>
      <c r="G639" s="52">
        <v>5</v>
      </c>
    </row>
    <row r="640" spans="1:7">
      <c r="A640" s="1071" t="s">
        <v>5</v>
      </c>
      <c r="B640" s="944"/>
      <c r="C640" s="944"/>
      <c r="D640" s="944"/>
      <c r="E640" s="944"/>
      <c r="F640" s="944"/>
      <c r="G640" s="1072"/>
    </row>
    <row r="641" spans="1:7">
      <c r="A641" s="1074" t="s">
        <v>2</v>
      </c>
      <c r="B641" s="944"/>
      <c r="C641" s="53" t="s">
        <v>3</v>
      </c>
      <c r="D641" s="53" t="s">
        <v>4</v>
      </c>
      <c r="E641" s="53" t="s">
        <v>6</v>
      </c>
      <c r="F641" s="53" t="s">
        <v>7</v>
      </c>
      <c r="G641" s="1075" t="s">
        <v>8</v>
      </c>
    </row>
    <row r="642" spans="1:7">
      <c r="A642" s="947" t="s">
        <v>167</v>
      </c>
      <c r="B642" s="980"/>
      <c r="C642" s="51" t="s">
        <v>3</v>
      </c>
      <c r="D642" s="54">
        <v>0.05</v>
      </c>
      <c r="E642" s="17">
        <f>+G659</f>
        <v>224814</v>
      </c>
      <c r="F642" s="55">
        <f>D642*E642</f>
        <v>11240.7</v>
      </c>
      <c r="G642" s="1072"/>
    </row>
    <row r="643" spans="1:7">
      <c r="A643" s="947"/>
      <c r="B643" s="944"/>
      <c r="C643" s="51"/>
      <c r="D643" s="54"/>
      <c r="E643" s="17"/>
      <c r="F643" s="55">
        <f>D643*E643</f>
        <v>0</v>
      </c>
      <c r="G643" s="1072"/>
    </row>
    <row r="644" spans="1:7">
      <c r="A644" s="947"/>
      <c r="B644" s="980"/>
      <c r="C644" s="141"/>
      <c r="D644" s="16"/>
      <c r="E644" s="143"/>
      <c r="F644" s="55">
        <f>D644*E644</f>
        <v>0</v>
      </c>
      <c r="G644" s="1072"/>
    </row>
    <row r="645" spans="1:7">
      <c r="A645" s="947"/>
      <c r="B645" s="944"/>
      <c r="C645" s="51"/>
      <c r="D645" s="54"/>
      <c r="E645" s="17"/>
      <c r="F645" s="55">
        <f>D645*E645</f>
        <v>0</v>
      </c>
      <c r="G645" s="1072"/>
    </row>
    <row r="646" spans="1:7">
      <c r="A646" s="1079"/>
      <c r="B646" s="944"/>
      <c r="C646" s="56"/>
      <c r="D646" s="56"/>
      <c r="E646" s="56"/>
      <c r="F646" s="55"/>
      <c r="G646" s="57">
        <f>SUM(F641:F646)</f>
        <v>11240.7</v>
      </c>
    </row>
    <row r="647" spans="1:7">
      <c r="A647" s="1071" t="s">
        <v>10</v>
      </c>
      <c r="B647" s="944"/>
      <c r="C647" s="944"/>
      <c r="D647" s="944"/>
      <c r="E647" s="944"/>
      <c r="F647" s="944"/>
      <c r="G647" s="1072"/>
    </row>
    <row r="648" spans="1:7">
      <c r="A648" s="1074" t="s">
        <v>2</v>
      </c>
      <c r="B648" s="944"/>
      <c r="C648" s="53" t="s">
        <v>3</v>
      </c>
      <c r="D648" s="53" t="s">
        <v>4</v>
      </c>
      <c r="E648" s="53" t="s">
        <v>6</v>
      </c>
      <c r="F648" s="53" t="s">
        <v>11</v>
      </c>
      <c r="G648" s="1075" t="s">
        <v>8</v>
      </c>
    </row>
    <row r="649" spans="1:7">
      <c r="A649" s="947" t="str">
        <f>'INSUMOS '!$B$478</f>
        <v>TANQUE ALMACENAMIENTO</v>
      </c>
      <c r="B649" s="944"/>
      <c r="C649" s="16">
        <v>0</v>
      </c>
      <c r="D649" s="54">
        <v>1</v>
      </c>
      <c r="E649" s="17">
        <f>'INSUMOS '!$E$478</f>
        <v>13281378.300000001</v>
      </c>
      <c r="F649" s="55">
        <f>D649*E649</f>
        <v>13281378.300000001</v>
      </c>
      <c r="G649" s="1072"/>
    </row>
    <row r="650" spans="1:7">
      <c r="A650" s="947"/>
      <c r="B650" s="944"/>
      <c r="C650" s="51"/>
      <c r="D650" s="54"/>
      <c r="E650" s="17"/>
      <c r="F650" s="55">
        <f>D650*E650</f>
        <v>0</v>
      </c>
      <c r="G650" s="1072"/>
    </row>
    <row r="651" spans="1:7">
      <c r="A651" s="947"/>
      <c r="B651" s="944"/>
      <c r="C651" s="16"/>
      <c r="D651" s="54"/>
      <c r="E651" s="17"/>
      <c r="F651" s="55">
        <f>D651*E651</f>
        <v>0</v>
      </c>
      <c r="G651" s="1072"/>
    </row>
    <row r="652" spans="1:7">
      <c r="A652" s="947"/>
      <c r="B652" s="944"/>
      <c r="C652" s="16"/>
      <c r="D652" s="58"/>
      <c r="E652" s="17"/>
      <c r="F652" s="55"/>
      <c r="G652" s="57">
        <f>SUM(F648:F652)</f>
        <v>13281378.300000001</v>
      </c>
    </row>
    <row r="653" spans="1:7">
      <c r="A653" s="1071" t="s">
        <v>15</v>
      </c>
      <c r="B653" s="944"/>
      <c r="C653" s="944"/>
      <c r="D653" s="944"/>
      <c r="E653" s="944"/>
      <c r="F653" s="944"/>
      <c r="G653" s="1072"/>
    </row>
    <row r="654" spans="1:7">
      <c r="A654" s="1074" t="s">
        <v>2</v>
      </c>
      <c r="B654" s="944"/>
      <c r="C654" s="53" t="s">
        <v>3</v>
      </c>
      <c r="D654" s="53" t="s">
        <v>4</v>
      </c>
      <c r="E654" s="53" t="s">
        <v>6</v>
      </c>
      <c r="F654" s="53" t="s">
        <v>11</v>
      </c>
      <c r="G654" s="1075" t="s">
        <v>8</v>
      </c>
    </row>
    <row r="655" spans="1:7">
      <c r="A655" s="943" t="s">
        <v>173</v>
      </c>
      <c r="B655" s="944"/>
      <c r="C655" s="16" t="s">
        <v>3</v>
      </c>
      <c r="D655" s="54">
        <v>3.5000000000000003E-2</v>
      </c>
      <c r="E655" s="17">
        <f>+G652</f>
        <v>13281378.300000001</v>
      </c>
      <c r="F655" s="55">
        <f>E655*D655</f>
        <v>464848.24050000007</v>
      </c>
      <c r="G655" s="1072"/>
    </row>
    <row r="656" spans="1:7">
      <c r="A656" s="59"/>
      <c r="B656" s="60"/>
      <c r="C656" s="60"/>
      <c r="D656" s="60"/>
      <c r="E656" s="60"/>
      <c r="F656" s="60"/>
      <c r="G656" s="57">
        <f>SUM(F655:F656)</f>
        <v>464848.24050000007</v>
      </c>
    </row>
    <row r="657" spans="1:7">
      <c r="A657" s="1071" t="s">
        <v>19</v>
      </c>
      <c r="B657" s="944"/>
      <c r="C657" s="944"/>
      <c r="D657" s="944"/>
      <c r="E657" s="944"/>
      <c r="F657" s="944"/>
      <c r="G657" s="1072"/>
    </row>
    <row r="658" spans="1:7">
      <c r="A658" s="1074" t="s">
        <v>2</v>
      </c>
      <c r="B658" s="944"/>
      <c r="C658" s="53" t="s">
        <v>3</v>
      </c>
      <c r="D658" s="53" t="s">
        <v>4</v>
      </c>
      <c r="E658" s="53" t="s">
        <v>6</v>
      </c>
      <c r="F658" s="53" t="s">
        <v>11</v>
      </c>
      <c r="G658" s="456" t="s">
        <v>8</v>
      </c>
    </row>
    <row r="659" spans="1:7">
      <c r="A659" s="978" t="str">
        <f>SALARIOS!$A$70</f>
        <v>CUADRILLA BB INSTALACIONES 1:2</v>
      </c>
      <c r="B659" s="979"/>
      <c r="C659" s="13" t="s">
        <v>1245</v>
      </c>
      <c r="D659" s="32">
        <v>6</v>
      </c>
      <c r="E659" s="13">
        <f>SALARIOS!$C$70</f>
        <v>37469</v>
      </c>
      <c r="F659" s="55">
        <f>+D659*E659</f>
        <v>224814</v>
      </c>
      <c r="G659" s="57">
        <f>SUM(F658:F659)</f>
        <v>224814</v>
      </c>
    </row>
    <row r="660" spans="1:7">
      <c r="A660" s="1076" t="s">
        <v>25</v>
      </c>
      <c r="B660" s="944"/>
      <c r="C660" s="944"/>
      <c r="D660" s="944"/>
      <c r="E660" s="944"/>
      <c r="F660" s="944"/>
      <c r="G660" s="1072"/>
    </row>
    <row r="661" spans="1:7" ht="17.399999999999999">
      <c r="A661" s="1077"/>
      <c r="B661" s="944"/>
      <c r="C661" s="944"/>
      <c r="D661" s="944"/>
      <c r="E661" s="944"/>
      <c r="F661" s="944"/>
      <c r="G661" s="62">
        <f>G659+G656+G652+G646</f>
        <v>13982281.240499999</v>
      </c>
    </row>
    <row r="663" spans="1:7">
      <c r="A663" s="970" t="s">
        <v>1</v>
      </c>
      <c r="B663" s="957"/>
      <c r="C663" s="953" t="s">
        <v>0</v>
      </c>
      <c r="D663" s="953"/>
      <c r="E663" s="953"/>
      <c r="F663" s="953"/>
      <c r="G663" s="1103"/>
    </row>
    <row r="664" spans="1:7" ht="42" customHeight="1">
      <c r="A664" s="971"/>
      <c r="B664" s="957"/>
      <c r="C664" s="953"/>
      <c r="D664" s="953"/>
      <c r="E664" s="953"/>
      <c r="F664" s="953"/>
      <c r="G664" s="1103"/>
    </row>
    <row r="665" spans="1:7" ht="17.399999999999999">
      <c r="A665" s="971"/>
      <c r="B665" s="957"/>
      <c r="C665" s="956"/>
      <c r="D665" s="957"/>
      <c r="E665" s="957"/>
      <c r="F665" s="957"/>
      <c r="G665" s="958"/>
    </row>
    <row r="666" spans="1:7">
      <c r="A666" s="971"/>
      <c r="B666" s="957"/>
      <c r="C666" s="959" t="s">
        <v>2</v>
      </c>
      <c r="D666" s="957"/>
      <c r="E666" s="957"/>
      <c r="F666" s="23" t="s">
        <v>3</v>
      </c>
      <c r="G666" s="24" t="s">
        <v>4</v>
      </c>
    </row>
    <row r="667" spans="1:7" ht="34.799999999999997">
      <c r="A667" s="1089" t="s">
        <v>2070</v>
      </c>
      <c r="B667" s="944"/>
      <c r="C667" s="980" t="s">
        <v>2071</v>
      </c>
      <c r="D667" s="944"/>
      <c r="E667" s="944"/>
      <c r="F667" s="51" t="s">
        <v>39</v>
      </c>
      <c r="G667" s="52">
        <v>443.4</v>
      </c>
    </row>
    <row r="668" spans="1:7">
      <c r="A668" s="1071" t="s">
        <v>5</v>
      </c>
      <c r="B668" s="944"/>
      <c r="C668" s="944"/>
      <c r="D668" s="944"/>
      <c r="E668" s="944"/>
      <c r="F668" s="944"/>
      <c r="G668" s="1072"/>
    </row>
    <row r="669" spans="1:7" s="2" customFormat="1" ht="15.75" customHeight="1">
      <c r="A669" s="1074" t="s">
        <v>2</v>
      </c>
      <c r="B669" s="944"/>
      <c r="C669" s="53" t="s">
        <v>3</v>
      </c>
      <c r="D669" s="53" t="s">
        <v>4</v>
      </c>
      <c r="E669" s="53" t="s">
        <v>6</v>
      </c>
      <c r="F669" s="53" t="s">
        <v>7</v>
      </c>
      <c r="G669" s="1075" t="s">
        <v>8</v>
      </c>
    </row>
    <row r="670" spans="1:7" s="2" customFormat="1" ht="15.75" customHeight="1">
      <c r="A670" s="947" t="s">
        <v>167</v>
      </c>
      <c r="B670" s="980"/>
      <c r="C670" s="51" t="s">
        <v>3</v>
      </c>
      <c r="D670" s="54">
        <v>0.05</v>
      </c>
      <c r="E670" s="17">
        <f>+G687</f>
        <v>8654.2000000000007</v>
      </c>
      <c r="F670" s="55">
        <f>D670*E670</f>
        <v>432.71000000000004</v>
      </c>
      <c r="G670" s="1072"/>
    </row>
    <row r="671" spans="1:7" s="2" customFormat="1" ht="15.75" customHeight="1">
      <c r="A671" s="947" t="str">
        <f>'MAQUINARIA Y EQUIPOS'!$D$43</f>
        <v>RETROEXCAVADORA EN ORUGAS</v>
      </c>
      <c r="B671" s="944"/>
      <c r="C671" s="51" t="s">
        <v>58</v>
      </c>
      <c r="D671" s="54">
        <v>0.16</v>
      </c>
      <c r="E671" s="17">
        <f>'MAQUINARIA Y EQUIPOS'!$F$43</f>
        <v>140000</v>
      </c>
      <c r="F671" s="55">
        <f>D671*E671</f>
        <v>22400</v>
      </c>
      <c r="G671" s="1072"/>
    </row>
    <row r="672" spans="1:7" s="2" customFormat="1" ht="15.75" customHeight="1">
      <c r="A672" s="947"/>
      <c r="B672" s="980"/>
      <c r="C672" s="141"/>
      <c r="D672" s="16"/>
      <c r="E672" s="143"/>
      <c r="F672" s="55">
        <f>D672*E672</f>
        <v>0</v>
      </c>
      <c r="G672" s="1072"/>
    </row>
    <row r="673" spans="1:7" s="2" customFormat="1" ht="15.75" customHeight="1">
      <c r="A673" s="947"/>
      <c r="B673" s="944"/>
      <c r="C673" s="51"/>
      <c r="D673" s="54"/>
      <c r="E673" s="17"/>
      <c r="F673" s="55">
        <f>D673*E673</f>
        <v>0</v>
      </c>
      <c r="G673" s="1072"/>
    </row>
    <row r="674" spans="1:7" s="2" customFormat="1" ht="15.75" customHeight="1">
      <c r="A674" s="1079"/>
      <c r="B674" s="944"/>
      <c r="C674" s="56"/>
      <c r="D674" s="56"/>
      <c r="E674" s="56"/>
      <c r="F674" s="55"/>
      <c r="G674" s="57">
        <f>SUM(F669:F674)</f>
        <v>22832.71</v>
      </c>
    </row>
    <row r="675" spans="1:7" s="2" customFormat="1" ht="15" customHeight="1">
      <c r="A675" s="1071" t="s">
        <v>10</v>
      </c>
      <c r="B675" s="944"/>
      <c r="C675" s="944"/>
      <c r="D675" s="944"/>
      <c r="E675" s="944"/>
      <c r="F675" s="944"/>
      <c r="G675" s="1072"/>
    </row>
    <row r="676" spans="1:7" s="2" customFormat="1" ht="15" customHeight="1">
      <c r="A676" s="1074" t="s">
        <v>2</v>
      </c>
      <c r="B676" s="944"/>
      <c r="C676" s="53" t="s">
        <v>3</v>
      </c>
      <c r="D676" s="53" t="s">
        <v>4</v>
      </c>
      <c r="E676" s="53" t="s">
        <v>6</v>
      </c>
      <c r="F676" s="53" t="s">
        <v>11</v>
      </c>
      <c r="G676" s="1075" t="s">
        <v>8</v>
      </c>
    </row>
    <row r="677" spans="1:7" s="2" customFormat="1" ht="15" customHeight="1">
      <c r="A677" s="947"/>
      <c r="B677" s="944"/>
      <c r="C677" s="16"/>
      <c r="D677" s="54"/>
      <c r="E677" s="17"/>
      <c r="F677" s="55">
        <f>D677*E677</f>
        <v>0</v>
      </c>
      <c r="G677" s="1072"/>
    </row>
    <row r="678" spans="1:7" s="2" customFormat="1" ht="15" customHeight="1">
      <c r="A678" s="947"/>
      <c r="B678" s="944"/>
      <c r="C678" s="51"/>
      <c r="D678" s="54"/>
      <c r="E678" s="17"/>
      <c r="F678" s="55">
        <f>D678*E678</f>
        <v>0</v>
      </c>
      <c r="G678" s="1072"/>
    </row>
    <row r="679" spans="1:7" s="2" customFormat="1" ht="15" customHeight="1">
      <c r="A679" s="947"/>
      <c r="B679" s="944"/>
      <c r="C679" s="16"/>
      <c r="D679" s="54"/>
      <c r="E679" s="17"/>
      <c r="F679" s="55">
        <f>D679*E679</f>
        <v>0</v>
      </c>
      <c r="G679" s="1072"/>
    </row>
    <row r="680" spans="1:7" s="2" customFormat="1" ht="15" customHeight="1">
      <c r="A680" s="947"/>
      <c r="B680" s="944"/>
      <c r="C680" s="16"/>
      <c r="D680" s="58"/>
      <c r="E680" s="17"/>
      <c r="F680" s="55"/>
      <c r="G680" s="57">
        <f>SUM(F676:F680)</f>
        <v>0</v>
      </c>
    </row>
    <row r="681" spans="1:7" s="2" customFormat="1" ht="15" customHeight="1">
      <c r="A681" s="1071" t="s">
        <v>15</v>
      </c>
      <c r="B681" s="944"/>
      <c r="C681" s="944"/>
      <c r="D681" s="944"/>
      <c r="E681" s="944"/>
      <c r="F681" s="944"/>
      <c r="G681" s="1072"/>
    </row>
    <row r="682" spans="1:7" s="2" customFormat="1" ht="15" customHeight="1">
      <c r="A682" s="1074" t="s">
        <v>2</v>
      </c>
      <c r="B682" s="944"/>
      <c r="C682" s="53" t="s">
        <v>3</v>
      </c>
      <c r="D682" s="53" t="s">
        <v>4</v>
      </c>
      <c r="E682" s="53" t="s">
        <v>6</v>
      </c>
      <c r="F682" s="53" t="s">
        <v>11</v>
      </c>
      <c r="G682" s="1075" t="s">
        <v>8</v>
      </c>
    </row>
    <row r="683" spans="1:7" s="2" customFormat="1" ht="15" customHeight="1">
      <c r="A683" s="943" t="s">
        <v>2561</v>
      </c>
      <c r="B683" s="944"/>
      <c r="C683" s="16" t="s">
        <v>39</v>
      </c>
      <c r="D683" s="16">
        <v>1.3</v>
      </c>
      <c r="E683" s="17">
        <v>16260</v>
      </c>
      <c r="F683" s="55">
        <f>E683*D683</f>
        <v>21138</v>
      </c>
      <c r="G683" s="1072"/>
    </row>
    <row r="684" spans="1:7" s="2" customFormat="1" ht="15" customHeight="1">
      <c r="A684" s="59"/>
      <c r="B684" s="60"/>
      <c r="C684" s="60"/>
      <c r="D684" s="60"/>
      <c r="E684" s="60"/>
      <c r="F684" s="60"/>
      <c r="G684" s="57">
        <f>SUM(F683:F684)</f>
        <v>21138</v>
      </c>
    </row>
    <row r="685" spans="1:7" s="2" customFormat="1" ht="15" customHeight="1">
      <c r="A685" s="1071" t="s">
        <v>19</v>
      </c>
      <c r="B685" s="944"/>
      <c r="C685" s="944"/>
      <c r="D685" s="944"/>
      <c r="E685" s="944"/>
      <c r="F685" s="944"/>
      <c r="G685" s="1072"/>
    </row>
    <row r="686" spans="1:7" s="2" customFormat="1" ht="15" customHeight="1">
      <c r="A686" s="1074" t="s">
        <v>2</v>
      </c>
      <c r="B686" s="944"/>
      <c r="C686" s="53" t="s">
        <v>3</v>
      </c>
      <c r="D686" s="53" t="s">
        <v>4</v>
      </c>
      <c r="E686" s="53" t="s">
        <v>6</v>
      </c>
      <c r="F686" s="53" t="s">
        <v>11</v>
      </c>
      <c r="G686" s="456" t="s">
        <v>8</v>
      </c>
    </row>
    <row r="687" spans="1:7" s="2" customFormat="1" ht="15.75" customHeight="1">
      <c r="A687" s="978" t="str">
        <f>SALARIOS!$A$63</f>
        <v>CUADRILLA AA ALBAÑILERÍA 1:3</v>
      </c>
      <c r="B687" s="979"/>
      <c r="C687" s="13" t="s">
        <v>1245</v>
      </c>
      <c r="D687" s="32">
        <v>0.2</v>
      </c>
      <c r="E687" s="13">
        <f>SALARIOS!$C$63</f>
        <v>43271</v>
      </c>
      <c r="F687" s="55">
        <f>+D687*E687</f>
        <v>8654.2000000000007</v>
      </c>
      <c r="G687" s="57">
        <f>SUM(F686:F687)</f>
        <v>8654.2000000000007</v>
      </c>
    </row>
    <row r="688" spans="1:7">
      <c r="A688" s="1076" t="s">
        <v>25</v>
      </c>
      <c r="B688" s="944"/>
      <c r="C688" s="944"/>
      <c r="D688" s="944"/>
      <c r="E688" s="944"/>
      <c r="F688" s="944"/>
      <c r="G688" s="1072"/>
    </row>
    <row r="689" spans="1:7" ht="17.399999999999999">
      <c r="A689" s="1077"/>
      <c r="B689" s="944"/>
      <c r="C689" s="944"/>
      <c r="D689" s="944"/>
      <c r="E689" s="944"/>
      <c r="F689" s="944"/>
      <c r="G689" s="62">
        <f>G687+G684+G680+G674</f>
        <v>52624.91</v>
      </c>
    </row>
    <row r="691" spans="1:7">
      <c r="A691" s="970" t="s">
        <v>1</v>
      </c>
      <c r="B691" s="957"/>
      <c r="C691" s="953" t="s">
        <v>0</v>
      </c>
      <c r="D691" s="953"/>
      <c r="E691" s="953"/>
      <c r="F691" s="953"/>
      <c r="G691" s="1103"/>
    </row>
    <row r="692" spans="1:7" ht="42" customHeight="1">
      <c r="A692" s="971"/>
      <c r="B692" s="957"/>
      <c r="C692" s="953"/>
      <c r="D692" s="953"/>
      <c r="E692" s="953"/>
      <c r="F692" s="953"/>
      <c r="G692" s="1103"/>
    </row>
    <row r="693" spans="1:7" ht="17.399999999999999">
      <c r="A693" s="971"/>
      <c r="B693" s="957"/>
      <c r="C693" s="956"/>
      <c r="D693" s="957"/>
      <c r="E693" s="957"/>
      <c r="F693" s="957"/>
      <c r="G693" s="958"/>
    </row>
    <row r="694" spans="1:7">
      <c r="A694" s="971"/>
      <c r="B694" s="957"/>
      <c r="C694" s="959" t="s">
        <v>2</v>
      </c>
      <c r="D694" s="957"/>
      <c r="E694" s="957"/>
      <c r="F694" s="23" t="s">
        <v>3</v>
      </c>
      <c r="G694" s="24" t="s">
        <v>4</v>
      </c>
    </row>
    <row r="695" spans="1:7" ht="50.25" customHeight="1">
      <c r="A695" s="1089" t="s">
        <v>2072</v>
      </c>
      <c r="B695" s="944"/>
      <c r="C695" s="980" t="s">
        <v>2010</v>
      </c>
      <c r="D695" s="944"/>
      <c r="E695" s="944"/>
      <c r="F695" s="51" t="s">
        <v>39</v>
      </c>
      <c r="G695" s="52">
        <v>354.7</v>
      </c>
    </row>
    <row r="696" spans="1:7">
      <c r="A696" s="1071" t="s">
        <v>5</v>
      </c>
      <c r="B696" s="944"/>
      <c r="C696" s="944"/>
      <c r="D696" s="944"/>
      <c r="E696" s="944"/>
      <c r="F696" s="944"/>
      <c r="G696" s="1072"/>
    </row>
    <row r="697" spans="1:7" s="2" customFormat="1" ht="15.75" customHeight="1">
      <c r="A697" s="1074" t="s">
        <v>2</v>
      </c>
      <c r="B697" s="944"/>
      <c r="C697" s="53" t="s">
        <v>3</v>
      </c>
      <c r="D697" s="53" t="s">
        <v>4</v>
      </c>
      <c r="E697" s="53" t="s">
        <v>6</v>
      </c>
      <c r="F697" s="53" t="s">
        <v>7</v>
      </c>
      <c r="G697" s="1075" t="s">
        <v>8</v>
      </c>
    </row>
    <row r="698" spans="1:7" s="2" customFormat="1" ht="15.75" customHeight="1">
      <c r="A698" s="947" t="s">
        <v>167</v>
      </c>
      <c r="B698" s="980"/>
      <c r="C698" s="51" t="s">
        <v>3</v>
      </c>
      <c r="D698" s="54">
        <v>0.05</v>
      </c>
      <c r="E698" s="17">
        <f>+G715</f>
        <v>29826</v>
      </c>
      <c r="F698" s="55">
        <f>D698*E698</f>
        <v>1491.3000000000002</v>
      </c>
      <c r="G698" s="1072"/>
    </row>
    <row r="699" spans="1:7" s="2" customFormat="1" ht="15.75" customHeight="1">
      <c r="A699" s="947" t="str">
        <f>'MAQUINARIA Y EQUIPOS'!$D$44</f>
        <v>VIBROCOMPACTADOR</v>
      </c>
      <c r="B699" s="944"/>
      <c r="C699" s="51" t="s">
        <v>60</v>
      </c>
      <c r="D699" s="54">
        <v>0.03</v>
      </c>
      <c r="E699" s="17">
        <f>'MAQUINARIA Y EQUIPOS'!$F$44</f>
        <v>75000</v>
      </c>
      <c r="F699" s="55">
        <f>D699*E699</f>
        <v>2250</v>
      </c>
      <c r="G699" s="1072"/>
    </row>
    <row r="700" spans="1:7" s="2" customFormat="1" ht="15.75" customHeight="1">
      <c r="A700" s="947"/>
      <c r="B700" s="980"/>
      <c r="C700" s="141"/>
      <c r="D700" s="16"/>
      <c r="E700" s="143"/>
      <c r="F700" s="55">
        <f>D700*E700</f>
        <v>0</v>
      </c>
      <c r="G700" s="1072"/>
    </row>
    <row r="701" spans="1:7" s="2" customFormat="1" ht="15.75" customHeight="1">
      <c r="A701" s="947"/>
      <c r="B701" s="944"/>
      <c r="C701" s="51"/>
      <c r="D701" s="54"/>
      <c r="E701" s="17"/>
      <c r="F701" s="55">
        <f>D701*E701</f>
        <v>0</v>
      </c>
      <c r="G701" s="1072"/>
    </row>
    <row r="702" spans="1:7" s="2" customFormat="1" ht="15.75" customHeight="1">
      <c r="A702" s="1079"/>
      <c r="B702" s="944"/>
      <c r="C702" s="56"/>
      <c r="D702" s="56"/>
      <c r="E702" s="56"/>
      <c r="F702" s="55"/>
      <c r="G702" s="57">
        <f>SUM(F697:F702)</f>
        <v>3741.3</v>
      </c>
    </row>
    <row r="703" spans="1:7" s="2" customFormat="1" ht="15" customHeight="1">
      <c r="A703" s="1071" t="s">
        <v>10</v>
      </c>
      <c r="B703" s="944"/>
      <c r="C703" s="944"/>
      <c r="D703" s="944"/>
      <c r="E703" s="944"/>
      <c r="F703" s="944"/>
      <c r="G703" s="1072"/>
    </row>
    <row r="704" spans="1:7" s="2" customFormat="1" ht="15" customHeight="1">
      <c r="A704" s="1074" t="s">
        <v>2</v>
      </c>
      <c r="B704" s="944"/>
      <c r="C704" s="53" t="s">
        <v>3</v>
      </c>
      <c r="D704" s="53" t="s">
        <v>4</v>
      </c>
      <c r="E704" s="53" t="s">
        <v>6</v>
      </c>
      <c r="F704" s="53" t="s">
        <v>11</v>
      </c>
      <c r="G704" s="1075" t="s">
        <v>8</v>
      </c>
    </row>
    <row r="705" spans="1:7" s="2" customFormat="1" ht="15" customHeight="1">
      <c r="A705" s="947"/>
      <c r="B705" s="944"/>
      <c r="C705" s="16"/>
      <c r="D705" s="54"/>
      <c r="E705" s="17"/>
      <c r="F705" s="55">
        <f>D705*E705</f>
        <v>0</v>
      </c>
      <c r="G705" s="1072"/>
    </row>
    <row r="706" spans="1:7" s="2" customFormat="1" ht="15" customHeight="1">
      <c r="A706" s="947"/>
      <c r="B706" s="944"/>
      <c r="C706" s="51"/>
      <c r="D706" s="54"/>
      <c r="E706" s="17"/>
      <c r="F706" s="55">
        <f>D706*E706</f>
        <v>0</v>
      </c>
      <c r="G706" s="1072"/>
    </row>
    <row r="707" spans="1:7" s="2" customFormat="1" ht="15" customHeight="1">
      <c r="A707" s="947"/>
      <c r="B707" s="944"/>
      <c r="C707" s="16"/>
      <c r="D707" s="54"/>
      <c r="E707" s="17"/>
      <c r="F707" s="55">
        <f>D707*E707</f>
        <v>0</v>
      </c>
      <c r="G707" s="1072"/>
    </row>
    <row r="708" spans="1:7" s="2" customFormat="1" ht="15" customHeight="1">
      <c r="A708" s="947"/>
      <c r="B708" s="944"/>
      <c r="C708" s="16"/>
      <c r="D708" s="58"/>
      <c r="E708" s="17"/>
      <c r="F708" s="55"/>
      <c r="G708" s="57">
        <f>SUM(F704:F708)</f>
        <v>0</v>
      </c>
    </row>
    <row r="709" spans="1:7" s="2" customFormat="1" ht="15" customHeight="1">
      <c r="A709" s="1071" t="s">
        <v>15</v>
      </c>
      <c r="B709" s="944"/>
      <c r="C709" s="944"/>
      <c r="D709" s="944"/>
      <c r="E709" s="944"/>
      <c r="F709" s="944"/>
      <c r="G709" s="1072"/>
    </row>
    <row r="710" spans="1:7" s="2" customFormat="1" ht="15" customHeight="1">
      <c r="A710" s="1074" t="s">
        <v>2</v>
      </c>
      <c r="B710" s="944"/>
      <c r="C710" s="53" t="s">
        <v>3</v>
      </c>
      <c r="D710" s="53" t="s">
        <v>4</v>
      </c>
      <c r="E710" s="53" t="s">
        <v>6</v>
      </c>
      <c r="F710" s="53" t="s">
        <v>11</v>
      </c>
      <c r="G710" s="1075" t="s">
        <v>8</v>
      </c>
    </row>
    <row r="711" spans="1:7" s="2" customFormat="1" ht="15" customHeight="1">
      <c r="A711" s="943" t="s">
        <v>2561</v>
      </c>
      <c r="B711" s="944"/>
      <c r="C711" s="16" t="s">
        <v>39</v>
      </c>
      <c r="D711" s="16">
        <v>1.2</v>
      </c>
      <c r="E711" s="17">
        <v>16260</v>
      </c>
      <c r="F711" s="55">
        <f>E711*D711</f>
        <v>19512</v>
      </c>
      <c r="G711" s="1072"/>
    </row>
    <row r="712" spans="1:7" s="2" customFormat="1" ht="15" customHeight="1">
      <c r="A712" s="59"/>
      <c r="B712" s="60"/>
      <c r="C712" s="60"/>
      <c r="D712" s="60"/>
      <c r="E712" s="60"/>
      <c r="F712" s="60"/>
      <c r="G712" s="57">
        <f>SUM(F711:F712)</f>
        <v>19512</v>
      </c>
    </row>
    <row r="713" spans="1:7" s="2" customFormat="1" ht="15" customHeight="1">
      <c r="A713" s="1071" t="s">
        <v>19</v>
      </c>
      <c r="B713" s="944"/>
      <c r="C713" s="944"/>
      <c r="D713" s="944"/>
      <c r="E713" s="944"/>
      <c r="F713" s="944"/>
      <c r="G713" s="1072"/>
    </row>
    <row r="714" spans="1:7" s="2" customFormat="1" ht="15" customHeight="1">
      <c r="A714" s="1074" t="s">
        <v>2</v>
      </c>
      <c r="B714" s="944"/>
      <c r="C714" s="53" t="s">
        <v>3</v>
      </c>
      <c r="D714" s="53" t="s">
        <v>4</v>
      </c>
      <c r="E714" s="53" t="s">
        <v>6</v>
      </c>
      <c r="F714" s="53" t="s">
        <v>11</v>
      </c>
      <c r="G714" s="456" t="s">
        <v>8</v>
      </c>
    </row>
    <row r="715" spans="1:7" s="2" customFormat="1" ht="15.75" customHeight="1">
      <c r="A715" s="978" t="str">
        <f>SALARIOS!$A$61</f>
        <v>CUADRILLA AA ALBAÑILERÍA 1:1</v>
      </c>
      <c r="B715" s="979"/>
      <c r="C715" s="13" t="s">
        <v>1245</v>
      </c>
      <c r="D715" s="32">
        <v>1.2</v>
      </c>
      <c r="E715" s="13">
        <f>SALARIOS!$C$61</f>
        <v>24855</v>
      </c>
      <c r="F715" s="55">
        <f>+D715*E715</f>
        <v>29826</v>
      </c>
      <c r="G715" s="57">
        <f>SUM(F714:F715)</f>
        <v>29826</v>
      </c>
    </row>
    <row r="716" spans="1:7">
      <c r="A716" s="1076" t="s">
        <v>25</v>
      </c>
      <c r="B716" s="944"/>
      <c r="C716" s="944"/>
      <c r="D716" s="944"/>
      <c r="E716" s="944"/>
      <c r="F716" s="944"/>
      <c r="G716" s="1072"/>
    </row>
    <row r="717" spans="1:7" ht="17.399999999999999">
      <c r="A717" s="1077"/>
      <c r="B717" s="944"/>
      <c r="C717" s="944"/>
      <c r="D717" s="944"/>
      <c r="E717" s="944"/>
      <c r="F717" s="944"/>
      <c r="G717" s="62">
        <f>G715+G712+G708+G702</f>
        <v>53079.3</v>
      </c>
    </row>
    <row r="719" spans="1:7">
      <c r="A719" s="970" t="s">
        <v>1</v>
      </c>
      <c r="B719" s="957"/>
      <c r="C719" s="953" t="s">
        <v>0</v>
      </c>
      <c r="D719" s="953"/>
      <c r="E719" s="953"/>
      <c r="F719" s="953"/>
      <c r="G719" s="1103"/>
    </row>
    <row r="720" spans="1:7" ht="42" customHeight="1">
      <c r="A720" s="971"/>
      <c r="B720" s="957"/>
      <c r="C720" s="953"/>
      <c r="D720" s="953"/>
      <c r="E720" s="953"/>
      <c r="F720" s="953"/>
      <c r="G720" s="1103"/>
    </row>
    <row r="721" spans="1:7" ht="17.399999999999999">
      <c r="A721" s="971"/>
      <c r="B721" s="957"/>
      <c r="C721" s="956"/>
      <c r="D721" s="957"/>
      <c r="E721" s="957"/>
      <c r="F721" s="957"/>
      <c r="G721" s="958"/>
    </row>
    <row r="722" spans="1:7">
      <c r="A722" s="971"/>
      <c r="B722" s="957"/>
      <c r="C722" s="959" t="s">
        <v>2</v>
      </c>
      <c r="D722" s="957"/>
      <c r="E722" s="957"/>
      <c r="F722" s="23" t="s">
        <v>3</v>
      </c>
      <c r="G722" s="24" t="s">
        <v>4</v>
      </c>
    </row>
    <row r="723" spans="1:7" ht="34.799999999999997">
      <c r="A723" s="1089" t="s">
        <v>2075</v>
      </c>
      <c r="B723" s="944"/>
      <c r="C723" s="980" t="s">
        <v>2076</v>
      </c>
      <c r="D723" s="944"/>
      <c r="E723" s="944"/>
      <c r="F723" s="51" t="s">
        <v>1620</v>
      </c>
      <c r="G723" s="52">
        <v>9</v>
      </c>
    </row>
    <row r="724" spans="1:7">
      <c r="A724" s="1071" t="s">
        <v>5</v>
      </c>
      <c r="B724" s="944"/>
      <c r="C724" s="944"/>
      <c r="D724" s="944"/>
      <c r="E724" s="944"/>
      <c r="F724" s="944"/>
      <c r="G724" s="1072"/>
    </row>
    <row r="725" spans="1:7">
      <c r="A725" s="1074" t="s">
        <v>2</v>
      </c>
      <c r="B725" s="944"/>
      <c r="C725" s="53" t="s">
        <v>3</v>
      </c>
      <c r="D725" s="53" t="s">
        <v>4</v>
      </c>
      <c r="E725" s="53" t="s">
        <v>6</v>
      </c>
      <c r="F725" s="53" t="s">
        <v>7</v>
      </c>
      <c r="G725" s="1075" t="s">
        <v>8</v>
      </c>
    </row>
    <row r="726" spans="1:7">
      <c r="A726" s="947" t="s">
        <v>167</v>
      </c>
      <c r="B726" s="980"/>
      <c r="C726" s="51" t="s">
        <v>3</v>
      </c>
      <c r="D726" s="54">
        <v>0.05</v>
      </c>
      <c r="E726" s="17">
        <f>+G743</f>
        <v>8202.2999999999993</v>
      </c>
      <c r="F726" s="55">
        <f>D726*E726</f>
        <v>410.11500000000001</v>
      </c>
      <c r="G726" s="1072"/>
    </row>
    <row r="727" spans="1:7">
      <c r="A727" s="947"/>
      <c r="B727" s="944"/>
      <c r="C727" s="51"/>
      <c r="D727" s="54"/>
      <c r="E727" s="17"/>
      <c r="F727" s="55">
        <f>D727*E727</f>
        <v>0</v>
      </c>
      <c r="G727" s="1072"/>
    </row>
    <row r="728" spans="1:7">
      <c r="A728" s="947"/>
      <c r="B728" s="980"/>
      <c r="C728" s="141"/>
      <c r="D728" s="16"/>
      <c r="E728" s="143"/>
      <c r="F728" s="55">
        <f>D728*E728</f>
        <v>0</v>
      </c>
      <c r="G728" s="1072"/>
    </row>
    <row r="729" spans="1:7">
      <c r="A729" s="947"/>
      <c r="B729" s="944"/>
      <c r="C729" s="51"/>
      <c r="D729" s="54"/>
      <c r="E729" s="17"/>
      <c r="F729" s="55">
        <f>D729*E729</f>
        <v>0</v>
      </c>
      <c r="G729" s="1072"/>
    </row>
    <row r="730" spans="1:7">
      <c r="A730" s="1079"/>
      <c r="B730" s="944"/>
      <c r="C730" s="56"/>
      <c r="D730" s="56"/>
      <c r="E730" s="56"/>
      <c r="F730" s="55"/>
      <c r="G730" s="57">
        <f>SUM(F725:F730)</f>
        <v>410.11500000000001</v>
      </c>
    </row>
    <row r="731" spans="1:7">
      <c r="A731" s="1071" t="s">
        <v>10</v>
      </c>
      <c r="B731" s="944"/>
      <c r="C731" s="944"/>
      <c r="D731" s="944"/>
      <c r="E731" s="944"/>
      <c r="F731" s="944"/>
      <c r="G731" s="1072"/>
    </row>
    <row r="732" spans="1:7">
      <c r="A732" s="1074" t="s">
        <v>2</v>
      </c>
      <c r="B732" s="944"/>
      <c r="C732" s="53" t="s">
        <v>3</v>
      </c>
      <c r="D732" s="53" t="s">
        <v>4</v>
      </c>
      <c r="E732" s="53" t="s">
        <v>6</v>
      </c>
      <c r="F732" s="53" t="s">
        <v>11</v>
      </c>
      <c r="G732" s="1075" t="s">
        <v>8</v>
      </c>
    </row>
    <row r="733" spans="1:7">
      <c r="A733" s="947" t="s">
        <v>2474</v>
      </c>
      <c r="B733" s="944"/>
      <c r="C733" s="16" t="s">
        <v>998</v>
      </c>
      <c r="D733" s="54">
        <v>0.01</v>
      </c>
      <c r="E733" s="17">
        <f>'INSUMOS '!$E$116</f>
        <v>90900</v>
      </c>
      <c r="F733" s="55">
        <f>D733*E733</f>
        <v>909</v>
      </c>
      <c r="G733" s="1072"/>
    </row>
    <row r="734" spans="1:7">
      <c r="A734" s="947" t="s">
        <v>2647</v>
      </c>
      <c r="B734" s="944"/>
      <c r="C734" s="16" t="s">
        <v>998</v>
      </c>
      <c r="D734" s="54">
        <v>1</v>
      </c>
      <c r="E734" s="17">
        <f>'INSUMOS '!$E$439</f>
        <v>4325.1000000000004</v>
      </c>
      <c r="F734" s="55">
        <f>D734*E734</f>
        <v>4325.1000000000004</v>
      </c>
      <c r="G734" s="1072"/>
    </row>
    <row r="735" spans="1:7">
      <c r="A735" s="947" t="s">
        <v>2619</v>
      </c>
      <c r="B735" s="944"/>
      <c r="C735" s="16" t="s">
        <v>998</v>
      </c>
      <c r="D735" s="54">
        <v>1</v>
      </c>
      <c r="E735" s="17">
        <f>'INSUMOS '!$E$479</f>
        <v>2665</v>
      </c>
      <c r="F735" s="55">
        <f>D735*E735</f>
        <v>2665</v>
      </c>
      <c r="G735" s="1072"/>
    </row>
    <row r="736" spans="1:7">
      <c r="A736" s="947"/>
      <c r="B736" s="944"/>
      <c r="C736" s="16"/>
      <c r="D736" s="58"/>
      <c r="E736" s="17"/>
      <c r="F736" s="55"/>
      <c r="G736" s="57">
        <f>SUM(F732:F736)</f>
        <v>7899.1</v>
      </c>
    </row>
    <row r="737" spans="1:7">
      <c r="A737" s="1071" t="s">
        <v>15</v>
      </c>
      <c r="B737" s="944"/>
      <c r="C737" s="944"/>
      <c r="D737" s="944"/>
      <c r="E737" s="944"/>
      <c r="F737" s="944"/>
      <c r="G737" s="1072"/>
    </row>
    <row r="738" spans="1:7">
      <c r="A738" s="1074" t="s">
        <v>2</v>
      </c>
      <c r="B738" s="944"/>
      <c r="C738" s="53" t="s">
        <v>3</v>
      </c>
      <c r="D738" s="53" t="s">
        <v>4</v>
      </c>
      <c r="E738" s="53" t="s">
        <v>6</v>
      </c>
      <c r="F738" s="53" t="s">
        <v>11</v>
      </c>
      <c r="G738" s="1075" t="s">
        <v>8</v>
      </c>
    </row>
    <row r="739" spans="1:7">
      <c r="A739" s="943" t="s">
        <v>173</v>
      </c>
      <c r="B739" s="944"/>
      <c r="C739" s="16" t="s">
        <v>3</v>
      </c>
      <c r="D739" s="54">
        <v>3.5000000000000003E-2</v>
      </c>
      <c r="E739" s="17">
        <f>+G736</f>
        <v>7899.1</v>
      </c>
      <c r="F739" s="55">
        <f>E739*D739</f>
        <v>276.46850000000006</v>
      </c>
      <c r="G739" s="1072"/>
    </row>
    <row r="740" spans="1:7">
      <c r="A740" s="59"/>
      <c r="B740" s="60"/>
      <c r="C740" s="60"/>
      <c r="D740" s="60"/>
      <c r="E740" s="60"/>
      <c r="F740" s="60"/>
      <c r="G740" s="57">
        <f>SUM(F739:F740)</f>
        <v>276.46850000000006</v>
      </c>
    </row>
    <row r="741" spans="1:7">
      <c r="A741" s="1071" t="s">
        <v>19</v>
      </c>
      <c r="B741" s="944"/>
      <c r="C741" s="944"/>
      <c r="D741" s="944"/>
      <c r="E741" s="944"/>
      <c r="F741" s="944"/>
      <c r="G741" s="1072"/>
    </row>
    <row r="742" spans="1:7">
      <c r="A742" s="1074" t="s">
        <v>2</v>
      </c>
      <c r="B742" s="944"/>
      <c r="C742" s="53" t="s">
        <v>3</v>
      </c>
      <c r="D742" s="53" t="s">
        <v>4</v>
      </c>
      <c r="E742" s="53" t="s">
        <v>6</v>
      </c>
      <c r="F742" s="53" t="s">
        <v>11</v>
      </c>
      <c r="G742" s="456" t="s">
        <v>8</v>
      </c>
    </row>
    <row r="743" spans="1:7">
      <c r="A743" s="978" t="str">
        <f>SALARIOS!$A$69</f>
        <v>CUADRILLA BB INSTALACIONES 1:1</v>
      </c>
      <c r="B743" s="979"/>
      <c r="C743" s="13" t="s">
        <v>1245</v>
      </c>
      <c r="D743" s="32">
        <v>0.3</v>
      </c>
      <c r="E743" s="13">
        <f>SALARIOS!$C$69</f>
        <v>27341</v>
      </c>
      <c r="F743" s="55">
        <f>+D743*E743</f>
        <v>8202.2999999999993</v>
      </c>
      <c r="G743" s="57">
        <f>SUM(F742:F743)</f>
        <v>8202.2999999999993</v>
      </c>
    </row>
    <row r="744" spans="1:7">
      <c r="A744" s="1076" t="s">
        <v>25</v>
      </c>
      <c r="B744" s="944"/>
      <c r="C744" s="944"/>
      <c r="D744" s="944"/>
      <c r="E744" s="944"/>
      <c r="F744" s="944"/>
      <c r="G744" s="1072"/>
    </row>
    <row r="745" spans="1:7" ht="17.399999999999999">
      <c r="A745" s="1077"/>
      <c r="B745" s="944"/>
      <c r="C745" s="944"/>
      <c r="D745" s="944"/>
      <c r="E745" s="944"/>
      <c r="F745" s="944"/>
      <c r="G745" s="62">
        <f>G743+G740+G736+G730</f>
        <v>16787.983500000002</v>
      </c>
    </row>
    <row r="747" spans="1:7">
      <c r="A747" s="970" t="s">
        <v>1</v>
      </c>
      <c r="B747" s="957"/>
      <c r="C747" s="953" t="s">
        <v>0</v>
      </c>
      <c r="D747" s="953"/>
      <c r="E747" s="953"/>
      <c r="F747" s="953"/>
      <c r="G747" s="1103"/>
    </row>
    <row r="748" spans="1:7" ht="42" customHeight="1">
      <c r="A748" s="971"/>
      <c r="B748" s="957"/>
      <c r="C748" s="953"/>
      <c r="D748" s="953"/>
      <c r="E748" s="953"/>
      <c r="F748" s="953"/>
      <c r="G748" s="1103"/>
    </row>
    <row r="749" spans="1:7" ht="17.399999999999999">
      <c r="A749" s="971"/>
      <c r="B749" s="957"/>
      <c r="C749" s="956"/>
      <c r="D749" s="957"/>
      <c r="E749" s="957"/>
      <c r="F749" s="957"/>
      <c r="G749" s="958"/>
    </row>
    <row r="750" spans="1:7">
      <c r="A750" s="971"/>
      <c r="B750" s="957"/>
      <c r="C750" s="959" t="s">
        <v>2</v>
      </c>
      <c r="D750" s="957"/>
      <c r="E750" s="957"/>
      <c r="F750" s="23" t="s">
        <v>3</v>
      </c>
      <c r="G750" s="24" t="s">
        <v>4</v>
      </c>
    </row>
    <row r="751" spans="1:7" ht="34.799999999999997">
      <c r="A751" s="1089" t="s">
        <v>2077</v>
      </c>
      <c r="B751" s="944"/>
      <c r="C751" s="980" t="s">
        <v>2078</v>
      </c>
      <c r="D751" s="944"/>
      <c r="E751" s="944"/>
      <c r="F751" s="51" t="s">
        <v>1620</v>
      </c>
      <c r="G751" s="52">
        <v>40</v>
      </c>
    </row>
    <row r="752" spans="1:7">
      <c r="A752" s="1071" t="s">
        <v>5</v>
      </c>
      <c r="B752" s="944"/>
      <c r="C752" s="944"/>
      <c r="D752" s="944"/>
      <c r="E752" s="944"/>
      <c r="F752" s="944"/>
      <c r="G752" s="1072"/>
    </row>
    <row r="753" spans="1:7">
      <c r="A753" s="1074" t="s">
        <v>2</v>
      </c>
      <c r="B753" s="944"/>
      <c r="C753" s="53" t="s">
        <v>3</v>
      </c>
      <c r="D753" s="53" t="s">
        <v>4</v>
      </c>
      <c r="E753" s="53" t="s">
        <v>6</v>
      </c>
      <c r="F753" s="53" t="s">
        <v>7</v>
      </c>
      <c r="G753" s="1075" t="s">
        <v>8</v>
      </c>
    </row>
    <row r="754" spans="1:7">
      <c r="A754" s="947" t="s">
        <v>167</v>
      </c>
      <c r="B754" s="980"/>
      <c r="C754" s="51" t="s">
        <v>3</v>
      </c>
      <c r="D754" s="54">
        <v>0.05</v>
      </c>
      <c r="E754" s="17">
        <f>+G772</f>
        <v>27341</v>
      </c>
      <c r="F754" s="55">
        <f>D754*E754</f>
        <v>1367.0500000000002</v>
      </c>
      <c r="G754" s="1072"/>
    </row>
    <row r="755" spans="1:7">
      <c r="A755" s="947"/>
      <c r="B755" s="944"/>
      <c r="C755" s="51"/>
      <c r="D755" s="54"/>
      <c r="E755" s="17"/>
      <c r="F755" s="55">
        <f>D755*E755</f>
        <v>0</v>
      </c>
      <c r="G755" s="1072"/>
    </row>
    <row r="756" spans="1:7">
      <c r="A756" s="947"/>
      <c r="B756" s="980"/>
      <c r="C756" s="141"/>
      <c r="D756" s="16"/>
      <c r="E756" s="143"/>
      <c r="F756" s="55">
        <f>D756*E756</f>
        <v>0</v>
      </c>
      <c r="G756" s="1072"/>
    </row>
    <row r="757" spans="1:7">
      <c r="A757" s="947"/>
      <c r="B757" s="944"/>
      <c r="C757" s="51"/>
      <c r="D757" s="54"/>
      <c r="E757" s="17"/>
      <c r="F757" s="55">
        <f>D757*E757</f>
        <v>0</v>
      </c>
      <c r="G757" s="1072"/>
    </row>
    <row r="758" spans="1:7">
      <c r="A758" s="1079"/>
      <c r="B758" s="944"/>
      <c r="C758" s="56"/>
      <c r="D758" s="56"/>
      <c r="E758" s="56"/>
      <c r="F758" s="55"/>
      <c r="G758" s="57">
        <f>SUM(F753:F758)</f>
        <v>1367.0500000000002</v>
      </c>
    </row>
    <row r="759" spans="1:7">
      <c r="A759" s="1071" t="s">
        <v>10</v>
      </c>
      <c r="B759" s="944"/>
      <c r="C759" s="944"/>
      <c r="D759" s="944"/>
      <c r="E759" s="944"/>
      <c r="F759" s="944"/>
      <c r="G759" s="1072"/>
    </row>
    <row r="760" spans="1:7">
      <c r="A760" s="1074" t="s">
        <v>2</v>
      </c>
      <c r="B760" s="944"/>
      <c r="C760" s="53" t="s">
        <v>3</v>
      </c>
      <c r="D760" s="53" t="s">
        <v>4</v>
      </c>
      <c r="E760" s="53" t="s">
        <v>6</v>
      </c>
      <c r="F760" s="53" t="s">
        <v>11</v>
      </c>
      <c r="G760" s="1075" t="s">
        <v>8</v>
      </c>
    </row>
    <row r="761" spans="1:7">
      <c r="A761" s="1015" t="s">
        <v>2648</v>
      </c>
      <c r="B761" s="1016"/>
      <c r="C761" s="16" t="s">
        <v>998</v>
      </c>
      <c r="D761" s="54">
        <v>1</v>
      </c>
      <c r="E761" s="17">
        <f>'INSUMOS '!$E$480</f>
        <v>19890</v>
      </c>
      <c r="F761" s="55">
        <f>D761*E761</f>
        <v>19890</v>
      </c>
      <c r="G761" s="1072"/>
    </row>
    <row r="762" spans="1:7">
      <c r="A762" s="1015" t="s">
        <v>2621</v>
      </c>
      <c r="B762" s="1016"/>
      <c r="C762" s="16" t="s">
        <v>998</v>
      </c>
      <c r="D762" s="54">
        <v>1</v>
      </c>
      <c r="E762" s="17">
        <f>'INSUMOS '!$E$481</f>
        <v>1571.7</v>
      </c>
      <c r="F762" s="55">
        <f>D762*E762</f>
        <v>1571.7</v>
      </c>
      <c r="G762" s="1072"/>
    </row>
    <row r="763" spans="1:7">
      <c r="A763" s="1015" t="s">
        <v>2622</v>
      </c>
      <c r="B763" s="1016"/>
      <c r="C763" s="16" t="s">
        <v>998</v>
      </c>
      <c r="D763" s="54">
        <v>1</v>
      </c>
      <c r="E763" s="17">
        <f>'INSUMOS '!$E$482</f>
        <v>2988.7000000000003</v>
      </c>
      <c r="F763" s="55">
        <f>D763*E763</f>
        <v>2988.7000000000003</v>
      </c>
      <c r="G763" s="1072"/>
    </row>
    <row r="764" spans="1:7">
      <c r="A764" s="1015" t="s">
        <v>2623</v>
      </c>
      <c r="B764" s="1016"/>
      <c r="C764" s="16" t="s">
        <v>998</v>
      </c>
      <c r="D764" s="54">
        <v>3</v>
      </c>
      <c r="E764" s="17">
        <f>'INSUMOS '!$E$483</f>
        <v>3420.3</v>
      </c>
      <c r="F764" s="55">
        <f>D764*E764</f>
        <v>10260.900000000001</v>
      </c>
      <c r="G764" s="1072"/>
    </row>
    <row r="765" spans="1:7">
      <c r="A765" s="947"/>
      <c r="B765" s="944"/>
      <c r="C765" s="16"/>
      <c r="D765" s="58"/>
      <c r="E765" s="17"/>
      <c r="F765" s="55"/>
      <c r="G765" s="57">
        <f>SUM(F760:F765)</f>
        <v>34711.300000000003</v>
      </c>
    </row>
    <row r="766" spans="1:7">
      <c r="A766" s="1071" t="s">
        <v>15</v>
      </c>
      <c r="B766" s="944"/>
      <c r="C766" s="944"/>
      <c r="D766" s="944"/>
      <c r="E766" s="944"/>
      <c r="F766" s="944"/>
      <c r="G766" s="1072"/>
    </row>
    <row r="767" spans="1:7">
      <c r="A767" s="1074" t="s">
        <v>2</v>
      </c>
      <c r="B767" s="944"/>
      <c r="C767" s="53" t="s">
        <v>3</v>
      </c>
      <c r="D767" s="53" t="s">
        <v>4</v>
      </c>
      <c r="E767" s="53" t="s">
        <v>6</v>
      </c>
      <c r="F767" s="53" t="s">
        <v>11</v>
      </c>
      <c r="G767" s="1075" t="s">
        <v>8</v>
      </c>
    </row>
    <row r="768" spans="1:7">
      <c r="A768" s="943" t="s">
        <v>173</v>
      </c>
      <c r="B768" s="944"/>
      <c r="C768" s="16" t="s">
        <v>3</v>
      </c>
      <c r="D768" s="54">
        <v>3.5000000000000003E-2</v>
      </c>
      <c r="E768" s="17">
        <f>+G765</f>
        <v>34711.300000000003</v>
      </c>
      <c r="F768" s="55">
        <f>E768*D768</f>
        <v>1214.8955000000003</v>
      </c>
      <c r="G768" s="1072"/>
    </row>
    <row r="769" spans="1:7">
      <c r="A769" s="59"/>
      <c r="B769" s="60"/>
      <c r="C769" s="60"/>
      <c r="D769" s="60"/>
      <c r="E769" s="60"/>
      <c r="F769" s="60"/>
      <c r="G769" s="57">
        <f>SUM(F768:F769)</f>
        <v>1214.8955000000003</v>
      </c>
    </row>
    <row r="770" spans="1:7">
      <c r="A770" s="1071" t="s">
        <v>19</v>
      </c>
      <c r="B770" s="944"/>
      <c r="C770" s="944"/>
      <c r="D770" s="944"/>
      <c r="E770" s="944"/>
      <c r="F770" s="944"/>
      <c r="G770" s="1072"/>
    </row>
    <row r="771" spans="1:7">
      <c r="A771" s="1074" t="s">
        <v>2</v>
      </c>
      <c r="B771" s="944"/>
      <c r="C771" s="53" t="s">
        <v>3</v>
      </c>
      <c r="D771" s="53" t="s">
        <v>4</v>
      </c>
      <c r="E771" s="53" t="s">
        <v>6</v>
      </c>
      <c r="F771" s="53" t="s">
        <v>11</v>
      </c>
      <c r="G771" s="456" t="s">
        <v>8</v>
      </c>
    </row>
    <row r="772" spans="1:7">
      <c r="A772" s="978" t="str">
        <f>SALARIOS!$A$69</f>
        <v>CUADRILLA BB INSTALACIONES 1:1</v>
      </c>
      <c r="B772" s="979"/>
      <c r="C772" s="13" t="s">
        <v>1245</v>
      </c>
      <c r="D772" s="32">
        <v>1</v>
      </c>
      <c r="E772" s="13">
        <f>SALARIOS!$C$69</f>
        <v>27341</v>
      </c>
      <c r="F772" s="55">
        <f>+D772*E772</f>
        <v>27341</v>
      </c>
      <c r="G772" s="57">
        <f>SUM(F771:F772)</f>
        <v>27341</v>
      </c>
    </row>
    <row r="773" spans="1:7">
      <c r="A773" s="1076" t="s">
        <v>25</v>
      </c>
      <c r="B773" s="944"/>
      <c r="C773" s="944"/>
      <c r="D773" s="944"/>
      <c r="E773" s="944"/>
      <c r="F773" s="944"/>
      <c r="G773" s="1072"/>
    </row>
    <row r="774" spans="1:7" ht="17.399999999999999">
      <c r="A774" s="1077"/>
      <c r="B774" s="944"/>
      <c r="C774" s="944"/>
      <c r="D774" s="944"/>
      <c r="E774" s="944"/>
      <c r="F774" s="944"/>
      <c r="G774" s="62">
        <f>G772+G769+G765+G758</f>
        <v>64634.245500000005</v>
      </c>
    </row>
    <row r="776" spans="1:7">
      <c r="A776" s="970" t="s">
        <v>1</v>
      </c>
      <c r="B776" s="957"/>
      <c r="C776" s="953" t="s">
        <v>0</v>
      </c>
      <c r="D776" s="953"/>
      <c r="E776" s="953"/>
      <c r="F776" s="953"/>
      <c r="G776" s="1103"/>
    </row>
    <row r="777" spans="1:7" ht="42" customHeight="1">
      <c r="A777" s="971"/>
      <c r="B777" s="957"/>
      <c r="C777" s="953"/>
      <c r="D777" s="953"/>
      <c r="E777" s="953"/>
      <c r="F777" s="953"/>
      <c r="G777" s="1103"/>
    </row>
    <row r="778" spans="1:7" ht="17.399999999999999">
      <c r="A778" s="971"/>
      <c r="B778" s="957"/>
      <c r="C778" s="956"/>
      <c r="D778" s="957"/>
      <c r="E778" s="957"/>
      <c r="F778" s="957"/>
      <c r="G778" s="958"/>
    </row>
    <row r="779" spans="1:7">
      <c r="A779" s="971"/>
      <c r="B779" s="957"/>
      <c r="C779" s="959" t="s">
        <v>2</v>
      </c>
      <c r="D779" s="957"/>
      <c r="E779" s="957"/>
      <c r="F779" s="23" t="s">
        <v>3</v>
      </c>
      <c r="G779" s="24" t="s">
        <v>4</v>
      </c>
    </row>
    <row r="780" spans="1:7" ht="34.799999999999997">
      <c r="A780" s="1089" t="s">
        <v>2079</v>
      </c>
      <c r="B780" s="944"/>
      <c r="C780" s="980" t="s">
        <v>2080</v>
      </c>
      <c r="D780" s="944"/>
      <c r="E780" s="944"/>
      <c r="F780" s="51" t="s">
        <v>1620</v>
      </c>
      <c r="G780" s="52">
        <v>1</v>
      </c>
    </row>
    <row r="781" spans="1:7">
      <c r="A781" s="1071" t="s">
        <v>5</v>
      </c>
      <c r="B781" s="944"/>
      <c r="C781" s="944"/>
      <c r="D781" s="944"/>
      <c r="E781" s="944"/>
      <c r="F781" s="944"/>
      <c r="G781" s="1072"/>
    </row>
    <row r="782" spans="1:7">
      <c r="A782" s="1074" t="s">
        <v>2</v>
      </c>
      <c r="B782" s="944"/>
      <c r="C782" s="53" t="s">
        <v>3</v>
      </c>
      <c r="D782" s="53" t="s">
        <v>4</v>
      </c>
      <c r="E782" s="53" t="s">
        <v>6</v>
      </c>
      <c r="F782" s="53" t="s">
        <v>7</v>
      </c>
      <c r="G782" s="1075" t="s">
        <v>8</v>
      </c>
    </row>
    <row r="783" spans="1:7">
      <c r="A783" s="947" t="s">
        <v>167</v>
      </c>
      <c r="B783" s="980"/>
      <c r="C783" s="51" t="s">
        <v>3</v>
      </c>
      <c r="D783" s="54">
        <v>0.05</v>
      </c>
      <c r="E783" s="17">
        <f>+G801</f>
        <v>27341</v>
      </c>
      <c r="F783" s="55">
        <f>D783*E783</f>
        <v>1367.0500000000002</v>
      </c>
      <c r="G783" s="1072"/>
    </row>
    <row r="784" spans="1:7">
      <c r="A784" s="947"/>
      <c r="B784" s="944"/>
      <c r="C784" s="51"/>
      <c r="D784" s="54"/>
      <c r="E784" s="17"/>
      <c r="F784" s="55">
        <f>D784*E784</f>
        <v>0</v>
      </c>
      <c r="G784" s="1072"/>
    </row>
    <row r="785" spans="1:7">
      <c r="A785" s="947"/>
      <c r="B785" s="980"/>
      <c r="C785" s="141"/>
      <c r="D785" s="16"/>
      <c r="E785" s="143"/>
      <c r="F785" s="55">
        <f>D785*E785</f>
        <v>0</v>
      </c>
      <c r="G785" s="1072"/>
    </row>
    <row r="786" spans="1:7">
      <c r="A786" s="947"/>
      <c r="B786" s="944"/>
      <c r="C786" s="51"/>
      <c r="D786" s="54"/>
      <c r="E786" s="17"/>
      <c r="F786" s="55">
        <f>D786*E786</f>
        <v>0</v>
      </c>
      <c r="G786" s="1072"/>
    </row>
    <row r="787" spans="1:7">
      <c r="A787" s="1079"/>
      <c r="B787" s="944"/>
      <c r="C787" s="56"/>
      <c r="D787" s="56"/>
      <c r="E787" s="56"/>
      <c r="F787" s="55"/>
      <c r="G787" s="57">
        <f>SUM(F782:F787)</f>
        <v>1367.0500000000002</v>
      </c>
    </row>
    <row r="788" spans="1:7">
      <c r="A788" s="1071" t="s">
        <v>10</v>
      </c>
      <c r="B788" s="944"/>
      <c r="C788" s="944"/>
      <c r="D788" s="944"/>
      <c r="E788" s="944"/>
      <c r="F788" s="944"/>
      <c r="G788" s="1072"/>
    </row>
    <row r="789" spans="1:7">
      <c r="A789" s="1074" t="s">
        <v>2</v>
      </c>
      <c r="B789" s="944"/>
      <c r="C789" s="53" t="s">
        <v>3</v>
      </c>
      <c r="D789" s="53" t="s">
        <v>4</v>
      </c>
      <c r="E789" s="53" t="s">
        <v>6</v>
      </c>
      <c r="F789" s="53" t="s">
        <v>11</v>
      </c>
      <c r="G789" s="1075" t="s">
        <v>8</v>
      </c>
    </row>
    <row r="790" spans="1:7">
      <c r="A790" s="947" t="s">
        <v>2649</v>
      </c>
      <c r="B790" s="944"/>
      <c r="C790" s="16" t="s">
        <v>998</v>
      </c>
      <c r="D790" s="54">
        <v>1</v>
      </c>
      <c r="E790" s="17">
        <f>'INSUMOS '!$E$484</f>
        <v>23140</v>
      </c>
      <c r="F790" s="55">
        <f>D790*E790</f>
        <v>23140</v>
      </c>
      <c r="G790" s="1072"/>
    </row>
    <row r="791" spans="1:7">
      <c r="A791" s="947" t="s">
        <v>2576</v>
      </c>
      <c r="B791" s="944"/>
      <c r="C791" s="16" t="s">
        <v>998</v>
      </c>
      <c r="D791" s="54">
        <v>1</v>
      </c>
      <c r="E791" s="17">
        <f>'INSUMOS '!$E$485</f>
        <v>14600</v>
      </c>
      <c r="F791" s="55">
        <f>D791*E791</f>
        <v>14600</v>
      </c>
      <c r="G791" s="1072"/>
    </row>
    <row r="792" spans="1:7">
      <c r="A792" s="947" t="s">
        <v>2580</v>
      </c>
      <c r="B792" s="944"/>
      <c r="C792" s="16" t="s">
        <v>998</v>
      </c>
      <c r="D792" s="54">
        <v>1</v>
      </c>
      <c r="E792" s="17">
        <f>'INSUMOS '!$E$486</f>
        <v>30000</v>
      </c>
      <c r="F792" s="55">
        <f>D792*E792</f>
        <v>30000</v>
      </c>
      <c r="G792" s="1072"/>
    </row>
    <row r="793" spans="1:7">
      <c r="A793" s="947" t="s">
        <v>2650</v>
      </c>
      <c r="B793" s="944"/>
      <c r="C793" s="16" t="s">
        <v>998</v>
      </c>
      <c r="D793" s="54">
        <v>3</v>
      </c>
      <c r="E793" s="17">
        <f>'INSUMOS '!$E$487</f>
        <v>6020.3</v>
      </c>
      <c r="F793" s="55">
        <f>D793*E793</f>
        <v>18060.900000000001</v>
      </c>
      <c r="G793" s="123"/>
    </row>
    <row r="794" spans="1:7">
      <c r="A794" s="947"/>
      <c r="B794" s="944"/>
      <c r="C794" s="16"/>
      <c r="D794" s="58"/>
      <c r="E794" s="17"/>
      <c r="F794" s="55"/>
      <c r="G794" s="57">
        <f>SUM(F789:F794)</f>
        <v>85800.9</v>
      </c>
    </row>
    <row r="795" spans="1:7">
      <c r="A795" s="1071" t="s">
        <v>15</v>
      </c>
      <c r="B795" s="944"/>
      <c r="C795" s="944"/>
      <c r="D795" s="944"/>
      <c r="E795" s="944"/>
      <c r="F795" s="944"/>
      <c r="G795" s="1072"/>
    </row>
    <row r="796" spans="1:7">
      <c r="A796" s="1074" t="s">
        <v>2</v>
      </c>
      <c r="B796" s="944"/>
      <c r="C796" s="53" t="s">
        <v>3</v>
      </c>
      <c r="D796" s="53" t="s">
        <v>4</v>
      </c>
      <c r="E796" s="53" t="s">
        <v>6</v>
      </c>
      <c r="F796" s="53" t="s">
        <v>11</v>
      </c>
      <c r="G796" s="1075" t="s">
        <v>8</v>
      </c>
    </row>
    <row r="797" spans="1:7">
      <c r="A797" s="943" t="s">
        <v>173</v>
      </c>
      <c r="B797" s="944"/>
      <c r="C797" s="16" t="s">
        <v>3</v>
      </c>
      <c r="D797" s="54">
        <v>3.5000000000000003E-2</v>
      </c>
      <c r="E797" s="17">
        <f>+G794</f>
        <v>85800.9</v>
      </c>
      <c r="F797" s="55">
        <f>E797*D797</f>
        <v>3003.0315000000001</v>
      </c>
      <c r="G797" s="1072"/>
    </row>
    <row r="798" spans="1:7">
      <c r="A798" s="59"/>
      <c r="B798" s="60"/>
      <c r="C798" s="60"/>
      <c r="D798" s="60"/>
      <c r="E798" s="60"/>
      <c r="F798" s="60"/>
      <c r="G798" s="57">
        <f>SUM(F797:F798)</f>
        <v>3003.0315000000001</v>
      </c>
    </row>
    <row r="799" spans="1:7">
      <c r="A799" s="1071" t="s">
        <v>19</v>
      </c>
      <c r="B799" s="944"/>
      <c r="C799" s="944"/>
      <c r="D799" s="944"/>
      <c r="E799" s="944"/>
      <c r="F799" s="944"/>
      <c r="G799" s="1072"/>
    </row>
    <row r="800" spans="1:7">
      <c r="A800" s="1074" t="s">
        <v>2</v>
      </c>
      <c r="B800" s="944"/>
      <c r="C800" s="53" t="s">
        <v>3</v>
      </c>
      <c r="D800" s="53" t="s">
        <v>4</v>
      </c>
      <c r="E800" s="53" t="s">
        <v>6</v>
      </c>
      <c r="F800" s="53" t="s">
        <v>11</v>
      </c>
      <c r="G800" s="456" t="s">
        <v>8</v>
      </c>
    </row>
    <row r="801" spans="1:7">
      <c r="A801" s="978" t="str">
        <f>SALARIOS!$A$69</f>
        <v>CUADRILLA BB INSTALACIONES 1:1</v>
      </c>
      <c r="B801" s="979"/>
      <c r="C801" s="13" t="s">
        <v>1245</v>
      </c>
      <c r="D801" s="32">
        <v>1</v>
      </c>
      <c r="E801" s="13">
        <f>SALARIOS!$C$69</f>
        <v>27341</v>
      </c>
      <c r="F801" s="55">
        <f>+D801*E801</f>
        <v>27341</v>
      </c>
      <c r="G801" s="57">
        <f>SUM(F800:F801)</f>
        <v>27341</v>
      </c>
    </row>
    <row r="802" spans="1:7">
      <c r="A802" s="1076" t="s">
        <v>25</v>
      </c>
      <c r="B802" s="944"/>
      <c r="C802" s="944"/>
      <c r="D802" s="944"/>
      <c r="E802" s="944"/>
      <c r="F802" s="944"/>
      <c r="G802" s="1072"/>
    </row>
    <row r="803" spans="1:7" ht="17.399999999999999">
      <c r="A803" s="1077"/>
      <c r="B803" s="944"/>
      <c r="C803" s="944"/>
      <c r="D803" s="944"/>
      <c r="E803" s="944"/>
      <c r="F803" s="944"/>
      <c r="G803" s="62">
        <f>G801+G798+G794+G787</f>
        <v>117511.98149999999</v>
      </c>
    </row>
    <row r="805" spans="1:7">
      <c r="A805" s="970" t="s">
        <v>1</v>
      </c>
      <c r="B805" s="957"/>
      <c r="C805" s="953" t="s">
        <v>0</v>
      </c>
      <c r="D805" s="953"/>
      <c r="E805" s="953"/>
      <c r="F805" s="953"/>
      <c r="G805" s="1103"/>
    </row>
    <row r="806" spans="1:7" ht="42" customHeight="1">
      <c r="A806" s="971"/>
      <c r="B806" s="957"/>
      <c r="C806" s="953"/>
      <c r="D806" s="953"/>
      <c r="E806" s="953"/>
      <c r="F806" s="953"/>
      <c r="G806" s="1103"/>
    </row>
    <row r="807" spans="1:7" ht="17.399999999999999">
      <c r="A807" s="971"/>
      <c r="B807" s="957"/>
      <c r="C807" s="956"/>
      <c r="D807" s="957"/>
      <c r="E807" s="957"/>
      <c r="F807" s="957"/>
      <c r="G807" s="958"/>
    </row>
    <row r="808" spans="1:7">
      <c r="A808" s="971"/>
      <c r="B808" s="957"/>
      <c r="C808" s="959" t="s">
        <v>2</v>
      </c>
      <c r="D808" s="957"/>
      <c r="E808" s="957"/>
      <c r="F808" s="23" t="s">
        <v>3</v>
      </c>
      <c r="G808" s="24" t="s">
        <v>4</v>
      </c>
    </row>
    <row r="809" spans="1:7" ht="34.799999999999997">
      <c r="A809" s="1089" t="s">
        <v>2081</v>
      </c>
      <c r="B809" s="944"/>
      <c r="C809" s="980" t="s">
        <v>2082</v>
      </c>
      <c r="D809" s="944"/>
      <c r="E809" s="944"/>
      <c r="F809" s="51" t="s">
        <v>1620</v>
      </c>
      <c r="G809" s="52">
        <v>1</v>
      </c>
    </row>
    <row r="810" spans="1:7">
      <c r="A810" s="1071" t="s">
        <v>5</v>
      </c>
      <c r="B810" s="944"/>
      <c r="C810" s="944"/>
      <c r="D810" s="944"/>
      <c r="E810" s="944"/>
      <c r="F810" s="944"/>
      <c r="G810" s="1072"/>
    </row>
    <row r="811" spans="1:7">
      <c r="A811" s="1074" t="s">
        <v>2</v>
      </c>
      <c r="B811" s="944"/>
      <c r="C811" s="53" t="s">
        <v>3</v>
      </c>
      <c r="D811" s="53" t="s">
        <v>4</v>
      </c>
      <c r="E811" s="53" t="s">
        <v>6</v>
      </c>
      <c r="F811" s="53" t="s">
        <v>7</v>
      </c>
      <c r="G811" s="1075" t="s">
        <v>8</v>
      </c>
    </row>
    <row r="812" spans="1:7">
      <c r="A812" s="947" t="s">
        <v>167</v>
      </c>
      <c r="B812" s="980"/>
      <c r="C812" s="51" t="s">
        <v>3</v>
      </c>
      <c r="D812" s="54">
        <v>0.05</v>
      </c>
      <c r="E812" s="17">
        <f>+G829</f>
        <v>10936.400000000001</v>
      </c>
      <c r="F812" s="55">
        <f>D812*E812</f>
        <v>546.82000000000005</v>
      </c>
      <c r="G812" s="1072"/>
    </row>
    <row r="813" spans="1:7">
      <c r="A813" s="947"/>
      <c r="B813" s="944"/>
      <c r="C813" s="51"/>
      <c r="D813" s="54"/>
      <c r="E813" s="17"/>
      <c r="F813" s="55">
        <f>D813*E813</f>
        <v>0</v>
      </c>
      <c r="G813" s="1072"/>
    </row>
    <row r="814" spans="1:7">
      <c r="A814" s="947"/>
      <c r="B814" s="980"/>
      <c r="C814" s="141"/>
      <c r="D814" s="16"/>
      <c r="E814" s="143"/>
      <c r="F814" s="55">
        <f>D814*E814</f>
        <v>0</v>
      </c>
      <c r="G814" s="1072"/>
    </row>
    <row r="815" spans="1:7">
      <c r="A815" s="947"/>
      <c r="B815" s="944"/>
      <c r="C815" s="51"/>
      <c r="D815" s="54"/>
      <c r="E815" s="17"/>
      <c r="F815" s="55">
        <f>D815*E815</f>
        <v>0</v>
      </c>
      <c r="G815" s="1072"/>
    </row>
    <row r="816" spans="1:7">
      <c r="A816" s="1079"/>
      <c r="B816" s="944"/>
      <c r="C816" s="56"/>
      <c r="D816" s="56"/>
      <c r="E816" s="56"/>
      <c r="F816" s="55"/>
      <c r="G816" s="57">
        <f>SUM(F811:F816)</f>
        <v>546.82000000000005</v>
      </c>
    </row>
    <row r="817" spans="1:7">
      <c r="A817" s="1071" t="s">
        <v>10</v>
      </c>
      <c r="B817" s="944"/>
      <c r="C817" s="944"/>
      <c r="D817" s="944"/>
      <c r="E817" s="944"/>
      <c r="F817" s="944"/>
      <c r="G817" s="1072"/>
    </row>
    <row r="818" spans="1:7">
      <c r="A818" s="1074" t="s">
        <v>2</v>
      </c>
      <c r="B818" s="944"/>
      <c r="C818" s="53" t="s">
        <v>3</v>
      </c>
      <c r="D818" s="53" t="s">
        <v>4</v>
      </c>
      <c r="E818" s="53" t="s">
        <v>6</v>
      </c>
      <c r="F818" s="53" t="s">
        <v>11</v>
      </c>
      <c r="G818" s="1075" t="s">
        <v>8</v>
      </c>
    </row>
    <row r="819" spans="1:7">
      <c r="A819" s="947" t="s">
        <v>2651</v>
      </c>
      <c r="B819" s="944"/>
      <c r="C819" s="51" t="s">
        <v>3</v>
      </c>
      <c r="D819" s="54">
        <v>0.17</v>
      </c>
      <c r="E819" s="17">
        <f>'INSUMOS '!E488</f>
        <v>117900</v>
      </c>
      <c r="F819" s="55">
        <f>D819*E819</f>
        <v>20043</v>
      </c>
      <c r="G819" s="1072"/>
    </row>
    <row r="820" spans="1:7">
      <c r="A820" s="947" t="s">
        <v>2624</v>
      </c>
      <c r="B820" s="944"/>
      <c r="C820" s="51" t="s">
        <v>3</v>
      </c>
      <c r="D820" s="54">
        <v>1</v>
      </c>
      <c r="E820" s="17">
        <f>'INSUMOS '!E489</f>
        <v>10675.6</v>
      </c>
      <c r="F820" s="55">
        <f>D820*E820</f>
        <v>10675.6</v>
      </c>
      <c r="G820" s="1072"/>
    </row>
    <row r="821" spans="1:7">
      <c r="A821" s="947"/>
      <c r="B821" s="944"/>
      <c r="C821" s="16"/>
      <c r="D821" s="54"/>
      <c r="E821" s="17"/>
      <c r="F821" s="55">
        <f>D821*E821</f>
        <v>0</v>
      </c>
      <c r="G821" s="1072"/>
    </row>
    <row r="822" spans="1:7">
      <c r="A822" s="947"/>
      <c r="B822" s="944"/>
      <c r="C822" s="16"/>
      <c r="D822" s="58"/>
      <c r="E822" s="17"/>
      <c r="F822" s="55"/>
      <c r="G822" s="57">
        <f>SUM(F818:F822)</f>
        <v>30718.6</v>
      </c>
    </row>
    <row r="823" spans="1:7">
      <c r="A823" s="1071" t="s">
        <v>15</v>
      </c>
      <c r="B823" s="944"/>
      <c r="C823" s="944"/>
      <c r="D823" s="944"/>
      <c r="E823" s="944"/>
      <c r="F823" s="944"/>
      <c r="G823" s="1072"/>
    </row>
    <row r="824" spans="1:7">
      <c r="A824" s="1074" t="s">
        <v>2</v>
      </c>
      <c r="B824" s="944"/>
      <c r="C824" s="53" t="s">
        <v>3</v>
      </c>
      <c r="D824" s="53" t="s">
        <v>4</v>
      </c>
      <c r="E824" s="53" t="s">
        <v>6</v>
      </c>
      <c r="F824" s="53" t="s">
        <v>11</v>
      </c>
      <c r="G824" s="1075" t="s">
        <v>8</v>
      </c>
    </row>
    <row r="825" spans="1:7">
      <c r="A825" s="943" t="s">
        <v>173</v>
      </c>
      <c r="B825" s="944"/>
      <c r="C825" s="16" t="s">
        <v>3</v>
      </c>
      <c r="D825" s="54">
        <v>3.5000000000000003E-2</v>
      </c>
      <c r="E825" s="17">
        <f>+G822</f>
        <v>30718.6</v>
      </c>
      <c r="F825" s="55">
        <f>E825*D825</f>
        <v>1075.1510000000001</v>
      </c>
      <c r="G825" s="1072"/>
    </row>
    <row r="826" spans="1:7">
      <c r="A826" s="59"/>
      <c r="B826" s="60"/>
      <c r="C826" s="60"/>
      <c r="D826" s="60"/>
      <c r="E826" s="60"/>
      <c r="F826" s="60"/>
      <c r="G826" s="57">
        <f>SUM(F825:F826)</f>
        <v>1075.1510000000001</v>
      </c>
    </row>
    <row r="827" spans="1:7">
      <c r="A827" s="1071" t="s">
        <v>19</v>
      </c>
      <c r="B827" s="944"/>
      <c r="C827" s="944"/>
      <c r="D827" s="944"/>
      <c r="E827" s="944"/>
      <c r="F827" s="944"/>
      <c r="G827" s="1072"/>
    </row>
    <row r="828" spans="1:7">
      <c r="A828" s="1074" t="s">
        <v>2</v>
      </c>
      <c r="B828" s="944"/>
      <c r="C828" s="53" t="s">
        <v>3</v>
      </c>
      <c r="D828" s="53" t="s">
        <v>4</v>
      </c>
      <c r="E828" s="53" t="s">
        <v>6</v>
      </c>
      <c r="F828" s="53" t="s">
        <v>11</v>
      </c>
      <c r="G828" s="456" t="s">
        <v>8</v>
      </c>
    </row>
    <row r="829" spans="1:7">
      <c r="A829" s="978" t="str">
        <f>SALARIOS!$A$69</f>
        <v>CUADRILLA BB INSTALACIONES 1:1</v>
      </c>
      <c r="B829" s="979"/>
      <c r="C829" s="13" t="s">
        <v>1245</v>
      </c>
      <c r="D829" s="32">
        <v>0.4</v>
      </c>
      <c r="E829" s="13">
        <f>SALARIOS!$C$69</f>
        <v>27341</v>
      </c>
      <c r="F829" s="55">
        <f>+D829*E829</f>
        <v>10936.400000000001</v>
      </c>
      <c r="G829" s="57">
        <f>SUM(F828:F829)</f>
        <v>10936.400000000001</v>
      </c>
    </row>
    <row r="830" spans="1:7">
      <c r="A830" s="1076" t="s">
        <v>25</v>
      </c>
      <c r="B830" s="944"/>
      <c r="C830" s="944"/>
      <c r="D830" s="944"/>
      <c r="E830" s="944"/>
      <c r="F830" s="944"/>
      <c r="G830" s="1072"/>
    </row>
    <row r="831" spans="1:7" ht="17.399999999999999">
      <c r="A831" s="1077"/>
      <c r="B831" s="944"/>
      <c r="C831" s="944"/>
      <c r="D831" s="944"/>
      <c r="E831" s="944"/>
      <c r="F831" s="944"/>
      <c r="G831" s="62">
        <f>G829+G826+G822+G816</f>
        <v>43276.970999999998</v>
      </c>
    </row>
    <row r="833" spans="1:7">
      <c r="A833" s="970" t="s">
        <v>1</v>
      </c>
      <c r="B833" s="957"/>
      <c r="C833" s="953" t="s">
        <v>0</v>
      </c>
      <c r="D833" s="953"/>
      <c r="E833" s="953"/>
      <c r="F833" s="953"/>
      <c r="G833" s="1103"/>
    </row>
    <row r="834" spans="1:7" ht="42" customHeight="1">
      <c r="A834" s="971"/>
      <c r="B834" s="957"/>
      <c r="C834" s="953"/>
      <c r="D834" s="953"/>
      <c r="E834" s="953"/>
      <c r="F834" s="953"/>
      <c r="G834" s="1103"/>
    </row>
    <row r="835" spans="1:7" ht="17.399999999999999">
      <c r="A835" s="971"/>
      <c r="B835" s="957"/>
      <c r="C835" s="956"/>
      <c r="D835" s="957"/>
      <c r="E835" s="957"/>
      <c r="F835" s="957"/>
      <c r="G835" s="958"/>
    </row>
    <row r="836" spans="1:7">
      <c r="A836" s="971"/>
      <c r="B836" s="957"/>
      <c r="C836" s="959" t="s">
        <v>2</v>
      </c>
      <c r="D836" s="957"/>
      <c r="E836" s="957"/>
      <c r="F836" s="23" t="s">
        <v>3</v>
      </c>
      <c r="G836" s="24" t="s">
        <v>4</v>
      </c>
    </row>
    <row r="837" spans="1:7" ht="34.799999999999997">
      <c r="A837" s="1089" t="s">
        <v>2083</v>
      </c>
      <c r="B837" s="944"/>
      <c r="C837" s="980" t="s">
        <v>2084</v>
      </c>
      <c r="D837" s="944"/>
      <c r="E837" s="944"/>
      <c r="F837" s="51" t="s">
        <v>1620</v>
      </c>
      <c r="G837" s="52">
        <v>1</v>
      </c>
    </row>
    <row r="838" spans="1:7">
      <c r="A838" s="1071" t="s">
        <v>5</v>
      </c>
      <c r="B838" s="944"/>
      <c r="C838" s="944"/>
      <c r="D838" s="944"/>
      <c r="E838" s="944"/>
      <c r="F838" s="944"/>
      <c r="G838" s="1072"/>
    </row>
    <row r="839" spans="1:7">
      <c r="A839" s="1074" t="s">
        <v>2</v>
      </c>
      <c r="B839" s="944"/>
      <c r="C839" s="53" t="s">
        <v>3</v>
      </c>
      <c r="D839" s="53" t="s">
        <v>4</v>
      </c>
      <c r="E839" s="53" t="s">
        <v>6</v>
      </c>
      <c r="F839" s="53" t="s">
        <v>7</v>
      </c>
      <c r="G839" s="1075" t="s">
        <v>8</v>
      </c>
    </row>
    <row r="840" spans="1:7">
      <c r="A840" s="947" t="s">
        <v>167</v>
      </c>
      <c r="B840" s="980"/>
      <c r="C840" s="51" t="s">
        <v>3</v>
      </c>
      <c r="D840" s="54">
        <v>0.05</v>
      </c>
      <c r="E840" s="17">
        <f>+G857</f>
        <v>82023</v>
      </c>
      <c r="F840" s="55">
        <f>D840*E840</f>
        <v>4101.1500000000005</v>
      </c>
      <c r="G840" s="1072"/>
    </row>
    <row r="841" spans="1:7">
      <c r="A841" s="947"/>
      <c r="B841" s="944"/>
      <c r="C841" s="51"/>
      <c r="D841" s="54"/>
      <c r="E841" s="17"/>
      <c r="F841" s="55">
        <f>D841*E841</f>
        <v>0</v>
      </c>
      <c r="G841" s="1072"/>
    </row>
    <row r="842" spans="1:7">
      <c r="A842" s="947"/>
      <c r="B842" s="980"/>
      <c r="C842" s="141"/>
      <c r="D842" s="16"/>
      <c r="E842" s="143"/>
      <c r="F842" s="55">
        <f>D842*E842</f>
        <v>0</v>
      </c>
      <c r="G842" s="1072"/>
    </row>
    <row r="843" spans="1:7">
      <c r="A843" s="947"/>
      <c r="B843" s="944"/>
      <c r="C843" s="51"/>
      <c r="D843" s="54"/>
      <c r="E843" s="17"/>
      <c r="F843" s="55">
        <f>D843*E843</f>
        <v>0</v>
      </c>
      <c r="G843" s="1072"/>
    </row>
    <row r="844" spans="1:7">
      <c r="A844" s="1079"/>
      <c r="B844" s="944"/>
      <c r="C844" s="56"/>
      <c r="D844" s="56"/>
      <c r="E844" s="56"/>
      <c r="F844" s="55"/>
      <c r="G844" s="57">
        <f>SUM(F839:F844)</f>
        <v>4101.1500000000005</v>
      </c>
    </row>
    <row r="845" spans="1:7">
      <c r="A845" s="1071" t="s">
        <v>10</v>
      </c>
      <c r="B845" s="944"/>
      <c r="C845" s="944"/>
      <c r="D845" s="944"/>
      <c r="E845" s="944"/>
      <c r="F845" s="944"/>
      <c r="G845" s="1072"/>
    </row>
    <row r="846" spans="1:7">
      <c r="A846" s="1074" t="s">
        <v>2</v>
      </c>
      <c r="B846" s="944"/>
      <c r="C846" s="53" t="s">
        <v>3</v>
      </c>
      <c r="D846" s="53" t="s">
        <v>4</v>
      </c>
      <c r="E846" s="53" t="s">
        <v>6</v>
      </c>
      <c r="F846" s="53" t="s">
        <v>11</v>
      </c>
      <c r="G846" s="1075" t="s">
        <v>8</v>
      </c>
    </row>
    <row r="847" spans="1:7">
      <c r="A847" s="947" t="s">
        <v>2625</v>
      </c>
      <c r="B847" s="944"/>
      <c r="C847" s="16" t="s">
        <v>998</v>
      </c>
      <c r="D847" s="54">
        <v>1</v>
      </c>
      <c r="E847" s="17">
        <f>'INSUMOS '!E490</f>
        <v>1672100</v>
      </c>
      <c r="F847" s="55">
        <f>D847*E847</f>
        <v>1672100</v>
      </c>
      <c r="G847" s="1072"/>
    </row>
    <row r="848" spans="1:7">
      <c r="A848" s="947" t="s">
        <v>2626</v>
      </c>
      <c r="B848" s="944"/>
      <c r="C848" s="51" t="s">
        <v>998</v>
      </c>
      <c r="D848" s="54">
        <v>1</v>
      </c>
      <c r="E848" s="17">
        <f>'INSUMOS '!E491</f>
        <v>627445</v>
      </c>
      <c r="F848" s="55">
        <f>D848*E848</f>
        <v>627445</v>
      </c>
      <c r="G848" s="1072"/>
    </row>
    <row r="849" spans="1:7">
      <c r="A849" s="947"/>
      <c r="B849" s="944"/>
      <c r="C849" s="16"/>
      <c r="D849" s="54"/>
      <c r="E849" s="17"/>
      <c r="F849" s="55">
        <f>D849*E849</f>
        <v>0</v>
      </c>
      <c r="G849" s="1072"/>
    </row>
    <row r="850" spans="1:7">
      <c r="A850" s="947"/>
      <c r="B850" s="944"/>
      <c r="C850" s="16"/>
      <c r="D850" s="58"/>
      <c r="E850" s="17"/>
      <c r="F850" s="55"/>
      <c r="G850" s="57">
        <f>SUM(F846:F850)</f>
        <v>2299545</v>
      </c>
    </row>
    <row r="851" spans="1:7">
      <c r="A851" s="1071" t="s">
        <v>15</v>
      </c>
      <c r="B851" s="944"/>
      <c r="C851" s="944"/>
      <c r="D851" s="944"/>
      <c r="E851" s="944"/>
      <c r="F851" s="944"/>
      <c r="G851" s="1072"/>
    </row>
    <row r="852" spans="1:7">
      <c r="A852" s="1074" t="s">
        <v>2</v>
      </c>
      <c r="B852" s="944"/>
      <c r="C852" s="53" t="s">
        <v>3</v>
      </c>
      <c r="D852" s="53" t="s">
        <v>4</v>
      </c>
      <c r="E852" s="53" t="s">
        <v>6</v>
      </c>
      <c r="F852" s="53" t="s">
        <v>11</v>
      </c>
      <c r="G852" s="1075" t="s">
        <v>8</v>
      </c>
    </row>
    <row r="853" spans="1:7">
      <c r="A853" s="943" t="s">
        <v>173</v>
      </c>
      <c r="B853" s="944"/>
      <c r="C853" s="16" t="s">
        <v>3</v>
      </c>
      <c r="D853" s="54">
        <v>3.5000000000000003E-2</v>
      </c>
      <c r="E853" s="17">
        <f>+G850</f>
        <v>2299545</v>
      </c>
      <c r="F853" s="55">
        <f>E853*D853</f>
        <v>80484.075000000012</v>
      </c>
      <c r="G853" s="1072"/>
    </row>
    <row r="854" spans="1:7">
      <c r="A854" s="59"/>
      <c r="B854" s="60"/>
      <c r="C854" s="60"/>
      <c r="D854" s="60"/>
      <c r="E854" s="60"/>
      <c r="F854" s="60"/>
      <c r="G854" s="57">
        <f>SUM(F853:F854)</f>
        <v>80484.075000000012</v>
      </c>
    </row>
    <row r="855" spans="1:7">
      <c r="A855" s="1071" t="s">
        <v>19</v>
      </c>
      <c r="B855" s="944"/>
      <c r="C855" s="944"/>
      <c r="D855" s="944"/>
      <c r="E855" s="944"/>
      <c r="F855" s="944"/>
      <c r="G855" s="1072"/>
    </row>
    <row r="856" spans="1:7">
      <c r="A856" s="1074" t="s">
        <v>2</v>
      </c>
      <c r="B856" s="944"/>
      <c r="C856" s="53" t="s">
        <v>3</v>
      </c>
      <c r="D856" s="53" t="s">
        <v>4</v>
      </c>
      <c r="E856" s="53" t="s">
        <v>6</v>
      </c>
      <c r="F856" s="53" t="s">
        <v>11</v>
      </c>
      <c r="G856" s="456" t="s">
        <v>8</v>
      </c>
    </row>
    <row r="857" spans="1:7">
      <c r="A857" s="978" t="str">
        <f>SALARIOS!$A$69</f>
        <v>CUADRILLA BB INSTALACIONES 1:1</v>
      </c>
      <c r="B857" s="979"/>
      <c r="C857" s="13" t="s">
        <v>1245</v>
      </c>
      <c r="D857" s="32">
        <v>3</v>
      </c>
      <c r="E857" s="13">
        <f>SALARIOS!$C$69</f>
        <v>27341</v>
      </c>
      <c r="F857" s="55">
        <f>+D857*E857</f>
        <v>82023</v>
      </c>
      <c r="G857" s="57">
        <f>SUM(F856:F857)</f>
        <v>82023</v>
      </c>
    </row>
    <row r="858" spans="1:7">
      <c r="A858" s="1076" t="s">
        <v>25</v>
      </c>
      <c r="B858" s="944"/>
      <c r="C858" s="944"/>
      <c r="D858" s="944"/>
      <c r="E858" s="944"/>
      <c r="F858" s="944"/>
      <c r="G858" s="1072"/>
    </row>
    <row r="859" spans="1:7" ht="17.399999999999999">
      <c r="A859" s="1077"/>
      <c r="B859" s="944"/>
      <c r="C859" s="944"/>
      <c r="D859" s="944"/>
      <c r="E859" s="944"/>
      <c r="F859" s="944"/>
      <c r="G859" s="62">
        <f>G857+G854+G850+G844</f>
        <v>2466153.2250000001</v>
      </c>
    </row>
    <row r="861" spans="1:7">
      <c r="A861" s="970" t="s">
        <v>1</v>
      </c>
      <c r="B861" s="957"/>
      <c r="C861" s="953" t="s">
        <v>0</v>
      </c>
      <c r="D861" s="953"/>
      <c r="E861" s="953"/>
      <c r="F861" s="953"/>
      <c r="G861" s="1103"/>
    </row>
    <row r="862" spans="1:7" ht="42" customHeight="1">
      <c r="A862" s="971"/>
      <c r="B862" s="957"/>
      <c r="C862" s="953"/>
      <c r="D862" s="953"/>
      <c r="E862" s="953"/>
      <c r="F862" s="953"/>
      <c r="G862" s="1103"/>
    </row>
    <row r="863" spans="1:7" ht="17.399999999999999">
      <c r="A863" s="971"/>
      <c r="B863" s="957"/>
      <c r="C863" s="956"/>
      <c r="D863" s="957"/>
      <c r="E863" s="957"/>
      <c r="F863" s="957"/>
      <c r="G863" s="958"/>
    </row>
    <row r="864" spans="1:7">
      <c r="A864" s="971"/>
      <c r="B864" s="957"/>
      <c r="C864" s="959" t="s">
        <v>2</v>
      </c>
      <c r="D864" s="957"/>
      <c r="E864" s="957"/>
      <c r="F864" s="23" t="s">
        <v>3</v>
      </c>
      <c r="G864" s="24" t="s">
        <v>4</v>
      </c>
    </row>
    <row r="865" spans="1:7" ht="34.799999999999997">
      <c r="A865" s="1089" t="s">
        <v>2085</v>
      </c>
      <c r="B865" s="944"/>
      <c r="C865" s="980" t="s">
        <v>2086</v>
      </c>
      <c r="D865" s="944"/>
      <c r="E865" s="944"/>
      <c r="F865" s="51" t="s">
        <v>1620</v>
      </c>
      <c r="G865" s="52">
        <v>1</v>
      </c>
    </row>
    <row r="866" spans="1:7">
      <c r="A866" s="1071" t="s">
        <v>5</v>
      </c>
      <c r="B866" s="944"/>
      <c r="C866" s="944"/>
      <c r="D866" s="944"/>
      <c r="E866" s="944"/>
      <c r="F866" s="944"/>
      <c r="G866" s="1072"/>
    </row>
    <row r="867" spans="1:7">
      <c r="A867" s="1074" t="s">
        <v>2</v>
      </c>
      <c r="B867" s="944"/>
      <c r="C867" s="53" t="s">
        <v>3</v>
      </c>
      <c r="D867" s="53" t="s">
        <v>4</v>
      </c>
      <c r="E867" s="53" t="s">
        <v>6</v>
      </c>
      <c r="F867" s="53" t="s">
        <v>7</v>
      </c>
      <c r="G867" s="1075" t="s">
        <v>8</v>
      </c>
    </row>
    <row r="868" spans="1:7">
      <c r="A868" s="947" t="s">
        <v>167</v>
      </c>
      <c r="B868" s="980"/>
      <c r="C868" s="51" t="s">
        <v>3</v>
      </c>
      <c r="D868" s="54">
        <v>0.05</v>
      </c>
      <c r="E868" s="17">
        <f>+G885</f>
        <v>218728</v>
      </c>
      <c r="F868" s="55">
        <f>D868*E868</f>
        <v>10936.400000000001</v>
      </c>
      <c r="G868" s="1072"/>
    </row>
    <row r="869" spans="1:7">
      <c r="A869" s="947" t="s">
        <v>2627</v>
      </c>
      <c r="B869" s="944"/>
      <c r="C869" s="51" t="s">
        <v>60</v>
      </c>
      <c r="D869" s="54">
        <v>0.35</v>
      </c>
      <c r="E869" s="17">
        <f>'INSUMOS '!E492</f>
        <v>37500</v>
      </c>
      <c r="F869" s="55">
        <f>D869*E869</f>
        <v>13125</v>
      </c>
      <c r="G869" s="1072"/>
    </row>
    <row r="870" spans="1:7">
      <c r="A870" s="947" t="str">
        <f>'MAQUINARIA Y EQUIPOS'!D19</f>
        <v>Vibrador Eléctrico (Alquiler)</v>
      </c>
      <c r="B870" s="980"/>
      <c r="C870" s="141" t="s">
        <v>60</v>
      </c>
      <c r="D870" s="16">
        <v>0.5</v>
      </c>
      <c r="E870" s="143">
        <f>'MAQUINARIA Y EQUIPOS'!F19</f>
        <v>45763.829999999994</v>
      </c>
      <c r="F870" s="55">
        <f>D870*E870</f>
        <v>22881.914999999997</v>
      </c>
      <c r="G870" s="1072"/>
    </row>
    <row r="871" spans="1:7">
      <c r="A871" s="947"/>
      <c r="B871" s="944"/>
      <c r="C871" s="51"/>
      <c r="D871" s="54"/>
      <c r="E871" s="17"/>
      <c r="F871" s="55">
        <f>D871*E871</f>
        <v>0</v>
      </c>
      <c r="G871" s="1072"/>
    </row>
    <row r="872" spans="1:7">
      <c r="A872" s="1079"/>
      <c r="B872" s="944"/>
      <c r="C872" s="56"/>
      <c r="D872" s="56"/>
      <c r="E872" s="56"/>
      <c r="F872" s="55"/>
      <c r="G872" s="57">
        <f>SUM(F867:F872)</f>
        <v>46943.315000000002</v>
      </c>
    </row>
    <row r="873" spans="1:7">
      <c r="A873" s="1071" t="s">
        <v>10</v>
      </c>
      <c r="B873" s="944"/>
      <c r="C873" s="944"/>
      <c r="D873" s="944"/>
      <c r="E873" s="944"/>
      <c r="F873" s="944"/>
      <c r="G873" s="1072"/>
    </row>
    <row r="874" spans="1:7">
      <c r="A874" s="1074" t="s">
        <v>2</v>
      </c>
      <c r="B874" s="944"/>
      <c r="C874" s="53" t="s">
        <v>3</v>
      </c>
      <c r="D874" s="53" t="s">
        <v>4</v>
      </c>
      <c r="E874" s="53" t="s">
        <v>6</v>
      </c>
      <c r="F874" s="53" t="s">
        <v>11</v>
      </c>
      <c r="G874" s="1075" t="s">
        <v>8</v>
      </c>
    </row>
    <row r="875" spans="1:7">
      <c r="A875" s="947" t="s">
        <v>2652</v>
      </c>
      <c r="B875" s="944"/>
      <c r="C875" s="16" t="s">
        <v>39</v>
      </c>
      <c r="D875" s="54">
        <v>0.3</v>
      </c>
      <c r="E875" s="17">
        <f>SUBANÁLISIS!G31</f>
        <v>570669.8666666667</v>
      </c>
      <c r="F875" s="55">
        <f>D875*E875</f>
        <v>171200.96</v>
      </c>
      <c r="G875" s="1072"/>
    </row>
    <row r="876" spans="1:7">
      <c r="A876" s="947" t="s">
        <v>2653</v>
      </c>
      <c r="B876" s="944"/>
      <c r="C876" s="51" t="s">
        <v>39</v>
      </c>
      <c r="D876" s="54">
        <v>0.06</v>
      </c>
      <c r="E876" s="17">
        <f>SUBANÁLISIS!G89</f>
        <v>431833.82500000001</v>
      </c>
      <c r="F876" s="55">
        <f>D876*E876</f>
        <v>25910.029500000001</v>
      </c>
      <c r="G876" s="1072"/>
    </row>
    <row r="877" spans="1:7">
      <c r="A877" s="947" t="s">
        <v>2654</v>
      </c>
      <c r="B877" s="944"/>
      <c r="C877" s="16" t="s">
        <v>998</v>
      </c>
      <c r="D877" s="54">
        <v>1</v>
      </c>
      <c r="E877" s="17">
        <f>'INSUMOS '!E340</f>
        <v>37000</v>
      </c>
      <c r="F877" s="55">
        <f>D877*E877</f>
        <v>37000</v>
      </c>
      <c r="G877" s="1072"/>
    </row>
    <row r="878" spans="1:7">
      <c r="A878" s="947"/>
      <c r="B878" s="944"/>
      <c r="C878" s="16"/>
      <c r="D878" s="58"/>
      <c r="E878" s="17"/>
      <c r="F878" s="55"/>
      <c r="G878" s="57">
        <f>SUM(F874:F878)</f>
        <v>234110.9895</v>
      </c>
    </row>
    <row r="879" spans="1:7">
      <c r="A879" s="1071" t="s">
        <v>15</v>
      </c>
      <c r="B879" s="944"/>
      <c r="C879" s="944"/>
      <c r="D879" s="944"/>
      <c r="E879" s="944"/>
      <c r="F879" s="944"/>
      <c r="G879" s="1072"/>
    </row>
    <row r="880" spans="1:7">
      <c r="A880" s="1074" t="s">
        <v>2</v>
      </c>
      <c r="B880" s="944"/>
      <c r="C880" s="53" t="s">
        <v>3</v>
      </c>
      <c r="D880" s="53" t="s">
        <v>4</v>
      </c>
      <c r="E880" s="53" t="s">
        <v>6</v>
      </c>
      <c r="F880" s="53" t="s">
        <v>11</v>
      </c>
      <c r="G880" s="1075" t="s">
        <v>8</v>
      </c>
    </row>
    <row r="881" spans="1:7">
      <c r="A881" s="943" t="s">
        <v>173</v>
      </c>
      <c r="B881" s="944"/>
      <c r="C881" s="16" t="s">
        <v>3</v>
      </c>
      <c r="D881" s="54">
        <v>3.5000000000000003E-2</v>
      </c>
      <c r="E881" s="17">
        <f>+G878</f>
        <v>234110.9895</v>
      </c>
      <c r="F881" s="55">
        <f>E881*D881</f>
        <v>8193.8846325000013</v>
      </c>
      <c r="G881" s="1072"/>
    </row>
    <row r="882" spans="1:7">
      <c r="A882" s="59"/>
      <c r="B882" s="60"/>
      <c r="C882" s="60"/>
      <c r="D882" s="60"/>
      <c r="E882" s="60"/>
      <c r="F882" s="60"/>
      <c r="G882" s="57">
        <f>SUM(F881:F882)</f>
        <v>8193.8846325000013</v>
      </c>
    </row>
    <row r="883" spans="1:7">
      <c r="A883" s="1071" t="s">
        <v>19</v>
      </c>
      <c r="B883" s="944"/>
      <c r="C883" s="944"/>
      <c r="D883" s="944"/>
      <c r="E883" s="944"/>
      <c r="F883" s="944"/>
      <c r="G883" s="1072"/>
    </row>
    <row r="884" spans="1:7">
      <c r="A884" s="1074" t="s">
        <v>2</v>
      </c>
      <c r="B884" s="944"/>
      <c r="C884" s="53" t="s">
        <v>3</v>
      </c>
      <c r="D884" s="53" t="s">
        <v>4</v>
      </c>
      <c r="E884" s="53" t="s">
        <v>6</v>
      </c>
      <c r="F884" s="53" t="s">
        <v>11</v>
      </c>
      <c r="G884" s="456" t="s">
        <v>8</v>
      </c>
    </row>
    <row r="885" spans="1:7">
      <c r="A885" s="978" t="str">
        <f>SALARIOS!$A$69</f>
        <v>CUADRILLA BB INSTALACIONES 1:1</v>
      </c>
      <c r="B885" s="979"/>
      <c r="C885" s="13" t="s">
        <v>1245</v>
      </c>
      <c r="D885" s="32">
        <v>8</v>
      </c>
      <c r="E885" s="13">
        <f>SALARIOS!$C$69</f>
        <v>27341</v>
      </c>
      <c r="F885" s="55">
        <f>+D885*E885</f>
        <v>218728</v>
      </c>
      <c r="G885" s="57">
        <f>SUM(F884:F885)</f>
        <v>218728</v>
      </c>
    </row>
    <row r="886" spans="1:7">
      <c r="A886" s="1076" t="s">
        <v>25</v>
      </c>
      <c r="B886" s="944"/>
      <c r="C886" s="944"/>
      <c r="D886" s="944"/>
      <c r="E886" s="944"/>
      <c r="F886" s="944"/>
      <c r="G886" s="1072"/>
    </row>
    <row r="887" spans="1:7" ht="17.399999999999999">
      <c r="A887" s="1077"/>
      <c r="B887" s="944"/>
      <c r="C887" s="944"/>
      <c r="D887" s="944"/>
      <c r="E887" s="944"/>
      <c r="F887" s="944"/>
      <c r="G887" s="62">
        <f>G885+G882+G878+G872</f>
        <v>507976.18913250003</v>
      </c>
    </row>
    <row r="889" spans="1:7">
      <c r="A889" s="970" t="s">
        <v>1</v>
      </c>
      <c r="B889" s="957"/>
      <c r="C889" s="953" t="s">
        <v>0</v>
      </c>
      <c r="D889" s="953"/>
      <c r="E889" s="953"/>
      <c r="F889" s="953"/>
      <c r="G889" s="1103"/>
    </row>
    <row r="890" spans="1:7" ht="42" customHeight="1">
      <c r="A890" s="971"/>
      <c r="B890" s="957"/>
      <c r="C890" s="953"/>
      <c r="D890" s="953"/>
      <c r="E890" s="953"/>
      <c r="F890" s="953"/>
      <c r="G890" s="1103"/>
    </row>
    <row r="891" spans="1:7" ht="17.399999999999999">
      <c r="A891" s="971"/>
      <c r="B891" s="957"/>
      <c r="C891" s="956"/>
      <c r="D891" s="957"/>
      <c r="E891" s="957"/>
      <c r="F891" s="957"/>
      <c r="G891" s="958"/>
    </row>
    <row r="892" spans="1:7">
      <c r="A892" s="971"/>
      <c r="B892" s="957"/>
      <c r="C892" s="959" t="s">
        <v>2</v>
      </c>
      <c r="D892" s="957"/>
      <c r="E892" s="957"/>
      <c r="F892" s="23" t="s">
        <v>3</v>
      </c>
      <c r="G892" s="24" t="s">
        <v>4</v>
      </c>
    </row>
    <row r="893" spans="1:7" ht="51" customHeight="1">
      <c r="A893" s="1089" t="s">
        <v>2087</v>
      </c>
      <c r="B893" s="944"/>
      <c r="C893" s="980" t="s">
        <v>2088</v>
      </c>
      <c r="D893" s="944"/>
      <c r="E893" s="944"/>
      <c r="F893" s="51" t="s">
        <v>1620</v>
      </c>
      <c r="G893" s="52">
        <v>30</v>
      </c>
    </row>
    <row r="894" spans="1:7">
      <c r="A894" s="1071" t="s">
        <v>5</v>
      </c>
      <c r="B894" s="944"/>
      <c r="C894" s="944"/>
      <c r="D894" s="944"/>
      <c r="E894" s="944"/>
      <c r="F894" s="944"/>
      <c r="G894" s="1072"/>
    </row>
    <row r="895" spans="1:7">
      <c r="A895" s="947" t="s">
        <v>167</v>
      </c>
      <c r="B895" s="980"/>
      <c r="C895" s="51" t="s">
        <v>3</v>
      </c>
      <c r="D895" s="54">
        <v>0.05</v>
      </c>
      <c r="E895" s="17">
        <f>G912</f>
        <v>18734.5</v>
      </c>
      <c r="F895" s="55">
        <f>D895*E895</f>
        <v>936.72500000000002</v>
      </c>
      <c r="G895" s="174" t="s">
        <v>8</v>
      </c>
    </row>
    <row r="896" spans="1:7">
      <c r="A896" s="947"/>
      <c r="B896" s="944"/>
      <c r="C896" s="51"/>
      <c r="D896" s="54"/>
      <c r="E896" s="17"/>
      <c r="F896" s="55">
        <f>D896*E896</f>
        <v>0</v>
      </c>
      <c r="G896" s="479"/>
    </row>
    <row r="897" spans="1:7">
      <c r="A897" s="947"/>
      <c r="B897" s="980"/>
      <c r="C897" s="141"/>
      <c r="D897" s="16"/>
      <c r="E897" s="143"/>
      <c r="F897" s="55">
        <f>D897*E897</f>
        <v>0</v>
      </c>
      <c r="G897" s="479"/>
    </row>
    <row r="898" spans="1:7">
      <c r="A898" s="947"/>
      <c r="B898" s="944"/>
      <c r="C898" s="51"/>
      <c r="D898" s="54"/>
      <c r="E898" s="17"/>
      <c r="F898" s="55">
        <f>D898*E898</f>
        <v>0</v>
      </c>
      <c r="G898" s="479"/>
    </row>
    <row r="899" spans="1:7">
      <c r="A899" s="1079"/>
      <c r="B899" s="944"/>
      <c r="C899" s="56"/>
      <c r="D899" s="56"/>
      <c r="E899" s="56"/>
      <c r="F899" s="55"/>
      <c r="G899" s="57">
        <f>SUM(F894:F899)</f>
        <v>936.72500000000002</v>
      </c>
    </row>
    <row r="900" spans="1:7">
      <c r="A900" s="1071" t="s">
        <v>10</v>
      </c>
      <c r="B900" s="944"/>
      <c r="C900" s="944"/>
      <c r="D900" s="944"/>
      <c r="E900" s="944"/>
      <c r="F900" s="944"/>
      <c r="G900" s="1072"/>
    </row>
    <row r="901" spans="1:7">
      <c r="A901" s="1074" t="s">
        <v>2</v>
      </c>
      <c r="B901" s="944"/>
      <c r="C901" s="53" t="s">
        <v>3</v>
      </c>
      <c r="D901" s="53" t="s">
        <v>4</v>
      </c>
      <c r="E901" s="53" t="s">
        <v>6</v>
      </c>
      <c r="F901" s="53" t="s">
        <v>11</v>
      </c>
      <c r="G901" s="1075" t="s">
        <v>8</v>
      </c>
    </row>
    <row r="902" spans="1:7">
      <c r="A902" s="947" t="s">
        <v>2667</v>
      </c>
      <c r="B902" s="944"/>
      <c r="C902" s="16" t="s">
        <v>998</v>
      </c>
      <c r="D902" s="54">
        <v>2</v>
      </c>
      <c r="E902" s="17">
        <f>'INSUMOS '!$E$515</f>
        <v>9000</v>
      </c>
      <c r="F902" s="55">
        <f>D902*E902</f>
        <v>18000</v>
      </c>
      <c r="G902" s="1072"/>
    </row>
    <row r="903" spans="1:7">
      <c r="A903" s="947" t="s">
        <v>2668</v>
      </c>
      <c r="B903" s="944"/>
      <c r="C903" s="51" t="s">
        <v>998</v>
      </c>
      <c r="D903" s="54">
        <v>0.3</v>
      </c>
      <c r="E903" s="17">
        <f>'INSUMOS '!$E$516</f>
        <v>38000</v>
      </c>
      <c r="F903" s="55">
        <f>D903*E903</f>
        <v>11400</v>
      </c>
      <c r="G903" s="1072"/>
    </row>
    <row r="904" spans="1:7">
      <c r="A904" s="947"/>
      <c r="B904" s="944"/>
      <c r="C904" s="16"/>
      <c r="D904" s="54"/>
      <c r="E904" s="17"/>
      <c r="F904" s="55">
        <f>D904*E904</f>
        <v>0</v>
      </c>
      <c r="G904" s="1072"/>
    </row>
    <row r="905" spans="1:7">
      <c r="A905" s="947"/>
      <c r="B905" s="944"/>
      <c r="C905" s="16"/>
      <c r="D905" s="58"/>
      <c r="E905" s="17"/>
      <c r="F905" s="55"/>
      <c r="G905" s="57">
        <f>SUM(F901:F905)</f>
        <v>29400</v>
      </c>
    </row>
    <row r="906" spans="1:7">
      <c r="A906" s="1071" t="s">
        <v>15</v>
      </c>
      <c r="B906" s="944"/>
      <c r="C906" s="944"/>
      <c r="D906" s="944"/>
      <c r="E906" s="944"/>
      <c r="F906" s="944"/>
      <c r="G906" s="1072"/>
    </row>
    <row r="907" spans="1:7">
      <c r="A907" s="1074" t="s">
        <v>2</v>
      </c>
      <c r="B907" s="944"/>
      <c r="C907" s="53" t="s">
        <v>3</v>
      </c>
      <c r="D907" s="53" t="s">
        <v>4</v>
      </c>
      <c r="E907" s="53" t="s">
        <v>6</v>
      </c>
      <c r="F907" s="53" t="s">
        <v>11</v>
      </c>
      <c r="G907" s="1075" t="s">
        <v>8</v>
      </c>
    </row>
    <row r="908" spans="1:7">
      <c r="A908" s="943" t="s">
        <v>173</v>
      </c>
      <c r="B908" s="944"/>
      <c r="C908" s="16" t="s">
        <v>3</v>
      </c>
      <c r="D908" s="54">
        <v>3.5000000000000003E-2</v>
      </c>
      <c r="E908" s="17">
        <f>+G905</f>
        <v>29400</v>
      </c>
      <c r="F908" s="55">
        <f>E908*D908</f>
        <v>1029</v>
      </c>
      <c r="G908" s="1072"/>
    </row>
    <row r="909" spans="1:7">
      <c r="A909" s="59"/>
      <c r="B909" s="60"/>
      <c r="C909" s="60"/>
      <c r="D909" s="60"/>
      <c r="E909" s="60"/>
      <c r="F909" s="60"/>
      <c r="G909" s="57">
        <f>SUM(F908:F909)</f>
        <v>1029</v>
      </c>
    </row>
    <row r="910" spans="1:7">
      <c r="A910" s="1071" t="s">
        <v>19</v>
      </c>
      <c r="B910" s="944"/>
      <c r="C910" s="944"/>
      <c r="D910" s="944"/>
      <c r="E910" s="944"/>
      <c r="F910" s="944"/>
      <c r="G910" s="1072"/>
    </row>
    <row r="911" spans="1:7">
      <c r="A911" s="1074" t="s">
        <v>2</v>
      </c>
      <c r="B911" s="944"/>
      <c r="C911" s="53" t="s">
        <v>3</v>
      </c>
      <c r="D911" s="53" t="s">
        <v>4</v>
      </c>
      <c r="E911" s="53" t="s">
        <v>6</v>
      </c>
      <c r="F911" s="53" t="s">
        <v>11</v>
      </c>
      <c r="G911" s="456" t="s">
        <v>8</v>
      </c>
    </row>
    <row r="912" spans="1:7">
      <c r="A912" s="978" t="str">
        <f>SALARIOS!$A$70</f>
        <v>CUADRILLA BB INSTALACIONES 1:2</v>
      </c>
      <c r="B912" s="979"/>
      <c r="C912" s="13" t="s">
        <v>1245</v>
      </c>
      <c r="D912" s="32">
        <v>0.5</v>
      </c>
      <c r="E912" s="13">
        <f>SALARIOS!$C$70</f>
        <v>37469</v>
      </c>
      <c r="F912" s="55">
        <f>+D912*E912</f>
        <v>18734.5</v>
      </c>
      <c r="G912" s="57">
        <f>SUM(F911:F912)</f>
        <v>18734.5</v>
      </c>
    </row>
    <row r="913" spans="1:7">
      <c r="A913" s="1037" t="s">
        <v>25</v>
      </c>
      <c r="B913" s="1038"/>
      <c r="C913" s="1038"/>
      <c r="D913" s="1038"/>
      <c r="E913" s="1038"/>
      <c r="F913" s="1038"/>
      <c r="G913" s="1039"/>
    </row>
    <row r="914" spans="1:7" ht="17.399999999999999">
      <c r="A914" s="1077"/>
      <c r="B914" s="944"/>
      <c r="C914" s="944"/>
      <c r="D914" s="944"/>
      <c r="E914" s="944"/>
      <c r="F914" s="944"/>
      <c r="G914" s="62">
        <f>G912+G909+G905+G899</f>
        <v>50100.224999999999</v>
      </c>
    </row>
    <row r="916" spans="1:7">
      <c r="A916" s="970" t="s">
        <v>1</v>
      </c>
      <c r="B916" s="957"/>
      <c r="C916" s="953" t="s">
        <v>0</v>
      </c>
      <c r="D916" s="953"/>
      <c r="E916" s="953"/>
      <c r="F916" s="953"/>
      <c r="G916" s="1103"/>
    </row>
    <row r="917" spans="1:7" ht="51" customHeight="1">
      <c r="A917" s="971"/>
      <c r="B917" s="957"/>
      <c r="C917" s="953"/>
      <c r="D917" s="953"/>
      <c r="E917" s="953"/>
      <c r="F917" s="953"/>
      <c r="G917" s="1103"/>
    </row>
    <row r="918" spans="1:7" ht="17.399999999999999">
      <c r="A918" s="971"/>
      <c r="B918" s="957"/>
      <c r="C918" s="956"/>
      <c r="D918" s="957"/>
      <c r="E918" s="957"/>
      <c r="F918" s="957"/>
      <c r="G918" s="958"/>
    </row>
    <row r="919" spans="1:7">
      <c r="A919" s="971"/>
      <c r="B919" s="957"/>
      <c r="C919" s="959" t="s">
        <v>2</v>
      </c>
      <c r="D919" s="957"/>
      <c r="E919" s="957"/>
      <c r="F919" s="23" t="s">
        <v>3</v>
      </c>
      <c r="G919" s="24" t="s">
        <v>4</v>
      </c>
    </row>
    <row r="920" spans="1:7" ht="50.25" customHeight="1">
      <c r="A920" s="1089" t="s">
        <v>2089</v>
      </c>
      <c r="B920" s="944"/>
      <c r="C920" s="980" t="s">
        <v>2090</v>
      </c>
      <c r="D920" s="944"/>
      <c r="E920" s="944"/>
      <c r="F920" s="51" t="s">
        <v>1620</v>
      </c>
      <c r="G920" s="52">
        <v>20</v>
      </c>
    </row>
    <row r="921" spans="1:7">
      <c r="A921" s="1071" t="s">
        <v>5</v>
      </c>
      <c r="B921" s="944"/>
      <c r="C921" s="944"/>
      <c r="D921" s="944"/>
      <c r="E921" s="944"/>
      <c r="F921" s="944"/>
      <c r="G921" s="1072"/>
    </row>
    <row r="922" spans="1:7">
      <c r="A922" s="1074" t="s">
        <v>2</v>
      </c>
      <c r="B922" s="944"/>
      <c r="C922" s="53" t="s">
        <v>3</v>
      </c>
      <c r="D922" s="53" t="s">
        <v>4</v>
      </c>
      <c r="E922" s="53" t="s">
        <v>6</v>
      </c>
      <c r="F922" s="53" t="s">
        <v>7</v>
      </c>
      <c r="G922" s="1075" t="s">
        <v>8</v>
      </c>
    </row>
    <row r="923" spans="1:7">
      <c r="A923" s="947" t="s">
        <v>167</v>
      </c>
      <c r="B923" s="980"/>
      <c r="C923" s="51" t="s">
        <v>3</v>
      </c>
      <c r="D923" s="54">
        <v>0.05</v>
      </c>
      <c r="E923" s="17">
        <f>G940</f>
        <v>18734.5</v>
      </c>
      <c r="F923" s="55">
        <f>D923*E923</f>
        <v>936.72500000000002</v>
      </c>
      <c r="G923" s="1072"/>
    </row>
    <row r="924" spans="1:7">
      <c r="A924" s="947"/>
      <c r="B924" s="944"/>
      <c r="C924" s="51"/>
      <c r="D924" s="54"/>
      <c r="E924" s="17"/>
      <c r="F924" s="55">
        <f>D924*E924</f>
        <v>0</v>
      </c>
      <c r="G924" s="1072"/>
    </row>
    <row r="925" spans="1:7">
      <c r="A925" s="947"/>
      <c r="B925" s="980"/>
      <c r="C925" s="141"/>
      <c r="D925" s="16"/>
      <c r="E925" s="143"/>
      <c r="F925" s="55">
        <f>D925*E925</f>
        <v>0</v>
      </c>
      <c r="G925" s="1072"/>
    </row>
    <row r="926" spans="1:7">
      <c r="A926" s="947"/>
      <c r="B926" s="944"/>
      <c r="C926" s="51"/>
      <c r="D926" s="54"/>
      <c r="E926" s="17"/>
      <c r="F926" s="55">
        <f>D926*E926</f>
        <v>0</v>
      </c>
      <c r="G926" s="1072"/>
    </row>
    <row r="927" spans="1:7">
      <c r="A927" s="1079"/>
      <c r="B927" s="944"/>
      <c r="C927" s="56"/>
      <c r="D927" s="56"/>
      <c r="E927" s="56"/>
      <c r="F927" s="55"/>
      <c r="G927" s="57">
        <f>SUM(F922:F927)</f>
        <v>936.72500000000002</v>
      </c>
    </row>
    <row r="928" spans="1:7">
      <c r="A928" s="1071" t="s">
        <v>10</v>
      </c>
      <c r="B928" s="944"/>
      <c r="C928" s="944"/>
      <c r="D928" s="944"/>
      <c r="E928" s="944"/>
      <c r="F928" s="944"/>
      <c r="G928" s="1072"/>
    </row>
    <row r="929" spans="1:7">
      <c r="A929" s="1074" t="s">
        <v>2</v>
      </c>
      <c r="B929" s="944"/>
      <c r="C929" s="53" t="s">
        <v>3</v>
      </c>
      <c r="D929" s="53" t="s">
        <v>4</v>
      </c>
      <c r="E929" s="53" t="s">
        <v>6</v>
      </c>
      <c r="F929" s="53" t="s">
        <v>11</v>
      </c>
      <c r="G929" s="1075" t="s">
        <v>8</v>
      </c>
    </row>
    <row r="930" spans="1:7">
      <c r="A930" s="947" t="s">
        <v>2667</v>
      </c>
      <c r="B930" s="944"/>
      <c r="C930" s="16" t="s">
        <v>998</v>
      </c>
      <c r="D930" s="54">
        <v>2</v>
      </c>
      <c r="E930" s="17">
        <f>'INSUMOS '!$E$515</f>
        <v>9000</v>
      </c>
      <c r="F930" s="55">
        <f>D930*E930</f>
        <v>18000</v>
      </c>
      <c r="G930" s="1072"/>
    </row>
    <row r="931" spans="1:7">
      <c r="A931" s="947" t="s">
        <v>2668</v>
      </c>
      <c r="B931" s="944"/>
      <c r="C931" s="51" t="s">
        <v>998</v>
      </c>
      <c r="D931" s="54">
        <v>0.3</v>
      </c>
      <c r="E931" s="17">
        <f>'INSUMOS '!$E$516</f>
        <v>38000</v>
      </c>
      <c r="F931" s="55">
        <f>D931*E931</f>
        <v>11400</v>
      </c>
      <c r="G931" s="1072"/>
    </row>
    <row r="932" spans="1:7">
      <c r="A932" s="947"/>
      <c r="B932" s="944"/>
      <c r="C932" s="16"/>
      <c r="D932" s="54"/>
      <c r="E932" s="17"/>
      <c r="F932" s="55">
        <f>D932*E932</f>
        <v>0</v>
      </c>
      <c r="G932" s="1072"/>
    </row>
    <row r="933" spans="1:7">
      <c r="A933" s="947"/>
      <c r="B933" s="944"/>
      <c r="C933" s="16"/>
      <c r="D933" s="58"/>
      <c r="E933" s="17"/>
      <c r="F933" s="55"/>
      <c r="G933" s="57">
        <f>SUM(F929:F933)</f>
        <v>29400</v>
      </c>
    </row>
    <row r="934" spans="1:7">
      <c r="A934" s="1071" t="s">
        <v>15</v>
      </c>
      <c r="B934" s="944"/>
      <c r="C934" s="944"/>
      <c r="D934" s="944"/>
      <c r="E934" s="944"/>
      <c r="F934" s="944"/>
      <c r="G934" s="1072"/>
    </row>
    <row r="935" spans="1:7">
      <c r="A935" s="1074" t="s">
        <v>2</v>
      </c>
      <c r="B935" s="944"/>
      <c r="C935" s="53" t="s">
        <v>3</v>
      </c>
      <c r="D935" s="53" t="s">
        <v>4</v>
      </c>
      <c r="E935" s="53" t="s">
        <v>6</v>
      </c>
      <c r="F935" s="53" t="s">
        <v>11</v>
      </c>
      <c r="G935" s="1075" t="s">
        <v>8</v>
      </c>
    </row>
    <row r="936" spans="1:7">
      <c r="A936" s="943" t="s">
        <v>173</v>
      </c>
      <c r="B936" s="944"/>
      <c r="C936" s="16" t="s">
        <v>3</v>
      </c>
      <c r="D936" s="54">
        <v>3.5000000000000003E-2</v>
      </c>
      <c r="E936" s="17">
        <f>+G933</f>
        <v>29400</v>
      </c>
      <c r="F936" s="55">
        <f>E936*D936</f>
        <v>1029</v>
      </c>
      <c r="G936" s="1072"/>
    </row>
    <row r="937" spans="1:7">
      <c r="A937" s="59"/>
      <c r="B937" s="60"/>
      <c r="C937" s="60"/>
      <c r="D937" s="60"/>
      <c r="E937" s="60"/>
      <c r="F937" s="60"/>
      <c r="G937" s="57">
        <f>SUM(F936:F937)</f>
        <v>1029</v>
      </c>
    </row>
    <row r="938" spans="1:7">
      <c r="A938" s="1071" t="s">
        <v>19</v>
      </c>
      <c r="B938" s="944"/>
      <c r="C938" s="944"/>
      <c r="D938" s="944"/>
      <c r="E938" s="944"/>
      <c r="F938" s="944"/>
      <c r="G938" s="1072"/>
    </row>
    <row r="939" spans="1:7">
      <c r="A939" s="1074" t="s">
        <v>2</v>
      </c>
      <c r="B939" s="944"/>
      <c r="C939" s="53" t="s">
        <v>3</v>
      </c>
      <c r="D939" s="53" t="s">
        <v>4</v>
      </c>
      <c r="E939" s="53" t="s">
        <v>6</v>
      </c>
      <c r="F939" s="53" t="s">
        <v>11</v>
      </c>
      <c r="G939" s="456" t="s">
        <v>8</v>
      </c>
    </row>
    <row r="940" spans="1:7">
      <c r="A940" s="978" t="str">
        <f>SALARIOS!$A$70</f>
        <v>CUADRILLA BB INSTALACIONES 1:2</v>
      </c>
      <c r="B940" s="979"/>
      <c r="C940" s="13" t="s">
        <v>1245</v>
      </c>
      <c r="D940" s="32">
        <v>0.5</v>
      </c>
      <c r="E940" s="13">
        <f>SALARIOS!$C$70</f>
        <v>37469</v>
      </c>
      <c r="F940" s="55">
        <f>+D940*E940</f>
        <v>18734.5</v>
      </c>
      <c r="G940" s="57">
        <f>SUM(F939:F940)</f>
        <v>18734.5</v>
      </c>
    </row>
    <row r="941" spans="1:7">
      <c r="A941" s="1037" t="s">
        <v>25</v>
      </c>
      <c r="B941" s="1038"/>
      <c r="C941" s="1038"/>
      <c r="D941" s="1038"/>
      <c r="E941" s="1038"/>
      <c r="F941" s="1038"/>
      <c r="G941" s="1039"/>
    </row>
    <row r="942" spans="1:7" ht="17.399999999999999">
      <c r="A942" s="1077"/>
      <c r="B942" s="944"/>
      <c r="C942" s="944"/>
      <c r="D942" s="944"/>
      <c r="E942" s="944"/>
      <c r="F942" s="944"/>
      <c r="G942" s="62">
        <f>G940+G937+G933+G927</f>
        <v>50100.224999999999</v>
      </c>
    </row>
    <row r="944" spans="1:7">
      <c r="A944" s="970" t="s">
        <v>1</v>
      </c>
      <c r="B944" s="957"/>
      <c r="C944" s="953" t="s">
        <v>0</v>
      </c>
      <c r="D944" s="953"/>
      <c r="E944" s="953"/>
      <c r="F944" s="953"/>
      <c r="G944" s="1103"/>
    </row>
    <row r="945" spans="1:7" ht="47.25" customHeight="1">
      <c r="A945" s="971"/>
      <c r="B945" s="957"/>
      <c r="C945" s="953"/>
      <c r="D945" s="953"/>
      <c r="E945" s="953"/>
      <c r="F945" s="953"/>
      <c r="G945" s="1103"/>
    </row>
    <row r="946" spans="1:7" ht="17.399999999999999">
      <c r="A946" s="971"/>
      <c r="B946" s="957"/>
      <c r="C946" s="956"/>
      <c r="D946" s="957"/>
      <c r="E946" s="957"/>
      <c r="F946" s="957"/>
      <c r="G946" s="958"/>
    </row>
    <row r="947" spans="1:7">
      <c r="A947" s="971"/>
      <c r="B947" s="957"/>
      <c r="C947" s="959" t="s">
        <v>2</v>
      </c>
      <c r="D947" s="957"/>
      <c r="E947" s="957"/>
      <c r="F947" s="23" t="s">
        <v>3</v>
      </c>
      <c r="G947" s="24" t="s">
        <v>4</v>
      </c>
    </row>
    <row r="948" spans="1:7" ht="57" customHeight="1">
      <c r="A948" s="1089" t="s">
        <v>2091</v>
      </c>
      <c r="B948" s="944"/>
      <c r="C948" s="980" t="s">
        <v>2092</v>
      </c>
      <c r="D948" s="944"/>
      <c r="E948" s="944"/>
      <c r="F948" s="51" t="s">
        <v>1620</v>
      </c>
      <c r="G948" s="52">
        <v>20</v>
      </c>
    </row>
    <row r="949" spans="1:7">
      <c r="A949" s="1071" t="s">
        <v>5</v>
      </c>
      <c r="B949" s="944"/>
      <c r="C949" s="944"/>
      <c r="D949" s="944"/>
      <c r="E949" s="944"/>
      <c r="F949" s="944"/>
      <c r="G949" s="1072"/>
    </row>
    <row r="950" spans="1:7">
      <c r="A950" s="1074" t="s">
        <v>2</v>
      </c>
      <c r="B950" s="944"/>
      <c r="C950" s="53" t="s">
        <v>3</v>
      </c>
      <c r="D950" s="53" t="s">
        <v>4</v>
      </c>
      <c r="E950" s="53" t="s">
        <v>6</v>
      </c>
      <c r="F950" s="53" t="s">
        <v>7</v>
      </c>
      <c r="G950" s="1075" t="s">
        <v>8</v>
      </c>
    </row>
    <row r="951" spans="1:7">
      <c r="A951" s="947" t="s">
        <v>167</v>
      </c>
      <c r="B951" s="980"/>
      <c r="C951" s="51" t="s">
        <v>3</v>
      </c>
      <c r="D951" s="54">
        <v>0.05</v>
      </c>
      <c r="E951" s="17">
        <f>G968</f>
        <v>18734.5</v>
      </c>
      <c r="F951" s="55">
        <f>D951*E951</f>
        <v>936.72500000000002</v>
      </c>
      <c r="G951" s="1072"/>
    </row>
    <row r="952" spans="1:7">
      <c r="A952" s="947"/>
      <c r="B952" s="944"/>
      <c r="C952" s="51"/>
      <c r="D952" s="54"/>
      <c r="E952" s="17"/>
      <c r="F952" s="55">
        <f>D952*E952</f>
        <v>0</v>
      </c>
      <c r="G952" s="1072"/>
    </row>
    <row r="953" spans="1:7">
      <c r="A953" s="947"/>
      <c r="B953" s="980"/>
      <c r="C953" s="141"/>
      <c r="D953" s="16"/>
      <c r="E953" s="143"/>
      <c r="F953" s="55">
        <f>D953*E953</f>
        <v>0</v>
      </c>
      <c r="G953" s="1072"/>
    </row>
    <row r="954" spans="1:7">
      <c r="A954" s="947"/>
      <c r="B954" s="944"/>
      <c r="C954" s="51"/>
      <c r="D954" s="54"/>
      <c r="E954" s="17"/>
      <c r="F954" s="55">
        <f>D954*E954</f>
        <v>0</v>
      </c>
      <c r="G954" s="1072"/>
    </row>
    <row r="955" spans="1:7">
      <c r="A955" s="1079"/>
      <c r="B955" s="944"/>
      <c r="C955" s="56"/>
      <c r="D955" s="56"/>
      <c r="E955" s="56"/>
      <c r="F955" s="55"/>
      <c r="G955" s="57">
        <f>SUM(F950:F955)</f>
        <v>936.72500000000002</v>
      </c>
    </row>
    <row r="956" spans="1:7">
      <c r="A956" s="1071" t="s">
        <v>10</v>
      </c>
      <c r="B956" s="944"/>
      <c r="C956" s="944"/>
      <c r="D956" s="944"/>
      <c r="E956" s="944"/>
      <c r="F956" s="944"/>
      <c r="G956" s="1072"/>
    </row>
    <row r="957" spans="1:7">
      <c r="A957" s="1074" t="s">
        <v>2</v>
      </c>
      <c r="B957" s="944"/>
      <c r="C957" s="53" t="s">
        <v>3</v>
      </c>
      <c r="D957" s="53" t="s">
        <v>4</v>
      </c>
      <c r="E957" s="53" t="s">
        <v>6</v>
      </c>
      <c r="F957" s="53" t="s">
        <v>11</v>
      </c>
      <c r="G957" s="1075" t="s">
        <v>8</v>
      </c>
    </row>
    <row r="958" spans="1:7">
      <c r="A958" s="947" t="s">
        <v>2667</v>
      </c>
      <c r="B958" s="944"/>
      <c r="C958" s="16" t="s">
        <v>998</v>
      </c>
      <c r="D958" s="54">
        <v>2</v>
      </c>
      <c r="E958" s="17">
        <f>'INSUMOS '!$E$515</f>
        <v>9000</v>
      </c>
      <c r="F958" s="55">
        <f>D958*E958</f>
        <v>18000</v>
      </c>
      <c r="G958" s="1072"/>
    </row>
    <row r="959" spans="1:7">
      <c r="A959" s="947" t="s">
        <v>2668</v>
      </c>
      <c r="B959" s="944"/>
      <c r="C959" s="51" t="s">
        <v>998</v>
      </c>
      <c r="D959" s="54">
        <v>0.3</v>
      </c>
      <c r="E959" s="17">
        <f>'INSUMOS '!$E$516</f>
        <v>38000</v>
      </c>
      <c r="F959" s="55">
        <f>D959*E959</f>
        <v>11400</v>
      </c>
      <c r="G959" s="1072"/>
    </row>
    <row r="960" spans="1:7">
      <c r="A960" s="947"/>
      <c r="B960" s="944"/>
      <c r="C960" s="16"/>
      <c r="D960" s="54"/>
      <c r="E960" s="17"/>
      <c r="F960" s="55">
        <f>D960*E960</f>
        <v>0</v>
      </c>
      <c r="G960" s="1072"/>
    </row>
    <row r="961" spans="1:7">
      <c r="A961" s="947"/>
      <c r="B961" s="944"/>
      <c r="C961" s="16"/>
      <c r="D961" s="58"/>
      <c r="E961" s="17"/>
      <c r="F961" s="55"/>
      <c r="G961" s="57">
        <f>SUM(F957:F961)</f>
        <v>29400</v>
      </c>
    </row>
    <row r="962" spans="1:7">
      <c r="A962" s="1071" t="s">
        <v>15</v>
      </c>
      <c r="B962" s="944"/>
      <c r="C962" s="944"/>
      <c r="D962" s="944"/>
      <c r="E962" s="944"/>
      <c r="F962" s="944"/>
      <c r="G962" s="1072"/>
    </row>
    <row r="963" spans="1:7">
      <c r="A963" s="1074" t="s">
        <v>2</v>
      </c>
      <c r="B963" s="944"/>
      <c r="C963" s="53" t="s">
        <v>3</v>
      </c>
      <c r="D963" s="53" t="s">
        <v>4</v>
      </c>
      <c r="E963" s="53" t="s">
        <v>6</v>
      </c>
      <c r="F963" s="53" t="s">
        <v>11</v>
      </c>
      <c r="G963" s="1075" t="s">
        <v>8</v>
      </c>
    </row>
    <row r="964" spans="1:7">
      <c r="A964" s="943" t="s">
        <v>173</v>
      </c>
      <c r="B964" s="944"/>
      <c r="C964" s="16" t="s">
        <v>3</v>
      </c>
      <c r="D964" s="54">
        <v>3.5000000000000003E-2</v>
      </c>
      <c r="E964" s="17">
        <f>+G961</f>
        <v>29400</v>
      </c>
      <c r="F964" s="55">
        <f>E964*D964</f>
        <v>1029</v>
      </c>
      <c r="G964" s="1072"/>
    </row>
    <row r="965" spans="1:7">
      <c r="A965" s="59"/>
      <c r="B965" s="60"/>
      <c r="C965" s="60"/>
      <c r="D965" s="60"/>
      <c r="E965" s="60"/>
      <c r="F965" s="60"/>
      <c r="G965" s="57">
        <f>SUM(F964:F965)</f>
        <v>1029</v>
      </c>
    </row>
    <row r="966" spans="1:7">
      <c r="A966" s="1071" t="s">
        <v>19</v>
      </c>
      <c r="B966" s="944"/>
      <c r="C966" s="944"/>
      <c r="D966" s="944"/>
      <c r="E966" s="944"/>
      <c r="F966" s="944"/>
      <c r="G966" s="1072"/>
    </row>
    <row r="967" spans="1:7">
      <c r="A967" s="1074" t="s">
        <v>2</v>
      </c>
      <c r="B967" s="944"/>
      <c r="C967" s="53" t="s">
        <v>3</v>
      </c>
      <c r="D967" s="53" t="s">
        <v>4</v>
      </c>
      <c r="E967" s="53" t="s">
        <v>6</v>
      </c>
      <c r="F967" s="53" t="s">
        <v>11</v>
      </c>
      <c r="G967" s="456" t="s">
        <v>8</v>
      </c>
    </row>
    <row r="968" spans="1:7">
      <c r="A968" s="978" t="str">
        <f>SALARIOS!$A$70</f>
        <v>CUADRILLA BB INSTALACIONES 1:2</v>
      </c>
      <c r="B968" s="979"/>
      <c r="C968" s="13" t="s">
        <v>1245</v>
      </c>
      <c r="D968" s="32">
        <v>0.5</v>
      </c>
      <c r="E968" s="13">
        <f>SALARIOS!$C$70</f>
        <v>37469</v>
      </c>
      <c r="F968" s="55">
        <f>+D968*E968</f>
        <v>18734.5</v>
      </c>
      <c r="G968" s="57">
        <f>SUM(F967:F968)</f>
        <v>18734.5</v>
      </c>
    </row>
    <row r="969" spans="1:7">
      <c r="A969" s="1076" t="s">
        <v>25</v>
      </c>
      <c r="B969" s="944"/>
      <c r="C969" s="944"/>
      <c r="D969" s="944"/>
      <c r="E969" s="944"/>
      <c r="F969" s="944"/>
      <c r="G969" s="1072"/>
    </row>
    <row r="970" spans="1:7" ht="17.399999999999999">
      <c r="A970" s="1077"/>
      <c r="B970" s="944"/>
      <c r="C970" s="944"/>
      <c r="D970" s="944"/>
      <c r="E970" s="944"/>
      <c r="F970" s="944"/>
      <c r="G970" s="62">
        <f>G968+G965+G961+G955</f>
        <v>50100.224999999999</v>
      </c>
    </row>
    <row r="972" spans="1:7">
      <c r="A972" s="970" t="s">
        <v>1</v>
      </c>
      <c r="B972" s="957"/>
      <c r="C972" s="953" t="s">
        <v>0</v>
      </c>
      <c r="D972" s="953"/>
      <c r="E972" s="953"/>
      <c r="F972" s="953"/>
      <c r="G972" s="1103"/>
    </row>
    <row r="973" spans="1:7" ht="46.5" customHeight="1">
      <c r="A973" s="971"/>
      <c r="B973" s="957"/>
      <c r="C973" s="953"/>
      <c r="D973" s="953"/>
      <c r="E973" s="953"/>
      <c r="F973" s="953"/>
      <c r="G973" s="1103"/>
    </row>
    <row r="974" spans="1:7" ht="17.399999999999999">
      <c r="A974" s="971"/>
      <c r="B974" s="957"/>
      <c r="C974" s="956"/>
      <c r="D974" s="957"/>
      <c r="E974" s="957"/>
      <c r="F974" s="957"/>
      <c r="G974" s="958"/>
    </row>
    <row r="975" spans="1:7">
      <c r="A975" s="971"/>
      <c r="B975" s="957"/>
      <c r="C975" s="959" t="s">
        <v>2</v>
      </c>
      <c r="D975" s="957"/>
      <c r="E975" s="957"/>
      <c r="F975" s="23" t="s">
        <v>3</v>
      </c>
      <c r="G975" s="24" t="s">
        <v>4</v>
      </c>
    </row>
    <row r="976" spans="1:7" ht="34.799999999999997">
      <c r="A976" s="1089" t="s">
        <v>2097</v>
      </c>
      <c r="B976" s="944"/>
      <c r="C976" s="980" t="s">
        <v>2456</v>
      </c>
      <c r="D976" s="944"/>
      <c r="E976" s="944"/>
      <c r="F976" s="51" t="s">
        <v>39</v>
      </c>
      <c r="G976" s="52">
        <v>322.11</v>
      </c>
    </row>
    <row r="977" spans="1:7">
      <c r="A977" s="1071" t="s">
        <v>5</v>
      </c>
      <c r="B977" s="944"/>
      <c r="C977" s="944"/>
      <c r="D977" s="944"/>
      <c r="E977" s="944"/>
      <c r="F977" s="944"/>
      <c r="G977" s="1072"/>
    </row>
    <row r="978" spans="1:7" s="2" customFormat="1" ht="15.75" customHeight="1">
      <c r="A978" s="1074" t="s">
        <v>2</v>
      </c>
      <c r="B978" s="944"/>
      <c r="C978" s="53" t="s">
        <v>3</v>
      </c>
      <c r="D978" s="53" t="s">
        <v>4</v>
      </c>
      <c r="E978" s="53" t="s">
        <v>6</v>
      </c>
      <c r="F978" s="53" t="s">
        <v>7</v>
      </c>
      <c r="G978" s="1075" t="s">
        <v>8</v>
      </c>
    </row>
    <row r="979" spans="1:7" s="2" customFormat="1" ht="15.75" customHeight="1">
      <c r="A979" s="947" t="s">
        <v>167</v>
      </c>
      <c r="B979" s="980"/>
      <c r="C979" s="51" t="s">
        <v>3</v>
      </c>
      <c r="D979" s="54">
        <v>0.05</v>
      </c>
      <c r="E979" s="17">
        <f>+G996</f>
        <v>8654.2000000000007</v>
      </c>
      <c r="F979" s="55">
        <f>D979*E979</f>
        <v>432.71000000000004</v>
      </c>
      <c r="G979" s="1072"/>
    </row>
    <row r="980" spans="1:7" s="2" customFormat="1" ht="15.75" customHeight="1">
      <c r="A980" s="947" t="str">
        <f>'MAQUINARIA Y EQUIPOS'!$D$43</f>
        <v>RETROEXCAVADORA EN ORUGAS</v>
      </c>
      <c r="B980" s="944"/>
      <c r="C980" s="51" t="s">
        <v>58</v>
      </c>
      <c r="D980" s="54">
        <v>0.16</v>
      </c>
      <c r="E980" s="17">
        <f>'MAQUINARIA Y EQUIPOS'!$F$43</f>
        <v>140000</v>
      </c>
      <c r="F980" s="55">
        <f>D980*E980</f>
        <v>22400</v>
      </c>
      <c r="G980" s="1072"/>
    </row>
    <row r="981" spans="1:7" s="2" customFormat="1" ht="15.75" customHeight="1">
      <c r="A981" s="947"/>
      <c r="B981" s="980"/>
      <c r="C981" s="141"/>
      <c r="D981" s="16"/>
      <c r="E981" s="143"/>
      <c r="F981" s="55">
        <f>D981*E981</f>
        <v>0</v>
      </c>
      <c r="G981" s="1072"/>
    </row>
    <row r="982" spans="1:7" s="2" customFormat="1" ht="15.75" customHeight="1">
      <c r="A982" s="947"/>
      <c r="B982" s="944"/>
      <c r="C982" s="51"/>
      <c r="D982" s="54"/>
      <c r="E982" s="17"/>
      <c r="F982" s="55">
        <f>D982*E982</f>
        <v>0</v>
      </c>
      <c r="G982" s="1072"/>
    </row>
    <row r="983" spans="1:7" s="2" customFormat="1" ht="15.75" customHeight="1">
      <c r="A983" s="1079"/>
      <c r="B983" s="944"/>
      <c r="C983" s="56"/>
      <c r="D983" s="56"/>
      <c r="E983" s="56"/>
      <c r="F983" s="55"/>
      <c r="G983" s="57">
        <f>SUM(F978:F983)</f>
        <v>22832.71</v>
      </c>
    </row>
    <row r="984" spans="1:7" s="2" customFormat="1" ht="15" customHeight="1">
      <c r="A984" s="1071" t="s">
        <v>10</v>
      </c>
      <c r="B984" s="944"/>
      <c r="C984" s="944"/>
      <c r="D984" s="944"/>
      <c r="E984" s="944"/>
      <c r="F984" s="944"/>
      <c r="G984" s="1072"/>
    </row>
    <row r="985" spans="1:7" s="2" customFormat="1" ht="15" customHeight="1">
      <c r="A985" s="1074" t="s">
        <v>2</v>
      </c>
      <c r="B985" s="944"/>
      <c r="C985" s="53" t="s">
        <v>3</v>
      </c>
      <c r="D985" s="53" t="s">
        <v>4</v>
      </c>
      <c r="E985" s="53" t="s">
        <v>6</v>
      </c>
      <c r="F985" s="53" t="s">
        <v>11</v>
      </c>
      <c r="G985" s="1075" t="s">
        <v>8</v>
      </c>
    </row>
    <row r="986" spans="1:7" s="2" customFormat="1" ht="15" customHeight="1">
      <c r="A986" s="947"/>
      <c r="B986" s="944"/>
      <c r="C986" s="16"/>
      <c r="D986" s="54"/>
      <c r="E986" s="17"/>
      <c r="F986" s="55">
        <f>D986*E986</f>
        <v>0</v>
      </c>
      <c r="G986" s="1072"/>
    </row>
    <row r="987" spans="1:7" s="2" customFormat="1" ht="15" customHeight="1">
      <c r="A987" s="947"/>
      <c r="B987" s="944"/>
      <c r="C987" s="51"/>
      <c r="D987" s="54"/>
      <c r="E987" s="17"/>
      <c r="F987" s="55">
        <f>D987*E987</f>
        <v>0</v>
      </c>
      <c r="G987" s="1072"/>
    </row>
    <row r="988" spans="1:7" s="2" customFormat="1" ht="15" customHeight="1">
      <c r="A988" s="947"/>
      <c r="B988" s="944"/>
      <c r="C988" s="16"/>
      <c r="D988" s="54"/>
      <c r="E988" s="17"/>
      <c r="F988" s="55">
        <f>D988*E988</f>
        <v>0</v>
      </c>
      <c r="G988" s="1072"/>
    </row>
    <row r="989" spans="1:7" s="2" customFormat="1" ht="15" customHeight="1">
      <c r="A989" s="947"/>
      <c r="B989" s="944"/>
      <c r="C989" s="16"/>
      <c r="D989" s="58"/>
      <c r="E989" s="17"/>
      <c r="F989" s="55"/>
      <c r="G989" s="57">
        <f>SUM(F985:F989)</f>
        <v>0</v>
      </c>
    </row>
    <row r="990" spans="1:7" s="2" customFormat="1" ht="15" customHeight="1">
      <c r="A990" s="1071" t="s">
        <v>15</v>
      </c>
      <c r="B990" s="944"/>
      <c r="C990" s="944"/>
      <c r="D990" s="944"/>
      <c r="E990" s="944"/>
      <c r="F990" s="944"/>
      <c r="G990" s="1072"/>
    </row>
    <row r="991" spans="1:7" s="2" customFormat="1" ht="15" customHeight="1">
      <c r="A991" s="1074" t="s">
        <v>2</v>
      </c>
      <c r="B991" s="944"/>
      <c r="C991" s="53" t="s">
        <v>3</v>
      </c>
      <c r="D991" s="53" t="s">
        <v>4</v>
      </c>
      <c r="E991" s="53" t="s">
        <v>6</v>
      </c>
      <c r="F991" s="53" t="s">
        <v>11</v>
      </c>
      <c r="G991" s="1075" t="s">
        <v>8</v>
      </c>
    </row>
    <row r="992" spans="1:7" s="2" customFormat="1" ht="15" customHeight="1">
      <c r="A992" s="943" t="s">
        <v>2561</v>
      </c>
      <c r="B992" s="944"/>
      <c r="C992" s="16" t="s">
        <v>39</v>
      </c>
      <c r="D992" s="16">
        <v>1.3</v>
      </c>
      <c r="E992" s="17">
        <v>16260</v>
      </c>
      <c r="F992" s="55">
        <f>E992*D992</f>
        <v>21138</v>
      </c>
      <c r="G992" s="1072"/>
    </row>
    <row r="993" spans="1:7" s="2" customFormat="1" ht="15" customHeight="1">
      <c r="A993" s="59"/>
      <c r="B993" s="60"/>
      <c r="C993" s="60"/>
      <c r="D993" s="60"/>
      <c r="E993" s="60"/>
      <c r="F993" s="60"/>
      <c r="G993" s="57">
        <f>SUM(F992:F993)</f>
        <v>21138</v>
      </c>
    </row>
    <row r="994" spans="1:7" s="2" customFormat="1" ht="15" customHeight="1">
      <c r="A994" s="1071" t="s">
        <v>19</v>
      </c>
      <c r="B994" s="944"/>
      <c r="C994" s="944"/>
      <c r="D994" s="944"/>
      <c r="E994" s="944"/>
      <c r="F994" s="944"/>
      <c r="G994" s="1072"/>
    </row>
    <row r="995" spans="1:7" s="2" customFormat="1" ht="15" customHeight="1">
      <c r="A995" s="1074" t="s">
        <v>2</v>
      </c>
      <c r="B995" s="944"/>
      <c r="C995" s="53" t="s">
        <v>3</v>
      </c>
      <c r="D995" s="53" t="s">
        <v>4</v>
      </c>
      <c r="E995" s="53" t="s">
        <v>6</v>
      </c>
      <c r="F995" s="53" t="s">
        <v>11</v>
      </c>
      <c r="G995" s="456" t="s">
        <v>8</v>
      </c>
    </row>
    <row r="996" spans="1:7" s="2" customFormat="1" ht="15.75" customHeight="1">
      <c r="A996" s="978" t="str">
        <f>SALARIOS!$A$63</f>
        <v>CUADRILLA AA ALBAÑILERÍA 1:3</v>
      </c>
      <c r="B996" s="979"/>
      <c r="C996" s="13" t="s">
        <v>1245</v>
      </c>
      <c r="D996" s="32">
        <v>0.2</v>
      </c>
      <c r="E996" s="13">
        <f>SALARIOS!$C$63</f>
        <v>43271</v>
      </c>
      <c r="F996" s="55">
        <f>+D996*E996</f>
        <v>8654.2000000000007</v>
      </c>
      <c r="G996" s="57">
        <f>SUM(F995:F996)</f>
        <v>8654.2000000000007</v>
      </c>
    </row>
    <row r="997" spans="1:7">
      <c r="A997" s="1037" t="s">
        <v>25</v>
      </c>
      <c r="B997" s="1038"/>
      <c r="C997" s="1038"/>
      <c r="D997" s="1038"/>
      <c r="E997" s="1038"/>
      <c r="F997" s="1038"/>
      <c r="G997" s="1039"/>
    </row>
    <row r="998" spans="1:7" ht="17.399999999999999">
      <c r="A998" s="1077"/>
      <c r="B998" s="944"/>
      <c r="C998" s="944"/>
      <c r="D998" s="944"/>
      <c r="E998" s="944"/>
      <c r="F998" s="944"/>
      <c r="G998" s="62">
        <f>G996+G993+G989+G983</f>
        <v>52624.91</v>
      </c>
    </row>
    <row r="1000" spans="1:7">
      <c r="A1000" s="970" t="s">
        <v>1</v>
      </c>
      <c r="B1000" s="957"/>
      <c r="C1000" s="953" t="s">
        <v>0</v>
      </c>
      <c r="D1000" s="953"/>
      <c r="E1000" s="953"/>
      <c r="F1000" s="953"/>
      <c r="G1000" s="1103"/>
    </row>
    <row r="1001" spans="1:7" ht="51" customHeight="1">
      <c r="A1001" s="971"/>
      <c r="B1001" s="957"/>
      <c r="C1001" s="953"/>
      <c r="D1001" s="953"/>
      <c r="E1001" s="953"/>
      <c r="F1001" s="953"/>
      <c r="G1001" s="1103"/>
    </row>
    <row r="1002" spans="1:7" ht="17.399999999999999">
      <c r="A1002" s="971"/>
      <c r="B1002" s="957"/>
      <c r="C1002" s="956"/>
      <c r="D1002" s="957"/>
      <c r="E1002" s="957"/>
      <c r="F1002" s="957"/>
      <c r="G1002" s="958"/>
    </row>
    <row r="1003" spans="1:7">
      <c r="A1003" s="971"/>
      <c r="B1003" s="957"/>
      <c r="C1003" s="959" t="s">
        <v>2</v>
      </c>
      <c r="D1003" s="957"/>
      <c r="E1003" s="957"/>
      <c r="F1003" s="23" t="s">
        <v>3</v>
      </c>
      <c r="G1003" s="24" t="s">
        <v>4</v>
      </c>
    </row>
    <row r="1004" spans="1:7" ht="34.799999999999997">
      <c r="A1004" s="1089" t="s">
        <v>2099</v>
      </c>
      <c r="B1004" s="944"/>
      <c r="C1004" s="980" t="s">
        <v>2457</v>
      </c>
      <c r="D1004" s="944"/>
      <c r="E1004" s="944"/>
      <c r="F1004" s="51" t="s">
        <v>39</v>
      </c>
      <c r="G1004" s="52">
        <v>28.3</v>
      </c>
    </row>
    <row r="1005" spans="1:7">
      <c r="A1005" s="1071" t="s">
        <v>5</v>
      </c>
      <c r="B1005" s="944"/>
      <c r="C1005" s="944"/>
      <c r="D1005" s="944"/>
      <c r="E1005" s="944"/>
      <c r="F1005" s="944"/>
      <c r="G1005" s="1072"/>
    </row>
    <row r="1006" spans="1:7" s="2" customFormat="1" ht="15.75" customHeight="1">
      <c r="A1006" s="1074" t="s">
        <v>2</v>
      </c>
      <c r="B1006" s="944"/>
      <c r="C1006" s="53" t="s">
        <v>3</v>
      </c>
      <c r="D1006" s="53" t="s">
        <v>4</v>
      </c>
      <c r="E1006" s="53" t="s">
        <v>6</v>
      </c>
      <c r="F1006" s="53" t="s">
        <v>7</v>
      </c>
      <c r="G1006" s="1075" t="s">
        <v>8</v>
      </c>
    </row>
    <row r="1007" spans="1:7" s="2" customFormat="1" ht="15.75" customHeight="1">
      <c r="A1007" s="947" t="s">
        <v>167</v>
      </c>
      <c r="B1007" s="980"/>
      <c r="C1007" s="51" t="s">
        <v>3</v>
      </c>
      <c r="D1007" s="54">
        <v>0.05</v>
      </c>
      <c r="E1007" s="17">
        <f>+G1024</f>
        <v>8654.2000000000007</v>
      </c>
      <c r="F1007" s="55">
        <f>D1007*E1007</f>
        <v>432.71000000000004</v>
      </c>
      <c r="G1007" s="1072"/>
    </row>
    <row r="1008" spans="1:7" s="2" customFormat="1" ht="15.75" customHeight="1">
      <c r="A1008" s="947" t="str">
        <f>'MAQUINARIA Y EQUIPOS'!$D$43</f>
        <v>RETROEXCAVADORA EN ORUGAS</v>
      </c>
      <c r="B1008" s="944"/>
      <c r="C1008" s="51" t="s">
        <v>58</v>
      </c>
      <c r="D1008" s="54">
        <v>0.16</v>
      </c>
      <c r="E1008" s="17">
        <f>'MAQUINARIA Y EQUIPOS'!$F$43</f>
        <v>140000</v>
      </c>
      <c r="F1008" s="55">
        <f>D1008*E1008</f>
        <v>22400</v>
      </c>
      <c r="G1008" s="1072"/>
    </row>
    <row r="1009" spans="1:7" s="2" customFormat="1" ht="15.75" customHeight="1">
      <c r="A1009" s="947"/>
      <c r="B1009" s="980"/>
      <c r="C1009" s="141"/>
      <c r="D1009" s="16"/>
      <c r="E1009" s="143"/>
      <c r="F1009" s="55">
        <f>D1009*E1009</f>
        <v>0</v>
      </c>
      <c r="G1009" s="1072"/>
    </row>
    <row r="1010" spans="1:7" s="2" customFormat="1" ht="15.75" customHeight="1">
      <c r="A1010" s="947"/>
      <c r="B1010" s="944"/>
      <c r="C1010" s="51"/>
      <c r="D1010" s="54"/>
      <c r="E1010" s="17"/>
      <c r="F1010" s="55">
        <f>D1010*E1010</f>
        <v>0</v>
      </c>
      <c r="G1010" s="1072"/>
    </row>
    <row r="1011" spans="1:7" s="2" customFormat="1" ht="15.75" customHeight="1">
      <c r="A1011" s="1079"/>
      <c r="B1011" s="944"/>
      <c r="C1011" s="56"/>
      <c r="D1011" s="56"/>
      <c r="E1011" s="56"/>
      <c r="F1011" s="55"/>
      <c r="G1011" s="57">
        <f>SUM(F1006:F1011)</f>
        <v>22832.71</v>
      </c>
    </row>
    <row r="1012" spans="1:7" s="2" customFormat="1" ht="15" customHeight="1">
      <c r="A1012" s="1071" t="s">
        <v>10</v>
      </c>
      <c r="B1012" s="944"/>
      <c r="C1012" s="944"/>
      <c r="D1012" s="944"/>
      <c r="E1012" s="944"/>
      <c r="F1012" s="944"/>
      <c r="G1012" s="1072"/>
    </row>
    <row r="1013" spans="1:7" s="2" customFormat="1" ht="15" customHeight="1">
      <c r="A1013" s="1074" t="s">
        <v>2</v>
      </c>
      <c r="B1013" s="944"/>
      <c r="C1013" s="53" t="s">
        <v>3</v>
      </c>
      <c r="D1013" s="53" t="s">
        <v>4</v>
      </c>
      <c r="E1013" s="53" t="s">
        <v>6</v>
      </c>
      <c r="F1013" s="53" t="s">
        <v>11</v>
      </c>
      <c r="G1013" s="1075" t="s">
        <v>8</v>
      </c>
    </row>
    <row r="1014" spans="1:7" s="2" customFormat="1" ht="15" customHeight="1">
      <c r="A1014" s="947"/>
      <c r="B1014" s="944"/>
      <c r="C1014" s="16"/>
      <c r="D1014" s="54"/>
      <c r="E1014" s="17"/>
      <c r="F1014" s="55">
        <f>D1014*E1014</f>
        <v>0</v>
      </c>
      <c r="G1014" s="1072"/>
    </row>
    <row r="1015" spans="1:7" s="2" customFormat="1" ht="15" customHeight="1">
      <c r="A1015" s="947"/>
      <c r="B1015" s="944"/>
      <c r="C1015" s="51"/>
      <c r="D1015" s="54"/>
      <c r="E1015" s="17"/>
      <c r="F1015" s="55">
        <f>D1015*E1015</f>
        <v>0</v>
      </c>
      <c r="G1015" s="1072"/>
    </row>
    <row r="1016" spans="1:7" s="2" customFormat="1" ht="15" customHeight="1">
      <c r="A1016" s="947"/>
      <c r="B1016" s="944"/>
      <c r="C1016" s="16"/>
      <c r="D1016" s="54"/>
      <c r="E1016" s="17"/>
      <c r="F1016" s="55">
        <f>D1016*E1016</f>
        <v>0</v>
      </c>
      <c r="G1016" s="1072"/>
    </row>
    <row r="1017" spans="1:7" s="2" customFormat="1" ht="15" customHeight="1">
      <c r="A1017" s="947"/>
      <c r="B1017" s="944"/>
      <c r="C1017" s="16"/>
      <c r="D1017" s="58"/>
      <c r="E1017" s="17"/>
      <c r="F1017" s="55"/>
      <c r="G1017" s="57">
        <f>SUM(F1013:F1017)</f>
        <v>0</v>
      </c>
    </row>
    <row r="1018" spans="1:7" s="2" customFormat="1" ht="15" customHeight="1">
      <c r="A1018" s="1071" t="s">
        <v>15</v>
      </c>
      <c r="B1018" s="944"/>
      <c r="C1018" s="944"/>
      <c r="D1018" s="944"/>
      <c r="E1018" s="944"/>
      <c r="F1018" s="944"/>
      <c r="G1018" s="1072"/>
    </row>
    <row r="1019" spans="1:7" s="2" customFormat="1" ht="15" customHeight="1">
      <c r="A1019" s="1074" t="s">
        <v>2</v>
      </c>
      <c r="B1019" s="944"/>
      <c r="C1019" s="53" t="s">
        <v>3</v>
      </c>
      <c r="D1019" s="53" t="s">
        <v>4</v>
      </c>
      <c r="E1019" s="53" t="s">
        <v>6</v>
      </c>
      <c r="F1019" s="53" t="s">
        <v>11</v>
      </c>
      <c r="G1019" s="1075" t="s">
        <v>8</v>
      </c>
    </row>
    <row r="1020" spans="1:7" s="2" customFormat="1" ht="15" customHeight="1">
      <c r="A1020" s="943" t="s">
        <v>2561</v>
      </c>
      <c r="B1020" s="944"/>
      <c r="C1020" s="16" t="s">
        <v>39</v>
      </c>
      <c r="D1020" s="16">
        <v>1.3</v>
      </c>
      <c r="E1020" s="17">
        <v>16260</v>
      </c>
      <c r="F1020" s="55">
        <f>E1020*D1020</f>
        <v>21138</v>
      </c>
      <c r="G1020" s="1072"/>
    </row>
    <row r="1021" spans="1:7" s="2" customFormat="1" ht="15" customHeight="1">
      <c r="A1021" s="59"/>
      <c r="B1021" s="60"/>
      <c r="C1021" s="60"/>
      <c r="D1021" s="60"/>
      <c r="E1021" s="60"/>
      <c r="F1021" s="60"/>
      <c r="G1021" s="57">
        <f>SUM(F1020:F1021)</f>
        <v>21138</v>
      </c>
    </row>
    <row r="1022" spans="1:7" s="2" customFormat="1" ht="15" customHeight="1">
      <c r="A1022" s="1071" t="s">
        <v>19</v>
      </c>
      <c r="B1022" s="944"/>
      <c r="C1022" s="944"/>
      <c r="D1022" s="944"/>
      <c r="E1022" s="944"/>
      <c r="F1022" s="944"/>
      <c r="G1022" s="1072"/>
    </row>
    <row r="1023" spans="1:7" s="2" customFormat="1" ht="15" customHeight="1">
      <c r="A1023" s="1074" t="s">
        <v>2</v>
      </c>
      <c r="B1023" s="944"/>
      <c r="C1023" s="53" t="s">
        <v>3</v>
      </c>
      <c r="D1023" s="53" t="s">
        <v>4</v>
      </c>
      <c r="E1023" s="53" t="s">
        <v>6</v>
      </c>
      <c r="F1023" s="53" t="s">
        <v>11</v>
      </c>
      <c r="G1023" s="456" t="s">
        <v>8</v>
      </c>
    </row>
    <row r="1024" spans="1:7" s="2" customFormat="1" ht="15.75" customHeight="1">
      <c r="A1024" s="978" t="str">
        <f>SALARIOS!$A$63</f>
        <v>CUADRILLA AA ALBAÑILERÍA 1:3</v>
      </c>
      <c r="B1024" s="979"/>
      <c r="C1024" s="13" t="s">
        <v>1245</v>
      </c>
      <c r="D1024" s="32">
        <v>0.2</v>
      </c>
      <c r="E1024" s="13">
        <f>SALARIOS!$C$63</f>
        <v>43271</v>
      </c>
      <c r="F1024" s="55">
        <f>+D1024*E1024</f>
        <v>8654.2000000000007</v>
      </c>
      <c r="G1024" s="57">
        <f>SUM(F1023:F1024)</f>
        <v>8654.2000000000007</v>
      </c>
    </row>
    <row r="1025" spans="1:7">
      <c r="A1025" s="1076" t="s">
        <v>25</v>
      </c>
      <c r="B1025" s="944"/>
      <c r="C1025" s="944"/>
      <c r="D1025" s="944"/>
      <c r="E1025" s="944"/>
      <c r="F1025" s="944"/>
      <c r="G1025" s="1072"/>
    </row>
    <row r="1026" spans="1:7" ht="17.399999999999999">
      <c r="A1026" s="1077"/>
      <c r="B1026" s="944"/>
      <c r="C1026" s="944"/>
      <c r="D1026" s="944"/>
      <c r="E1026" s="944"/>
      <c r="F1026" s="944"/>
      <c r="G1026" s="62">
        <f>G1024+G1021+G1017+G1011</f>
        <v>52624.91</v>
      </c>
    </row>
    <row r="1028" spans="1:7">
      <c r="A1028" s="970" t="s">
        <v>1</v>
      </c>
      <c r="B1028" s="957"/>
      <c r="C1028" s="953" t="s">
        <v>0</v>
      </c>
      <c r="D1028" s="953"/>
      <c r="E1028" s="953"/>
      <c r="F1028" s="953"/>
      <c r="G1028" s="1103"/>
    </row>
    <row r="1029" spans="1:7" ht="47.25" customHeight="1">
      <c r="A1029" s="971"/>
      <c r="B1029" s="957"/>
      <c r="C1029" s="953"/>
      <c r="D1029" s="953"/>
      <c r="E1029" s="953"/>
      <c r="F1029" s="953"/>
      <c r="G1029" s="1103"/>
    </row>
    <row r="1030" spans="1:7" ht="17.399999999999999">
      <c r="A1030" s="971"/>
      <c r="B1030" s="957"/>
      <c r="C1030" s="956"/>
      <c r="D1030" s="957"/>
      <c r="E1030" s="957"/>
      <c r="F1030" s="957"/>
      <c r="G1030" s="958"/>
    </row>
    <row r="1031" spans="1:7">
      <c r="A1031" s="971"/>
      <c r="B1031" s="957"/>
      <c r="C1031" s="959" t="s">
        <v>2</v>
      </c>
      <c r="D1031" s="957"/>
      <c r="E1031" s="957"/>
      <c r="F1031" s="23" t="s">
        <v>3</v>
      </c>
      <c r="G1031" s="24" t="s">
        <v>4</v>
      </c>
    </row>
    <row r="1032" spans="1:7" ht="34.799999999999997">
      <c r="A1032" s="1089" t="s">
        <v>2103</v>
      </c>
      <c r="B1032" s="944"/>
      <c r="C1032" s="980" t="s">
        <v>2458</v>
      </c>
      <c r="D1032" s="944"/>
      <c r="E1032" s="944"/>
      <c r="F1032" s="51" t="s">
        <v>37</v>
      </c>
      <c r="G1032" s="52">
        <v>193.86</v>
      </c>
    </row>
    <row r="1033" spans="1:7">
      <c r="A1033" s="1071" t="s">
        <v>5</v>
      </c>
      <c r="B1033" s="944"/>
      <c r="C1033" s="944"/>
      <c r="D1033" s="944"/>
      <c r="E1033" s="944"/>
      <c r="F1033" s="944"/>
      <c r="G1033" s="1072"/>
    </row>
    <row r="1034" spans="1:7">
      <c r="A1034" s="1074" t="s">
        <v>2</v>
      </c>
      <c r="B1034" s="944"/>
      <c r="C1034" s="53" t="s">
        <v>3</v>
      </c>
      <c r="D1034" s="53" t="s">
        <v>4</v>
      </c>
      <c r="E1034" s="53" t="s">
        <v>6</v>
      </c>
      <c r="F1034" s="53" t="s">
        <v>7</v>
      </c>
      <c r="G1034" s="1075" t="s">
        <v>8</v>
      </c>
    </row>
    <row r="1035" spans="1:7">
      <c r="A1035" s="947" t="s">
        <v>167</v>
      </c>
      <c r="B1035" s="980"/>
      <c r="C1035" s="51" t="s">
        <v>3</v>
      </c>
      <c r="D1035" s="54">
        <v>0.05</v>
      </c>
      <c r="E1035" s="17">
        <f>+G1052</f>
        <v>17031.5</v>
      </c>
      <c r="F1035" s="55">
        <f>D1035*E1035</f>
        <v>851.57500000000005</v>
      </c>
      <c r="G1035" s="1072"/>
    </row>
    <row r="1036" spans="1:7">
      <c r="A1036" s="947"/>
      <c r="B1036" s="944"/>
      <c r="C1036" s="51"/>
      <c r="D1036" s="54"/>
      <c r="E1036" s="17"/>
      <c r="F1036" s="55">
        <f>D1036*E1036</f>
        <v>0</v>
      </c>
      <c r="G1036" s="1072"/>
    </row>
    <row r="1037" spans="1:7">
      <c r="A1037" s="947"/>
      <c r="B1037" s="980"/>
      <c r="C1037" s="141"/>
      <c r="D1037" s="16"/>
      <c r="E1037" s="143"/>
      <c r="F1037" s="55">
        <f>D1037*E1037</f>
        <v>0</v>
      </c>
      <c r="G1037" s="1072"/>
    </row>
    <row r="1038" spans="1:7">
      <c r="A1038" s="947"/>
      <c r="B1038" s="944"/>
      <c r="C1038" s="51"/>
      <c r="D1038" s="54"/>
      <c r="E1038" s="17"/>
      <c r="F1038" s="55">
        <f>D1038*E1038</f>
        <v>0</v>
      </c>
      <c r="G1038" s="1072"/>
    </row>
    <row r="1039" spans="1:7">
      <c r="A1039" s="1079"/>
      <c r="B1039" s="944"/>
      <c r="C1039" s="56"/>
      <c r="D1039" s="56"/>
      <c r="E1039" s="56"/>
      <c r="F1039" s="55"/>
      <c r="G1039" s="57">
        <f>SUM(F1034:F1039)</f>
        <v>851.57500000000005</v>
      </c>
    </row>
    <row r="1040" spans="1:7">
      <c r="A1040" s="1071" t="s">
        <v>10</v>
      </c>
      <c r="B1040" s="944"/>
      <c r="C1040" s="944"/>
      <c r="D1040" s="944"/>
      <c r="E1040" s="944"/>
      <c r="F1040" s="944"/>
      <c r="G1040" s="1072"/>
    </row>
    <row r="1041" spans="1:7">
      <c r="A1041" s="1074" t="s">
        <v>2</v>
      </c>
      <c r="B1041" s="944"/>
      <c r="C1041" s="53" t="s">
        <v>3</v>
      </c>
      <c r="D1041" s="53" t="s">
        <v>4</v>
      </c>
      <c r="E1041" s="53" t="s">
        <v>6</v>
      </c>
      <c r="F1041" s="53" t="s">
        <v>11</v>
      </c>
      <c r="G1041" s="1075" t="s">
        <v>8</v>
      </c>
    </row>
    <row r="1042" spans="1:7">
      <c r="A1042" s="947" t="s">
        <v>2656</v>
      </c>
      <c r="B1042" s="944"/>
      <c r="C1042" s="16" t="s">
        <v>998</v>
      </c>
      <c r="D1042" s="54">
        <v>2.5</v>
      </c>
      <c r="E1042" s="17">
        <f>'INSUMOS '!$E$510</f>
        <v>20000</v>
      </c>
      <c r="F1042" s="55">
        <f>D1042*E1042</f>
        <v>50000</v>
      </c>
      <c r="G1042" s="1072"/>
    </row>
    <row r="1043" spans="1:7">
      <c r="A1043" s="947" t="s">
        <v>2658</v>
      </c>
      <c r="B1043" s="944"/>
      <c r="C1043" s="16" t="s">
        <v>998</v>
      </c>
      <c r="D1043" s="54">
        <v>1.7</v>
      </c>
      <c r="E1043" s="17">
        <f>'INSUMOS '!$E$511</f>
        <v>9600</v>
      </c>
      <c r="F1043" s="55">
        <f>D1043*E1043</f>
        <v>16320</v>
      </c>
      <c r="G1043" s="1072"/>
    </row>
    <row r="1044" spans="1:7">
      <c r="A1044" s="947"/>
      <c r="B1044" s="944"/>
      <c r="C1044" s="16"/>
      <c r="D1044" s="54"/>
      <c r="E1044" s="17"/>
      <c r="F1044" s="55">
        <f>D1044*E1044</f>
        <v>0</v>
      </c>
      <c r="G1044" s="1072"/>
    </row>
    <row r="1045" spans="1:7">
      <c r="A1045" s="947"/>
      <c r="B1045" s="944"/>
      <c r="C1045" s="16"/>
      <c r="D1045" s="58"/>
      <c r="E1045" s="17"/>
      <c r="F1045" s="55"/>
      <c r="G1045" s="57">
        <f>SUM(F1041:F1045)</f>
        <v>66320</v>
      </c>
    </row>
    <row r="1046" spans="1:7">
      <c r="A1046" s="1071" t="s">
        <v>15</v>
      </c>
      <c r="B1046" s="944"/>
      <c r="C1046" s="944"/>
      <c r="D1046" s="944"/>
      <c r="E1046" s="944"/>
      <c r="F1046" s="944"/>
      <c r="G1046" s="1072"/>
    </row>
    <row r="1047" spans="1:7">
      <c r="A1047" s="1074" t="s">
        <v>2</v>
      </c>
      <c r="B1047" s="944"/>
      <c r="C1047" s="53" t="s">
        <v>3</v>
      </c>
      <c r="D1047" s="53" t="s">
        <v>4</v>
      </c>
      <c r="E1047" s="53" t="s">
        <v>6</v>
      </c>
      <c r="F1047" s="53" t="s">
        <v>11</v>
      </c>
      <c r="G1047" s="1075" t="s">
        <v>8</v>
      </c>
    </row>
    <row r="1048" spans="1:7">
      <c r="A1048" s="943" t="s">
        <v>173</v>
      </c>
      <c r="B1048" s="944"/>
      <c r="C1048" s="16" t="s">
        <v>3</v>
      </c>
      <c r="D1048" s="54">
        <v>3.5000000000000003E-2</v>
      </c>
      <c r="E1048" s="17">
        <f>+G1045</f>
        <v>66320</v>
      </c>
      <c r="F1048" s="55">
        <f>E1048*D1048</f>
        <v>2321.2000000000003</v>
      </c>
      <c r="G1048" s="1072"/>
    </row>
    <row r="1049" spans="1:7">
      <c r="A1049" s="59"/>
      <c r="B1049" s="60"/>
      <c r="C1049" s="60"/>
      <c r="D1049" s="60"/>
      <c r="E1049" s="60"/>
      <c r="F1049" s="60"/>
      <c r="G1049" s="57">
        <f>SUM(F1048:F1049)</f>
        <v>2321.2000000000003</v>
      </c>
    </row>
    <row r="1050" spans="1:7">
      <c r="A1050" s="1071" t="s">
        <v>19</v>
      </c>
      <c r="B1050" s="944"/>
      <c r="C1050" s="944"/>
      <c r="D1050" s="944"/>
      <c r="E1050" s="944"/>
      <c r="F1050" s="944"/>
      <c r="G1050" s="1072"/>
    </row>
    <row r="1051" spans="1:7">
      <c r="A1051" s="1074" t="s">
        <v>2</v>
      </c>
      <c r="B1051" s="944"/>
      <c r="C1051" s="53" t="s">
        <v>3</v>
      </c>
      <c r="D1051" s="53" t="s">
        <v>4</v>
      </c>
      <c r="E1051" s="53" t="s">
        <v>6</v>
      </c>
      <c r="F1051" s="53" t="s">
        <v>11</v>
      </c>
      <c r="G1051" s="456" t="s">
        <v>8</v>
      </c>
    </row>
    <row r="1052" spans="1:7">
      <c r="A1052" s="978" t="str">
        <f>SALARIOS!$A$62</f>
        <v>CUADRILLA AA ALBAÑILERÍA 1:2</v>
      </c>
      <c r="B1052" s="979"/>
      <c r="C1052" s="13" t="s">
        <v>1245</v>
      </c>
      <c r="D1052" s="32">
        <v>0.5</v>
      </c>
      <c r="E1052" s="13">
        <f>SALARIOS!$C$62</f>
        <v>34063</v>
      </c>
      <c r="F1052" s="55">
        <f>+D1052*E1052</f>
        <v>17031.5</v>
      </c>
      <c r="G1052" s="57">
        <f>SUM(F1051:F1052)</f>
        <v>17031.5</v>
      </c>
    </row>
    <row r="1053" spans="1:7">
      <c r="A1053" s="1076" t="s">
        <v>25</v>
      </c>
      <c r="B1053" s="944"/>
      <c r="C1053" s="944"/>
      <c r="D1053" s="944"/>
      <c r="E1053" s="944"/>
      <c r="F1053" s="944"/>
      <c r="G1053" s="1072"/>
    </row>
    <row r="1054" spans="1:7" ht="17.399999999999999">
      <c r="A1054" s="1077"/>
      <c r="B1054" s="944"/>
      <c r="C1054" s="944"/>
      <c r="D1054" s="944"/>
      <c r="E1054" s="944"/>
      <c r="F1054" s="944"/>
      <c r="G1054" s="62">
        <f>G1052+G1049+G1045+G1039</f>
        <v>86524.274999999994</v>
      </c>
    </row>
    <row r="1056" spans="1:7">
      <c r="A1056" s="970" t="s">
        <v>1</v>
      </c>
      <c r="B1056" s="957"/>
      <c r="C1056" s="953" t="s">
        <v>0</v>
      </c>
      <c r="D1056" s="953"/>
      <c r="E1056" s="953"/>
      <c r="F1056" s="953"/>
      <c r="G1056" s="1103"/>
    </row>
    <row r="1057" spans="1:7" ht="46.5" customHeight="1">
      <c r="A1057" s="971"/>
      <c r="B1057" s="957"/>
      <c r="C1057" s="953"/>
      <c r="D1057" s="953"/>
      <c r="E1057" s="953"/>
      <c r="F1057" s="953"/>
      <c r="G1057" s="1103"/>
    </row>
    <row r="1058" spans="1:7" ht="17.399999999999999">
      <c r="A1058" s="971"/>
      <c r="B1058" s="957"/>
      <c r="C1058" s="956"/>
      <c r="D1058" s="957"/>
      <c r="E1058" s="957"/>
      <c r="F1058" s="957"/>
      <c r="G1058" s="958"/>
    </row>
    <row r="1059" spans="1:7">
      <c r="A1059" s="971"/>
      <c r="B1059" s="957"/>
      <c r="C1059" s="959" t="s">
        <v>2</v>
      </c>
      <c r="D1059" s="957"/>
      <c r="E1059" s="957"/>
      <c r="F1059" s="23" t="s">
        <v>3</v>
      </c>
      <c r="G1059" s="24" t="s">
        <v>4</v>
      </c>
    </row>
    <row r="1060" spans="1:7" ht="34.799999999999997">
      <c r="A1060" s="1089" t="s">
        <v>2105</v>
      </c>
      <c r="B1060" s="944"/>
      <c r="C1060" s="980" t="s">
        <v>2459</v>
      </c>
      <c r="D1060" s="944"/>
      <c r="E1060" s="944"/>
      <c r="F1060" s="51" t="s">
        <v>37</v>
      </c>
      <c r="G1060" s="52">
        <v>10.199999999999999</v>
      </c>
    </row>
    <row r="1061" spans="1:7">
      <c r="A1061" s="1071" t="s">
        <v>5</v>
      </c>
      <c r="B1061" s="944"/>
      <c r="C1061" s="944"/>
      <c r="D1061" s="944"/>
      <c r="E1061" s="944"/>
      <c r="F1061" s="944"/>
      <c r="G1061" s="1072"/>
    </row>
    <row r="1062" spans="1:7">
      <c r="A1062" s="1074" t="s">
        <v>2</v>
      </c>
      <c r="B1062" s="944"/>
      <c r="C1062" s="53" t="s">
        <v>3</v>
      </c>
      <c r="D1062" s="53" t="s">
        <v>4</v>
      </c>
      <c r="E1062" s="53" t="s">
        <v>6</v>
      </c>
      <c r="F1062" s="53" t="s">
        <v>7</v>
      </c>
      <c r="G1062" s="1075" t="s">
        <v>8</v>
      </c>
    </row>
    <row r="1063" spans="1:7">
      <c r="A1063" s="947" t="s">
        <v>167</v>
      </c>
      <c r="B1063" s="980"/>
      <c r="C1063" s="51" t="s">
        <v>3</v>
      </c>
      <c r="D1063" s="54">
        <v>0.05</v>
      </c>
      <c r="E1063" s="17">
        <f>+G1080</f>
        <v>17031.5</v>
      </c>
      <c r="F1063" s="55">
        <f>D1063*E1063</f>
        <v>851.57500000000005</v>
      </c>
      <c r="G1063" s="1072"/>
    </row>
    <row r="1064" spans="1:7">
      <c r="A1064" s="947"/>
      <c r="B1064" s="944"/>
      <c r="C1064" s="51"/>
      <c r="D1064" s="54"/>
      <c r="E1064" s="17"/>
      <c r="F1064" s="55">
        <f>D1064*E1064</f>
        <v>0</v>
      </c>
      <c r="G1064" s="1072"/>
    </row>
    <row r="1065" spans="1:7">
      <c r="A1065" s="947"/>
      <c r="B1065" s="980"/>
      <c r="C1065" s="141"/>
      <c r="D1065" s="16"/>
      <c r="E1065" s="143"/>
      <c r="F1065" s="55">
        <f>D1065*E1065</f>
        <v>0</v>
      </c>
      <c r="G1065" s="1072"/>
    </row>
    <row r="1066" spans="1:7">
      <c r="A1066" s="947"/>
      <c r="B1066" s="944"/>
      <c r="C1066" s="51"/>
      <c r="D1066" s="54"/>
      <c r="E1066" s="17"/>
      <c r="F1066" s="55">
        <f>D1066*E1066</f>
        <v>0</v>
      </c>
      <c r="G1066" s="1072"/>
    </row>
    <row r="1067" spans="1:7">
      <c r="A1067" s="1079"/>
      <c r="B1067" s="944"/>
      <c r="C1067" s="56"/>
      <c r="D1067" s="56"/>
      <c r="E1067" s="56"/>
      <c r="F1067" s="55"/>
      <c r="G1067" s="57">
        <f>SUM(F1062:F1067)</f>
        <v>851.57500000000005</v>
      </c>
    </row>
    <row r="1068" spans="1:7">
      <c r="A1068" s="1071" t="s">
        <v>10</v>
      </c>
      <c r="B1068" s="944"/>
      <c r="C1068" s="944"/>
      <c r="D1068" s="944"/>
      <c r="E1068" s="944"/>
      <c r="F1068" s="944"/>
      <c r="G1068" s="1072"/>
    </row>
    <row r="1069" spans="1:7">
      <c r="A1069" s="1074" t="s">
        <v>2</v>
      </c>
      <c r="B1069" s="944"/>
      <c r="C1069" s="53" t="s">
        <v>3</v>
      </c>
      <c r="D1069" s="53" t="s">
        <v>4</v>
      </c>
      <c r="E1069" s="53" t="s">
        <v>6</v>
      </c>
      <c r="F1069" s="53" t="s">
        <v>11</v>
      </c>
      <c r="G1069" s="1075" t="s">
        <v>8</v>
      </c>
    </row>
    <row r="1070" spans="1:7">
      <c r="A1070" s="947" t="s">
        <v>2656</v>
      </c>
      <c r="B1070" s="944"/>
      <c r="C1070" s="16" t="s">
        <v>998</v>
      </c>
      <c r="D1070" s="54">
        <v>3.2</v>
      </c>
      <c r="E1070" s="17">
        <f>'INSUMOS '!$E$510</f>
        <v>20000</v>
      </c>
      <c r="F1070" s="55">
        <f>D1070*E1070</f>
        <v>64000</v>
      </c>
      <c r="G1070" s="1072"/>
    </row>
    <row r="1071" spans="1:7">
      <c r="A1071" s="947" t="s">
        <v>2658</v>
      </c>
      <c r="B1071" s="944"/>
      <c r="C1071" s="16" t="s">
        <v>998</v>
      </c>
      <c r="D1071" s="54">
        <v>2.4</v>
      </c>
      <c r="E1071" s="17">
        <f>'INSUMOS '!$E$511</f>
        <v>9600</v>
      </c>
      <c r="F1071" s="55">
        <f>D1071*E1071</f>
        <v>23040</v>
      </c>
      <c r="G1071" s="1072"/>
    </row>
    <row r="1072" spans="1:7">
      <c r="A1072" s="947"/>
      <c r="B1072" s="944"/>
      <c r="C1072" s="16"/>
      <c r="D1072" s="54"/>
      <c r="E1072" s="17"/>
      <c r="F1072" s="55">
        <f>D1072*E1072</f>
        <v>0</v>
      </c>
      <c r="G1072" s="1072"/>
    </row>
    <row r="1073" spans="1:7">
      <c r="A1073" s="947"/>
      <c r="B1073" s="944"/>
      <c r="C1073" s="16"/>
      <c r="D1073" s="58"/>
      <c r="E1073" s="17"/>
      <c r="F1073" s="55"/>
      <c r="G1073" s="57">
        <f>SUM(F1069:F1073)</f>
        <v>87040</v>
      </c>
    </row>
    <row r="1074" spans="1:7">
      <c r="A1074" s="1071" t="s">
        <v>15</v>
      </c>
      <c r="B1074" s="944"/>
      <c r="C1074" s="944"/>
      <c r="D1074" s="944"/>
      <c r="E1074" s="944"/>
      <c r="F1074" s="944"/>
      <c r="G1074" s="1072"/>
    </row>
    <row r="1075" spans="1:7">
      <c r="A1075" s="1074" t="s">
        <v>2</v>
      </c>
      <c r="B1075" s="944"/>
      <c r="C1075" s="53" t="s">
        <v>3</v>
      </c>
      <c r="D1075" s="53" t="s">
        <v>4</v>
      </c>
      <c r="E1075" s="53" t="s">
        <v>6</v>
      </c>
      <c r="F1075" s="53" t="s">
        <v>11</v>
      </c>
      <c r="G1075" s="1075" t="s">
        <v>8</v>
      </c>
    </row>
    <row r="1076" spans="1:7">
      <c r="A1076" s="943" t="s">
        <v>173</v>
      </c>
      <c r="B1076" s="944"/>
      <c r="C1076" s="16" t="s">
        <v>3</v>
      </c>
      <c r="D1076" s="54">
        <v>3.5000000000000003E-2</v>
      </c>
      <c r="E1076" s="17">
        <f>+G1073</f>
        <v>87040</v>
      </c>
      <c r="F1076" s="55">
        <f>E1076*D1076</f>
        <v>3046.4</v>
      </c>
      <c r="G1076" s="1072"/>
    </row>
    <row r="1077" spans="1:7">
      <c r="A1077" s="59"/>
      <c r="B1077" s="60"/>
      <c r="C1077" s="60"/>
      <c r="D1077" s="60"/>
      <c r="E1077" s="60"/>
      <c r="F1077" s="60"/>
      <c r="G1077" s="57">
        <f>SUM(F1076:F1077)</f>
        <v>3046.4</v>
      </c>
    </row>
    <row r="1078" spans="1:7">
      <c r="A1078" s="1071" t="s">
        <v>19</v>
      </c>
      <c r="B1078" s="944"/>
      <c r="C1078" s="944"/>
      <c r="D1078" s="944"/>
      <c r="E1078" s="944"/>
      <c r="F1078" s="944"/>
      <c r="G1078" s="1072"/>
    </row>
    <row r="1079" spans="1:7">
      <c r="A1079" s="1074" t="s">
        <v>2</v>
      </c>
      <c r="B1079" s="944"/>
      <c r="C1079" s="53" t="s">
        <v>3</v>
      </c>
      <c r="D1079" s="53" t="s">
        <v>4</v>
      </c>
      <c r="E1079" s="53" t="s">
        <v>6</v>
      </c>
      <c r="F1079" s="53" t="s">
        <v>11</v>
      </c>
      <c r="G1079" s="456" t="s">
        <v>8</v>
      </c>
    </row>
    <row r="1080" spans="1:7">
      <c r="A1080" s="978" t="str">
        <f>SALARIOS!$A$62</f>
        <v>CUADRILLA AA ALBAÑILERÍA 1:2</v>
      </c>
      <c r="B1080" s="979"/>
      <c r="C1080" s="13" t="s">
        <v>1245</v>
      </c>
      <c r="D1080" s="32">
        <v>0.5</v>
      </c>
      <c r="E1080" s="13">
        <f>SALARIOS!$C$62</f>
        <v>34063</v>
      </c>
      <c r="F1080" s="55">
        <f>+D1080*E1080</f>
        <v>17031.5</v>
      </c>
      <c r="G1080" s="57">
        <f>SUM(F1079:F1080)</f>
        <v>17031.5</v>
      </c>
    </row>
    <row r="1081" spans="1:7">
      <c r="A1081" s="1076" t="s">
        <v>25</v>
      </c>
      <c r="B1081" s="944"/>
      <c r="C1081" s="944"/>
      <c r="D1081" s="944"/>
      <c r="E1081" s="944"/>
      <c r="F1081" s="944"/>
      <c r="G1081" s="1072"/>
    </row>
    <row r="1082" spans="1:7" ht="17.399999999999999">
      <c r="A1082" s="1077"/>
      <c r="B1082" s="944"/>
      <c r="C1082" s="944"/>
      <c r="D1082" s="944"/>
      <c r="E1082" s="944"/>
      <c r="F1082" s="944"/>
      <c r="G1082" s="62">
        <f>G1080+G1077+G1073+G1067</f>
        <v>107969.47499999999</v>
      </c>
    </row>
    <row r="1084" spans="1:7">
      <c r="A1084" s="970" t="s">
        <v>1</v>
      </c>
      <c r="B1084" s="957"/>
      <c r="C1084" s="953" t="s">
        <v>0</v>
      </c>
      <c r="D1084" s="953"/>
      <c r="E1084" s="953"/>
      <c r="F1084" s="953"/>
      <c r="G1084" s="1103"/>
    </row>
    <row r="1085" spans="1:7" ht="51" customHeight="1">
      <c r="A1085" s="971"/>
      <c r="B1085" s="957"/>
      <c r="C1085" s="953"/>
      <c r="D1085" s="953"/>
      <c r="E1085" s="953"/>
      <c r="F1085" s="953"/>
      <c r="G1085" s="1103"/>
    </row>
    <row r="1086" spans="1:7" ht="17.399999999999999">
      <c r="A1086" s="971"/>
      <c r="B1086" s="957"/>
      <c r="C1086" s="956"/>
      <c r="D1086" s="957"/>
      <c r="E1086" s="957"/>
      <c r="F1086" s="957"/>
      <c r="G1086" s="958"/>
    </row>
    <row r="1087" spans="1:7">
      <c r="A1087" s="971"/>
      <c r="B1087" s="957"/>
      <c r="C1087" s="959" t="s">
        <v>2</v>
      </c>
      <c r="D1087" s="957"/>
      <c r="E1087" s="957"/>
      <c r="F1087" s="23" t="s">
        <v>3</v>
      </c>
      <c r="G1087" s="24" t="s">
        <v>4</v>
      </c>
    </row>
    <row r="1088" spans="1:7" ht="34.799999999999997">
      <c r="A1088" s="1089" t="s">
        <v>2109</v>
      </c>
      <c r="B1088" s="944"/>
      <c r="C1088" s="980" t="s">
        <v>2110</v>
      </c>
      <c r="D1088" s="944"/>
      <c r="E1088" s="944"/>
      <c r="F1088" s="51" t="s">
        <v>39</v>
      </c>
      <c r="G1088" s="52">
        <v>49.97</v>
      </c>
    </row>
    <row r="1089" spans="1:7">
      <c r="A1089" s="1071" t="s">
        <v>5</v>
      </c>
      <c r="B1089" s="944"/>
      <c r="C1089" s="944"/>
      <c r="D1089" s="944"/>
      <c r="E1089" s="944"/>
      <c r="F1089" s="944"/>
      <c r="G1089" s="1072"/>
    </row>
    <row r="1090" spans="1:7" s="2" customFormat="1" ht="15.75" customHeight="1">
      <c r="A1090" s="1074" t="s">
        <v>2</v>
      </c>
      <c r="B1090" s="944"/>
      <c r="C1090" s="53" t="s">
        <v>3</v>
      </c>
      <c r="D1090" s="53" t="s">
        <v>4</v>
      </c>
      <c r="E1090" s="53" t="s">
        <v>6</v>
      </c>
      <c r="F1090" s="53" t="s">
        <v>7</v>
      </c>
      <c r="G1090" s="1075" t="s">
        <v>8</v>
      </c>
    </row>
    <row r="1091" spans="1:7" s="2" customFormat="1" ht="15.75" customHeight="1">
      <c r="A1091" s="947" t="s">
        <v>167</v>
      </c>
      <c r="B1091" s="980"/>
      <c r="C1091" s="51" t="s">
        <v>3</v>
      </c>
      <c r="D1091" s="54">
        <v>0.05</v>
      </c>
      <c r="E1091" s="17">
        <f>+G1108</f>
        <v>29826</v>
      </c>
      <c r="F1091" s="55">
        <f>D1091*E1091</f>
        <v>1491.3000000000002</v>
      </c>
      <c r="G1091" s="1072"/>
    </row>
    <row r="1092" spans="1:7" s="2" customFormat="1" ht="15.75" customHeight="1">
      <c r="A1092" s="947" t="str">
        <f>'MAQUINARIA Y EQUIPOS'!$D$44</f>
        <v>VIBROCOMPACTADOR</v>
      </c>
      <c r="B1092" s="944"/>
      <c r="C1092" s="51" t="s">
        <v>60</v>
      </c>
      <c r="D1092" s="54">
        <v>0.02</v>
      </c>
      <c r="E1092" s="17">
        <f>'MAQUINARIA Y EQUIPOS'!$F$44</f>
        <v>75000</v>
      </c>
      <c r="F1092" s="55">
        <f>D1092*E1092</f>
        <v>1500</v>
      </c>
      <c r="G1092" s="1072"/>
    </row>
    <row r="1093" spans="1:7" s="2" customFormat="1" ht="15.75" customHeight="1">
      <c r="A1093" s="947"/>
      <c r="B1093" s="980"/>
      <c r="C1093" s="141"/>
      <c r="D1093" s="16"/>
      <c r="E1093" s="143"/>
      <c r="F1093" s="55">
        <f>D1093*E1093</f>
        <v>0</v>
      </c>
      <c r="G1093" s="1072"/>
    </row>
    <row r="1094" spans="1:7" s="2" customFormat="1" ht="15.75" customHeight="1">
      <c r="A1094" s="947"/>
      <c r="B1094" s="944"/>
      <c r="C1094" s="51"/>
      <c r="D1094" s="54"/>
      <c r="E1094" s="17"/>
      <c r="F1094" s="55">
        <f>D1094*E1094</f>
        <v>0</v>
      </c>
      <c r="G1094" s="1072"/>
    </row>
    <row r="1095" spans="1:7" s="2" customFormat="1" ht="15.75" customHeight="1">
      <c r="A1095" s="1079"/>
      <c r="B1095" s="944"/>
      <c r="C1095" s="56"/>
      <c r="D1095" s="56"/>
      <c r="E1095" s="56"/>
      <c r="F1095" s="55"/>
      <c r="G1095" s="57">
        <f>SUM(F1090:F1095)</f>
        <v>2991.3</v>
      </c>
    </row>
    <row r="1096" spans="1:7" s="2" customFormat="1" ht="15" customHeight="1">
      <c r="A1096" s="1071" t="s">
        <v>10</v>
      </c>
      <c r="B1096" s="944"/>
      <c r="C1096" s="944"/>
      <c r="D1096" s="944"/>
      <c r="E1096" s="944"/>
      <c r="F1096" s="944"/>
      <c r="G1096" s="1072"/>
    </row>
    <row r="1097" spans="1:7" s="2" customFormat="1" ht="15" customHeight="1">
      <c r="A1097" s="1074" t="s">
        <v>2</v>
      </c>
      <c r="B1097" s="944"/>
      <c r="C1097" s="53" t="s">
        <v>3</v>
      </c>
      <c r="D1097" s="53" t="s">
        <v>4</v>
      </c>
      <c r="E1097" s="53" t="s">
        <v>6</v>
      </c>
      <c r="F1097" s="53" t="s">
        <v>11</v>
      </c>
      <c r="G1097" s="1075" t="s">
        <v>8</v>
      </c>
    </row>
    <row r="1098" spans="1:7" s="2" customFormat="1" ht="15" customHeight="1">
      <c r="A1098" s="947"/>
      <c r="B1098" s="944"/>
      <c r="C1098" s="16"/>
      <c r="D1098" s="54"/>
      <c r="E1098" s="17"/>
      <c r="F1098" s="55">
        <f>D1098*E1098</f>
        <v>0</v>
      </c>
      <c r="G1098" s="1072"/>
    </row>
    <row r="1099" spans="1:7" s="2" customFormat="1" ht="15" customHeight="1">
      <c r="A1099" s="947"/>
      <c r="B1099" s="944"/>
      <c r="C1099" s="51"/>
      <c r="D1099" s="54"/>
      <c r="E1099" s="17"/>
      <c r="F1099" s="55">
        <f>D1099*E1099</f>
        <v>0</v>
      </c>
      <c r="G1099" s="1072"/>
    </row>
    <row r="1100" spans="1:7" s="2" customFormat="1" ht="15" customHeight="1">
      <c r="A1100" s="947"/>
      <c r="B1100" s="944"/>
      <c r="C1100" s="16"/>
      <c r="D1100" s="54"/>
      <c r="E1100" s="17"/>
      <c r="F1100" s="55">
        <f>D1100*E1100</f>
        <v>0</v>
      </c>
      <c r="G1100" s="1072"/>
    </row>
    <row r="1101" spans="1:7" s="2" customFormat="1" ht="15" customHeight="1">
      <c r="A1101" s="947"/>
      <c r="B1101" s="944"/>
      <c r="C1101" s="16"/>
      <c r="D1101" s="58"/>
      <c r="E1101" s="17"/>
      <c r="F1101" s="55"/>
      <c r="G1101" s="57">
        <f>SUM(F1097:F1101)</f>
        <v>0</v>
      </c>
    </row>
    <row r="1102" spans="1:7" s="2" customFormat="1" ht="15" customHeight="1">
      <c r="A1102" s="1071" t="s">
        <v>15</v>
      </c>
      <c r="B1102" s="944"/>
      <c r="C1102" s="944"/>
      <c r="D1102" s="944"/>
      <c r="E1102" s="944"/>
      <c r="F1102" s="944"/>
      <c r="G1102" s="1072"/>
    </row>
    <row r="1103" spans="1:7" s="2" customFormat="1" ht="15" customHeight="1">
      <c r="A1103" s="1074" t="s">
        <v>2</v>
      </c>
      <c r="B1103" s="944"/>
      <c r="C1103" s="53" t="s">
        <v>3</v>
      </c>
      <c r="D1103" s="53" t="s">
        <v>4</v>
      </c>
      <c r="E1103" s="53" t="s">
        <v>6</v>
      </c>
      <c r="F1103" s="53" t="s">
        <v>11</v>
      </c>
      <c r="G1103" s="1075" t="s">
        <v>8</v>
      </c>
    </row>
    <row r="1104" spans="1:7" s="2" customFormat="1" ht="15" customHeight="1">
      <c r="A1104" s="943" t="s">
        <v>2561</v>
      </c>
      <c r="B1104" s="944"/>
      <c r="C1104" s="16" t="s">
        <v>39</v>
      </c>
      <c r="D1104" s="16">
        <v>1.1499999999999999</v>
      </c>
      <c r="E1104" s="17">
        <v>16260</v>
      </c>
      <c r="F1104" s="55">
        <f>E1104*D1104</f>
        <v>18699</v>
      </c>
      <c r="G1104" s="1072"/>
    </row>
    <row r="1105" spans="1:7" s="2" customFormat="1" ht="15" customHeight="1">
      <c r="A1105" s="59"/>
      <c r="B1105" s="60"/>
      <c r="C1105" s="60"/>
      <c r="D1105" s="60"/>
      <c r="E1105" s="60"/>
      <c r="F1105" s="60"/>
      <c r="G1105" s="57">
        <f>SUM(F1104:F1105)</f>
        <v>18699</v>
      </c>
    </row>
    <row r="1106" spans="1:7" s="2" customFormat="1" ht="15" customHeight="1">
      <c r="A1106" s="1071" t="s">
        <v>19</v>
      </c>
      <c r="B1106" s="944"/>
      <c r="C1106" s="944"/>
      <c r="D1106" s="944"/>
      <c r="E1106" s="944"/>
      <c r="F1106" s="944"/>
      <c r="G1106" s="1072"/>
    </row>
    <row r="1107" spans="1:7" s="2" customFormat="1" ht="15" customHeight="1">
      <c r="A1107" s="1074" t="s">
        <v>2</v>
      </c>
      <c r="B1107" s="944"/>
      <c r="C1107" s="53" t="s">
        <v>3</v>
      </c>
      <c r="D1107" s="53" t="s">
        <v>4</v>
      </c>
      <c r="E1107" s="53" t="s">
        <v>6</v>
      </c>
      <c r="F1107" s="53" t="s">
        <v>11</v>
      </c>
      <c r="G1107" s="456" t="s">
        <v>8</v>
      </c>
    </row>
    <row r="1108" spans="1:7" s="2" customFormat="1" ht="15.75" customHeight="1">
      <c r="A1108" s="978" t="str">
        <f>SALARIOS!$A$61</f>
        <v>CUADRILLA AA ALBAÑILERÍA 1:1</v>
      </c>
      <c r="B1108" s="979"/>
      <c r="C1108" s="13" t="s">
        <v>1245</v>
      </c>
      <c r="D1108" s="32">
        <v>1.2</v>
      </c>
      <c r="E1108" s="13">
        <f>SALARIOS!$C$61</f>
        <v>24855</v>
      </c>
      <c r="F1108" s="55">
        <f>+D1108*E1108</f>
        <v>29826</v>
      </c>
      <c r="G1108" s="57">
        <f>SUM(F1107:F1108)</f>
        <v>29826</v>
      </c>
    </row>
    <row r="1109" spans="1:7">
      <c r="A1109" s="1076" t="s">
        <v>25</v>
      </c>
      <c r="B1109" s="944"/>
      <c r="C1109" s="944"/>
      <c r="D1109" s="944"/>
      <c r="E1109" s="944"/>
      <c r="F1109" s="944"/>
      <c r="G1109" s="1072"/>
    </row>
    <row r="1110" spans="1:7" ht="17.399999999999999">
      <c r="A1110" s="1077"/>
      <c r="B1110" s="944"/>
      <c r="C1110" s="944"/>
      <c r="D1110" s="944"/>
      <c r="E1110" s="944"/>
      <c r="F1110" s="944"/>
      <c r="G1110" s="62">
        <f>G1108+G1105+G1101+G1095</f>
        <v>51516.3</v>
      </c>
    </row>
    <row r="1112" spans="1:7">
      <c r="A1112" s="970" t="s">
        <v>1</v>
      </c>
      <c r="B1112" s="957"/>
      <c r="C1112" s="953" t="s">
        <v>0</v>
      </c>
      <c r="D1112" s="953"/>
      <c r="E1112" s="953"/>
      <c r="F1112" s="953"/>
      <c r="G1112" s="1103"/>
    </row>
    <row r="1113" spans="1:7" ht="47.25" customHeight="1">
      <c r="A1113" s="971"/>
      <c r="B1113" s="957"/>
      <c r="C1113" s="953"/>
      <c r="D1113" s="953"/>
      <c r="E1113" s="953"/>
      <c r="F1113" s="953"/>
      <c r="G1113" s="1103"/>
    </row>
    <row r="1114" spans="1:7" ht="17.399999999999999">
      <c r="A1114" s="971"/>
      <c r="B1114" s="957"/>
      <c r="C1114" s="956"/>
      <c r="D1114" s="957"/>
      <c r="E1114" s="957"/>
      <c r="F1114" s="957"/>
      <c r="G1114" s="958"/>
    </row>
    <row r="1115" spans="1:7">
      <c r="A1115" s="971"/>
      <c r="B1115" s="957"/>
      <c r="C1115" s="959" t="s">
        <v>2</v>
      </c>
      <c r="D1115" s="957"/>
      <c r="E1115" s="957"/>
      <c r="F1115" s="23" t="s">
        <v>3</v>
      </c>
      <c r="G1115" s="24" t="s">
        <v>4</v>
      </c>
    </row>
    <row r="1116" spans="1:7" ht="34.799999999999997">
      <c r="A1116" s="1089" t="s">
        <v>2111</v>
      </c>
      <c r="B1116" s="944"/>
      <c r="C1116" s="980" t="s">
        <v>2112</v>
      </c>
      <c r="D1116" s="944"/>
      <c r="E1116" s="944"/>
      <c r="F1116" s="51" t="s">
        <v>39</v>
      </c>
      <c r="G1116" s="52">
        <v>177.18</v>
      </c>
    </row>
    <row r="1117" spans="1:7">
      <c r="A1117" s="1071" t="s">
        <v>5</v>
      </c>
      <c r="B1117" s="944"/>
      <c r="C1117" s="944"/>
      <c r="D1117" s="944"/>
      <c r="E1117" s="944"/>
      <c r="F1117" s="944"/>
      <c r="G1117" s="1072"/>
    </row>
    <row r="1118" spans="1:7" s="2" customFormat="1" ht="15.75" customHeight="1">
      <c r="A1118" s="1074" t="s">
        <v>2</v>
      </c>
      <c r="B1118" s="944"/>
      <c r="C1118" s="53" t="s">
        <v>3</v>
      </c>
      <c r="D1118" s="53" t="s">
        <v>4</v>
      </c>
      <c r="E1118" s="53" t="s">
        <v>6</v>
      </c>
      <c r="F1118" s="53" t="s">
        <v>7</v>
      </c>
      <c r="G1118" s="1075" t="s">
        <v>8</v>
      </c>
    </row>
    <row r="1119" spans="1:7" s="2" customFormat="1" ht="15.75" customHeight="1">
      <c r="A1119" s="947" t="s">
        <v>167</v>
      </c>
      <c r="B1119" s="980"/>
      <c r="C1119" s="51" t="s">
        <v>3</v>
      </c>
      <c r="D1119" s="54">
        <v>0.05</v>
      </c>
      <c r="E1119" s="17">
        <f>+G1137</f>
        <v>40875.599999999999</v>
      </c>
      <c r="F1119" s="55">
        <f>D1119*E1119</f>
        <v>2043.78</v>
      </c>
      <c r="G1119" s="1072"/>
    </row>
    <row r="1120" spans="1:7" s="2" customFormat="1" ht="15.75" customHeight="1">
      <c r="A1120" s="947" t="str">
        <f>'MAQUINARIA Y EQUIPOS'!$D$44</f>
        <v>VIBROCOMPACTADOR</v>
      </c>
      <c r="B1120" s="944"/>
      <c r="C1120" s="51" t="s">
        <v>60</v>
      </c>
      <c r="D1120" s="54">
        <v>0.03</v>
      </c>
      <c r="E1120" s="17">
        <f>'MAQUINARIA Y EQUIPOS'!$F$44</f>
        <v>75000</v>
      </c>
      <c r="F1120" s="55">
        <f>D1120*E1120</f>
        <v>2250</v>
      </c>
      <c r="G1120" s="1072"/>
    </row>
    <row r="1121" spans="1:7" s="2" customFormat="1" ht="15.75" customHeight="1">
      <c r="A1121" s="947"/>
      <c r="B1121" s="980"/>
      <c r="C1121" s="141"/>
      <c r="D1121" s="16"/>
      <c r="E1121" s="143"/>
      <c r="F1121" s="55">
        <f>D1121*E1121</f>
        <v>0</v>
      </c>
      <c r="G1121" s="1072"/>
    </row>
    <row r="1122" spans="1:7" s="2" customFormat="1" ht="15.75" customHeight="1">
      <c r="A1122" s="947"/>
      <c r="B1122" s="944"/>
      <c r="C1122" s="51"/>
      <c r="D1122" s="54"/>
      <c r="E1122" s="17"/>
      <c r="F1122" s="55">
        <f>D1122*E1122</f>
        <v>0</v>
      </c>
      <c r="G1122" s="1072"/>
    </row>
    <row r="1123" spans="1:7" s="2" customFormat="1" ht="15.75" customHeight="1">
      <c r="A1123" s="1079"/>
      <c r="B1123" s="944"/>
      <c r="C1123" s="56"/>
      <c r="D1123" s="56"/>
      <c r="E1123" s="56"/>
      <c r="F1123" s="55"/>
      <c r="G1123" s="57">
        <f>SUM(F1118:F1123)</f>
        <v>4293.78</v>
      </c>
    </row>
    <row r="1124" spans="1:7" s="2" customFormat="1" ht="15" customHeight="1">
      <c r="A1124" s="1071" t="s">
        <v>10</v>
      </c>
      <c r="B1124" s="944"/>
      <c r="C1124" s="944"/>
      <c r="D1124" s="944"/>
      <c r="E1124" s="944"/>
      <c r="F1124" s="944"/>
      <c r="G1124" s="1072"/>
    </row>
    <row r="1125" spans="1:7" s="2" customFormat="1" ht="15" customHeight="1">
      <c r="A1125" s="1074" t="s">
        <v>2</v>
      </c>
      <c r="B1125" s="944"/>
      <c r="C1125" s="53" t="s">
        <v>3</v>
      </c>
      <c r="D1125" s="53" t="s">
        <v>4</v>
      </c>
      <c r="E1125" s="53" t="s">
        <v>6</v>
      </c>
      <c r="F1125" s="53" t="s">
        <v>11</v>
      </c>
      <c r="G1125" s="1075" t="s">
        <v>8</v>
      </c>
    </row>
    <row r="1126" spans="1:7" s="2" customFormat="1" ht="15" customHeight="1">
      <c r="A1126" s="947" t="s">
        <v>2112</v>
      </c>
      <c r="B1126" s="944"/>
      <c r="C1126" s="16" t="s">
        <v>39</v>
      </c>
      <c r="D1126" s="54">
        <v>1.2</v>
      </c>
      <c r="E1126" s="17">
        <f>'INSUMOS '!$E$512</f>
        <v>45000</v>
      </c>
      <c r="F1126" s="55">
        <f>D1126*E1126</f>
        <v>54000</v>
      </c>
      <c r="G1126" s="1072"/>
    </row>
    <row r="1127" spans="1:7" s="2" customFormat="1" ht="15" customHeight="1">
      <c r="A1127" s="947"/>
      <c r="B1127" s="944"/>
      <c r="C1127" s="51"/>
      <c r="D1127" s="54"/>
      <c r="E1127" s="17"/>
      <c r="F1127" s="55">
        <f>D1127*E1127</f>
        <v>0</v>
      </c>
      <c r="G1127" s="1072"/>
    </row>
    <row r="1128" spans="1:7" s="2" customFormat="1" ht="15" customHeight="1">
      <c r="A1128" s="947"/>
      <c r="B1128" s="944"/>
      <c r="C1128" s="16"/>
      <c r="D1128" s="54"/>
      <c r="E1128" s="17"/>
      <c r="F1128" s="55">
        <f>D1128*E1128</f>
        <v>0</v>
      </c>
      <c r="G1128" s="1072"/>
    </row>
    <row r="1129" spans="1:7" s="2" customFormat="1" ht="15" customHeight="1">
      <c r="A1129" s="947"/>
      <c r="B1129" s="944"/>
      <c r="C1129" s="16"/>
      <c r="D1129" s="58"/>
      <c r="E1129" s="17"/>
      <c r="F1129" s="55"/>
      <c r="G1129" s="57">
        <f>SUM(F1125:F1129)</f>
        <v>54000</v>
      </c>
    </row>
    <row r="1130" spans="1:7" s="2" customFormat="1" ht="15" customHeight="1">
      <c r="A1130" s="1071" t="s">
        <v>15</v>
      </c>
      <c r="B1130" s="944"/>
      <c r="C1130" s="944"/>
      <c r="D1130" s="944"/>
      <c r="E1130" s="944"/>
      <c r="F1130" s="944"/>
      <c r="G1130" s="1072"/>
    </row>
    <row r="1131" spans="1:7" s="2" customFormat="1" ht="15" customHeight="1">
      <c r="A1131" s="1074" t="s">
        <v>2</v>
      </c>
      <c r="B1131" s="944"/>
      <c r="C1131" s="53" t="s">
        <v>3</v>
      </c>
      <c r="D1131" s="53" t="s">
        <v>4</v>
      </c>
      <c r="E1131" s="53" t="s">
        <v>6</v>
      </c>
      <c r="F1131" s="53" t="s">
        <v>11</v>
      </c>
      <c r="G1131" s="1075" t="s">
        <v>8</v>
      </c>
    </row>
    <row r="1132" spans="1:7" s="2" customFormat="1" ht="15" customHeight="1">
      <c r="A1132" s="943" t="s">
        <v>104</v>
      </c>
      <c r="B1132" s="944"/>
      <c r="C1132" s="16" t="s">
        <v>3</v>
      </c>
      <c r="D1132" s="54">
        <v>3.5000000000000003E-2</v>
      </c>
      <c r="E1132" s="17">
        <f>+G1129</f>
        <v>54000</v>
      </c>
      <c r="F1132" s="55">
        <f>E1132*D1132</f>
        <v>1890.0000000000002</v>
      </c>
      <c r="G1132" s="1072"/>
    </row>
    <row r="1133" spans="1:7" s="2" customFormat="1" ht="15" customHeight="1">
      <c r="A1133" s="943" t="s">
        <v>2660</v>
      </c>
      <c r="B1133" s="944"/>
      <c r="C1133" s="16" t="s">
        <v>39</v>
      </c>
      <c r="D1133" s="16">
        <v>1.2</v>
      </c>
      <c r="E1133" s="17">
        <v>16260</v>
      </c>
      <c r="F1133" s="55">
        <f>E1133*D1133</f>
        <v>19512</v>
      </c>
      <c r="G1133" s="123"/>
    </row>
    <row r="1134" spans="1:7" s="2" customFormat="1" ht="15" customHeight="1">
      <c r="A1134" s="59"/>
      <c r="B1134" s="60"/>
      <c r="C1134" s="60"/>
      <c r="D1134" s="60"/>
      <c r="E1134" s="60"/>
      <c r="F1134" s="60"/>
      <c r="G1134" s="57">
        <f>SUM(F1132:F1134)</f>
        <v>21402</v>
      </c>
    </row>
    <row r="1135" spans="1:7" s="2" customFormat="1" ht="15" customHeight="1">
      <c r="A1135" s="1071" t="s">
        <v>19</v>
      </c>
      <c r="B1135" s="944"/>
      <c r="C1135" s="944"/>
      <c r="D1135" s="944"/>
      <c r="E1135" s="944"/>
      <c r="F1135" s="944"/>
      <c r="G1135" s="1072"/>
    </row>
    <row r="1136" spans="1:7" s="2" customFormat="1" ht="15" customHeight="1">
      <c r="A1136" s="1074" t="s">
        <v>2</v>
      </c>
      <c r="B1136" s="944"/>
      <c r="C1136" s="53" t="s">
        <v>3</v>
      </c>
      <c r="D1136" s="53" t="s">
        <v>4</v>
      </c>
      <c r="E1136" s="53" t="s">
        <v>6</v>
      </c>
      <c r="F1136" s="53" t="s">
        <v>11</v>
      </c>
      <c r="G1136" s="456" t="s">
        <v>8</v>
      </c>
    </row>
    <row r="1137" spans="1:7" s="2" customFormat="1" ht="15.75" customHeight="1">
      <c r="A1137" s="978" t="str">
        <f>SALARIOS!$A$62</f>
        <v>CUADRILLA AA ALBAÑILERÍA 1:2</v>
      </c>
      <c r="B1137" s="979"/>
      <c r="C1137" s="13" t="s">
        <v>1245</v>
      </c>
      <c r="D1137" s="32">
        <v>1.2</v>
      </c>
      <c r="E1137" s="13">
        <f>SALARIOS!$C$62</f>
        <v>34063</v>
      </c>
      <c r="F1137" s="55">
        <f>+D1137*E1137</f>
        <v>40875.599999999999</v>
      </c>
      <c r="G1137" s="57">
        <f>SUM(F1136:F1137)</f>
        <v>40875.599999999999</v>
      </c>
    </row>
    <row r="1138" spans="1:7">
      <c r="A1138" s="1076" t="s">
        <v>25</v>
      </c>
      <c r="B1138" s="944"/>
      <c r="C1138" s="944"/>
      <c r="D1138" s="944"/>
      <c r="E1138" s="944"/>
      <c r="F1138" s="944"/>
      <c r="G1138" s="1072"/>
    </row>
    <row r="1139" spans="1:7" ht="17.399999999999999">
      <c r="A1139" s="1077"/>
      <c r="B1139" s="944"/>
      <c r="C1139" s="944"/>
      <c r="D1139" s="944"/>
      <c r="E1139" s="944"/>
      <c r="F1139" s="944"/>
      <c r="G1139" s="62">
        <f>G1137+G1134+G1129+G1123</f>
        <v>120571.38</v>
      </c>
    </row>
    <row r="1141" spans="1:7">
      <c r="A1141" s="970" t="s">
        <v>1</v>
      </c>
      <c r="B1141" s="957"/>
      <c r="C1141" s="953" t="s">
        <v>0</v>
      </c>
      <c r="D1141" s="953"/>
      <c r="E1141" s="953"/>
      <c r="F1141" s="953"/>
      <c r="G1141" s="1103"/>
    </row>
    <row r="1142" spans="1:7" ht="46.5" customHeight="1">
      <c r="A1142" s="971"/>
      <c r="B1142" s="957"/>
      <c r="C1142" s="953"/>
      <c r="D1142" s="953"/>
      <c r="E1142" s="953"/>
      <c r="F1142" s="953"/>
      <c r="G1142" s="1103"/>
    </row>
    <row r="1143" spans="1:7" ht="17.399999999999999">
      <c r="A1143" s="971"/>
      <c r="B1143" s="957"/>
      <c r="C1143" s="956"/>
      <c r="D1143" s="957"/>
      <c r="E1143" s="957"/>
      <c r="F1143" s="957"/>
      <c r="G1143" s="958"/>
    </row>
    <row r="1144" spans="1:7">
      <c r="A1144" s="971"/>
      <c r="B1144" s="957"/>
      <c r="C1144" s="959" t="s">
        <v>2</v>
      </c>
      <c r="D1144" s="957"/>
      <c r="E1144" s="957"/>
      <c r="F1144" s="23" t="s">
        <v>3</v>
      </c>
      <c r="G1144" s="24" t="s">
        <v>4</v>
      </c>
    </row>
    <row r="1145" spans="1:7" ht="49.5" customHeight="1">
      <c r="A1145" s="1089" t="s">
        <v>2113</v>
      </c>
      <c r="B1145" s="944"/>
      <c r="C1145" s="980" t="s">
        <v>2114</v>
      </c>
      <c r="D1145" s="944"/>
      <c r="E1145" s="944"/>
      <c r="F1145" s="51" t="s">
        <v>39</v>
      </c>
      <c r="G1145" s="52">
        <v>28.67</v>
      </c>
    </row>
    <row r="1146" spans="1:7">
      <c r="A1146" s="1071" t="s">
        <v>5</v>
      </c>
      <c r="B1146" s="944"/>
      <c r="C1146" s="944"/>
      <c r="D1146" s="944"/>
      <c r="E1146" s="944"/>
      <c r="F1146" s="944"/>
      <c r="G1146" s="1072"/>
    </row>
    <row r="1147" spans="1:7">
      <c r="A1147" s="1074" t="s">
        <v>2</v>
      </c>
      <c r="B1147" s="944"/>
      <c r="C1147" s="53" t="s">
        <v>3</v>
      </c>
      <c r="D1147" s="53" t="s">
        <v>4</v>
      </c>
      <c r="E1147" s="53" t="s">
        <v>6</v>
      </c>
      <c r="F1147" s="53" t="s">
        <v>7</v>
      </c>
      <c r="G1147" s="1075" t="s">
        <v>8</v>
      </c>
    </row>
    <row r="1148" spans="1:7">
      <c r="A1148" s="947" t="s">
        <v>167</v>
      </c>
      <c r="B1148" s="980"/>
      <c r="C1148" s="51" t="s">
        <v>3</v>
      </c>
      <c r="D1148" s="54">
        <v>0.05</v>
      </c>
      <c r="E1148" s="17">
        <f>+G1165</f>
        <v>37469</v>
      </c>
      <c r="F1148" s="55">
        <f>D1148*E1148</f>
        <v>1873.45</v>
      </c>
      <c r="G1148" s="1072"/>
    </row>
    <row r="1149" spans="1:7">
      <c r="A1149" s="947" t="s">
        <v>2661</v>
      </c>
      <c r="B1149" s="944"/>
      <c r="C1149" s="51" t="s">
        <v>60</v>
      </c>
      <c r="D1149" s="54">
        <v>0.01</v>
      </c>
      <c r="E1149" s="17">
        <f>'MAQUINARIA Y EQUIPOS'!$F$12</f>
        <v>48790</v>
      </c>
      <c r="F1149" s="55">
        <f>D1149*E1149</f>
        <v>487.90000000000003</v>
      </c>
      <c r="G1149" s="1072"/>
    </row>
    <row r="1150" spans="1:7">
      <c r="A1150" s="947"/>
      <c r="B1150" s="980"/>
      <c r="C1150" s="141"/>
      <c r="D1150" s="16"/>
      <c r="E1150" s="143"/>
      <c r="F1150" s="55">
        <f>D1150*E1150</f>
        <v>0</v>
      </c>
      <c r="G1150" s="1072"/>
    </row>
    <row r="1151" spans="1:7">
      <c r="A1151" s="947"/>
      <c r="B1151" s="944"/>
      <c r="C1151" s="51"/>
      <c r="D1151" s="54"/>
      <c r="E1151" s="17"/>
      <c r="F1151" s="55">
        <f>D1151*E1151</f>
        <v>0</v>
      </c>
      <c r="G1151" s="1072"/>
    </row>
    <row r="1152" spans="1:7">
      <c r="A1152" s="1079"/>
      <c r="B1152" s="944"/>
      <c r="C1152" s="56"/>
      <c r="D1152" s="56"/>
      <c r="E1152" s="56"/>
      <c r="F1152" s="55"/>
      <c r="G1152" s="57">
        <f>SUM(F1147:F1152)</f>
        <v>2361.35</v>
      </c>
    </row>
    <row r="1153" spans="1:7">
      <c r="A1153" s="1071" t="s">
        <v>10</v>
      </c>
      <c r="B1153" s="944"/>
      <c r="C1153" s="944"/>
      <c r="D1153" s="944"/>
      <c r="E1153" s="944"/>
      <c r="F1153" s="944"/>
      <c r="G1153" s="1072"/>
    </row>
    <row r="1154" spans="1:7">
      <c r="A1154" s="1074" t="s">
        <v>2</v>
      </c>
      <c r="B1154" s="944"/>
      <c r="C1154" s="53" t="s">
        <v>3</v>
      </c>
      <c r="D1154" s="53" t="s">
        <v>4</v>
      </c>
      <c r="E1154" s="53" t="s">
        <v>6</v>
      </c>
      <c r="F1154" s="53" t="s">
        <v>11</v>
      </c>
      <c r="G1154" s="1075" t="s">
        <v>8</v>
      </c>
    </row>
    <row r="1155" spans="1:7">
      <c r="A1155" s="947" t="s">
        <v>925</v>
      </c>
      <c r="B1155" s="944"/>
      <c r="C1155" s="16" t="s">
        <v>39</v>
      </c>
      <c r="D1155" s="54">
        <v>7.0000000000000007E-2</v>
      </c>
      <c r="E1155" s="17">
        <f>'INSUMOS '!$E$345</f>
        <v>45500</v>
      </c>
      <c r="F1155" s="55">
        <f>D1155*E1155</f>
        <v>3185.0000000000005</v>
      </c>
      <c r="G1155" s="1072"/>
    </row>
    <row r="1156" spans="1:7">
      <c r="A1156" s="947" t="s">
        <v>2662</v>
      </c>
      <c r="B1156" s="944"/>
      <c r="C1156" s="51" t="s">
        <v>39</v>
      </c>
      <c r="D1156" s="54">
        <v>1</v>
      </c>
      <c r="E1156" s="17">
        <f>'INSUMOS '!$E$513</f>
        <v>150000</v>
      </c>
      <c r="F1156" s="55">
        <f>D1156*E1156</f>
        <v>150000</v>
      </c>
      <c r="G1156" s="1072"/>
    </row>
    <row r="1157" spans="1:7">
      <c r="A1157" s="947"/>
      <c r="B1157" s="944"/>
      <c r="C1157" s="16"/>
      <c r="D1157" s="54"/>
      <c r="E1157" s="17"/>
      <c r="F1157" s="55">
        <f>D1157*E1157</f>
        <v>0</v>
      </c>
      <c r="G1157" s="1072"/>
    </row>
    <row r="1158" spans="1:7">
      <c r="A1158" s="947"/>
      <c r="B1158" s="944"/>
      <c r="C1158" s="16"/>
      <c r="D1158" s="58"/>
      <c r="E1158" s="17"/>
      <c r="F1158" s="55"/>
      <c r="G1158" s="57">
        <f>SUM(F1154:F1158)</f>
        <v>153185</v>
      </c>
    </row>
    <row r="1159" spans="1:7">
      <c r="A1159" s="1071" t="s">
        <v>15</v>
      </c>
      <c r="B1159" s="944"/>
      <c r="C1159" s="944"/>
      <c r="D1159" s="944"/>
      <c r="E1159" s="944"/>
      <c r="F1159" s="944"/>
      <c r="G1159" s="1072"/>
    </row>
    <row r="1160" spans="1:7">
      <c r="A1160" s="1074" t="s">
        <v>2</v>
      </c>
      <c r="B1160" s="944"/>
      <c r="C1160" s="53" t="s">
        <v>3</v>
      </c>
      <c r="D1160" s="53" t="s">
        <v>4</v>
      </c>
      <c r="E1160" s="53" t="s">
        <v>6</v>
      </c>
      <c r="F1160" s="53" t="s">
        <v>11</v>
      </c>
      <c r="G1160" s="1075" t="s">
        <v>8</v>
      </c>
    </row>
    <row r="1161" spans="1:7">
      <c r="A1161" s="943" t="s">
        <v>173</v>
      </c>
      <c r="B1161" s="944"/>
      <c r="C1161" s="16" t="s">
        <v>3</v>
      </c>
      <c r="D1161" s="54">
        <v>3.5000000000000003E-2</v>
      </c>
      <c r="E1161" s="17">
        <f>+G1158</f>
        <v>153185</v>
      </c>
      <c r="F1161" s="55">
        <f>E1161*D1161</f>
        <v>5361.4750000000004</v>
      </c>
      <c r="G1161" s="1072"/>
    </row>
    <row r="1162" spans="1:7">
      <c r="A1162" s="59"/>
      <c r="B1162" s="60"/>
      <c r="C1162" s="60"/>
      <c r="D1162" s="60"/>
      <c r="E1162" s="60"/>
      <c r="F1162" s="60"/>
      <c r="G1162" s="57">
        <f>SUM(F1161:F1162)</f>
        <v>5361.4750000000004</v>
      </c>
    </row>
    <row r="1163" spans="1:7">
      <c r="A1163" s="1071" t="s">
        <v>19</v>
      </c>
      <c r="B1163" s="944"/>
      <c r="C1163" s="944"/>
      <c r="D1163" s="944"/>
      <c r="E1163" s="944"/>
      <c r="F1163" s="944"/>
      <c r="G1163" s="1072"/>
    </row>
    <row r="1164" spans="1:7">
      <c r="A1164" s="1074" t="s">
        <v>2</v>
      </c>
      <c r="B1164" s="944"/>
      <c r="C1164" s="53" t="s">
        <v>3</v>
      </c>
      <c r="D1164" s="53" t="s">
        <v>4</v>
      </c>
      <c r="E1164" s="53" t="s">
        <v>6</v>
      </c>
      <c r="F1164" s="53" t="s">
        <v>11</v>
      </c>
      <c r="G1164" s="456" t="s">
        <v>8</v>
      </c>
    </row>
    <row r="1165" spans="1:7">
      <c r="A1165" s="978" t="str">
        <f>SALARIOS!$A$70</f>
        <v>CUADRILLA BB INSTALACIONES 1:2</v>
      </c>
      <c r="B1165" s="979"/>
      <c r="C1165" s="13" t="s">
        <v>1245</v>
      </c>
      <c r="D1165" s="32">
        <v>1</v>
      </c>
      <c r="E1165" s="13">
        <f>SALARIOS!$C$70</f>
        <v>37469</v>
      </c>
      <c r="F1165" s="55">
        <f>+D1165*E1165</f>
        <v>37469</v>
      </c>
      <c r="G1165" s="57">
        <f>SUM(F1164:F1165)</f>
        <v>37469</v>
      </c>
    </row>
    <row r="1166" spans="1:7">
      <c r="A1166" s="1076" t="s">
        <v>25</v>
      </c>
      <c r="B1166" s="944"/>
      <c r="C1166" s="944"/>
      <c r="D1166" s="944"/>
      <c r="E1166" s="944"/>
      <c r="F1166" s="944"/>
      <c r="G1166" s="1072"/>
    </row>
    <row r="1167" spans="1:7" ht="17.399999999999999">
      <c r="A1167" s="1077"/>
      <c r="B1167" s="944"/>
      <c r="C1167" s="944"/>
      <c r="D1167" s="944"/>
      <c r="E1167" s="944"/>
      <c r="F1167" s="944"/>
      <c r="G1167" s="62">
        <f>G1165+G1162+G1158+G1152</f>
        <v>198376.82500000001</v>
      </c>
    </row>
    <row r="1169" spans="1:7">
      <c r="A1169" s="970" t="s">
        <v>1</v>
      </c>
      <c r="B1169" s="957"/>
      <c r="C1169" s="953" t="s">
        <v>0</v>
      </c>
      <c r="D1169" s="953"/>
      <c r="E1169" s="953"/>
      <c r="F1169" s="953"/>
      <c r="G1169" s="1103"/>
    </row>
    <row r="1170" spans="1:7" ht="51" customHeight="1">
      <c r="A1170" s="971"/>
      <c r="B1170" s="957"/>
      <c r="C1170" s="953"/>
      <c r="D1170" s="953"/>
      <c r="E1170" s="953"/>
      <c r="F1170" s="953"/>
      <c r="G1170" s="1103"/>
    </row>
    <row r="1171" spans="1:7" ht="17.399999999999999">
      <c r="A1171" s="971"/>
      <c r="B1171" s="957"/>
      <c r="C1171" s="956"/>
      <c r="D1171" s="957"/>
      <c r="E1171" s="957"/>
      <c r="F1171" s="957"/>
      <c r="G1171" s="958"/>
    </row>
    <row r="1172" spans="1:7">
      <c r="A1172" s="971"/>
      <c r="B1172" s="957"/>
      <c r="C1172" s="959" t="s">
        <v>2</v>
      </c>
      <c r="D1172" s="957"/>
      <c r="E1172" s="957"/>
      <c r="F1172" s="23" t="s">
        <v>3</v>
      </c>
      <c r="G1172" s="24" t="s">
        <v>4</v>
      </c>
    </row>
    <row r="1173" spans="1:7" ht="34.799999999999997">
      <c r="A1173" s="1089" t="s">
        <v>2115</v>
      </c>
      <c r="B1173" s="944"/>
      <c r="C1173" s="980" t="s">
        <v>2014</v>
      </c>
      <c r="D1173" s="944"/>
      <c r="E1173" s="944"/>
      <c r="F1173" s="51" t="s">
        <v>39</v>
      </c>
      <c r="G1173" s="52">
        <v>300.43</v>
      </c>
    </row>
    <row r="1174" spans="1:7" s="2" customFormat="1" ht="15.75" customHeight="1">
      <c r="A1174" s="1071" t="s">
        <v>5</v>
      </c>
      <c r="B1174" s="944"/>
      <c r="C1174" s="944"/>
      <c r="D1174" s="944"/>
      <c r="E1174" s="944"/>
      <c r="F1174" s="944"/>
      <c r="G1174" s="1072"/>
    </row>
    <row r="1175" spans="1:7" s="2" customFormat="1" ht="15.75" customHeight="1">
      <c r="A1175" s="1074" t="s">
        <v>2</v>
      </c>
      <c r="B1175" s="944"/>
      <c r="C1175" s="53" t="s">
        <v>3</v>
      </c>
      <c r="D1175" s="53" t="s">
        <v>4</v>
      </c>
      <c r="E1175" s="53" t="s">
        <v>6</v>
      </c>
      <c r="F1175" s="53" t="s">
        <v>7</v>
      </c>
      <c r="G1175" s="1075" t="s">
        <v>8</v>
      </c>
    </row>
    <row r="1176" spans="1:7" s="2" customFormat="1" ht="15.75" customHeight="1">
      <c r="A1176" s="947" t="s">
        <v>167</v>
      </c>
      <c r="B1176" s="980"/>
      <c r="C1176" s="51" t="s">
        <v>3</v>
      </c>
      <c r="D1176" s="54">
        <v>0.05</v>
      </c>
      <c r="E1176" s="17">
        <f>+G1194</f>
        <v>18416</v>
      </c>
      <c r="F1176" s="55">
        <f>D1176*E1176</f>
        <v>920.80000000000007</v>
      </c>
      <c r="G1176" s="1072"/>
    </row>
    <row r="1177" spans="1:7" s="2" customFormat="1" ht="15.75" customHeight="1">
      <c r="A1177" s="947"/>
      <c r="B1177" s="944"/>
      <c r="C1177" s="51"/>
      <c r="D1177" s="54"/>
      <c r="E1177" s="17"/>
      <c r="F1177" s="55">
        <f>D1177*E1177</f>
        <v>0</v>
      </c>
      <c r="G1177" s="1072"/>
    </row>
    <row r="1178" spans="1:7" s="2" customFormat="1" ht="15.75" customHeight="1">
      <c r="A1178" s="947"/>
      <c r="B1178" s="980"/>
      <c r="C1178" s="141"/>
      <c r="D1178" s="16"/>
      <c r="E1178" s="143"/>
      <c r="F1178" s="55">
        <f>D1178*E1178</f>
        <v>0</v>
      </c>
      <c r="G1178" s="1072"/>
    </row>
    <row r="1179" spans="1:7" s="2" customFormat="1" ht="15.75" customHeight="1">
      <c r="A1179" s="947"/>
      <c r="B1179" s="944"/>
      <c r="C1179" s="51"/>
      <c r="D1179" s="54"/>
      <c r="E1179" s="17"/>
      <c r="F1179" s="55">
        <f>D1179*E1179</f>
        <v>0</v>
      </c>
      <c r="G1179" s="1072"/>
    </row>
    <row r="1180" spans="1:7" s="2" customFormat="1" ht="15.75" customHeight="1">
      <c r="A1180" s="1079"/>
      <c r="B1180" s="944"/>
      <c r="C1180" s="56"/>
      <c r="D1180" s="56"/>
      <c r="E1180" s="56"/>
      <c r="F1180" s="55"/>
      <c r="G1180" s="57">
        <f>SUM(F1175:F1180)</f>
        <v>920.80000000000007</v>
      </c>
    </row>
    <row r="1181" spans="1:7" s="2" customFormat="1" ht="15" customHeight="1">
      <c r="A1181" s="1071" t="s">
        <v>10</v>
      </c>
      <c r="B1181" s="944"/>
      <c r="C1181" s="944"/>
      <c r="D1181" s="944"/>
      <c r="E1181" s="944"/>
      <c r="F1181" s="944"/>
      <c r="G1181" s="1072"/>
    </row>
    <row r="1182" spans="1:7" s="2" customFormat="1" ht="15" customHeight="1">
      <c r="A1182" s="1074" t="s">
        <v>2</v>
      </c>
      <c r="B1182" s="944"/>
      <c r="C1182" s="53" t="s">
        <v>3</v>
      </c>
      <c r="D1182" s="53" t="s">
        <v>4</v>
      </c>
      <c r="E1182" s="53" t="s">
        <v>6</v>
      </c>
      <c r="F1182" s="53" t="s">
        <v>11</v>
      </c>
      <c r="G1182" s="1075" t="s">
        <v>8</v>
      </c>
    </row>
    <row r="1183" spans="1:7" s="2" customFormat="1" ht="15" customHeight="1">
      <c r="A1183" s="947"/>
      <c r="B1183" s="944"/>
      <c r="C1183" s="16"/>
      <c r="D1183" s="54"/>
      <c r="E1183" s="17"/>
      <c r="F1183" s="55">
        <f>D1183*E1183</f>
        <v>0</v>
      </c>
      <c r="G1183" s="1072"/>
    </row>
    <row r="1184" spans="1:7" s="2" customFormat="1" ht="15" customHeight="1">
      <c r="A1184" s="947"/>
      <c r="B1184" s="944"/>
      <c r="C1184" s="51"/>
      <c r="D1184" s="54"/>
      <c r="E1184" s="17"/>
      <c r="F1184" s="55">
        <f>D1184*E1184</f>
        <v>0</v>
      </c>
      <c r="G1184" s="1072"/>
    </row>
    <row r="1185" spans="1:7" s="2" customFormat="1" ht="15" customHeight="1">
      <c r="A1185" s="947"/>
      <c r="B1185" s="944"/>
      <c r="C1185" s="16"/>
      <c r="D1185" s="54"/>
      <c r="E1185" s="17"/>
      <c r="F1185" s="55">
        <f>D1185*E1185</f>
        <v>0</v>
      </c>
      <c r="G1185" s="1072"/>
    </row>
    <row r="1186" spans="1:7" s="2" customFormat="1" ht="15" customHeight="1">
      <c r="A1186" s="947"/>
      <c r="B1186" s="944"/>
      <c r="C1186" s="16"/>
      <c r="D1186" s="58"/>
      <c r="E1186" s="17"/>
      <c r="F1186" s="55"/>
      <c r="G1186" s="57">
        <f>SUM(F1182:F1186)</f>
        <v>0</v>
      </c>
    </row>
    <row r="1187" spans="1:7" s="2" customFormat="1" ht="15" customHeight="1">
      <c r="A1187" s="1071" t="s">
        <v>15</v>
      </c>
      <c r="B1187" s="944"/>
      <c r="C1187" s="944"/>
      <c r="D1187" s="944"/>
      <c r="E1187" s="944"/>
      <c r="F1187" s="944"/>
      <c r="G1187" s="1072"/>
    </row>
    <row r="1188" spans="1:7" s="2" customFormat="1" ht="15" customHeight="1">
      <c r="A1188" s="1074" t="s">
        <v>2</v>
      </c>
      <c r="B1188" s="944"/>
      <c r="C1188" s="53" t="s">
        <v>3</v>
      </c>
      <c r="D1188" s="53" t="s">
        <v>4</v>
      </c>
      <c r="E1188" s="53" t="s">
        <v>6</v>
      </c>
      <c r="F1188" s="53" t="s">
        <v>11</v>
      </c>
      <c r="G1188" s="1075" t="s">
        <v>8</v>
      </c>
    </row>
    <row r="1189" spans="1:7" s="2" customFormat="1" ht="15" customHeight="1">
      <c r="A1189" s="943" t="s">
        <v>2646</v>
      </c>
      <c r="B1189" s="944"/>
      <c r="C1189" s="16" t="s">
        <v>2645</v>
      </c>
      <c r="D1189" s="16">
        <v>30</v>
      </c>
      <c r="E1189" s="17">
        <f>'MAQUINARIA Y EQUIPOS'!F46</f>
        <v>1650</v>
      </c>
      <c r="F1189" s="55">
        <f>E1189*D1189</f>
        <v>49500</v>
      </c>
      <c r="G1189" s="1075"/>
    </row>
    <row r="1190" spans="1:7" s="2" customFormat="1" ht="15" customHeight="1">
      <c r="A1190" s="943" t="str">
        <f>'MAQUINARIA Y EQUIPOS'!$D$22</f>
        <v>Cargue de material sobrante (2 paleros)</v>
      </c>
      <c r="B1190" s="944"/>
      <c r="C1190" s="16" t="s">
        <v>39</v>
      </c>
      <c r="D1190" s="16">
        <v>1</v>
      </c>
      <c r="E1190" s="17">
        <f>'MAQUINARIA Y EQUIPOS'!$F$22</f>
        <v>42000</v>
      </c>
      <c r="F1190" s="55">
        <f>E1190*D1190</f>
        <v>42000</v>
      </c>
      <c r="G1190" s="1072"/>
    </row>
    <row r="1191" spans="1:7" s="2" customFormat="1" ht="15" customHeight="1">
      <c r="A1191" s="59"/>
      <c r="B1191" s="60"/>
      <c r="C1191" s="60"/>
      <c r="D1191" s="60"/>
      <c r="E1191" s="60"/>
      <c r="F1191" s="60"/>
      <c r="G1191" s="57">
        <f>SUM(F1188:F1191)</f>
        <v>91500</v>
      </c>
    </row>
    <row r="1192" spans="1:7" s="2" customFormat="1" ht="15" customHeight="1">
      <c r="A1192" s="1071" t="s">
        <v>19</v>
      </c>
      <c r="B1192" s="944"/>
      <c r="C1192" s="944"/>
      <c r="D1192" s="944"/>
      <c r="E1192" s="944"/>
      <c r="F1192" s="944"/>
      <c r="G1192" s="1072"/>
    </row>
    <row r="1193" spans="1:7" s="2" customFormat="1" ht="15" customHeight="1">
      <c r="A1193" s="1074" t="s">
        <v>2</v>
      </c>
      <c r="B1193" s="944"/>
      <c r="C1193" s="53" t="s">
        <v>3</v>
      </c>
      <c r="D1193" s="53" t="s">
        <v>4</v>
      </c>
      <c r="E1193" s="53" t="s">
        <v>6</v>
      </c>
      <c r="F1193" s="53" t="s">
        <v>11</v>
      </c>
      <c r="G1193" s="456" t="s">
        <v>8</v>
      </c>
    </row>
    <row r="1194" spans="1:7" s="2" customFormat="1" ht="15.75" customHeight="1">
      <c r="A1194" s="978" t="str">
        <f>SALARIOS!$A$59</f>
        <v>CUADRILLA AA ALBAÑILERÍA 0:2</v>
      </c>
      <c r="B1194" s="979"/>
      <c r="C1194" s="13" t="s">
        <v>1245</v>
      </c>
      <c r="D1194" s="32">
        <v>1</v>
      </c>
      <c r="E1194" s="13">
        <f>SALARIOS!$C$59</f>
        <v>18416</v>
      </c>
      <c r="F1194" s="55">
        <f>+D1194*E1194</f>
        <v>18416</v>
      </c>
      <c r="G1194" s="57">
        <f>SUM(F1193:F1194)</f>
        <v>18416</v>
      </c>
    </row>
    <row r="1195" spans="1:7" s="175" customFormat="1" ht="15.75" customHeight="1">
      <c r="A1195" s="1076" t="s">
        <v>25</v>
      </c>
      <c r="B1195" s="944"/>
      <c r="C1195" s="944"/>
      <c r="D1195" s="944"/>
      <c r="E1195" s="944"/>
      <c r="F1195" s="944"/>
      <c r="G1195" s="1072"/>
    </row>
    <row r="1196" spans="1:7" ht="17.399999999999999">
      <c r="A1196" s="1077"/>
      <c r="B1196" s="944"/>
      <c r="C1196" s="944"/>
      <c r="D1196" s="944"/>
      <c r="E1196" s="944"/>
      <c r="F1196" s="944"/>
      <c r="G1196" s="62">
        <f>G1194+G1191+G1186+G1180</f>
        <v>110836.8</v>
      </c>
    </row>
    <row r="1198" spans="1:7">
      <c r="A1198" s="970" t="s">
        <v>1</v>
      </c>
      <c r="B1198" s="957"/>
      <c r="C1198" s="953" t="s">
        <v>0</v>
      </c>
      <c r="D1198" s="953"/>
      <c r="E1198" s="953"/>
      <c r="F1198" s="953"/>
      <c r="G1198" s="1103"/>
    </row>
    <row r="1199" spans="1:7" ht="47.25" customHeight="1">
      <c r="A1199" s="971"/>
      <c r="B1199" s="957"/>
      <c r="C1199" s="953"/>
      <c r="D1199" s="953"/>
      <c r="E1199" s="953"/>
      <c r="F1199" s="953"/>
      <c r="G1199" s="1103"/>
    </row>
    <row r="1200" spans="1:7" ht="17.399999999999999">
      <c r="A1200" s="971"/>
      <c r="B1200" s="957"/>
      <c r="C1200" s="956"/>
      <c r="D1200" s="957"/>
      <c r="E1200" s="957"/>
      <c r="F1200" s="957"/>
      <c r="G1200" s="958"/>
    </row>
    <row r="1201" spans="1:7">
      <c r="A1201" s="971"/>
      <c r="B1201" s="957"/>
      <c r="C1201" s="959" t="s">
        <v>2</v>
      </c>
      <c r="D1201" s="957"/>
      <c r="E1201" s="957"/>
      <c r="F1201" s="23" t="s">
        <v>3</v>
      </c>
      <c r="G1201" s="24" t="s">
        <v>4</v>
      </c>
    </row>
    <row r="1202" spans="1:7" ht="34.799999999999997">
      <c r="A1202" s="1089" t="s">
        <v>2118</v>
      </c>
      <c r="B1202" s="944"/>
      <c r="C1202" s="980" t="s">
        <v>2119</v>
      </c>
      <c r="D1202" s="944"/>
      <c r="E1202" s="944"/>
      <c r="F1202" s="51" t="s">
        <v>100</v>
      </c>
      <c r="G1202" s="52">
        <v>14.31</v>
      </c>
    </row>
    <row r="1203" spans="1:7">
      <c r="A1203" s="1071" t="s">
        <v>5</v>
      </c>
      <c r="B1203" s="944"/>
      <c r="C1203" s="944"/>
      <c r="D1203" s="944"/>
      <c r="E1203" s="944"/>
      <c r="F1203" s="944"/>
      <c r="G1203" s="1072"/>
    </row>
    <row r="1204" spans="1:7">
      <c r="A1204" s="1074" t="s">
        <v>2</v>
      </c>
      <c r="B1204" s="944"/>
      <c r="C1204" s="53" t="s">
        <v>3</v>
      </c>
      <c r="D1204" s="53" t="s">
        <v>4</v>
      </c>
      <c r="E1204" s="53" t="s">
        <v>6</v>
      </c>
      <c r="F1204" s="53" t="s">
        <v>7</v>
      </c>
      <c r="G1204" s="1075" t="s">
        <v>8</v>
      </c>
    </row>
    <row r="1205" spans="1:7">
      <c r="A1205" s="947" t="s">
        <v>167</v>
      </c>
      <c r="B1205" s="980"/>
      <c r="C1205" s="51" t="s">
        <v>3</v>
      </c>
      <c r="D1205" s="54">
        <v>0.05</v>
      </c>
      <c r="E1205" s="17">
        <f>+G1223</f>
        <v>5468.2000000000007</v>
      </c>
      <c r="F1205" s="55">
        <f>D1205*E1205</f>
        <v>273.41000000000003</v>
      </c>
      <c r="G1205" s="1072"/>
    </row>
    <row r="1206" spans="1:7">
      <c r="A1206" s="947"/>
      <c r="B1206" s="944"/>
      <c r="C1206" s="51"/>
      <c r="D1206" s="54"/>
      <c r="E1206" s="17"/>
      <c r="F1206" s="55">
        <f>D1206*E1206</f>
        <v>0</v>
      </c>
      <c r="G1206" s="1072"/>
    </row>
    <row r="1207" spans="1:7">
      <c r="A1207" s="947"/>
      <c r="B1207" s="980"/>
      <c r="C1207" s="141"/>
      <c r="D1207" s="16"/>
      <c r="E1207" s="143"/>
      <c r="F1207" s="55">
        <f>D1207*E1207</f>
        <v>0</v>
      </c>
      <c r="G1207" s="1072"/>
    </row>
    <row r="1208" spans="1:7">
      <c r="A1208" s="947"/>
      <c r="B1208" s="944"/>
      <c r="C1208" s="51"/>
      <c r="D1208" s="54"/>
      <c r="E1208" s="17"/>
      <c r="F1208" s="55">
        <f>D1208*E1208</f>
        <v>0</v>
      </c>
      <c r="G1208" s="1072"/>
    </row>
    <row r="1209" spans="1:7">
      <c r="A1209" s="1079"/>
      <c r="B1209" s="944"/>
      <c r="C1209" s="56"/>
      <c r="D1209" s="56"/>
      <c r="E1209" s="56"/>
      <c r="F1209" s="55"/>
      <c r="G1209" s="57">
        <f>SUM(F1204:F1209)</f>
        <v>273.41000000000003</v>
      </c>
    </row>
    <row r="1210" spans="1:7">
      <c r="A1210" s="1071" t="s">
        <v>10</v>
      </c>
      <c r="B1210" s="944"/>
      <c r="C1210" s="944"/>
      <c r="D1210" s="944"/>
      <c r="E1210" s="944"/>
      <c r="F1210" s="944"/>
      <c r="G1210" s="1072"/>
    </row>
    <row r="1211" spans="1:7">
      <c r="A1211" s="1074" t="s">
        <v>2</v>
      </c>
      <c r="B1211" s="944"/>
      <c r="C1211" s="53" t="s">
        <v>3</v>
      </c>
      <c r="D1211" s="53" t="s">
        <v>4</v>
      </c>
      <c r="E1211" s="53" t="s">
        <v>6</v>
      </c>
      <c r="F1211" s="53" t="s">
        <v>11</v>
      </c>
      <c r="G1211" s="1075" t="s">
        <v>8</v>
      </c>
    </row>
    <row r="1212" spans="1:7">
      <c r="A1212" s="947" t="s">
        <v>2629</v>
      </c>
      <c r="B1212" s="944"/>
      <c r="C1212" s="16" t="s">
        <v>998</v>
      </c>
      <c r="D1212" s="54">
        <f>0.27</f>
        <v>0.27</v>
      </c>
      <c r="E1212" s="17">
        <f>'INSUMOS '!E494</f>
        <v>7967</v>
      </c>
      <c r="F1212" s="55">
        <f>D1212*E1212</f>
        <v>2151.09</v>
      </c>
      <c r="G1212" s="1072"/>
    </row>
    <row r="1213" spans="1:7">
      <c r="A1213" s="947" t="s">
        <v>2630</v>
      </c>
      <c r="B1213" s="944"/>
      <c r="C1213" s="16" t="s">
        <v>998</v>
      </c>
      <c r="D1213" s="54">
        <v>0.05</v>
      </c>
      <c r="E1213" s="17">
        <f>'INSUMOS '!E495</f>
        <v>71961</v>
      </c>
      <c r="F1213" s="55">
        <f>D1213*E1213</f>
        <v>3598.05</v>
      </c>
      <c r="G1213" s="1072"/>
    </row>
    <row r="1214" spans="1:7">
      <c r="A1214" s="947" t="s">
        <v>2631</v>
      </c>
      <c r="B1214" s="944"/>
      <c r="C1214" s="51" t="s">
        <v>45</v>
      </c>
      <c r="D1214" s="54">
        <v>1</v>
      </c>
      <c r="E1214" s="17">
        <f>'INSUMOS '!$E$496</f>
        <v>70345</v>
      </c>
      <c r="F1214" s="55">
        <f>D1214*E1214</f>
        <v>70345</v>
      </c>
      <c r="G1214" s="1072"/>
    </row>
    <row r="1215" spans="1:7">
      <c r="A1215" s="947" t="s">
        <v>2632</v>
      </c>
      <c r="B1215" s="944"/>
      <c r="C1215" s="16" t="s">
        <v>998</v>
      </c>
      <c r="D1215" s="54">
        <v>0.05</v>
      </c>
      <c r="E1215" s="17">
        <f>'INSUMOS '!$E$497</f>
        <v>61050</v>
      </c>
      <c r="F1215" s="55">
        <f>D1215*E1215</f>
        <v>3052.5</v>
      </c>
      <c r="G1215" s="1072"/>
    </row>
    <row r="1216" spans="1:7">
      <c r="A1216" s="947"/>
      <c r="B1216" s="944"/>
      <c r="C1216" s="16"/>
      <c r="D1216" s="58"/>
      <c r="E1216" s="17"/>
      <c r="F1216" s="55"/>
      <c r="G1216" s="57">
        <f>SUM(F1211:F1216)</f>
        <v>79146.64</v>
      </c>
    </row>
    <row r="1217" spans="1:7">
      <c r="A1217" s="1071" t="s">
        <v>15</v>
      </c>
      <c r="B1217" s="944"/>
      <c r="C1217" s="944"/>
      <c r="D1217" s="944"/>
      <c r="E1217" s="944"/>
      <c r="F1217" s="944"/>
      <c r="G1217" s="1072"/>
    </row>
    <row r="1218" spans="1:7">
      <c r="A1218" s="1074" t="s">
        <v>2</v>
      </c>
      <c r="B1218" s="944"/>
      <c r="C1218" s="53" t="s">
        <v>3</v>
      </c>
      <c r="D1218" s="53" t="s">
        <v>4</v>
      </c>
      <c r="E1218" s="53" t="s">
        <v>6</v>
      </c>
      <c r="F1218" s="53" t="s">
        <v>11</v>
      </c>
      <c r="G1218" s="1075" t="s">
        <v>8</v>
      </c>
    </row>
    <row r="1219" spans="1:7">
      <c r="A1219" s="943" t="s">
        <v>173</v>
      </c>
      <c r="B1219" s="944"/>
      <c r="C1219" s="16" t="s">
        <v>3</v>
      </c>
      <c r="D1219" s="54">
        <v>3.5000000000000003E-2</v>
      </c>
      <c r="E1219" s="17">
        <f>+G1216</f>
        <v>79146.64</v>
      </c>
      <c r="F1219" s="55">
        <f>E1219*D1219</f>
        <v>2770.1324000000004</v>
      </c>
      <c r="G1219" s="1072"/>
    </row>
    <row r="1220" spans="1:7">
      <c r="A1220" s="59"/>
      <c r="B1220" s="60"/>
      <c r="C1220" s="60"/>
      <c r="D1220" s="60"/>
      <c r="E1220" s="60"/>
      <c r="F1220" s="60"/>
      <c r="G1220" s="57">
        <f>SUM(F1219:F1220)</f>
        <v>2770.1324000000004</v>
      </c>
    </row>
    <row r="1221" spans="1:7">
      <c r="A1221" s="1071" t="s">
        <v>19</v>
      </c>
      <c r="B1221" s="944"/>
      <c r="C1221" s="944"/>
      <c r="D1221" s="944"/>
      <c r="E1221" s="944"/>
      <c r="F1221" s="944"/>
      <c r="G1221" s="1072"/>
    </row>
    <row r="1222" spans="1:7">
      <c r="A1222" s="1074" t="s">
        <v>2</v>
      </c>
      <c r="B1222" s="944"/>
      <c r="C1222" s="53" t="s">
        <v>3</v>
      </c>
      <c r="D1222" s="53" t="s">
        <v>4</v>
      </c>
      <c r="E1222" s="53" t="s">
        <v>6</v>
      </c>
      <c r="F1222" s="53" t="s">
        <v>11</v>
      </c>
      <c r="G1222" s="456" t="s">
        <v>8</v>
      </c>
    </row>
    <row r="1223" spans="1:7">
      <c r="A1223" s="978" t="str">
        <f>SALARIOS!$A$69</f>
        <v>CUADRILLA BB INSTALACIONES 1:1</v>
      </c>
      <c r="B1223" s="979"/>
      <c r="C1223" s="13" t="s">
        <v>1245</v>
      </c>
      <c r="D1223" s="32">
        <v>0.2</v>
      </c>
      <c r="E1223" s="13">
        <f>SALARIOS!$C$69</f>
        <v>27341</v>
      </c>
      <c r="F1223" s="55">
        <f>+D1223*E1223</f>
        <v>5468.2000000000007</v>
      </c>
      <c r="G1223" s="57">
        <f>SUM(F1222:F1223)</f>
        <v>5468.2000000000007</v>
      </c>
    </row>
    <row r="1224" spans="1:7">
      <c r="A1224" s="1076" t="s">
        <v>25</v>
      </c>
      <c r="B1224" s="944"/>
      <c r="C1224" s="944"/>
      <c r="D1224" s="944"/>
      <c r="E1224" s="944"/>
      <c r="F1224" s="944"/>
      <c r="G1224" s="1072"/>
    </row>
    <row r="1225" spans="1:7" ht="17.399999999999999">
      <c r="A1225" s="1077"/>
      <c r="B1225" s="944"/>
      <c r="C1225" s="944"/>
      <c r="D1225" s="944"/>
      <c r="E1225" s="944"/>
      <c r="F1225" s="944"/>
      <c r="G1225" s="62">
        <f>G1223+G1220+G1216+G1209</f>
        <v>87658.382400000002</v>
      </c>
    </row>
    <row r="1227" spans="1:7">
      <c r="A1227" s="970" t="s">
        <v>1</v>
      </c>
      <c r="B1227" s="957"/>
      <c r="C1227" s="953" t="s">
        <v>0</v>
      </c>
      <c r="D1227" s="953"/>
      <c r="E1227" s="953"/>
      <c r="F1227" s="953"/>
      <c r="G1227" s="1103"/>
    </row>
    <row r="1228" spans="1:7" ht="46.5" customHeight="1">
      <c r="A1228" s="971"/>
      <c r="B1228" s="957"/>
      <c r="C1228" s="953"/>
      <c r="D1228" s="953"/>
      <c r="E1228" s="953"/>
      <c r="F1228" s="953"/>
      <c r="G1228" s="1103"/>
    </row>
    <row r="1229" spans="1:7" ht="17.399999999999999">
      <c r="A1229" s="971"/>
      <c r="B1229" s="957"/>
      <c r="C1229" s="956"/>
      <c r="D1229" s="957"/>
      <c r="E1229" s="957"/>
      <c r="F1229" s="957"/>
      <c r="G1229" s="958"/>
    </row>
    <row r="1230" spans="1:7">
      <c r="A1230" s="971"/>
      <c r="B1230" s="957"/>
      <c r="C1230" s="959" t="s">
        <v>2</v>
      </c>
      <c r="D1230" s="957"/>
      <c r="E1230" s="957"/>
      <c r="F1230" s="23" t="s">
        <v>3</v>
      </c>
      <c r="G1230" s="24" t="s">
        <v>4</v>
      </c>
    </row>
    <row r="1231" spans="1:7" ht="34.799999999999997">
      <c r="A1231" s="1089" t="s">
        <v>2120</v>
      </c>
      <c r="B1231" s="944"/>
      <c r="C1231" s="980" t="s">
        <v>2121</v>
      </c>
      <c r="D1231" s="944"/>
      <c r="E1231" s="944"/>
      <c r="F1231" s="51" t="s">
        <v>100</v>
      </c>
      <c r="G1231" s="52">
        <v>241.93</v>
      </c>
    </row>
    <row r="1232" spans="1:7">
      <c r="A1232" s="1071" t="s">
        <v>5</v>
      </c>
      <c r="B1232" s="944"/>
      <c r="C1232" s="944"/>
      <c r="D1232" s="944"/>
      <c r="E1232" s="944"/>
      <c r="F1232" s="944"/>
      <c r="G1232" s="1072"/>
    </row>
    <row r="1233" spans="1:7">
      <c r="A1233" s="1074" t="s">
        <v>2</v>
      </c>
      <c r="B1233" s="944"/>
      <c r="C1233" s="53" t="s">
        <v>3</v>
      </c>
      <c r="D1233" s="53" t="s">
        <v>4</v>
      </c>
      <c r="E1233" s="53" t="s">
        <v>6</v>
      </c>
      <c r="F1233" s="53" t="s">
        <v>7</v>
      </c>
      <c r="G1233" s="1075" t="s">
        <v>8</v>
      </c>
    </row>
    <row r="1234" spans="1:7">
      <c r="A1234" s="947" t="s">
        <v>167</v>
      </c>
      <c r="B1234" s="980"/>
      <c r="C1234" s="51" t="s">
        <v>3</v>
      </c>
      <c r="D1234" s="54">
        <v>0.05</v>
      </c>
      <c r="E1234" s="17">
        <f>+G1251</f>
        <v>506.45000000000005</v>
      </c>
      <c r="F1234" s="55">
        <f>D1234*E1234</f>
        <v>25.322500000000005</v>
      </c>
      <c r="G1234" s="1072"/>
    </row>
    <row r="1235" spans="1:7">
      <c r="A1235" s="947"/>
      <c r="B1235" s="944"/>
      <c r="C1235" s="51"/>
      <c r="D1235" s="54"/>
      <c r="E1235" s="17"/>
      <c r="F1235" s="55">
        <f>D1235*E1235</f>
        <v>0</v>
      </c>
      <c r="G1235" s="1072"/>
    </row>
    <row r="1236" spans="1:7">
      <c r="A1236" s="947"/>
      <c r="B1236" s="980"/>
      <c r="C1236" s="141"/>
      <c r="D1236" s="16"/>
      <c r="E1236" s="143"/>
      <c r="F1236" s="55">
        <f>D1236*E1236</f>
        <v>0</v>
      </c>
      <c r="G1236" s="1072"/>
    </row>
    <row r="1237" spans="1:7">
      <c r="A1237" s="947"/>
      <c r="B1237" s="944"/>
      <c r="C1237" s="51"/>
      <c r="D1237" s="54"/>
      <c r="E1237" s="17"/>
      <c r="F1237" s="55">
        <f>D1237*E1237</f>
        <v>0</v>
      </c>
      <c r="G1237" s="1072"/>
    </row>
    <row r="1238" spans="1:7">
      <c r="A1238" s="1079"/>
      <c r="B1238" s="944"/>
      <c r="C1238" s="56"/>
      <c r="D1238" s="56"/>
      <c r="E1238" s="56"/>
      <c r="F1238" s="55"/>
      <c r="G1238" s="57">
        <f>SUM(F1233:F1238)</f>
        <v>25.322500000000005</v>
      </c>
    </row>
    <row r="1239" spans="1:7">
      <c r="A1239" s="1071" t="s">
        <v>10</v>
      </c>
      <c r="B1239" s="944"/>
      <c r="C1239" s="944"/>
      <c r="D1239" s="944"/>
      <c r="E1239" s="944"/>
      <c r="F1239" s="944"/>
      <c r="G1239" s="1072"/>
    </row>
    <row r="1240" spans="1:7">
      <c r="A1240" s="1074" t="s">
        <v>2</v>
      </c>
      <c r="B1240" s="944"/>
      <c r="C1240" s="53" t="s">
        <v>3</v>
      </c>
      <c r="D1240" s="53" t="s">
        <v>4</v>
      </c>
      <c r="E1240" s="53" t="s">
        <v>6</v>
      </c>
      <c r="F1240" s="53" t="s">
        <v>11</v>
      </c>
      <c r="G1240" s="1075" t="s">
        <v>8</v>
      </c>
    </row>
    <row r="1241" spans="1:7">
      <c r="A1241" s="947" t="s">
        <v>924</v>
      </c>
      <c r="B1241" s="944"/>
      <c r="C1241" s="16" t="s">
        <v>998</v>
      </c>
      <c r="D1241" s="54">
        <v>2E-3</v>
      </c>
      <c r="E1241" s="17">
        <f>'INSUMOS '!$E$344</f>
        <v>26775</v>
      </c>
      <c r="F1241" s="55">
        <f>D1241*E1241</f>
        <v>53.550000000000004</v>
      </c>
      <c r="G1241" s="1072"/>
    </row>
    <row r="1242" spans="1:7">
      <c r="A1242" s="947"/>
      <c r="B1242" s="944"/>
      <c r="C1242" s="51"/>
      <c r="D1242" s="54"/>
      <c r="E1242" s="17"/>
      <c r="F1242" s="55">
        <f>D1242*E1242</f>
        <v>0</v>
      </c>
      <c r="G1242" s="1072"/>
    </row>
    <row r="1243" spans="1:7">
      <c r="A1243" s="947"/>
      <c r="B1243" s="944"/>
      <c r="C1243" s="16"/>
      <c r="D1243" s="54"/>
      <c r="E1243" s="17"/>
      <c r="F1243" s="55">
        <f>D1243*E1243</f>
        <v>0</v>
      </c>
      <c r="G1243" s="1072"/>
    </row>
    <row r="1244" spans="1:7">
      <c r="A1244" s="947"/>
      <c r="B1244" s="944"/>
      <c r="C1244" s="16"/>
      <c r="D1244" s="58"/>
      <c r="E1244" s="17"/>
      <c r="F1244" s="55"/>
      <c r="G1244" s="57">
        <f>SUM(F1240:F1244)</f>
        <v>53.550000000000004</v>
      </c>
    </row>
    <row r="1245" spans="1:7">
      <c r="A1245" s="1071" t="s">
        <v>15</v>
      </c>
      <c r="B1245" s="944"/>
      <c r="C1245" s="944"/>
      <c r="D1245" s="944"/>
      <c r="E1245" s="944"/>
      <c r="F1245" s="944"/>
      <c r="G1245" s="1072"/>
    </row>
    <row r="1246" spans="1:7">
      <c r="A1246" s="1074" t="s">
        <v>2</v>
      </c>
      <c r="B1246" s="944"/>
      <c r="C1246" s="53" t="s">
        <v>3</v>
      </c>
      <c r="D1246" s="53" t="s">
        <v>4</v>
      </c>
      <c r="E1246" s="53" t="s">
        <v>6</v>
      </c>
      <c r="F1246" s="53" t="s">
        <v>11</v>
      </c>
      <c r="G1246" s="1075" t="s">
        <v>8</v>
      </c>
    </row>
    <row r="1247" spans="1:7">
      <c r="A1247" s="943" t="s">
        <v>173</v>
      </c>
      <c r="B1247" s="944"/>
      <c r="C1247" s="16" t="s">
        <v>3</v>
      </c>
      <c r="D1247" s="54">
        <v>3.5000000000000003E-2</v>
      </c>
      <c r="E1247" s="17">
        <f>+G1244</f>
        <v>53.550000000000004</v>
      </c>
      <c r="F1247" s="55">
        <f>E1247*D1247</f>
        <v>1.8742500000000004</v>
      </c>
      <c r="G1247" s="1072"/>
    </row>
    <row r="1248" spans="1:7">
      <c r="A1248" s="59"/>
      <c r="B1248" s="60"/>
      <c r="C1248" s="60"/>
      <c r="D1248" s="60"/>
      <c r="E1248" s="60"/>
      <c r="F1248" s="60"/>
      <c r="G1248" s="57">
        <f>SUM(F1247:F1248)</f>
        <v>1.8742500000000004</v>
      </c>
    </row>
    <row r="1249" spans="1:7">
      <c r="A1249" s="1071" t="s">
        <v>19</v>
      </c>
      <c r="B1249" s="944"/>
      <c r="C1249" s="944"/>
      <c r="D1249" s="944"/>
      <c r="E1249" s="944"/>
      <c r="F1249" s="944"/>
      <c r="G1249" s="1072"/>
    </row>
    <row r="1250" spans="1:7">
      <c r="A1250" s="1074" t="s">
        <v>2</v>
      </c>
      <c r="B1250" s="944"/>
      <c r="C1250" s="53" t="s">
        <v>3</v>
      </c>
      <c r="D1250" s="53" t="s">
        <v>4</v>
      </c>
      <c r="E1250" s="53" t="s">
        <v>6</v>
      </c>
      <c r="F1250" s="53" t="s">
        <v>11</v>
      </c>
      <c r="G1250" s="456" t="s">
        <v>8</v>
      </c>
    </row>
    <row r="1251" spans="1:7">
      <c r="A1251" s="978" t="str">
        <f>SALARIOS!$A$66</f>
        <v>CUADRILLA BB INSTALACIONES 0:1</v>
      </c>
      <c r="B1251" s="979"/>
      <c r="C1251" s="13" t="s">
        <v>1245</v>
      </c>
      <c r="D1251" s="32">
        <v>0.05</v>
      </c>
      <c r="E1251" s="13">
        <f>SALARIOS!$C$66</f>
        <v>10129</v>
      </c>
      <c r="F1251" s="55">
        <f>+D1251*E1251</f>
        <v>506.45000000000005</v>
      </c>
      <c r="G1251" s="57">
        <f>SUM(F1250:F1251)</f>
        <v>506.45000000000005</v>
      </c>
    </row>
    <row r="1252" spans="1:7">
      <c r="A1252" s="1076" t="s">
        <v>25</v>
      </c>
      <c r="B1252" s="944"/>
      <c r="C1252" s="944"/>
      <c r="D1252" s="944"/>
      <c r="E1252" s="944"/>
      <c r="F1252" s="944"/>
      <c r="G1252" s="1072"/>
    </row>
    <row r="1253" spans="1:7" ht="17.399999999999999">
      <c r="A1253" s="1077"/>
      <c r="B1253" s="944"/>
      <c r="C1253" s="944"/>
      <c r="D1253" s="944"/>
      <c r="E1253" s="944"/>
      <c r="F1253" s="944"/>
      <c r="G1253" s="62">
        <f>G1251+G1248+G1244+G1238</f>
        <v>587.19675000000007</v>
      </c>
    </row>
    <row r="1255" spans="1:7">
      <c r="A1255" s="970" t="s">
        <v>1</v>
      </c>
      <c r="B1255" s="957"/>
      <c r="C1255" s="953" t="s">
        <v>0</v>
      </c>
      <c r="D1255" s="953"/>
      <c r="E1255" s="953"/>
      <c r="F1255" s="953"/>
      <c r="G1255" s="1103"/>
    </row>
    <row r="1256" spans="1:7" ht="51" customHeight="1">
      <c r="A1256" s="971"/>
      <c r="B1256" s="957"/>
      <c r="C1256" s="953"/>
      <c r="D1256" s="953"/>
      <c r="E1256" s="953"/>
      <c r="F1256" s="953"/>
      <c r="G1256" s="1103"/>
    </row>
    <row r="1257" spans="1:7" ht="17.399999999999999">
      <c r="A1257" s="971"/>
      <c r="B1257" s="957"/>
      <c r="C1257" s="956"/>
      <c r="D1257" s="957"/>
      <c r="E1257" s="957"/>
      <c r="F1257" s="957"/>
      <c r="G1257" s="958"/>
    </row>
    <row r="1258" spans="1:7">
      <c r="A1258" s="971"/>
      <c r="B1258" s="957"/>
      <c r="C1258" s="959" t="s">
        <v>2</v>
      </c>
      <c r="D1258" s="957"/>
      <c r="E1258" s="957"/>
      <c r="F1258" s="23" t="s">
        <v>3</v>
      </c>
      <c r="G1258" s="24" t="s">
        <v>4</v>
      </c>
    </row>
    <row r="1259" spans="1:7" ht="51.75" customHeight="1">
      <c r="A1259" s="1089" t="s">
        <v>2122</v>
      </c>
      <c r="B1259" s="944"/>
      <c r="C1259" s="980" t="s">
        <v>2123</v>
      </c>
      <c r="D1259" s="944"/>
      <c r="E1259" s="944"/>
      <c r="F1259" s="51" t="s">
        <v>1620</v>
      </c>
      <c r="G1259" s="52">
        <v>2</v>
      </c>
    </row>
    <row r="1260" spans="1:7">
      <c r="A1260" s="1071" t="s">
        <v>5</v>
      </c>
      <c r="B1260" s="944"/>
      <c r="C1260" s="944"/>
      <c r="D1260" s="944"/>
      <c r="E1260" s="944"/>
      <c r="F1260" s="944"/>
      <c r="G1260" s="1072"/>
    </row>
    <row r="1261" spans="1:7">
      <c r="A1261" s="1074" t="s">
        <v>2</v>
      </c>
      <c r="B1261" s="944"/>
      <c r="C1261" s="53" t="s">
        <v>3</v>
      </c>
      <c r="D1261" s="53" t="s">
        <v>4</v>
      </c>
      <c r="E1261" s="53" t="s">
        <v>6</v>
      </c>
      <c r="F1261" s="53" t="s">
        <v>7</v>
      </c>
      <c r="G1261" s="1075" t="s">
        <v>8</v>
      </c>
    </row>
    <row r="1262" spans="1:7">
      <c r="A1262" s="947" t="s">
        <v>167</v>
      </c>
      <c r="B1262" s="980"/>
      <c r="C1262" s="51" t="s">
        <v>3</v>
      </c>
      <c r="D1262" s="54">
        <v>0.05</v>
      </c>
      <c r="E1262" s="17">
        <f>+G1279</f>
        <v>204378</v>
      </c>
      <c r="F1262" s="55">
        <f>D1262*E1262</f>
        <v>10218.900000000001</v>
      </c>
      <c r="G1262" s="1072"/>
    </row>
    <row r="1263" spans="1:7">
      <c r="A1263" s="947" t="s">
        <v>2627</v>
      </c>
      <c r="B1263" s="944"/>
      <c r="C1263" s="51" t="s">
        <v>60</v>
      </c>
      <c r="D1263" s="54">
        <v>0.5</v>
      </c>
      <c r="E1263" s="17">
        <f>'INSUMOS '!$E$492</f>
        <v>37500</v>
      </c>
      <c r="F1263" s="55">
        <f>D1263*E1263</f>
        <v>18750</v>
      </c>
      <c r="G1263" s="1072"/>
    </row>
    <row r="1264" spans="1:7">
      <c r="A1264" s="947" t="s">
        <v>2664</v>
      </c>
      <c r="B1264" s="980"/>
      <c r="C1264" s="141" t="s">
        <v>60</v>
      </c>
      <c r="D1264" s="16">
        <v>1.35</v>
      </c>
      <c r="E1264" s="143">
        <f>'MAQUINARIA Y EQUIPOS'!$F$19</f>
        <v>45763.829999999994</v>
      </c>
      <c r="F1264" s="55">
        <f>D1264*E1264</f>
        <v>61781.1705</v>
      </c>
      <c r="G1264" s="1072"/>
    </row>
    <row r="1265" spans="1:7">
      <c r="A1265" s="947"/>
      <c r="B1265" s="944"/>
      <c r="C1265" s="51"/>
      <c r="D1265" s="54"/>
      <c r="E1265" s="17"/>
      <c r="F1265" s="55">
        <f>D1265*E1265</f>
        <v>0</v>
      </c>
      <c r="G1265" s="1072"/>
    </row>
    <row r="1266" spans="1:7">
      <c r="A1266" s="1079"/>
      <c r="B1266" s="944"/>
      <c r="C1266" s="56"/>
      <c r="D1266" s="56"/>
      <c r="E1266" s="56"/>
      <c r="F1266" s="55"/>
      <c r="G1266" s="57">
        <f>SUM(F1261:F1266)</f>
        <v>90750.070500000002</v>
      </c>
    </row>
    <row r="1267" spans="1:7">
      <c r="A1267" s="1071" t="s">
        <v>10</v>
      </c>
      <c r="B1267" s="944"/>
      <c r="C1267" s="944"/>
      <c r="D1267" s="944"/>
      <c r="E1267" s="944"/>
      <c r="F1267" s="944"/>
      <c r="G1267" s="1072"/>
    </row>
    <row r="1268" spans="1:7">
      <c r="A1268" s="1074" t="s">
        <v>2</v>
      </c>
      <c r="B1268" s="944"/>
      <c r="C1268" s="53" t="s">
        <v>3</v>
      </c>
      <c r="D1268" s="53" t="s">
        <v>4</v>
      </c>
      <c r="E1268" s="53" t="s">
        <v>6</v>
      </c>
      <c r="F1268" s="53" t="s">
        <v>11</v>
      </c>
      <c r="G1268" s="1075" t="s">
        <v>8</v>
      </c>
    </row>
    <row r="1269" spans="1:7">
      <c r="A1269" s="947" t="s">
        <v>2652</v>
      </c>
      <c r="B1269" s="944"/>
      <c r="C1269" s="16" t="s">
        <v>39</v>
      </c>
      <c r="D1269" s="54">
        <v>0.4</v>
      </c>
      <c r="E1269" s="17">
        <f>SUBANÁLISIS!$G$31</f>
        <v>570669.8666666667</v>
      </c>
      <c r="F1269" s="55">
        <f>D1269*E1269</f>
        <v>228267.94666666668</v>
      </c>
      <c r="G1269" s="1072"/>
    </row>
    <row r="1270" spans="1:7">
      <c r="A1270" s="947" t="s">
        <v>2653</v>
      </c>
      <c r="B1270" s="944"/>
      <c r="C1270" s="51" t="s">
        <v>39</v>
      </c>
      <c r="D1270" s="54">
        <v>0.1</v>
      </c>
      <c r="E1270" s="17">
        <f>SUBANÁLISIS!$G$89</f>
        <v>431833.82500000001</v>
      </c>
      <c r="F1270" s="55">
        <f>D1270*E1270</f>
        <v>43183.382500000007</v>
      </c>
      <c r="G1270" s="1072"/>
    </row>
    <row r="1271" spans="1:7">
      <c r="A1271" s="947" t="s">
        <v>2665</v>
      </c>
      <c r="B1271" s="944"/>
      <c r="C1271" s="16" t="s">
        <v>998</v>
      </c>
      <c r="D1271" s="54">
        <v>1</v>
      </c>
      <c r="E1271" s="17">
        <f>'INSUMOS '!$E$514</f>
        <v>622000</v>
      </c>
      <c r="F1271" s="55">
        <f>D1271*E1271</f>
        <v>622000</v>
      </c>
      <c r="G1271" s="1072"/>
    </row>
    <row r="1272" spans="1:7">
      <c r="A1272" s="947"/>
      <c r="B1272" s="944"/>
      <c r="C1272" s="16"/>
      <c r="D1272" s="58"/>
      <c r="E1272" s="17"/>
      <c r="F1272" s="55"/>
      <c r="G1272" s="57">
        <f>SUM(F1268:F1272)</f>
        <v>893451.32916666672</v>
      </c>
    </row>
    <row r="1273" spans="1:7">
      <c r="A1273" s="1071" t="s">
        <v>15</v>
      </c>
      <c r="B1273" s="944"/>
      <c r="C1273" s="944"/>
      <c r="D1273" s="944"/>
      <c r="E1273" s="944"/>
      <c r="F1273" s="944"/>
      <c r="G1273" s="1072"/>
    </row>
    <row r="1274" spans="1:7">
      <c r="A1274" s="1074" t="s">
        <v>2</v>
      </c>
      <c r="B1274" s="944"/>
      <c r="C1274" s="53" t="s">
        <v>3</v>
      </c>
      <c r="D1274" s="53" t="s">
        <v>4</v>
      </c>
      <c r="E1274" s="53" t="s">
        <v>6</v>
      </c>
      <c r="F1274" s="53" t="s">
        <v>11</v>
      </c>
      <c r="G1274" s="1075" t="s">
        <v>8</v>
      </c>
    </row>
    <row r="1275" spans="1:7">
      <c r="A1275" s="943" t="s">
        <v>173</v>
      </c>
      <c r="B1275" s="944"/>
      <c r="C1275" s="16" t="s">
        <v>3</v>
      </c>
      <c r="D1275" s="54">
        <v>3.5000000000000003E-2</v>
      </c>
      <c r="E1275" s="17">
        <f>+G1272</f>
        <v>893451.32916666672</v>
      </c>
      <c r="F1275" s="55">
        <f>E1275*D1275</f>
        <v>31270.796520833337</v>
      </c>
      <c r="G1275" s="1072"/>
    </row>
    <row r="1276" spans="1:7">
      <c r="A1276" s="59"/>
      <c r="B1276" s="60"/>
      <c r="C1276" s="60"/>
      <c r="D1276" s="60"/>
      <c r="E1276" s="60"/>
      <c r="F1276" s="60"/>
      <c r="G1276" s="57">
        <f>SUM(F1275:F1276)</f>
        <v>31270.796520833337</v>
      </c>
    </row>
    <row r="1277" spans="1:7">
      <c r="A1277" s="1071" t="s">
        <v>19</v>
      </c>
      <c r="B1277" s="944"/>
      <c r="C1277" s="944"/>
      <c r="D1277" s="944"/>
      <c r="E1277" s="944"/>
      <c r="F1277" s="944"/>
      <c r="G1277" s="1072"/>
    </row>
    <row r="1278" spans="1:7">
      <c r="A1278" s="1074" t="s">
        <v>2</v>
      </c>
      <c r="B1278" s="944"/>
      <c r="C1278" s="53" t="s">
        <v>3</v>
      </c>
      <c r="D1278" s="53" t="s">
        <v>4</v>
      </c>
      <c r="E1278" s="53" t="s">
        <v>6</v>
      </c>
      <c r="F1278" s="53" t="s">
        <v>11</v>
      </c>
      <c r="G1278" s="456" t="s">
        <v>8</v>
      </c>
    </row>
    <row r="1279" spans="1:7">
      <c r="A1279" s="978" t="str">
        <f>SALARIOS!$A$62</f>
        <v>CUADRILLA AA ALBAÑILERÍA 1:2</v>
      </c>
      <c r="B1279" s="979"/>
      <c r="C1279" s="13" t="s">
        <v>1245</v>
      </c>
      <c r="D1279" s="32">
        <v>6</v>
      </c>
      <c r="E1279" s="13">
        <f>SALARIOS!$C$62</f>
        <v>34063</v>
      </c>
      <c r="F1279" s="55">
        <f>+D1279*E1279</f>
        <v>204378</v>
      </c>
      <c r="G1279" s="57">
        <f>SUM(F1278:F1279)</f>
        <v>204378</v>
      </c>
    </row>
    <row r="1280" spans="1:7">
      <c r="A1280" s="1076" t="s">
        <v>25</v>
      </c>
      <c r="B1280" s="944"/>
      <c r="C1280" s="944"/>
      <c r="D1280" s="944"/>
      <c r="E1280" s="944"/>
      <c r="F1280" s="944"/>
      <c r="G1280" s="1072"/>
    </row>
    <row r="1281" spans="1:7" ht="17.399999999999999">
      <c r="A1281" s="1077"/>
      <c r="B1281" s="944"/>
      <c r="C1281" s="944"/>
      <c r="D1281" s="944"/>
      <c r="E1281" s="944"/>
      <c r="F1281" s="944"/>
      <c r="G1281" s="62">
        <f>G1279+G1276+G1272+G1266</f>
        <v>1219850.1961874999</v>
      </c>
    </row>
    <row r="1283" spans="1:7">
      <c r="A1283" s="970" t="s">
        <v>1</v>
      </c>
      <c r="B1283" s="957"/>
      <c r="C1283" s="953" t="s">
        <v>0</v>
      </c>
      <c r="D1283" s="953"/>
      <c r="E1283" s="953"/>
      <c r="F1283" s="953"/>
      <c r="G1283" s="1103"/>
    </row>
    <row r="1284" spans="1:7" ht="47.25" customHeight="1">
      <c r="A1284" s="971"/>
      <c r="B1284" s="957"/>
      <c r="C1284" s="953"/>
      <c r="D1284" s="953"/>
      <c r="E1284" s="953"/>
      <c r="F1284" s="953"/>
      <c r="G1284" s="1103"/>
    </row>
    <row r="1285" spans="1:7" ht="17.399999999999999">
      <c r="A1285" s="971"/>
      <c r="B1285" s="957"/>
      <c r="C1285" s="956"/>
      <c r="D1285" s="957"/>
      <c r="E1285" s="957"/>
      <c r="F1285" s="957"/>
      <c r="G1285" s="958"/>
    </row>
    <row r="1286" spans="1:7">
      <c r="A1286" s="971"/>
      <c r="B1286" s="957"/>
      <c r="C1286" s="959" t="s">
        <v>2</v>
      </c>
      <c r="D1286" s="957"/>
      <c r="E1286" s="957"/>
      <c r="F1286" s="23" t="s">
        <v>3</v>
      </c>
      <c r="G1286" s="24" t="s">
        <v>4</v>
      </c>
    </row>
    <row r="1287" spans="1:7" ht="54.75" customHeight="1">
      <c r="A1287" s="1089" t="s">
        <v>2124</v>
      </c>
      <c r="B1287" s="944"/>
      <c r="C1287" s="980" t="s">
        <v>2125</v>
      </c>
      <c r="D1287" s="944"/>
      <c r="E1287" s="944"/>
      <c r="F1287" s="51" t="s">
        <v>1620</v>
      </c>
      <c r="G1287" s="52">
        <v>3</v>
      </c>
    </row>
    <row r="1288" spans="1:7">
      <c r="A1288" s="1071" t="s">
        <v>5</v>
      </c>
      <c r="B1288" s="944"/>
      <c r="C1288" s="944"/>
      <c r="D1288" s="944"/>
      <c r="E1288" s="944"/>
      <c r="F1288" s="944"/>
      <c r="G1288" s="1072"/>
    </row>
    <row r="1289" spans="1:7">
      <c r="A1289" s="1074" t="s">
        <v>2</v>
      </c>
      <c r="B1289" s="944"/>
      <c r="C1289" s="53" t="s">
        <v>3</v>
      </c>
      <c r="D1289" s="53" t="s">
        <v>4</v>
      </c>
      <c r="E1289" s="53" t="s">
        <v>6</v>
      </c>
      <c r="F1289" s="53" t="s">
        <v>7</v>
      </c>
      <c r="G1289" s="1075" t="s">
        <v>8</v>
      </c>
    </row>
    <row r="1290" spans="1:7">
      <c r="A1290" s="947" t="s">
        <v>167</v>
      </c>
      <c r="B1290" s="980"/>
      <c r="C1290" s="51" t="s">
        <v>3</v>
      </c>
      <c r="D1290" s="54">
        <v>0.05</v>
      </c>
      <c r="E1290" s="17">
        <f>+G1307</f>
        <v>272504</v>
      </c>
      <c r="F1290" s="55">
        <f>D1290*E1290</f>
        <v>13625.2</v>
      </c>
      <c r="G1290" s="1072"/>
    </row>
    <row r="1291" spans="1:7">
      <c r="A1291" s="947" t="s">
        <v>2627</v>
      </c>
      <c r="B1291" s="944"/>
      <c r="C1291" s="51" t="s">
        <v>60</v>
      </c>
      <c r="D1291" s="54">
        <v>0.5</v>
      </c>
      <c r="E1291" s="17">
        <f>'INSUMOS '!$E$492</f>
        <v>37500</v>
      </c>
      <c r="F1291" s="55">
        <f>D1291*E1291</f>
        <v>18750</v>
      </c>
      <c r="G1291" s="1072"/>
    </row>
    <row r="1292" spans="1:7">
      <c r="A1292" s="947" t="s">
        <v>2664</v>
      </c>
      <c r="B1292" s="980"/>
      <c r="C1292" s="141" t="s">
        <v>60</v>
      </c>
      <c r="D1292" s="16">
        <v>1.35</v>
      </c>
      <c r="E1292" s="143">
        <f>'MAQUINARIA Y EQUIPOS'!$F$19</f>
        <v>45763.829999999994</v>
      </c>
      <c r="F1292" s="55">
        <f>D1292*E1292</f>
        <v>61781.1705</v>
      </c>
      <c r="G1292" s="1072"/>
    </row>
    <row r="1293" spans="1:7">
      <c r="A1293" s="947"/>
      <c r="B1293" s="944"/>
      <c r="C1293" s="51"/>
      <c r="D1293" s="54"/>
      <c r="E1293" s="17"/>
      <c r="F1293" s="55">
        <f>D1293*E1293</f>
        <v>0</v>
      </c>
      <c r="G1293" s="1072"/>
    </row>
    <row r="1294" spans="1:7">
      <c r="A1294" s="1079"/>
      <c r="B1294" s="944"/>
      <c r="C1294" s="56"/>
      <c r="D1294" s="56"/>
      <c r="E1294" s="56"/>
      <c r="F1294" s="55"/>
      <c r="G1294" s="57">
        <f>SUM(F1289:F1294)</f>
        <v>94156.370500000005</v>
      </c>
    </row>
    <row r="1295" spans="1:7">
      <c r="A1295" s="1071" t="s">
        <v>10</v>
      </c>
      <c r="B1295" s="944"/>
      <c r="C1295" s="944"/>
      <c r="D1295" s="944"/>
      <c r="E1295" s="944"/>
      <c r="F1295" s="944"/>
      <c r="G1295" s="1072"/>
    </row>
    <row r="1296" spans="1:7">
      <c r="A1296" s="1074" t="s">
        <v>2</v>
      </c>
      <c r="B1296" s="944"/>
      <c r="C1296" s="53" t="s">
        <v>3</v>
      </c>
      <c r="D1296" s="53" t="s">
        <v>4</v>
      </c>
      <c r="E1296" s="53" t="s">
        <v>6</v>
      </c>
      <c r="F1296" s="53" t="s">
        <v>11</v>
      </c>
      <c r="G1296" s="1075" t="s">
        <v>8</v>
      </c>
    </row>
    <row r="1297" spans="1:7">
      <c r="A1297" s="947" t="s">
        <v>2652</v>
      </c>
      <c r="B1297" s="944"/>
      <c r="C1297" s="16" t="s">
        <v>39</v>
      </c>
      <c r="D1297" s="54">
        <v>0.8</v>
      </c>
      <c r="E1297" s="17">
        <f>SUBANÁLISIS!$G$31</f>
        <v>570669.8666666667</v>
      </c>
      <c r="F1297" s="55">
        <f>D1297*E1297</f>
        <v>456535.89333333337</v>
      </c>
      <c r="G1297" s="1072"/>
    </row>
    <row r="1298" spans="1:7">
      <c r="A1298" s="947" t="s">
        <v>2653</v>
      </c>
      <c r="B1298" s="944"/>
      <c r="C1298" s="51" t="s">
        <v>39</v>
      </c>
      <c r="D1298" s="54">
        <v>0.2</v>
      </c>
      <c r="E1298" s="17">
        <f>SUBANÁLISIS!$G$89</f>
        <v>431833.82500000001</v>
      </c>
      <c r="F1298" s="55">
        <f>D1298*E1298</f>
        <v>86366.765000000014</v>
      </c>
      <c r="G1298" s="1072"/>
    </row>
    <row r="1299" spans="1:7">
      <c r="A1299" s="947" t="s">
        <v>2638</v>
      </c>
      <c r="B1299" s="944"/>
      <c r="C1299" s="16" t="s">
        <v>998</v>
      </c>
      <c r="D1299" s="54">
        <v>1</v>
      </c>
      <c r="E1299" s="17">
        <f>'INSUMOS '!$E$503</f>
        <v>673236.9</v>
      </c>
      <c r="F1299" s="55">
        <f>D1299*E1299</f>
        <v>673236.9</v>
      </c>
      <c r="G1299" s="1072"/>
    </row>
    <row r="1300" spans="1:7">
      <c r="A1300" s="947"/>
      <c r="B1300" s="944"/>
      <c r="C1300" s="16"/>
      <c r="D1300" s="58"/>
      <c r="E1300" s="17"/>
      <c r="F1300" s="55"/>
      <c r="G1300" s="57">
        <f>SUM(F1296:F1300)</f>
        <v>1216139.5583333336</v>
      </c>
    </row>
    <row r="1301" spans="1:7">
      <c r="A1301" s="1071" t="s">
        <v>15</v>
      </c>
      <c r="B1301" s="944"/>
      <c r="C1301" s="944"/>
      <c r="D1301" s="944"/>
      <c r="E1301" s="944"/>
      <c r="F1301" s="944"/>
      <c r="G1301" s="1072"/>
    </row>
    <row r="1302" spans="1:7">
      <c r="A1302" s="1074" t="s">
        <v>2</v>
      </c>
      <c r="B1302" s="944"/>
      <c r="C1302" s="53" t="s">
        <v>3</v>
      </c>
      <c r="D1302" s="53" t="s">
        <v>4</v>
      </c>
      <c r="E1302" s="53" t="s">
        <v>6</v>
      </c>
      <c r="F1302" s="53" t="s">
        <v>11</v>
      </c>
      <c r="G1302" s="1075" t="s">
        <v>8</v>
      </c>
    </row>
    <row r="1303" spans="1:7">
      <c r="A1303" s="943" t="s">
        <v>173</v>
      </c>
      <c r="B1303" s="944"/>
      <c r="C1303" s="16" t="s">
        <v>3</v>
      </c>
      <c r="D1303" s="54">
        <v>3.5000000000000003E-2</v>
      </c>
      <c r="E1303" s="17">
        <f>+G1300</f>
        <v>1216139.5583333336</v>
      </c>
      <c r="F1303" s="55">
        <f>E1303*D1303</f>
        <v>42564.884541666681</v>
      </c>
      <c r="G1303" s="1072"/>
    </row>
    <row r="1304" spans="1:7">
      <c r="A1304" s="59"/>
      <c r="B1304" s="60"/>
      <c r="C1304" s="60"/>
      <c r="D1304" s="60"/>
      <c r="E1304" s="60"/>
      <c r="F1304" s="60"/>
      <c r="G1304" s="57">
        <f>SUM(F1303:F1304)</f>
        <v>42564.884541666681</v>
      </c>
    </row>
    <row r="1305" spans="1:7">
      <c r="A1305" s="1071" t="s">
        <v>19</v>
      </c>
      <c r="B1305" s="944"/>
      <c r="C1305" s="944"/>
      <c r="D1305" s="944"/>
      <c r="E1305" s="944"/>
      <c r="F1305" s="944"/>
      <c r="G1305" s="1072"/>
    </row>
    <row r="1306" spans="1:7">
      <c r="A1306" s="1074" t="s">
        <v>2</v>
      </c>
      <c r="B1306" s="944"/>
      <c r="C1306" s="53" t="s">
        <v>3</v>
      </c>
      <c r="D1306" s="53" t="s">
        <v>4</v>
      </c>
      <c r="E1306" s="53" t="s">
        <v>6</v>
      </c>
      <c r="F1306" s="53" t="s">
        <v>11</v>
      </c>
      <c r="G1306" s="456" t="s">
        <v>8</v>
      </c>
    </row>
    <row r="1307" spans="1:7">
      <c r="A1307" s="978" t="str">
        <f>SALARIOS!$A$62</f>
        <v>CUADRILLA AA ALBAÑILERÍA 1:2</v>
      </c>
      <c r="B1307" s="979"/>
      <c r="C1307" s="13" t="s">
        <v>1245</v>
      </c>
      <c r="D1307" s="32">
        <v>8</v>
      </c>
      <c r="E1307" s="13">
        <f>SALARIOS!$C$62</f>
        <v>34063</v>
      </c>
      <c r="F1307" s="55">
        <f>+D1307*E1307</f>
        <v>272504</v>
      </c>
      <c r="G1307" s="57">
        <f>SUM(F1306:F1307)</f>
        <v>272504</v>
      </c>
    </row>
    <row r="1308" spans="1:7">
      <c r="A1308" s="1076" t="s">
        <v>25</v>
      </c>
      <c r="B1308" s="944"/>
      <c r="C1308" s="944"/>
      <c r="D1308" s="944"/>
      <c r="E1308" s="944"/>
      <c r="F1308" s="944"/>
      <c r="G1308" s="1072"/>
    </row>
    <row r="1309" spans="1:7" ht="17.399999999999999">
      <c r="A1309" s="1077"/>
      <c r="B1309" s="944"/>
      <c r="C1309" s="944"/>
      <c r="D1309" s="944"/>
      <c r="E1309" s="944"/>
      <c r="F1309" s="944"/>
      <c r="G1309" s="62">
        <f>G1307+G1304+G1300+G1294</f>
        <v>1625364.8133750001</v>
      </c>
    </row>
    <row r="1311" spans="1:7">
      <c r="A1311" s="970" t="s">
        <v>1</v>
      </c>
      <c r="B1311" s="957"/>
      <c r="C1311" s="953" t="s">
        <v>0</v>
      </c>
      <c r="D1311" s="953"/>
      <c r="E1311" s="953"/>
      <c r="F1311" s="953"/>
      <c r="G1311" s="1103"/>
    </row>
    <row r="1312" spans="1:7" ht="46.5" customHeight="1">
      <c r="A1312" s="971"/>
      <c r="B1312" s="957"/>
      <c r="C1312" s="953"/>
      <c r="D1312" s="953"/>
      <c r="E1312" s="953"/>
      <c r="F1312" s="953"/>
      <c r="G1312" s="1103"/>
    </row>
    <row r="1313" spans="1:7" ht="17.399999999999999">
      <c r="A1313" s="971"/>
      <c r="B1313" s="957"/>
      <c r="C1313" s="956"/>
      <c r="D1313" s="957"/>
      <c r="E1313" s="957"/>
      <c r="F1313" s="957"/>
      <c r="G1313" s="958"/>
    </row>
    <row r="1314" spans="1:7">
      <c r="A1314" s="971"/>
      <c r="B1314" s="957"/>
      <c r="C1314" s="959" t="s">
        <v>2</v>
      </c>
      <c r="D1314" s="957"/>
      <c r="E1314" s="957"/>
      <c r="F1314" s="23" t="s">
        <v>3</v>
      </c>
      <c r="G1314" s="24" t="s">
        <v>4</v>
      </c>
    </row>
    <row r="1315" spans="1:7" ht="34.799999999999997">
      <c r="A1315" s="1089" t="s">
        <v>2126</v>
      </c>
      <c r="B1315" s="944"/>
      <c r="C1315" s="980" t="s">
        <v>2127</v>
      </c>
      <c r="D1315" s="944"/>
      <c r="E1315" s="944"/>
      <c r="F1315" s="51" t="s">
        <v>1620</v>
      </c>
      <c r="G1315" s="52">
        <v>36</v>
      </c>
    </row>
    <row r="1316" spans="1:7">
      <c r="A1316" s="1071" t="s">
        <v>5</v>
      </c>
      <c r="B1316" s="944"/>
      <c r="C1316" s="944"/>
      <c r="D1316" s="944"/>
      <c r="E1316" s="944"/>
      <c r="F1316" s="944"/>
      <c r="G1316" s="1072"/>
    </row>
    <row r="1317" spans="1:7">
      <c r="A1317" s="1074" t="s">
        <v>2</v>
      </c>
      <c r="B1317" s="944"/>
      <c r="C1317" s="53" t="s">
        <v>3</v>
      </c>
      <c r="D1317" s="53" t="s">
        <v>4</v>
      </c>
      <c r="E1317" s="53" t="s">
        <v>6</v>
      </c>
      <c r="F1317" s="53" t="s">
        <v>7</v>
      </c>
      <c r="G1317" s="1075" t="s">
        <v>8</v>
      </c>
    </row>
    <row r="1318" spans="1:7">
      <c r="A1318" s="947" t="s">
        <v>167</v>
      </c>
      <c r="B1318" s="980"/>
      <c r="C1318" s="51" t="s">
        <v>3</v>
      </c>
      <c r="D1318" s="54">
        <v>0.05</v>
      </c>
      <c r="E1318" s="17">
        <f>+G1335</f>
        <v>13670.5</v>
      </c>
      <c r="F1318" s="55">
        <f>D1318*E1318</f>
        <v>683.52500000000009</v>
      </c>
      <c r="G1318" s="1072"/>
    </row>
    <row r="1319" spans="1:7">
      <c r="A1319" s="947"/>
      <c r="B1319" s="944"/>
      <c r="C1319" s="51"/>
      <c r="D1319" s="54"/>
      <c r="E1319" s="17"/>
      <c r="F1319" s="55">
        <f>D1319*E1319</f>
        <v>0</v>
      </c>
      <c r="G1319" s="1072"/>
    </row>
    <row r="1320" spans="1:7">
      <c r="A1320" s="947"/>
      <c r="B1320" s="980"/>
      <c r="C1320" s="141"/>
      <c r="D1320" s="16"/>
      <c r="E1320" s="143"/>
      <c r="F1320" s="55">
        <f>D1320*E1320</f>
        <v>0</v>
      </c>
      <c r="G1320" s="1072"/>
    </row>
    <row r="1321" spans="1:7">
      <c r="A1321" s="947"/>
      <c r="B1321" s="944"/>
      <c r="C1321" s="51"/>
      <c r="D1321" s="54"/>
      <c r="E1321" s="17"/>
      <c r="F1321" s="55">
        <f>D1321*E1321</f>
        <v>0</v>
      </c>
      <c r="G1321" s="1072"/>
    </row>
    <row r="1322" spans="1:7">
      <c r="A1322" s="1079"/>
      <c r="B1322" s="944"/>
      <c r="C1322" s="56"/>
      <c r="D1322" s="56"/>
      <c r="E1322" s="56"/>
      <c r="F1322" s="55"/>
      <c r="G1322" s="57">
        <f>SUM(F1317:F1322)</f>
        <v>683.52500000000009</v>
      </c>
    </row>
    <row r="1323" spans="1:7">
      <c r="A1323" s="1071" t="s">
        <v>10</v>
      </c>
      <c r="B1323" s="944"/>
      <c r="C1323" s="944"/>
      <c r="D1323" s="944"/>
      <c r="E1323" s="944"/>
      <c r="F1323" s="944"/>
      <c r="G1323" s="1072"/>
    </row>
    <row r="1324" spans="1:7">
      <c r="A1324" s="1074" t="s">
        <v>2</v>
      </c>
      <c r="B1324" s="944"/>
      <c r="C1324" s="53" t="s">
        <v>3</v>
      </c>
      <c r="D1324" s="53" t="s">
        <v>4</v>
      </c>
      <c r="E1324" s="53" t="s">
        <v>6</v>
      </c>
      <c r="F1324" s="53" t="s">
        <v>11</v>
      </c>
      <c r="G1324" s="1075" t="s">
        <v>8</v>
      </c>
    </row>
    <row r="1325" spans="1:7">
      <c r="A1325" s="947" t="s">
        <v>2633</v>
      </c>
      <c r="B1325" s="944"/>
      <c r="C1325" s="16" t="s">
        <v>998</v>
      </c>
      <c r="D1325" s="54">
        <v>1</v>
      </c>
      <c r="E1325" s="17">
        <f>'INSUMOS '!$E$498</f>
        <v>27943.5</v>
      </c>
      <c r="F1325" s="55">
        <f>D1325*E1325</f>
        <v>27943.5</v>
      </c>
      <c r="G1325" s="1072"/>
    </row>
    <row r="1326" spans="1:7">
      <c r="A1326" s="947"/>
      <c r="B1326" s="944"/>
      <c r="C1326" s="51"/>
      <c r="D1326" s="54"/>
      <c r="E1326" s="17"/>
      <c r="F1326" s="55">
        <f>D1326*E1326</f>
        <v>0</v>
      </c>
      <c r="G1326" s="1072"/>
    </row>
    <row r="1327" spans="1:7">
      <c r="A1327" s="947"/>
      <c r="B1327" s="944"/>
      <c r="C1327" s="16"/>
      <c r="D1327" s="54"/>
      <c r="E1327" s="17"/>
      <c r="F1327" s="55">
        <f>D1327*E1327</f>
        <v>0</v>
      </c>
      <c r="G1327" s="1072"/>
    </row>
    <row r="1328" spans="1:7">
      <c r="A1328" s="947"/>
      <c r="B1328" s="944"/>
      <c r="C1328" s="16"/>
      <c r="D1328" s="58"/>
      <c r="E1328" s="17"/>
      <c r="F1328" s="55"/>
      <c r="G1328" s="57">
        <f>SUM(F1324:F1328)</f>
        <v>27943.5</v>
      </c>
    </row>
    <row r="1329" spans="1:7">
      <c r="A1329" s="1071" t="s">
        <v>15</v>
      </c>
      <c r="B1329" s="944"/>
      <c r="C1329" s="944"/>
      <c r="D1329" s="944"/>
      <c r="E1329" s="944"/>
      <c r="F1329" s="944"/>
      <c r="G1329" s="1072"/>
    </row>
    <row r="1330" spans="1:7">
      <c r="A1330" s="1074" t="s">
        <v>2</v>
      </c>
      <c r="B1330" s="944"/>
      <c r="C1330" s="53" t="s">
        <v>3</v>
      </c>
      <c r="D1330" s="53" t="s">
        <v>4</v>
      </c>
      <c r="E1330" s="53" t="s">
        <v>6</v>
      </c>
      <c r="F1330" s="53" t="s">
        <v>11</v>
      </c>
      <c r="G1330" s="1075" t="s">
        <v>8</v>
      </c>
    </row>
    <row r="1331" spans="1:7">
      <c r="A1331" s="943" t="s">
        <v>173</v>
      </c>
      <c r="B1331" s="944"/>
      <c r="C1331" s="16" t="s">
        <v>3</v>
      </c>
      <c r="D1331" s="54">
        <v>3.5000000000000003E-2</v>
      </c>
      <c r="E1331" s="17">
        <f>+G1328</f>
        <v>27943.5</v>
      </c>
      <c r="F1331" s="55">
        <f>E1331*D1331</f>
        <v>978.02250000000004</v>
      </c>
      <c r="G1331" s="1072"/>
    </row>
    <row r="1332" spans="1:7">
      <c r="A1332" s="59"/>
      <c r="B1332" s="60"/>
      <c r="C1332" s="60"/>
      <c r="D1332" s="60"/>
      <c r="E1332" s="60"/>
      <c r="F1332" s="60"/>
      <c r="G1332" s="57">
        <f>SUM(F1331:F1332)</f>
        <v>978.02250000000004</v>
      </c>
    </row>
    <row r="1333" spans="1:7">
      <c r="A1333" s="1071" t="s">
        <v>19</v>
      </c>
      <c r="B1333" s="944"/>
      <c r="C1333" s="944"/>
      <c r="D1333" s="944"/>
      <c r="E1333" s="944"/>
      <c r="F1333" s="944"/>
      <c r="G1333" s="1072"/>
    </row>
    <row r="1334" spans="1:7">
      <c r="A1334" s="1074" t="s">
        <v>2</v>
      </c>
      <c r="B1334" s="944"/>
      <c r="C1334" s="53" t="s">
        <v>3</v>
      </c>
      <c r="D1334" s="53" t="s">
        <v>4</v>
      </c>
      <c r="E1334" s="53" t="s">
        <v>6</v>
      </c>
      <c r="F1334" s="53" t="s">
        <v>11</v>
      </c>
      <c r="G1334" s="456" t="s">
        <v>8</v>
      </c>
    </row>
    <row r="1335" spans="1:7">
      <c r="A1335" s="978" t="str">
        <f>SALARIOS!$A$69</f>
        <v>CUADRILLA BB INSTALACIONES 1:1</v>
      </c>
      <c r="B1335" s="979"/>
      <c r="C1335" s="13" t="s">
        <v>1245</v>
      </c>
      <c r="D1335" s="32">
        <v>0.5</v>
      </c>
      <c r="E1335" s="13">
        <f>SALARIOS!$C$69</f>
        <v>27341</v>
      </c>
      <c r="F1335" s="55">
        <f>+D1335*E1335</f>
        <v>13670.5</v>
      </c>
      <c r="G1335" s="57">
        <f>SUM(F1334:F1335)</f>
        <v>13670.5</v>
      </c>
    </row>
    <row r="1336" spans="1:7">
      <c r="A1336" s="1076" t="s">
        <v>25</v>
      </c>
      <c r="B1336" s="944"/>
      <c r="C1336" s="944"/>
      <c r="D1336" s="944"/>
      <c r="E1336" s="944"/>
      <c r="F1336" s="944"/>
      <c r="G1336" s="1072"/>
    </row>
    <row r="1337" spans="1:7" ht="17.399999999999999">
      <c r="A1337" s="1077"/>
      <c r="B1337" s="944"/>
      <c r="C1337" s="944"/>
      <c r="D1337" s="944"/>
      <c r="E1337" s="944"/>
      <c r="F1337" s="944"/>
      <c r="G1337" s="62">
        <f>G1335+G1332+G1328+G1322</f>
        <v>43275.547500000001</v>
      </c>
    </row>
    <row r="1339" spans="1:7">
      <c r="A1339" s="970" t="s">
        <v>1</v>
      </c>
      <c r="B1339" s="957"/>
      <c r="C1339" s="953" t="s">
        <v>0</v>
      </c>
      <c r="D1339" s="953"/>
      <c r="E1339" s="953"/>
      <c r="F1339" s="953"/>
      <c r="G1339" s="1103"/>
    </row>
    <row r="1340" spans="1:7" ht="51" customHeight="1">
      <c r="A1340" s="971"/>
      <c r="B1340" s="957"/>
      <c r="C1340" s="953"/>
      <c r="D1340" s="953"/>
      <c r="E1340" s="953"/>
      <c r="F1340" s="953"/>
      <c r="G1340" s="1103"/>
    </row>
    <row r="1341" spans="1:7" ht="17.399999999999999">
      <c r="A1341" s="971"/>
      <c r="B1341" s="957"/>
      <c r="C1341" s="956"/>
      <c r="D1341" s="957"/>
      <c r="E1341" s="957"/>
      <c r="F1341" s="957"/>
      <c r="G1341" s="958"/>
    </row>
    <row r="1342" spans="1:7">
      <c r="A1342" s="971"/>
      <c r="B1342" s="957"/>
      <c r="C1342" s="959" t="s">
        <v>2</v>
      </c>
      <c r="D1342" s="957"/>
      <c r="E1342" s="957"/>
      <c r="F1342" s="23" t="s">
        <v>3</v>
      </c>
      <c r="G1342" s="24" t="s">
        <v>4</v>
      </c>
    </row>
    <row r="1343" spans="1:7" ht="34.799999999999997">
      <c r="A1343" s="1089" t="s">
        <v>2130</v>
      </c>
      <c r="B1343" s="944"/>
      <c r="C1343" s="980" t="s">
        <v>2131</v>
      </c>
      <c r="D1343" s="944"/>
      <c r="E1343" s="944"/>
      <c r="F1343" s="51" t="s">
        <v>100</v>
      </c>
      <c r="G1343" s="52">
        <v>807.61</v>
      </c>
    </row>
    <row r="1344" spans="1:7">
      <c r="A1344" s="1071" t="s">
        <v>5</v>
      </c>
      <c r="B1344" s="944"/>
      <c r="C1344" s="944"/>
      <c r="D1344" s="944"/>
      <c r="E1344" s="944"/>
      <c r="F1344" s="944"/>
      <c r="G1344" s="1072"/>
    </row>
    <row r="1345" spans="1:7" s="2" customFormat="1" ht="15" customHeight="1">
      <c r="A1345" s="931" t="s">
        <v>2</v>
      </c>
      <c r="B1345" s="928"/>
      <c r="C1345" s="11" t="s">
        <v>3</v>
      </c>
      <c r="D1345" s="11" t="s">
        <v>4</v>
      </c>
      <c r="E1345" s="11" t="s">
        <v>6</v>
      </c>
      <c r="F1345" s="11" t="s">
        <v>7</v>
      </c>
      <c r="G1345" s="967" t="s">
        <v>8</v>
      </c>
    </row>
    <row r="1346" spans="1:7" s="2" customFormat="1" ht="15" customHeight="1">
      <c r="A1346" s="927" t="s">
        <v>89</v>
      </c>
      <c r="B1346" s="932"/>
      <c r="C1346" s="12" t="s">
        <v>3</v>
      </c>
      <c r="D1346" s="9">
        <v>0.05</v>
      </c>
      <c r="E1346" s="13">
        <f>G1361</f>
        <v>744.42399999999998</v>
      </c>
      <c r="F1346" s="14">
        <f>D1346*E1346</f>
        <v>37.221200000000003</v>
      </c>
      <c r="G1346" s="968"/>
    </row>
    <row r="1347" spans="1:7" s="2" customFormat="1" ht="15" customHeight="1">
      <c r="A1347" s="927" t="s">
        <v>1296</v>
      </c>
      <c r="B1347" s="932"/>
      <c r="C1347" s="12" t="s">
        <v>60</v>
      </c>
      <c r="D1347" s="9">
        <v>3.3E-3</v>
      </c>
      <c r="E1347" s="13">
        <v>100000</v>
      </c>
      <c r="F1347" s="14">
        <f>D1347*E1347</f>
        <v>330</v>
      </c>
      <c r="G1347" s="969"/>
    </row>
    <row r="1348" spans="1:7" s="2" customFormat="1" ht="15" customHeight="1">
      <c r="A1348" s="927"/>
      <c r="B1348" s="932"/>
      <c r="C1348" s="12"/>
      <c r="D1348" s="12"/>
      <c r="E1348" s="13"/>
      <c r="F1348" s="14"/>
      <c r="G1348" s="15">
        <f>SUM(F1345:F1348)</f>
        <v>367.22120000000001</v>
      </c>
    </row>
    <row r="1349" spans="1:7" s="2" customFormat="1" ht="15" customHeight="1">
      <c r="A1349" s="929" t="s">
        <v>10</v>
      </c>
      <c r="B1349" s="928"/>
      <c r="C1349" s="928"/>
      <c r="D1349" s="928"/>
      <c r="E1349" s="928"/>
      <c r="F1349" s="928"/>
      <c r="G1349" s="930"/>
    </row>
    <row r="1350" spans="1:7" s="2" customFormat="1" ht="15" customHeight="1">
      <c r="A1350" s="931" t="s">
        <v>2</v>
      </c>
      <c r="B1350" s="928"/>
      <c r="C1350" s="11" t="s">
        <v>3</v>
      </c>
      <c r="D1350" s="11" t="s">
        <v>4</v>
      </c>
      <c r="E1350" s="11" t="s">
        <v>6</v>
      </c>
      <c r="F1350" s="11" t="s">
        <v>11</v>
      </c>
      <c r="G1350" s="946" t="s">
        <v>8</v>
      </c>
    </row>
    <row r="1351" spans="1:7" s="2" customFormat="1" ht="15" customHeight="1">
      <c r="A1351" s="947" t="s">
        <v>1315</v>
      </c>
      <c r="B1351" s="944"/>
      <c r="C1351" s="16" t="s">
        <v>3</v>
      </c>
      <c r="D1351" s="32">
        <v>0.01</v>
      </c>
      <c r="E1351" s="17">
        <f>'INSUMOS '!$E$13</f>
        <v>14900</v>
      </c>
      <c r="F1351" s="14">
        <f>D1351*E1351</f>
        <v>149</v>
      </c>
      <c r="G1351" s="946"/>
    </row>
    <row r="1352" spans="1:7" s="2" customFormat="1" ht="15" customHeight="1">
      <c r="A1352" s="947" t="s">
        <v>1111</v>
      </c>
      <c r="B1352" s="944"/>
      <c r="C1352" s="16" t="s">
        <v>3</v>
      </c>
      <c r="D1352" s="32">
        <v>0.01</v>
      </c>
      <c r="E1352" s="17">
        <f>'INSUMOS '!$E$139</f>
        <v>11900</v>
      </c>
      <c r="F1352" s="14">
        <f>D1352*E1352</f>
        <v>119</v>
      </c>
      <c r="G1352" s="946"/>
    </row>
    <row r="1353" spans="1:7" s="2" customFormat="1" ht="15" customHeight="1">
      <c r="A1353" s="927" t="s">
        <v>13</v>
      </c>
      <c r="B1353" s="928"/>
      <c r="C1353" s="12" t="s">
        <v>3</v>
      </c>
      <c r="D1353" s="34">
        <v>1E-3</v>
      </c>
      <c r="E1353" s="13">
        <f>'INSUMOS '!$E$130</f>
        <v>152000</v>
      </c>
      <c r="F1353" s="14">
        <f>D1353*E1353</f>
        <v>152</v>
      </c>
      <c r="G1353" s="946"/>
    </row>
    <row r="1354" spans="1:7" s="2" customFormat="1" ht="32.25" customHeight="1">
      <c r="A1354" s="947" t="s">
        <v>1316</v>
      </c>
      <c r="B1354" s="944"/>
      <c r="C1354" s="16" t="s">
        <v>3</v>
      </c>
      <c r="D1354" s="32">
        <v>0.01</v>
      </c>
      <c r="E1354" s="17">
        <f>'INSUMOS '!$E$140</f>
        <v>18900</v>
      </c>
      <c r="F1354" s="14">
        <f>D1354*E1354</f>
        <v>189</v>
      </c>
      <c r="G1354" s="946"/>
    </row>
    <row r="1355" spans="1:7" s="2" customFormat="1" ht="15" customHeight="1">
      <c r="A1355" s="927"/>
      <c r="B1355" s="928"/>
      <c r="C1355" s="12"/>
      <c r="D1355" s="9"/>
      <c r="E1355" s="13"/>
      <c r="F1355" s="14"/>
      <c r="G1355" s="15">
        <f>SUM(F1350:F1355)</f>
        <v>609</v>
      </c>
    </row>
    <row r="1356" spans="1:7" s="2" customFormat="1" ht="15" customHeight="1">
      <c r="A1356" s="929" t="s">
        <v>15</v>
      </c>
      <c r="B1356" s="928"/>
      <c r="C1356" s="928"/>
      <c r="D1356" s="928"/>
      <c r="E1356" s="928"/>
      <c r="F1356" s="928"/>
      <c r="G1356" s="930"/>
    </row>
    <row r="1357" spans="1:7" s="2" customFormat="1" ht="15" customHeight="1">
      <c r="A1357" s="931" t="s">
        <v>2</v>
      </c>
      <c r="B1357" s="928"/>
      <c r="C1357" s="11" t="s">
        <v>3</v>
      </c>
      <c r="D1357" s="11" t="s">
        <v>4</v>
      </c>
      <c r="E1357" s="11" t="s">
        <v>6</v>
      </c>
      <c r="F1357" s="11" t="s">
        <v>11</v>
      </c>
      <c r="G1357" s="18" t="s">
        <v>8</v>
      </c>
    </row>
    <row r="1358" spans="1:7" s="2" customFormat="1" ht="15" customHeight="1">
      <c r="A1358" s="943" t="s">
        <v>17</v>
      </c>
      <c r="B1358" s="944"/>
      <c r="C1358" s="19" t="s">
        <v>18</v>
      </c>
      <c r="D1358" s="16">
        <v>1E-4</v>
      </c>
      <c r="E1358" s="17">
        <v>800000</v>
      </c>
      <c r="F1358" s="14">
        <f>+D1358*E1358</f>
        <v>80</v>
      </c>
      <c r="G1358" s="15">
        <f>SUM(F1358:F1358)</f>
        <v>80</v>
      </c>
    </row>
    <row r="1359" spans="1:7" s="2" customFormat="1" ht="15" customHeight="1">
      <c r="A1359" s="929" t="s">
        <v>19</v>
      </c>
      <c r="B1359" s="928"/>
      <c r="C1359" s="928"/>
      <c r="D1359" s="928"/>
      <c r="E1359" s="928"/>
      <c r="F1359" s="928"/>
      <c r="G1359" s="930"/>
    </row>
    <row r="1360" spans="1:7" s="2" customFormat="1" ht="15" customHeight="1">
      <c r="A1360" s="931" t="s">
        <v>2</v>
      </c>
      <c r="B1360" s="928"/>
      <c r="C1360" s="11" t="s">
        <v>3</v>
      </c>
      <c r="D1360" s="11" t="s">
        <v>4</v>
      </c>
      <c r="E1360" s="11" t="s">
        <v>6</v>
      </c>
      <c r="F1360" s="11" t="s">
        <v>11</v>
      </c>
      <c r="G1360" s="18" t="s">
        <v>8</v>
      </c>
    </row>
    <row r="1361" spans="1:7" s="2" customFormat="1" ht="15" customHeight="1">
      <c r="A1361" s="948" t="str">
        <f>SALARIOS!$A$90</f>
        <v>CUADRILLA TOPOGRAFIA 1:2</v>
      </c>
      <c r="B1361" s="949"/>
      <c r="C1361" s="13" t="s">
        <v>1245</v>
      </c>
      <c r="D1361" s="16">
        <v>0.02</v>
      </c>
      <c r="E1361" s="17">
        <f>SALARIOS!$C$90</f>
        <v>37221.199999999997</v>
      </c>
      <c r="F1361" s="14">
        <f>+E1361*D1361</f>
        <v>744.42399999999998</v>
      </c>
      <c r="G1361" s="15">
        <f>SUM(F1360:F1361)</f>
        <v>744.42399999999998</v>
      </c>
    </row>
    <row r="1362" spans="1:7">
      <c r="A1362" s="1076" t="s">
        <v>25</v>
      </c>
      <c r="B1362" s="944"/>
      <c r="C1362" s="944"/>
      <c r="D1362" s="944"/>
      <c r="E1362" s="944"/>
      <c r="F1362" s="944"/>
      <c r="G1362" s="1072"/>
    </row>
    <row r="1363" spans="1:7" ht="17.399999999999999">
      <c r="A1363" s="1077"/>
      <c r="B1363" s="944"/>
      <c r="C1363" s="944"/>
      <c r="D1363" s="944"/>
      <c r="E1363" s="944"/>
      <c r="F1363" s="944"/>
      <c r="G1363" s="62">
        <f>G1358+G1355+G1348+G1361</f>
        <v>1800.6451999999999</v>
      </c>
    </row>
    <row r="1365" spans="1:7">
      <c r="A1365" s="970" t="s">
        <v>1</v>
      </c>
      <c r="B1365" s="957"/>
      <c r="C1365" s="953" t="s">
        <v>0</v>
      </c>
      <c r="D1365" s="953"/>
      <c r="E1365" s="953"/>
      <c r="F1365" s="953"/>
      <c r="G1365" s="1103"/>
    </row>
    <row r="1366" spans="1:7" ht="47.25" customHeight="1">
      <c r="A1366" s="971"/>
      <c r="B1366" s="957"/>
      <c r="C1366" s="953"/>
      <c r="D1366" s="953"/>
      <c r="E1366" s="953"/>
      <c r="F1366" s="953"/>
      <c r="G1366" s="1103"/>
    </row>
    <row r="1367" spans="1:7" ht="17.399999999999999">
      <c r="A1367" s="971"/>
      <c r="B1367" s="957"/>
      <c r="C1367" s="956"/>
      <c r="D1367" s="957"/>
      <c r="E1367" s="957"/>
      <c r="F1367" s="957"/>
      <c r="G1367" s="958"/>
    </row>
    <row r="1368" spans="1:7">
      <c r="A1368" s="971"/>
      <c r="B1368" s="957"/>
      <c r="C1368" s="959" t="s">
        <v>2</v>
      </c>
      <c r="D1368" s="957"/>
      <c r="E1368" s="957"/>
      <c r="F1368" s="23" t="s">
        <v>3</v>
      </c>
      <c r="G1368" s="24" t="s">
        <v>4</v>
      </c>
    </row>
    <row r="1369" spans="1:7" ht="34.799999999999997">
      <c r="A1369" s="1089" t="s">
        <v>2133</v>
      </c>
      <c r="B1369" s="944"/>
      <c r="C1369" s="980" t="s">
        <v>2456</v>
      </c>
      <c r="D1369" s="944"/>
      <c r="E1369" s="944"/>
      <c r="F1369" s="51" t="s">
        <v>39</v>
      </c>
      <c r="G1369" s="52">
        <v>852.51</v>
      </c>
    </row>
    <row r="1370" spans="1:7">
      <c r="A1370" s="1071" t="s">
        <v>5</v>
      </c>
      <c r="B1370" s="944"/>
      <c r="C1370" s="944"/>
      <c r="D1370" s="944"/>
      <c r="E1370" s="944"/>
      <c r="F1370" s="944"/>
      <c r="G1370" s="1072"/>
    </row>
    <row r="1371" spans="1:7" s="2" customFormat="1" ht="15.75" customHeight="1">
      <c r="A1371" s="1074" t="s">
        <v>2</v>
      </c>
      <c r="B1371" s="944"/>
      <c r="C1371" s="53" t="s">
        <v>3</v>
      </c>
      <c r="D1371" s="53" t="s">
        <v>4</v>
      </c>
      <c r="E1371" s="53" t="s">
        <v>6</v>
      </c>
      <c r="F1371" s="53" t="s">
        <v>7</v>
      </c>
      <c r="G1371" s="1075" t="s">
        <v>8</v>
      </c>
    </row>
    <row r="1372" spans="1:7" s="2" customFormat="1" ht="15.75" customHeight="1">
      <c r="A1372" s="947" t="s">
        <v>167</v>
      </c>
      <c r="B1372" s="980"/>
      <c r="C1372" s="51" t="s">
        <v>3</v>
      </c>
      <c r="D1372" s="54">
        <v>0.05</v>
      </c>
      <c r="E1372" s="17">
        <f>+G1389</f>
        <v>8654.2000000000007</v>
      </c>
      <c r="F1372" s="55">
        <f>D1372*E1372</f>
        <v>432.71000000000004</v>
      </c>
      <c r="G1372" s="1072"/>
    </row>
    <row r="1373" spans="1:7" s="2" customFormat="1" ht="15.75" customHeight="1">
      <c r="A1373" s="947" t="str">
        <f>'MAQUINARIA Y EQUIPOS'!$D$43</f>
        <v>RETROEXCAVADORA EN ORUGAS</v>
      </c>
      <c r="B1373" s="944"/>
      <c r="C1373" s="51" t="s">
        <v>58</v>
      </c>
      <c r="D1373" s="54">
        <v>0.16</v>
      </c>
      <c r="E1373" s="17">
        <f>'MAQUINARIA Y EQUIPOS'!$F$43</f>
        <v>140000</v>
      </c>
      <c r="F1373" s="55">
        <f>D1373*E1373</f>
        <v>22400</v>
      </c>
      <c r="G1373" s="1072"/>
    </row>
    <row r="1374" spans="1:7" s="2" customFormat="1" ht="15.75" customHeight="1">
      <c r="A1374" s="947"/>
      <c r="B1374" s="980"/>
      <c r="C1374" s="141"/>
      <c r="D1374" s="16"/>
      <c r="E1374" s="143"/>
      <c r="F1374" s="55">
        <f>D1374*E1374</f>
        <v>0</v>
      </c>
      <c r="G1374" s="1072"/>
    </row>
    <row r="1375" spans="1:7" s="2" customFormat="1" ht="15.75" customHeight="1">
      <c r="A1375" s="947"/>
      <c r="B1375" s="944"/>
      <c r="C1375" s="51"/>
      <c r="D1375" s="54"/>
      <c r="E1375" s="17"/>
      <c r="F1375" s="55">
        <f>D1375*E1375</f>
        <v>0</v>
      </c>
      <c r="G1375" s="1072"/>
    </row>
    <row r="1376" spans="1:7" s="2" customFormat="1" ht="15.75" customHeight="1">
      <c r="A1376" s="1079"/>
      <c r="B1376" s="944"/>
      <c r="C1376" s="56"/>
      <c r="D1376" s="56"/>
      <c r="E1376" s="56"/>
      <c r="F1376" s="55"/>
      <c r="G1376" s="57">
        <f>SUM(F1371:F1376)</f>
        <v>22832.71</v>
      </c>
    </row>
    <row r="1377" spans="1:7" s="2" customFormat="1" ht="15" customHeight="1">
      <c r="A1377" s="1071" t="s">
        <v>10</v>
      </c>
      <c r="B1377" s="944"/>
      <c r="C1377" s="944"/>
      <c r="D1377" s="944"/>
      <c r="E1377" s="944"/>
      <c r="F1377" s="944"/>
      <c r="G1377" s="1072"/>
    </row>
    <row r="1378" spans="1:7" s="2" customFormat="1" ht="15" customHeight="1">
      <c r="A1378" s="1074" t="s">
        <v>2</v>
      </c>
      <c r="B1378" s="944"/>
      <c r="C1378" s="53" t="s">
        <v>3</v>
      </c>
      <c r="D1378" s="53" t="s">
        <v>4</v>
      </c>
      <c r="E1378" s="53" t="s">
        <v>6</v>
      </c>
      <c r="F1378" s="53" t="s">
        <v>11</v>
      </c>
      <c r="G1378" s="1075" t="s">
        <v>8</v>
      </c>
    </row>
    <row r="1379" spans="1:7" s="2" customFormat="1" ht="15" customHeight="1">
      <c r="A1379" s="947"/>
      <c r="B1379" s="944"/>
      <c r="C1379" s="16"/>
      <c r="D1379" s="54"/>
      <c r="E1379" s="17"/>
      <c r="F1379" s="55">
        <f>D1379*E1379</f>
        <v>0</v>
      </c>
      <c r="G1379" s="1072"/>
    </row>
    <row r="1380" spans="1:7" s="2" customFormat="1" ht="15" customHeight="1">
      <c r="A1380" s="947"/>
      <c r="B1380" s="944"/>
      <c r="C1380" s="51"/>
      <c r="D1380" s="54"/>
      <c r="E1380" s="17"/>
      <c r="F1380" s="55">
        <f>D1380*E1380</f>
        <v>0</v>
      </c>
      <c r="G1380" s="1072"/>
    </row>
    <row r="1381" spans="1:7" s="2" customFormat="1" ht="15" customHeight="1">
      <c r="A1381" s="947"/>
      <c r="B1381" s="944"/>
      <c r="C1381" s="16"/>
      <c r="D1381" s="54"/>
      <c r="E1381" s="17"/>
      <c r="F1381" s="55">
        <f>D1381*E1381</f>
        <v>0</v>
      </c>
      <c r="G1381" s="1072"/>
    </row>
    <row r="1382" spans="1:7" s="2" customFormat="1" ht="15" customHeight="1">
      <c r="A1382" s="947"/>
      <c r="B1382" s="944"/>
      <c r="C1382" s="16"/>
      <c r="D1382" s="58"/>
      <c r="E1382" s="17"/>
      <c r="F1382" s="55"/>
      <c r="G1382" s="57">
        <f>SUM(F1378:F1382)</f>
        <v>0</v>
      </c>
    </row>
    <row r="1383" spans="1:7" s="2" customFormat="1" ht="15" customHeight="1">
      <c r="A1383" s="1071" t="s">
        <v>15</v>
      </c>
      <c r="B1383" s="944"/>
      <c r="C1383" s="944"/>
      <c r="D1383" s="944"/>
      <c r="E1383" s="944"/>
      <c r="F1383" s="944"/>
      <c r="G1383" s="1072"/>
    </row>
    <row r="1384" spans="1:7" s="2" customFormat="1" ht="15" customHeight="1">
      <c r="A1384" s="1074" t="s">
        <v>2</v>
      </c>
      <c r="B1384" s="944"/>
      <c r="C1384" s="53" t="s">
        <v>3</v>
      </c>
      <c r="D1384" s="53" t="s">
        <v>4</v>
      </c>
      <c r="E1384" s="53" t="s">
        <v>6</v>
      </c>
      <c r="F1384" s="53" t="s">
        <v>11</v>
      </c>
      <c r="G1384" s="1075" t="s">
        <v>8</v>
      </c>
    </row>
    <row r="1385" spans="1:7" s="2" customFormat="1" ht="15" customHeight="1">
      <c r="A1385" s="943" t="s">
        <v>2561</v>
      </c>
      <c r="B1385" s="944"/>
      <c r="C1385" s="16" t="s">
        <v>39</v>
      </c>
      <c r="D1385" s="16">
        <v>1.3</v>
      </c>
      <c r="E1385" s="17">
        <v>16260</v>
      </c>
      <c r="F1385" s="55">
        <f>E1385*D1385</f>
        <v>21138</v>
      </c>
      <c r="G1385" s="1072"/>
    </row>
    <row r="1386" spans="1:7" s="2" customFormat="1" ht="15" customHeight="1">
      <c r="A1386" s="59"/>
      <c r="B1386" s="60"/>
      <c r="C1386" s="60"/>
      <c r="D1386" s="60"/>
      <c r="E1386" s="60"/>
      <c r="F1386" s="60"/>
      <c r="G1386" s="57">
        <f>SUM(F1385:F1386)</f>
        <v>21138</v>
      </c>
    </row>
    <row r="1387" spans="1:7" s="2" customFormat="1" ht="15" customHeight="1">
      <c r="A1387" s="1071" t="s">
        <v>19</v>
      </c>
      <c r="B1387" s="944"/>
      <c r="C1387" s="944"/>
      <c r="D1387" s="944"/>
      <c r="E1387" s="944"/>
      <c r="F1387" s="944"/>
      <c r="G1387" s="1072"/>
    </row>
    <row r="1388" spans="1:7" s="2" customFormat="1" ht="15" customHeight="1">
      <c r="A1388" s="1074" t="s">
        <v>2</v>
      </c>
      <c r="B1388" s="944"/>
      <c r="C1388" s="53" t="s">
        <v>3</v>
      </c>
      <c r="D1388" s="53" t="s">
        <v>4</v>
      </c>
      <c r="E1388" s="53" t="s">
        <v>6</v>
      </c>
      <c r="F1388" s="53" t="s">
        <v>11</v>
      </c>
      <c r="G1388" s="456" t="s">
        <v>8</v>
      </c>
    </row>
    <row r="1389" spans="1:7" s="2" customFormat="1" ht="15.75" customHeight="1">
      <c r="A1389" s="978" t="str">
        <f>SALARIOS!$A$63</f>
        <v>CUADRILLA AA ALBAÑILERÍA 1:3</v>
      </c>
      <c r="B1389" s="979"/>
      <c r="C1389" s="13" t="s">
        <v>1245</v>
      </c>
      <c r="D1389" s="32">
        <v>0.2</v>
      </c>
      <c r="E1389" s="13">
        <f>SALARIOS!$C$63</f>
        <v>43271</v>
      </c>
      <c r="F1389" s="55">
        <f>+D1389*E1389</f>
        <v>8654.2000000000007</v>
      </c>
      <c r="G1389" s="57">
        <f>SUM(F1388:F1389)</f>
        <v>8654.2000000000007</v>
      </c>
    </row>
    <row r="1390" spans="1:7">
      <c r="A1390" s="1076" t="s">
        <v>25</v>
      </c>
      <c r="B1390" s="944"/>
      <c r="C1390" s="944"/>
      <c r="D1390" s="944"/>
      <c r="E1390" s="944"/>
      <c r="F1390" s="944"/>
      <c r="G1390" s="1072"/>
    </row>
    <row r="1391" spans="1:7" ht="17.399999999999999">
      <c r="A1391" s="1077"/>
      <c r="B1391" s="944"/>
      <c r="C1391" s="944"/>
      <c r="D1391" s="944"/>
      <c r="E1391" s="944"/>
      <c r="F1391" s="944"/>
      <c r="G1391" s="62">
        <f>G1389+G1386+G1382+G1376</f>
        <v>52624.91</v>
      </c>
    </row>
    <row r="1393" spans="1:7">
      <c r="A1393" s="970" t="s">
        <v>1</v>
      </c>
      <c r="B1393" s="957"/>
      <c r="C1393" s="953" t="s">
        <v>0</v>
      </c>
      <c r="D1393" s="953"/>
      <c r="E1393" s="953"/>
      <c r="F1393" s="953"/>
      <c r="G1393" s="1103"/>
    </row>
    <row r="1394" spans="1:7" ht="46.5" customHeight="1">
      <c r="A1394" s="971"/>
      <c r="B1394" s="957"/>
      <c r="C1394" s="953"/>
      <c r="D1394" s="953"/>
      <c r="E1394" s="953"/>
      <c r="F1394" s="953"/>
      <c r="G1394" s="1103"/>
    </row>
    <row r="1395" spans="1:7" ht="17.399999999999999">
      <c r="A1395" s="971"/>
      <c r="B1395" s="957"/>
      <c r="C1395" s="956"/>
      <c r="D1395" s="957"/>
      <c r="E1395" s="957"/>
      <c r="F1395" s="957"/>
      <c r="G1395" s="958"/>
    </row>
    <row r="1396" spans="1:7">
      <c r="A1396" s="971"/>
      <c r="B1396" s="957"/>
      <c r="C1396" s="959" t="s">
        <v>2</v>
      </c>
      <c r="D1396" s="957"/>
      <c r="E1396" s="957"/>
      <c r="F1396" s="23" t="s">
        <v>3</v>
      </c>
      <c r="G1396" s="24" t="s">
        <v>4</v>
      </c>
    </row>
    <row r="1397" spans="1:7" ht="34.799999999999997">
      <c r="A1397" s="1089" t="s">
        <v>2134</v>
      </c>
      <c r="B1397" s="944"/>
      <c r="C1397" s="980" t="s">
        <v>2457</v>
      </c>
      <c r="D1397" s="944"/>
      <c r="E1397" s="944"/>
      <c r="F1397" s="51" t="s">
        <v>39</v>
      </c>
      <c r="G1397" s="52">
        <v>0.08</v>
      </c>
    </row>
    <row r="1398" spans="1:7">
      <c r="A1398" s="1071" t="s">
        <v>5</v>
      </c>
      <c r="B1398" s="944"/>
      <c r="C1398" s="944"/>
      <c r="D1398" s="944"/>
      <c r="E1398" s="944"/>
      <c r="F1398" s="944"/>
      <c r="G1398" s="1072"/>
    </row>
    <row r="1399" spans="1:7" s="2" customFormat="1" ht="15.75" customHeight="1">
      <c r="A1399" s="1074" t="s">
        <v>2</v>
      </c>
      <c r="B1399" s="944"/>
      <c r="C1399" s="53" t="s">
        <v>3</v>
      </c>
      <c r="D1399" s="53" t="s">
        <v>4</v>
      </c>
      <c r="E1399" s="53" t="s">
        <v>6</v>
      </c>
      <c r="F1399" s="53" t="s">
        <v>7</v>
      </c>
      <c r="G1399" s="1075" t="s">
        <v>8</v>
      </c>
    </row>
    <row r="1400" spans="1:7" s="2" customFormat="1" ht="15.75" customHeight="1">
      <c r="A1400" s="947" t="s">
        <v>167</v>
      </c>
      <c r="B1400" s="980"/>
      <c r="C1400" s="51" t="s">
        <v>3</v>
      </c>
      <c r="D1400" s="54">
        <v>0.05</v>
      </c>
      <c r="E1400" s="17">
        <f>+G1417</f>
        <v>8654.2000000000007</v>
      </c>
      <c r="F1400" s="55">
        <f>D1400*E1400</f>
        <v>432.71000000000004</v>
      </c>
      <c r="G1400" s="1072"/>
    </row>
    <row r="1401" spans="1:7" s="2" customFormat="1" ht="15.75" customHeight="1">
      <c r="A1401" s="947" t="str">
        <f>'MAQUINARIA Y EQUIPOS'!$D$43</f>
        <v>RETROEXCAVADORA EN ORUGAS</v>
      </c>
      <c r="B1401" s="944"/>
      <c r="C1401" s="51" t="s">
        <v>58</v>
      </c>
      <c r="D1401" s="54">
        <v>0.16</v>
      </c>
      <c r="E1401" s="17">
        <f>'MAQUINARIA Y EQUIPOS'!$F$43</f>
        <v>140000</v>
      </c>
      <c r="F1401" s="55">
        <f>D1401*E1401</f>
        <v>22400</v>
      </c>
      <c r="G1401" s="1072"/>
    </row>
    <row r="1402" spans="1:7" s="2" customFormat="1" ht="15.75" customHeight="1">
      <c r="A1402" s="947"/>
      <c r="B1402" s="980"/>
      <c r="C1402" s="141"/>
      <c r="D1402" s="16"/>
      <c r="E1402" s="143"/>
      <c r="F1402" s="55">
        <f>D1402*E1402</f>
        <v>0</v>
      </c>
      <c r="G1402" s="1072"/>
    </row>
    <row r="1403" spans="1:7" s="2" customFormat="1" ht="15.75" customHeight="1">
      <c r="A1403" s="947"/>
      <c r="B1403" s="944"/>
      <c r="C1403" s="51"/>
      <c r="D1403" s="54"/>
      <c r="E1403" s="17"/>
      <c r="F1403" s="55">
        <f>D1403*E1403</f>
        <v>0</v>
      </c>
      <c r="G1403" s="1072"/>
    </row>
    <row r="1404" spans="1:7" s="2" customFormat="1" ht="15.75" customHeight="1">
      <c r="A1404" s="1079"/>
      <c r="B1404" s="944"/>
      <c r="C1404" s="56"/>
      <c r="D1404" s="56"/>
      <c r="E1404" s="56"/>
      <c r="F1404" s="55"/>
      <c r="G1404" s="57">
        <f>SUM(F1399:F1404)</f>
        <v>22832.71</v>
      </c>
    </row>
    <row r="1405" spans="1:7" s="2" customFormat="1" ht="15" customHeight="1">
      <c r="A1405" s="1071" t="s">
        <v>10</v>
      </c>
      <c r="B1405" s="944"/>
      <c r="C1405" s="944"/>
      <c r="D1405" s="944"/>
      <c r="E1405" s="944"/>
      <c r="F1405" s="944"/>
      <c r="G1405" s="1072"/>
    </row>
    <row r="1406" spans="1:7" s="2" customFormat="1" ht="15" customHeight="1">
      <c r="A1406" s="1074" t="s">
        <v>2</v>
      </c>
      <c r="B1406" s="944"/>
      <c r="C1406" s="53" t="s">
        <v>3</v>
      </c>
      <c r="D1406" s="53" t="s">
        <v>4</v>
      </c>
      <c r="E1406" s="53" t="s">
        <v>6</v>
      </c>
      <c r="F1406" s="53" t="s">
        <v>11</v>
      </c>
      <c r="G1406" s="1075" t="s">
        <v>8</v>
      </c>
    </row>
    <row r="1407" spans="1:7" s="2" customFormat="1" ht="15" customHeight="1">
      <c r="A1407" s="947"/>
      <c r="B1407" s="944"/>
      <c r="C1407" s="16"/>
      <c r="D1407" s="54"/>
      <c r="E1407" s="17"/>
      <c r="F1407" s="55">
        <f>D1407*E1407</f>
        <v>0</v>
      </c>
      <c r="G1407" s="1072"/>
    </row>
    <row r="1408" spans="1:7" s="2" customFormat="1" ht="15" customHeight="1">
      <c r="A1408" s="947"/>
      <c r="B1408" s="944"/>
      <c r="C1408" s="51"/>
      <c r="D1408" s="54"/>
      <c r="E1408" s="17"/>
      <c r="F1408" s="55">
        <f>D1408*E1408</f>
        <v>0</v>
      </c>
      <c r="G1408" s="1072"/>
    </row>
    <row r="1409" spans="1:7" s="2" customFormat="1" ht="15" customHeight="1">
      <c r="A1409" s="947"/>
      <c r="B1409" s="944"/>
      <c r="C1409" s="16"/>
      <c r="D1409" s="54"/>
      <c r="E1409" s="17"/>
      <c r="F1409" s="55">
        <f>D1409*E1409</f>
        <v>0</v>
      </c>
      <c r="G1409" s="1072"/>
    </row>
    <row r="1410" spans="1:7" s="2" customFormat="1" ht="15" customHeight="1">
      <c r="A1410" s="947"/>
      <c r="B1410" s="944"/>
      <c r="C1410" s="16"/>
      <c r="D1410" s="58"/>
      <c r="E1410" s="17"/>
      <c r="F1410" s="55"/>
      <c r="G1410" s="57">
        <f>SUM(F1406:F1410)</f>
        <v>0</v>
      </c>
    </row>
    <row r="1411" spans="1:7" s="2" customFormat="1" ht="15" customHeight="1">
      <c r="A1411" s="1071" t="s">
        <v>15</v>
      </c>
      <c r="B1411" s="944"/>
      <c r="C1411" s="944"/>
      <c r="D1411" s="944"/>
      <c r="E1411" s="944"/>
      <c r="F1411" s="944"/>
      <c r="G1411" s="1072"/>
    </row>
    <row r="1412" spans="1:7" s="2" customFormat="1" ht="15" customHeight="1">
      <c r="A1412" s="1074" t="s">
        <v>2</v>
      </c>
      <c r="B1412" s="944"/>
      <c r="C1412" s="53" t="s">
        <v>3</v>
      </c>
      <c r="D1412" s="53" t="s">
        <v>4</v>
      </c>
      <c r="E1412" s="53" t="s">
        <v>6</v>
      </c>
      <c r="F1412" s="53" t="s">
        <v>11</v>
      </c>
      <c r="G1412" s="1075" t="s">
        <v>8</v>
      </c>
    </row>
    <row r="1413" spans="1:7" s="2" customFormat="1" ht="15" customHeight="1">
      <c r="A1413" s="943" t="s">
        <v>2561</v>
      </c>
      <c r="B1413" s="944"/>
      <c r="C1413" s="16" t="s">
        <v>39</v>
      </c>
      <c r="D1413" s="16">
        <v>1.3</v>
      </c>
      <c r="E1413" s="17">
        <v>16260</v>
      </c>
      <c r="F1413" s="55">
        <f>E1413*D1413</f>
        <v>21138</v>
      </c>
      <c r="G1413" s="1072"/>
    </row>
    <row r="1414" spans="1:7" s="2" customFormat="1" ht="15" customHeight="1">
      <c r="A1414" s="59"/>
      <c r="B1414" s="60"/>
      <c r="C1414" s="60"/>
      <c r="D1414" s="60"/>
      <c r="E1414" s="60"/>
      <c r="F1414" s="60"/>
      <c r="G1414" s="57">
        <f>SUM(F1413:F1414)</f>
        <v>21138</v>
      </c>
    </row>
    <row r="1415" spans="1:7" s="2" customFormat="1" ht="15" customHeight="1">
      <c r="A1415" s="1071" t="s">
        <v>19</v>
      </c>
      <c r="B1415" s="944"/>
      <c r="C1415" s="944"/>
      <c r="D1415" s="944"/>
      <c r="E1415" s="944"/>
      <c r="F1415" s="944"/>
      <c r="G1415" s="1072"/>
    </row>
    <row r="1416" spans="1:7" s="2" customFormat="1" ht="15" customHeight="1">
      <c r="A1416" s="1074" t="s">
        <v>2</v>
      </c>
      <c r="B1416" s="944"/>
      <c r="C1416" s="53" t="s">
        <v>3</v>
      </c>
      <c r="D1416" s="53" t="s">
        <v>4</v>
      </c>
      <c r="E1416" s="53" t="s">
        <v>6</v>
      </c>
      <c r="F1416" s="53" t="s">
        <v>11</v>
      </c>
      <c r="G1416" s="456" t="s">
        <v>8</v>
      </c>
    </row>
    <row r="1417" spans="1:7" s="2" customFormat="1" ht="15.75" customHeight="1">
      <c r="A1417" s="978" t="str">
        <f>SALARIOS!$A$63</f>
        <v>CUADRILLA AA ALBAÑILERÍA 1:3</v>
      </c>
      <c r="B1417" s="979"/>
      <c r="C1417" s="13" t="s">
        <v>1245</v>
      </c>
      <c r="D1417" s="32">
        <v>0.2</v>
      </c>
      <c r="E1417" s="13">
        <f>SALARIOS!$C$63</f>
        <v>43271</v>
      </c>
      <c r="F1417" s="55">
        <f>+D1417*E1417</f>
        <v>8654.2000000000007</v>
      </c>
      <c r="G1417" s="57">
        <f>SUM(F1416:F1417)</f>
        <v>8654.2000000000007</v>
      </c>
    </row>
    <row r="1418" spans="1:7">
      <c r="A1418" s="1076" t="s">
        <v>25</v>
      </c>
      <c r="B1418" s="944"/>
      <c r="C1418" s="944"/>
      <c r="D1418" s="944"/>
      <c r="E1418" s="944"/>
      <c r="F1418" s="944"/>
      <c r="G1418" s="1072"/>
    </row>
    <row r="1419" spans="1:7" ht="17.399999999999999">
      <c r="A1419" s="1077"/>
      <c r="B1419" s="944"/>
      <c r="C1419" s="944"/>
      <c r="D1419" s="944"/>
      <c r="E1419" s="944"/>
      <c r="F1419" s="944"/>
      <c r="G1419" s="62">
        <f>G1417+G1414+G1410+G1404</f>
        <v>52624.91</v>
      </c>
    </row>
    <row r="1421" spans="1:7">
      <c r="A1421" s="970" t="s">
        <v>1</v>
      </c>
      <c r="B1421" s="957"/>
      <c r="C1421" s="953" t="s">
        <v>0</v>
      </c>
      <c r="D1421" s="953"/>
      <c r="E1421" s="953"/>
      <c r="F1421" s="953"/>
      <c r="G1421" s="1103"/>
    </row>
    <row r="1422" spans="1:7" ht="51" customHeight="1">
      <c r="A1422" s="971"/>
      <c r="B1422" s="957"/>
      <c r="C1422" s="953"/>
      <c r="D1422" s="953"/>
      <c r="E1422" s="953"/>
      <c r="F1422" s="953"/>
      <c r="G1422" s="1103"/>
    </row>
    <row r="1423" spans="1:7" ht="17.399999999999999">
      <c r="A1423" s="971"/>
      <c r="B1423" s="957"/>
      <c r="C1423" s="956"/>
      <c r="D1423" s="957"/>
      <c r="E1423" s="957"/>
      <c r="F1423" s="957"/>
      <c r="G1423" s="958"/>
    </row>
    <row r="1424" spans="1:7">
      <c r="A1424" s="971"/>
      <c r="B1424" s="957"/>
      <c r="C1424" s="959" t="s">
        <v>2</v>
      </c>
      <c r="D1424" s="957"/>
      <c r="E1424" s="957"/>
      <c r="F1424" s="23" t="s">
        <v>3</v>
      </c>
      <c r="G1424" s="24" t="s">
        <v>4</v>
      </c>
    </row>
    <row r="1425" spans="1:7" ht="34.799999999999997">
      <c r="A1425" s="1089" t="s">
        <v>2136</v>
      </c>
      <c r="B1425" s="944"/>
      <c r="C1425" s="980" t="s">
        <v>2460</v>
      </c>
      <c r="D1425" s="944"/>
      <c r="E1425" s="944"/>
      <c r="F1425" s="51" t="s">
        <v>37</v>
      </c>
      <c r="G1425" s="52">
        <v>61.34</v>
      </c>
    </row>
    <row r="1426" spans="1:7">
      <c r="A1426" s="1071" t="s">
        <v>5</v>
      </c>
      <c r="B1426" s="944"/>
      <c r="C1426" s="944"/>
      <c r="D1426" s="944"/>
      <c r="E1426" s="944"/>
      <c r="F1426" s="944"/>
      <c r="G1426" s="1072"/>
    </row>
    <row r="1427" spans="1:7">
      <c r="A1427" s="1074" t="s">
        <v>2</v>
      </c>
      <c r="B1427" s="944"/>
      <c r="C1427" s="53" t="s">
        <v>3</v>
      </c>
      <c r="D1427" s="53" t="s">
        <v>4</v>
      </c>
      <c r="E1427" s="53" t="s">
        <v>6</v>
      </c>
      <c r="F1427" s="53" t="s">
        <v>7</v>
      </c>
      <c r="G1427" s="1075" t="s">
        <v>8</v>
      </c>
    </row>
    <row r="1428" spans="1:7">
      <c r="A1428" s="947" t="s">
        <v>167</v>
      </c>
      <c r="B1428" s="980"/>
      <c r="C1428" s="51" t="s">
        <v>3</v>
      </c>
      <c r="D1428" s="54">
        <v>0.05</v>
      </c>
      <c r="E1428" s="17">
        <f>+G1445</f>
        <v>17031.5</v>
      </c>
      <c r="F1428" s="55">
        <f>D1428*E1428</f>
        <v>851.57500000000005</v>
      </c>
      <c r="G1428" s="1072"/>
    </row>
    <row r="1429" spans="1:7">
      <c r="A1429" s="947"/>
      <c r="B1429" s="944"/>
      <c r="C1429" s="51"/>
      <c r="D1429" s="54"/>
      <c r="E1429" s="17"/>
      <c r="F1429" s="55">
        <f>D1429*E1429</f>
        <v>0</v>
      </c>
      <c r="G1429" s="1072"/>
    </row>
    <row r="1430" spans="1:7">
      <c r="A1430" s="947"/>
      <c r="B1430" s="980"/>
      <c r="C1430" s="141"/>
      <c r="D1430" s="16"/>
      <c r="E1430" s="143"/>
      <c r="F1430" s="55">
        <f>D1430*E1430</f>
        <v>0</v>
      </c>
      <c r="G1430" s="1072"/>
    </row>
    <row r="1431" spans="1:7">
      <c r="A1431" s="947"/>
      <c r="B1431" s="944"/>
      <c r="C1431" s="51"/>
      <c r="D1431" s="54"/>
      <c r="E1431" s="17"/>
      <c r="F1431" s="55">
        <f>D1431*E1431</f>
        <v>0</v>
      </c>
      <c r="G1431" s="1072"/>
    </row>
    <row r="1432" spans="1:7">
      <c r="A1432" s="1079"/>
      <c r="B1432" s="944"/>
      <c r="C1432" s="56"/>
      <c r="D1432" s="56"/>
      <c r="E1432" s="56"/>
      <c r="F1432" s="55"/>
      <c r="G1432" s="57">
        <f>SUM(F1427:F1432)</f>
        <v>851.57500000000005</v>
      </c>
    </row>
    <row r="1433" spans="1:7">
      <c r="A1433" s="1071" t="s">
        <v>10</v>
      </c>
      <c r="B1433" s="944"/>
      <c r="C1433" s="944"/>
      <c r="D1433" s="944"/>
      <c r="E1433" s="944"/>
      <c r="F1433" s="944"/>
      <c r="G1433" s="1072"/>
    </row>
    <row r="1434" spans="1:7">
      <c r="A1434" s="1074" t="s">
        <v>2</v>
      </c>
      <c r="B1434" s="944"/>
      <c r="C1434" s="53" t="s">
        <v>3</v>
      </c>
      <c r="D1434" s="53" t="s">
        <v>4</v>
      </c>
      <c r="E1434" s="53" t="s">
        <v>6</v>
      </c>
      <c r="F1434" s="53" t="s">
        <v>11</v>
      </c>
      <c r="G1434" s="1075" t="s">
        <v>8</v>
      </c>
    </row>
    <row r="1435" spans="1:7">
      <c r="A1435" s="947" t="s">
        <v>2656</v>
      </c>
      <c r="B1435" s="944"/>
      <c r="C1435" s="16" t="s">
        <v>998</v>
      </c>
      <c r="D1435" s="54">
        <v>2.5</v>
      </c>
      <c r="E1435" s="17">
        <f>'INSUMOS '!$E$510</f>
        <v>20000</v>
      </c>
      <c r="F1435" s="55">
        <f>D1435*E1435</f>
        <v>50000</v>
      </c>
      <c r="G1435" s="1072"/>
    </row>
    <row r="1436" spans="1:7">
      <c r="A1436" s="947" t="s">
        <v>2658</v>
      </c>
      <c r="B1436" s="944"/>
      <c r="C1436" s="16" t="s">
        <v>998</v>
      </c>
      <c r="D1436" s="54">
        <v>1.7</v>
      </c>
      <c r="E1436" s="17">
        <f>'INSUMOS '!$E$511</f>
        <v>9600</v>
      </c>
      <c r="F1436" s="55">
        <f>D1436*E1436</f>
        <v>16320</v>
      </c>
      <c r="G1436" s="1072"/>
    </row>
    <row r="1437" spans="1:7">
      <c r="A1437" s="947"/>
      <c r="B1437" s="944"/>
      <c r="C1437" s="16"/>
      <c r="D1437" s="54"/>
      <c r="E1437" s="17"/>
      <c r="F1437" s="55">
        <f>D1437*E1437</f>
        <v>0</v>
      </c>
      <c r="G1437" s="1072"/>
    </row>
    <row r="1438" spans="1:7">
      <c r="A1438" s="947"/>
      <c r="B1438" s="944"/>
      <c r="C1438" s="16"/>
      <c r="D1438" s="58"/>
      <c r="E1438" s="17"/>
      <c r="F1438" s="55"/>
      <c r="G1438" s="57">
        <f>SUM(F1434:F1438)</f>
        <v>66320</v>
      </c>
    </row>
    <row r="1439" spans="1:7">
      <c r="A1439" s="1071" t="s">
        <v>15</v>
      </c>
      <c r="B1439" s="944"/>
      <c r="C1439" s="944"/>
      <c r="D1439" s="944"/>
      <c r="E1439" s="944"/>
      <c r="F1439" s="944"/>
      <c r="G1439" s="1072"/>
    </row>
    <row r="1440" spans="1:7">
      <c r="A1440" s="1074" t="s">
        <v>2</v>
      </c>
      <c r="B1440" s="944"/>
      <c r="C1440" s="53" t="s">
        <v>3</v>
      </c>
      <c r="D1440" s="53" t="s">
        <v>4</v>
      </c>
      <c r="E1440" s="53" t="s">
        <v>6</v>
      </c>
      <c r="F1440" s="53" t="s">
        <v>11</v>
      </c>
      <c r="G1440" s="1075" t="s">
        <v>8</v>
      </c>
    </row>
    <row r="1441" spans="1:7">
      <c r="A1441" s="943" t="s">
        <v>173</v>
      </c>
      <c r="B1441" s="944"/>
      <c r="C1441" s="16" t="s">
        <v>3</v>
      </c>
      <c r="D1441" s="54">
        <v>3.5000000000000003E-2</v>
      </c>
      <c r="E1441" s="17">
        <f>+G1438</f>
        <v>66320</v>
      </c>
      <c r="F1441" s="55">
        <f>E1441*D1441</f>
        <v>2321.2000000000003</v>
      </c>
      <c r="G1441" s="1072"/>
    </row>
    <row r="1442" spans="1:7">
      <c r="A1442" s="59"/>
      <c r="B1442" s="60"/>
      <c r="C1442" s="60"/>
      <c r="D1442" s="60"/>
      <c r="E1442" s="60"/>
      <c r="F1442" s="60"/>
      <c r="G1442" s="57">
        <f>SUM(F1441:F1442)</f>
        <v>2321.2000000000003</v>
      </c>
    </row>
    <row r="1443" spans="1:7">
      <c r="A1443" s="1071" t="s">
        <v>19</v>
      </c>
      <c r="B1443" s="944"/>
      <c r="C1443" s="944"/>
      <c r="D1443" s="944"/>
      <c r="E1443" s="944"/>
      <c r="F1443" s="944"/>
      <c r="G1443" s="1072"/>
    </row>
    <row r="1444" spans="1:7">
      <c r="A1444" s="1074" t="s">
        <v>2</v>
      </c>
      <c r="B1444" s="944"/>
      <c r="C1444" s="53" t="s">
        <v>3</v>
      </c>
      <c r="D1444" s="53" t="s">
        <v>4</v>
      </c>
      <c r="E1444" s="53" t="s">
        <v>6</v>
      </c>
      <c r="F1444" s="53" t="s">
        <v>11</v>
      </c>
      <c r="G1444" s="456" t="s">
        <v>8</v>
      </c>
    </row>
    <row r="1445" spans="1:7">
      <c r="A1445" s="978" t="str">
        <f>SALARIOS!$A$62</f>
        <v>CUADRILLA AA ALBAÑILERÍA 1:2</v>
      </c>
      <c r="B1445" s="979"/>
      <c r="C1445" s="13" t="s">
        <v>1245</v>
      </c>
      <c r="D1445" s="32">
        <v>0.5</v>
      </c>
      <c r="E1445" s="13">
        <f>SALARIOS!$C$62</f>
        <v>34063</v>
      </c>
      <c r="F1445" s="55">
        <f>+D1445*E1445</f>
        <v>17031.5</v>
      </c>
      <c r="G1445" s="57">
        <f>SUM(F1444:F1445)</f>
        <v>17031.5</v>
      </c>
    </row>
    <row r="1446" spans="1:7">
      <c r="A1446" s="1076" t="s">
        <v>25</v>
      </c>
      <c r="B1446" s="944"/>
      <c r="C1446" s="944"/>
      <c r="D1446" s="944"/>
      <c r="E1446" s="944"/>
      <c r="F1446" s="944"/>
      <c r="G1446" s="1072"/>
    </row>
    <row r="1447" spans="1:7" ht="17.399999999999999">
      <c r="A1447" s="1077"/>
      <c r="B1447" s="944"/>
      <c r="C1447" s="944"/>
      <c r="D1447" s="944"/>
      <c r="E1447" s="944"/>
      <c r="F1447" s="944"/>
      <c r="G1447" s="62">
        <f>G1445+G1442+G1438+G1432</f>
        <v>86524.274999999994</v>
      </c>
    </row>
    <row r="1449" spans="1:7">
      <c r="A1449" s="970" t="s">
        <v>1</v>
      </c>
      <c r="B1449" s="957"/>
      <c r="C1449" s="953" t="s">
        <v>0</v>
      </c>
      <c r="D1449" s="953"/>
      <c r="E1449" s="953"/>
      <c r="F1449" s="953"/>
      <c r="G1449" s="1103"/>
    </row>
    <row r="1450" spans="1:7" ht="47.25" customHeight="1">
      <c r="A1450" s="971"/>
      <c r="B1450" s="957"/>
      <c r="C1450" s="953"/>
      <c r="D1450" s="953"/>
      <c r="E1450" s="953"/>
      <c r="F1450" s="953"/>
      <c r="G1450" s="1103"/>
    </row>
    <row r="1451" spans="1:7" ht="17.399999999999999">
      <c r="A1451" s="971"/>
      <c r="B1451" s="957"/>
      <c r="C1451" s="956"/>
      <c r="D1451" s="957"/>
      <c r="E1451" s="957"/>
      <c r="F1451" s="957"/>
      <c r="G1451" s="958"/>
    </row>
    <row r="1452" spans="1:7">
      <c r="A1452" s="971"/>
      <c r="B1452" s="957"/>
      <c r="C1452" s="959" t="s">
        <v>2</v>
      </c>
      <c r="D1452" s="957"/>
      <c r="E1452" s="957"/>
      <c r="F1452" s="23" t="s">
        <v>3</v>
      </c>
      <c r="G1452" s="24" t="s">
        <v>4</v>
      </c>
    </row>
    <row r="1453" spans="1:7" ht="34.799999999999997">
      <c r="A1453" s="1089" t="s">
        <v>2137</v>
      </c>
      <c r="B1453" s="944"/>
      <c r="C1453" s="980" t="s">
        <v>2461</v>
      </c>
      <c r="D1453" s="944"/>
      <c r="E1453" s="944"/>
      <c r="F1453" s="51" t="s">
        <v>37</v>
      </c>
      <c r="G1453" s="52">
        <v>11.62</v>
      </c>
    </row>
    <row r="1454" spans="1:7">
      <c r="A1454" s="1071" t="s">
        <v>5</v>
      </c>
      <c r="B1454" s="944"/>
      <c r="C1454" s="944"/>
      <c r="D1454" s="944"/>
      <c r="E1454" s="944"/>
      <c r="F1454" s="944"/>
      <c r="G1454" s="1072"/>
    </row>
    <row r="1455" spans="1:7">
      <c r="A1455" s="1074" t="s">
        <v>2</v>
      </c>
      <c r="B1455" s="944"/>
      <c r="C1455" s="53" t="s">
        <v>3</v>
      </c>
      <c r="D1455" s="53" t="s">
        <v>4</v>
      </c>
      <c r="E1455" s="53" t="s">
        <v>6</v>
      </c>
      <c r="F1455" s="53" t="s">
        <v>7</v>
      </c>
      <c r="G1455" s="1075" t="s">
        <v>8</v>
      </c>
    </row>
    <row r="1456" spans="1:7">
      <c r="A1456" s="947" t="s">
        <v>167</v>
      </c>
      <c r="B1456" s="980"/>
      <c r="C1456" s="51" t="s">
        <v>3</v>
      </c>
      <c r="D1456" s="54">
        <v>0.05</v>
      </c>
      <c r="E1456" s="17">
        <f>+G1473</f>
        <v>17031.5</v>
      </c>
      <c r="F1456" s="55">
        <f>D1456*E1456</f>
        <v>851.57500000000005</v>
      </c>
      <c r="G1456" s="1072"/>
    </row>
    <row r="1457" spans="1:7">
      <c r="A1457" s="947"/>
      <c r="B1457" s="944"/>
      <c r="C1457" s="51"/>
      <c r="D1457" s="54"/>
      <c r="E1457" s="17"/>
      <c r="F1457" s="55">
        <f>D1457*E1457</f>
        <v>0</v>
      </c>
      <c r="G1457" s="1072"/>
    </row>
    <row r="1458" spans="1:7">
      <c r="A1458" s="947"/>
      <c r="B1458" s="980"/>
      <c r="C1458" s="141"/>
      <c r="D1458" s="16"/>
      <c r="E1458" s="143"/>
      <c r="F1458" s="55">
        <f>D1458*E1458</f>
        <v>0</v>
      </c>
      <c r="G1458" s="1072"/>
    </row>
    <row r="1459" spans="1:7">
      <c r="A1459" s="947"/>
      <c r="B1459" s="944"/>
      <c r="C1459" s="51"/>
      <c r="D1459" s="54"/>
      <c r="E1459" s="17"/>
      <c r="F1459" s="55">
        <f>D1459*E1459</f>
        <v>0</v>
      </c>
      <c r="G1459" s="1072"/>
    </row>
    <row r="1460" spans="1:7">
      <c r="A1460" s="1079"/>
      <c r="B1460" s="944"/>
      <c r="C1460" s="56"/>
      <c r="D1460" s="56"/>
      <c r="E1460" s="56"/>
      <c r="F1460" s="55"/>
      <c r="G1460" s="57">
        <f>SUM(F1455:F1460)</f>
        <v>851.57500000000005</v>
      </c>
    </row>
    <row r="1461" spans="1:7">
      <c r="A1461" s="1071" t="s">
        <v>10</v>
      </c>
      <c r="B1461" s="944"/>
      <c r="C1461" s="944"/>
      <c r="D1461" s="944"/>
      <c r="E1461" s="944"/>
      <c r="F1461" s="944"/>
      <c r="G1461" s="1072"/>
    </row>
    <row r="1462" spans="1:7">
      <c r="A1462" s="1074" t="s">
        <v>2</v>
      </c>
      <c r="B1462" s="944"/>
      <c r="C1462" s="53" t="s">
        <v>3</v>
      </c>
      <c r="D1462" s="53" t="s">
        <v>4</v>
      </c>
      <c r="E1462" s="53" t="s">
        <v>6</v>
      </c>
      <c r="F1462" s="53" t="s">
        <v>11</v>
      </c>
      <c r="G1462" s="1075" t="s">
        <v>8</v>
      </c>
    </row>
    <row r="1463" spans="1:7">
      <c r="A1463" s="947" t="s">
        <v>2656</v>
      </c>
      <c r="B1463" s="944"/>
      <c r="C1463" s="16" t="s">
        <v>998</v>
      </c>
      <c r="D1463" s="54">
        <v>3.2</v>
      </c>
      <c r="E1463" s="17">
        <f>'INSUMOS '!$E$510</f>
        <v>20000</v>
      </c>
      <c r="F1463" s="55">
        <f>D1463*E1463</f>
        <v>64000</v>
      </c>
      <c r="G1463" s="1072"/>
    </row>
    <row r="1464" spans="1:7">
      <c r="A1464" s="947" t="s">
        <v>2658</v>
      </c>
      <c r="B1464" s="944"/>
      <c r="C1464" s="16" t="s">
        <v>998</v>
      </c>
      <c r="D1464" s="54">
        <v>2.4</v>
      </c>
      <c r="E1464" s="17">
        <f>'INSUMOS '!$E$511</f>
        <v>9600</v>
      </c>
      <c r="F1464" s="55">
        <f>D1464*E1464</f>
        <v>23040</v>
      </c>
      <c r="G1464" s="1072"/>
    </row>
    <row r="1465" spans="1:7">
      <c r="A1465" s="947"/>
      <c r="B1465" s="944"/>
      <c r="C1465" s="16"/>
      <c r="D1465" s="54"/>
      <c r="E1465" s="17"/>
      <c r="F1465" s="55">
        <f>D1465*E1465</f>
        <v>0</v>
      </c>
      <c r="G1465" s="1072"/>
    </row>
    <row r="1466" spans="1:7">
      <c r="A1466" s="947"/>
      <c r="B1466" s="944"/>
      <c r="C1466" s="16"/>
      <c r="D1466" s="58"/>
      <c r="E1466" s="17"/>
      <c r="F1466" s="55"/>
      <c r="G1466" s="57">
        <f>SUM(F1462:F1466)</f>
        <v>87040</v>
      </c>
    </row>
    <row r="1467" spans="1:7">
      <c r="A1467" s="1071" t="s">
        <v>15</v>
      </c>
      <c r="B1467" s="944"/>
      <c r="C1467" s="944"/>
      <c r="D1467" s="944"/>
      <c r="E1467" s="944"/>
      <c r="F1467" s="944"/>
      <c r="G1467" s="1072"/>
    </row>
    <row r="1468" spans="1:7">
      <c r="A1468" s="1074" t="s">
        <v>2</v>
      </c>
      <c r="B1468" s="944"/>
      <c r="C1468" s="53" t="s">
        <v>3</v>
      </c>
      <c r="D1468" s="53" t="s">
        <v>4</v>
      </c>
      <c r="E1468" s="53" t="s">
        <v>6</v>
      </c>
      <c r="F1468" s="53" t="s">
        <v>11</v>
      </c>
      <c r="G1468" s="1075" t="s">
        <v>8</v>
      </c>
    </row>
    <row r="1469" spans="1:7">
      <c r="A1469" s="943" t="s">
        <v>173</v>
      </c>
      <c r="B1469" s="944"/>
      <c r="C1469" s="16" t="s">
        <v>3</v>
      </c>
      <c r="D1469" s="54">
        <v>3.5000000000000003E-2</v>
      </c>
      <c r="E1469" s="17">
        <f>+G1466</f>
        <v>87040</v>
      </c>
      <c r="F1469" s="55">
        <f>E1469*D1469</f>
        <v>3046.4</v>
      </c>
      <c r="G1469" s="1072"/>
    </row>
    <row r="1470" spans="1:7">
      <c r="A1470" s="59"/>
      <c r="B1470" s="60"/>
      <c r="C1470" s="60"/>
      <c r="D1470" s="60"/>
      <c r="E1470" s="60"/>
      <c r="F1470" s="60"/>
      <c r="G1470" s="57">
        <f>SUM(F1469:F1470)</f>
        <v>3046.4</v>
      </c>
    </row>
    <row r="1471" spans="1:7">
      <c r="A1471" s="1071" t="s">
        <v>19</v>
      </c>
      <c r="B1471" s="944"/>
      <c r="C1471" s="944"/>
      <c r="D1471" s="944"/>
      <c r="E1471" s="944"/>
      <c r="F1471" s="944"/>
      <c r="G1471" s="1072"/>
    </row>
    <row r="1472" spans="1:7">
      <c r="A1472" s="1074" t="s">
        <v>2</v>
      </c>
      <c r="B1472" s="944"/>
      <c r="C1472" s="53" t="s">
        <v>3</v>
      </c>
      <c r="D1472" s="53" t="s">
        <v>4</v>
      </c>
      <c r="E1472" s="53" t="s">
        <v>6</v>
      </c>
      <c r="F1472" s="53" t="s">
        <v>11</v>
      </c>
      <c r="G1472" s="456" t="s">
        <v>8</v>
      </c>
    </row>
    <row r="1473" spans="1:7">
      <c r="A1473" s="978" t="str">
        <f>SALARIOS!$A$62</f>
        <v>CUADRILLA AA ALBAÑILERÍA 1:2</v>
      </c>
      <c r="B1473" s="979"/>
      <c r="C1473" s="13" t="s">
        <v>1245</v>
      </c>
      <c r="D1473" s="32">
        <v>0.5</v>
      </c>
      <c r="E1473" s="13">
        <f>SALARIOS!$C$62</f>
        <v>34063</v>
      </c>
      <c r="F1473" s="55">
        <f>+D1473*E1473</f>
        <v>17031.5</v>
      </c>
      <c r="G1473" s="57">
        <f>SUM(F1472:F1473)</f>
        <v>17031.5</v>
      </c>
    </row>
    <row r="1474" spans="1:7">
      <c r="A1474" s="1076" t="s">
        <v>25</v>
      </c>
      <c r="B1474" s="944"/>
      <c r="C1474" s="944"/>
      <c r="D1474" s="944"/>
      <c r="E1474" s="944"/>
      <c r="F1474" s="944"/>
      <c r="G1474" s="1072"/>
    </row>
    <row r="1475" spans="1:7" ht="17.399999999999999">
      <c r="A1475" s="1077"/>
      <c r="B1475" s="944"/>
      <c r="C1475" s="944"/>
      <c r="D1475" s="944"/>
      <c r="E1475" s="944"/>
      <c r="F1475" s="944"/>
      <c r="G1475" s="62">
        <f>G1473+G1470+G1466+G1460</f>
        <v>107969.47499999999</v>
      </c>
    </row>
    <row r="1477" spans="1:7">
      <c r="A1477" s="970" t="s">
        <v>1</v>
      </c>
      <c r="B1477" s="957"/>
      <c r="C1477" s="953" t="s">
        <v>0</v>
      </c>
      <c r="D1477" s="953"/>
      <c r="E1477" s="953"/>
      <c r="F1477" s="953"/>
      <c r="G1477" s="1103"/>
    </row>
    <row r="1478" spans="1:7" ht="46.5" customHeight="1">
      <c r="A1478" s="971"/>
      <c r="B1478" s="957"/>
      <c r="C1478" s="953"/>
      <c r="D1478" s="953"/>
      <c r="E1478" s="953"/>
      <c r="F1478" s="953"/>
      <c r="G1478" s="1103"/>
    </row>
    <row r="1479" spans="1:7" ht="17.399999999999999">
      <c r="A1479" s="971"/>
      <c r="B1479" s="957"/>
      <c r="C1479" s="956"/>
      <c r="D1479" s="957"/>
      <c r="E1479" s="957"/>
      <c r="F1479" s="957"/>
      <c r="G1479" s="958"/>
    </row>
    <row r="1480" spans="1:7">
      <c r="A1480" s="971"/>
      <c r="B1480" s="957"/>
      <c r="C1480" s="959" t="s">
        <v>2</v>
      </c>
      <c r="D1480" s="957"/>
      <c r="E1480" s="957"/>
      <c r="F1480" s="23" t="s">
        <v>3</v>
      </c>
      <c r="G1480" s="24" t="s">
        <v>4</v>
      </c>
    </row>
    <row r="1481" spans="1:7" ht="34.799999999999997">
      <c r="A1481" s="1089" t="s">
        <v>2139</v>
      </c>
      <c r="B1481" s="944"/>
      <c r="C1481" s="980" t="s">
        <v>2462</v>
      </c>
      <c r="D1481" s="944"/>
      <c r="E1481" s="944"/>
      <c r="F1481" s="51" t="s">
        <v>39</v>
      </c>
      <c r="G1481" s="52">
        <v>117.39</v>
      </c>
    </row>
    <row r="1482" spans="1:7">
      <c r="A1482" s="1071" t="s">
        <v>5</v>
      </c>
      <c r="B1482" s="944"/>
      <c r="C1482" s="944"/>
      <c r="D1482" s="944"/>
      <c r="E1482" s="944"/>
      <c r="F1482" s="944"/>
      <c r="G1482" s="1072"/>
    </row>
    <row r="1483" spans="1:7" s="2" customFormat="1" ht="15.75" customHeight="1">
      <c r="A1483" s="1074" t="s">
        <v>2</v>
      </c>
      <c r="B1483" s="944"/>
      <c r="C1483" s="53" t="s">
        <v>3</v>
      </c>
      <c r="D1483" s="53" t="s">
        <v>4</v>
      </c>
      <c r="E1483" s="53" t="s">
        <v>6</v>
      </c>
      <c r="F1483" s="53" t="s">
        <v>7</v>
      </c>
      <c r="G1483" s="1075" t="s">
        <v>8</v>
      </c>
    </row>
    <row r="1484" spans="1:7" s="2" customFormat="1" ht="15.75" customHeight="1">
      <c r="A1484" s="947" t="s">
        <v>167</v>
      </c>
      <c r="B1484" s="980"/>
      <c r="C1484" s="51" t="s">
        <v>3</v>
      </c>
      <c r="D1484" s="54">
        <v>0.05</v>
      </c>
      <c r="E1484" s="17">
        <f>+G1501</f>
        <v>29826</v>
      </c>
      <c r="F1484" s="55">
        <f>D1484*E1484</f>
        <v>1491.3000000000002</v>
      </c>
      <c r="G1484" s="1072"/>
    </row>
    <row r="1485" spans="1:7" s="2" customFormat="1" ht="15.75" customHeight="1">
      <c r="A1485" s="947" t="str">
        <f>'MAQUINARIA Y EQUIPOS'!$D$44</f>
        <v>VIBROCOMPACTADOR</v>
      </c>
      <c r="B1485" s="944"/>
      <c r="C1485" s="51" t="s">
        <v>60</v>
      </c>
      <c r="D1485" s="54">
        <v>0.02</v>
      </c>
      <c r="E1485" s="17">
        <f>'MAQUINARIA Y EQUIPOS'!$F$44</f>
        <v>75000</v>
      </c>
      <c r="F1485" s="55">
        <f>D1485*E1485</f>
        <v>1500</v>
      </c>
      <c r="G1485" s="1072"/>
    </row>
    <row r="1486" spans="1:7" s="2" customFormat="1" ht="15.75" customHeight="1">
      <c r="A1486" s="947"/>
      <c r="B1486" s="980"/>
      <c r="C1486" s="141"/>
      <c r="D1486" s="16"/>
      <c r="E1486" s="143"/>
      <c r="F1486" s="55">
        <f>D1486*E1486</f>
        <v>0</v>
      </c>
      <c r="G1486" s="1072"/>
    </row>
    <row r="1487" spans="1:7" s="2" customFormat="1" ht="15.75" customHeight="1">
      <c r="A1487" s="947"/>
      <c r="B1487" s="944"/>
      <c r="C1487" s="51"/>
      <c r="D1487" s="54"/>
      <c r="E1487" s="17"/>
      <c r="F1487" s="55">
        <f>D1487*E1487</f>
        <v>0</v>
      </c>
      <c r="G1487" s="1072"/>
    </row>
    <row r="1488" spans="1:7" s="2" customFormat="1" ht="15.75" customHeight="1">
      <c r="A1488" s="1079"/>
      <c r="B1488" s="944"/>
      <c r="C1488" s="56"/>
      <c r="D1488" s="56"/>
      <c r="E1488" s="56"/>
      <c r="F1488" s="55"/>
      <c r="G1488" s="57">
        <f>SUM(F1483:F1488)</f>
        <v>2991.3</v>
      </c>
    </row>
    <row r="1489" spans="1:7" s="2" customFormat="1" ht="15" customHeight="1">
      <c r="A1489" s="1071" t="s">
        <v>10</v>
      </c>
      <c r="B1489" s="944"/>
      <c r="C1489" s="944"/>
      <c r="D1489" s="944"/>
      <c r="E1489" s="944"/>
      <c r="F1489" s="944"/>
      <c r="G1489" s="1072"/>
    </row>
    <row r="1490" spans="1:7" s="2" customFormat="1" ht="15" customHeight="1">
      <c r="A1490" s="1074" t="s">
        <v>2</v>
      </c>
      <c r="B1490" s="944"/>
      <c r="C1490" s="53" t="s">
        <v>3</v>
      </c>
      <c r="D1490" s="53" t="s">
        <v>4</v>
      </c>
      <c r="E1490" s="53" t="s">
        <v>6</v>
      </c>
      <c r="F1490" s="53" t="s">
        <v>11</v>
      </c>
      <c r="G1490" s="1075" t="s">
        <v>8</v>
      </c>
    </row>
    <row r="1491" spans="1:7" s="2" customFormat="1" ht="15" customHeight="1">
      <c r="A1491" s="947"/>
      <c r="B1491" s="944"/>
      <c r="C1491" s="16"/>
      <c r="D1491" s="54"/>
      <c r="E1491" s="17"/>
      <c r="F1491" s="55">
        <f>D1491*E1491</f>
        <v>0</v>
      </c>
      <c r="G1491" s="1072"/>
    </row>
    <row r="1492" spans="1:7" s="2" customFormat="1" ht="15" customHeight="1">
      <c r="A1492" s="947"/>
      <c r="B1492" s="944"/>
      <c r="C1492" s="51"/>
      <c r="D1492" s="54"/>
      <c r="E1492" s="17"/>
      <c r="F1492" s="55">
        <f>D1492*E1492</f>
        <v>0</v>
      </c>
      <c r="G1492" s="1072"/>
    </row>
    <row r="1493" spans="1:7" s="2" customFormat="1" ht="15" customHeight="1">
      <c r="A1493" s="947"/>
      <c r="B1493" s="944"/>
      <c r="C1493" s="16"/>
      <c r="D1493" s="54"/>
      <c r="E1493" s="17"/>
      <c r="F1493" s="55">
        <f>D1493*E1493</f>
        <v>0</v>
      </c>
      <c r="G1493" s="1072"/>
    </row>
    <row r="1494" spans="1:7" s="2" customFormat="1" ht="15" customHeight="1">
      <c r="A1494" s="947"/>
      <c r="B1494" s="944"/>
      <c r="C1494" s="16"/>
      <c r="D1494" s="58"/>
      <c r="E1494" s="17"/>
      <c r="F1494" s="55"/>
      <c r="G1494" s="57">
        <f>SUM(F1490:F1494)</f>
        <v>0</v>
      </c>
    </row>
    <row r="1495" spans="1:7" s="2" customFormat="1" ht="15" customHeight="1">
      <c r="A1495" s="1071" t="s">
        <v>15</v>
      </c>
      <c r="B1495" s="944"/>
      <c r="C1495" s="944"/>
      <c r="D1495" s="944"/>
      <c r="E1495" s="944"/>
      <c r="F1495" s="944"/>
      <c r="G1495" s="1072"/>
    </row>
    <row r="1496" spans="1:7" s="2" customFormat="1" ht="15" customHeight="1">
      <c r="A1496" s="1074" t="s">
        <v>2</v>
      </c>
      <c r="B1496" s="944"/>
      <c r="C1496" s="53" t="s">
        <v>3</v>
      </c>
      <c r="D1496" s="53" t="s">
        <v>4</v>
      </c>
      <c r="E1496" s="53" t="s">
        <v>6</v>
      </c>
      <c r="F1496" s="53" t="s">
        <v>11</v>
      </c>
      <c r="G1496" s="1075" t="s">
        <v>8</v>
      </c>
    </row>
    <row r="1497" spans="1:7" s="2" customFormat="1" ht="15" customHeight="1">
      <c r="A1497" s="943" t="s">
        <v>2561</v>
      </c>
      <c r="B1497" s="944"/>
      <c r="C1497" s="16" t="s">
        <v>39</v>
      </c>
      <c r="D1497" s="16">
        <v>1.1499999999999999</v>
      </c>
      <c r="E1497" s="17">
        <v>16260</v>
      </c>
      <c r="F1497" s="55">
        <f>E1497*D1497</f>
        <v>18699</v>
      </c>
      <c r="G1497" s="1072"/>
    </row>
    <row r="1498" spans="1:7" s="2" customFormat="1" ht="15" customHeight="1">
      <c r="A1498" s="59"/>
      <c r="B1498" s="60"/>
      <c r="C1498" s="60"/>
      <c r="D1498" s="60"/>
      <c r="E1498" s="60"/>
      <c r="F1498" s="60"/>
      <c r="G1498" s="57">
        <f>SUM(F1497:F1498)</f>
        <v>18699</v>
      </c>
    </row>
    <row r="1499" spans="1:7" s="2" customFormat="1" ht="15" customHeight="1">
      <c r="A1499" s="1071" t="s">
        <v>19</v>
      </c>
      <c r="B1499" s="944"/>
      <c r="C1499" s="944"/>
      <c r="D1499" s="944"/>
      <c r="E1499" s="944"/>
      <c r="F1499" s="944"/>
      <c r="G1499" s="1072"/>
    </row>
    <row r="1500" spans="1:7" s="2" customFormat="1" ht="15" customHeight="1">
      <c r="A1500" s="1074" t="s">
        <v>2</v>
      </c>
      <c r="B1500" s="944"/>
      <c r="C1500" s="53" t="s">
        <v>3</v>
      </c>
      <c r="D1500" s="53" t="s">
        <v>4</v>
      </c>
      <c r="E1500" s="53" t="s">
        <v>6</v>
      </c>
      <c r="F1500" s="53" t="s">
        <v>11</v>
      </c>
      <c r="G1500" s="456" t="s">
        <v>8</v>
      </c>
    </row>
    <row r="1501" spans="1:7" s="2" customFormat="1" ht="15.75" customHeight="1">
      <c r="A1501" s="978" t="str">
        <f>SALARIOS!$A$61</f>
        <v>CUADRILLA AA ALBAÑILERÍA 1:1</v>
      </c>
      <c r="B1501" s="979"/>
      <c r="C1501" s="13" t="s">
        <v>1245</v>
      </c>
      <c r="D1501" s="32">
        <v>1.2</v>
      </c>
      <c r="E1501" s="13">
        <f>SALARIOS!$C$61</f>
        <v>24855</v>
      </c>
      <c r="F1501" s="55">
        <f>+D1501*E1501</f>
        <v>29826</v>
      </c>
      <c r="G1501" s="57">
        <f>SUM(F1500:F1501)</f>
        <v>29826</v>
      </c>
    </row>
    <row r="1502" spans="1:7">
      <c r="A1502" s="1076" t="s">
        <v>25</v>
      </c>
      <c r="B1502" s="944"/>
      <c r="C1502" s="944"/>
      <c r="D1502" s="944"/>
      <c r="E1502" s="944"/>
      <c r="F1502" s="944"/>
      <c r="G1502" s="1072"/>
    </row>
    <row r="1503" spans="1:7" ht="17.399999999999999">
      <c r="A1503" s="1077"/>
      <c r="B1503" s="944"/>
      <c r="C1503" s="944"/>
      <c r="D1503" s="944"/>
      <c r="E1503" s="944"/>
      <c r="F1503" s="944"/>
      <c r="G1503" s="62">
        <f>G1501+G1498+G1494+G1488</f>
        <v>51516.3</v>
      </c>
    </row>
    <row r="1505" spans="1:7">
      <c r="A1505" s="970" t="s">
        <v>1</v>
      </c>
      <c r="B1505" s="957"/>
      <c r="C1505" s="953" t="s">
        <v>0</v>
      </c>
      <c r="D1505" s="953"/>
      <c r="E1505" s="953"/>
      <c r="F1505" s="953"/>
      <c r="G1505" s="1103"/>
    </row>
    <row r="1506" spans="1:7" ht="51" customHeight="1">
      <c r="A1506" s="971"/>
      <c r="B1506" s="957"/>
      <c r="C1506" s="953"/>
      <c r="D1506" s="953"/>
      <c r="E1506" s="953"/>
      <c r="F1506" s="953"/>
      <c r="G1506" s="1103"/>
    </row>
    <row r="1507" spans="1:7" ht="17.399999999999999">
      <c r="A1507" s="971"/>
      <c r="B1507" s="957"/>
      <c r="C1507" s="956"/>
      <c r="D1507" s="957"/>
      <c r="E1507" s="957"/>
      <c r="F1507" s="957"/>
      <c r="G1507" s="958"/>
    </row>
    <row r="1508" spans="1:7">
      <c r="A1508" s="971"/>
      <c r="B1508" s="957"/>
      <c r="C1508" s="959" t="s">
        <v>2</v>
      </c>
      <c r="D1508" s="957"/>
      <c r="E1508" s="957"/>
      <c r="F1508" s="23" t="s">
        <v>3</v>
      </c>
      <c r="G1508" s="24" t="s">
        <v>4</v>
      </c>
    </row>
    <row r="1509" spans="1:7" ht="34.799999999999997">
      <c r="A1509" s="1089" t="s">
        <v>2140</v>
      </c>
      <c r="B1509" s="944"/>
      <c r="C1509" s="980" t="s">
        <v>2463</v>
      </c>
      <c r="D1509" s="944"/>
      <c r="E1509" s="944"/>
      <c r="F1509" s="51" t="s">
        <v>39</v>
      </c>
      <c r="G1509" s="52">
        <v>416.19</v>
      </c>
    </row>
    <row r="1510" spans="1:7">
      <c r="A1510" s="1071" t="s">
        <v>5</v>
      </c>
      <c r="B1510" s="944"/>
      <c r="C1510" s="944"/>
      <c r="D1510" s="944"/>
      <c r="E1510" s="944"/>
      <c r="F1510" s="944"/>
      <c r="G1510" s="1072"/>
    </row>
    <row r="1511" spans="1:7" s="2" customFormat="1" ht="15.75" customHeight="1">
      <c r="A1511" s="1074" t="s">
        <v>2</v>
      </c>
      <c r="B1511" s="944"/>
      <c r="C1511" s="53" t="s">
        <v>3</v>
      </c>
      <c r="D1511" s="53" t="s">
        <v>4</v>
      </c>
      <c r="E1511" s="53" t="s">
        <v>6</v>
      </c>
      <c r="F1511" s="53" t="s">
        <v>7</v>
      </c>
      <c r="G1511" s="1075" t="s">
        <v>8</v>
      </c>
    </row>
    <row r="1512" spans="1:7" s="2" customFormat="1" ht="15.75" customHeight="1">
      <c r="A1512" s="947" t="s">
        <v>167</v>
      </c>
      <c r="B1512" s="980"/>
      <c r="C1512" s="51" t="s">
        <v>3</v>
      </c>
      <c r="D1512" s="54">
        <v>0.05</v>
      </c>
      <c r="E1512" s="17">
        <f>+G1530</f>
        <v>40875.599999999999</v>
      </c>
      <c r="F1512" s="55">
        <f>D1512*E1512</f>
        <v>2043.78</v>
      </c>
      <c r="G1512" s="1072"/>
    </row>
    <row r="1513" spans="1:7" s="2" customFormat="1" ht="15.75" customHeight="1">
      <c r="A1513" s="947" t="str">
        <f>'MAQUINARIA Y EQUIPOS'!$D$44</f>
        <v>VIBROCOMPACTADOR</v>
      </c>
      <c r="B1513" s="944"/>
      <c r="C1513" s="51" t="s">
        <v>60</v>
      </c>
      <c r="D1513" s="54">
        <v>0.03</v>
      </c>
      <c r="E1513" s="17">
        <f>'MAQUINARIA Y EQUIPOS'!$F$44</f>
        <v>75000</v>
      </c>
      <c r="F1513" s="55">
        <f>D1513*E1513</f>
        <v>2250</v>
      </c>
      <c r="G1513" s="1072"/>
    </row>
    <row r="1514" spans="1:7" s="2" customFormat="1" ht="15.75" customHeight="1">
      <c r="A1514" s="947"/>
      <c r="B1514" s="980"/>
      <c r="C1514" s="141"/>
      <c r="D1514" s="16"/>
      <c r="E1514" s="143"/>
      <c r="F1514" s="55">
        <f>D1514*E1514</f>
        <v>0</v>
      </c>
      <c r="G1514" s="1072"/>
    </row>
    <row r="1515" spans="1:7" s="2" customFormat="1" ht="15.75" customHeight="1">
      <c r="A1515" s="947"/>
      <c r="B1515" s="944"/>
      <c r="C1515" s="51"/>
      <c r="D1515" s="54"/>
      <c r="E1515" s="17"/>
      <c r="F1515" s="55">
        <f>D1515*E1515</f>
        <v>0</v>
      </c>
      <c r="G1515" s="1072"/>
    </row>
    <row r="1516" spans="1:7" s="2" customFormat="1" ht="15.75" customHeight="1">
      <c r="A1516" s="1079"/>
      <c r="B1516" s="944"/>
      <c r="C1516" s="56"/>
      <c r="D1516" s="56"/>
      <c r="E1516" s="56"/>
      <c r="F1516" s="55"/>
      <c r="G1516" s="57">
        <f>SUM(F1511:F1516)</f>
        <v>4293.78</v>
      </c>
    </row>
    <row r="1517" spans="1:7" s="2" customFormat="1" ht="15" customHeight="1">
      <c r="A1517" s="1071" t="s">
        <v>10</v>
      </c>
      <c r="B1517" s="944"/>
      <c r="C1517" s="944"/>
      <c r="D1517" s="944"/>
      <c r="E1517" s="944"/>
      <c r="F1517" s="944"/>
      <c r="G1517" s="1072"/>
    </row>
    <row r="1518" spans="1:7" s="2" customFormat="1" ht="15" customHeight="1">
      <c r="A1518" s="1074" t="s">
        <v>2</v>
      </c>
      <c r="B1518" s="944"/>
      <c r="C1518" s="53" t="s">
        <v>3</v>
      </c>
      <c r="D1518" s="53" t="s">
        <v>4</v>
      </c>
      <c r="E1518" s="53" t="s">
        <v>6</v>
      </c>
      <c r="F1518" s="53" t="s">
        <v>11</v>
      </c>
      <c r="G1518" s="1075" t="s">
        <v>8</v>
      </c>
    </row>
    <row r="1519" spans="1:7" s="2" customFormat="1" ht="15" customHeight="1">
      <c r="A1519" s="947" t="s">
        <v>2112</v>
      </c>
      <c r="B1519" s="944"/>
      <c r="C1519" s="16" t="s">
        <v>39</v>
      </c>
      <c r="D1519" s="54">
        <v>1.2</v>
      </c>
      <c r="E1519" s="17">
        <f>'INSUMOS '!$E$512</f>
        <v>45000</v>
      </c>
      <c r="F1519" s="55">
        <f>D1519*E1519</f>
        <v>54000</v>
      </c>
      <c r="G1519" s="1072"/>
    </row>
    <row r="1520" spans="1:7" s="2" customFormat="1" ht="15" customHeight="1">
      <c r="A1520" s="947"/>
      <c r="B1520" s="944"/>
      <c r="C1520" s="51"/>
      <c r="D1520" s="54"/>
      <c r="E1520" s="17"/>
      <c r="F1520" s="55">
        <f>D1520*E1520</f>
        <v>0</v>
      </c>
      <c r="G1520" s="1072"/>
    </row>
    <row r="1521" spans="1:7" s="2" customFormat="1" ht="15" customHeight="1">
      <c r="A1521" s="947"/>
      <c r="B1521" s="944"/>
      <c r="C1521" s="16"/>
      <c r="D1521" s="54"/>
      <c r="E1521" s="17"/>
      <c r="F1521" s="55">
        <f>D1521*E1521</f>
        <v>0</v>
      </c>
      <c r="G1521" s="1072"/>
    </row>
    <row r="1522" spans="1:7" s="2" customFormat="1" ht="15" customHeight="1">
      <c r="A1522" s="947"/>
      <c r="B1522" s="944"/>
      <c r="C1522" s="16"/>
      <c r="D1522" s="58"/>
      <c r="E1522" s="17"/>
      <c r="F1522" s="55"/>
      <c r="G1522" s="57">
        <f>SUM(F1518:F1522)</f>
        <v>54000</v>
      </c>
    </row>
    <row r="1523" spans="1:7" s="2" customFormat="1" ht="15" customHeight="1">
      <c r="A1523" s="1071" t="s">
        <v>15</v>
      </c>
      <c r="B1523" s="944"/>
      <c r="C1523" s="944"/>
      <c r="D1523" s="944"/>
      <c r="E1523" s="944"/>
      <c r="F1523" s="944"/>
      <c r="G1523" s="1072"/>
    </row>
    <row r="1524" spans="1:7" s="2" customFormat="1" ht="15" customHeight="1">
      <c r="A1524" s="1074" t="s">
        <v>2</v>
      </c>
      <c r="B1524" s="944"/>
      <c r="C1524" s="53" t="s">
        <v>3</v>
      </c>
      <c r="D1524" s="53" t="s">
        <v>4</v>
      </c>
      <c r="E1524" s="53" t="s">
        <v>6</v>
      </c>
      <c r="F1524" s="53" t="s">
        <v>11</v>
      </c>
      <c r="G1524" s="1075" t="s">
        <v>8</v>
      </c>
    </row>
    <row r="1525" spans="1:7" s="2" customFormat="1" ht="15" customHeight="1">
      <c r="A1525" s="943" t="s">
        <v>104</v>
      </c>
      <c r="B1525" s="944"/>
      <c r="C1525" s="16" t="s">
        <v>3</v>
      </c>
      <c r="D1525" s="54">
        <v>3.5000000000000003E-2</v>
      </c>
      <c r="E1525" s="17">
        <f>+G1522</f>
        <v>54000</v>
      </c>
      <c r="F1525" s="55">
        <f>E1525*D1525</f>
        <v>1890.0000000000002</v>
      </c>
      <c r="G1525" s="1072"/>
    </row>
    <row r="1526" spans="1:7" s="2" customFormat="1" ht="15" customHeight="1">
      <c r="A1526" s="943" t="s">
        <v>2660</v>
      </c>
      <c r="B1526" s="944"/>
      <c r="C1526" s="16" t="s">
        <v>39</v>
      </c>
      <c r="D1526" s="16">
        <v>1.2</v>
      </c>
      <c r="E1526" s="17">
        <v>16260</v>
      </c>
      <c r="F1526" s="55">
        <f>E1526*D1526</f>
        <v>19512</v>
      </c>
      <c r="G1526" s="123"/>
    </row>
    <row r="1527" spans="1:7" s="2" customFormat="1" ht="15" customHeight="1">
      <c r="A1527" s="59"/>
      <c r="B1527" s="60"/>
      <c r="C1527" s="60"/>
      <c r="D1527" s="60"/>
      <c r="E1527" s="60"/>
      <c r="F1527" s="60"/>
      <c r="G1527" s="57">
        <f>SUM(F1525:F1527)</f>
        <v>21402</v>
      </c>
    </row>
    <row r="1528" spans="1:7" s="2" customFormat="1" ht="15" customHeight="1">
      <c r="A1528" s="1071" t="s">
        <v>19</v>
      </c>
      <c r="B1528" s="944"/>
      <c r="C1528" s="944"/>
      <c r="D1528" s="944"/>
      <c r="E1528" s="944"/>
      <c r="F1528" s="944"/>
      <c r="G1528" s="1072"/>
    </row>
    <row r="1529" spans="1:7" s="2" customFormat="1" ht="15" customHeight="1">
      <c r="A1529" s="1074" t="s">
        <v>2</v>
      </c>
      <c r="B1529" s="944"/>
      <c r="C1529" s="53" t="s">
        <v>3</v>
      </c>
      <c r="D1529" s="53" t="s">
        <v>4</v>
      </c>
      <c r="E1529" s="53" t="s">
        <v>6</v>
      </c>
      <c r="F1529" s="53" t="s">
        <v>11</v>
      </c>
      <c r="G1529" s="456" t="s">
        <v>8</v>
      </c>
    </row>
    <row r="1530" spans="1:7" s="2" customFormat="1" ht="15.75" customHeight="1">
      <c r="A1530" s="978" t="str">
        <f>SALARIOS!$A$62</f>
        <v>CUADRILLA AA ALBAÑILERÍA 1:2</v>
      </c>
      <c r="B1530" s="979"/>
      <c r="C1530" s="13" t="s">
        <v>1245</v>
      </c>
      <c r="D1530" s="32">
        <v>1.2</v>
      </c>
      <c r="E1530" s="13">
        <f>SALARIOS!$C$62</f>
        <v>34063</v>
      </c>
      <c r="F1530" s="55">
        <f>+D1530*E1530</f>
        <v>40875.599999999999</v>
      </c>
      <c r="G1530" s="57">
        <f>SUM(F1529:F1530)</f>
        <v>40875.599999999999</v>
      </c>
    </row>
    <row r="1531" spans="1:7" s="175" customFormat="1" ht="15.75" customHeight="1">
      <c r="A1531" s="1076" t="s">
        <v>25</v>
      </c>
      <c r="B1531" s="944"/>
      <c r="C1531" s="944"/>
      <c r="D1531" s="944"/>
      <c r="E1531" s="944"/>
      <c r="F1531" s="944"/>
      <c r="G1531" s="1072"/>
    </row>
    <row r="1532" spans="1:7" ht="17.399999999999999">
      <c r="A1532" s="1077"/>
      <c r="B1532" s="944"/>
      <c r="C1532" s="944"/>
      <c r="D1532" s="944"/>
      <c r="E1532" s="944"/>
      <c r="F1532" s="944"/>
      <c r="G1532" s="62">
        <f>G1530+G1527+G1522+G1516</f>
        <v>120571.38</v>
      </c>
    </row>
    <row r="1534" spans="1:7">
      <c r="A1534" s="970" t="s">
        <v>1</v>
      </c>
      <c r="B1534" s="957"/>
      <c r="C1534" s="953" t="s">
        <v>0</v>
      </c>
      <c r="D1534" s="953"/>
      <c r="E1534" s="953"/>
      <c r="F1534" s="953"/>
      <c r="G1534" s="1103"/>
    </row>
    <row r="1535" spans="1:7" ht="47.25" customHeight="1">
      <c r="A1535" s="971"/>
      <c r="B1535" s="957"/>
      <c r="C1535" s="953"/>
      <c r="D1535" s="953"/>
      <c r="E1535" s="953"/>
      <c r="F1535" s="953"/>
      <c r="G1535" s="1103"/>
    </row>
    <row r="1536" spans="1:7" ht="17.399999999999999">
      <c r="A1536" s="971"/>
      <c r="B1536" s="957"/>
      <c r="C1536" s="956"/>
      <c r="D1536" s="957"/>
      <c r="E1536" s="957"/>
      <c r="F1536" s="957"/>
      <c r="G1536" s="958"/>
    </row>
    <row r="1537" spans="1:7">
      <c r="A1537" s="971"/>
      <c r="B1537" s="957"/>
      <c r="C1537" s="959" t="s">
        <v>2</v>
      </c>
      <c r="D1537" s="957"/>
      <c r="E1537" s="957"/>
      <c r="F1537" s="23" t="s">
        <v>3</v>
      </c>
      <c r="G1537" s="24" t="s">
        <v>4</v>
      </c>
    </row>
    <row r="1538" spans="1:7" ht="34.799999999999997">
      <c r="A1538" s="1089" t="s">
        <v>2141</v>
      </c>
      <c r="B1538" s="944"/>
      <c r="C1538" s="980" t="s">
        <v>2014</v>
      </c>
      <c r="D1538" s="944"/>
      <c r="E1538" s="944"/>
      <c r="F1538" s="51" t="s">
        <v>39</v>
      </c>
      <c r="G1538" s="52">
        <v>735.2</v>
      </c>
    </row>
    <row r="1539" spans="1:7">
      <c r="A1539" s="1071" t="s">
        <v>5</v>
      </c>
      <c r="B1539" s="944"/>
      <c r="C1539" s="944"/>
      <c r="D1539" s="944"/>
      <c r="E1539" s="944"/>
      <c r="F1539" s="944"/>
      <c r="G1539" s="1072"/>
    </row>
    <row r="1540" spans="1:7" s="2" customFormat="1" ht="15.75" customHeight="1">
      <c r="A1540" s="1074" t="s">
        <v>2</v>
      </c>
      <c r="B1540" s="944"/>
      <c r="C1540" s="53" t="s">
        <v>3</v>
      </c>
      <c r="D1540" s="53" t="s">
        <v>4</v>
      </c>
      <c r="E1540" s="53" t="s">
        <v>6</v>
      </c>
      <c r="F1540" s="53" t="s">
        <v>7</v>
      </c>
      <c r="G1540" s="1075" t="s">
        <v>8</v>
      </c>
    </row>
    <row r="1541" spans="1:7" s="2" customFormat="1" ht="15.75" customHeight="1">
      <c r="A1541" s="947" t="s">
        <v>167</v>
      </c>
      <c r="B1541" s="980"/>
      <c r="C1541" s="51" t="s">
        <v>3</v>
      </c>
      <c r="D1541" s="54">
        <v>0.05</v>
      </c>
      <c r="E1541" s="17">
        <f>+G1559</f>
        <v>18416</v>
      </c>
      <c r="F1541" s="55">
        <f>D1541*E1541</f>
        <v>920.80000000000007</v>
      </c>
      <c r="G1541" s="1072"/>
    </row>
    <row r="1542" spans="1:7" s="2" customFormat="1" ht="15.75" customHeight="1">
      <c r="A1542" s="947"/>
      <c r="B1542" s="944"/>
      <c r="C1542" s="51"/>
      <c r="D1542" s="54"/>
      <c r="E1542" s="17"/>
      <c r="F1542" s="55">
        <f>D1542*E1542</f>
        <v>0</v>
      </c>
      <c r="G1542" s="1072"/>
    </row>
    <row r="1543" spans="1:7" s="2" customFormat="1" ht="15.75" customHeight="1">
      <c r="A1543" s="947"/>
      <c r="B1543" s="980"/>
      <c r="C1543" s="141"/>
      <c r="D1543" s="16"/>
      <c r="E1543" s="143"/>
      <c r="F1543" s="55">
        <f>D1543*E1543</f>
        <v>0</v>
      </c>
      <c r="G1543" s="1072"/>
    </row>
    <row r="1544" spans="1:7" s="2" customFormat="1" ht="15.75" customHeight="1">
      <c r="A1544" s="947"/>
      <c r="B1544" s="944"/>
      <c r="C1544" s="51"/>
      <c r="D1544" s="54"/>
      <c r="E1544" s="17"/>
      <c r="F1544" s="55">
        <f>D1544*E1544</f>
        <v>0</v>
      </c>
      <c r="G1544" s="1072"/>
    </row>
    <row r="1545" spans="1:7" s="2" customFormat="1" ht="15.75" customHeight="1">
      <c r="A1545" s="1079"/>
      <c r="B1545" s="944"/>
      <c r="C1545" s="56"/>
      <c r="D1545" s="56"/>
      <c r="E1545" s="56"/>
      <c r="F1545" s="55"/>
      <c r="G1545" s="57">
        <f>SUM(F1540:F1545)</f>
        <v>920.80000000000007</v>
      </c>
    </row>
    <row r="1546" spans="1:7" s="2" customFormat="1" ht="15" customHeight="1">
      <c r="A1546" s="1071" t="s">
        <v>10</v>
      </c>
      <c r="B1546" s="944"/>
      <c r="C1546" s="944"/>
      <c r="D1546" s="944"/>
      <c r="E1546" s="944"/>
      <c r="F1546" s="944"/>
      <c r="G1546" s="1072"/>
    </row>
    <row r="1547" spans="1:7" s="2" customFormat="1" ht="15" customHeight="1">
      <c r="A1547" s="1074" t="s">
        <v>2</v>
      </c>
      <c r="B1547" s="944"/>
      <c r="C1547" s="53" t="s">
        <v>3</v>
      </c>
      <c r="D1547" s="53" t="s">
        <v>4</v>
      </c>
      <c r="E1547" s="53" t="s">
        <v>6</v>
      </c>
      <c r="F1547" s="53" t="s">
        <v>11</v>
      </c>
      <c r="G1547" s="1075" t="s">
        <v>8</v>
      </c>
    </row>
    <row r="1548" spans="1:7" s="2" customFormat="1" ht="15" customHeight="1">
      <c r="A1548" s="947"/>
      <c r="B1548" s="944"/>
      <c r="C1548" s="16"/>
      <c r="D1548" s="54"/>
      <c r="E1548" s="17"/>
      <c r="F1548" s="55">
        <f>D1548*E1548</f>
        <v>0</v>
      </c>
      <c r="G1548" s="1072"/>
    </row>
    <row r="1549" spans="1:7" s="2" customFormat="1" ht="15" customHeight="1">
      <c r="A1549" s="947"/>
      <c r="B1549" s="944"/>
      <c r="C1549" s="51"/>
      <c r="D1549" s="54"/>
      <c r="E1549" s="17"/>
      <c r="F1549" s="55">
        <f>D1549*E1549</f>
        <v>0</v>
      </c>
      <c r="G1549" s="1072"/>
    </row>
    <row r="1550" spans="1:7" s="2" customFormat="1" ht="15" customHeight="1">
      <c r="A1550" s="947"/>
      <c r="B1550" s="944"/>
      <c r="C1550" s="16"/>
      <c r="D1550" s="54"/>
      <c r="E1550" s="17"/>
      <c r="F1550" s="55">
        <f>D1550*E1550</f>
        <v>0</v>
      </c>
      <c r="G1550" s="1072"/>
    </row>
    <row r="1551" spans="1:7" s="2" customFormat="1" ht="15" customHeight="1">
      <c r="A1551" s="947"/>
      <c r="B1551" s="944"/>
      <c r="C1551" s="16"/>
      <c r="D1551" s="58"/>
      <c r="E1551" s="17"/>
      <c r="F1551" s="55"/>
      <c r="G1551" s="57">
        <f>SUM(F1547:F1551)</f>
        <v>0</v>
      </c>
    </row>
    <row r="1552" spans="1:7" s="2" customFormat="1" ht="15" customHeight="1">
      <c r="A1552" s="1071" t="s">
        <v>15</v>
      </c>
      <c r="B1552" s="944"/>
      <c r="C1552" s="944"/>
      <c r="D1552" s="944"/>
      <c r="E1552" s="944"/>
      <c r="F1552" s="944"/>
      <c r="G1552" s="1072"/>
    </row>
    <row r="1553" spans="1:7" s="2" customFormat="1" ht="15" customHeight="1">
      <c r="A1553" s="1074" t="s">
        <v>2</v>
      </c>
      <c r="B1553" s="944"/>
      <c r="C1553" s="53" t="s">
        <v>3</v>
      </c>
      <c r="D1553" s="53" t="s">
        <v>4</v>
      </c>
      <c r="E1553" s="53" t="s">
        <v>6</v>
      </c>
      <c r="F1553" s="53" t="s">
        <v>11</v>
      </c>
      <c r="G1553" s="1075" t="s">
        <v>8</v>
      </c>
    </row>
    <row r="1554" spans="1:7" s="2" customFormat="1" ht="15" customHeight="1">
      <c r="A1554" s="943" t="s">
        <v>2646</v>
      </c>
      <c r="B1554" s="944"/>
      <c r="C1554" s="16" t="s">
        <v>2645</v>
      </c>
      <c r="D1554" s="16">
        <v>30</v>
      </c>
      <c r="E1554" s="17">
        <f>'MAQUINARIA Y EQUIPOS'!F46</f>
        <v>1650</v>
      </c>
      <c r="F1554" s="55">
        <f>E1554*D1554</f>
        <v>49500</v>
      </c>
      <c r="G1554" s="1075"/>
    </row>
    <row r="1555" spans="1:7" s="2" customFormat="1" ht="15" customHeight="1">
      <c r="A1555" s="943" t="str">
        <f>'MAQUINARIA Y EQUIPOS'!$D$22</f>
        <v>Cargue de material sobrante (2 paleros)</v>
      </c>
      <c r="B1555" s="944"/>
      <c r="C1555" s="16" t="s">
        <v>39</v>
      </c>
      <c r="D1555" s="16">
        <v>1</v>
      </c>
      <c r="E1555" s="17">
        <f>'MAQUINARIA Y EQUIPOS'!$F$22</f>
        <v>42000</v>
      </c>
      <c r="F1555" s="55">
        <f>E1555*D1555</f>
        <v>42000</v>
      </c>
      <c r="G1555" s="1072"/>
    </row>
    <row r="1556" spans="1:7" s="2" customFormat="1" ht="15" customHeight="1">
      <c r="A1556" s="59"/>
      <c r="B1556" s="60"/>
      <c r="C1556" s="60"/>
      <c r="D1556" s="60"/>
      <c r="E1556" s="60"/>
      <c r="F1556" s="60"/>
      <c r="G1556" s="57">
        <f>SUM(F1553:F1556)</f>
        <v>91500</v>
      </c>
    </row>
    <row r="1557" spans="1:7" s="2" customFormat="1" ht="15" customHeight="1">
      <c r="A1557" s="1071" t="s">
        <v>19</v>
      </c>
      <c r="B1557" s="944"/>
      <c r="C1557" s="944"/>
      <c r="D1557" s="944"/>
      <c r="E1557" s="944"/>
      <c r="F1557" s="944"/>
      <c r="G1557" s="1072"/>
    </row>
    <row r="1558" spans="1:7" s="2" customFormat="1" ht="15" customHeight="1">
      <c r="A1558" s="1074" t="s">
        <v>2</v>
      </c>
      <c r="B1558" s="944"/>
      <c r="C1558" s="53" t="s">
        <v>3</v>
      </c>
      <c r="D1558" s="53" t="s">
        <v>4</v>
      </c>
      <c r="E1558" s="53" t="s">
        <v>6</v>
      </c>
      <c r="F1558" s="53" t="s">
        <v>11</v>
      </c>
      <c r="G1558" s="456" t="s">
        <v>8</v>
      </c>
    </row>
    <row r="1559" spans="1:7" s="2" customFormat="1" ht="15.75" customHeight="1">
      <c r="A1559" s="978" t="str">
        <f>SALARIOS!$A$59</f>
        <v>CUADRILLA AA ALBAÑILERÍA 0:2</v>
      </c>
      <c r="B1559" s="979"/>
      <c r="C1559" s="13" t="s">
        <v>1245</v>
      </c>
      <c r="D1559" s="32">
        <v>1</v>
      </c>
      <c r="E1559" s="13">
        <f>SALARIOS!$C$59</f>
        <v>18416</v>
      </c>
      <c r="F1559" s="55">
        <f>+D1559*E1559</f>
        <v>18416</v>
      </c>
      <c r="G1559" s="57">
        <f>SUM(F1558:F1559)</f>
        <v>18416</v>
      </c>
    </row>
    <row r="1560" spans="1:7" s="175" customFormat="1" ht="15.75" customHeight="1">
      <c r="A1560" s="1076" t="s">
        <v>25</v>
      </c>
      <c r="B1560" s="944"/>
      <c r="C1560" s="944"/>
      <c r="D1560" s="944"/>
      <c r="E1560" s="944"/>
      <c r="F1560" s="944"/>
      <c r="G1560" s="1072"/>
    </row>
    <row r="1561" spans="1:7" ht="17.399999999999999">
      <c r="A1561" s="1077"/>
      <c r="B1561" s="944"/>
      <c r="C1561" s="944"/>
      <c r="D1561" s="944"/>
      <c r="E1561" s="944"/>
      <c r="F1561" s="944"/>
      <c r="G1561" s="62">
        <f>G1559+G1556+G1551+G1545</f>
        <v>110836.8</v>
      </c>
    </row>
    <row r="1563" spans="1:7">
      <c r="A1563" s="970" t="s">
        <v>1</v>
      </c>
      <c r="B1563" s="957"/>
      <c r="C1563" s="953" t="s">
        <v>0</v>
      </c>
      <c r="D1563" s="953"/>
      <c r="E1563" s="953"/>
      <c r="F1563" s="953"/>
      <c r="G1563" s="1103"/>
    </row>
    <row r="1564" spans="1:7" ht="46.5" customHeight="1">
      <c r="A1564" s="971"/>
      <c r="B1564" s="957"/>
      <c r="C1564" s="953"/>
      <c r="D1564" s="953"/>
      <c r="E1564" s="953"/>
      <c r="F1564" s="953"/>
      <c r="G1564" s="1103"/>
    </row>
    <row r="1565" spans="1:7" ht="17.399999999999999">
      <c r="A1565" s="971"/>
      <c r="B1565" s="957"/>
      <c r="C1565" s="956"/>
      <c r="D1565" s="957"/>
      <c r="E1565" s="957"/>
      <c r="F1565" s="957"/>
      <c r="G1565" s="958"/>
    </row>
    <row r="1566" spans="1:7">
      <c r="A1566" s="971"/>
      <c r="B1566" s="957"/>
      <c r="C1566" s="959" t="s">
        <v>2</v>
      </c>
      <c r="D1566" s="957"/>
      <c r="E1566" s="957"/>
      <c r="F1566" s="23" t="s">
        <v>3</v>
      </c>
      <c r="G1566" s="24" t="s">
        <v>4</v>
      </c>
    </row>
    <row r="1567" spans="1:7" ht="34.799999999999997">
      <c r="A1567" s="1089" t="s">
        <v>2144</v>
      </c>
      <c r="B1567" s="944"/>
      <c r="C1567" s="980" t="s">
        <v>2464</v>
      </c>
      <c r="D1567" s="944"/>
      <c r="E1567" s="944"/>
      <c r="F1567" s="51" t="s">
        <v>100</v>
      </c>
      <c r="G1567" s="52">
        <v>7</v>
      </c>
    </row>
    <row r="1568" spans="1:7">
      <c r="A1568" s="1071" t="s">
        <v>5</v>
      </c>
      <c r="B1568" s="944"/>
      <c r="C1568" s="944"/>
      <c r="D1568" s="944"/>
      <c r="E1568" s="944"/>
      <c r="F1568" s="944"/>
      <c r="G1568" s="1072"/>
    </row>
    <row r="1569" spans="1:7">
      <c r="A1569" s="1074" t="s">
        <v>2</v>
      </c>
      <c r="B1569" s="944"/>
      <c r="C1569" s="53" t="s">
        <v>3</v>
      </c>
      <c r="D1569" s="53" t="s">
        <v>4</v>
      </c>
      <c r="E1569" s="53" t="s">
        <v>6</v>
      </c>
      <c r="F1569" s="53" t="s">
        <v>7</v>
      </c>
      <c r="G1569" s="1075" t="s">
        <v>8</v>
      </c>
    </row>
    <row r="1570" spans="1:7">
      <c r="A1570" s="947" t="s">
        <v>167</v>
      </c>
      <c r="B1570" s="980"/>
      <c r="C1570" s="51" t="s">
        <v>3</v>
      </c>
      <c r="D1570" s="54">
        <v>0.05</v>
      </c>
      <c r="E1570" s="17">
        <f>+G1588</f>
        <v>26228.3</v>
      </c>
      <c r="F1570" s="55">
        <f>D1570*E1570</f>
        <v>1311.415</v>
      </c>
      <c r="G1570" s="1072"/>
    </row>
    <row r="1571" spans="1:7">
      <c r="A1571" s="947"/>
      <c r="B1571" s="944"/>
      <c r="C1571" s="51"/>
      <c r="D1571" s="54"/>
      <c r="E1571" s="17"/>
      <c r="F1571" s="55">
        <f>D1571*E1571</f>
        <v>0</v>
      </c>
      <c r="G1571" s="1072"/>
    </row>
    <row r="1572" spans="1:7">
      <c r="A1572" s="947"/>
      <c r="B1572" s="980"/>
      <c r="C1572" s="141"/>
      <c r="D1572" s="16"/>
      <c r="E1572" s="143"/>
      <c r="F1572" s="55">
        <f>D1572*E1572</f>
        <v>0</v>
      </c>
      <c r="G1572" s="1072"/>
    </row>
    <row r="1573" spans="1:7">
      <c r="A1573" s="947"/>
      <c r="B1573" s="944"/>
      <c r="C1573" s="51"/>
      <c r="D1573" s="54"/>
      <c r="E1573" s="17"/>
      <c r="F1573" s="55">
        <f>D1573*E1573</f>
        <v>0</v>
      </c>
      <c r="G1573" s="1072"/>
    </row>
    <row r="1574" spans="1:7">
      <c r="A1574" s="1079"/>
      <c r="B1574" s="944"/>
      <c r="C1574" s="56"/>
      <c r="D1574" s="56"/>
      <c r="E1574" s="56"/>
      <c r="F1574" s="55"/>
      <c r="G1574" s="57">
        <f>SUM(F1569:F1574)</f>
        <v>1311.415</v>
      </c>
    </row>
    <row r="1575" spans="1:7">
      <c r="A1575" s="1071" t="s">
        <v>10</v>
      </c>
      <c r="B1575" s="944"/>
      <c r="C1575" s="944"/>
      <c r="D1575" s="944"/>
      <c r="E1575" s="944"/>
      <c r="F1575" s="944"/>
      <c r="G1575" s="1072"/>
    </row>
    <row r="1576" spans="1:7">
      <c r="A1576" s="1074" t="s">
        <v>2</v>
      </c>
      <c r="B1576" s="944"/>
      <c r="C1576" s="53" t="s">
        <v>3</v>
      </c>
      <c r="D1576" s="53" t="s">
        <v>4</v>
      </c>
      <c r="E1576" s="53" t="s">
        <v>6</v>
      </c>
      <c r="F1576" s="53" t="s">
        <v>11</v>
      </c>
      <c r="G1576" s="1075" t="s">
        <v>8</v>
      </c>
    </row>
    <row r="1577" spans="1:7">
      <c r="A1577" s="947" t="s">
        <v>2629</v>
      </c>
      <c r="B1577" s="944"/>
      <c r="C1577" s="16" t="s">
        <v>998</v>
      </c>
      <c r="D1577" s="54">
        <v>0.19</v>
      </c>
      <c r="E1577" s="17">
        <f>'INSUMOS '!E494</f>
        <v>7967</v>
      </c>
      <c r="F1577" s="55">
        <f>D1577*E1577</f>
        <v>1513.73</v>
      </c>
      <c r="G1577" s="1072"/>
    </row>
    <row r="1578" spans="1:7">
      <c r="A1578" s="947" t="s">
        <v>2630</v>
      </c>
      <c r="B1578" s="944"/>
      <c r="C1578" s="16" t="s">
        <v>998</v>
      </c>
      <c r="D1578" s="54">
        <v>7.0000000000000007E-2</v>
      </c>
      <c r="E1578" s="17">
        <f>'INSUMOS '!E495</f>
        <v>71961</v>
      </c>
      <c r="F1578" s="55">
        <f>D1578*E1578</f>
        <v>5037.2700000000004</v>
      </c>
      <c r="G1578" s="1072"/>
    </row>
    <row r="1579" spans="1:7">
      <c r="A1579" s="947" t="s">
        <v>2636</v>
      </c>
      <c r="B1579" s="944"/>
      <c r="C1579" s="51" t="s">
        <v>45</v>
      </c>
      <c r="D1579" s="54">
        <v>1</v>
      </c>
      <c r="E1579" s="17">
        <f>'INSUMOS '!E501</f>
        <v>95043</v>
      </c>
      <c r="F1579" s="55">
        <f>D1579*E1579</f>
        <v>95043</v>
      </c>
      <c r="G1579" s="1072"/>
    </row>
    <row r="1580" spans="1:7">
      <c r="A1580" s="947" t="s">
        <v>2637</v>
      </c>
      <c r="B1580" s="944"/>
      <c r="C1580" s="16" t="s">
        <v>998</v>
      </c>
      <c r="D1580" s="54">
        <v>0.5</v>
      </c>
      <c r="E1580" s="17">
        <f>'INSUMOS '!E502</f>
        <v>61285</v>
      </c>
      <c r="F1580" s="55">
        <f>D1580*E1580</f>
        <v>30642.5</v>
      </c>
      <c r="G1580" s="1072"/>
    </row>
    <row r="1581" spans="1:7">
      <c r="A1581" s="947"/>
      <c r="B1581" s="944"/>
      <c r="C1581" s="16"/>
      <c r="D1581" s="58"/>
      <c r="E1581" s="17"/>
      <c r="F1581" s="55"/>
      <c r="G1581" s="57">
        <f>SUM(F1576:F1581)</f>
        <v>132236.5</v>
      </c>
    </row>
    <row r="1582" spans="1:7">
      <c r="A1582" s="1071" t="s">
        <v>15</v>
      </c>
      <c r="B1582" s="944"/>
      <c r="C1582" s="944"/>
      <c r="D1582" s="944"/>
      <c r="E1582" s="944"/>
      <c r="F1582" s="944"/>
      <c r="G1582" s="1072"/>
    </row>
    <row r="1583" spans="1:7">
      <c r="A1583" s="1074" t="s">
        <v>2</v>
      </c>
      <c r="B1583" s="944"/>
      <c r="C1583" s="53" t="s">
        <v>3</v>
      </c>
      <c r="D1583" s="53" t="s">
        <v>4</v>
      </c>
      <c r="E1583" s="53" t="s">
        <v>6</v>
      </c>
      <c r="F1583" s="53" t="s">
        <v>11</v>
      </c>
      <c r="G1583" s="1075" t="s">
        <v>8</v>
      </c>
    </row>
    <row r="1584" spans="1:7">
      <c r="A1584" s="943" t="s">
        <v>173</v>
      </c>
      <c r="B1584" s="944"/>
      <c r="C1584" s="16" t="s">
        <v>3</v>
      </c>
      <c r="D1584" s="54">
        <v>3.5000000000000003E-2</v>
      </c>
      <c r="E1584" s="17">
        <f>+G1581</f>
        <v>132236.5</v>
      </c>
      <c r="F1584" s="55">
        <f>E1584*D1584</f>
        <v>4628.2775000000001</v>
      </c>
      <c r="G1584" s="1072"/>
    </row>
    <row r="1585" spans="1:7">
      <c r="A1585" s="59"/>
      <c r="B1585" s="60"/>
      <c r="C1585" s="60"/>
      <c r="D1585" s="60"/>
      <c r="E1585" s="60"/>
      <c r="F1585" s="60"/>
      <c r="G1585" s="57">
        <f>SUM(F1584:F1585)</f>
        <v>4628.2775000000001</v>
      </c>
    </row>
    <row r="1586" spans="1:7">
      <c r="A1586" s="1071" t="s">
        <v>19</v>
      </c>
      <c r="B1586" s="944"/>
      <c r="C1586" s="944"/>
      <c r="D1586" s="944"/>
      <c r="E1586" s="944"/>
      <c r="F1586" s="944"/>
      <c r="G1586" s="1072"/>
    </row>
    <row r="1587" spans="1:7">
      <c r="A1587" s="1074" t="s">
        <v>2</v>
      </c>
      <c r="B1587" s="944"/>
      <c r="C1587" s="53" t="s">
        <v>3</v>
      </c>
      <c r="D1587" s="53" t="s">
        <v>4</v>
      </c>
      <c r="E1587" s="53" t="s">
        <v>6</v>
      </c>
      <c r="F1587" s="53" t="s">
        <v>11</v>
      </c>
      <c r="G1587" s="456" t="s">
        <v>8</v>
      </c>
    </row>
    <row r="1588" spans="1:7">
      <c r="A1588" s="978" t="str">
        <f>SALARIOS!$A$70</f>
        <v>CUADRILLA BB INSTALACIONES 1:2</v>
      </c>
      <c r="B1588" s="979"/>
      <c r="C1588" s="13" t="s">
        <v>1245</v>
      </c>
      <c r="D1588" s="32">
        <v>0.7</v>
      </c>
      <c r="E1588" s="13">
        <f>SALARIOS!$C$70</f>
        <v>37469</v>
      </c>
      <c r="F1588" s="55">
        <f>+D1588*E1588</f>
        <v>26228.3</v>
      </c>
      <c r="G1588" s="57">
        <f>SUM(F1587:F1588)</f>
        <v>26228.3</v>
      </c>
    </row>
    <row r="1589" spans="1:7">
      <c r="A1589" s="1076" t="s">
        <v>25</v>
      </c>
      <c r="B1589" s="944"/>
      <c r="C1589" s="944"/>
      <c r="D1589" s="944"/>
      <c r="E1589" s="944"/>
      <c r="F1589" s="944"/>
      <c r="G1589" s="1072"/>
    </row>
    <row r="1590" spans="1:7" ht="17.399999999999999">
      <c r="A1590" s="1077"/>
      <c r="B1590" s="944"/>
      <c r="C1590" s="944"/>
      <c r="D1590" s="944"/>
      <c r="E1590" s="944"/>
      <c r="F1590" s="944"/>
      <c r="G1590" s="62">
        <f>G1588+G1585+G1581+G1574</f>
        <v>164404.49250000002</v>
      </c>
    </row>
    <row r="1592" spans="1:7">
      <c r="A1592" s="970" t="s">
        <v>1</v>
      </c>
      <c r="B1592" s="957"/>
      <c r="C1592" s="953" t="s">
        <v>0</v>
      </c>
      <c r="D1592" s="953"/>
      <c r="E1592" s="953"/>
      <c r="F1592" s="953"/>
      <c r="G1592" s="1103"/>
    </row>
    <row r="1593" spans="1:7" ht="51" customHeight="1">
      <c r="A1593" s="971"/>
      <c r="B1593" s="957"/>
      <c r="C1593" s="953"/>
      <c r="D1593" s="953"/>
      <c r="E1593" s="953"/>
      <c r="F1593" s="953"/>
      <c r="G1593" s="1103"/>
    </row>
    <row r="1594" spans="1:7" ht="17.399999999999999">
      <c r="A1594" s="971"/>
      <c r="B1594" s="957"/>
      <c r="C1594" s="956"/>
      <c r="D1594" s="957"/>
      <c r="E1594" s="957"/>
      <c r="F1594" s="957"/>
      <c r="G1594" s="958"/>
    </row>
    <row r="1595" spans="1:7">
      <c r="A1595" s="971"/>
      <c r="B1595" s="957"/>
      <c r="C1595" s="959" t="s">
        <v>2</v>
      </c>
      <c r="D1595" s="957"/>
      <c r="E1595" s="957"/>
      <c r="F1595" s="23" t="s">
        <v>3</v>
      </c>
      <c r="G1595" s="24" t="s">
        <v>4</v>
      </c>
    </row>
    <row r="1596" spans="1:7" ht="65.25" customHeight="1">
      <c r="A1596" s="1089" t="s">
        <v>2146</v>
      </c>
      <c r="B1596" s="944"/>
      <c r="C1596" s="980" t="s">
        <v>2125</v>
      </c>
      <c r="D1596" s="944"/>
      <c r="E1596" s="944"/>
      <c r="F1596" s="51" t="s">
        <v>1620</v>
      </c>
      <c r="G1596" s="52">
        <v>4</v>
      </c>
    </row>
    <row r="1597" spans="1:7">
      <c r="A1597" s="1071" t="s">
        <v>5</v>
      </c>
      <c r="B1597" s="944"/>
      <c r="C1597" s="944"/>
      <c r="D1597" s="944"/>
      <c r="E1597" s="944"/>
      <c r="F1597" s="944"/>
      <c r="G1597" s="1072"/>
    </row>
    <row r="1598" spans="1:7">
      <c r="A1598" s="1074" t="s">
        <v>2</v>
      </c>
      <c r="B1598" s="944"/>
      <c r="C1598" s="53" t="s">
        <v>3</v>
      </c>
      <c r="D1598" s="53" t="s">
        <v>4</v>
      </c>
      <c r="E1598" s="53" t="s">
        <v>6</v>
      </c>
      <c r="F1598" s="53" t="s">
        <v>7</v>
      </c>
      <c r="G1598" s="1075" t="s">
        <v>8</v>
      </c>
    </row>
    <row r="1599" spans="1:7">
      <c r="A1599" s="947" t="s">
        <v>167</v>
      </c>
      <c r="B1599" s="980"/>
      <c r="C1599" s="51" t="s">
        <v>3</v>
      </c>
      <c r="D1599" s="54">
        <v>0.05</v>
      </c>
      <c r="E1599" s="17">
        <f>+G1616</f>
        <v>272504</v>
      </c>
      <c r="F1599" s="55">
        <f>D1599*E1599</f>
        <v>13625.2</v>
      </c>
      <c r="G1599" s="1072"/>
    </row>
    <row r="1600" spans="1:7">
      <c r="A1600" s="947" t="s">
        <v>2627</v>
      </c>
      <c r="B1600" s="944"/>
      <c r="C1600" s="51" t="s">
        <v>60</v>
      </c>
      <c r="D1600" s="54">
        <v>0.5</v>
      </c>
      <c r="E1600" s="17">
        <f>'INSUMOS '!$E$492</f>
        <v>37500</v>
      </c>
      <c r="F1600" s="55">
        <f>D1600*E1600</f>
        <v>18750</v>
      </c>
      <c r="G1600" s="1072"/>
    </row>
    <row r="1601" spans="1:7">
      <c r="A1601" s="947" t="s">
        <v>2664</v>
      </c>
      <c r="B1601" s="980"/>
      <c r="C1601" s="141" t="s">
        <v>60</v>
      </c>
      <c r="D1601" s="16">
        <v>1.35</v>
      </c>
      <c r="E1601" s="143">
        <f>'MAQUINARIA Y EQUIPOS'!$F$19</f>
        <v>45763.829999999994</v>
      </c>
      <c r="F1601" s="55">
        <f>D1601*E1601</f>
        <v>61781.1705</v>
      </c>
      <c r="G1601" s="1072"/>
    </row>
    <row r="1602" spans="1:7">
      <c r="A1602" s="947"/>
      <c r="B1602" s="944"/>
      <c r="C1602" s="51"/>
      <c r="D1602" s="54"/>
      <c r="E1602" s="17"/>
      <c r="F1602" s="55">
        <f>D1602*E1602</f>
        <v>0</v>
      </c>
      <c r="G1602" s="1072"/>
    </row>
    <row r="1603" spans="1:7">
      <c r="A1603" s="1079"/>
      <c r="B1603" s="944"/>
      <c r="C1603" s="56"/>
      <c r="D1603" s="56"/>
      <c r="E1603" s="56"/>
      <c r="F1603" s="55"/>
      <c r="G1603" s="57">
        <f>SUM(F1598:F1603)</f>
        <v>94156.370500000005</v>
      </c>
    </row>
    <row r="1604" spans="1:7">
      <c r="A1604" s="1071" t="s">
        <v>10</v>
      </c>
      <c r="B1604" s="944"/>
      <c r="C1604" s="944"/>
      <c r="D1604" s="944"/>
      <c r="E1604" s="944"/>
      <c r="F1604" s="944"/>
      <c r="G1604" s="1072"/>
    </row>
    <row r="1605" spans="1:7">
      <c r="A1605" s="1074" t="s">
        <v>2</v>
      </c>
      <c r="B1605" s="944"/>
      <c r="C1605" s="53" t="s">
        <v>3</v>
      </c>
      <c r="D1605" s="53" t="s">
        <v>4</v>
      </c>
      <c r="E1605" s="53" t="s">
        <v>6</v>
      </c>
      <c r="F1605" s="53" t="s">
        <v>11</v>
      </c>
      <c r="G1605" s="1075" t="s">
        <v>8</v>
      </c>
    </row>
    <row r="1606" spans="1:7">
      <c r="A1606" s="947" t="s">
        <v>2652</v>
      </c>
      <c r="B1606" s="944"/>
      <c r="C1606" s="16" t="s">
        <v>39</v>
      </c>
      <c r="D1606" s="54">
        <v>0.8</v>
      </c>
      <c r="E1606" s="17">
        <f>SUBANÁLISIS!$G$31</f>
        <v>570669.8666666667</v>
      </c>
      <c r="F1606" s="55">
        <f>D1606*E1606</f>
        <v>456535.89333333337</v>
      </c>
      <c r="G1606" s="1072"/>
    </row>
    <row r="1607" spans="1:7">
      <c r="A1607" s="947" t="s">
        <v>2653</v>
      </c>
      <c r="B1607" s="944"/>
      <c r="C1607" s="51" t="s">
        <v>39</v>
      </c>
      <c r="D1607" s="54">
        <v>0.2</v>
      </c>
      <c r="E1607" s="17">
        <f>SUBANÁLISIS!$G$89</f>
        <v>431833.82500000001</v>
      </c>
      <c r="F1607" s="55">
        <f>D1607*E1607</f>
        <v>86366.765000000014</v>
      </c>
      <c r="G1607" s="1072"/>
    </row>
    <row r="1608" spans="1:7">
      <c r="A1608" s="947" t="s">
        <v>2638</v>
      </c>
      <c r="B1608" s="944"/>
      <c r="C1608" s="16" t="s">
        <v>998</v>
      </c>
      <c r="D1608" s="54">
        <v>1</v>
      </c>
      <c r="E1608" s="17">
        <f>'INSUMOS '!$E$503</f>
        <v>673236.9</v>
      </c>
      <c r="F1608" s="55">
        <f>D1608*E1608</f>
        <v>673236.9</v>
      </c>
      <c r="G1608" s="1072"/>
    </row>
    <row r="1609" spans="1:7">
      <c r="A1609" s="947"/>
      <c r="B1609" s="944"/>
      <c r="C1609" s="16"/>
      <c r="D1609" s="58"/>
      <c r="E1609" s="17"/>
      <c r="F1609" s="55"/>
      <c r="G1609" s="57">
        <f>SUM(F1605:F1609)</f>
        <v>1216139.5583333336</v>
      </c>
    </row>
    <row r="1610" spans="1:7">
      <c r="A1610" s="1071" t="s">
        <v>15</v>
      </c>
      <c r="B1610" s="944"/>
      <c r="C1610" s="944"/>
      <c r="D1610" s="944"/>
      <c r="E1610" s="944"/>
      <c r="F1610" s="944"/>
      <c r="G1610" s="1072"/>
    </row>
    <row r="1611" spans="1:7">
      <c r="A1611" s="1074" t="s">
        <v>2</v>
      </c>
      <c r="B1611" s="944"/>
      <c r="C1611" s="53" t="s">
        <v>3</v>
      </c>
      <c r="D1611" s="53" t="s">
        <v>4</v>
      </c>
      <c r="E1611" s="53" t="s">
        <v>6</v>
      </c>
      <c r="F1611" s="53" t="s">
        <v>11</v>
      </c>
      <c r="G1611" s="1075" t="s">
        <v>8</v>
      </c>
    </row>
    <row r="1612" spans="1:7">
      <c r="A1612" s="943" t="s">
        <v>173</v>
      </c>
      <c r="B1612" s="944"/>
      <c r="C1612" s="16" t="s">
        <v>3</v>
      </c>
      <c r="D1612" s="54">
        <v>3.5000000000000003E-2</v>
      </c>
      <c r="E1612" s="17">
        <f>+G1609</f>
        <v>1216139.5583333336</v>
      </c>
      <c r="F1612" s="55">
        <f>E1612*D1612</f>
        <v>42564.884541666681</v>
      </c>
      <c r="G1612" s="1072"/>
    </row>
    <row r="1613" spans="1:7">
      <c r="A1613" s="59"/>
      <c r="B1613" s="60"/>
      <c r="C1613" s="60"/>
      <c r="D1613" s="60"/>
      <c r="E1613" s="60"/>
      <c r="F1613" s="60"/>
      <c r="G1613" s="57">
        <f>SUM(F1612:F1613)</f>
        <v>42564.884541666681</v>
      </c>
    </row>
    <row r="1614" spans="1:7">
      <c r="A1614" s="1071" t="s">
        <v>19</v>
      </c>
      <c r="B1614" s="944"/>
      <c r="C1614" s="944"/>
      <c r="D1614" s="944"/>
      <c r="E1614" s="944"/>
      <c r="F1614" s="944"/>
      <c r="G1614" s="1072"/>
    </row>
    <row r="1615" spans="1:7">
      <c r="A1615" s="1074" t="s">
        <v>2</v>
      </c>
      <c r="B1615" s="944"/>
      <c r="C1615" s="53" t="s">
        <v>3</v>
      </c>
      <c r="D1615" s="53" t="s">
        <v>4</v>
      </c>
      <c r="E1615" s="53" t="s">
        <v>6</v>
      </c>
      <c r="F1615" s="53" t="s">
        <v>11</v>
      </c>
      <c r="G1615" s="456" t="s">
        <v>8</v>
      </c>
    </row>
    <row r="1616" spans="1:7">
      <c r="A1616" s="978" t="str">
        <f>SALARIOS!$A$62</f>
        <v>CUADRILLA AA ALBAÑILERÍA 1:2</v>
      </c>
      <c r="B1616" s="979"/>
      <c r="C1616" s="13" t="s">
        <v>1245</v>
      </c>
      <c r="D1616" s="32">
        <v>8</v>
      </c>
      <c r="E1616" s="13">
        <f>SALARIOS!$C$62</f>
        <v>34063</v>
      </c>
      <c r="F1616" s="55">
        <f>+D1616*E1616</f>
        <v>272504</v>
      </c>
      <c r="G1616" s="57">
        <f>SUM(F1615:F1616)</f>
        <v>272504</v>
      </c>
    </row>
    <row r="1617" spans="1:7">
      <c r="A1617" s="1076" t="s">
        <v>25</v>
      </c>
      <c r="B1617" s="944"/>
      <c r="C1617" s="944"/>
      <c r="D1617" s="944"/>
      <c r="E1617" s="944"/>
      <c r="F1617" s="944"/>
      <c r="G1617" s="1072"/>
    </row>
    <row r="1618" spans="1:7" ht="17.399999999999999">
      <c r="A1618" s="1077"/>
      <c r="B1618" s="944"/>
      <c r="C1618" s="944"/>
      <c r="D1618" s="944"/>
      <c r="E1618" s="944"/>
      <c r="F1618" s="944"/>
      <c r="G1618" s="62">
        <f>G1616+G1613+G1609+G1603</f>
        <v>1625364.8133750001</v>
      </c>
    </row>
    <row r="1620" spans="1:7">
      <c r="A1620" s="970" t="s">
        <v>1</v>
      </c>
      <c r="B1620" s="957"/>
      <c r="C1620" s="953" t="s">
        <v>0</v>
      </c>
      <c r="D1620" s="953"/>
      <c r="E1620" s="953"/>
      <c r="F1620" s="953"/>
      <c r="G1620" s="1103"/>
    </row>
    <row r="1621" spans="1:7" ht="47.25" customHeight="1">
      <c r="A1621" s="971"/>
      <c r="B1621" s="957"/>
      <c r="C1621" s="953"/>
      <c r="D1621" s="953"/>
      <c r="E1621" s="953"/>
      <c r="F1621" s="953"/>
      <c r="G1621" s="1103"/>
    </row>
    <row r="1622" spans="1:7" ht="17.399999999999999">
      <c r="A1622" s="971"/>
      <c r="B1622" s="957"/>
      <c r="C1622" s="956"/>
      <c r="D1622" s="957"/>
      <c r="E1622" s="957"/>
      <c r="F1622" s="957"/>
      <c r="G1622" s="958"/>
    </row>
    <row r="1623" spans="1:7">
      <c r="A1623" s="971"/>
      <c r="B1623" s="957"/>
      <c r="C1623" s="959" t="s">
        <v>2</v>
      </c>
      <c r="D1623" s="957"/>
      <c r="E1623" s="957"/>
      <c r="F1623" s="23" t="s">
        <v>3</v>
      </c>
      <c r="G1623" s="24" t="s">
        <v>4</v>
      </c>
    </row>
    <row r="1624" spans="1:7" ht="34.799999999999997">
      <c r="A1624" s="1089" t="s">
        <v>2147</v>
      </c>
      <c r="B1624" s="944"/>
      <c r="C1624" s="980" t="s">
        <v>2127</v>
      </c>
      <c r="D1624" s="944"/>
      <c r="E1624" s="944"/>
      <c r="F1624" s="51" t="s">
        <v>1620</v>
      </c>
      <c r="G1624" s="52">
        <v>51</v>
      </c>
    </row>
    <row r="1625" spans="1:7">
      <c r="A1625" s="1071" t="s">
        <v>5</v>
      </c>
      <c r="B1625" s="944"/>
      <c r="C1625" s="944"/>
      <c r="D1625" s="944"/>
      <c r="E1625" s="944"/>
      <c r="F1625" s="944"/>
      <c r="G1625" s="1072"/>
    </row>
    <row r="1626" spans="1:7">
      <c r="A1626" s="1074" t="s">
        <v>2</v>
      </c>
      <c r="B1626" s="944"/>
      <c r="C1626" s="53" t="s">
        <v>3</v>
      </c>
      <c r="D1626" s="53" t="s">
        <v>4</v>
      </c>
      <c r="E1626" s="53" t="s">
        <v>6</v>
      </c>
      <c r="F1626" s="53" t="s">
        <v>7</v>
      </c>
      <c r="G1626" s="1075" t="s">
        <v>8</v>
      </c>
    </row>
    <row r="1627" spans="1:7">
      <c r="A1627" s="947" t="s">
        <v>167</v>
      </c>
      <c r="B1627" s="980"/>
      <c r="C1627" s="51" t="s">
        <v>3</v>
      </c>
      <c r="D1627" s="54">
        <v>0.05</v>
      </c>
      <c r="E1627" s="17">
        <f>+G1644</f>
        <v>13670.5</v>
      </c>
      <c r="F1627" s="55">
        <f>D1627*E1627</f>
        <v>683.52500000000009</v>
      </c>
      <c r="G1627" s="1072"/>
    </row>
    <row r="1628" spans="1:7">
      <c r="A1628" s="947"/>
      <c r="B1628" s="944"/>
      <c r="C1628" s="51"/>
      <c r="D1628" s="54"/>
      <c r="E1628" s="17"/>
      <c r="F1628" s="55">
        <f>D1628*E1628</f>
        <v>0</v>
      </c>
      <c r="G1628" s="1072"/>
    </row>
    <row r="1629" spans="1:7">
      <c r="A1629" s="947"/>
      <c r="B1629" s="980"/>
      <c r="C1629" s="141"/>
      <c r="D1629" s="16"/>
      <c r="E1629" s="143"/>
      <c r="F1629" s="55">
        <f>D1629*E1629</f>
        <v>0</v>
      </c>
      <c r="G1629" s="1072"/>
    </row>
    <row r="1630" spans="1:7">
      <c r="A1630" s="947"/>
      <c r="B1630" s="944"/>
      <c r="C1630" s="51"/>
      <c r="D1630" s="54"/>
      <c r="E1630" s="17"/>
      <c r="F1630" s="55">
        <f>D1630*E1630</f>
        <v>0</v>
      </c>
      <c r="G1630" s="1072"/>
    </row>
    <row r="1631" spans="1:7">
      <c r="A1631" s="1079"/>
      <c r="B1631" s="944"/>
      <c r="C1631" s="56"/>
      <c r="D1631" s="56"/>
      <c r="E1631" s="56"/>
      <c r="F1631" s="55"/>
      <c r="G1631" s="57">
        <f>SUM(F1626:F1631)</f>
        <v>683.52500000000009</v>
      </c>
    </row>
    <row r="1632" spans="1:7">
      <c r="A1632" s="1071" t="s">
        <v>10</v>
      </c>
      <c r="B1632" s="944"/>
      <c r="C1632" s="944"/>
      <c r="D1632" s="944"/>
      <c r="E1632" s="944"/>
      <c r="F1632" s="944"/>
      <c r="G1632" s="1072"/>
    </row>
    <row r="1633" spans="1:7">
      <c r="A1633" s="1074" t="s">
        <v>2</v>
      </c>
      <c r="B1633" s="944"/>
      <c r="C1633" s="53" t="s">
        <v>3</v>
      </c>
      <c r="D1633" s="53" t="s">
        <v>4</v>
      </c>
      <c r="E1633" s="53" t="s">
        <v>6</v>
      </c>
      <c r="F1633" s="53" t="s">
        <v>11</v>
      </c>
      <c r="G1633" s="1075" t="s">
        <v>8</v>
      </c>
    </row>
    <row r="1634" spans="1:7">
      <c r="A1634" s="947" t="s">
        <v>2633</v>
      </c>
      <c r="B1634" s="944"/>
      <c r="C1634" s="16" t="s">
        <v>998</v>
      </c>
      <c r="D1634" s="54">
        <v>1</v>
      </c>
      <c r="E1634" s="17">
        <f>'INSUMOS '!$E$498</f>
        <v>27943.5</v>
      </c>
      <c r="F1634" s="55">
        <f>D1634*E1634</f>
        <v>27943.5</v>
      </c>
      <c r="G1634" s="1072"/>
    </row>
    <row r="1635" spans="1:7">
      <c r="A1635" s="947"/>
      <c r="B1635" s="944"/>
      <c r="C1635" s="51"/>
      <c r="D1635" s="54"/>
      <c r="E1635" s="17"/>
      <c r="F1635" s="55">
        <f>D1635*E1635</f>
        <v>0</v>
      </c>
      <c r="G1635" s="1072"/>
    </row>
    <row r="1636" spans="1:7">
      <c r="A1636" s="947"/>
      <c r="B1636" s="944"/>
      <c r="C1636" s="16"/>
      <c r="D1636" s="54"/>
      <c r="E1636" s="17"/>
      <c r="F1636" s="55">
        <f>D1636*E1636</f>
        <v>0</v>
      </c>
      <c r="G1636" s="1072"/>
    </row>
    <row r="1637" spans="1:7">
      <c r="A1637" s="947"/>
      <c r="B1637" s="944"/>
      <c r="C1637" s="16"/>
      <c r="D1637" s="58"/>
      <c r="E1637" s="17"/>
      <c r="F1637" s="55"/>
      <c r="G1637" s="57">
        <f>SUM(F1633:F1637)</f>
        <v>27943.5</v>
      </c>
    </row>
    <row r="1638" spans="1:7">
      <c r="A1638" s="1071" t="s">
        <v>15</v>
      </c>
      <c r="B1638" s="944"/>
      <c r="C1638" s="944"/>
      <c r="D1638" s="944"/>
      <c r="E1638" s="944"/>
      <c r="F1638" s="944"/>
      <c r="G1638" s="1072"/>
    </row>
    <row r="1639" spans="1:7">
      <c r="A1639" s="1074" t="s">
        <v>2</v>
      </c>
      <c r="B1639" s="944"/>
      <c r="C1639" s="53" t="s">
        <v>3</v>
      </c>
      <c r="D1639" s="53" t="s">
        <v>4</v>
      </c>
      <c r="E1639" s="53" t="s">
        <v>6</v>
      </c>
      <c r="F1639" s="53" t="s">
        <v>11</v>
      </c>
      <c r="G1639" s="1075" t="s">
        <v>8</v>
      </c>
    </row>
    <row r="1640" spans="1:7">
      <c r="A1640" s="943" t="s">
        <v>173</v>
      </c>
      <c r="B1640" s="944"/>
      <c r="C1640" s="16" t="s">
        <v>3</v>
      </c>
      <c r="D1640" s="54">
        <v>3.5000000000000003E-2</v>
      </c>
      <c r="E1640" s="17">
        <f>+G1637</f>
        <v>27943.5</v>
      </c>
      <c r="F1640" s="55">
        <f>E1640*D1640</f>
        <v>978.02250000000004</v>
      </c>
      <c r="G1640" s="1072"/>
    </row>
    <row r="1641" spans="1:7">
      <c r="A1641" s="59"/>
      <c r="B1641" s="60"/>
      <c r="C1641" s="60"/>
      <c r="D1641" s="60"/>
      <c r="E1641" s="60"/>
      <c r="F1641" s="60"/>
      <c r="G1641" s="57">
        <f>SUM(F1640:F1641)</f>
        <v>978.02250000000004</v>
      </c>
    </row>
    <row r="1642" spans="1:7">
      <c r="A1642" s="1071" t="s">
        <v>19</v>
      </c>
      <c r="B1642" s="944"/>
      <c r="C1642" s="944"/>
      <c r="D1642" s="944"/>
      <c r="E1642" s="944"/>
      <c r="F1642" s="944"/>
      <c r="G1642" s="1072"/>
    </row>
    <row r="1643" spans="1:7">
      <c r="A1643" s="1074" t="s">
        <v>2</v>
      </c>
      <c r="B1643" s="944"/>
      <c r="C1643" s="53" t="s">
        <v>3</v>
      </c>
      <c r="D1643" s="53" t="s">
        <v>4</v>
      </c>
      <c r="E1643" s="53" t="s">
        <v>6</v>
      </c>
      <c r="F1643" s="53" t="s">
        <v>11</v>
      </c>
      <c r="G1643" s="456" t="s">
        <v>8</v>
      </c>
    </row>
    <row r="1644" spans="1:7">
      <c r="A1644" s="978" t="str">
        <f>SALARIOS!$A$69</f>
        <v>CUADRILLA BB INSTALACIONES 1:1</v>
      </c>
      <c r="B1644" s="979"/>
      <c r="C1644" s="13" t="s">
        <v>1245</v>
      </c>
      <c r="D1644" s="32">
        <v>0.5</v>
      </c>
      <c r="E1644" s="13">
        <f>SALARIOS!$C$69</f>
        <v>27341</v>
      </c>
      <c r="F1644" s="55">
        <f>+D1644*E1644</f>
        <v>13670.5</v>
      </c>
      <c r="G1644" s="57">
        <f>SUM(F1643:F1644)</f>
        <v>13670.5</v>
      </c>
    </row>
    <row r="1645" spans="1:7">
      <c r="A1645" s="1076" t="s">
        <v>25</v>
      </c>
      <c r="B1645" s="944"/>
      <c r="C1645" s="944"/>
      <c r="D1645" s="944"/>
      <c r="E1645" s="944"/>
      <c r="F1645" s="944"/>
      <c r="G1645" s="1072"/>
    </row>
    <row r="1646" spans="1:7" ht="17.399999999999999">
      <c r="A1646" s="1077"/>
      <c r="B1646" s="944"/>
      <c r="C1646" s="944"/>
      <c r="D1646" s="944"/>
      <c r="E1646" s="944"/>
      <c r="F1646" s="944"/>
      <c r="G1646" s="62">
        <f>G1644+G1641+G1637+G1631</f>
        <v>43275.547500000001</v>
      </c>
    </row>
    <row r="1648" spans="1:7">
      <c r="A1648" s="970" t="s">
        <v>1</v>
      </c>
      <c r="B1648" s="957"/>
      <c r="C1648" s="953" t="s">
        <v>0</v>
      </c>
      <c r="D1648" s="953"/>
      <c r="E1648" s="953"/>
      <c r="F1648" s="953"/>
      <c r="G1648" s="1103"/>
    </row>
    <row r="1649" spans="1:7" ht="46.5" customHeight="1">
      <c r="A1649" s="971"/>
      <c r="B1649" s="957"/>
      <c r="C1649" s="953"/>
      <c r="D1649" s="953"/>
      <c r="E1649" s="953"/>
      <c r="F1649" s="953"/>
      <c r="G1649" s="1103"/>
    </row>
    <row r="1650" spans="1:7" ht="17.399999999999999">
      <c r="A1650" s="971"/>
      <c r="B1650" s="957"/>
      <c r="C1650" s="956"/>
      <c r="D1650" s="957"/>
      <c r="E1650" s="957"/>
      <c r="F1650" s="957"/>
      <c r="G1650" s="958"/>
    </row>
    <row r="1651" spans="1:7">
      <c r="A1651" s="971"/>
      <c r="B1651" s="957"/>
      <c r="C1651" s="959" t="s">
        <v>2</v>
      </c>
      <c r="D1651" s="957"/>
      <c r="E1651" s="957"/>
      <c r="F1651" s="23" t="s">
        <v>3</v>
      </c>
      <c r="G1651" s="24" t="s">
        <v>4</v>
      </c>
    </row>
    <row r="1652" spans="1:7" ht="34.799999999999997">
      <c r="A1652" s="1089" t="s">
        <v>2148</v>
      </c>
      <c r="B1652" s="944"/>
      <c r="C1652" s="980" t="s">
        <v>2149</v>
      </c>
      <c r="D1652" s="944"/>
      <c r="E1652" s="944"/>
      <c r="F1652" s="51" t="s">
        <v>1620</v>
      </c>
      <c r="G1652" s="52">
        <v>15</v>
      </c>
    </row>
    <row r="1653" spans="1:7">
      <c r="A1653" s="1071" t="s">
        <v>5</v>
      </c>
      <c r="B1653" s="944"/>
      <c r="C1653" s="944"/>
      <c r="D1653" s="944"/>
      <c r="E1653" s="944"/>
      <c r="F1653" s="944"/>
      <c r="G1653" s="1072"/>
    </row>
    <row r="1654" spans="1:7">
      <c r="A1654" s="1074" t="s">
        <v>2</v>
      </c>
      <c r="B1654" s="944"/>
      <c r="C1654" s="53" t="s">
        <v>3</v>
      </c>
      <c r="D1654" s="53" t="s">
        <v>4</v>
      </c>
      <c r="E1654" s="53" t="s">
        <v>6</v>
      </c>
      <c r="F1654" s="53" t="s">
        <v>7</v>
      </c>
      <c r="G1654" s="1075" t="s">
        <v>8</v>
      </c>
    </row>
    <row r="1655" spans="1:7">
      <c r="A1655" s="947" t="s">
        <v>167</v>
      </c>
      <c r="B1655" s="980"/>
      <c r="C1655" s="51" t="s">
        <v>3</v>
      </c>
      <c r="D1655" s="54">
        <v>0.05</v>
      </c>
      <c r="E1655" s="17">
        <f>+G1672</f>
        <v>68126</v>
      </c>
      <c r="F1655" s="55">
        <f>D1655*E1655</f>
        <v>3406.3</v>
      </c>
      <c r="G1655" s="1072"/>
    </row>
    <row r="1656" spans="1:7">
      <c r="A1656" s="947" t="str">
        <f>'MAQUINARIA Y EQUIPOS'!D19</f>
        <v>Vibrador Eléctrico (Alquiler)</v>
      </c>
      <c r="B1656" s="944"/>
      <c r="C1656" s="51" t="s">
        <v>60</v>
      </c>
      <c r="D1656" s="54">
        <v>0.2</v>
      </c>
      <c r="E1656" s="17">
        <f>'MAQUINARIA Y EQUIPOS'!F19</f>
        <v>45763.829999999994</v>
      </c>
      <c r="F1656" s="55">
        <f>D1656*E1656</f>
        <v>9152.7659999999996</v>
      </c>
      <c r="G1656" s="1072"/>
    </row>
    <row r="1657" spans="1:7">
      <c r="A1657" s="947"/>
      <c r="B1657" s="980"/>
      <c r="C1657" s="141"/>
      <c r="D1657" s="16"/>
      <c r="E1657" s="143"/>
      <c r="F1657" s="55">
        <f>D1657*E1657</f>
        <v>0</v>
      </c>
      <c r="G1657" s="1072"/>
    </row>
    <row r="1658" spans="1:7">
      <c r="A1658" s="947"/>
      <c r="B1658" s="944"/>
      <c r="C1658" s="51"/>
      <c r="D1658" s="54"/>
      <c r="E1658" s="17"/>
      <c r="F1658" s="55">
        <f>D1658*E1658</f>
        <v>0</v>
      </c>
      <c r="G1658" s="1072"/>
    </row>
    <row r="1659" spans="1:7">
      <c r="A1659" s="1079"/>
      <c r="B1659" s="944"/>
      <c r="C1659" s="56"/>
      <c r="D1659" s="56"/>
      <c r="E1659" s="56"/>
      <c r="F1659" s="55"/>
      <c r="G1659" s="57">
        <f>SUM(F1654:F1659)</f>
        <v>12559.065999999999</v>
      </c>
    </row>
    <row r="1660" spans="1:7">
      <c r="A1660" s="1071" t="s">
        <v>10</v>
      </c>
      <c r="B1660" s="944"/>
      <c r="C1660" s="944"/>
      <c r="D1660" s="944"/>
      <c r="E1660" s="944"/>
      <c r="F1660" s="944"/>
      <c r="G1660" s="1072"/>
    </row>
    <row r="1661" spans="1:7">
      <c r="A1661" s="1074" t="s">
        <v>2</v>
      </c>
      <c r="B1661" s="944"/>
      <c r="C1661" s="53" t="s">
        <v>3</v>
      </c>
      <c r="D1661" s="53" t="s">
        <v>4</v>
      </c>
      <c r="E1661" s="53" t="s">
        <v>6</v>
      </c>
      <c r="F1661" s="53" t="s">
        <v>11</v>
      </c>
      <c r="G1661" s="1075" t="s">
        <v>8</v>
      </c>
    </row>
    <row r="1662" spans="1:7">
      <c r="A1662" s="947" t="s">
        <v>2652</v>
      </c>
      <c r="B1662" s="944"/>
      <c r="C1662" s="16" t="s">
        <v>39</v>
      </c>
      <c r="D1662" s="54">
        <v>0.6</v>
      </c>
      <c r="E1662" s="17">
        <f>SUBANÁLISIS!G31</f>
        <v>570669.8666666667</v>
      </c>
      <c r="F1662" s="55">
        <f>D1662*E1662</f>
        <v>342401.92</v>
      </c>
      <c r="G1662" s="1072"/>
    </row>
    <row r="1663" spans="1:7">
      <c r="A1663" s="947" t="s">
        <v>2639</v>
      </c>
      <c r="B1663" s="944"/>
      <c r="C1663" s="51" t="s">
        <v>998</v>
      </c>
      <c r="D1663" s="54">
        <v>1</v>
      </c>
      <c r="E1663" s="17">
        <f>'INSUMOS '!E504</f>
        <v>380855</v>
      </c>
      <c r="F1663" s="55">
        <f>D1663*E1663</f>
        <v>380855</v>
      </c>
      <c r="G1663" s="1072"/>
    </row>
    <row r="1664" spans="1:7">
      <c r="A1664" s="947"/>
      <c r="B1664" s="944"/>
      <c r="C1664" s="16"/>
      <c r="D1664" s="54"/>
      <c r="E1664" s="17"/>
      <c r="F1664" s="55">
        <f>D1664*E1664</f>
        <v>0</v>
      </c>
      <c r="G1664" s="1072"/>
    </row>
    <row r="1665" spans="1:7">
      <c r="A1665" s="947"/>
      <c r="B1665" s="944"/>
      <c r="C1665" s="16"/>
      <c r="D1665" s="58"/>
      <c r="E1665" s="17"/>
      <c r="F1665" s="55"/>
      <c r="G1665" s="57">
        <f>SUM(F1661:F1665)</f>
        <v>723256.91999999993</v>
      </c>
    </row>
    <row r="1666" spans="1:7">
      <c r="A1666" s="1071" t="s">
        <v>15</v>
      </c>
      <c r="B1666" s="944"/>
      <c r="C1666" s="944"/>
      <c r="D1666" s="944"/>
      <c r="E1666" s="944"/>
      <c r="F1666" s="944"/>
      <c r="G1666" s="1072"/>
    </row>
    <row r="1667" spans="1:7">
      <c r="A1667" s="1074" t="s">
        <v>2</v>
      </c>
      <c r="B1667" s="944"/>
      <c r="C1667" s="53" t="s">
        <v>3</v>
      </c>
      <c r="D1667" s="53" t="s">
        <v>4</v>
      </c>
      <c r="E1667" s="53" t="s">
        <v>6</v>
      </c>
      <c r="F1667" s="53" t="s">
        <v>11</v>
      </c>
      <c r="G1667" s="1075" t="s">
        <v>8</v>
      </c>
    </row>
    <row r="1668" spans="1:7">
      <c r="A1668" s="943" t="s">
        <v>173</v>
      </c>
      <c r="B1668" s="944"/>
      <c r="C1668" s="16" t="s">
        <v>3</v>
      </c>
      <c r="D1668" s="54">
        <v>3.5000000000000003E-2</v>
      </c>
      <c r="E1668" s="17">
        <f>+G1665</f>
        <v>723256.91999999993</v>
      </c>
      <c r="F1668" s="55">
        <f>E1668*D1668</f>
        <v>25313.992200000001</v>
      </c>
      <c r="G1668" s="1072"/>
    </row>
    <row r="1669" spans="1:7">
      <c r="A1669" s="59"/>
      <c r="B1669" s="60"/>
      <c r="C1669" s="60"/>
      <c r="D1669" s="60"/>
      <c r="E1669" s="60"/>
      <c r="F1669" s="60"/>
      <c r="G1669" s="57">
        <f>SUM(F1668:F1669)</f>
        <v>25313.992200000001</v>
      </c>
    </row>
    <row r="1670" spans="1:7">
      <c r="A1670" s="1071" t="s">
        <v>19</v>
      </c>
      <c r="B1670" s="944"/>
      <c r="C1670" s="944"/>
      <c r="D1670" s="944"/>
      <c r="E1670" s="944"/>
      <c r="F1670" s="944"/>
      <c r="G1670" s="1072"/>
    </row>
    <row r="1671" spans="1:7">
      <c r="A1671" s="1074" t="s">
        <v>2</v>
      </c>
      <c r="B1671" s="944"/>
      <c r="C1671" s="53" t="s">
        <v>3</v>
      </c>
      <c r="D1671" s="53" t="s">
        <v>4</v>
      </c>
      <c r="E1671" s="53" t="s">
        <v>6</v>
      </c>
      <c r="F1671" s="53" t="s">
        <v>11</v>
      </c>
      <c r="G1671" s="456" t="s">
        <v>8</v>
      </c>
    </row>
    <row r="1672" spans="1:7">
      <c r="A1672" s="978" t="str">
        <f>SALARIOS!$A$62</f>
        <v>CUADRILLA AA ALBAÑILERÍA 1:2</v>
      </c>
      <c r="B1672" s="979"/>
      <c r="C1672" s="13" t="s">
        <v>1245</v>
      </c>
      <c r="D1672" s="32">
        <v>2</v>
      </c>
      <c r="E1672" s="13">
        <f>SALARIOS!$C$62</f>
        <v>34063</v>
      </c>
      <c r="F1672" s="55">
        <f>+D1672*E1672</f>
        <v>68126</v>
      </c>
      <c r="G1672" s="57">
        <f>SUM(F1671:F1672)</f>
        <v>68126</v>
      </c>
    </row>
    <row r="1673" spans="1:7">
      <c r="A1673" s="1076" t="s">
        <v>25</v>
      </c>
      <c r="B1673" s="944"/>
      <c r="C1673" s="944"/>
      <c r="D1673" s="944"/>
      <c r="E1673" s="944"/>
      <c r="F1673" s="944"/>
      <c r="G1673" s="1072"/>
    </row>
    <row r="1674" spans="1:7" ht="17.399999999999999">
      <c r="A1674" s="1077"/>
      <c r="B1674" s="944"/>
      <c r="C1674" s="944"/>
      <c r="D1674" s="944"/>
      <c r="E1674" s="944"/>
      <c r="F1674" s="944"/>
      <c r="G1674" s="62">
        <f>G1672+G1669+G1665+G1659</f>
        <v>829255.9781999999</v>
      </c>
    </row>
    <row r="1676" spans="1:7">
      <c r="A1676" s="970" t="s">
        <v>1</v>
      </c>
      <c r="B1676" s="957"/>
      <c r="C1676" s="953" t="s">
        <v>0</v>
      </c>
      <c r="D1676" s="953"/>
      <c r="E1676" s="953"/>
      <c r="F1676" s="953"/>
      <c r="G1676" s="1103"/>
    </row>
    <row r="1677" spans="1:7" ht="51" customHeight="1">
      <c r="A1677" s="971"/>
      <c r="B1677" s="957"/>
      <c r="C1677" s="953"/>
      <c r="D1677" s="953"/>
      <c r="E1677" s="953"/>
      <c r="F1677" s="953"/>
      <c r="G1677" s="1103"/>
    </row>
    <row r="1678" spans="1:7" ht="17.399999999999999">
      <c r="A1678" s="971"/>
      <c r="B1678" s="957"/>
      <c r="C1678" s="956"/>
      <c r="D1678" s="957"/>
      <c r="E1678" s="957"/>
      <c r="F1678" s="957"/>
      <c r="G1678" s="958"/>
    </row>
    <row r="1679" spans="1:7">
      <c r="A1679" s="971"/>
      <c r="B1679" s="957"/>
      <c r="C1679" s="959" t="s">
        <v>2</v>
      </c>
      <c r="D1679" s="957"/>
      <c r="E1679" s="957"/>
      <c r="F1679" s="23" t="s">
        <v>3</v>
      </c>
      <c r="G1679" s="24" t="s">
        <v>4</v>
      </c>
    </row>
    <row r="1680" spans="1:7" ht="48.75" customHeight="1">
      <c r="A1680" s="1089" t="s">
        <v>2150</v>
      </c>
      <c r="B1680" s="944"/>
      <c r="C1680" s="980" t="s">
        <v>2151</v>
      </c>
      <c r="D1680" s="944"/>
      <c r="E1680" s="944"/>
      <c r="F1680" s="51" t="s">
        <v>100</v>
      </c>
      <c r="G1680" s="52">
        <v>142</v>
      </c>
    </row>
    <row r="1681" spans="1:7">
      <c r="A1681" s="1071" t="s">
        <v>5</v>
      </c>
      <c r="B1681" s="944"/>
      <c r="C1681" s="944"/>
      <c r="D1681" s="944"/>
      <c r="E1681" s="944"/>
      <c r="F1681" s="944"/>
      <c r="G1681" s="1072"/>
    </row>
    <row r="1682" spans="1:7">
      <c r="A1682" s="1074" t="s">
        <v>2</v>
      </c>
      <c r="B1682" s="944"/>
      <c r="C1682" s="53" t="s">
        <v>3</v>
      </c>
      <c r="D1682" s="53" t="s">
        <v>4</v>
      </c>
      <c r="E1682" s="53" t="s">
        <v>6</v>
      </c>
      <c r="F1682" s="53" t="s">
        <v>7</v>
      </c>
      <c r="G1682" s="1075" t="s">
        <v>8</v>
      </c>
    </row>
    <row r="1683" spans="1:7">
      <c r="A1683" s="947" t="s">
        <v>167</v>
      </c>
      <c r="B1683" s="980"/>
      <c r="C1683" s="51" t="s">
        <v>3</v>
      </c>
      <c r="D1683" s="54">
        <v>0.05</v>
      </c>
      <c r="E1683" s="17">
        <f>+G1700</f>
        <v>27250.400000000001</v>
      </c>
      <c r="F1683" s="55">
        <f>D1683*E1683</f>
        <v>1362.5200000000002</v>
      </c>
      <c r="G1683" s="1072"/>
    </row>
    <row r="1684" spans="1:7">
      <c r="A1684" s="947"/>
      <c r="B1684" s="944"/>
      <c r="C1684" s="51"/>
      <c r="D1684" s="54"/>
      <c r="E1684" s="17"/>
      <c r="F1684" s="55">
        <f>D1684*E1684</f>
        <v>0</v>
      </c>
      <c r="G1684" s="1072"/>
    </row>
    <row r="1685" spans="1:7">
      <c r="A1685" s="947"/>
      <c r="B1685" s="980"/>
      <c r="C1685" s="141"/>
      <c r="D1685" s="16"/>
      <c r="E1685" s="143"/>
      <c r="F1685" s="55">
        <f>D1685*E1685</f>
        <v>0</v>
      </c>
      <c r="G1685" s="1072"/>
    </row>
    <row r="1686" spans="1:7">
      <c r="A1686" s="947"/>
      <c r="B1686" s="944"/>
      <c r="C1686" s="51"/>
      <c r="D1686" s="54"/>
      <c r="E1686" s="17"/>
      <c r="F1686" s="55">
        <f>D1686*E1686</f>
        <v>0</v>
      </c>
      <c r="G1686" s="1072"/>
    </row>
    <row r="1687" spans="1:7">
      <c r="A1687" s="1079"/>
      <c r="B1687" s="944"/>
      <c r="C1687" s="56"/>
      <c r="D1687" s="56"/>
      <c r="E1687" s="56"/>
      <c r="F1687" s="55"/>
      <c r="G1687" s="57">
        <f>SUM(F1682:F1687)</f>
        <v>1362.5200000000002</v>
      </c>
    </row>
    <row r="1688" spans="1:7">
      <c r="A1688" s="1071" t="s">
        <v>10</v>
      </c>
      <c r="B1688" s="944"/>
      <c r="C1688" s="944"/>
      <c r="D1688" s="944"/>
      <c r="E1688" s="944"/>
      <c r="F1688" s="944"/>
      <c r="G1688" s="1072"/>
    </row>
    <row r="1689" spans="1:7">
      <c r="A1689" s="1074" t="s">
        <v>2</v>
      </c>
      <c r="B1689" s="944"/>
      <c r="C1689" s="53" t="s">
        <v>3</v>
      </c>
      <c r="D1689" s="53" t="s">
        <v>4</v>
      </c>
      <c r="E1689" s="53" t="s">
        <v>6</v>
      </c>
      <c r="F1689" s="53" t="s">
        <v>11</v>
      </c>
      <c r="G1689" s="1075" t="s">
        <v>8</v>
      </c>
    </row>
    <row r="1690" spans="1:7">
      <c r="A1690" s="947" t="s">
        <v>2640</v>
      </c>
      <c r="B1690" s="944"/>
      <c r="C1690" s="16" t="s">
        <v>45</v>
      </c>
      <c r="D1690" s="54">
        <v>1</v>
      </c>
      <c r="E1690" s="17">
        <f>'INSUMOS '!E505</f>
        <v>53807.5</v>
      </c>
      <c r="F1690" s="55">
        <f>D1690*E1690</f>
        <v>53807.5</v>
      </c>
      <c r="G1690" s="1072"/>
    </row>
    <row r="1691" spans="1:7">
      <c r="A1691" s="947"/>
      <c r="B1691" s="944"/>
      <c r="C1691" s="51"/>
      <c r="D1691" s="54"/>
      <c r="E1691" s="17"/>
      <c r="F1691" s="55">
        <f>D1691*E1691</f>
        <v>0</v>
      </c>
      <c r="G1691" s="1072"/>
    </row>
    <row r="1692" spans="1:7">
      <c r="A1692" s="947"/>
      <c r="B1692" s="944"/>
      <c r="C1692" s="16"/>
      <c r="D1692" s="54"/>
      <c r="E1692" s="17"/>
      <c r="F1692" s="55">
        <f>D1692*E1692</f>
        <v>0</v>
      </c>
      <c r="G1692" s="1072"/>
    </row>
    <row r="1693" spans="1:7">
      <c r="A1693" s="947"/>
      <c r="B1693" s="944"/>
      <c r="C1693" s="16"/>
      <c r="D1693" s="58"/>
      <c r="E1693" s="17"/>
      <c r="F1693" s="55"/>
      <c r="G1693" s="57">
        <f>SUM(F1689:F1693)</f>
        <v>53807.5</v>
      </c>
    </row>
    <row r="1694" spans="1:7">
      <c r="A1694" s="1071" t="s">
        <v>15</v>
      </c>
      <c r="B1694" s="944"/>
      <c r="C1694" s="944"/>
      <c r="D1694" s="944"/>
      <c r="E1694" s="944"/>
      <c r="F1694" s="944"/>
      <c r="G1694" s="1072"/>
    </row>
    <row r="1695" spans="1:7">
      <c r="A1695" s="1074" t="s">
        <v>2</v>
      </c>
      <c r="B1695" s="944"/>
      <c r="C1695" s="53" t="s">
        <v>3</v>
      </c>
      <c r="D1695" s="53" t="s">
        <v>4</v>
      </c>
      <c r="E1695" s="53" t="s">
        <v>6</v>
      </c>
      <c r="F1695" s="53" t="s">
        <v>11</v>
      </c>
      <c r="G1695" s="1075" t="s">
        <v>8</v>
      </c>
    </row>
    <row r="1696" spans="1:7">
      <c r="A1696" s="943" t="s">
        <v>173</v>
      </c>
      <c r="B1696" s="944"/>
      <c r="C1696" s="16" t="s">
        <v>3</v>
      </c>
      <c r="D1696" s="54">
        <v>3.5000000000000003E-2</v>
      </c>
      <c r="E1696" s="17">
        <f>+G1693</f>
        <v>53807.5</v>
      </c>
      <c r="F1696" s="55">
        <f>E1696*D1696</f>
        <v>1883.2625000000003</v>
      </c>
      <c r="G1696" s="1072"/>
    </row>
    <row r="1697" spans="1:7">
      <c r="A1697" s="59"/>
      <c r="B1697" s="60"/>
      <c r="C1697" s="60"/>
      <c r="D1697" s="60"/>
      <c r="E1697" s="60"/>
      <c r="F1697" s="60"/>
      <c r="G1697" s="57">
        <f>SUM(F1696:F1697)</f>
        <v>1883.2625000000003</v>
      </c>
    </row>
    <row r="1698" spans="1:7">
      <c r="A1698" s="1071" t="s">
        <v>19</v>
      </c>
      <c r="B1698" s="944"/>
      <c r="C1698" s="944"/>
      <c r="D1698" s="944"/>
      <c r="E1698" s="944"/>
      <c r="F1698" s="944"/>
      <c r="G1698" s="1072"/>
    </row>
    <row r="1699" spans="1:7">
      <c r="A1699" s="1074" t="s">
        <v>2</v>
      </c>
      <c r="B1699" s="944"/>
      <c r="C1699" s="53" t="s">
        <v>3</v>
      </c>
      <c r="D1699" s="53" t="s">
        <v>4</v>
      </c>
      <c r="E1699" s="53" t="s">
        <v>6</v>
      </c>
      <c r="F1699" s="53" t="s">
        <v>11</v>
      </c>
      <c r="G1699" s="456" t="s">
        <v>8</v>
      </c>
    </row>
    <row r="1700" spans="1:7">
      <c r="A1700" s="978" t="str">
        <f>SALARIOS!$A$62</f>
        <v>CUADRILLA AA ALBAÑILERÍA 1:2</v>
      </c>
      <c r="B1700" s="979"/>
      <c r="C1700" s="13" t="s">
        <v>1245</v>
      </c>
      <c r="D1700" s="32">
        <v>0.8</v>
      </c>
      <c r="E1700" s="13">
        <f>SALARIOS!$C$62</f>
        <v>34063</v>
      </c>
      <c r="F1700" s="55">
        <f>+D1700*E1700</f>
        <v>27250.400000000001</v>
      </c>
      <c r="G1700" s="57">
        <f>SUM(F1699:F1700)</f>
        <v>27250.400000000001</v>
      </c>
    </row>
    <row r="1701" spans="1:7">
      <c r="A1701" s="1076" t="s">
        <v>25</v>
      </c>
      <c r="B1701" s="944"/>
      <c r="C1701" s="944"/>
      <c r="D1701" s="944"/>
      <c r="E1701" s="944"/>
      <c r="F1701" s="944"/>
      <c r="G1701" s="1072"/>
    </row>
    <row r="1702" spans="1:7" ht="17.399999999999999">
      <c r="A1702" s="1077"/>
      <c r="B1702" s="944"/>
      <c r="C1702" s="944"/>
      <c r="D1702" s="944"/>
      <c r="E1702" s="944"/>
      <c r="F1702" s="944"/>
      <c r="G1702" s="62">
        <f>G1700+G1697+G1693+G1687</f>
        <v>84303.68250000001</v>
      </c>
    </row>
    <row r="1704" spans="1:7">
      <c r="A1704" s="970" t="s">
        <v>1</v>
      </c>
      <c r="B1704" s="957"/>
      <c r="C1704" s="953" t="s">
        <v>0</v>
      </c>
      <c r="D1704" s="953"/>
      <c r="E1704" s="953"/>
      <c r="F1704" s="953"/>
      <c r="G1704" s="1103"/>
    </row>
    <row r="1705" spans="1:7" ht="47.25" customHeight="1">
      <c r="A1705" s="971"/>
      <c r="B1705" s="957"/>
      <c r="C1705" s="953"/>
      <c r="D1705" s="953"/>
      <c r="E1705" s="953"/>
      <c r="F1705" s="953"/>
      <c r="G1705" s="1103"/>
    </row>
    <row r="1706" spans="1:7" ht="17.399999999999999">
      <c r="A1706" s="971"/>
      <c r="B1706" s="957"/>
      <c r="C1706" s="956"/>
      <c r="D1706" s="957"/>
      <c r="E1706" s="957"/>
      <c r="F1706" s="957"/>
      <c r="G1706" s="958"/>
    </row>
    <row r="1707" spans="1:7">
      <c r="A1707" s="971"/>
      <c r="B1707" s="957"/>
      <c r="C1707" s="959" t="s">
        <v>2</v>
      </c>
      <c r="D1707" s="957"/>
      <c r="E1707" s="957"/>
      <c r="F1707" s="23" t="s">
        <v>3</v>
      </c>
      <c r="G1707" s="24" t="s">
        <v>4</v>
      </c>
    </row>
    <row r="1708" spans="1:7" ht="34.799999999999997">
      <c r="A1708" s="1089" t="s">
        <v>2152</v>
      </c>
      <c r="B1708" s="944"/>
      <c r="C1708" s="980" t="s">
        <v>2153</v>
      </c>
      <c r="D1708" s="944"/>
      <c r="E1708" s="944"/>
      <c r="F1708" s="51" t="s">
        <v>100</v>
      </c>
      <c r="G1708" s="52">
        <v>192</v>
      </c>
    </row>
    <row r="1709" spans="1:7">
      <c r="A1709" s="1071" t="s">
        <v>5</v>
      </c>
      <c r="B1709" s="944"/>
      <c r="C1709" s="944"/>
      <c r="D1709" s="944"/>
      <c r="E1709" s="944"/>
      <c r="F1709" s="944"/>
      <c r="G1709" s="1072"/>
    </row>
    <row r="1710" spans="1:7">
      <c r="A1710" s="1074" t="s">
        <v>2</v>
      </c>
      <c r="B1710" s="944"/>
      <c r="C1710" s="53" t="s">
        <v>3</v>
      </c>
      <c r="D1710" s="53" t="s">
        <v>4</v>
      </c>
      <c r="E1710" s="53" t="s">
        <v>6</v>
      </c>
      <c r="F1710" s="53" t="s">
        <v>7</v>
      </c>
      <c r="G1710" s="1075" t="s">
        <v>8</v>
      </c>
    </row>
    <row r="1711" spans="1:7">
      <c r="A1711" s="947" t="s">
        <v>167</v>
      </c>
      <c r="B1711" s="980"/>
      <c r="C1711" s="51" t="s">
        <v>3</v>
      </c>
      <c r="D1711" s="54">
        <v>0.05</v>
      </c>
      <c r="E1711" s="17">
        <f>+G1728</f>
        <v>27250.400000000001</v>
      </c>
      <c r="F1711" s="55">
        <f>D1711*E1711</f>
        <v>1362.5200000000002</v>
      </c>
      <c r="G1711" s="1072"/>
    </row>
    <row r="1712" spans="1:7">
      <c r="A1712" s="947"/>
      <c r="B1712" s="944"/>
      <c r="C1712" s="51"/>
      <c r="D1712" s="54"/>
      <c r="E1712" s="17"/>
      <c r="F1712" s="55">
        <f>D1712*E1712</f>
        <v>0</v>
      </c>
      <c r="G1712" s="1072"/>
    </row>
    <row r="1713" spans="1:7">
      <c r="A1713" s="947"/>
      <c r="B1713" s="980"/>
      <c r="C1713" s="141"/>
      <c r="D1713" s="16"/>
      <c r="E1713" s="143"/>
      <c r="F1713" s="55">
        <f>D1713*E1713</f>
        <v>0</v>
      </c>
      <c r="G1713" s="1072"/>
    </row>
    <row r="1714" spans="1:7">
      <c r="A1714" s="947"/>
      <c r="B1714" s="944"/>
      <c r="C1714" s="51"/>
      <c r="D1714" s="54"/>
      <c r="E1714" s="17"/>
      <c r="F1714" s="55">
        <f>D1714*E1714</f>
        <v>0</v>
      </c>
      <c r="G1714" s="1072"/>
    </row>
    <row r="1715" spans="1:7">
      <c r="A1715" s="1079"/>
      <c r="B1715" s="944"/>
      <c r="C1715" s="56"/>
      <c r="D1715" s="56"/>
      <c r="E1715" s="56"/>
      <c r="F1715" s="55"/>
      <c r="G1715" s="57">
        <f>SUM(F1710:F1715)</f>
        <v>1362.5200000000002</v>
      </c>
    </row>
    <row r="1716" spans="1:7">
      <c r="A1716" s="1071" t="s">
        <v>10</v>
      </c>
      <c r="B1716" s="944"/>
      <c r="C1716" s="944"/>
      <c r="D1716" s="944"/>
      <c r="E1716" s="944"/>
      <c r="F1716" s="944"/>
      <c r="G1716" s="1072"/>
    </row>
    <row r="1717" spans="1:7">
      <c r="A1717" s="1074" t="s">
        <v>2</v>
      </c>
      <c r="B1717" s="944"/>
      <c r="C1717" s="53" t="s">
        <v>3</v>
      </c>
      <c r="D1717" s="53" t="s">
        <v>4</v>
      </c>
      <c r="E1717" s="53" t="s">
        <v>6</v>
      </c>
      <c r="F1717" s="53" t="s">
        <v>11</v>
      </c>
      <c r="G1717" s="1075" t="s">
        <v>8</v>
      </c>
    </row>
    <row r="1718" spans="1:7">
      <c r="A1718" s="947" t="s">
        <v>2652</v>
      </c>
      <c r="B1718" s="944"/>
      <c r="C1718" s="16" t="s">
        <v>39</v>
      </c>
      <c r="D1718" s="54">
        <v>0.3</v>
      </c>
      <c r="E1718" s="17">
        <f>SUBANÁLISIS!G31</f>
        <v>570669.8666666667</v>
      </c>
      <c r="F1718" s="55">
        <f>D1718*E1718</f>
        <v>171200.96</v>
      </c>
      <c r="G1718" s="1072"/>
    </row>
    <row r="1719" spans="1:7">
      <c r="A1719" s="947"/>
      <c r="B1719" s="944"/>
      <c r="C1719" s="51"/>
      <c r="D1719" s="54"/>
      <c r="E1719" s="17"/>
      <c r="F1719" s="55">
        <f>D1719*E1719</f>
        <v>0</v>
      </c>
      <c r="G1719" s="1072"/>
    </row>
    <row r="1720" spans="1:7">
      <c r="A1720" s="947"/>
      <c r="B1720" s="944"/>
      <c r="C1720" s="16"/>
      <c r="D1720" s="54"/>
      <c r="E1720" s="17"/>
      <c r="F1720" s="55">
        <f>D1720*E1720</f>
        <v>0</v>
      </c>
      <c r="G1720" s="1072"/>
    </row>
    <row r="1721" spans="1:7">
      <c r="A1721" s="947"/>
      <c r="B1721" s="944"/>
      <c r="C1721" s="16"/>
      <c r="D1721" s="58"/>
      <c r="E1721" s="17"/>
      <c r="F1721" s="55"/>
      <c r="G1721" s="57">
        <f>SUM(F1717:F1721)</f>
        <v>171200.96</v>
      </c>
    </row>
    <row r="1722" spans="1:7">
      <c r="A1722" s="1071" t="s">
        <v>15</v>
      </c>
      <c r="B1722" s="944"/>
      <c r="C1722" s="944"/>
      <c r="D1722" s="944"/>
      <c r="E1722" s="944"/>
      <c r="F1722" s="944"/>
      <c r="G1722" s="1072"/>
    </row>
    <row r="1723" spans="1:7">
      <c r="A1723" s="1074" t="s">
        <v>2</v>
      </c>
      <c r="B1723" s="944"/>
      <c r="C1723" s="53" t="s">
        <v>3</v>
      </c>
      <c r="D1723" s="53" t="s">
        <v>4</v>
      </c>
      <c r="E1723" s="53" t="s">
        <v>6</v>
      </c>
      <c r="F1723" s="53" t="s">
        <v>11</v>
      </c>
      <c r="G1723" s="1075" t="s">
        <v>8</v>
      </c>
    </row>
    <row r="1724" spans="1:7">
      <c r="A1724" s="943" t="s">
        <v>173</v>
      </c>
      <c r="B1724" s="944"/>
      <c r="C1724" s="16" t="s">
        <v>3</v>
      </c>
      <c r="D1724" s="54">
        <v>3.5000000000000003E-2</v>
      </c>
      <c r="E1724" s="17">
        <f>+G1721</f>
        <v>171200.96</v>
      </c>
      <c r="F1724" s="55">
        <f>E1724*D1724</f>
        <v>5992.0336000000007</v>
      </c>
      <c r="G1724" s="1072"/>
    </row>
    <row r="1725" spans="1:7">
      <c r="A1725" s="59"/>
      <c r="B1725" s="60"/>
      <c r="C1725" s="60"/>
      <c r="D1725" s="60"/>
      <c r="E1725" s="60"/>
      <c r="F1725" s="60"/>
      <c r="G1725" s="57">
        <f>SUM(F1724:F1725)</f>
        <v>5992.0336000000007</v>
      </c>
    </row>
    <row r="1726" spans="1:7">
      <c r="A1726" s="1071" t="s">
        <v>19</v>
      </c>
      <c r="B1726" s="944"/>
      <c r="C1726" s="944"/>
      <c r="D1726" s="944"/>
      <c r="E1726" s="944"/>
      <c r="F1726" s="944"/>
      <c r="G1726" s="1072"/>
    </row>
    <row r="1727" spans="1:7">
      <c r="A1727" s="1074" t="s">
        <v>2</v>
      </c>
      <c r="B1727" s="944"/>
      <c r="C1727" s="53" t="s">
        <v>3</v>
      </c>
      <c r="D1727" s="53" t="s">
        <v>4</v>
      </c>
      <c r="E1727" s="53" t="s">
        <v>6</v>
      </c>
      <c r="F1727" s="53" t="s">
        <v>11</v>
      </c>
      <c r="G1727" s="456" t="s">
        <v>8</v>
      </c>
    </row>
    <row r="1728" spans="1:7">
      <c r="A1728" s="978" t="str">
        <f>SALARIOS!$A$62</f>
        <v>CUADRILLA AA ALBAÑILERÍA 1:2</v>
      </c>
      <c r="B1728" s="979"/>
      <c r="C1728" s="13" t="s">
        <v>1245</v>
      </c>
      <c r="D1728" s="32">
        <v>0.8</v>
      </c>
      <c r="E1728" s="13">
        <f>SALARIOS!$C$62</f>
        <v>34063</v>
      </c>
      <c r="F1728" s="55">
        <f>+D1728*E1728</f>
        <v>27250.400000000001</v>
      </c>
      <c r="G1728" s="57">
        <f>SUM(F1727:F1728)</f>
        <v>27250.400000000001</v>
      </c>
    </row>
    <row r="1729" spans="1:7">
      <c r="A1729" s="1076" t="s">
        <v>25</v>
      </c>
      <c r="B1729" s="944"/>
      <c r="C1729" s="944"/>
      <c r="D1729" s="944"/>
      <c r="E1729" s="944"/>
      <c r="F1729" s="944"/>
      <c r="G1729" s="1072"/>
    </row>
    <row r="1730" spans="1:7" ht="17.399999999999999">
      <c r="A1730" s="1077"/>
      <c r="B1730" s="944"/>
      <c r="C1730" s="944"/>
      <c r="D1730" s="944"/>
      <c r="E1730" s="944"/>
      <c r="F1730" s="944"/>
      <c r="G1730" s="62">
        <f>G1728+G1725+G1721+G1715</f>
        <v>205805.9136</v>
      </c>
    </row>
    <row r="1732" spans="1:7">
      <c r="A1732" s="970" t="s">
        <v>1</v>
      </c>
      <c r="B1732" s="957"/>
      <c r="C1732" s="953" t="s">
        <v>0</v>
      </c>
      <c r="D1732" s="953"/>
      <c r="E1732" s="953"/>
      <c r="F1732" s="953"/>
      <c r="G1732" s="1103"/>
    </row>
    <row r="1733" spans="1:7" ht="46.5" customHeight="1">
      <c r="A1733" s="971"/>
      <c r="B1733" s="957"/>
      <c r="C1733" s="953"/>
      <c r="D1733" s="953"/>
      <c r="E1733" s="953"/>
      <c r="F1733" s="953"/>
      <c r="G1733" s="1103"/>
    </row>
    <row r="1734" spans="1:7" ht="17.399999999999999">
      <c r="A1734" s="971"/>
      <c r="B1734" s="957"/>
      <c r="C1734" s="956"/>
      <c r="D1734" s="957"/>
      <c r="E1734" s="957"/>
      <c r="F1734" s="957"/>
      <c r="G1734" s="958"/>
    </row>
    <row r="1735" spans="1:7">
      <c r="A1735" s="971"/>
      <c r="B1735" s="957"/>
      <c r="C1735" s="959" t="s">
        <v>2</v>
      </c>
      <c r="D1735" s="957"/>
      <c r="E1735" s="957"/>
      <c r="F1735" s="23" t="s">
        <v>3</v>
      </c>
      <c r="G1735" s="24" t="s">
        <v>4</v>
      </c>
    </row>
    <row r="1736" spans="1:7" ht="34.799999999999997">
      <c r="A1736" s="1089" t="s">
        <v>2156</v>
      </c>
      <c r="B1736" s="944"/>
      <c r="C1736" s="980" t="s">
        <v>2131</v>
      </c>
      <c r="D1736" s="944"/>
      <c r="E1736" s="944"/>
      <c r="F1736" s="51" t="s">
        <v>100</v>
      </c>
      <c r="G1736" s="52">
        <v>101.7</v>
      </c>
    </row>
    <row r="1737" spans="1:7">
      <c r="A1737" s="1071" t="s">
        <v>5</v>
      </c>
      <c r="B1737" s="944"/>
      <c r="C1737" s="944"/>
      <c r="D1737" s="944"/>
      <c r="E1737" s="944"/>
      <c r="F1737" s="944"/>
      <c r="G1737" s="1072"/>
    </row>
    <row r="1738" spans="1:7" s="2" customFormat="1" ht="15" customHeight="1">
      <c r="A1738" s="931" t="s">
        <v>2</v>
      </c>
      <c r="B1738" s="928"/>
      <c r="C1738" s="11" t="s">
        <v>3</v>
      </c>
      <c r="D1738" s="11" t="s">
        <v>4</v>
      </c>
      <c r="E1738" s="11" t="s">
        <v>6</v>
      </c>
      <c r="F1738" s="11" t="s">
        <v>7</v>
      </c>
      <c r="G1738" s="967" t="s">
        <v>8</v>
      </c>
    </row>
    <row r="1739" spans="1:7" s="2" customFormat="1" ht="15" customHeight="1">
      <c r="A1739" s="927" t="s">
        <v>89</v>
      </c>
      <c r="B1739" s="932"/>
      <c r="C1739" s="12" t="s">
        <v>3</v>
      </c>
      <c r="D1739" s="9">
        <v>0.05</v>
      </c>
      <c r="E1739" s="13">
        <f>G1754</f>
        <v>744.42399999999998</v>
      </c>
      <c r="F1739" s="14">
        <f>D1739*E1739</f>
        <v>37.221200000000003</v>
      </c>
      <c r="G1739" s="968"/>
    </row>
    <row r="1740" spans="1:7" s="2" customFormat="1" ht="15" customHeight="1">
      <c r="A1740" s="927" t="s">
        <v>1296</v>
      </c>
      <c r="B1740" s="932"/>
      <c r="C1740" s="12" t="s">
        <v>60</v>
      </c>
      <c r="D1740" s="9">
        <v>3.3E-3</v>
      </c>
      <c r="E1740" s="13">
        <v>100000</v>
      </c>
      <c r="F1740" s="14">
        <f>D1740*E1740</f>
        <v>330</v>
      </c>
      <c r="G1740" s="969"/>
    </row>
    <row r="1741" spans="1:7" s="2" customFormat="1" ht="15" customHeight="1">
      <c r="A1741" s="927"/>
      <c r="B1741" s="932"/>
      <c r="C1741" s="12"/>
      <c r="D1741" s="12"/>
      <c r="E1741" s="13"/>
      <c r="F1741" s="14"/>
      <c r="G1741" s="15">
        <f>SUM(F1738:F1741)</f>
        <v>367.22120000000001</v>
      </c>
    </row>
    <row r="1742" spans="1:7" s="2" customFormat="1" ht="15" customHeight="1">
      <c r="A1742" s="929" t="s">
        <v>10</v>
      </c>
      <c r="B1742" s="928"/>
      <c r="C1742" s="928"/>
      <c r="D1742" s="928"/>
      <c r="E1742" s="928"/>
      <c r="F1742" s="928"/>
      <c r="G1742" s="930"/>
    </row>
    <row r="1743" spans="1:7" s="2" customFormat="1" ht="15" customHeight="1">
      <c r="A1743" s="931" t="s">
        <v>2</v>
      </c>
      <c r="B1743" s="928"/>
      <c r="C1743" s="11" t="s">
        <v>3</v>
      </c>
      <c r="D1743" s="11" t="s">
        <v>4</v>
      </c>
      <c r="E1743" s="11" t="s">
        <v>6</v>
      </c>
      <c r="F1743" s="11" t="s">
        <v>11</v>
      </c>
      <c r="G1743" s="946" t="s">
        <v>8</v>
      </c>
    </row>
    <row r="1744" spans="1:7" s="2" customFormat="1" ht="15" customHeight="1">
      <c r="A1744" s="947" t="s">
        <v>1315</v>
      </c>
      <c r="B1744" s="944"/>
      <c r="C1744" s="16" t="s">
        <v>3</v>
      </c>
      <c r="D1744" s="32">
        <v>0.01</v>
      </c>
      <c r="E1744" s="17">
        <f>'INSUMOS '!$E$13</f>
        <v>14900</v>
      </c>
      <c r="F1744" s="14">
        <f>D1744*E1744</f>
        <v>149</v>
      </c>
      <c r="G1744" s="946"/>
    </row>
    <row r="1745" spans="1:7" s="2" customFormat="1" ht="15" customHeight="1">
      <c r="A1745" s="947" t="s">
        <v>1111</v>
      </c>
      <c r="B1745" s="944"/>
      <c r="C1745" s="16" t="s">
        <v>3</v>
      </c>
      <c r="D1745" s="32">
        <v>0.01</v>
      </c>
      <c r="E1745" s="17">
        <f>'INSUMOS '!$E$139</f>
        <v>11900</v>
      </c>
      <c r="F1745" s="14">
        <f>D1745*E1745</f>
        <v>119</v>
      </c>
      <c r="G1745" s="946"/>
    </row>
    <row r="1746" spans="1:7" s="2" customFormat="1" ht="15" customHeight="1">
      <c r="A1746" s="927" t="s">
        <v>13</v>
      </c>
      <c r="B1746" s="928"/>
      <c r="C1746" s="12" t="s">
        <v>3</v>
      </c>
      <c r="D1746" s="34">
        <v>1E-3</v>
      </c>
      <c r="E1746" s="13">
        <f>'INSUMOS '!$E$130</f>
        <v>152000</v>
      </c>
      <c r="F1746" s="14">
        <f>D1746*E1746</f>
        <v>152</v>
      </c>
      <c r="G1746" s="946"/>
    </row>
    <row r="1747" spans="1:7" s="2" customFormat="1" ht="32.25" customHeight="1">
      <c r="A1747" s="947" t="s">
        <v>1316</v>
      </c>
      <c r="B1747" s="944"/>
      <c r="C1747" s="16" t="s">
        <v>3</v>
      </c>
      <c r="D1747" s="32">
        <v>0.01</v>
      </c>
      <c r="E1747" s="17">
        <f>'INSUMOS '!$E$140</f>
        <v>18900</v>
      </c>
      <c r="F1747" s="14">
        <f>D1747*E1747</f>
        <v>189</v>
      </c>
      <c r="G1747" s="946"/>
    </row>
    <row r="1748" spans="1:7" s="2" customFormat="1" ht="15" customHeight="1">
      <c r="A1748" s="927"/>
      <c r="B1748" s="928"/>
      <c r="C1748" s="12"/>
      <c r="D1748" s="9"/>
      <c r="E1748" s="13"/>
      <c r="F1748" s="14"/>
      <c r="G1748" s="15">
        <f>SUM(F1743:F1748)</f>
        <v>609</v>
      </c>
    </row>
    <row r="1749" spans="1:7" s="2" customFormat="1" ht="15" customHeight="1">
      <c r="A1749" s="929" t="s">
        <v>15</v>
      </c>
      <c r="B1749" s="928"/>
      <c r="C1749" s="928"/>
      <c r="D1749" s="928"/>
      <c r="E1749" s="928"/>
      <c r="F1749" s="928"/>
      <c r="G1749" s="930"/>
    </row>
    <row r="1750" spans="1:7" s="2" customFormat="1" ht="15" customHeight="1">
      <c r="A1750" s="931" t="s">
        <v>2</v>
      </c>
      <c r="B1750" s="928"/>
      <c r="C1750" s="11" t="s">
        <v>3</v>
      </c>
      <c r="D1750" s="11" t="s">
        <v>4</v>
      </c>
      <c r="E1750" s="11" t="s">
        <v>6</v>
      </c>
      <c r="F1750" s="11" t="s">
        <v>11</v>
      </c>
      <c r="G1750" s="18" t="s">
        <v>8</v>
      </c>
    </row>
    <row r="1751" spans="1:7" s="2" customFormat="1" ht="15" customHeight="1">
      <c r="A1751" s="943" t="s">
        <v>17</v>
      </c>
      <c r="B1751" s="944"/>
      <c r="C1751" s="19" t="s">
        <v>18</v>
      </c>
      <c r="D1751" s="16">
        <v>1E-4</v>
      </c>
      <c r="E1751" s="17">
        <v>800000</v>
      </c>
      <c r="F1751" s="14">
        <f>+D1751*E1751</f>
        <v>80</v>
      </c>
      <c r="G1751" s="15">
        <f>SUM(F1751:F1751)</f>
        <v>80</v>
      </c>
    </row>
    <row r="1752" spans="1:7" s="2" customFormat="1" ht="15" customHeight="1">
      <c r="A1752" s="929" t="s">
        <v>19</v>
      </c>
      <c r="B1752" s="928"/>
      <c r="C1752" s="928"/>
      <c r="D1752" s="928"/>
      <c r="E1752" s="928"/>
      <c r="F1752" s="928"/>
      <c r="G1752" s="930"/>
    </row>
    <row r="1753" spans="1:7" s="2" customFormat="1" ht="15" customHeight="1">
      <c r="A1753" s="931" t="s">
        <v>2</v>
      </c>
      <c r="B1753" s="928"/>
      <c r="C1753" s="11" t="s">
        <v>3</v>
      </c>
      <c r="D1753" s="11" t="s">
        <v>4</v>
      </c>
      <c r="E1753" s="11" t="s">
        <v>6</v>
      </c>
      <c r="F1753" s="11" t="s">
        <v>11</v>
      </c>
      <c r="G1753" s="18" t="s">
        <v>8</v>
      </c>
    </row>
    <row r="1754" spans="1:7" s="2" customFormat="1" ht="15" customHeight="1">
      <c r="A1754" s="948" t="str">
        <f>SALARIOS!$A$90</f>
        <v>CUADRILLA TOPOGRAFIA 1:2</v>
      </c>
      <c r="B1754" s="949"/>
      <c r="C1754" s="13" t="s">
        <v>1245</v>
      </c>
      <c r="D1754" s="16">
        <v>0.02</v>
      </c>
      <c r="E1754" s="17">
        <f>SALARIOS!$C$90</f>
        <v>37221.199999999997</v>
      </c>
      <c r="F1754" s="14">
        <f>+E1754*D1754</f>
        <v>744.42399999999998</v>
      </c>
      <c r="G1754" s="15">
        <f>SUM(F1753:F1754)</f>
        <v>744.42399999999998</v>
      </c>
    </row>
    <row r="1755" spans="1:7">
      <c r="A1755" s="1076" t="s">
        <v>25</v>
      </c>
      <c r="B1755" s="944"/>
      <c r="C1755" s="944"/>
      <c r="D1755" s="944"/>
      <c r="E1755" s="944"/>
      <c r="F1755" s="944"/>
      <c r="G1755" s="1072"/>
    </row>
    <row r="1756" spans="1:7" ht="17.399999999999999">
      <c r="A1756" s="1077"/>
      <c r="B1756" s="944"/>
      <c r="C1756" s="944"/>
      <c r="D1756" s="944"/>
      <c r="E1756" s="944"/>
      <c r="F1756" s="944"/>
      <c r="G1756" s="62">
        <f>G1751+G1748+G1741+G1754</f>
        <v>1800.6451999999999</v>
      </c>
    </row>
    <row r="1758" spans="1:7">
      <c r="A1758" s="970" t="s">
        <v>1</v>
      </c>
      <c r="B1758" s="957"/>
      <c r="C1758" s="953" t="s">
        <v>0</v>
      </c>
      <c r="D1758" s="953"/>
      <c r="E1758" s="953"/>
      <c r="F1758" s="953"/>
      <c r="G1758" s="1103"/>
    </row>
    <row r="1759" spans="1:7" ht="51" customHeight="1">
      <c r="A1759" s="971"/>
      <c r="B1759" s="957"/>
      <c r="C1759" s="953"/>
      <c r="D1759" s="953"/>
      <c r="E1759" s="953"/>
      <c r="F1759" s="953"/>
      <c r="G1759" s="1103"/>
    </row>
    <row r="1760" spans="1:7" ht="17.399999999999999">
      <c r="A1760" s="971"/>
      <c r="B1760" s="957"/>
      <c r="C1760" s="956"/>
      <c r="D1760" s="957"/>
      <c r="E1760" s="957"/>
      <c r="F1760" s="957"/>
      <c r="G1760" s="958"/>
    </row>
    <row r="1761" spans="1:7">
      <c r="A1761" s="971"/>
      <c r="B1761" s="957"/>
      <c r="C1761" s="959" t="s">
        <v>2</v>
      </c>
      <c r="D1761" s="957"/>
      <c r="E1761" s="957"/>
      <c r="F1761" s="23" t="s">
        <v>3</v>
      </c>
      <c r="G1761" s="24" t="s">
        <v>4</v>
      </c>
    </row>
    <row r="1762" spans="1:7" ht="34.799999999999997">
      <c r="A1762" s="1089" t="s">
        <v>2158</v>
      </c>
      <c r="B1762" s="944"/>
      <c r="C1762" s="980" t="s">
        <v>2456</v>
      </c>
      <c r="D1762" s="944"/>
      <c r="E1762" s="944"/>
      <c r="F1762" s="51" t="s">
        <v>39</v>
      </c>
      <c r="G1762" s="52">
        <v>130.38</v>
      </c>
    </row>
    <row r="1763" spans="1:7">
      <c r="A1763" s="1071" t="s">
        <v>5</v>
      </c>
      <c r="B1763" s="944"/>
      <c r="C1763" s="944"/>
      <c r="D1763" s="944"/>
      <c r="E1763" s="944"/>
      <c r="F1763" s="944"/>
      <c r="G1763" s="1072"/>
    </row>
    <row r="1764" spans="1:7" s="2" customFormat="1" ht="15.75" customHeight="1">
      <c r="A1764" s="1074" t="s">
        <v>2</v>
      </c>
      <c r="B1764" s="944"/>
      <c r="C1764" s="53" t="s">
        <v>3</v>
      </c>
      <c r="D1764" s="53" t="s">
        <v>4</v>
      </c>
      <c r="E1764" s="53" t="s">
        <v>6</v>
      </c>
      <c r="F1764" s="53" t="s">
        <v>7</v>
      </c>
      <c r="G1764" s="1075" t="s">
        <v>8</v>
      </c>
    </row>
    <row r="1765" spans="1:7" s="2" customFormat="1" ht="15.75" customHeight="1">
      <c r="A1765" s="947" t="s">
        <v>167</v>
      </c>
      <c r="B1765" s="980"/>
      <c r="C1765" s="51" t="s">
        <v>3</v>
      </c>
      <c r="D1765" s="54">
        <v>0.05</v>
      </c>
      <c r="E1765" s="17">
        <f>+G1782</f>
        <v>8654.2000000000007</v>
      </c>
      <c r="F1765" s="55">
        <f>D1765*E1765</f>
        <v>432.71000000000004</v>
      </c>
      <c r="G1765" s="1072"/>
    </row>
    <row r="1766" spans="1:7" s="2" customFormat="1" ht="15.75" customHeight="1">
      <c r="A1766" s="947" t="str">
        <f>'MAQUINARIA Y EQUIPOS'!$D$43</f>
        <v>RETROEXCAVADORA EN ORUGAS</v>
      </c>
      <c r="B1766" s="944"/>
      <c r="C1766" s="51" t="s">
        <v>58</v>
      </c>
      <c r="D1766" s="54">
        <v>0.16</v>
      </c>
      <c r="E1766" s="17">
        <f>'MAQUINARIA Y EQUIPOS'!$F$43</f>
        <v>140000</v>
      </c>
      <c r="F1766" s="55">
        <f>D1766*E1766</f>
        <v>22400</v>
      </c>
      <c r="G1766" s="1072"/>
    </row>
    <row r="1767" spans="1:7" s="2" customFormat="1" ht="15.75" customHeight="1">
      <c r="A1767" s="947"/>
      <c r="B1767" s="980"/>
      <c r="C1767" s="141"/>
      <c r="D1767" s="16"/>
      <c r="E1767" s="143"/>
      <c r="F1767" s="55">
        <f>D1767*E1767</f>
        <v>0</v>
      </c>
      <c r="G1767" s="1072"/>
    </row>
    <row r="1768" spans="1:7" s="2" customFormat="1" ht="15.75" customHeight="1">
      <c r="A1768" s="947"/>
      <c r="B1768" s="944"/>
      <c r="C1768" s="51"/>
      <c r="D1768" s="54"/>
      <c r="E1768" s="17"/>
      <c r="F1768" s="55">
        <f>D1768*E1768</f>
        <v>0</v>
      </c>
      <c r="G1768" s="1072"/>
    </row>
    <row r="1769" spans="1:7" s="2" customFormat="1" ht="15.75" customHeight="1">
      <c r="A1769" s="1079"/>
      <c r="B1769" s="944"/>
      <c r="C1769" s="56"/>
      <c r="D1769" s="56"/>
      <c r="E1769" s="56"/>
      <c r="F1769" s="55"/>
      <c r="G1769" s="57">
        <f>SUM(F1764:F1769)</f>
        <v>22832.71</v>
      </c>
    </row>
    <row r="1770" spans="1:7" s="2" customFormat="1" ht="15" customHeight="1">
      <c r="A1770" s="1071" t="s">
        <v>10</v>
      </c>
      <c r="B1770" s="944"/>
      <c r="C1770" s="944"/>
      <c r="D1770" s="944"/>
      <c r="E1770" s="944"/>
      <c r="F1770" s="944"/>
      <c r="G1770" s="1072"/>
    </row>
    <row r="1771" spans="1:7" s="2" customFormat="1" ht="15" customHeight="1">
      <c r="A1771" s="1074" t="s">
        <v>2</v>
      </c>
      <c r="B1771" s="944"/>
      <c r="C1771" s="53" t="s">
        <v>3</v>
      </c>
      <c r="D1771" s="53" t="s">
        <v>4</v>
      </c>
      <c r="E1771" s="53" t="s">
        <v>6</v>
      </c>
      <c r="F1771" s="53" t="s">
        <v>11</v>
      </c>
      <c r="G1771" s="1075" t="s">
        <v>8</v>
      </c>
    </row>
    <row r="1772" spans="1:7" s="2" customFormat="1" ht="15" customHeight="1">
      <c r="A1772" s="947"/>
      <c r="B1772" s="944"/>
      <c r="C1772" s="16"/>
      <c r="D1772" s="54"/>
      <c r="E1772" s="17"/>
      <c r="F1772" s="55">
        <f>D1772*E1772</f>
        <v>0</v>
      </c>
      <c r="G1772" s="1072"/>
    </row>
    <row r="1773" spans="1:7" s="2" customFormat="1" ht="15" customHeight="1">
      <c r="A1773" s="947"/>
      <c r="B1773" s="944"/>
      <c r="C1773" s="51"/>
      <c r="D1773" s="54"/>
      <c r="E1773" s="17"/>
      <c r="F1773" s="55">
        <f>D1773*E1773</f>
        <v>0</v>
      </c>
      <c r="G1773" s="1072"/>
    </row>
    <row r="1774" spans="1:7" s="2" customFormat="1" ht="15" customHeight="1">
      <c r="A1774" s="947"/>
      <c r="B1774" s="944"/>
      <c r="C1774" s="16"/>
      <c r="D1774" s="54"/>
      <c r="E1774" s="17"/>
      <c r="F1774" s="55">
        <f>D1774*E1774</f>
        <v>0</v>
      </c>
      <c r="G1774" s="1072"/>
    </row>
    <row r="1775" spans="1:7" s="2" customFormat="1" ht="15" customHeight="1">
      <c r="A1775" s="947"/>
      <c r="B1775" s="944"/>
      <c r="C1775" s="16"/>
      <c r="D1775" s="58"/>
      <c r="E1775" s="17"/>
      <c r="F1775" s="55"/>
      <c r="G1775" s="57">
        <f>SUM(F1771:F1775)</f>
        <v>0</v>
      </c>
    </row>
    <row r="1776" spans="1:7" s="2" customFormat="1" ht="15" customHeight="1">
      <c r="A1776" s="1071" t="s">
        <v>15</v>
      </c>
      <c r="B1776" s="944"/>
      <c r="C1776" s="944"/>
      <c r="D1776" s="944"/>
      <c r="E1776" s="944"/>
      <c r="F1776" s="944"/>
      <c r="G1776" s="1072"/>
    </row>
    <row r="1777" spans="1:7" s="2" customFormat="1" ht="15" customHeight="1">
      <c r="A1777" s="1074" t="s">
        <v>2</v>
      </c>
      <c r="B1777" s="944"/>
      <c r="C1777" s="53" t="s">
        <v>3</v>
      </c>
      <c r="D1777" s="53" t="s">
        <v>4</v>
      </c>
      <c r="E1777" s="53" t="s">
        <v>6</v>
      </c>
      <c r="F1777" s="53" t="s">
        <v>11</v>
      </c>
      <c r="G1777" s="1075" t="s">
        <v>8</v>
      </c>
    </row>
    <row r="1778" spans="1:7" s="2" customFormat="1" ht="15" customHeight="1">
      <c r="A1778" s="943" t="s">
        <v>2561</v>
      </c>
      <c r="B1778" s="944"/>
      <c r="C1778" s="16" t="s">
        <v>39</v>
      </c>
      <c r="D1778" s="16">
        <v>1.3</v>
      </c>
      <c r="E1778" s="17">
        <v>16260</v>
      </c>
      <c r="F1778" s="55">
        <f>E1778*D1778</f>
        <v>21138</v>
      </c>
      <c r="G1778" s="1072"/>
    </row>
    <row r="1779" spans="1:7" s="2" customFormat="1" ht="15" customHeight="1">
      <c r="A1779" s="59"/>
      <c r="B1779" s="60"/>
      <c r="C1779" s="60"/>
      <c r="D1779" s="60"/>
      <c r="E1779" s="60"/>
      <c r="F1779" s="60"/>
      <c r="G1779" s="57">
        <f>SUM(F1778:F1779)</f>
        <v>21138</v>
      </c>
    </row>
    <row r="1780" spans="1:7" s="2" customFormat="1" ht="15" customHeight="1">
      <c r="A1780" s="1071" t="s">
        <v>19</v>
      </c>
      <c r="B1780" s="944"/>
      <c r="C1780" s="944"/>
      <c r="D1780" s="944"/>
      <c r="E1780" s="944"/>
      <c r="F1780" s="944"/>
      <c r="G1780" s="1072"/>
    </row>
    <row r="1781" spans="1:7" s="2" customFormat="1" ht="15" customHeight="1">
      <c r="A1781" s="1074" t="s">
        <v>2</v>
      </c>
      <c r="B1781" s="944"/>
      <c r="C1781" s="53" t="s">
        <v>3</v>
      </c>
      <c r="D1781" s="53" t="s">
        <v>4</v>
      </c>
      <c r="E1781" s="53" t="s">
        <v>6</v>
      </c>
      <c r="F1781" s="53" t="s">
        <v>11</v>
      </c>
      <c r="G1781" s="456" t="s">
        <v>8</v>
      </c>
    </row>
    <row r="1782" spans="1:7" s="2" customFormat="1" ht="15.75" customHeight="1">
      <c r="A1782" s="978" t="str">
        <f>SALARIOS!$A$63</f>
        <v>CUADRILLA AA ALBAÑILERÍA 1:3</v>
      </c>
      <c r="B1782" s="979"/>
      <c r="C1782" s="13" t="s">
        <v>1245</v>
      </c>
      <c r="D1782" s="32">
        <v>0.2</v>
      </c>
      <c r="E1782" s="13">
        <f>SALARIOS!$C$63</f>
        <v>43271</v>
      </c>
      <c r="F1782" s="55">
        <f>+D1782*E1782</f>
        <v>8654.2000000000007</v>
      </c>
      <c r="G1782" s="57">
        <f>SUM(F1781:F1782)</f>
        <v>8654.2000000000007</v>
      </c>
    </row>
    <row r="1783" spans="1:7">
      <c r="A1783" s="1076" t="s">
        <v>25</v>
      </c>
      <c r="B1783" s="944"/>
      <c r="C1783" s="944"/>
      <c r="D1783" s="944"/>
      <c r="E1783" s="944"/>
      <c r="F1783" s="944"/>
      <c r="G1783" s="1072"/>
    </row>
    <row r="1784" spans="1:7" ht="17.399999999999999">
      <c r="A1784" s="1077"/>
      <c r="B1784" s="944"/>
      <c r="C1784" s="944"/>
      <c r="D1784" s="944"/>
      <c r="E1784" s="944"/>
      <c r="F1784" s="944"/>
      <c r="G1784" s="62">
        <f>G1782+G1779+G1775+G1769</f>
        <v>52624.91</v>
      </c>
    </row>
    <row r="1786" spans="1:7">
      <c r="A1786" s="970" t="s">
        <v>1</v>
      </c>
      <c r="B1786" s="957"/>
      <c r="C1786" s="953" t="s">
        <v>0</v>
      </c>
      <c r="D1786" s="953"/>
      <c r="E1786" s="953"/>
      <c r="F1786" s="953"/>
      <c r="G1786" s="1103"/>
    </row>
    <row r="1787" spans="1:7" ht="47.25" customHeight="1">
      <c r="A1787" s="971"/>
      <c r="B1787" s="957"/>
      <c r="C1787" s="953"/>
      <c r="D1787" s="953"/>
      <c r="E1787" s="953"/>
      <c r="F1787" s="953"/>
      <c r="G1787" s="1103"/>
    </row>
    <row r="1788" spans="1:7" ht="17.399999999999999">
      <c r="A1788" s="971"/>
      <c r="B1788" s="957"/>
      <c r="C1788" s="956"/>
      <c r="D1788" s="957"/>
      <c r="E1788" s="957"/>
      <c r="F1788" s="957"/>
      <c r="G1788" s="958"/>
    </row>
    <row r="1789" spans="1:7">
      <c r="A1789" s="971"/>
      <c r="B1789" s="957"/>
      <c r="C1789" s="959" t="s">
        <v>2</v>
      </c>
      <c r="D1789" s="957"/>
      <c r="E1789" s="957"/>
      <c r="F1789" s="23" t="s">
        <v>3</v>
      </c>
      <c r="G1789" s="24" t="s">
        <v>4</v>
      </c>
    </row>
    <row r="1790" spans="1:7" ht="34.799999999999997">
      <c r="A1790" s="1089" t="s">
        <v>2160</v>
      </c>
      <c r="B1790" s="944"/>
      <c r="C1790" s="980" t="s">
        <v>2465</v>
      </c>
      <c r="D1790" s="944"/>
      <c r="E1790" s="944"/>
      <c r="F1790" s="51" t="s">
        <v>37</v>
      </c>
      <c r="G1790" s="52">
        <v>45.01</v>
      </c>
    </row>
    <row r="1791" spans="1:7">
      <c r="A1791" s="1071" t="s">
        <v>5</v>
      </c>
      <c r="B1791" s="944"/>
      <c r="C1791" s="944"/>
      <c r="D1791" s="944"/>
      <c r="E1791" s="944"/>
      <c r="F1791" s="944"/>
      <c r="G1791" s="1072"/>
    </row>
    <row r="1792" spans="1:7">
      <c r="A1792" s="1074" t="s">
        <v>2</v>
      </c>
      <c r="B1792" s="944"/>
      <c r="C1792" s="53" t="s">
        <v>3</v>
      </c>
      <c r="D1792" s="53" t="s">
        <v>4</v>
      </c>
      <c r="E1792" s="53" t="s">
        <v>6</v>
      </c>
      <c r="F1792" s="53" t="s">
        <v>7</v>
      </c>
      <c r="G1792" s="1075" t="s">
        <v>8</v>
      </c>
    </row>
    <row r="1793" spans="1:7">
      <c r="A1793" s="947" t="s">
        <v>167</v>
      </c>
      <c r="B1793" s="980"/>
      <c r="C1793" s="51" t="s">
        <v>3</v>
      </c>
      <c r="D1793" s="54">
        <v>0.05</v>
      </c>
      <c r="E1793" s="17">
        <f>+G1810</f>
        <v>17031.5</v>
      </c>
      <c r="F1793" s="55">
        <f>D1793*E1793</f>
        <v>851.57500000000005</v>
      </c>
      <c r="G1793" s="1072"/>
    </row>
    <row r="1794" spans="1:7">
      <c r="A1794" s="947"/>
      <c r="B1794" s="944"/>
      <c r="C1794" s="51"/>
      <c r="D1794" s="54"/>
      <c r="E1794" s="17"/>
      <c r="F1794" s="55">
        <f>D1794*E1794</f>
        <v>0</v>
      </c>
      <c r="G1794" s="1072"/>
    </row>
    <row r="1795" spans="1:7">
      <c r="A1795" s="947"/>
      <c r="B1795" s="980"/>
      <c r="C1795" s="141"/>
      <c r="D1795" s="16"/>
      <c r="E1795" s="143"/>
      <c r="F1795" s="55">
        <f>D1795*E1795</f>
        <v>0</v>
      </c>
      <c r="G1795" s="1072"/>
    </row>
    <row r="1796" spans="1:7">
      <c r="A1796" s="947"/>
      <c r="B1796" s="944"/>
      <c r="C1796" s="51"/>
      <c r="D1796" s="54"/>
      <c r="E1796" s="17"/>
      <c r="F1796" s="55">
        <f>D1796*E1796</f>
        <v>0</v>
      </c>
      <c r="G1796" s="1072"/>
    </row>
    <row r="1797" spans="1:7">
      <c r="A1797" s="1079"/>
      <c r="B1797" s="944"/>
      <c r="C1797" s="56"/>
      <c r="D1797" s="56"/>
      <c r="E1797" s="56"/>
      <c r="F1797" s="55"/>
      <c r="G1797" s="57">
        <f>SUM(F1792:F1797)</f>
        <v>851.57500000000005</v>
      </c>
    </row>
    <row r="1798" spans="1:7">
      <c r="A1798" s="1071" t="s">
        <v>10</v>
      </c>
      <c r="B1798" s="944"/>
      <c r="C1798" s="944"/>
      <c r="D1798" s="944"/>
      <c r="E1798" s="944"/>
      <c r="F1798" s="944"/>
      <c r="G1798" s="1072"/>
    </row>
    <row r="1799" spans="1:7">
      <c r="A1799" s="1074" t="s">
        <v>2</v>
      </c>
      <c r="B1799" s="944"/>
      <c r="C1799" s="53" t="s">
        <v>3</v>
      </c>
      <c r="D1799" s="53" t="s">
        <v>4</v>
      </c>
      <c r="E1799" s="53" t="s">
        <v>6</v>
      </c>
      <c r="F1799" s="53" t="s">
        <v>11</v>
      </c>
      <c r="G1799" s="1075" t="s">
        <v>8</v>
      </c>
    </row>
    <row r="1800" spans="1:7">
      <c r="A1800" s="947" t="s">
        <v>2656</v>
      </c>
      <c r="B1800" s="944"/>
      <c r="C1800" s="16" t="s">
        <v>998</v>
      </c>
      <c r="D1800" s="54">
        <v>2.5</v>
      </c>
      <c r="E1800" s="17">
        <f>'INSUMOS '!$E$510</f>
        <v>20000</v>
      </c>
      <c r="F1800" s="55">
        <f>D1800*E1800</f>
        <v>50000</v>
      </c>
      <c r="G1800" s="1072"/>
    </row>
    <row r="1801" spans="1:7">
      <c r="A1801" s="947" t="s">
        <v>2658</v>
      </c>
      <c r="B1801" s="944"/>
      <c r="C1801" s="16" t="s">
        <v>998</v>
      </c>
      <c r="D1801" s="54">
        <v>1.7</v>
      </c>
      <c r="E1801" s="17">
        <f>'INSUMOS '!$E$511</f>
        <v>9600</v>
      </c>
      <c r="F1801" s="55">
        <f>D1801*E1801</f>
        <v>16320</v>
      </c>
      <c r="G1801" s="1072"/>
    </row>
    <row r="1802" spans="1:7">
      <c r="A1802" s="947"/>
      <c r="B1802" s="944"/>
      <c r="C1802" s="16"/>
      <c r="D1802" s="54"/>
      <c r="E1802" s="17"/>
      <c r="F1802" s="55">
        <f>D1802*E1802</f>
        <v>0</v>
      </c>
      <c r="G1802" s="1072"/>
    </row>
    <row r="1803" spans="1:7">
      <c r="A1803" s="947"/>
      <c r="B1803" s="944"/>
      <c r="C1803" s="16"/>
      <c r="D1803" s="58"/>
      <c r="E1803" s="17"/>
      <c r="F1803" s="55"/>
      <c r="G1803" s="57">
        <f>SUM(F1799:F1803)</f>
        <v>66320</v>
      </c>
    </row>
    <row r="1804" spans="1:7">
      <c r="A1804" s="1071" t="s">
        <v>15</v>
      </c>
      <c r="B1804" s="944"/>
      <c r="C1804" s="944"/>
      <c r="D1804" s="944"/>
      <c r="E1804" s="944"/>
      <c r="F1804" s="944"/>
      <c r="G1804" s="1072"/>
    </row>
    <row r="1805" spans="1:7">
      <c r="A1805" s="1074" t="s">
        <v>2</v>
      </c>
      <c r="B1805" s="944"/>
      <c r="C1805" s="53" t="s">
        <v>3</v>
      </c>
      <c r="D1805" s="53" t="s">
        <v>4</v>
      </c>
      <c r="E1805" s="53" t="s">
        <v>6</v>
      </c>
      <c r="F1805" s="53" t="s">
        <v>11</v>
      </c>
      <c r="G1805" s="1075" t="s">
        <v>8</v>
      </c>
    </row>
    <row r="1806" spans="1:7">
      <c r="A1806" s="943" t="s">
        <v>173</v>
      </c>
      <c r="B1806" s="944"/>
      <c r="C1806" s="16" t="s">
        <v>3</v>
      </c>
      <c r="D1806" s="54">
        <v>3.5000000000000003E-2</v>
      </c>
      <c r="E1806" s="17">
        <f>+G1803</f>
        <v>66320</v>
      </c>
      <c r="F1806" s="55">
        <f>E1806*D1806</f>
        <v>2321.2000000000003</v>
      </c>
      <c r="G1806" s="1072"/>
    </row>
    <row r="1807" spans="1:7">
      <c r="A1807" s="59"/>
      <c r="B1807" s="60"/>
      <c r="C1807" s="60"/>
      <c r="D1807" s="60"/>
      <c r="E1807" s="60"/>
      <c r="F1807" s="60"/>
      <c r="G1807" s="57">
        <f>SUM(F1806:F1807)</f>
        <v>2321.2000000000003</v>
      </c>
    </row>
    <row r="1808" spans="1:7">
      <c r="A1808" s="1071" t="s">
        <v>19</v>
      </c>
      <c r="B1808" s="944"/>
      <c r="C1808" s="944"/>
      <c r="D1808" s="944"/>
      <c r="E1808" s="944"/>
      <c r="F1808" s="944"/>
      <c r="G1808" s="1072"/>
    </row>
    <row r="1809" spans="1:7">
      <c r="A1809" s="1074" t="s">
        <v>2</v>
      </c>
      <c r="B1809" s="944"/>
      <c r="C1809" s="53" t="s">
        <v>3</v>
      </c>
      <c r="D1809" s="53" t="s">
        <v>4</v>
      </c>
      <c r="E1809" s="53" t="s">
        <v>6</v>
      </c>
      <c r="F1809" s="53" t="s">
        <v>11</v>
      </c>
      <c r="G1809" s="456" t="s">
        <v>8</v>
      </c>
    </row>
    <row r="1810" spans="1:7">
      <c r="A1810" s="978" t="str">
        <f>SALARIOS!$A$62</f>
        <v>CUADRILLA AA ALBAÑILERÍA 1:2</v>
      </c>
      <c r="B1810" s="979"/>
      <c r="C1810" s="13" t="s">
        <v>1245</v>
      </c>
      <c r="D1810" s="32">
        <v>0.5</v>
      </c>
      <c r="E1810" s="13">
        <f>SALARIOS!$C$62</f>
        <v>34063</v>
      </c>
      <c r="F1810" s="55">
        <f>+D1810*E1810</f>
        <v>17031.5</v>
      </c>
      <c r="G1810" s="57">
        <f>SUM(F1809:F1810)</f>
        <v>17031.5</v>
      </c>
    </row>
    <row r="1811" spans="1:7">
      <c r="A1811" s="1076" t="s">
        <v>25</v>
      </c>
      <c r="B1811" s="944"/>
      <c r="C1811" s="944"/>
      <c r="D1811" s="944"/>
      <c r="E1811" s="944"/>
      <c r="F1811" s="944"/>
      <c r="G1811" s="1072"/>
    </row>
    <row r="1812" spans="1:7" ht="17.399999999999999">
      <c r="A1812" s="1077"/>
      <c r="B1812" s="944"/>
      <c r="C1812" s="944"/>
      <c r="D1812" s="944"/>
      <c r="E1812" s="944"/>
      <c r="F1812" s="944"/>
      <c r="G1812" s="62">
        <f>G1810+G1807+G1803+G1797</f>
        <v>86524.274999999994</v>
      </c>
    </row>
    <row r="1814" spans="1:7">
      <c r="A1814" s="970" t="s">
        <v>1</v>
      </c>
      <c r="B1814" s="957"/>
      <c r="C1814" s="953" t="s">
        <v>0</v>
      </c>
      <c r="D1814" s="953"/>
      <c r="E1814" s="953"/>
      <c r="F1814" s="953"/>
      <c r="G1814" s="1103"/>
    </row>
    <row r="1815" spans="1:7" ht="46.5" customHeight="1">
      <c r="A1815" s="971"/>
      <c r="B1815" s="957"/>
      <c r="C1815" s="953"/>
      <c r="D1815" s="953"/>
      <c r="E1815" s="953"/>
      <c r="F1815" s="953"/>
      <c r="G1815" s="1103"/>
    </row>
    <row r="1816" spans="1:7" ht="17.399999999999999">
      <c r="A1816" s="971"/>
      <c r="B1816" s="957"/>
      <c r="C1816" s="956"/>
      <c r="D1816" s="957"/>
      <c r="E1816" s="957"/>
      <c r="F1816" s="957"/>
      <c r="G1816" s="958"/>
    </row>
    <row r="1817" spans="1:7">
      <c r="A1817" s="971"/>
      <c r="B1817" s="957"/>
      <c r="C1817" s="959" t="s">
        <v>2</v>
      </c>
      <c r="D1817" s="957"/>
      <c r="E1817" s="957"/>
      <c r="F1817" s="23" t="s">
        <v>3</v>
      </c>
      <c r="G1817" s="24" t="s">
        <v>4</v>
      </c>
    </row>
    <row r="1818" spans="1:7" ht="34.799999999999997">
      <c r="A1818" s="1089" t="s">
        <v>2161</v>
      </c>
      <c r="B1818" s="944"/>
      <c r="C1818" s="980" t="s">
        <v>2466</v>
      </c>
      <c r="D1818" s="944"/>
      <c r="E1818" s="944"/>
      <c r="F1818" s="51" t="s">
        <v>37</v>
      </c>
      <c r="G1818" s="52">
        <v>2.37</v>
      </c>
    </row>
    <row r="1819" spans="1:7">
      <c r="A1819" s="1071" t="s">
        <v>5</v>
      </c>
      <c r="B1819" s="944"/>
      <c r="C1819" s="944"/>
      <c r="D1819" s="944"/>
      <c r="E1819" s="944"/>
      <c r="F1819" s="944"/>
      <c r="G1819" s="1072"/>
    </row>
    <row r="1820" spans="1:7">
      <c r="A1820" s="1074" t="s">
        <v>2</v>
      </c>
      <c r="B1820" s="944"/>
      <c r="C1820" s="53" t="s">
        <v>3</v>
      </c>
      <c r="D1820" s="53" t="s">
        <v>4</v>
      </c>
      <c r="E1820" s="53" t="s">
        <v>6</v>
      </c>
      <c r="F1820" s="53" t="s">
        <v>7</v>
      </c>
      <c r="G1820" s="1075" t="s">
        <v>8</v>
      </c>
    </row>
    <row r="1821" spans="1:7">
      <c r="A1821" s="947" t="s">
        <v>167</v>
      </c>
      <c r="B1821" s="980"/>
      <c r="C1821" s="51" t="s">
        <v>3</v>
      </c>
      <c r="D1821" s="54">
        <v>0.05</v>
      </c>
      <c r="E1821" s="17">
        <f>+G1838</f>
        <v>17031.5</v>
      </c>
      <c r="F1821" s="55">
        <f>D1821*E1821</f>
        <v>851.57500000000005</v>
      </c>
      <c r="G1821" s="1072"/>
    </row>
    <row r="1822" spans="1:7">
      <c r="A1822" s="947"/>
      <c r="B1822" s="944"/>
      <c r="C1822" s="51"/>
      <c r="D1822" s="54"/>
      <c r="E1822" s="17"/>
      <c r="F1822" s="55">
        <f>D1822*E1822</f>
        <v>0</v>
      </c>
      <c r="G1822" s="1072"/>
    </row>
    <row r="1823" spans="1:7">
      <c r="A1823" s="947"/>
      <c r="B1823" s="980"/>
      <c r="C1823" s="141"/>
      <c r="D1823" s="16"/>
      <c r="E1823" s="143"/>
      <c r="F1823" s="55">
        <f>D1823*E1823</f>
        <v>0</v>
      </c>
      <c r="G1823" s="1072"/>
    </row>
    <row r="1824" spans="1:7">
      <c r="A1824" s="947"/>
      <c r="B1824" s="944"/>
      <c r="C1824" s="51"/>
      <c r="D1824" s="54"/>
      <c r="E1824" s="17"/>
      <c r="F1824" s="55">
        <f>D1824*E1824</f>
        <v>0</v>
      </c>
      <c r="G1824" s="1072"/>
    </row>
    <row r="1825" spans="1:7">
      <c r="A1825" s="1079"/>
      <c r="B1825" s="944"/>
      <c r="C1825" s="56"/>
      <c r="D1825" s="56"/>
      <c r="E1825" s="56"/>
      <c r="F1825" s="55"/>
      <c r="G1825" s="57">
        <f>SUM(F1820:F1825)</f>
        <v>851.57500000000005</v>
      </c>
    </row>
    <row r="1826" spans="1:7">
      <c r="A1826" s="1071" t="s">
        <v>10</v>
      </c>
      <c r="B1826" s="944"/>
      <c r="C1826" s="944"/>
      <c r="D1826" s="944"/>
      <c r="E1826" s="944"/>
      <c r="F1826" s="944"/>
      <c r="G1826" s="1072"/>
    </row>
    <row r="1827" spans="1:7">
      <c r="A1827" s="1074" t="s">
        <v>2</v>
      </c>
      <c r="B1827" s="944"/>
      <c r="C1827" s="53" t="s">
        <v>3</v>
      </c>
      <c r="D1827" s="53" t="s">
        <v>4</v>
      </c>
      <c r="E1827" s="53" t="s">
        <v>6</v>
      </c>
      <c r="F1827" s="53" t="s">
        <v>11</v>
      </c>
      <c r="G1827" s="1075" t="s">
        <v>8</v>
      </c>
    </row>
    <row r="1828" spans="1:7">
      <c r="A1828" s="947" t="s">
        <v>2656</v>
      </c>
      <c r="B1828" s="944"/>
      <c r="C1828" s="16" t="s">
        <v>998</v>
      </c>
      <c r="D1828" s="54">
        <v>3.2</v>
      </c>
      <c r="E1828" s="17">
        <f>'INSUMOS '!$E$510</f>
        <v>20000</v>
      </c>
      <c r="F1828" s="55">
        <f>D1828*E1828</f>
        <v>64000</v>
      </c>
      <c r="G1828" s="1072"/>
    </row>
    <row r="1829" spans="1:7">
      <c r="A1829" s="947" t="s">
        <v>2658</v>
      </c>
      <c r="B1829" s="944"/>
      <c r="C1829" s="16" t="s">
        <v>998</v>
      </c>
      <c r="D1829" s="54">
        <v>2.4</v>
      </c>
      <c r="E1829" s="17">
        <f>'INSUMOS '!$E$511</f>
        <v>9600</v>
      </c>
      <c r="F1829" s="55">
        <f>D1829*E1829</f>
        <v>23040</v>
      </c>
      <c r="G1829" s="1072"/>
    </row>
    <row r="1830" spans="1:7">
      <c r="A1830" s="947"/>
      <c r="B1830" s="944"/>
      <c r="C1830" s="16"/>
      <c r="D1830" s="54"/>
      <c r="E1830" s="17"/>
      <c r="F1830" s="55">
        <f>D1830*E1830</f>
        <v>0</v>
      </c>
      <c r="G1830" s="1072"/>
    </row>
    <row r="1831" spans="1:7">
      <c r="A1831" s="947"/>
      <c r="B1831" s="944"/>
      <c r="C1831" s="16"/>
      <c r="D1831" s="58"/>
      <c r="E1831" s="17"/>
      <c r="F1831" s="55"/>
      <c r="G1831" s="57">
        <f>SUM(F1827:F1831)</f>
        <v>87040</v>
      </c>
    </row>
    <row r="1832" spans="1:7">
      <c r="A1832" s="1071" t="s">
        <v>15</v>
      </c>
      <c r="B1832" s="944"/>
      <c r="C1832" s="944"/>
      <c r="D1832" s="944"/>
      <c r="E1832" s="944"/>
      <c r="F1832" s="944"/>
      <c r="G1832" s="1072"/>
    </row>
    <row r="1833" spans="1:7">
      <c r="A1833" s="1074" t="s">
        <v>2</v>
      </c>
      <c r="B1833" s="944"/>
      <c r="C1833" s="53" t="s">
        <v>3</v>
      </c>
      <c r="D1833" s="53" t="s">
        <v>4</v>
      </c>
      <c r="E1833" s="53" t="s">
        <v>6</v>
      </c>
      <c r="F1833" s="53" t="s">
        <v>11</v>
      </c>
      <c r="G1833" s="1075" t="s">
        <v>8</v>
      </c>
    </row>
    <row r="1834" spans="1:7">
      <c r="A1834" s="943" t="s">
        <v>173</v>
      </c>
      <c r="B1834" s="944"/>
      <c r="C1834" s="16" t="s">
        <v>3</v>
      </c>
      <c r="D1834" s="54">
        <v>3.5000000000000003E-2</v>
      </c>
      <c r="E1834" s="17">
        <f>+G1831</f>
        <v>87040</v>
      </c>
      <c r="F1834" s="55">
        <f>E1834*D1834</f>
        <v>3046.4</v>
      </c>
      <c r="G1834" s="1072"/>
    </row>
    <row r="1835" spans="1:7">
      <c r="A1835" s="59"/>
      <c r="B1835" s="60"/>
      <c r="C1835" s="60"/>
      <c r="D1835" s="60"/>
      <c r="E1835" s="60"/>
      <c r="F1835" s="60"/>
      <c r="G1835" s="57">
        <f>SUM(F1834:F1835)</f>
        <v>3046.4</v>
      </c>
    </row>
    <row r="1836" spans="1:7">
      <c r="A1836" s="1071" t="s">
        <v>19</v>
      </c>
      <c r="B1836" s="944"/>
      <c r="C1836" s="944"/>
      <c r="D1836" s="944"/>
      <c r="E1836" s="944"/>
      <c r="F1836" s="944"/>
      <c r="G1836" s="1072"/>
    </row>
    <row r="1837" spans="1:7">
      <c r="A1837" s="1074" t="s">
        <v>2</v>
      </c>
      <c r="B1837" s="944"/>
      <c r="C1837" s="53" t="s">
        <v>3</v>
      </c>
      <c r="D1837" s="53" t="s">
        <v>4</v>
      </c>
      <c r="E1837" s="53" t="s">
        <v>6</v>
      </c>
      <c r="F1837" s="53" t="s">
        <v>11</v>
      </c>
      <c r="G1837" s="456" t="s">
        <v>8</v>
      </c>
    </row>
    <row r="1838" spans="1:7">
      <c r="A1838" s="978" t="str">
        <f>SALARIOS!$A$62</f>
        <v>CUADRILLA AA ALBAÑILERÍA 1:2</v>
      </c>
      <c r="B1838" s="979"/>
      <c r="C1838" s="13" t="s">
        <v>1245</v>
      </c>
      <c r="D1838" s="32">
        <v>0.5</v>
      </c>
      <c r="E1838" s="13">
        <f>SALARIOS!$C$62</f>
        <v>34063</v>
      </c>
      <c r="F1838" s="55">
        <f>+D1838*E1838</f>
        <v>17031.5</v>
      </c>
      <c r="G1838" s="57">
        <f>SUM(F1837:F1838)</f>
        <v>17031.5</v>
      </c>
    </row>
    <row r="1839" spans="1:7">
      <c r="A1839" s="1076" t="s">
        <v>25</v>
      </c>
      <c r="B1839" s="944"/>
      <c r="C1839" s="944"/>
      <c r="D1839" s="944"/>
      <c r="E1839" s="944"/>
      <c r="F1839" s="944"/>
      <c r="G1839" s="1072"/>
    </row>
    <row r="1840" spans="1:7" ht="17.399999999999999">
      <c r="A1840" s="1077"/>
      <c r="B1840" s="944"/>
      <c r="C1840" s="944"/>
      <c r="D1840" s="944"/>
      <c r="E1840" s="944"/>
      <c r="F1840" s="944"/>
      <c r="G1840" s="62">
        <f>G1838+G1835+G1831+G1825</f>
        <v>107969.47499999999</v>
      </c>
    </row>
    <row r="1842" spans="1:7">
      <c r="A1842" s="970" t="s">
        <v>1</v>
      </c>
      <c r="B1842" s="957"/>
      <c r="C1842" s="953" t="s">
        <v>0</v>
      </c>
      <c r="D1842" s="953"/>
      <c r="E1842" s="953"/>
      <c r="F1842" s="953"/>
      <c r="G1842" s="1103"/>
    </row>
    <row r="1843" spans="1:7" ht="51" customHeight="1">
      <c r="A1843" s="971"/>
      <c r="B1843" s="957"/>
      <c r="C1843" s="953"/>
      <c r="D1843" s="953"/>
      <c r="E1843" s="953"/>
      <c r="F1843" s="953"/>
      <c r="G1843" s="1103"/>
    </row>
    <row r="1844" spans="1:7" ht="17.399999999999999">
      <c r="A1844" s="971"/>
      <c r="B1844" s="957"/>
      <c r="C1844" s="956"/>
      <c r="D1844" s="957"/>
      <c r="E1844" s="957"/>
      <c r="F1844" s="957"/>
      <c r="G1844" s="958"/>
    </row>
    <row r="1845" spans="1:7">
      <c r="A1845" s="971"/>
      <c r="B1845" s="957"/>
      <c r="C1845" s="959" t="s">
        <v>2</v>
      </c>
      <c r="D1845" s="957"/>
      <c r="E1845" s="957"/>
      <c r="F1845" s="23" t="s">
        <v>3</v>
      </c>
      <c r="G1845" s="24" t="s">
        <v>4</v>
      </c>
    </row>
    <row r="1846" spans="1:7" ht="34.799999999999997">
      <c r="A1846" s="1089" t="s">
        <v>2163</v>
      </c>
      <c r="B1846" s="944"/>
      <c r="C1846" s="980" t="s">
        <v>2462</v>
      </c>
      <c r="D1846" s="944"/>
      <c r="E1846" s="944"/>
      <c r="F1846" s="51" t="s">
        <v>39</v>
      </c>
      <c r="G1846" s="52">
        <v>16.420000000000002</v>
      </c>
    </row>
    <row r="1847" spans="1:7">
      <c r="A1847" s="1071" t="s">
        <v>5</v>
      </c>
      <c r="B1847" s="944"/>
      <c r="C1847" s="944"/>
      <c r="D1847" s="944"/>
      <c r="E1847" s="944"/>
      <c r="F1847" s="944"/>
      <c r="G1847" s="1072"/>
    </row>
    <row r="1848" spans="1:7" s="2" customFormat="1" ht="15.75" customHeight="1">
      <c r="A1848" s="1074" t="s">
        <v>2</v>
      </c>
      <c r="B1848" s="944"/>
      <c r="C1848" s="53" t="s">
        <v>3</v>
      </c>
      <c r="D1848" s="53" t="s">
        <v>4</v>
      </c>
      <c r="E1848" s="53" t="s">
        <v>6</v>
      </c>
      <c r="F1848" s="53" t="s">
        <v>7</v>
      </c>
      <c r="G1848" s="1075" t="s">
        <v>8</v>
      </c>
    </row>
    <row r="1849" spans="1:7" s="2" customFormat="1" ht="15.75" customHeight="1">
      <c r="A1849" s="947" t="s">
        <v>167</v>
      </c>
      <c r="B1849" s="980"/>
      <c r="C1849" s="51" t="s">
        <v>3</v>
      </c>
      <c r="D1849" s="54">
        <v>0.05</v>
      </c>
      <c r="E1849" s="17">
        <f>+G1866</f>
        <v>29826</v>
      </c>
      <c r="F1849" s="55">
        <f>D1849*E1849</f>
        <v>1491.3000000000002</v>
      </c>
      <c r="G1849" s="1072"/>
    </row>
    <row r="1850" spans="1:7" s="2" customFormat="1" ht="15.75" customHeight="1">
      <c r="A1850" s="947" t="str">
        <f>'MAQUINARIA Y EQUIPOS'!$D$44</f>
        <v>VIBROCOMPACTADOR</v>
      </c>
      <c r="B1850" s="944"/>
      <c r="C1850" s="51" t="s">
        <v>60</v>
      </c>
      <c r="D1850" s="54">
        <v>0.02</v>
      </c>
      <c r="E1850" s="17">
        <f>'MAQUINARIA Y EQUIPOS'!$F$44</f>
        <v>75000</v>
      </c>
      <c r="F1850" s="55">
        <f>D1850*E1850</f>
        <v>1500</v>
      </c>
      <c r="G1850" s="1072"/>
    </row>
    <row r="1851" spans="1:7" s="2" customFormat="1" ht="15.75" customHeight="1">
      <c r="A1851" s="947"/>
      <c r="B1851" s="980"/>
      <c r="C1851" s="141"/>
      <c r="D1851" s="16"/>
      <c r="E1851" s="143"/>
      <c r="F1851" s="55">
        <f>D1851*E1851</f>
        <v>0</v>
      </c>
      <c r="G1851" s="1072"/>
    </row>
    <row r="1852" spans="1:7" s="2" customFormat="1" ht="15.75" customHeight="1">
      <c r="A1852" s="947"/>
      <c r="B1852" s="944"/>
      <c r="C1852" s="51"/>
      <c r="D1852" s="54"/>
      <c r="E1852" s="17"/>
      <c r="F1852" s="55">
        <f>D1852*E1852</f>
        <v>0</v>
      </c>
      <c r="G1852" s="1072"/>
    </row>
    <row r="1853" spans="1:7" s="2" customFormat="1" ht="15.75" customHeight="1">
      <c r="A1853" s="1079"/>
      <c r="B1853" s="944"/>
      <c r="C1853" s="56"/>
      <c r="D1853" s="56"/>
      <c r="E1853" s="56"/>
      <c r="F1853" s="55"/>
      <c r="G1853" s="57">
        <f>SUM(F1848:F1853)</f>
        <v>2991.3</v>
      </c>
    </row>
    <row r="1854" spans="1:7" s="2" customFormat="1" ht="15" customHeight="1">
      <c r="A1854" s="1071" t="s">
        <v>10</v>
      </c>
      <c r="B1854" s="944"/>
      <c r="C1854" s="944"/>
      <c r="D1854" s="944"/>
      <c r="E1854" s="944"/>
      <c r="F1854" s="944"/>
      <c r="G1854" s="1072"/>
    </row>
    <row r="1855" spans="1:7" s="2" customFormat="1" ht="15" customHeight="1">
      <c r="A1855" s="1074" t="s">
        <v>2</v>
      </c>
      <c r="B1855" s="944"/>
      <c r="C1855" s="53" t="s">
        <v>3</v>
      </c>
      <c r="D1855" s="53" t="s">
        <v>4</v>
      </c>
      <c r="E1855" s="53" t="s">
        <v>6</v>
      </c>
      <c r="F1855" s="53" t="s">
        <v>11</v>
      </c>
      <c r="G1855" s="1075" t="s">
        <v>8</v>
      </c>
    </row>
    <row r="1856" spans="1:7" s="2" customFormat="1" ht="15" customHeight="1">
      <c r="A1856" s="947"/>
      <c r="B1856" s="944"/>
      <c r="C1856" s="16"/>
      <c r="D1856" s="54"/>
      <c r="E1856" s="17"/>
      <c r="F1856" s="55">
        <f>D1856*E1856</f>
        <v>0</v>
      </c>
      <c r="G1856" s="1072"/>
    </row>
    <row r="1857" spans="1:7" s="2" customFormat="1" ht="15" customHeight="1">
      <c r="A1857" s="947"/>
      <c r="B1857" s="944"/>
      <c r="C1857" s="51"/>
      <c r="D1857" s="54"/>
      <c r="E1857" s="17"/>
      <c r="F1857" s="55">
        <f>D1857*E1857</f>
        <v>0</v>
      </c>
      <c r="G1857" s="1072"/>
    </row>
    <row r="1858" spans="1:7" s="2" customFormat="1" ht="15" customHeight="1">
      <c r="A1858" s="947"/>
      <c r="B1858" s="944"/>
      <c r="C1858" s="16"/>
      <c r="D1858" s="54"/>
      <c r="E1858" s="17"/>
      <c r="F1858" s="55">
        <f>D1858*E1858</f>
        <v>0</v>
      </c>
      <c r="G1858" s="1072"/>
    </row>
    <row r="1859" spans="1:7" s="2" customFormat="1" ht="15" customHeight="1">
      <c r="A1859" s="947"/>
      <c r="B1859" s="944"/>
      <c r="C1859" s="16"/>
      <c r="D1859" s="58"/>
      <c r="E1859" s="17"/>
      <c r="F1859" s="55"/>
      <c r="G1859" s="57">
        <f>SUM(F1855:F1859)</f>
        <v>0</v>
      </c>
    </row>
    <row r="1860" spans="1:7" s="2" customFormat="1" ht="15" customHeight="1">
      <c r="A1860" s="1071" t="s">
        <v>15</v>
      </c>
      <c r="B1860" s="944"/>
      <c r="C1860" s="944"/>
      <c r="D1860" s="944"/>
      <c r="E1860" s="944"/>
      <c r="F1860" s="944"/>
      <c r="G1860" s="1072"/>
    </row>
    <row r="1861" spans="1:7" s="2" customFormat="1" ht="15" customHeight="1">
      <c r="A1861" s="1074" t="s">
        <v>2</v>
      </c>
      <c r="B1861" s="944"/>
      <c r="C1861" s="53" t="s">
        <v>3</v>
      </c>
      <c r="D1861" s="53" t="s">
        <v>4</v>
      </c>
      <c r="E1861" s="53" t="s">
        <v>6</v>
      </c>
      <c r="F1861" s="53" t="s">
        <v>11</v>
      </c>
      <c r="G1861" s="1075" t="s">
        <v>8</v>
      </c>
    </row>
    <row r="1862" spans="1:7" s="2" customFormat="1" ht="15" customHeight="1">
      <c r="A1862" s="943" t="s">
        <v>2561</v>
      </c>
      <c r="B1862" s="944"/>
      <c r="C1862" s="16" t="s">
        <v>39</v>
      </c>
      <c r="D1862" s="16">
        <v>1.1499999999999999</v>
      </c>
      <c r="E1862" s="17">
        <v>16260</v>
      </c>
      <c r="F1862" s="55">
        <f>E1862*D1862</f>
        <v>18699</v>
      </c>
      <c r="G1862" s="1072"/>
    </row>
    <row r="1863" spans="1:7" s="2" customFormat="1" ht="15" customHeight="1">
      <c r="A1863" s="59"/>
      <c r="B1863" s="60"/>
      <c r="C1863" s="60"/>
      <c r="D1863" s="60"/>
      <c r="E1863" s="60"/>
      <c r="F1863" s="60"/>
      <c r="G1863" s="57">
        <f>SUM(F1862:F1863)</f>
        <v>18699</v>
      </c>
    </row>
    <row r="1864" spans="1:7" s="2" customFormat="1" ht="15" customHeight="1">
      <c r="A1864" s="1071" t="s">
        <v>19</v>
      </c>
      <c r="B1864" s="944"/>
      <c r="C1864" s="944"/>
      <c r="D1864" s="944"/>
      <c r="E1864" s="944"/>
      <c r="F1864" s="944"/>
      <c r="G1864" s="1072"/>
    </row>
    <row r="1865" spans="1:7" s="2" customFormat="1" ht="15" customHeight="1">
      <c r="A1865" s="1074" t="s">
        <v>2</v>
      </c>
      <c r="B1865" s="944"/>
      <c r="C1865" s="53" t="s">
        <v>3</v>
      </c>
      <c r="D1865" s="53" t="s">
        <v>4</v>
      </c>
      <c r="E1865" s="53" t="s">
        <v>6</v>
      </c>
      <c r="F1865" s="53" t="s">
        <v>11</v>
      </c>
      <c r="G1865" s="456" t="s">
        <v>8</v>
      </c>
    </row>
    <row r="1866" spans="1:7" s="2" customFormat="1" ht="15.75" customHeight="1">
      <c r="A1866" s="978" t="str">
        <f>SALARIOS!$A$61</f>
        <v>CUADRILLA AA ALBAÑILERÍA 1:1</v>
      </c>
      <c r="B1866" s="979"/>
      <c r="C1866" s="13" t="s">
        <v>1245</v>
      </c>
      <c r="D1866" s="32">
        <v>1.2</v>
      </c>
      <c r="E1866" s="13">
        <f>SALARIOS!$C$61</f>
        <v>24855</v>
      </c>
      <c r="F1866" s="55">
        <f>+D1866*E1866</f>
        <v>29826</v>
      </c>
      <c r="G1866" s="57">
        <f>SUM(F1865:F1866)</f>
        <v>29826</v>
      </c>
    </row>
    <row r="1867" spans="1:7">
      <c r="A1867" s="1076" t="s">
        <v>25</v>
      </c>
      <c r="B1867" s="944"/>
      <c r="C1867" s="944"/>
      <c r="D1867" s="944"/>
      <c r="E1867" s="944"/>
      <c r="F1867" s="944"/>
      <c r="G1867" s="1072"/>
    </row>
    <row r="1868" spans="1:7" ht="17.399999999999999">
      <c r="A1868" s="1077"/>
      <c r="B1868" s="944"/>
      <c r="C1868" s="944"/>
      <c r="D1868" s="944"/>
      <c r="E1868" s="944"/>
      <c r="F1868" s="944"/>
      <c r="G1868" s="62">
        <f>G1866+G1863+G1859+G1853</f>
        <v>51516.3</v>
      </c>
    </row>
    <row r="1870" spans="1:7">
      <c r="A1870" s="970" t="s">
        <v>1</v>
      </c>
      <c r="B1870" s="957"/>
      <c r="C1870" s="953" t="s">
        <v>0</v>
      </c>
      <c r="D1870" s="953"/>
      <c r="E1870" s="953"/>
      <c r="F1870" s="953"/>
      <c r="G1870" s="1103"/>
    </row>
    <row r="1871" spans="1:7" ht="47.25" customHeight="1">
      <c r="A1871" s="971"/>
      <c r="B1871" s="957"/>
      <c r="C1871" s="953"/>
      <c r="D1871" s="953"/>
      <c r="E1871" s="953"/>
      <c r="F1871" s="953"/>
      <c r="G1871" s="1103"/>
    </row>
    <row r="1872" spans="1:7" ht="17.399999999999999">
      <c r="A1872" s="971"/>
      <c r="B1872" s="957"/>
      <c r="C1872" s="956"/>
      <c r="D1872" s="957"/>
      <c r="E1872" s="957"/>
      <c r="F1872" s="957"/>
      <c r="G1872" s="958"/>
    </row>
    <row r="1873" spans="1:7">
      <c r="A1873" s="971"/>
      <c r="B1873" s="957"/>
      <c r="C1873" s="959" t="s">
        <v>2</v>
      </c>
      <c r="D1873" s="957"/>
      <c r="E1873" s="957"/>
      <c r="F1873" s="23" t="s">
        <v>3</v>
      </c>
      <c r="G1873" s="24" t="s">
        <v>4</v>
      </c>
    </row>
    <row r="1874" spans="1:7" ht="34.799999999999997">
      <c r="A1874" s="1089" t="s">
        <v>2164</v>
      </c>
      <c r="B1874" s="944"/>
      <c r="C1874" s="980" t="s">
        <v>2463</v>
      </c>
      <c r="D1874" s="944"/>
      <c r="E1874" s="944"/>
      <c r="F1874" s="51" t="s">
        <v>39</v>
      </c>
      <c r="G1874" s="52">
        <v>58.23</v>
      </c>
    </row>
    <row r="1875" spans="1:7">
      <c r="A1875" s="1071" t="s">
        <v>5</v>
      </c>
      <c r="B1875" s="944"/>
      <c r="C1875" s="944"/>
      <c r="D1875" s="944"/>
      <c r="E1875" s="944"/>
      <c r="F1875" s="944"/>
      <c r="G1875" s="1072"/>
    </row>
    <row r="1876" spans="1:7" s="2" customFormat="1" ht="15.75" customHeight="1">
      <c r="A1876" s="1074" t="s">
        <v>2</v>
      </c>
      <c r="B1876" s="944"/>
      <c r="C1876" s="53" t="s">
        <v>3</v>
      </c>
      <c r="D1876" s="53" t="s">
        <v>4</v>
      </c>
      <c r="E1876" s="53" t="s">
        <v>6</v>
      </c>
      <c r="F1876" s="53" t="s">
        <v>7</v>
      </c>
      <c r="G1876" s="1075" t="s">
        <v>8</v>
      </c>
    </row>
    <row r="1877" spans="1:7" s="2" customFormat="1" ht="15.75" customHeight="1">
      <c r="A1877" s="947" t="s">
        <v>167</v>
      </c>
      <c r="B1877" s="980"/>
      <c r="C1877" s="51" t="s">
        <v>3</v>
      </c>
      <c r="D1877" s="54">
        <v>0.05</v>
      </c>
      <c r="E1877" s="17">
        <f>+G1894</f>
        <v>40875.599999999999</v>
      </c>
      <c r="F1877" s="55">
        <f>D1877*E1877</f>
        <v>2043.78</v>
      </c>
      <c r="G1877" s="1072"/>
    </row>
    <row r="1878" spans="1:7" s="2" customFormat="1" ht="15.75" customHeight="1">
      <c r="A1878" s="947" t="str">
        <f>'MAQUINARIA Y EQUIPOS'!$D$44</f>
        <v>VIBROCOMPACTADOR</v>
      </c>
      <c r="B1878" s="944"/>
      <c r="C1878" s="51" t="s">
        <v>60</v>
      </c>
      <c r="D1878" s="54">
        <v>0.03</v>
      </c>
      <c r="E1878" s="17">
        <f>'MAQUINARIA Y EQUIPOS'!$F$44</f>
        <v>75000</v>
      </c>
      <c r="F1878" s="55">
        <f>D1878*E1878</f>
        <v>2250</v>
      </c>
      <c r="G1878" s="1072"/>
    </row>
    <row r="1879" spans="1:7" s="2" customFormat="1" ht="15.75" customHeight="1">
      <c r="A1879" s="947"/>
      <c r="B1879" s="944"/>
      <c r="C1879" s="51"/>
      <c r="D1879" s="54"/>
      <c r="E1879" s="17"/>
      <c r="F1879" s="55">
        <f>D1879*E1879</f>
        <v>0</v>
      </c>
      <c r="G1879" s="1072"/>
    </row>
    <row r="1880" spans="1:7" s="2" customFormat="1" ht="15.75" customHeight="1">
      <c r="A1880" s="1079"/>
      <c r="B1880" s="944"/>
      <c r="C1880" s="56"/>
      <c r="D1880" s="56"/>
      <c r="E1880" s="56"/>
      <c r="F1880" s="55"/>
      <c r="G1880" s="57">
        <f>SUM(F1876:F1880)</f>
        <v>4293.78</v>
      </c>
    </row>
    <row r="1881" spans="1:7" s="2" customFormat="1" ht="15" customHeight="1">
      <c r="A1881" s="1071" t="s">
        <v>10</v>
      </c>
      <c r="B1881" s="944"/>
      <c r="C1881" s="944"/>
      <c r="D1881" s="944"/>
      <c r="E1881" s="944"/>
      <c r="F1881" s="944"/>
      <c r="G1881" s="1072"/>
    </row>
    <row r="1882" spans="1:7" s="2" customFormat="1" ht="15" customHeight="1">
      <c r="A1882" s="1074" t="s">
        <v>2</v>
      </c>
      <c r="B1882" s="944"/>
      <c r="C1882" s="53" t="s">
        <v>3</v>
      </c>
      <c r="D1882" s="53" t="s">
        <v>4</v>
      </c>
      <c r="E1882" s="53" t="s">
        <v>6</v>
      </c>
      <c r="F1882" s="53" t="s">
        <v>11</v>
      </c>
      <c r="G1882" s="1075" t="s">
        <v>8</v>
      </c>
    </row>
    <row r="1883" spans="1:7" s="2" customFormat="1" ht="15" customHeight="1">
      <c r="A1883" s="947" t="s">
        <v>2112</v>
      </c>
      <c r="B1883" s="944"/>
      <c r="C1883" s="16" t="s">
        <v>39</v>
      </c>
      <c r="D1883" s="54">
        <v>1.2</v>
      </c>
      <c r="E1883" s="17">
        <f>'INSUMOS '!$E$512</f>
        <v>45000</v>
      </c>
      <c r="F1883" s="55">
        <f>D1883*E1883</f>
        <v>54000</v>
      </c>
      <c r="G1883" s="1072"/>
    </row>
    <row r="1884" spans="1:7" s="2" customFormat="1" ht="15" customHeight="1">
      <c r="A1884" s="947"/>
      <c r="B1884" s="944"/>
      <c r="C1884" s="51"/>
      <c r="D1884" s="54"/>
      <c r="E1884" s="17"/>
      <c r="F1884" s="55">
        <f>D1884*E1884</f>
        <v>0</v>
      </c>
      <c r="G1884" s="1072"/>
    </row>
    <row r="1885" spans="1:7" s="2" customFormat="1" ht="15" customHeight="1">
      <c r="A1885" s="947"/>
      <c r="B1885" s="944"/>
      <c r="C1885" s="16"/>
      <c r="D1885" s="54"/>
      <c r="E1885" s="17"/>
      <c r="F1885" s="55">
        <f>D1885*E1885</f>
        <v>0</v>
      </c>
      <c r="G1885" s="1072"/>
    </row>
    <row r="1886" spans="1:7" s="2" customFormat="1" ht="15" customHeight="1">
      <c r="A1886" s="947"/>
      <c r="B1886" s="944"/>
      <c r="C1886" s="16"/>
      <c r="D1886" s="58"/>
      <c r="E1886" s="17"/>
      <c r="F1886" s="55"/>
      <c r="G1886" s="57">
        <f>SUM(F1882:F1886)</f>
        <v>54000</v>
      </c>
    </row>
    <row r="1887" spans="1:7" s="2" customFormat="1" ht="15" customHeight="1">
      <c r="A1887" s="1071" t="s">
        <v>15</v>
      </c>
      <c r="B1887" s="944"/>
      <c r="C1887" s="944"/>
      <c r="D1887" s="944"/>
      <c r="E1887" s="944"/>
      <c r="F1887" s="944"/>
      <c r="G1887" s="1072"/>
    </row>
    <row r="1888" spans="1:7" s="2" customFormat="1" ht="15" customHeight="1">
      <c r="A1888" s="1074" t="s">
        <v>2</v>
      </c>
      <c r="B1888" s="944"/>
      <c r="C1888" s="53" t="s">
        <v>3</v>
      </c>
      <c r="D1888" s="53" t="s">
        <v>4</v>
      </c>
      <c r="E1888" s="53" t="s">
        <v>6</v>
      </c>
      <c r="F1888" s="53" t="s">
        <v>11</v>
      </c>
      <c r="G1888" s="1075" t="s">
        <v>8</v>
      </c>
    </row>
    <row r="1889" spans="1:7" s="2" customFormat="1" ht="15" customHeight="1">
      <c r="A1889" s="943" t="s">
        <v>104</v>
      </c>
      <c r="B1889" s="944"/>
      <c r="C1889" s="16" t="s">
        <v>3</v>
      </c>
      <c r="D1889" s="54">
        <v>3.5000000000000003E-2</v>
      </c>
      <c r="E1889" s="17">
        <f>+G1886</f>
        <v>54000</v>
      </c>
      <c r="F1889" s="55">
        <f>E1889*D1889</f>
        <v>1890.0000000000002</v>
      </c>
      <c r="G1889" s="1072"/>
    </row>
    <row r="1890" spans="1:7" s="2" customFormat="1" ht="15" customHeight="1">
      <c r="A1890" s="943" t="s">
        <v>2660</v>
      </c>
      <c r="B1890" s="944"/>
      <c r="C1890" s="16" t="s">
        <v>39</v>
      </c>
      <c r="D1890" s="16">
        <v>1.2</v>
      </c>
      <c r="E1890" s="17">
        <v>16260</v>
      </c>
      <c r="F1890" s="55">
        <f>E1890*D1890</f>
        <v>19512</v>
      </c>
      <c r="G1890" s="123"/>
    </row>
    <row r="1891" spans="1:7" s="2" customFormat="1" ht="15" customHeight="1">
      <c r="A1891" s="59"/>
      <c r="B1891" s="60"/>
      <c r="C1891" s="60"/>
      <c r="D1891" s="60"/>
      <c r="E1891" s="60"/>
      <c r="F1891" s="60"/>
      <c r="G1891" s="57">
        <f>SUM(F1889:F1891)</f>
        <v>21402</v>
      </c>
    </row>
    <row r="1892" spans="1:7" s="2" customFormat="1" ht="15" customHeight="1">
      <c r="A1892" s="1071" t="s">
        <v>19</v>
      </c>
      <c r="B1892" s="944"/>
      <c r="C1892" s="944"/>
      <c r="D1892" s="944"/>
      <c r="E1892" s="944"/>
      <c r="F1892" s="944"/>
      <c r="G1892" s="1072"/>
    </row>
    <row r="1893" spans="1:7" s="2" customFormat="1" ht="15" customHeight="1">
      <c r="A1893" s="1074" t="s">
        <v>2</v>
      </c>
      <c r="B1893" s="944"/>
      <c r="C1893" s="53" t="s">
        <v>3</v>
      </c>
      <c r="D1893" s="53" t="s">
        <v>4</v>
      </c>
      <c r="E1893" s="53" t="s">
        <v>6</v>
      </c>
      <c r="F1893" s="53" t="s">
        <v>11</v>
      </c>
      <c r="G1893" s="456" t="s">
        <v>8</v>
      </c>
    </row>
    <row r="1894" spans="1:7" s="2" customFormat="1" ht="15.75" customHeight="1">
      <c r="A1894" s="978" t="str">
        <f>SALARIOS!$A$62</f>
        <v>CUADRILLA AA ALBAÑILERÍA 1:2</v>
      </c>
      <c r="B1894" s="979"/>
      <c r="C1894" s="13" t="s">
        <v>1245</v>
      </c>
      <c r="D1894" s="32">
        <v>1.2</v>
      </c>
      <c r="E1894" s="13">
        <f>SALARIOS!$C$62</f>
        <v>34063</v>
      </c>
      <c r="F1894" s="55">
        <f>+D1894*E1894</f>
        <v>40875.599999999999</v>
      </c>
      <c r="G1894" s="57">
        <f>SUM(F1893:F1894)</f>
        <v>40875.599999999999</v>
      </c>
    </row>
    <row r="1895" spans="1:7" s="175" customFormat="1" ht="15.75" customHeight="1">
      <c r="A1895" s="1076" t="s">
        <v>25</v>
      </c>
      <c r="B1895" s="944"/>
      <c r="C1895" s="944"/>
      <c r="D1895" s="944"/>
      <c r="E1895" s="944"/>
      <c r="F1895" s="944"/>
      <c r="G1895" s="1072"/>
    </row>
    <row r="1896" spans="1:7" ht="17.399999999999999">
      <c r="A1896" s="1077"/>
      <c r="B1896" s="944"/>
      <c r="C1896" s="944"/>
      <c r="D1896" s="944"/>
      <c r="E1896" s="944"/>
      <c r="F1896" s="944"/>
      <c r="G1896" s="62">
        <f>G1894+G1891+G1886+G1880</f>
        <v>120571.38</v>
      </c>
    </row>
    <row r="1898" spans="1:7">
      <c r="A1898" s="970" t="s">
        <v>1</v>
      </c>
      <c r="B1898" s="957"/>
      <c r="C1898" s="953" t="s">
        <v>0</v>
      </c>
      <c r="D1898" s="953"/>
      <c r="E1898" s="953"/>
      <c r="F1898" s="953"/>
      <c r="G1898" s="1103"/>
    </row>
    <row r="1899" spans="1:7" ht="46.5" customHeight="1">
      <c r="A1899" s="971"/>
      <c r="B1899" s="957"/>
      <c r="C1899" s="953"/>
      <c r="D1899" s="953"/>
      <c r="E1899" s="953"/>
      <c r="F1899" s="953"/>
      <c r="G1899" s="1103"/>
    </row>
    <row r="1900" spans="1:7" ht="17.399999999999999">
      <c r="A1900" s="971"/>
      <c r="B1900" s="957"/>
      <c r="C1900" s="956"/>
      <c r="D1900" s="957"/>
      <c r="E1900" s="957"/>
      <c r="F1900" s="957"/>
      <c r="G1900" s="958"/>
    </row>
    <row r="1901" spans="1:7">
      <c r="A1901" s="971"/>
      <c r="B1901" s="957"/>
      <c r="C1901" s="959" t="s">
        <v>2</v>
      </c>
      <c r="D1901" s="957"/>
      <c r="E1901" s="957"/>
      <c r="F1901" s="23" t="s">
        <v>3</v>
      </c>
      <c r="G1901" s="24" t="s">
        <v>4</v>
      </c>
    </row>
    <row r="1902" spans="1:7" ht="54" customHeight="1">
      <c r="A1902" s="1089" t="s">
        <v>2165</v>
      </c>
      <c r="B1902" s="944"/>
      <c r="C1902" s="980" t="s">
        <v>2114</v>
      </c>
      <c r="D1902" s="944"/>
      <c r="E1902" s="944"/>
      <c r="F1902" s="51" t="s">
        <v>39</v>
      </c>
      <c r="G1902" s="52">
        <v>25.62</v>
      </c>
    </row>
    <row r="1903" spans="1:7">
      <c r="A1903" s="1071" t="s">
        <v>5</v>
      </c>
      <c r="B1903" s="944"/>
      <c r="C1903" s="944"/>
      <c r="D1903" s="944"/>
      <c r="E1903" s="944"/>
      <c r="F1903" s="944"/>
      <c r="G1903" s="1072"/>
    </row>
    <row r="1904" spans="1:7">
      <c r="A1904" s="1074" t="s">
        <v>2</v>
      </c>
      <c r="B1904" s="944"/>
      <c r="C1904" s="53" t="s">
        <v>3</v>
      </c>
      <c r="D1904" s="53" t="s">
        <v>4</v>
      </c>
      <c r="E1904" s="53" t="s">
        <v>6</v>
      </c>
      <c r="F1904" s="53" t="s">
        <v>7</v>
      </c>
      <c r="G1904" s="1075" t="s">
        <v>8</v>
      </c>
    </row>
    <row r="1905" spans="1:7">
      <c r="A1905" s="947" t="s">
        <v>167</v>
      </c>
      <c r="B1905" s="980"/>
      <c r="C1905" s="51" t="s">
        <v>3</v>
      </c>
      <c r="D1905" s="54">
        <v>0.05</v>
      </c>
      <c r="E1905" s="17">
        <f>+G1922</f>
        <v>37469</v>
      </c>
      <c r="F1905" s="55">
        <f>D1905*E1905</f>
        <v>1873.45</v>
      </c>
      <c r="G1905" s="1072"/>
    </row>
    <row r="1906" spans="1:7">
      <c r="A1906" s="947" t="s">
        <v>2661</v>
      </c>
      <c r="B1906" s="944"/>
      <c r="C1906" s="51" t="s">
        <v>60</v>
      </c>
      <c r="D1906" s="54">
        <v>0.01</v>
      </c>
      <c r="E1906" s="17">
        <f>'MAQUINARIA Y EQUIPOS'!$F$12</f>
        <v>48790</v>
      </c>
      <c r="F1906" s="55">
        <f>D1906*E1906</f>
        <v>487.90000000000003</v>
      </c>
      <c r="G1906" s="1072"/>
    </row>
    <row r="1907" spans="1:7">
      <c r="A1907" s="947"/>
      <c r="B1907" s="980"/>
      <c r="C1907" s="141"/>
      <c r="D1907" s="16"/>
      <c r="E1907" s="143"/>
      <c r="F1907" s="55">
        <f>D1907*E1907</f>
        <v>0</v>
      </c>
      <c r="G1907" s="1072"/>
    </row>
    <row r="1908" spans="1:7">
      <c r="A1908" s="947"/>
      <c r="B1908" s="944"/>
      <c r="C1908" s="51"/>
      <c r="D1908" s="54"/>
      <c r="E1908" s="17"/>
      <c r="F1908" s="55">
        <f>D1908*E1908</f>
        <v>0</v>
      </c>
      <c r="G1908" s="1072"/>
    </row>
    <row r="1909" spans="1:7">
      <c r="A1909" s="1079"/>
      <c r="B1909" s="944"/>
      <c r="C1909" s="56"/>
      <c r="D1909" s="56"/>
      <c r="E1909" s="56"/>
      <c r="F1909" s="55"/>
      <c r="G1909" s="57">
        <f>SUM(F1904:F1909)</f>
        <v>2361.35</v>
      </c>
    </row>
    <row r="1910" spans="1:7">
      <c r="A1910" s="1071" t="s">
        <v>10</v>
      </c>
      <c r="B1910" s="944"/>
      <c r="C1910" s="944"/>
      <c r="D1910" s="944"/>
      <c r="E1910" s="944"/>
      <c r="F1910" s="944"/>
      <c r="G1910" s="1072"/>
    </row>
    <row r="1911" spans="1:7">
      <c r="A1911" s="1074" t="s">
        <v>2</v>
      </c>
      <c r="B1911" s="944"/>
      <c r="C1911" s="53" t="s">
        <v>3</v>
      </c>
      <c r="D1911" s="53" t="s">
        <v>4</v>
      </c>
      <c r="E1911" s="53" t="s">
        <v>6</v>
      </c>
      <c r="F1911" s="53" t="s">
        <v>11</v>
      </c>
      <c r="G1911" s="1075" t="s">
        <v>8</v>
      </c>
    </row>
    <row r="1912" spans="1:7">
      <c r="A1912" s="947" t="s">
        <v>925</v>
      </c>
      <c r="B1912" s="944"/>
      <c r="C1912" s="16" t="s">
        <v>39</v>
      </c>
      <c r="D1912" s="54">
        <v>7.0000000000000007E-2</v>
      </c>
      <c r="E1912" s="17">
        <f>'INSUMOS '!$E$345</f>
        <v>45500</v>
      </c>
      <c r="F1912" s="55">
        <f>D1912*E1912</f>
        <v>3185.0000000000005</v>
      </c>
      <c r="G1912" s="1072"/>
    </row>
    <row r="1913" spans="1:7">
      <c r="A1913" s="947" t="s">
        <v>2662</v>
      </c>
      <c r="B1913" s="944"/>
      <c r="C1913" s="51" t="s">
        <v>39</v>
      </c>
      <c r="D1913" s="54">
        <v>1</v>
      </c>
      <c r="E1913" s="17">
        <f>'INSUMOS '!$E$513</f>
        <v>150000</v>
      </c>
      <c r="F1913" s="55">
        <f>D1913*E1913</f>
        <v>150000</v>
      </c>
      <c r="G1913" s="1072"/>
    </row>
    <row r="1914" spans="1:7">
      <c r="A1914" s="947"/>
      <c r="B1914" s="944"/>
      <c r="C1914" s="16"/>
      <c r="D1914" s="54"/>
      <c r="E1914" s="17"/>
      <c r="F1914" s="55">
        <f>D1914*E1914</f>
        <v>0</v>
      </c>
      <c r="G1914" s="1072"/>
    </row>
    <row r="1915" spans="1:7">
      <c r="A1915" s="947"/>
      <c r="B1915" s="944"/>
      <c r="C1915" s="16"/>
      <c r="D1915" s="58"/>
      <c r="E1915" s="17"/>
      <c r="F1915" s="55"/>
      <c r="G1915" s="57">
        <f>SUM(F1911:F1915)</f>
        <v>153185</v>
      </c>
    </row>
    <row r="1916" spans="1:7">
      <c r="A1916" s="1071" t="s">
        <v>15</v>
      </c>
      <c r="B1916" s="944"/>
      <c r="C1916" s="944"/>
      <c r="D1916" s="944"/>
      <c r="E1916" s="944"/>
      <c r="F1916" s="944"/>
      <c r="G1916" s="1072"/>
    </row>
    <row r="1917" spans="1:7">
      <c r="A1917" s="1074" t="s">
        <v>2</v>
      </c>
      <c r="B1917" s="944"/>
      <c r="C1917" s="53" t="s">
        <v>3</v>
      </c>
      <c r="D1917" s="53" t="s">
        <v>4</v>
      </c>
      <c r="E1917" s="53" t="s">
        <v>6</v>
      </c>
      <c r="F1917" s="53" t="s">
        <v>11</v>
      </c>
      <c r="G1917" s="1075" t="s">
        <v>8</v>
      </c>
    </row>
    <row r="1918" spans="1:7">
      <c r="A1918" s="943" t="s">
        <v>173</v>
      </c>
      <c r="B1918" s="944"/>
      <c r="C1918" s="16" t="s">
        <v>3</v>
      </c>
      <c r="D1918" s="54">
        <v>3.5000000000000003E-2</v>
      </c>
      <c r="E1918" s="17">
        <f>+G1915</f>
        <v>153185</v>
      </c>
      <c r="F1918" s="55">
        <f>E1918*D1918</f>
        <v>5361.4750000000004</v>
      </c>
      <c r="G1918" s="1072"/>
    </row>
    <row r="1919" spans="1:7">
      <c r="A1919" s="59"/>
      <c r="B1919" s="60"/>
      <c r="C1919" s="60"/>
      <c r="D1919" s="60"/>
      <c r="E1919" s="60"/>
      <c r="F1919" s="60"/>
      <c r="G1919" s="57">
        <f>SUM(F1918:F1919)</f>
        <v>5361.4750000000004</v>
      </c>
    </row>
    <row r="1920" spans="1:7">
      <c r="A1920" s="1071" t="s">
        <v>19</v>
      </c>
      <c r="B1920" s="944"/>
      <c r="C1920" s="944"/>
      <c r="D1920" s="944"/>
      <c r="E1920" s="944"/>
      <c r="F1920" s="944"/>
      <c r="G1920" s="1072"/>
    </row>
    <row r="1921" spans="1:7">
      <c r="A1921" s="1074" t="s">
        <v>2</v>
      </c>
      <c r="B1921" s="944"/>
      <c r="C1921" s="53" t="s">
        <v>3</v>
      </c>
      <c r="D1921" s="53" t="s">
        <v>4</v>
      </c>
      <c r="E1921" s="53" t="s">
        <v>6</v>
      </c>
      <c r="F1921" s="53" t="s">
        <v>11</v>
      </c>
      <c r="G1921" s="456" t="s">
        <v>8</v>
      </c>
    </row>
    <row r="1922" spans="1:7">
      <c r="A1922" s="978" t="str">
        <f>SALARIOS!$A$70</f>
        <v>CUADRILLA BB INSTALACIONES 1:2</v>
      </c>
      <c r="B1922" s="979"/>
      <c r="C1922" s="13" t="s">
        <v>1245</v>
      </c>
      <c r="D1922" s="32">
        <v>1</v>
      </c>
      <c r="E1922" s="13">
        <f>SALARIOS!$C$70</f>
        <v>37469</v>
      </c>
      <c r="F1922" s="55">
        <f>+D1922*E1922</f>
        <v>37469</v>
      </c>
      <c r="G1922" s="57">
        <f>SUM(F1921:F1922)</f>
        <v>37469</v>
      </c>
    </row>
    <row r="1923" spans="1:7">
      <c r="A1923" s="1076" t="s">
        <v>25</v>
      </c>
      <c r="B1923" s="944"/>
      <c r="C1923" s="944"/>
      <c r="D1923" s="944"/>
      <c r="E1923" s="944"/>
      <c r="F1923" s="944"/>
      <c r="G1923" s="1072"/>
    </row>
    <row r="1924" spans="1:7" ht="17.399999999999999">
      <c r="A1924" s="1077"/>
      <c r="B1924" s="944"/>
      <c r="C1924" s="944"/>
      <c r="D1924" s="944"/>
      <c r="E1924" s="944"/>
      <c r="F1924" s="944"/>
      <c r="G1924" s="62">
        <f>G1922+G1919+G1915+G1909</f>
        <v>198376.82500000001</v>
      </c>
    </row>
    <row r="1926" spans="1:7">
      <c r="A1926" s="970" t="s">
        <v>1</v>
      </c>
      <c r="B1926" s="957"/>
      <c r="C1926" s="953" t="s">
        <v>0</v>
      </c>
      <c r="D1926" s="953"/>
      <c r="E1926" s="953"/>
      <c r="F1926" s="953"/>
      <c r="G1926" s="1103"/>
    </row>
    <row r="1927" spans="1:7" ht="51" customHeight="1">
      <c r="A1927" s="971"/>
      <c r="B1927" s="957"/>
      <c r="C1927" s="953"/>
      <c r="D1927" s="953"/>
      <c r="E1927" s="953"/>
      <c r="F1927" s="953"/>
      <c r="G1927" s="1103"/>
    </row>
    <row r="1928" spans="1:7" ht="17.399999999999999">
      <c r="A1928" s="971"/>
      <c r="B1928" s="957"/>
      <c r="C1928" s="956"/>
      <c r="D1928" s="957"/>
      <c r="E1928" s="957"/>
      <c r="F1928" s="957"/>
      <c r="G1928" s="958"/>
    </row>
    <row r="1929" spans="1:7">
      <c r="A1929" s="971"/>
      <c r="B1929" s="957"/>
      <c r="C1929" s="959" t="s">
        <v>2</v>
      </c>
      <c r="D1929" s="957"/>
      <c r="E1929" s="957"/>
      <c r="F1929" s="23" t="s">
        <v>3</v>
      </c>
      <c r="G1929" s="24" t="s">
        <v>4</v>
      </c>
    </row>
    <row r="1930" spans="1:7" ht="34.799999999999997">
      <c r="A1930" s="1089" t="s">
        <v>2166</v>
      </c>
      <c r="B1930" s="944"/>
      <c r="C1930" s="980" t="s">
        <v>2014</v>
      </c>
      <c r="D1930" s="944"/>
      <c r="E1930" s="944"/>
      <c r="F1930" s="51" t="s">
        <v>39</v>
      </c>
      <c r="G1930" s="52">
        <v>113.96</v>
      </c>
    </row>
    <row r="1931" spans="1:7">
      <c r="A1931" s="1071" t="s">
        <v>5</v>
      </c>
      <c r="B1931" s="944"/>
      <c r="C1931" s="944"/>
      <c r="D1931" s="944"/>
      <c r="E1931" s="944"/>
      <c r="F1931" s="944"/>
      <c r="G1931" s="1072"/>
    </row>
    <row r="1932" spans="1:7" s="2" customFormat="1" ht="15.75" customHeight="1">
      <c r="A1932" s="1074" t="s">
        <v>2</v>
      </c>
      <c r="B1932" s="944"/>
      <c r="C1932" s="53" t="s">
        <v>3</v>
      </c>
      <c r="D1932" s="53" t="s">
        <v>4</v>
      </c>
      <c r="E1932" s="53" t="s">
        <v>6</v>
      </c>
      <c r="F1932" s="53" t="s">
        <v>7</v>
      </c>
      <c r="G1932" s="1075" t="s">
        <v>8</v>
      </c>
    </row>
    <row r="1933" spans="1:7" s="2" customFormat="1" ht="15.75" customHeight="1">
      <c r="A1933" s="947" t="s">
        <v>167</v>
      </c>
      <c r="B1933" s="980"/>
      <c r="C1933" s="51" t="s">
        <v>3</v>
      </c>
      <c r="D1933" s="54">
        <v>0.05</v>
      </c>
      <c r="E1933" s="17">
        <f>+G1951</f>
        <v>18416</v>
      </c>
      <c r="F1933" s="55">
        <f>D1933*E1933</f>
        <v>920.80000000000007</v>
      </c>
      <c r="G1933" s="1072"/>
    </row>
    <row r="1934" spans="1:7" s="2" customFormat="1" ht="15.75" customHeight="1">
      <c r="A1934" s="947"/>
      <c r="B1934" s="944"/>
      <c r="C1934" s="51"/>
      <c r="D1934" s="54"/>
      <c r="E1934" s="17"/>
      <c r="F1934" s="55">
        <f>D1934*E1934</f>
        <v>0</v>
      </c>
      <c r="G1934" s="1072"/>
    </row>
    <row r="1935" spans="1:7" s="2" customFormat="1" ht="15.75" customHeight="1">
      <c r="A1935" s="947"/>
      <c r="B1935" s="980"/>
      <c r="C1935" s="141"/>
      <c r="D1935" s="16"/>
      <c r="E1935" s="143"/>
      <c r="F1935" s="55">
        <f>D1935*E1935</f>
        <v>0</v>
      </c>
      <c r="G1935" s="1072"/>
    </row>
    <row r="1936" spans="1:7" s="2" customFormat="1" ht="15.75" customHeight="1">
      <c r="A1936" s="947"/>
      <c r="B1936" s="944"/>
      <c r="C1936" s="51"/>
      <c r="D1936" s="54"/>
      <c r="E1936" s="17"/>
      <c r="F1936" s="55">
        <f>D1936*E1936</f>
        <v>0</v>
      </c>
      <c r="G1936" s="1072"/>
    </row>
    <row r="1937" spans="1:7" s="2" customFormat="1" ht="15.75" customHeight="1">
      <c r="A1937" s="1079"/>
      <c r="B1937" s="944"/>
      <c r="C1937" s="56"/>
      <c r="D1937" s="56"/>
      <c r="E1937" s="56"/>
      <c r="F1937" s="55"/>
      <c r="G1937" s="57">
        <f>SUM(F1932:F1937)</f>
        <v>920.80000000000007</v>
      </c>
    </row>
    <row r="1938" spans="1:7" s="2" customFormat="1" ht="15" customHeight="1">
      <c r="A1938" s="1071" t="s">
        <v>10</v>
      </c>
      <c r="B1938" s="944"/>
      <c r="C1938" s="944"/>
      <c r="D1938" s="944"/>
      <c r="E1938" s="944"/>
      <c r="F1938" s="944"/>
      <c r="G1938" s="1072"/>
    </row>
    <row r="1939" spans="1:7" s="2" customFormat="1" ht="15" customHeight="1">
      <c r="A1939" s="1074" t="s">
        <v>2</v>
      </c>
      <c r="B1939" s="944"/>
      <c r="C1939" s="53" t="s">
        <v>3</v>
      </c>
      <c r="D1939" s="53" t="s">
        <v>4</v>
      </c>
      <c r="E1939" s="53" t="s">
        <v>6</v>
      </c>
      <c r="F1939" s="53" t="s">
        <v>11</v>
      </c>
      <c r="G1939" s="1075" t="s">
        <v>8</v>
      </c>
    </row>
    <row r="1940" spans="1:7" s="2" customFormat="1" ht="15" customHeight="1">
      <c r="A1940" s="947"/>
      <c r="B1940" s="944"/>
      <c r="C1940" s="16"/>
      <c r="D1940" s="54"/>
      <c r="E1940" s="17"/>
      <c r="F1940" s="55">
        <f>D1940*E1940</f>
        <v>0</v>
      </c>
      <c r="G1940" s="1072"/>
    </row>
    <row r="1941" spans="1:7" s="2" customFormat="1" ht="15" customHeight="1">
      <c r="A1941" s="947"/>
      <c r="B1941" s="944"/>
      <c r="C1941" s="51"/>
      <c r="D1941" s="54"/>
      <c r="E1941" s="17"/>
      <c r="F1941" s="55">
        <f>D1941*E1941</f>
        <v>0</v>
      </c>
      <c r="G1941" s="1072"/>
    </row>
    <row r="1942" spans="1:7" s="2" customFormat="1" ht="15" customHeight="1">
      <c r="A1942" s="947"/>
      <c r="B1942" s="944"/>
      <c r="C1942" s="16"/>
      <c r="D1942" s="54"/>
      <c r="E1942" s="17"/>
      <c r="F1942" s="55">
        <f>D1942*E1942</f>
        <v>0</v>
      </c>
      <c r="G1942" s="1072"/>
    </row>
    <row r="1943" spans="1:7" s="2" customFormat="1" ht="15" customHeight="1">
      <c r="A1943" s="947"/>
      <c r="B1943" s="944"/>
      <c r="C1943" s="16"/>
      <c r="D1943" s="58"/>
      <c r="E1943" s="17"/>
      <c r="F1943" s="55"/>
      <c r="G1943" s="57">
        <f>SUM(F1939:F1943)</f>
        <v>0</v>
      </c>
    </row>
    <row r="1944" spans="1:7" s="2" customFormat="1" ht="15" customHeight="1">
      <c r="A1944" s="1071" t="s">
        <v>15</v>
      </c>
      <c r="B1944" s="944"/>
      <c r="C1944" s="944"/>
      <c r="D1944" s="944"/>
      <c r="E1944" s="944"/>
      <c r="F1944" s="944"/>
      <c r="G1944" s="1072"/>
    </row>
    <row r="1945" spans="1:7" s="2" customFormat="1" ht="15" customHeight="1">
      <c r="A1945" s="1074" t="s">
        <v>2</v>
      </c>
      <c r="B1945" s="944"/>
      <c r="C1945" s="53" t="s">
        <v>3</v>
      </c>
      <c r="D1945" s="53" t="s">
        <v>4</v>
      </c>
      <c r="E1945" s="53" t="s">
        <v>6</v>
      </c>
      <c r="F1945" s="53" t="s">
        <v>11</v>
      </c>
      <c r="G1945" s="1075" t="s">
        <v>8</v>
      </c>
    </row>
    <row r="1946" spans="1:7" s="2" customFormat="1" ht="15" customHeight="1">
      <c r="A1946" s="943" t="s">
        <v>2646</v>
      </c>
      <c r="B1946" s="944"/>
      <c r="C1946" s="16" t="s">
        <v>2645</v>
      </c>
      <c r="D1946" s="16">
        <v>30</v>
      </c>
      <c r="E1946" s="17">
        <f>'MAQUINARIA Y EQUIPOS'!F46</f>
        <v>1650</v>
      </c>
      <c r="F1946" s="55">
        <f>E1946*D1946</f>
        <v>49500</v>
      </c>
      <c r="G1946" s="1075"/>
    </row>
    <row r="1947" spans="1:7" s="2" customFormat="1" ht="15" customHeight="1">
      <c r="A1947" s="943" t="str">
        <f>'MAQUINARIA Y EQUIPOS'!$D$22</f>
        <v>Cargue de material sobrante (2 paleros)</v>
      </c>
      <c r="B1947" s="944"/>
      <c r="C1947" s="16" t="s">
        <v>39</v>
      </c>
      <c r="D1947" s="16">
        <v>1</v>
      </c>
      <c r="E1947" s="17">
        <f>'MAQUINARIA Y EQUIPOS'!$F$22</f>
        <v>42000</v>
      </c>
      <c r="F1947" s="55">
        <f>E1947*D1947</f>
        <v>42000</v>
      </c>
      <c r="G1947" s="1072"/>
    </row>
    <row r="1948" spans="1:7" s="2" customFormat="1" ht="15" customHeight="1">
      <c r="A1948" s="59"/>
      <c r="B1948" s="60"/>
      <c r="C1948" s="60"/>
      <c r="D1948" s="60"/>
      <c r="E1948" s="60"/>
      <c r="F1948" s="60"/>
      <c r="G1948" s="57">
        <f>SUM(F1945:F1948)</f>
        <v>91500</v>
      </c>
    </row>
    <row r="1949" spans="1:7" s="2" customFormat="1" ht="15" customHeight="1">
      <c r="A1949" s="1071" t="s">
        <v>19</v>
      </c>
      <c r="B1949" s="944"/>
      <c r="C1949" s="944"/>
      <c r="D1949" s="944"/>
      <c r="E1949" s="944"/>
      <c r="F1949" s="944"/>
      <c r="G1949" s="1072"/>
    </row>
    <row r="1950" spans="1:7" s="2" customFormat="1" ht="15" customHeight="1">
      <c r="A1950" s="1074" t="s">
        <v>2</v>
      </c>
      <c r="B1950" s="944"/>
      <c r="C1950" s="53" t="s">
        <v>3</v>
      </c>
      <c r="D1950" s="53" t="s">
        <v>4</v>
      </c>
      <c r="E1950" s="53" t="s">
        <v>6</v>
      </c>
      <c r="F1950" s="53" t="s">
        <v>11</v>
      </c>
      <c r="G1950" s="456" t="s">
        <v>8</v>
      </c>
    </row>
    <row r="1951" spans="1:7" s="2" customFormat="1" ht="15.75" customHeight="1">
      <c r="A1951" s="978" t="str">
        <f>SALARIOS!$A$59</f>
        <v>CUADRILLA AA ALBAÑILERÍA 0:2</v>
      </c>
      <c r="B1951" s="979"/>
      <c r="C1951" s="13" t="s">
        <v>1245</v>
      </c>
      <c r="D1951" s="32">
        <v>1</v>
      </c>
      <c r="E1951" s="13">
        <f>SALARIOS!$C$59</f>
        <v>18416</v>
      </c>
      <c r="F1951" s="55">
        <f>+D1951*E1951</f>
        <v>18416</v>
      </c>
      <c r="G1951" s="57">
        <f>SUM(F1950:F1951)</f>
        <v>18416</v>
      </c>
    </row>
    <row r="1952" spans="1:7" s="175" customFormat="1" ht="15.75" customHeight="1">
      <c r="A1952" s="1076" t="s">
        <v>25</v>
      </c>
      <c r="B1952" s="944"/>
      <c r="C1952" s="944"/>
      <c r="D1952" s="944"/>
      <c r="E1952" s="944"/>
      <c r="F1952" s="944"/>
      <c r="G1952" s="1072"/>
    </row>
    <row r="1953" spans="1:7" ht="17.399999999999999">
      <c r="A1953" s="1077"/>
      <c r="B1953" s="944"/>
      <c r="C1953" s="944"/>
      <c r="D1953" s="944"/>
      <c r="E1953" s="944"/>
      <c r="F1953" s="944"/>
      <c r="G1953" s="62">
        <f>G1951+G1948+G1943+G1937</f>
        <v>110836.8</v>
      </c>
    </row>
    <row r="1955" spans="1:7">
      <c r="A1955" s="970" t="s">
        <v>1</v>
      </c>
      <c r="B1955" s="957"/>
      <c r="C1955" s="953" t="s">
        <v>0</v>
      </c>
      <c r="D1955" s="953"/>
      <c r="E1955" s="953"/>
      <c r="F1955" s="953"/>
      <c r="G1955" s="1103"/>
    </row>
    <row r="1956" spans="1:7" ht="47.25" customHeight="1">
      <c r="A1956" s="971"/>
      <c r="B1956" s="957"/>
      <c r="C1956" s="953"/>
      <c r="D1956" s="953"/>
      <c r="E1956" s="953"/>
      <c r="F1956" s="953"/>
      <c r="G1956" s="1103"/>
    </row>
    <row r="1957" spans="1:7" ht="17.399999999999999">
      <c r="A1957" s="971"/>
      <c r="B1957" s="957"/>
      <c r="C1957" s="956"/>
      <c r="D1957" s="957"/>
      <c r="E1957" s="957"/>
      <c r="F1957" s="957"/>
      <c r="G1957" s="958"/>
    </row>
    <row r="1958" spans="1:7">
      <c r="A1958" s="971"/>
      <c r="B1958" s="957"/>
      <c r="C1958" s="959" t="s">
        <v>2</v>
      </c>
      <c r="D1958" s="957"/>
      <c r="E1958" s="957"/>
      <c r="F1958" s="23" t="s">
        <v>3</v>
      </c>
      <c r="G1958" s="24" t="s">
        <v>4</v>
      </c>
    </row>
    <row r="1959" spans="1:7" ht="34.799999999999997">
      <c r="A1959" s="1089" t="s">
        <v>2168</v>
      </c>
      <c r="B1959" s="944"/>
      <c r="C1959" s="980" t="s">
        <v>2121</v>
      </c>
      <c r="D1959" s="944"/>
      <c r="E1959" s="944"/>
      <c r="F1959" s="51" t="s">
        <v>45</v>
      </c>
      <c r="G1959" s="52">
        <v>101.69</v>
      </c>
    </row>
    <row r="1960" spans="1:7">
      <c r="A1960" s="1071" t="s">
        <v>5</v>
      </c>
      <c r="B1960" s="944"/>
      <c r="C1960" s="944"/>
      <c r="D1960" s="944"/>
      <c r="E1960" s="944"/>
      <c r="F1960" s="944"/>
      <c r="G1960" s="1072"/>
    </row>
    <row r="1961" spans="1:7">
      <c r="A1961" s="1074" t="s">
        <v>2</v>
      </c>
      <c r="B1961" s="944"/>
      <c r="C1961" s="53" t="s">
        <v>3</v>
      </c>
      <c r="D1961" s="53" t="s">
        <v>4</v>
      </c>
      <c r="E1961" s="53" t="s">
        <v>6</v>
      </c>
      <c r="F1961" s="53" t="s">
        <v>7</v>
      </c>
      <c r="G1961" s="1075" t="s">
        <v>8</v>
      </c>
    </row>
    <row r="1962" spans="1:7">
      <c r="A1962" s="947" t="s">
        <v>167</v>
      </c>
      <c r="B1962" s="980"/>
      <c r="C1962" s="51" t="s">
        <v>3</v>
      </c>
      <c r="D1962" s="54">
        <v>0.05</v>
      </c>
      <c r="E1962" s="17">
        <f>+G1979</f>
        <v>506.45000000000005</v>
      </c>
      <c r="F1962" s="55">
        <f>D1962*E1962</f>
        <v>25.322500000000005</v>
      </c>
      <c r="G1962" s="1072"/>
    </row>
    <row r="1963" spans="1:7">
      <c r="A1963" s="947"/>
      <c r="B1963" s="944"/>
      <c r="C1963" s="51"/>
      <c r="D1963" s="54"/>
      <c r="E1963" s="17"/>
      <c r="F1963" s="55">
        <f>D1963*E1963</f>
        <v>0</v>
      </c>
      <c r="G1963" s="1072"/>
    </row>
    <row r="1964" spans="1:7">
      <c r="A1964" s="947"/>
      <c r="B1964" s="980"/>
      <c r="C1964" s="141"/>
      <c r="D1964" s="16"/>
      <c r="E1964" s="143"/>
      <c r="F1964" s="55">
        <f>D1964*E1964</f>
        <v>0</v>
      </c>
      <c r="G1964" s="1072"/>
    </row>
    <row r="1965" spans="1:7">
      <c r="A1965" s="947"/>
      <c r="B1965" s="944"/>
      <c r="C1965" s="51"/>
      <c r="D1965" s="54"/>
      <c r="E1965" s="17"/>
      <c r="F1965" s="55">
        <f>D1965*E1965</f>
        <v>0</v>
      </c>
      <c r="G1965" s="1072"/>
    </row>
    <row r="1966" spans="1:7">
      <c r="A1966" s="1079"/>
      <c r="B1966" s="944"/>
      <c r="C1966" s="56"/>
      <c r="D1966" s="56"/>
      <c r="E1966" s="56"/>
      <c r="F1966" s="55"/>
      <c r="G1966" s="57">
        <f>SUM(F1961:F1966)</f>
        <v>25.322500000000005</v>
      </c>
    </row>
    <row r="1967" spans="1:7">
      <c r="A1967" s="1071" t="s">
        <v>10</v>
      </c>
      <c r="B1967" s="944"/>
      <c r="C1967" s="944"/>
      <c r="D1967" s="944"/>
      <c r="E1967" s="944"/>
      <c r="F1967" s="944"/>
      <c r="G1967" s="1072"/>
    </row>
    <row r="1968" spans="1:7">
      <c r="A1968" s="1074" t="s">
        <v>2</v>
      </c>
      <c r="B1968" s="944"/>
      <c r="C1968" s="53" t="s">
        <v>3</v>
      </c>
      <c r="D1968" s="53" t="s">
        <v>4</v>
      </c>
      <c r="E1968" s="53" t="s">
        <v>6</v>
      </c>
      <c r="F1968" s="53" t="s">
        <v>11</v>
      </c>
      <c r="G1968" s="1075" t="s">
        <v>8</v>
      </c>
    </row>
    <row r="1969" spans="1:7">
      <c r="A1969" s="947" t="s">
        <v>924</v>
      </c>
      <c r="B1969" s="944"/>
      <c r="C1969" s="16" t="s">
        <v>998</v>
      </c>
      <c r="D1969" s="54">
        <v>2E-3</v>
      </c>
      <c r="E1969" s="17">
        <f>'INSUMOS '!$E$344</f>
        <v>26775</v>
      </c>
      <c r="F1969" s="55">
        <f>D1969*E1969</f>
        <v>53.550000000000004</v>
      </c>
      <c r="G1969" s="1072"/>
    </row>
    <row r="1970" spans="1:7">
      <c r="A1970" s="947"/>
      <c r="B1970" s="944"/>
      <c r="C1970" s="51"/>
      <c r="D1970" s="54"/>
      <c r="E1970" s="17"/>
      <c r="F1970" s="55">
        <f>D1970*E1970</f>
        <v>0</v>
      </c>
      <c r="G1970" s="1072"/>
    </row>
    <row r="1971" spans="1:7">
      <c r="A1971" s="947"/>
      <c r="B1971" s="944"/>
      <c r="C1971" s="16"/>
      <c r="D1971" s="54"/>
      <c r="E1971" s="17"/>
      <c r="F1971" s="55">
        <f>D1971*E1971</f>
        <v>0</v>
      </c>
      <c r="G1971" s="1072"/>
    </row>
    <row r="1972" spans="1:7">
      <c r="A1972" s="947"/>
      <c r="B1972" s="944"/>
      <c r="C1972" s="16"/>
      <c r="D1972" s="58"/>
      <c r="E1972" s="17"/>
      <c r="F1972" s="55"/>
      <c r="G1972" s="57">
        <f>SUM(F1968:F1972)</f>
        <v>53.550000000000004</v>
      </c>
    </row>
    <row r="1973" spans="1:7">
      <c r="A1973" s="1071" t="s">
        <v>15</v>
      </c>
      <c r="B1973" s="944"/>
      <c r="C1973" s="944"/>
      <c r="D1973" s="944"/>
      <c r="E1973" s="944"/>
      <c r="F1973" s="944"/>
      <c r="G1973" s="1072"/>
    </row>
    <row r="1974" spans="1:7">
      <c r="A1974" s="1074" t="s">
        <v>2</v>
      </c>
      <c r="B1974" s="944"/>
      <c r="C1974" s="53" t="s">
        <v>3</v>
      </c>
      <c r="D1974" s="53" t="s">
        <v>4</v>
      </c>
      <c r="E1974" s="53" t="s">
        <v>6</v>
      </c>
      <c r="F1974" s="53" t="s">
        <v>11</v>
      </c>
      <c r="G1974" s="1075" t="s">
        <v>8</v>
      </c>
    </row>
    <row r="1975" spans="1:7">
      <c r="A1975" s="943" t="s">
        <v>173</v>
      </c>
      <c r="B1975" s="944"/>
      <c r="C1975" s="16" t="s">
        <v>3</v>
      </c>
      <c r="D1975" s="54">
        <v>3.5000000000000003E-2</v>
      </c>
      <c r="E1975" s="17">
        <f>+G1972</f>
        <v>53.550000000000004</v>
      </c>
      <c r="F1975" s="55">
        <f>E1975*D1975</f>
        <v>1.8742500000000004</v>
      </c>
      <c r="G1975" s="1072"/>
    </row>
    <row r="1976" spans="1:7">
      <c r="A1976" s="59"/>
      <c r="B1976" s="60"/>
      <c r="C1976" s="60"/>
      <c r="D1976" s="60"/>
      <c r="E1976" s="60"/>
      <c r="F1976" s="60"/>
      <c r="G1976" s="57">
        <f>SUM(F1975:F1976)</f>
        <v>1.8742500000000004</v>
      </c>
    </row>
    <row r="1977" spans="1:7">
      <c r="A1977" s="1071" t="s">
        <v>19</v>
      </c>
      <c r="B1977" s="944"/>
      <c r="C1977" s="944"/>
      <c r="D1977" s="944"/>
      <c r="E1977" s="944"/>
      <c r="F1977" s="944"/>
      <c r="G1977" s="1072"/>
    </row>
    <row r="1978" spans="1:7">
      <c r="A1978" s="1074" t="s">
        <v>2</v>
      </c>
      <c r="B1978" s="944"/>
      <c r="C1978" s="53" t="s">
        <v>3</v>
      </c>
      <c r="D1978" s="53" t="s">
        <v>4</v>
      </c>
      <c r="E1978" s="53" t="s">
        <v>6</v>
      </c>
      <c r="F1978" s="53" t="s">
        <v>11</v>
      </c>
      <c r="G1978" s="456" t="s">
        <v>8</v>
      </c>
    </row>
    <row r="1979" spans="1:7">
      <c r="A1979" s="978" t="str">
        <f>SALARIOS!$A$66</f>
        <v>CUADRILLA BB INSTALACIONES 0:1</v>
      </c>
      <c r="B1979" s="979"/>
      <c r="C1979" s="13" t="s">
        <v>1245</v>
      </c>
      <c r="D1979" s="32">
        <v>0.05</v>
      </c>
      <c r="E1979" s="13">
        <f>SALARIOS!$C$66</f>
        <v>10129</v>
      </c>
      <c r="F1979" s="55">
        <f>+D1979*E1979</f>
        <v>506.45000000000005</v>
      </c>
      <c r="G1979" s="57">
        <f>SUM(F1978:F1979)</f>
        <v>506.45000000000005</v>
      </c>
    </row>
    <row r="1980" spans="1:7">
      <c r="A1980" s="1076" t="s">
        <v>25</v>
      </c>
      <c r="B1980" s="944"/>
      <c r="C1980" s="944"/>
      <c r="D1980" s="944"/>
      <c r="E1980" s="944"/>
      <c r="F1980" s="944"/>
      <c r="G1980" s="1072"/>
    </row>
    <row r="1981" spans="1:7" ht="17.399999999999999">
      <c r="A1981" s="1077"/>
      <c r="B1981" s="944"/>
      <c r="C1981" s="944"/>
      <c r="D1981" s="944"/>
      <c r="E1981" s="944"/>
      <c r="F1981" s="944"/>
      <c r="G1981" s="62">
        <f>G1979+G1976+G1972+G1966</f>
        <v>587.19675000000007</v>
      </c>
    </row>
    <row r="1983" spans="1:7">
      <c r="A1983" s="970" t="s">
        <v>1</v>
      </c>
      <c r="B1983" s="957"/>
      <c r="C1983" s="953" t="s">
        <v>0</v>
      </c>
      <c r="D1983" s="953"/>
      <c r="E1983" s="953"/>
      <c r="F1983" s="953"/>
      <c r="G1983" s="1103"/>
    </row>
    <row r="1984" spans="1:7" ht="46.5" customHeight="1">
      <c r="A1984" s="971"/>
      <c r="B1984" s="957"/>
      <c r="C1984" s="953"/>
      <c r="D1984" s="953"/>
      <c r="E1984" s="953"/>
      <c r="F1984" s="953"/>
      <c r="G1984" s="1103"/>
    </row>
    <row r="1985" spans="1:7" ht="17.399999999999999">
      <c r="A1985" s="971"/>
      <c r="B1985" s="957"/>
      <c r="C1985" s="956"/>
      <c r="D1985" s="957"/>
      <c r="E1985" s="957"/>
      <c r="F1985" s="957"/>
      <c r="G1985" s="958"/>
    </row>
    <row r="1986" spans="1:7">
      <c r="A1986" s="971"/>
      <c r="B1986" s="957"/>
      <c r="C1986" s="959" t="s">
        <v>2</v>
      </c>
      <c r="D1986" s="957"/>
      <c r="E1986" s="957"/>
      <c r="F1986" s="23" t="s">
        <v>3</v>
      </c>
      <c r="G1986" s="24" t="s">
        <v>4</v>
      </c>
    </row>
    <row r="1987" spans="1:7" ht="60" customHeight="1">
      <c r="A1987" s="1089" t="s">
        <v>2169</v>
      </c>
      <c r="B1987" s="944"/>
      <c r="C1987" s="980" t="s">
        <v>2170</v>
      </c>
      <c r="D1987" s="944"/>
      <c r="E1987" s="944"/>
      <c r="F1987" s="51" t="s">
        <v>1620</v>
      </c>
      <c r="G1987" s="52">
        <v>2</v>
      </c>
    </row>
    <row r="1988" spans="1:7">
      <c r="A1988" s="1071" t="s">
        <v>5</v>
      </c>
      <c r="B1988" s="944"/>
      <c r="C1988" s="944"/>
      <c r="D1988" s="944"/>
      <c r="E1988" s="944"/>
      <c r="F1988" s="944"/>
      <c r="G1988" s="1072"/>
    </row>
    <row r="1989" spans="1:7">
      <c r="A1989" s="1074" t="s">
        <v>2</v>
      </c>
      <c r="B1989" s="944"/>
      <c r="C1989" s="53" t="s">
        <v>3</v>
      </c>
      <c r="D1989" s="53" t="s">
        <v>4</v>
      </c>
      <c r="E1989" s="53" t="s">
        <v>6</v>
      </c>
      <c r="F1989" s="53" t="s">
        <v>7</v>
      </c>
      <c r="G1989" s="1075" t="s">
        <v>8</v>
      </c>
    </row>
    <row r="1990" spans="1:7">
      <c r="A1990" s="947" t="s">
        <v>167</v>
      </c>
      <c r="B1990" s="980"/>
      <c r="C1990" s="51" t="s">
        <v>3</v>
      </c>
      <c r="D1990" s="54">
        <v>0.05</v>
      </c>
      <c r="E1990" s="17">
        <f>+G2009</f>
        <v>43271</v>
      </c>
      <c r="F1990" s="55">
        <f>D1990*E1990</f>
        <v>2163.5500000000002</v>
      </c>
      <c r="G1990" s="1072"/>
    </row>
    <row r="1991" spans="1:7">
      <c r="A1991" s="947"/>
      <c r="B1991" s="944"/>
      <c r="C1991" s="51"/>
      <c r="D1991" s="54"/>
      <c r="E1991" s="17"/>
      <c r="F1991" s="55">
        <f>D1991*E1991</f>
        <v>0</v>
      </c>
      <c r="G1991" s="1072"/>
    </row>
    <row r="1992" spans="1:7">
      <c r="A1992" s="947"/>
      <c r="B1992" s="980"/>
      <c r="C1992" s="141"/>
      <c r="D1992" s="16"/>
      <c r="E1992" s="143"/>
      <c r="F1992" s="55">
        <f>D1992*E1992</f>
        <v>0</v>
      </c>
      <c r="G1992" s="1072"/>
    </row>
    <row r="1993" spans="1:7">
      <c r="A1993" s="947"/>
      <c r="B1993" s="944"/>
      <c r="C1993" s="51"/>
      <c r="D1993" s="54"/>
      <c r="E1993" s="17"/>
      <c r="F1993" s="55">
        <f>D1993*E1993</f>
        <v>0</v>
      </c>
      <c r="G1993" s="1072"/>
    </row>
    <row r="1994" spans="1:7">
      <c r="A1994" s="1079"/>
      <c r="B1994" s="944"/>
      <c r="C1994" s="56"/>
      <c r="D1994" s="56"/>
      <c r="E1994" s="56"/>
      <c r="F1994" s="55"/>
      <c r="G1994" s="57">
        <f>SUM(F1989:F1994)</f>
        <v>2163.5500000000002</v>
      </c>
    </row>
    <row r="1995" spans="1:7">
      <c r="A1995" s="1071" t="s">
        <v>10</v>
      </c>
      <c r="B1995" s="944"/>
      <c r="C1995" s="944"/>
      <c r="D1995" s="944"/>
      <c r="E1995" s="944"/>
      <c r="F1995" s="944"/>
      <c r="G1995" s="1072"/>
    </row>
    <row r="1996" spans="1:7">
      <c r="A1996" s="1074" t="s">
        <v>2</v>
      </c>
      <c r="B1996" s="944"/>
      <c r="C1996" s="53" t="s">
        <v>3</v>
      </c>
      <c r="D1996" s="53" t="s">
        <v>4</v>
      </c>
      <c r="E1996" s="53" t="s">
        <v>6</v>
      </c>
      <c r="F1996" s="53" t="s">
        <v>11</v>
      </c>
      <c r="G1996" s="1075" t="s">
        <v>8</v>
      </c>
    </row>
    <row r="1997" spans="1:7">
      <c r="A1997" s="947" t="s">
        <v>2641</v>
      </c>
      <c r="B1997" s="944"/>
      <c r="C1997" s="16" t="s">
        <v>998</v>
      </c>
      <c r="D1997" s="54">
        <v>1</v>
      </c>
      <c r="E1997" s="17">
        <f>'INSUMOS '!E506</f>
        <v>199468</v>
      </c>
      <c r="F1997" s="55">
        <f>D1997*E1997</f>
        <v>199468</v>
      </c>
      <c r="G1997" s="1075"/>
    </row>
    <row r="1998" spans="1:7">
      <c r="A1998" s="947" t="s">
        <v>2642</v>
      </c>
      <c r="B1998" s="944"/>
      <c r="C1998" s="16" t="s">
        <v>998</v>
      </c>
      <c r="D1998" s="54">
        <v>1</v>
      </c>
      <c r="E1998" s="17">
        <f>'INSUMOS '!E507</f>
        <v>409200</v>
      </c>
      <c r="F1998" s="55">
        <f>D1998*E1998</f>
        <v>409200</v>
      </c>
      <c r="G1998" s="1075"/>
    </row>
    <row r="1999" spans="1:7">
      <c r="A1999" s="947" t="s">
        <v>2643</v>
      </c>
      <c r="B1999" s="944"/>
      <c r="C1999" s="16" t="s">
        <v>998</v>
      </c>
      <c r="D1999" s="54">
        <v>1</v>
      </c>
      <c r="E1999" s="17">
        <f>'INSUMOS '!E508</f>
        <v>271800</v>
      </c>
      <c r="F1999" s="55">
        <f>D1999*E1999</f>
        <v>271800</v>
      </c>
      <c r="G1999" s="1072"/>
    </row>
    <row r="2000" spans="1:7">
      <c r="A2000" s="947" t="s">
        <v>2644</v>
      </c>
      <c r="B2000" s="944"/>
      <c r="C2000" s="16" t="s">
        <v>998</v>
      </c>
      <c r="D2000" s="54">
        <v>3.13</v>
      </c>
      <c r="E2000" s="17">
        <f>'INSUMOS '!E509</f>
        <v>540500</v>
      </c>
      <c r="F2000" s="55">
        <f>D2000*E2000</f>
        <v>1691765</v>
      </c>
      <c r="G2000" s="1072"/>
    </row>
    <row r="2001" spans="1:7">
      <c r="A2001" s="947" t="s">
        <v>2653</v>
      </c>
      <c r="B2001" s="944"/>
      <c r="C2001" s="16" t="s">
        <v>39</v>
      </c>
      <c r="D2001" s="54">
        <v>0.1</v>
      </c>
      <c r="E2001" s="17">
        <f>SUBANÁLISIS!G89</f>
        <v>431833.82500000001</v>
      </c>
      <c r="F2001" s="55">
        <f>D2001*E2001</f>
        <v>43183.382500000007</v>
      </c>
      <c r="G2001" s="1072"/>
    </row>
    <row r="2002" spans="1:7">
      <c r="A2002" s="947"/>
      <c r="B2002" s="944"/>
      <c r="C2002" s="16"/>
      <c r="D2002" s="58"/>
      <c r="E2002" s="17"/>
      <c r="F2002" s="55"/>
      <c r="G2002" s="57">
        <f>SUM(F1996:F2002)</f>
        <v>2615416.3824999998</v>
      </c>
    </row>
    <row r="2003" spans="1:7">
      <c r="A2003" s="1071" t="s">
        <v>15</v>
      </c>
      <c r="B2003" s="944"/>
      <c r="C2003" s="944"/>
      <c r="D2003" s="944"/>
      <c r="E2003" s="944"/>
      <c r="F2003" s="944"/>
      <c r="G2003" s="1072"/>
    </row>
    <row r="2004" spans="1:7">
      <c r="A2004" s="1074" t="s">
        <v>2</v>
      </c>
      <c r="B2004" s="944"/>
      <c r="C2004" s="53" t="s">
        <v>3</v>
      </c>
      <c r="D2004" s="53" t="s">
        <v>4</v>
      </c>
      <c r="E2004" s="53" t="s">
        <v>6</v>
      </c>
      <c r="F2004" s="53" t="s">
        <v>11</v>
      </c>
      <c r="G2004" s="1075" t="s">
        <v>8</v>
      </c>
    </row>
    <row r="2005" spans="1:7">
      <c r="A2005" s="943" t="s">
        <v>173</v>
      </c>
      <c r="B2005" s="944"/>
      <c r="C2005" s="16" t="s">
        <v>3</v>
      </c>
      <c r="D2005" s="54">
        <v>3.5000000000000003E-2</v>
      </c>
      <c r="E2005" s="17">
        <f>+G2002</f>
        <v>2615416.3824999998</v>
      </c>
      <c r="F2005" s="55">
        <f>E2005*D2005</f>
        <v>91539.573387500001</v>
      </c>
      <c r="G2005" s="1072"/>
    </row>
    <row r="2006" spans="1:7">
      <c r="A2006" s="59"/>
      <c r="B2006" s="60"/>
      <c r="C2006" s="60"/>
      <c r="D2006" s="60"/>
      <c r="E2006" s="60"/>
      <c r="F2006" s="60"/>
      <c r="G2006" s="57">
        <f>SUM(F2005:F2006)</f>
        <v>91539.573387500001</v>
      </c>
    </row>
    <row r="2007" spans="1:7">
      <c r="A2007" s="1071" t="s">
        <v>19</v>
      </c>
      <c r="B2007" s="944"/>
      <c r="C2007" s="944"/>
      <c r="D2007" s="944"/>
      <c r="E2007" s="944"/>
      <c r="F2007" s="944"/>
      <c r="G2007" s="1072"/>
    </row>
    <row r="2008" spans="1:7">
      <c r="A2008" s="1074" t="s">
        <v>2</v>
      </c>
      <c r="B2008" s="944"/>
      <c r="C2008" s="53" t="s">
        <v>3</v>
      </c>
      <c r="D2008" s="53" t="s">
        <v>4</v>
      </c>
      <c r="E2008" s="53" t="s">
        <v>6</v>
      </c>
      <c r="F2008" s="53" t="s">
        <v>11</v>
      </c>
      <c r="G2008" s="456" t="s">
        <v>8</v>
      </c>
    </row>
    <row r="2009" spans="1:7">
      <c r="A2009" s="978" t="str">
        <f>SALARIOS!$A$63</f>
        <v>CUADRILLA AA ALBAÑILERÍA 1:3</v>
      </c>
      <c r="B2009" s="979"/>
      <c r="C2009" s="13" t="s">
        <v>1245</v>
      </c>
      <c r="D2009" s="32">
        <v>1</v>
      </c>
      <c r="E2009" s="13">
        <f>SALARIOS!$C$63</f>
        <v>43271</v>
      </c>
      <c r="F2009" s="55">
        <f>+D2009*E2009</f>
        <v>43271</v>
      </c>
      <c r="G2009" s="57">
        <f>SUM(F2008:F2009)</f>
        <v>43271</v>
      </c>
    </row>
    <row r="2010" spans="1:7">
      <c r="A2010" s="1076" t="s">
        <v>25</v>
      </c>
      <c r="B2010" s="944"/>
      <c r="C2010" s="944"/>
      <c r="D2010" s="944"/>
      <c r="E2010" s="944"/>
      <c r="F2010" s="944"/>
      <c r="G2010" s="1072"/>
    </row>
    <row r="2011" spans="1:7" ht="17.399999999999999">
      <c r="A2011" s="1077"/>
      <c r="B2011" s="944"/>
      <c r="C2011" s="944"/>
      <c r="D2011" s="944"/>
      <c r="E2011" s="944"/>
      <c r="F2011" s="944"/>
      <c r="G2011" s="62">
        <f>G2009+G2006+G2002+G1994</f>
        <v>2752390.5058874995</v>
      </c>
    </row>
    <row r="2012" spans="1:7" ht="15.75" customHeight="1"/>
    <row r="2013" spans="1:7">
      <c r="A2013" s="970" t="s">
        <v>1</v>
      </c>
      <c r="B2013" s="957"/>
      <c r="C2013" s="953" t="s">
        <v>0</v>
      </c>
      <c r="D2013" s="953"/>
      <c r="E2013" s="953"/>
      <c r="F2013" s="953"/>
      <c r="G2013" s="1103"/>
    </row>
    <row r="2014" spans="1:7" ht="51" customHeight="1">
      <c r="A2014" s="971"/>
      <c r="B2014" s="957"/>
      <c r="C2014" s="953"/>
      <c r="D2014" s="953"/>
      <c r="E2014" s="953"/>
      <c r="F2014" s="953"/>
      <c r="G2014" s="1103"/>
    </row>
    <row r="2015" spans="1:7" ht="17.399999999999999">
      <c r="A2015" s="971"/>
      <c r="B2015" s="957"/>
      <c r="C2015" s="956"/>
      <c r="D2015" s="957"/>
      <c r="E2015" s="957"/>
      <c r="F2015" s="957"/>
      <c r="G2015" s="958"/>
    </row>
    <row r="2016" spans="1:7">
      <c r="A2016" s="971"/>
      <c r="B2016" s="957"/>
      <c r="C2016" s="959" t="s">
        <v>2</v>
      </c>
      <c r="D2016" s="957"/>
      <c r="E2016" s="957"/>
      <c r="F2016" s="23" t="s">
        <v>3</v>
      </c>
      <c r="G2016" s="24" t="s">
        <v>4</v>
      </c>
    </row>
    <row r="2017" spans="1:7" ht="34.799999999999997">
      <c r="A2017" s="1089" t="s">
        <v>2171</v>
      </c>
      <c r="B2017" s="944"/>
      <c r="C2017" s="980" t="s">
        <v>2127</v>
      </c>
      <c r="D2017" s="944"/>
      <c r="E2017" s="944"/>
      <c r="F2017" s="51" t="s">
        <v>1620</v>
      </c>
      <c r="G2017" s="52">
        <v>4</v>
      </c>
    </row>
    <row r="2018" spans="1:7">
      <c r="A2018" s="1071" t="s">
        <v>5</v>
      </c>
      <c r="B2018" s="944"/>
      <c r="C2018" s="944"/>
      <c r="D2018" s="944"/>
      <c r="E2018" s="944"/>
      <c r="F2018" s="944"/>
      <c r="G2018" s="1072"/>
    </row>
    <row r="2019" spans="1:7">
      <c r="A2019" s="1074" t="s">
        <v>2</v>
      </c>
      <c r="B2019" s="944"/>
      <c r="C2019" s="53" t="s">
        <v>3</v>
      </c>
      <c r="D2019" s="53" t="s">
        <v>4</v>
      </c>
      <c r="E2019" s="53" t="s">
        <v>6</v>
      </c>
      <c r="F2019" s="53" t="s">
        <v>7</v>
      </c>
      <c r="G2019" s="1075" t="s">
        <v>8</v>
      </c>
    </row>
    <row r="2020" spans="1:7">
      <c r="A2020" s="947" t="s">
        <v>167</v>
      </c>
      <c r="B2020" s="980"/>
      <c r="C2020" s="51" t="s">
        <v>3</v>
      </c>
      <c r="D2020" s="54">
        <v>0.05</v>
      </c>
      <c r="E2020" s="17">
        <f>+G2037</f>
        <v>13670.5</v>
      </c>
      <c r="F2020" s="55">
        <f>D2020*E2020</f>
        <v>683.52500000000009</v>
      </c>
      <c r="G2020" s="1072"/>
    </row>
    <row r="2021" spans="1:7">
      <c r="A2021" s="947"/>
      <c r="B2021" s="944"/>
      <c r="C2021" s="51"/>
      <c r="D2021" s="54"/>
      <c r="E2021" s="17"/>
      <c r="F2021" s="55">
        <f>D2021*E2021</f>
        <v>0</v>
      </c>
      <c r="G2021" s="1072"/>
    </row>
    <row r="2022" spans="1:7">
      <c r="A2022" s="947"/>
      <c r="B2022" s="980"/>
      <c r="C2022" s="141"/>
      <c r="D2022" s="16"/>
      <c r="E2022" s="143"/>
      <c r="F2022" s="55">
        <f>D2022*E2022</f>
        <v>0</v>
      </c>
      <c r="G2022" s="1072"/>
    </row>
    <row r="2023" spans="1:7">
      <c r="A2023" s="947"/>
      <c r="B2023" s="944"/>
      <c r="C2023" s="51"/>
      <c r="D2023" s="54"/>
      <c r="E2023" s="17"/>
      <c r="F2023" s="55">
        <f>D2023*E2023</f>
        <v>0</v>
      </c>
      <c r="G2023" s="1072"/>
    </row>
    <row r="2024" spans="1:7">
      <c r="A2024" s="1079"/>
      <c r="B2024" s="944"/>
      <c r="C2024" s="56"/>
      <c r="D2024" s="56"/>
      <c r="E2024" s="56"/>
      <c r="F2024" s="55"/>
      <c r="G2024" s="57">
        <f>SUM(F2019:F2024)</f>
        <v>683.52500000000009</v>
      </c>
    </row>
    <row r="2025" spans="1:7">
      <c r="A2025" s="1071" t="s">
        <v>10</v>
      </c>
      <c r="B2025" s="944"/>
      <c r="C2025" s="944"/>
      <c r="D2025" s="944"/>
      <c r="E2025" s="944"/>
      <c r="F2025" s="944"/>
      <c r="G2025" s="1072"/>
    </row>
    <row r="2026" spans="1:7">
      <c r="A2026" s="1074" t="s">
        <v>2</v>
      </c>
      <c r="B2026" s="944"/>
      <c r="C2026" s="53" t="s">
        <v>3</v>
      </c>
      <c r="D2026" s="53" t="s">
        <v>4</v>
      </c>
      <c r="E2026" s="53" t="s">
        <v>6</v>
      </c>
      <c r="F2026" s="53" t="s">
        <v>11</v>
      </c>
      <c r="G2026" s="1075" t="s">
        <v>8</v>
      </c>
    </row>
    <row r="2027" spans="1:7">
      <c r="A2027" s="947" t="s">
        <v>2633</v>
      </c>
      <c r="B2027" s="944"/>
      <c r="C2027" s="16" t="s">
        <v>998</v>
      </c>
      <c r="D2027" s="54">
        <v>1</v>
      </c>
      <c r="E2027" s="17">
        <f>'INSUMOS '!$E$498</f>
        <v>27943.5</v>
      </c>
      <c r="F2027" s="55">
        <f>D2027*E2027</f>
        <v>27943.5</v>
      </c>
      <c r="G2027" s="1072"/>
    </row>
    <row r="2028" spans="1:7">
      <c r="A2028" s="947"/>
      <c r="B2028" s="944"/>
      <c r="C2028" s="51"/>
      <c r="D2028" s="54"/>
      <c r="E2028" s="17"/>
      <c r="F2028" s="55">
        <f>D2028*E2028</f>
        <v>0</v>
      </c>
      <c r="G2028" s="1072"/>
    </row>
    <row r="2029" spans="1:7">
      <c r="A2029" s="947"/>
      <c r="B2029" s="944"/>
      <c r="C2029" s="16"/>
      <c r="D2029" s="54"/>
      <c r="E2029" s="17"/>
      <c r="F2029" s="55">
        <f>D2029*E2029</f>
        <v>0</v>
      </c>
      <c r="G2029" s="1072"/>
    </row>
    <row r="2030" spans="1:7">
      <c r="A2030" s="947"/>
      <c r="B2030" s="944"/>
      <c r="C2030" s="16"/>
      <c r="D2030" s="58"/>
      <c r="E2030" s="17"/>
      <c r="F2030" s="55"/>
      <c r="G2030" s="57">
        <f>SUM(F2026:F2030)</f>
        <v>27943.5</v>
      </c>
    </row>
    <row r="2031" spans="1:7">
      <c r="A2031" s="1071" t="s">
        <v>15</v>
      </c>
      <c r="B2031" s="944"/>
      <c r="C2031" s="944"/>
      <c r="D2031" s="944"/>
      <c r="E2031" s="944"/>
      <c r="F2031" s="944"/>
      <c r="G2031" s="1072"/>
    </row>
    <row r="2032" spans="1:7">
      <c r="A2032" s="1074" t="s">
        <v>2</v>
      </c>
      <c r="B2032" s="944"/>
      <c r="C2032" s="53" t="s">
        <v>3</v>
      </c>
      <c r="D2032" s="53" t="s">
        <v>4</v>
      </c>
      <c r="E2032" s="53" t="s">
        <v>6</v>
      </c>
      <c r="F2032" s="53" t="s">
        <v>11</v>
      </c>
      <c r="G2032" s="1075" t="s">
        <v>8</v>
      </c>
    </row>
    <row r="2033" spans="1:7">
      <c r="A2033" s="943" t="s">
        <v>173</v>
      </c>
      <c r="B2033" s="944"/>
      <c r="C2033" s="16" t="s">
        <v>3</v>
      </c>
      <c r="D2033" s="54">
        <v>3.5000000000000003E-2</v>
      </c>
      <c r="E2033" s="17">
        <f>+G2030</f>
        <v>27943.5</v>
      </c>
      <c r="F2033" s="55">
        <f>E2033*D2033</f>
        <v>978.02250000000004</v>
      </c>
      <c r="G2033" s="1072"/>
    </row>
    <row r="2034" spans="1:7">
      <c r="A2034" s="59"/>
      <c r="B2034" s="60"/>
      <c r="C2034" s="60"/>
      <c r="D2034" s="60"/>
      <c r="E2034" s="60"/>
      <c r="F2034" s="60"/>
      <c r="G2034" s="57">
        <f>SUM(F2033:F2034)</f>
        <v>978.02250000000004</v>
      </c>
    </row>
    <row r="2035" spans="1:7">
      <c r="A2035" s="1071" t="s">
        <v>19</v>
      </c>
      <c r="B2035" s="944"/>
      <c r="C2035" s="944"/>
      <c r="D2035" s="944"/>
      <c r="E2035" s="944"/>
      <c r="F2035" s="944"/>
      <c r="G2035" s="1072"/>
    </row>
    <row r="2036" spans="1:7">
      <c r="A2036" s="1074" t="s">
        <v>2</v>
      </c>
      <c r="B2036" s="944"/>
      <c r="C2036" s="53" t="s">
        <v>3</v>
      </c>
      <c r="D2036" s="53" t="s">
        <v>4</v>
      </c>
      <c r="E2036" s="53" t="s">
        <v>6</v>
      </c>
      <c r="F2036" s="53" t="s">
        <v>11</v>
      </c>
      <c r="G2036" s="456" t="s">
        <v>8</v>
      </c>
    </row>
    <row r="2037" spans="1:7">
      <c r="A2037" s="978" t="str">
        <f>SALARIOS!$A$69</f>
        <v>CUADRILLA BB INSTALACIONES 1:1</v>
      </c>
      <c r="B2037" s="979"/>
      <c r="C2037" s="13" t="s">
        <v>1245</v>
      </c>
      <c r="D2037" s="32">
        <v>0.5</v>
      </c>
      <c r="E2037" s="13">
        <f>SALARIOS!$C$69</f>
        <v>27341</v>
      </c>
      <c r="F2037" s="55">
        <f>+D2037*E2037</f>
        <v>13670.5</v>
      </c>
      <c r="G2037" s="57">
        <f>SUM(F2036:F2037)</f>
        <v>13670.5</v>
      </c>
    </row>
    <row r="2038" spans="1:7">
      <c r="A2038" s="1037" t="s">
        <v>25</v>
      </c>
      <c r="B2038" s="1038"/>
      <c r="C2038" s="1038"/>
      <c r="D2038" s="1038"/>
      <c r="E2038" s="1038"/>
      <c r="F2038" s="1038"/>
      <c r="G2038" s="1039"/>
    </row>
    <row r="2039" spans="1:7" ht="17.399999999999999">
      <c r="A2039" s="1077"/>
      <c r="B2039" s="944"/>
      <c r="C2039" s="944"/>
      <c r="D2039" s="944"/>
      <c r="E2039" s="944"/>
      <c r="F2039" s="944"/>
      <c r="G2039" s="62">
        <f>G2037+G2034+G2030+G2024</f>
        <v>43275.547500000001</v>
      </c>
    </row>
    <row r="2041" spans="1:7">
      <c r="A2041" s="970" t="s">
        <v>1</v>
      </c>
      <c r="B2041" s="957"/>
      <c r="C2041" s="953" t="s">
        <v>0</v>
      </c>
      <c r="D2041" s="953"/>
      <c r="E2041" s="953"/>
      <c r="F2041" s="953"/>
      <c r="G2041" s="1103"/>
    </row>
    <row r="2042" spans="1:7" ht="47.25" customHeight="1">
      <c r="A2042" s="971"/>
      <c r="B2042" s="957"/>
      <c r="C2042" s="953"/>
      <c r="D2042" s="953"/>
      <c r="E2042" s="953"/>
      <c r="F2042" s="953"/>
      <c r="G2042" s="1103"/>
    </row>
    <row r="2043" spans="1:7" ht="17.399999999999999">
      <c r="A2043" s="971"/>
      <c r="B2043" s="957"/>
      <c r="C2043" s="956"/>
      <c r="D2043" s="957"/>
      <c r="E2043" s="957"/>
      <c r="F2043" s="957"/>
      <c r="G2043" s="958"/>
    </row>
    <row r="2044" spans="1:7">
      <c r="A2044" s="971"/>
      <c r="B2044" s="957"/>
      <c r="C2044" s="959" t="s">
        <v>2</v>
      </c>
      <c r="D2044" s="957"/>
      <c r="E2044" s="957"/>
      <c r="F2044" s="23" t="s">
        <v>3</v>
      </c>
      <c r="G2044" s="24" t="s">
        <v>4</v>
      </c>
    </row>
    <row r="2045" spans="1:7" ht="34.799999999999997">
      <c r="A2045" s="1089" t="s">
        <v>2172</v>
      </c>
      <c r="B2045" s="944"/>
      <c r="C2045" s="980" t="s">
        <v>2173</v>
      </c>
      <c r="D2045" s="944"/>
      <c r="E2045" s="944"/>
      <c r="F2045" s="51" t="s">
        <v>1620</v>
      </c>
      <c r="G2045" s="52">
        <v>2</v>
      </c>
    </row>
    <row r="2046" spans="1:7">
      <c r="A2046" s="1071" t="s">
        <v>5</v>
      </c>
      <c r="B2046" s="944"/>
      <c r="C2046" s="944"/>
      <c r="D2046" s="944"/>
      <c r="E2046" s="944"/>
      <c r="F2046" s="944"/>
      <c r="G2046" s="1072"/>
    </row>
    <row r="2047" spans="1:7">
      <c r="A2047" s="1074" t="s">
        <v>2</v>
      </c>
      <c r="B2047" s="944"/>
      <c r="C2047" s="53" t="s">
        <v>3</v>
      </c>
      <c r="D2047" s="53" t="s">
        <v>4</v>
      </c>
      <c r="E2047" s="53" t="s">
        <v>6</v>
      </c>
      <c r="F2047" s="53" t="s">
        <v>7</v>
      </c>
      <c r="G2047" s="1075" t="s">
        <v>8</v>
      </c>
    </row>
    <row r="2048" spans="1:7">
      <c r="A2048" s="947"/>
      <c r="B2048" s="980"/>
      <c r="C2048" s="51"/>
      <c r="D2048" s="54"/>
      <c r="E2048" s="17"/>
      <c r="F2048" s="55">
        <f>D2048*E2048</f>
        <v>0</v>
      </c>
      <c r="G2048" s="1072"/>
    </row>
    <row r="2049" spans="1:7">
      <c r="A2049" s="947"/>
      <c r="B2049" s="944"/>
      <c r="C2049" s="51"/>
      <c r="D2049" s="54"/>
      <c r="E2049" s="17"/>
      <c r="F2049" s="55">
        <f>D2049*E2049</f>
        <v>0</v>
      </c>
      <c r="G2049" s="1072"/>
    </row>
    <row r="2050" spans="1:7">
      <c r="A2050" s="947"/>
      <c r="B2050" s="980"/>
      <c r="C2050" s="141"/>
      <c r="D2050" s="16"/>
      <c r="E2050" s="143"/>
      <c r="F2050" s="55">
        <f>D2050*E2050</f>
        <v>0</v>
      </c>
      <c r="G2050" s="1072"/>
    </row>
    <row r="2051" spans="1:7">
      <c r="A2051" s="947"/>
      <c r="B2051" s="944"/>
      <c r="C2051" s="51"/>
      <c r="D2051" s="54"/>
      <c r="E2051" s="17"/>
      <c r="F2051" s="55">
        <f>D2051*E2051</f>
        <v>0</v>
      </c>
      <c r="G2051" s="1072"/>
    </row>
    <row r="2052" spans="1:7">
      <c r="A2052" s="1079"/>
      <c r="B2052" s="944"/>
      <c r="C2052" s="56"/>
      <c r="D2052" s="56"/>
      <c r="E2052" s="56"/>
      <c r="F2052" s="55"/>
      <c r="G2052" s="57">
        <f>SUM(F2047:F2052)</f>
        <v>0</v>
      </c>
    </row>
    <row r="2053" spans="1:7">
      <c r="A2053" s="1071" t="s">
        <v>10</v>
      </c>
      <c r="B2053" s="944"/>
      <c r="C2053" s="944"/>
      <c r="D2053" s="944"/>
      <c r="E2053" s="944"/>
      <c r="F2053" s="944"/>
      <c r="G2053" s="1072"/>
    </row>
    <row r="2054" spans="1:7">
      <c r="A2054" s="1074" t="s">
        <v>2</v>
      </c>
      <c r="B2054" s="944"/>
      <c r="C2054" s="53" t="s">
        <v>3</v>
      </c>
      <c r="D2054" s="53" t="s">
        <v>4</v>
      </c>
      <c r="E2054" s="53" t="s">
        <v>6</v>
      </c>
      <c r="F2054" s="53" t="s">
        <v>11</v>
      </c>
      <c r="G2054" s="1075" t="s">
        <v>8</v>
      </c>
    </row>
    <row r="2055" spans="1:7">
      <c r="A2055" s="947"/>
      <c r="B2055" s="944"/>
      <c r="C2055" s="16"/>
      <c r="D2055" s="54"/>
      <c r="E2055" s="17"/>
      <c r="F2055" s="55">
        <f>D2055*E2055</f>
        <v>0</v>
      </c>
      <c r="G2055" s="1072"/>
    </row>
    <row r="2056" spans="1:7">
      <c r="A2056" s="947"/>
      <c r="B2056" s="944"/>
      <c r="C2056" s="51"/>
      <c r="D2056" s="54"/>
      <c r="E2056" s="17"/>
      <c r="F2056" s="55">
        <f>D2056*E2056</f>
        <v>0</v>
      </c>
      <c r="G2056" s="1072"/>
    </row>
    <row r="2057" spans="1:7">
      <c r="A2057" s="947"/>
      <c r="B2057" s="944"/>
      <c r="C2057" s="16"/>
      <c r="D2057" s="54"/>
      <c r="E2057" s="17"/>
      <c r="F2057" s="55">
        <f>D2057*E2057</f>
        <v>0</v>
      </c>
      <c r="G2057" s="1072"/>
    </row>
    <row r="2058" spans="1:7">
      <c r="A2058" s="947"/>
      <c r="B2058" s="944"/>
      <c r="C2058" s="16"/>
      <c r="D2058" s="58"/>
      <c r="E2058" s="17"/>
      <c r="F2058" s="55"/>
      <c r="G2058" s="57">
        <f>SUM(F2054:F2058)</f>
        <v>0</v>
      </c>
    </row>
    <row r="2059" spans="1:7">
      <c r="A2059" s="1071" t="s">
        <v>15</v>
      </c>
      <c r="B2059" s="944"/>
      <c r="C2059" s="944"/>
      <c r="D2059" s="944"/>
      <c r="E2059" s="944"/>
      <c r="F2059" s="944"/>
      <c r="G2059" s="1072"/>
    </row>
    <row r="2060" spans="1:7">
      <c r="A2060" s="1074" t="s">
        <v>2</v>
      </c>
      <c r="B2060" s="944"/>
      <c r="C2060" s="53" t="s">
        <v>3</v>
      </c>
      <c r="D2060" s="53" t="s">
        <v>4</v>
      </c>
      <c r="E2060" s="53" t="s">
        <v>6</v>
      </c>
      <c r="F2060" s="53" t="s">
        <v>11</v>
      </c>
      <c r="G2060" s="1075" t="s">
        <v>8</v>
      </c>
    </row>
    <row r="2061" spans="1:7">
      <c r="A2061" s="943"/>
      <c r="B2061" s="944"/>
      <c r="C2061" s="16"/>
      <c r="D2061" s="16"/>
      <c r="E2061" s="17"/>
      <c r="F2061" s="55">
        <f>E2061*D2061</f>
        <v>0</v>
      </c>
      <c r="G2061" s="1072"/>
    </row>
    <row r="2062" spans="1:7">
      <c r="A2062" s="59"/>
      <c r="B2062" s="60"/>
      <c r="C2062" s="60"/>
      <c r="D2062" s="60"/>
      <c r="E2062" s="60"/>
      <c r="F2062" s="60"/>
      <c r="G2062" s="57">
        <f>SUM(F2061:F2062)</f>
        <v>0</v>
      </c>
    </row>
    <row r="2063" spans="1:7">
      <c r="A2063" s="1071" t="s">
        <v>19</v>
      </c>
      <c r="B2063" s="944"/>
      <c r="C2063" s="944"/>
      <c r="D2063" s="944"/>
      <c r="E2063" s="944"/>
      <c r="F2063" s="944"/>
      <c r="G2063" s="1072"/>
    </row>
    <row r="2064" spans="1:7">
      <c r="A2064" s="1074" t="s">
        <v>2</v>
      </c>
      <c r="B2064" s="944"/>
      <c r="C2064" s="53" t="s">
        <v>3</v>
      </c>
      <c r="D2064" s="53" t="s">
        <v>4</v>
      </c>
      <c r="E2064" s="53" t="s">
        <v>6</v>
      </c>
      <c r="F2064" s="53" t="s">
        <v>11</v>
      </c>
      <c r="G2064" s="456" t="s">
        <v>8</v>
      </c>
    </row>
    <row r="2065" spans="1:8">
      <c r="A2065" s="978" t="s">
        <v>2666</v>
      </c>
      <c r="B2065" s="979"/>
      <c r="C2065" s="13" t="s">
        <v>998</v>
      </c>
      <c r="D2065" s="32">
        <v>1</v>
      </c>
      <c r="E2065" s="13">
        <v>80000</v>
      </c>
      <c r="F2065" s="55">
        <f>+D2065*E2065</f>
        <v>80000</v>
      </c>
      <c r="G2065" s="57">
        <f>SUM(F2064:F2065)</f>
        <v>80000</v>
      </c>
    </row>
    <row r="2066" spans="1:8">
      <c r="A2066" s="1076" t="s">
        <v>25</v>
      </c>
      <c r="B2066" s="944"/>
      <c r="C2066" s="944"/>
      <c r="D2066" s="944"/>
      <c r="E2066" s="944"/>
      <c r="F2066" s="944"/>
      <c r="G2066" s="1072"/>
    </row>
    <row r="2067" spans="1:8" ht="17.399999999999999">
      <c r="A2067" s="1077"/>
      <c r="B2067" s="944"/>
      <c r="C2067" s="944"/>
      <c r="D2067" s="944"/>
      <c r="E2067" s="944"/>
      <c r="F2067" s="944"/>
      <c r="G2067" s="62">
        <f>G2065+G2062+G2058+G2052</f>
        <v>80000</v>
      </c>
    </row>
    <row r="2068" spans="1:8">
      <c r="B2068" s="468"/>
      <c r="F2068" s="455"/>
    </row>
    <row r="2069" spans="1:8">
      <c r="B2069" s="468"/>
      <c r="F2069" s="620"/>
    </row>
    <row r="2070" spans="1:8">
      <c r="B2070" s="468"/>
      <c r="F2070" s="620"/>
      <c r="H2070" s="480"/>
    </row>
    <row r="2071" spans="1:8">
      <c r="B2071" s="468"/>
      <c r="F2071" s="455"/>
    </row>
    <row r="2072" spans="1:8">
      <c r="B2072" s="468"/>
      <c r="F2072" s="455"/>
    </row>
    <row r="2073" spans="1:8">
      <c r="B2073" s="468"/>
      <c r="F2073" s="455"/>
    </row>
    <row r="2074" spans="1:8">
      <c r="B2074" s="966"/>
      <c r="C2074" s="966"/>
      <c r="F2074" s="455"/>
    </row>
    <row r="2075" spans="1:8">
      <c r="B2075" s="966"/>
      <c r="C2075" s="966"/>
      <c r="F2075" s="455"/>
    </row>
    <row r="2076" spans="1:8">
      <c r="B2076" s="468"/>
      <c r="F2076" s="455"/>
    </row>
  </sheetData>
  <mergeCells count="2211">
    <mergeCell ref="B2074:C2074"/>
    <mergeCell ref="B2075:C2075"/>
    <mergeCell ref="C2:G2"/>
    <mergeCell ref="A4:B7"/>
    <mergeCell ref="C4:G5"/>
    <mergeCell ref="C6:G6"/>
    <mergeCell ref="C7:E7"/>
    <mergeCell ref="A8:B8"/>
    <mergeCell ref="C8:E8"/>
    <mergeCell ref="A21:B21"/>
    <mergeCell ref="A22:G22"/>
    <mergeCell ref="A23:B23"/>
    <mergeCell ref="G23:G24"/>
    <mergeCell ref="A24:B24"/>
    <mergeCell ref="A26:G26"/>
    <mergeCell ref="A15:B15"/>
    <mergeCell ref="A16:G16"/>
    <mergeCell ref="A17:B17"/>
    <mergeCell ref="G17:G20"/>
    <mergeCell ref="A18:B18"/>
    <mergeCell ref="A19:B19"/>
    <mergeCell ref="A20:B20"/>
    <mergeCell ref="A9:G9"/>
    <mergeCell ref="A10:B10"/>
    <mergeCell ref="G10:G14"/>
    <mergeCell ref="A11:B11"/>
    <mergeCell ref="A12:B12"/>
    <mergeCell ref="A13:B13"/>
    <mergeCell ref="A14:B14"/>
    <mergeCell ref="A36:B36"/>
    <mergeCell ref="C36:E36"/>
    <mergeCell ref="A37:G37"/>
    <mergeCell ref="A38:B38"/>
    <mergeCell ref="A39:B39"/>
    <mergeCell ref="A40:B40"/>
    <mergeCell ref="A41:B41"/>
    <mergeCell ref="A42:B42"/>
    <mergeCell ref="A27:B27"/>
    <mergeCell ref="A28:B28"/>
    <mergeCell ref="A29:G29"/>
    <mergeCell ref="A30:F30"/>
    <mergeCell ref="A32:B35"/>
    <mergeCell ref="C32:G33"/>
    <mergeCell ref="C34:G34"/>
    <mergeCell ref="C35:E35"/>
    <mergeCell ref="G38:G41"/>
    <mergeCell ref="A55:B55"/>
    <mergeCell ref="A56:B56"/>
    <mergeCell ref="A57:G57"/>
    <mergeCell ref="A58:F58"/>
    <mergeCell ref="A60:B63"/>
    <mergeCell ref="C60:G61"/>
    <mergeCell ref="C62:G62"/>
    <mergeCell ref="C63:E63"/>
    <mergeCell ref="A51:B51"/>
    <mergeCell ref="A52:B52"/>
    <mergeCell ref="A54:G54"/>
    <mergeCell ref="A45:B45"/>
    <mergeCell ref="A46:B46"/>
    <mergeCell ref="A47:B47"/>
    <mergeCell ref="A48:B48"/>
    <mergeCell ref="A43:G43"/>
    <mergeCell ref="A44:B44"/>
    <mergeCell ref="G44:G47"/>
    <mergeCell ref="A49:G49"/>
    <mergeCell ref="A50:B50"/>
    <mergeCell ref="G50:G51"/>
    <mergeCell ref="A77:B77"/>
    <mergeCell ref="A78:G78"/>
    <mergeCell ref="A79:B79"/>
    <mergeCell ref="G79:G81"/>
    <mergeCell ref="A81:B81"/>
    <mergeCell ref="A83:G83"/>
    <mergeCell ref="A71:B71"/>
    <mergeCell ref="A72:G72"/>
    <mergeCell ref="A73:B73"/>
    <mergeCell ref="G73:G76"/>
    <mergeCell ref="A74:B74"/>
    <mergeCell ref="A75:B75"/>
    <mergeCell ref="A76:B76"/>
    <mergeCell ref="A64:B64"/>
    <mergeCell ref="C64:E64"/>
    <mergeCell ref="A65:G65"/>
    <mergeCell ref="A66:B66"/>
    <mergeCell ref="G66:G70"/>
    <mergeCell ref="A67:B67"/>
    <mergeCell ref="A68:B68"/>
    <mergeCell ref="A69:B69"/>
    <mergeCell ref="A70:B70"/>
    <mergeCell ref="A80:B80"/>
    <mergeCell ref="A93:B93"/>
    <mergeCell ref="C93:E93"/>
    <mergeCell ref="A94:G94"/>
    <mergeCell ref="A95:B95"/>
    <mergeCell ref="G95:G99"/>
    <mergeCell ref="A96:B96"/>
    <mergeCell ref="A97:B97"/>
    <mergeCell ref="A98:B98"/>
    <mergeCell ref="A99:B99"/>
    <mergeCell ref="A84:B84"/>
    <mergeCell ref="A85:B85"/>
    <mergeCell ref="A86:G86"/>
    <mergeCell ref="A87:F87"/>
    <mergeCell ref="A89:B92"/>
    <mergeCell ref="C89:G90"/>
    <mergeCell ref="C91:G91"/>
    <mergeCell ref="C92:E92"/>
    <mergeCell ref="A117:B117"/>
    <mergeCell ref="A118:B118"/>
    <mergeCell ref="A119:G119"/>
    <mergeCell ref="A120:F120"/>
    <mergeCell ref="A122:B125"/>
    <mergeCell ref="C122:G123"/>
    <mergeCell ref="C124:G124"/>
    <mergeCell ref="C125:E125"/>
    <mergeCell ref="A111:B111"/>
    <mergeCell ref="A112:G112"/>
    <mergeCell ref="A113:B113"/>
    <mergeCell ref="G113:G114"/>
    <mergeCell ref="A114:B114"/>
    <mergeCell ref="A116:G116"/>
    <mergeCell ref="A100:B100"/>
    <mergeCell ref="A101:G101"/>
    <mergeCell ref="A102:B102"/>
    <mergeCell ref="G102:G110"/>
    <mergeCell ref="A108:B108"/>
    <mergeCell ref="A109:B109"/>
    <mergeCell ref="A110:B110"/>
    <mergeCell ref="A103:B103"/>
    <mergeCell ref="A106:B106"/>
    <mergeCell ref="A107:B107"/>
    <mergeCell ref="A104:B104"/>
    <mergeCell ref="A105:B105"/>
    <mergeCell ref="A144:B144"/>
    <mergeCell ref="A145:G145"/>
    <mergeCell ref="A146:B146"/>
    <mergeCell ref="G146:G147"/>
    <mergeCell ref="A147:B147"/>
    <mergeCell ref="A149:G149"/>
    <mergeCell ref="A133:B133"/>
    <mergeCell ref="A134:G134"/>
    <mergeCell ref="A135:B135"/>
    <mergeCell ref="G135:G143"/>
    <mergeCell ref="A141:B141"/>
    <mergeCell ref="A142:B142"/>
    <mergeCell ref="A143:B143"/>
    <mergeCell ref="A126:B126"/>
    <mergeCell ref="C126:E126"/>
    <mergeCell ref="A127:G127"/>
    <mergeCell ref="A128:B128"/>
    <mergeCell ref="G128:G132"/>
    <mergeCell ref="A129:B129"/>
    <mergeCell ref="A130:B130"/>
    <mergeCell ref="A131:B131"/>
    <mergeCell ref="A132:B132"/>
    <mergeCell ref="A136:B136"/>
    <mergeCell ref="A137:B137"/>
    <mergeCell ref="A138:B138"/>
    <mergeCell ref="A139:B139"/>
    <mergeCell ref="A140:B140"/>
    <mergeCell ref="A159:B159"/>
    <mergeCell ref="C159:E159"/>
    <mergeCell ref="A160:G160"/>
    <mergeCell ref="A161:B161"/>
    <mergeCell ref="G161:G165"/>
    <mergeCell ref="A162:B162"/>
    <mergeCell ref="A163:B163"/>
    <mergeCell ref="A164:B164"/>
    <mergeCell ref="A165:B165"/>
    <mergeCell ref="A150:B150"/>
    <mergeCell ref="A151:B151"/>
    <mergeCell ref="A152:G152"/>
    <mergeCell ref="A153:F153"/>
    <mergeCell ref="A155:B158"/>
    <mergeCell ref="C155:G156"/>
    <mergeCell ref="C157:G157"/>
    <mergeCell ref="C158:E158"/>
    <mergeCell ref="A185:B185"/>
    <mergeCell ref="A186:B186"/>
    <mergeCell ref="A187:G187"/>
    <mergeCell ref="A188:F188"/>
    <mergeCell ref="A190:B193"/>
    <mergeCell ref="C190:G191"/>
    <mergeCell ref="C192:G192"/>
    <mergeCell ref="C193:E193"/>
    <mergeCell ref="A179:B179"/>
    <mergeCell ref="A180:G180"/>
    <mergeCell ref="A181:B181"/>
    <mergeCell ref="G181:G182"/>
    <mergeCell ref="A182:B182"/>
    <mergeCell ref="A184:G184"/>
    <mergeCell ref="A166:B166"/>
    <mergeCell ref="A167:G167"/>
    <mergeCell ref="A168:B168"/>
    <mergeCell ref="G168:G178"/>
    <mergeCell ref="A175:B175"/>
    <mergeCell ref="A176:B176"/>
    <mergeCell ref="A178:B178"/>
    <mergeCell ref="A169:B169"/>
    <mergeCell ref="A170:B170"/>
    <mergeCell ref="A171:B171"/>
    <mergeCell ref="A172:B172"/>
    <mergeCell ref="A173:B173"/>
    <mergeCell ref="A174:B174"/>
    <mergeCell ref="A177:B177"/>
    <mergeCell ref="A213:B213"/>
    <mergeCell ref="A214:G214"/>
    <mergeCell ref="A215:B215"/>
    <mergeCell ref="G215:G216"/>
    <mergeCell ref="A216:B216"/>
    <mergeCell ref="A218:G218"/>
    <mergeCell ref="A201:B201"/>
    <mergeCell ref="A202:G202"/>
    <mergeCell ref="A203:B203"/>
    <mergeCell ref="G203:G212"/>
    <mergeCell ref="A210:B210"/>
    <mergeCell ref="A211:B211"/>
    <mergeCell ref="A212:B212"/>
    <mergeCell ref="A194:B194"/>
    <mergeCell ref="C194:E194"/>
    <mergeCell ref="A195:G195"/>
    <mergeCell ref="A196:B196"/>
    <mergeCell ref="G196:G200"/>
    <mergeCell ref="A197:B197"/>
    <mergeCell ref="A198:B198"/>
    <mergeCell ref="A199:B199"/>
    <mergeCell ref="A200:B200"/>
    <mergeCell ref="A204:B204"/>
    <mergeCell ref="A205:B205"/>
    <mergeCell ref="A206:B206"/>
    <mergeCell ref="A207:B207"/>
    <mergeCell ref="A208:B208"/>
    <mergeCell ref="A209:B209"/>
    <mergeCell ref="A228:B228"/>
    <mergeCell ref="C228:E228"/>
    <mergeCell ref="A229:G229"/>
    <mergeCell ref="A230:B230"/>
    <mergeCell ref="G230:G234"/>
    <mergeCell ref="A231:B231"/>
    <mergeCell ref="A232:B232"/>
    <mergeCell ref="A233:B233"/>
    <mergeCell ref="A234:B234"/>
    <mergeCell ref="A219:B219"/>
    <mergeCell ref="A220:B220"/>
    <mergeCell ref="A221:G221"/>
    <mergeCell ref="A222:F222"/>
    <mergeCell ref="A224:B227"/>
    <mergeCell ref="C224:G225"/>
    <mergeCell ref="C226:G226"/>
    <mergeCell ref="C227:E227"/>
    <mergeCell ref="A247:B247"/>
    <mergeCell ref="A248:G248"/>
    <mergeCell ref="A249:B249"/>
    <mergeCell ref="G249:G250"/>
    <mergeCell ref="A250:B250"/>
    <mergeCell ref="A252:G252"/>
    <mergeCell ref="A235:B235"/>
    <mergeCell ref="A236:G236"/>
    <mergeCell ref="A237:B237"/>
    <mergeCell ref="G237:G246"/>
    <mergeCell ref="A244:B244"/>
    <mergeCell ref="A245:B245"/>
    <mergeCell ref="A246:B246"/>
    <mergeCell ref="A238:B238"/>
    <mergeCell ref="A239:B239"/>
    <mergeCell ref="A240:B240"/>
    <mergeCell ref="A241:B241"/>
    <mergeCell ref="A242:B242"/>
    <mergeCell ref="A243:B243"/>
    <mergeCell ref="A262:B262"/>
    <mergeCell ref="C262:E262"/>
    <mergeCell ref="A263:G263"/>
    <mergeCell ref="A264:B264"/>
    <mergeCell ref="G264:G268"/>
    <mergeCell ref="A265:B265"/>
    <mergeCell ref="A266:B266"/>
    <mergeCell ref="A267:B267"/>
    <mergeCell ref="A268:B268"/>
    <mergeCell ref="A272:B272"/>
    <mergeCell ref="A273:B273"/>
    <mergeCell ref="A274:B274"/>
    <mergeCell ref="A275:B275"/>
    <mergeCell ref="A276:B276"/>
    <mergeCell ref="A277:B277"/>
    <mergeCell ref="A253:B253"/>
    <mergeCell ref="A254:B254"/>
    <mergeCell ref="A255:G255"/>
    <mergeCell ref="A256:F256"/>
    <mergeCell ref="A258:B261"/>
    <mergeCell ref="C258:G259"/>
    <mergeCell ref="C260:G260"/>
    <mergeCell ref="C261:E261"/>
    <mergeCell ref="A287:B287"/>
    <mergeCell ref="A288:B288"/>
    <mergeCell ref="A289:G289"/>
    <mergeCell ref="A290:F290"/>
    <mergeCell ref="A292:B295"/>
    <mergeCell ref="C292:G293"/>
    <mergeCell ref="C294:G294"/>
    <mergeCell ref="C295:E295"/>
    <mergeCell ref="A281:B281"/>
    <mergeCell ref="A282:G282"/>
    <mergeCell ref="A283:B283"/>
    <mergeCell ref="G283:G284"/>
    <mergeCell ref="A284:B284"/>
    <mergeCell ref="A286:G286"/>
    <mergeCell ref="A269:B269"/>
    <mergeCell ref="A270:G270"/>
    <mergeCell ref="A271:B271"/>
    <mergeCell ref="G271:G280"/>
    <mergeCell ref="A278:B278"/>
    <mergeCell ref="A279:B279"/>
    <mergeCell ref="A280:B280"/>
    <mergeCell ref="A309:B309"/>
    <mergeCell ref="A310:G310"/>
    <mergeCell ref="A311:B311"/>
    <mergeCell ref="G311:G312"/>
    <mergeCell ref="A312:B312"/>
    <mergeCell ref="A314:G314"/>
    <mergeCell ref="A303:B303"/>
    <mergeCell ref="A304:G304"/>
    <mergeCell ref="A305:B305"/>
    <mergeCell ref="G305:G308"/>
    <mergeCell ref="A306:B306"/>
    <mergeCell ref="A307:B307"/>
    <mergeCell ref="A308:B308"/>
    <mergeCell ref="A296:B296"/>
    <mergeCell ref="C296:E296"/>
    <mergeCell ref="A297:G297"/>
    <mergeCell ref="A298:B298"/>
    <mergeCell ref="G298:G302"/>
    <mergeCell ref="A299:B299"/>
    <mergeCell ref="A300:B300"/>
    <mergeCell ref="A301:B301"/>
    <mergeCell ref="A302:B302"/>
    <mergeCell ref="A324:B324"/>
    <mergeCell ref="C324:E324"/>
    <mergeCell ref="A325:G325"/>
    <mergeCell ref="A326:B326"/>
    <mergeCell ref="G326:G330"/>
    <mergeCell ref="A327:B327"/>
    <mergeCell ref="A328:B328"/>
    <mergeCell ref="A329:B329"/>
    <mergeCell ref="A330:B330"/>
    <mergeCell ref="A315:B315"/>
    <mergeCell ref="A316:B316"/>
    <mergeCell ref="A317:G317"/>
    <mergeCell ref="A318:F318"/>
    <mergeCell ref="A320:B323"/>
    <mergeCell ref="C320:G321"/>
    <mergeCell ref="C322:G322"/>
    <mergeCell ref="C323:E323"/>
    <mergeCell ref="A343:B343"/>
    <mergeCell ref="A344:B344"/>
    <mergeCell ref="A345:G345"/>
    <mergeCell ref="A346:F346"/>
    <mergeCell ref="A348:B351"/>
    <mergeCell ref="C348:G349"/>
    <mergeCell ref="C350:G350"/>
    <mergeCell ref="C351:E351"/>
    <mergeCell ref="A337:B337"/>
    <mergeCell ref="A338:G338"/>
    <mergeCell ref="A339:B339"/>
    <mergeCell ref="G339:G340"/>
    <mergeCell ref="A340:B340"/>
    <mergeCell ref="A342:G342"/>
    <mergeCell ref="A331:B331"/>
    <mergeCell ref="A332:G332"/>
    <mergeCell ref="A333:B333"/>
    <mergeCell ref="G333:G336"/>
    <mergeCell ref="A334:B334"/>
    <mergeCell ref="A335:B335"/>
    <mergeCell ref="A336:B336"/>
    <mergeCell ref="A365:B365"/>
    <mergeCell ref="A366:G366"/>
    <mergeCell ref="A367:B367"/>
    <mergeCell ref="G367:G368"/>
    <mergeCell ref="A368:B368"/>
    <mergeCell ref="A370:G370"/>
    <mergeCell ref="A359:B359"/>
    <mergeCell ref="A360:G360"/>
    <mergeCell ref="A361:B361"/>
    <mergeCell ref="G361:G364"/>
    <mergeCell ref="A362:B362"/>
    <mergeCell ref="A363:B363"/>
    <mergeCell ref="A364:B364"/>
    <mergeCell ref="A352:B352"/>
    <mergeCell ref="C352:E352"/>
    <mergeCell ref="A353:G353"/>
    <mergeCell ref="A354:B354"/>
    <mergeCell ref="G354:G358"/>
    <mergeCell ref="A355:B355"/>
    <mergeCell ref="A356:B356"/>
    <mergeCell ref="A357:B357"/>
    <mergeCell ref="A358:B358"/>
    <mergeCell ref="A380:B380"/>
    <mergeCell ref="C380:E380"/>
    <mergeCell ref="A381:G381"/>
    <mergeCell ref="A382:B382"/>
    <mergeCell ref="G382:G386"/>
    <mergeCell ref="A383:B383"/>
    <mergeCell ref="A384:B384"/>
    <mergeCell ref="A385:B385"/>
    <mergeCell ref="A386:B386"/>
    <mergeCell ref="A371:B371"/>
    <mergeCell ref="A372:B372"/>
    <mergeCell ref="A373:G373"/>
    <mergeCell ref="A374:F374"/>
    <mergeCell ref="A376:B379"/>
    <mergeCell ref="C376:G377"/>
    <mergeCell ref="C378:G378"/>
    <mergeCell ref="C379:E379"/>
    <mergeCell ref="A399:B399"/>
    <mergeCell ref="A400:B400"/>
    <mergeCell ref="A401:G401"/>
    <mergeCell ref="A402:F402"/>
    <mergeCell ref="A404:B407"/>
    <mergeCell ref="C404:G405"/>
    <mergeCell ref="C406:G406"/>
    <mergeCell ref="C407:E407"/>
    <mergeCell ref="A393:B393"/>
    <mergeCell ref="A394:G394"/>
    <mergeCell ref="A395:B395"/>
    <mergeCell ref="G395:G396"/>
    <mergeCell ref="A396:B396"/>
    <mergeCell ref="A398:G398"/>
    <mergeCell ref="A387:B387"/>
    <mergeCell ref="A388:G388"/>
    <mergeCell ref="A389:B389"/>
    <mergeCell ref="G389:G392"/>
    <mergeCell ref="A390:B390"/>
    <mergeCell ref="A391:B391"/>
    <mergeCell ref="A392:B392"/>
    <mergeCell ref="A421:B421"/>
    <mergeCell ref="A422:G422"/>
    <mergeCell ref="A423:B423"/>
    <mergeCell ref="G423:G424"/>
    <mergeCell ref="A424:B424"/>
    <mergeCell ref="A426:G426"/>
    <mergeCell ref="A415:B415"/>
    <mergeCell ref="A416:G416"/>
    <mergeCell ref="A417:B417"/>
    <mergeCell ref="G417:G420"/>
    <mergeCell ref="A418:B418"/>
    <mergeCell ref="A419:B419"/>
    <mergeCell ref="A420:B420"/>
    <mergeCell ref="A408:B408"/>
    <mergeCell ref="C408:E408"/>
    <mergeCell ref="A409:G409"/>
    <mergeCell ref="A410:B410"/>
    <mergeCell ref="G410:G414"/>
    <mergeCell ref="A411:B411"/>
    <mergeCell ref="A412:B412"/>
    <mergeCell ref="A413:B413"/>
    <mergeCell ref="A414:B414"/>
    <mergeCell ref="A436:B436"/>
    <mergeCell ref="C436:E436"/>
    <mergeCell ref="A437:G437"/>
    <mergeCell ref="A438:B438"/>
    <mergeCell ref="G438:G442"/>
    <mergeCell ref="A439:B439"/>
    <mergeCell ref="A440:B440"/>
    <mergeCell ref="A441:B441"/>
    <mergeCell ref="A442:B442"/>
    <mergeCell ref="A427:B427"/>
    <mergeCell ref="A428:B428"/>
    <mergeCell ref="A429:G429"/>
    <mergeCell ref="A430:F430"/>
    <mergeCell ref="A432:B435"/>
    <mergeCell ref="C432:G433"/>
    <mergeCell ref="C434:G434"/>
    <mergeCell ref="C435:E435"/>
    <mergeCell ref="A455:B455"/>
    <mergeCell ref="A456:B456"/>
    <mergeCell ref="A457:G457"/>
    <mergeCell ref="A458:F458"/>
    <mergeCell ref="A460:B463"/>
    <mergeCell ref="C460:G461"/>
    <mergeCell ref="C462:G462"/>
    <mergeCell ref="C463:E463"/>
    <mergeCell ref="A449:B449"/>
    <mergeCell ref="A450:G450"/>
    <mergeCell ref="A451:B451"/>
    <mergeCell ref="G451:G452"/>
    <mergeCell ref="A452:B452"/>
    <mergeCell ref="A454:G454"/>
    <mergeCell ref="A443:B443"/>
    <mergeCell ref="A444:G444"/>
    <mergeCell ref="A445:B445"/>
    <mergeCell ref="G445:G448"/>
    <mergeCell ref="A446:B446"/>
    <mergeCell ref="A447:B447"/>
    <mergeCell ref="A448:B448"/>
    <mergeCell ref="A477:B477"/>
    <mergeCell ref="A478:G478"/>
    <mergeCell ref="A479:B479"/>
    <mergeCell ref="G479:G480"/>
    <mergeCell ref="A480:B480"/>
    <mergeCell ref="A482:G482"/>
    <mergeCell ref="A471:B471"/>
    <mergeCell ref="A472:G472"/>
    <mergeCell ref="A473:B473"/>
    <mergeCell ref="G473:G476"/>
    <mergeCell ref="A474:B474"/>
    <mergeCell ref="A475:B475"/>
    <mergeCell ref="A476:B476"/>
    <mergeCell ref="A464:B464"/>
    <mergeCell ref="C464:E464"/>
    <mergeCell ref="A465:G465"/>
    <mergeCell ref="A466:B466"/>
    <mergeCell ref="G466:G470"/>
    <mergeCell ref="A467:B467"/>
    <mergeCell ref="A468:B468"/>
    <mergeCell ref="A469:B469"/>
    <mergeCell ref="A470:B470"/>
    <mergeCell ref="A492:B492"/>
    <mergeCell ref="C492:E492"/>
    <mergeCell ref="A493:G493"/>
    <mergeCell ref="A494:B494"/>
    <mergeCell ref="G494:G498"/>
    <mergeCell ref="A495:B495"/>
    <mergeCell ref="A496:B496"/>
    <mergeCell ref="A497:B497"/>
    <mergeCell ref="A498:B498"/>
    <mergeCell ref="A483:B483"/>
    <mergeCell ref="A484:B484"/>
    <mergeCell ref="A485:G485"/>
    <mergeCell ref="A486:F486"/>
    <mergeCell ref="A488:B491"/>
    <mergeCell ref="C488:G489"/>
    <mergeCell ref="C490:G490"/>
    <mergeCell ref="C491:E491"/>
    <mergeCell ref="A511:B511"/>
    <mergeCell ref="A512:B512"/>
    <mergeCell ref="A513:G513"/>
    <mergeCell ref="A514:F514"/>
    <mergeCell ref="A516:B519"/>
    <mergeCell ref="C516:G517"/>
    <mergeCell ref="C518:G518"/>
    <mergeCell ref="C519:E519"/>
    <mergeCell ref="A505:B505"/>
    <mergeCell ref="A506:G506"/>
    <mergeCell ref="A507:B507"/>
    <mergeCell ref="G507:G508"/>
    <mergeCell ref="A508:B508"/>
    <mergeCell ref="A510:G510"/>
    <mergeCell ref="A499:B499"/>
    <mergeCell ref="A500:G500"/>
    <mergeCell ref="A501:B501"/>
    <mergeCell ref="G501:G504"/>
    <mergeCell ref="A502:B502"/>
    <mergeCell ref="A503:B503"/>
    <mergeCell ref="A504:B504"/>
    <mergeCell ref="A536:B536"/>
    <mergeCell ref="A537:G537"/>
    <mergeCell ref="A538:B538"/>
    <mergeCell ref="G538:G539"/>
    <mergeCell ref="A539:B539"/>
    <mergeCell ref="A541:G541"/>
    <mergeCell ref="A527:B527"/>
    <mergeCell ref="A528:G528"/>
    <mergeCell ref="A529:B529"/>
    <mergeCell ref="G529:G535"/>
    <mergeCell ref="A533:B533"/>
    <mergeCell ref="A534:B534"/>
    <mergeCell ref="A535:B535"/>
    <mergeCell ref="A530:B530"/>
    <mergeCell ref="A531:B531"/>
    <mergeCell ref="A532:B532"/>
    <mergeCell ref="A520:B520"/>
    <mergeCell ref="C520:E520"/>
    <mergeCell ref="A521:G521"/>
    <mergeCell ref="A522:B522"/>
    <mergeCell ref="G522:G526"/>
    <mergeCell ref="A523:B523"/>
    <mergeCell ref="A524:B524"/>
    <mergeCell ref="A525:B525"/>
    <mergeCell ref="A526:B526"/>
    <mergeCell ref="A551:B551"/>
    <mergeCell ref="C551:E551"/>
    <mergeCell ref="A552:G552"/>
    <mergeCell ref="A553:B553"/>
    <mergeCell ref="G553:G557"/>
    <mergeCell ref="A554:B554"/>
    <mergeCell ref="A555:B555"/>
    <mergeCell ref="A556:B556"/>
    <mergeCell ref="A557:B557"/>
    <mergeCell ref="A561:B561"/>
    <mergeCell ref="A562:B562"/>
    <mergeCell ref="A563:B563"/>
    <mergeCell ref="A542:B542"/>
    <mergeCell ref="A543:B543"/>
    <mergeCell ref="A544:G544"/>
    <mergeCell ref="A545:F545"/>
    <mergeCell ref="A547:B550"/>
    <mergeCell ref="C547:G548"/>
    <mergeCell ref="C549:G549"/>
    <mergeCell ref="C550:E550"/>
    <mergeCell ref="A573:B573"/>
    <mergeCell ref="A574:B574"/>
    <mergeCell ref="A575:G575"/>
    <mergeCell ref="A576:F576"/>
    <mergeCell ref="A578:B581"/>
    <mergeCell ref="C578:G579"/>
    <mergeCell ref="C580:G580"/>
    <mergeCell ref="C581:E581"/>
    <mergeCell ref="A567:B567"/>
    <mergeCell ref="A568:G568"/>
    <mergeCell ref="A569:B569"/>
    <mergeCell ref="G569:G570"/>
    <mergeCell ref="A570:B570"/>
    <mergeCell ref="A572:G572"/>
    <mergeCell ref="A558:B558"/>
    <mergeCell ref="A559:G559"/>
    <mergeCell ref="A560:B560"/>
    <mergeCell ref="G560:G566"/>
    <mergeCell ref="A564:B564"/>
    <mergeCell ref="A565:B565"/>
    <mergeCell ref="A566:B566"/>
    <mergeCell ref="A596:B596"/>
    <mergeCell ref="A597:G597"/>
    <mergeCell ref="A598:B598"/>
    <mergeCell ref="G598:G599"/>
    <mergeCell ref="A599:B599"/>
    <mergeCell ref="A601:G601"/>
    <mergeCell ref="A589:B589"/>
    <mergeCell ref="A590:G590"/>
    <mergeCell ref="A591:B591"/>
    <mergeCell ref="G591:G595"/>
    <mergeCell ref="A592:B592"/>
    <mergeCell ref="A594:B594"/>
    <mergeCell ref="A595:B595"/>
    <mergeCell ref="A593:B593"/>
    <mergeCell ref="A582:B582"/>
    <mergeCell ref="C582:E582"/>
    <mergeCell ref="A583:G583"/>
    <mergeCell ref="A584:B584"/>
    <mergeCell ref="G584:G588"/>
    <mergeCell ref="A585:B585"/>
    <mergeCell ref="A586:B586"/>
    <mergeCell ref="A587:B587"/>
    <mergeCell ref="A588:B588"/>
    <mergeCell ref="A611:B611"/>
    <mergeCell ref="C611:E611"/>
    <mergeCell ref="A612:G612"/>
    <mergeCell ref="A613:B613"/>
    <mergeCell ref="G613:G617"/>
    <mergeCell ref="A614:B614"/>
    <mergeCell ref="A615:B615"/>
    <mergeCell ref="A616:B616"/>
    <mergeCell ref="A617:B617"/>
    <mergeCell ref="A602:B602"/>
    <mergeCell ref="A603:B603"/>
    <mergeCell ref="A604:G604"/>
    <mergeCell ref="A605:F605"/>
    <mergeCell ref="A607:B610"/>
    <mergeCell ref="C607:G608"/>
    <mergeCell ref="C609:G609"/>
    <mergeCell ref="C610:E610"/>
    <mergeCell ref="A630:B630"/>
    <mergeCell ref="A631:B631"/>
    <mergeCell ref="A632:G632"/>
    <mergeCell ref="A633:F633"/>
    <mergeCell ref="A635:B638"/>
    <mergeCell ref="C635:G636"/>
    <mergeCell ref="C637:G637"/>
    <mergeCell ref="C638:E638"/>
    <mergeCell ref="A624:B624"/>
    <mergeCell ref="A625:G625"/>
    <mergeCell ref="A626:B626"/>
    <mergeCell ref="G626:G627"/>
    <mergeCell ref="A627:B627"/>
    <mergeCell ref="A629:G629"/>
    <mergeCell ref="A618:B618"/>
    <mergeCell ref="A619:G619"/>
    <mergeCell ref="A620:B620"/>
    <mergeCell ref="G620:G623"/>
    <mergeCell ref="A621:B621"/>
    <mergeCell ref="A622:B622"/>
    <mergeCell ref="A623:B623"/>
    <mergeCell ref="A652:B652"/>
    <mergeCell ref="A653:G653"/>
    <mergeCell ref="A654:B654"/>
    <mergeCell ref="G654:G655"/>
    <mergeCell ref="A655:B655"/>
    <mergeCell ref="A657:G657"/>
    <mergeCell ref="A646:B646"/>
    <mergeCell ref="A647:G647"/>
    <mergeCell ref="A648:B648"/>
    <mergeCell ref="G648:G651"/>
    <mergeCell ref="A649:B649"/>
    <mergeCell ref="A650:B650"/>
    <mergeCell ref="A651:B651"/>
    <mergeCell ref="A639:B639"/>
    <mergeCell ref="C639:E639"/>
    <mergeCell ref="A640:G640"/>
    <mergeCell ref="A641:B641"/>
    <mergeCell ref="G641:G645"/>
    <mergeCell ref="A642:B642"/>
    <mergeCell ref="A643:B643"/>
    <mergeCell ref="A644:B644"/>
    <mergeCell ref="A645:B645"/>
    <mergeCell ref="A667:B667"/>
    <mergeCell ref="C667:E667"/>
    <mergeCell ref="A668:G668"/>
    <mergeCell ref="A669:B669"/>
    <mergeCell ref="G669:G673"/>
    <mergeCell ref="A670:B670"/>
    <mergeCell ref="A671:B671"/>
    <mergeCell ref="A672:B672"/>
    <mergeCell ref="A673:B673"/>
    <mergeCell ref="A658:B658"/>
    <mergeCell ref="A659:B659"/>
    <mergeCell ref="A660:G660"/>
    <mergeCell ref="A661:F661"/>
    <mergeCell ref="A663:B666"/>
    <mergeCell ref="C663:G664"/>
    <mergeCell ref="C665:G665"/>
    <mergeCell ref="C666:E666"/>
    <mergeCell ref="A686:B686"/>
    <mergeCell ref="A687:B687"/>
    <mergeCell ref="A688:G688"/>
    <mergeCell ref="A689:F689"/>
    <mergeCell ref="A691:B694"/>
    <mergeCell ref="C691:G692"/>
    <mergeCell ref="C693:G693"/>
    <mergeCell ref="C694:E694"/>
    <mergeCell ref="A680:B680"/>
    <mergeCell ref="A681:G681"/>
    <mergeCell ref="A682:B682"/>
    <mergeCell ref="G682:G683"/>
    <mergeCell ref="A683:B683"/>
    <mergeCell ref="A685:G685"/>
    <mergeCell ref="A674:B674"/>
    <mergeCell ref="A675:G675"/>
    <mergeCell ref="A676:B676"/>
    <mergeCell ref="G676:G679"/>
    <mergeCell ref="A677:B677"/>
    <mergeCell ref="A678:B678"/>
    <mergeCell ref="A679:B679"/>
    <mergeCell ref="A708:B708"/>
    <mergeCell ref="A709:G709"/>
    <mergeCell ref="A710:B710"/>
    <mergeCell ref="G710:G711"/>
    <mergeCell ref="A711:B711"/>
    <mergeCell ref="A713:G713"/>
    <mergeCell ref="A702:B702"/>
    <mergeCell ref="A703:G703"/>
    <mergeCell ref="A704:B704"/>
    <mergeCell ref="G704:G707"/>
    <mergeCell ref="A705:B705"/>
    <mergeCell ref="A706:B706"/>
    <mergeCell ref="A707:B707"/>
    <mergeCell ref="A695:B695"/>
    <mergeCell ref="C695:E695"/>
    <mergeCell ref="A696:G696"/>
    <mergeCell ref="A697:B697"/>
    <mergeCell ref="G697:G701"/>
    <mergeCell ref="A698:B698"/>
    <mergeCell ref="A699:B699"/>
    <mergeCell ref="A700:B700"/>
    <mergeCell ref="A701:B701"/>
    <mergeCell ref="A723:B723"/>
    <mergeCell ref="C723:E723"/>
    <mergeCell ref="A724:G724"/>
    <mergeCell ref="A725:B725"/>
    <mergeCell ref="G725:G729"/>
    <mergeCell ref="A726:B726"/>
    <mergeCell ref="A727:B727"/>
    <mergeCell ref="A728:B728"/>
    <mergeCell ref="A729:B729"/>
    <mergeCell ref="A714:B714"/>
    <mergeCell ref="A715:B715"/>
    <mergeCell ref="A716:G716"/>
    <mergeCell ref="A717:F717"/>
    <mergeCell ref="A719:B722"/>
    <mergeCell ref="C719:G720"/>
    <mergeCell ref="C721:G721"/>
    <mergeCell ref="C722:E722"/>
    <mergeCell ref="A742:B742"/>
    <mergeCell ref="A743:B743"/>
    <mergeCell ref="A744:G744"/>
    <mergeCell ref="A745:F745"/>
    <mergeCell ref="A747:B750"/>
    <mergeCell ref="C747:G748"/>
    <mergeCell ref="C749:G749"/>
    <mergeCell ref="C750:E750"/>
    <mergeCell ref="A736:B736"/>
    <mergeCell ref="A737:G737"/>
    <mergeCell ref="A738:B738"/>
    <mergeCell ref="G738:G739"/>
    <mergeCell ref="A739:B739"/>
    <mergeCell ref="A741:G741"/>
    <mergeCell ref="A730:B730"/>
    <mergeCell ref="A731:G731"/>
    <mergeCell ref="A732:B732"/>
    <mergeCell ref="G732:G735"/>
    <mergeCell ref="A733:B733"/>
    <mergeCell ref="A734:B734"/>
    <mergeCell ref="A735:B735"/>
    <mergeCell ref="A765:B765"/>
    <mergeCell ref="A766:G766"/>
    <mergeCell ref="A767:B767"/>
    <mergeCell ref="G767:G768"/>
    <mergeCell ref="A768:B768"/>
    <mergeCell ref="A770:G770"/>
    <mergeCell ref="A758:B758"/>
    <mergeCell ref="A759:G759"/>
    <mergeCell ref="A760:B760"/>
    <mergeCell ref="G760:G764"/>
    <mergeCell ref="A761:B761"/>
    <mergeCell ref="A763:B763"/>
    <mergeCell ref="A764:B764"/>
    <mergeCell ref="A762:B762"/>
    <mergeCell ref="A751:B751"/>
    <mergeCell ref="C751:E751"/>
    <mergeCell ref="A752:G752"/>
    <mergeCell ref="A753:B753"/>
    <mergeCell ref="G753:G757"/>
    <mergeCell ref="A754:B754"/>
    <mergeCell ref="A755:B755"/>
    <mergeCell ref="A756:B756"/>
    <mergeCell ref="A757:B757"/>
    <mergeCell ref="A780:B780"/>
    <mergeCell ref="C780:E780"/>
    <mergeCell ref="A781:G781"/>
    <mergeCell ref="A782:B782"/>
    <mergeCell ref="G782:G786"/>
    <mergeCell ref="A783:B783"/>
    <mergeCell ref="A784:B784"/>
    <mergeCell ref="A785:B785"/>
    <mergeCell ref="A786:B786"/>
    <mergeCell ref="A793:B793"/>
    <mergeCell ref="A771:B771"/>
    <mergeCell ref="A772:B772"/>
    <mergeCell ref="A773:G773"/>
    <mergeCell ref="A774:F774"/>
    <mergeCell ref="A776:B779"/>
    <mergeCell ref="C776:G777"/>
    <mergeCell ref="C778:G778"/>
    <mergeCell ref="C779:E779"/>
    <mergeCell ref="A800:B800"/>
    <mergeCell ref="A801:B801"/>
    <mergeCell ref="A802:G802"/>
    <mergeCell ref="A803:F803"/>
    <mergeCell ref="A805:B808"/>
    <mergeCell ref="C805:G806"/>
    <mergeCell ref="C807:G807"/>
    <mergeCell ref="C808:E808"/>
    <mergeCell ref="A794:B794"/>
    <mergeCell ref="A795:G795"/>
    <mergeCell ref="A796:B796"/>
    <mergeCell ref="G796:G797"/>
    <mergeCell ref="A797:B797"/>
    <mergeCell ref="A799:G799"/>
    <mergeCell ref="A787:B787"/>
    <mergeCell ref="A788:G788"/>
    <mergeCell ref="A789:B789"/>
    <mergeCell ref="G789:G792"/>
    <mergeCell ref="A790:B790"/>
    <mergeCell ref="A791:B791"/>
    <mergeCell ref="A792:B792"/>
    <mergeCell ref="A822:B822"/>
    <mergeCell ref="A823:G823"/>
    <mergeCell ref="A824:B824"/>
    <mergeCell ref="G824:G825"/>
    <mergeCell ref="A825:B825"/>
    <mergeCell ref="A827:G827"/>
    <mergeCell ref="A816:B816"/>
    <mergeCell ref="A817:G817"/>
    <mergeCell ref="A818:B818"/>
    <mergeCell ref="G818:G821"/>
    <mergeCell ref="A819:B819"/>
    <mergeCell ref="A820:B820"/>
    <mergeCell ref="A821:B821"/>
    <mergeCell ref="A809:B809"/>
    <mergeCell ref="C809:E809"/>
    <mergeCell ref="A810:G810"/>
    <mergeCell ref="A811:B811"/>
    <mergeCell ref="G811:G815"/>
    <mergeCell ref="A812:B812"/>
    <mergeCell ref="A813:B813"/>
    <mergeCell ref="A814:B814"/>
    <mergeCell ref="A815:B815"/>
    <mergeCell ref="A837:B837"/>
    <mergeCell ref="C837:E837"/>
    <mergeCell ref="A838:G838"/>
    <mergeCell ref="A839:B839"/>
    <mergeCell ref="G839:G843"/>
    <mergeCell ref="A840:B840"/>
    <mergeCell ref="A841:B841"/>
    <mergeCell ref="A842:B842"/>
    <mergeCell ref="A843:B843"/>
    <mergeCell ref="A828:B828"/>
    <mergeCell ref="A829:B829"/>
    <mergeCell ref="A830:G830"/>
    <mergeCell ref="A831:F831"/>
    <mergeCell ref="A833:B836"/>
    <mergeCell ref="C833:G834"/>
    <mergeCell ref="C835:G835"/>
    <mergeCell ref="C836:E836"/>
    <mergeCell ref="A856:B856"/>
    <mergeCell ref="A857:B857"/>
    <mergeCell ref="A858:G858"/>
    <mergeCell ref="A859:F859"/>
    <mergeCell ref="A861:B864"/>
    <mergeCell ref="C861:G862"/>
    <mergeCell ref="C863:G863"/>
    <mergeCell ref="C864:E864"/>
    <mergeCell ref="A850:B850"/>
    <mergeCell ref="A851:G851"/>
    <mergeCell ref="A852:B852"/>
    <mergeCell ref="G852:G853"/>
    <mergeCell ref="A853:B853"/>
    <mergeCell ref="A855:G855"/>
    <mergeCell ref="A844:B844"/>
    <mergeCell ref="A845:G845"/>
    <mergeCell ref="A846:B846"/>
    <mergeCell ref="G846:G849"/>
    <mergeCell ref="A847:B847"/>
    <mergeCell ref="A848:B848"/>
    <mergeCell ref="A849:B849"/>
    <mergeCell ref="A878:B878"/>
    <mergeCell ref="A879:G879"/>
    <mergeCell ref="A880:B880"/>
    <mergeCell ref="G880:G881"/>
    <mergeCell ref="A881:B881"/>
    <mergeCell ref="A883:G883"/>
    <mergeCell ref="A872:B872"/>
    <mergeCell ref="A873:G873"/>
    <mergeCell ref="A874:B874"/>
    <mergeCell ref="G874:G877"/>
    <mergeCell ref="A875:B875"/>
    <mergeCell ref="A876:B876"/>
    <mergeCell ref="A877:B877"/>
    <mergeCell ref="A865:B865"/>
    <mergeCell ref="C865:E865"/>
    <mergeCell ref="A866:G866"/>
    <mergeCell ref="A867:B867"/>
    <mergeCell ref="G867:G871"/>
    <mergeCell ref="A868:B868"/>
    <mergeCell ref="A869:B869"/>
    <mergeCell ref="A870:B870"/>
    <mergeCell ref="A871:B871"/>
    <mergeCell ref="A902:B902"/>
    <mergeCell ref="A903:B903"/>
    <mergeCell ref="A904:B904"/>
    <mergeCell ref="A905:B905"/>
    <mergeCell ref="A893:B893"/>
    <mergeCell ref="C893:E893"/>
    <mergeCell ref="A894:G894"/>
    <mergeCell ref="A895:B895"/>
    <mergeCell ref="A896:B896"/>
    <mergeCell ref="A897:B897"/>
    <mergeCell ref="A899:B899"/>
    <mergeCell ref="A898:B898"/>
    <mergeCell ref="A900:G900"/>
    <mergeCell ref="A901:B901"/>
    <mergeCell ref="A884:B884"/>
    <mergeCell ref="A885:B885"/>
    <mergeCell ref="A886:G886"/>
    <mergeCell ref="A887:F887"/>
    <mergeCell ref="A889:B892"/>
    <mergeCell ref="C889:G890"/>
    <mergeCell ref="C891:G891"/>
    <mergeCell ref="C892:E892"/>
    <mergeCell ref="G901:G904"/>
    <mergeCell ref="A920:B920"/>
    <mergeCell ref="C920:E920"/>
    <mergeCell ref="A921:G921"/>
    <mergeCell ref="A922:B922"/>
    <mergeCell ref="G922:G926"/>
    <mergeCell ref="A923:B923"/>
    <mergeCell ref="A924:B924"/>
    <mergeCell ref="A925:B925"/>
    <mergeCell ref="A926:B926"/>
    <mergeCell ref="A912:B912"/>
    <mergeCell ref="A913:G913"/>
    <mergeCell ref="A914:F914"/>
    <mergeCell ref="A916:B919"/>
    <mergeCell ref="C916:G917"/>
    <mergeCell ref="C918:G918"/>
    <mergeCell ref="C919:E919"/>
    <mergeCell ref="A908:B908"/>
    <mergeCell ref="A939:B939"/>
    <mergeCell ref="A940:B940"/>
    <mergeCell ref="A941:G941"/>
    <mergeCell ref="A942:F942"/>
    <mergeCell ref="A944:B947"/>
    <mergeCell ref="C944:G945"/>
    <mergeCell ref="C946:G946"/>
    <mergeCell ref="C947:E947"/>
    <mergeCell ref="A933:B933"/>
    <mergeCell ref="A934:G934"/>
    <mergeCell ref="A935:B935"/>
    <mergeCell ref="G935:G936"/>
    <mergeCell ref="A936:B936"/>
    <mergeCell ref="A938:G938"/>
    <mergeCell ref="A927:B927"/>
    <mergeCell ref="A928:G928"/>
    <mergeCell ref="A929:B929"/>
    <mergeCell ref="G929:G932"/>
    <mergeCell ref="A930:B930"/>
    <mergeCell ref="A931:B931"/>
    <mergeCell ref="A932:B932"/>
    <mergeCell ref="A961:B961"/>
    <mergeCell ref="A962:G962"/>
    <mergeCell ref="A963:B963"/>
    <mergeCell ref="G963:G964"/>
    <mergeCell ref="A964:B964"/>
    <mergeCell ref="A966:G966"/>
    <mergeCell ref="A955:B955"/>
    <mergeCell ref="A956:G956"/>
    <mergeCell ref="A957:B957"/>
    <mergeCell ref="G957:G960"/>
    <mergeCell ref="A958:B958"/>
    <mergeCell ref="A959:B959"/>
    <mergeCell ref="A960:B960"/>
    <mergeCell ref="A948:B948"/>
    <mergeCell ref="C948:E948"/>
    <mergeCell ref="A949:G949"/>
    <mergeCell ref="A950:B950"/>
    <mergeCell ref="G950:G954"/>
    <mergeCell ref="A951:B951"/>
    <mergeCell ref="A952:B952"/>
    <mergeCell ref="A953:B953"/>
    <mergeCell ref="A954:B954"/>
    <mergeCell ref="A976:B976"/>
    <mergeCell ref="C976:E976"/>
    <mergeCell ref="A977:G977"/>
    <mergeCell ref="A978:B978"/>
    <mergeCell ref="G978:G982"/>
    <mergeCell ref="A979:B979"/>
    <mergeCell ref="A980:B980"/>
    <mergeCell ref="A981:B981"/>
    <mergeCell ref="A982:B982"/>
    <mergeCell ref="A967:B967"/>
    <mergeCell ref="A968:B968"/>
    <mergeCell ref="A969:G969"/>
    <mergeCell ref="A970:F970"/>
    <mergeCell ref="A972:B975"/>
    <mergeCell ref="C972:G973"/>
    <mergeCell ref="C974:G974"/>
    <mergeCell ref="C975:E975"/>
    <mergeCell ref="A995:B995"/>
    <mergeCell ref="A996:B996"/>
    <mergeCell ref="A997:G997"/>
    <mergeCell ref="A998:F998"/>
    <mergeCell ref="A1000:B1003"/>
    <mergeCell ref="C1000:G1001"/>
    <mergeCell ref="C1002:G1002"/>
    <mergeCell ref="C1003:E1003"/>
    <mergeCell ref="A989:B989"/>
    <mergeCell ref="A990:G990"/>
    <mergeCell ref="A991:B991"/>
    <mergeCell ref="G991:G992"/>
    <mergeCell ref="A992:B992"/>
    <mergeCell ref="A994:G994"/>
    <mergeCell ref="A983:B983"/>
    <mergeCell ref="A984:G984"/>
    <mergeCell ref="A985:B985"/>
    <mergeCell ref="G985:G988"/>
    <mergeCell ref="A986:B986"/>
    <mergeCell ref="A987:B987"/>
    <mergeCell ref="A988:B988"/>
    <mergeCell ref="A1017:B1017"/>
    <mergeCell ref="A1018:G1018"/>
    <mergeCell ref="A1019:B1019"/>
    <mergeCell ref="G1019:G1020"/>
    <mergeCell ref="A1020:B1020"/>
    <mergeCell ref="A1022:G1022"/>
    <mergeCell ref="A1011:B1011"/>
    <mergeCell ref="A1012:G1012"/>
    <mergeCell ref="A1013:B1013"/>
    <mergeCell ref="G1013:G1016"/>
    <mergeCell ref="A1014:B1014"/>
    <mergeCell ref="A1015:B1015"/>
    <mergeCell ref="A1016:B1016"/>
    <mergeCell ref="A1004:B1004"/>
    <mergeCell ref="C1004:E1004"/>
    <mergeCell ref="A1005:G1005"/>
    <mergeCell ref="A1006:B1006"/>
    <mergeCell ref="G1006:G1010"/>
    <mergeCell ref="A1007:B1007"/>
    <mergeCell ref="A1008:B1008"/>
    <mergeCell ref="A1009:B1009"/>
    <mergeCell ref="A1010:B1010"/>
    <mergeCell ref="A1032:B1032"/>
    <mergeCell ref="C1032:E1032"/>
    <mergeCell ref="A1033:G1033"/>
    <mergeCell ref="A1034:B1034"/>
    <mergeCell ref="G1034:G1038"/>
    <mergeCell ref="A1035:B1035"/>
    <mergeCell ref="A1036:B1036"/>
    <mergeCell ref="A1037:B1037"/>
    <mergeCell ref="A1038:B1038"/>
    <mergeCell ref="A1023:B1023"/>
    <mergeCell ref="A1024:B1024"/>
    <mergeCell ref="A1025:G1025"/>
    <mergeCell ref="A1026:F1026"/>
    <mergeCell ref="A1028:B1031"/>
    <mergeCell ref="C1028:G1029"/>
    <mergeCell ref="C1030:G1030"/>
    <mergeCell ref="C1031:E1031"/>
    <mergeCell ref="A1051:B1051"/>
    <mergeCell ref="A1052:B1052"/>
    <mergeCell ref="A1053:G1053"/>
    <mergeCell ref="A1054:F1054"/>
    <mergeCell ref="A1056:B1059"/>
    <mergeCell ref="C1056:G1057"/>
    <mergeCell ref="C1058:G1058"/>
    <mergeCell ref="C1059:E1059"/>
    <mergeCell ref="A1045:B1045"/>
    <mergeCell ref="A1046:G1046"/>
    <mergeCell ref="A1047:B1047"/>
    <mergeCell ref="G1047:G1048"/>
    <mergeCell ref="A1048:B1048"/>
    <mergeCell ref="A1050:G1050"/>
    <mergeCell ref="A1039:B1039"/>
    <mergeCell ref="A1040:G1040"/>
    <mergeCell ref="A1041:B1041"/>
    <mergeCell ref="G1041:G1044"/>
    <mergeCell ref="A1042:B1042"/>
    <mergeCell ref="A1043:B1043"/>
    <mergeCell ref="A1044:B1044"/>
    <mergeCell ref="A1073:B1073"/>
    <mergeCell ref="A1074:G1074"/>
    <mergeCell ref="A1075:B1075"/>
    <mergeCell ref="G1075:G1076"/>
    <mergeCell ref="A1076:B1076"/>
    <mergeCell ref="A1078:G1078"/>
    <mergeCell ref="A1067:B1067"/>
    <mergeCell ref="A1068:G1068"/>
    <mergeCell ref="A1069:B1069"/>
    <mergeCell ref="G1069:G1072"/>
    <mergeCell ref="A1070:B1070"/>
    <mergeCell ref="A1071:B1071"/>
    <mergeCell ref="A1072:B1072"/>
    <mergeCell ref="A1060:B1060"/>
    <mergeCell ref="C1060:E1060"/>
    <mergeCell ref="A1061:G1061"/>
    <mergeCell ref="A1062:B1062"/>
    <mergeCell ref="G1062:G1066"/>
    <mergeCell ref="A1063:B1063"/>
    <mergeCell ref="A1064:B1064"/>
    <mergeCell ref="A1065:B1065"/>
    <mergeCell ref="A1066:B1066"/>
    <mergeCell ref="A1088:B1088"/>
    <mergeCell ref="C1088:E1088"/>
    <mergeCell ref="A1089:G1089"/>
    <mergeCell ref="A1090:B1090"/>
    <mergeCell ref="G1090:G1094"/>
    <mergeCell ref="A1091:B1091"/>
    <mergeCell ref="A1092:B1092"/>
    <mergeCell ref="A1093:B1093"/>
    <mergeCell ref="A1094:B1094"/>
    <mergeCell ref="A1079:B1079"/>
    <mergeCell ref="A1080:B1080"/>
    <mergeCell ref="A1081:G1081"/>
    <mergeCell ref="A1082:F1082"/>
    <mergeCell ref="A1084:B1087"/>
    <mergeCell ref="C1084:G1085"/>
    <mergeCell ref="C1086:G1086"/>
    <mergeCell ref="C1087:E1087"/>
    <mergeCell ref="A1107:B1107"/>
    <mergeCell ref="A1108:B1108"/>
    <mergeCell ref="A1109:G1109"/>
    <mergeCell ref="A1110:F1110"/>
    <mergeCell ref="A1112:B1115"/>
    <mergeCell ref="C1112:G1113"/>
    <mergeCell ref="C1114:G1114"/>
    <mergeCell ref="C1115:E1115"/>
    <mergeCell ref="A1101:B1101"/>
    <mergeCell ref="A1102:G1102"/>
    <mergeCell ref="A1103:B1103"/>
    <mergeCell ref="G1103:G1104"/>
    <mergeCell ref="A1104:B1104"/>
    <mergeCell ref="A1106:G1106"/>
    <mergeCell ref="A1095:B1095"/>
    <mergeCell ref="A1096:G1096"/>
    <mergeCell ref="A1097:B1097"/>
    <mergeCell ref="G1097:G1100"/>
    <mergeCell ref="A1098:B1098"/>
    <mergeCell ref="A1099:B1099"/>
    <mergeCell ref="A1100:B1100"/>
    <mergeCell ref="A1129:B1129"/>
    <mergeCell ref="A1130:G1130"/>
    <mergeCell ref="A1131:B1131"/>
    <mergeCell ref="G1131:G1132"/>
    <mergeCell ref="A1132:B1132"/>
    <mergeCell ref="A1135:G1135"/>
    <mergeCell ref="A1123:B1123"/>
    <mergeCell ref="A1124:G1124"/>
    <mergeCell ref="A1125:B1125"/>
    <mergeCell ref="G1125:G1128"/>
    <mergeCell ref="A1126:B1126"/>
    <mergeCell ref="A1127:B1127"/>
    <mergeCell ref="A1128:B1128"/>
    <mergeCell ref="A1116:B1116"/>
    <mergeCell ref="C1116:E1116"/>
    <mergeCell ref="A1117:G1117"/>
    <mergeCell ref="A1118:B1118"/>
    <mergeCell ref="G1118:G1122"/>
    <mergeCell ref="A1119:B1119"/>
    <mergeCell ref="A1120:B1120"/>
    <mergeCell ref="A1121:B1121"/>
    <mergeCell ref="A1122:B1122"/>
    <mergeCell ref="A1133:B1133"/>
    <mergeCell ref="A1145:B1145"/>
    <mergeCell ref="C1145:E1145"/>
    <mergeCell ref="A1146:G1146"/>
    <mergeCell ref="A1147:B1147"/>
    <mergeCell ref="G1147:G1151"/>
    <mergeCell ref="A1148:B1148"/>
    <mergeCell ref="A1149:B1149"/>
    <mergeCell ref="A1150:B1150"/>
    <mergeCell ref="A1151:B1151"/>
    <mergeCell ref="A1136:B1136"/>
    <mergeCell ref="A1137:B1137"/>
    <mergeCell ref="A1138:G1138"/>
    <mergeCell ref="A1139:F1139"/>
    <mergeCell ref="A1141:B1144"/>
    <mergeCell ref="C1141:G1142"/>
    <mergeCell ref="C1143:G1143"/>
    <mergeCell ref="C1144:E1144"/>
    <mergeCell ref="A1164:B1164"/>
    <mergeCell ref="A1165:B1165"/>
    <mergeCell ref="A1166:G1166"/>
    <mergeCell ref="A1167:F1167"/>
    <mergeCell ref="A1169:B1172"/>
    <mergeCell ref="C1169:G1170"/>
    <mergeCell ref="C1171:G1171"/>
    <mergeCell ref="C1172:E1172"/>
    <mergeCell ref="A1158:B1158"/>
    <mergeCell ref="A1159:G1159"/>
    <mergeCell ref="A1160:B1160"/>
    <mergeCell ref="G1160:G1161"/>
    <mergeCell ref="A1161:B1161"/>
    <mergeCell ref="A1163:G1163"/>
    <mergeCell ref="A1152:B1152"/>
    <mergeCell ref="A1153:G1153"/>
    <mergeCell ref="A1154:B1154"/>
    <mergeCell ref="G1154:G1157"/>
    <mergeCell ref="A1155:B1155"/>
    <mergeCell ref="A1156:B1156"/>
    <mergeCell ref="A1157:B1157"/>
    <mergeCell ref="A1186:B1186"/>
    <mergeCell ref="A1187:G1187"/>
    <mergeCell ref="A1188:B1188"/>
    <mergeCell ref="A1189:B1189"/>
    <mergeCell ref="A1180:B1180"/>
    <mergeCell ref="A1181:G1181"/>
    <mergeCell ref="A1182:B1182"/>
    <mergeCell ref="G1182:G1185"/>
    <mergeCell ref="A1183:B1183"/>
    <mergeCell ref="A1184:B1184"/>
    <mergeCell ref="A1185:B1185"/>
    <mergeCell ref="A1173:B1173"/>
    <mergeCell ref="C1173:E1173"/>
    <mergeCell ref="A1174:G1174"/>
    <mergeCell ref="A1175:B1175"/>
    <mergeCell ref="G1175:G1179"/>
    <mergeCell ref="A1176:B1176"/>
    <mergeCell ref="A1177:B1177"/>
    <mergeCell ref="A1178:B1178"/>
    <mergeCell ref="A1179:B1179"/>
    <mergeCell ref="G1188:G1190"/>
    <mergeCell ref="A1190:B1190"/>
    <mergeCell ref="A1202:B1202"/>
    <mergeCell ref="C1202:E1202"/>
    <mergeCell ref="A1203:G1203"/>
    <mergeCell ref="A1204:B1204"/>
    <mergeCell ref="G1204:G1208"/>
    <mergeCell ref="A1205:B1205"/>
    <mergeCell ref="A1206:B1206"/>
    <mergeCell ref="A1207:B1207"/>
    <mergeCell ref="A1208:B1208"/>
    <mergeCell ref="A1193:B1193"/>
    <mergeCell ref="A1196:F1196"/>
    <mergeCell ref="A1198:B1201"/>
    <mergeCell ref="C1198:G1199"/>
    <mergeCell ref="C1200:G1200"/>
    <mergeCell ref="C1201:E1201"/>
    <mergeCell ref="A1192:G1192"/>
    <mergeCell ref="A1194:B1194"/>
    <mergeCell ref="A1195:G1195"/>
    <mergeCell ref="A1222:B1222"/>
    <mergeCell ref="A1223:B1223"/>
    <mergeCell ref="A1224:G1224"/>
    <mergeCell ref="A1225:F1225"/>
    <mergeCell ref="A1227:B1230"/>
    <mergeCell ref="C1227:G1228"/>
    <mergeCell ref="C1229:G1229"/>
    <mergeCell ref="C1230:E1230"/>
    <mergeCell ref="A1216:B1216"/>
    <mergeCell ref="A1217:G1217"/>
    <mergeCell ref="A1218:B1218"/>
    <mergeCell ref="G1218:G1219"/>
    <mergeCell ref="A1219:B1219"/>
    <mergeCell ref="A1221:G1221"/>
    <mergeCell ref="A1209:B1209"/>
    <mergeCell ref="A1210:G1210"/>
    <mergeCell ref="A1211:B1211"/>
    <mergeCell ref="G1211:G1215"/>
    <mergeCell ref="A1212:B1212"/>
    <mergeCell ref="A1214:B1214"/>
    <mergeCell ref="A1215:B1215"/>
    <mergeCell ref="A1213:B1213"/>
    <mergeCell ref="A1244:B1244"/>
    <mergeCell ref="A1245:G1245"/>
    <mergeCell ref="A1246:B1246"/>
    <mergeCell ref="G1246:G1247"/>
    <mergeCell ref="A1247:B1247"/>
    <mergeCell ref="A1249:G1249"/>
    <mergeCell ref="A1238:B1238"/>
    <mergeCell ref="A1239:G1239"/>
    <mergeCell ref="A1240:B1240"/>
    <mergeCell ref="G1240:G1243"/>
    <mergeCell ref="A1241:B1241"/>
    <mergeCell ref="A1242:B1242"/>
    <mergeCell ref="A1243:B1243"/>
    <mergeCell ref="A1231:B1231"/>
    <mergeCell ref="C1231:E1231"/>
    <mergeCell ref="A1232:G1232"/>
    <mergeCell ref="A1233:B1233"/>
    <mergeCell ref="G1233:G1237"/>
    <mergeCell ref="A1234:B1234"/>
    <mergeCell ref="A1235:B1235"/>
    <mergeCell ref="A1236:B1236"/>
    <mergeCell ref="A1237:B1237"/>
    <mergeCell ref="A1259:B1259"/>
    <mergeCell ref="C1259:E1259"/>
    <mergeCell ref="A1260:G1260"/>
    <mergeCell ref="A1261:B1261"/>
    <mergeCell ref="G1261:G1265"/>
    <mergeCell ref="A1262:B1262"/>
    <mergeCell ref="A1263:B1263"/>
    <mergeCell ref="A1264:B1264"/>
    <mergeCell ref="A1265:B1265"/>
    <mergeCell ref="A1250:B1250"/>
    <mergeCell ref="A1251:B1251"/>
    <mergeCell ref="A1252:G1252"/>
    <mergeCell ref="A1253:F1253"/>
    <mergeCell ref="A1255:B1258"/>
    <mergeCell ref="C1255:G1256"/>
    <mergeCell ref="C1257:G1257"/>
    <mergeCell ref="C1258:E1258"/>
    <mergeCell ref="A1278:B1278"/>
    <mergeCell ref="A1279:B1279"/>
    <mergeCell ref="A1280:G1280"/>
    <mergeCell ref="A1281:F1281"/>
    <mergeCell ref="A1283:B1286"/>
    <mergeCell ref="C1283:G1284"/>
    <mergeCell ref="C1285:G1285"/>
    <mergeCell ref="C1286:E1286"/>
    <mergeCell ref="A1272:B1272"/>
    <mergeCell ref="A1273:G1273"/>
    <mergeCell ref="A1274:B1274"/>
    <mergeCell ref="G1274:G1275"/>
    <mergeCell ref="A1275:B1275"/>
    <mergeCell ref="A1277:G1277"/>
    <mergeCell ref="A1266:B1266"/>
    <mergeCell ref="A1267:G1267"/>
    <mergeCell ref="A1268:B1268"/>
    <mergeCell ref="G1268:G1271"/>
    <mergeCell ref="A1269:B1269"/>
    <mergeCell ref="A1270:B1270"/>
    <mergeCell ref="A1271:B1271"/>
    <mergeCell ref="A1300:B1300"/>
    <mergeCell ref="A1301:G1301"/>
    <mergeCell ref="A1302:B1302"/>
    <mergeCell ref="G1302:G1303"/>
    <mergeCell ref="A1303:B1303"/>
    <mergeCell ref="A1305:G1305"/>
    <mergeCell ref="A1294:B1294"/>
    <mergeCell ref="A1295:G1295"/>
    <mergeCell ref="A1296:B1296"/>
    <mergeCell ref="G1296:G1299"/>
    <mergeCell ref="A1297:B1297"/>
    <mergeCell ref="A1298:B1298"/>
    <mergeCell ref="A1299:B1299"/>
    <mergeCell ref="A1287:B1287"/>
    <mergeCell ref="C1287:E1287"/>
    <mergeCell ref="A1288:G1288"/>
    <mergeCell ref="A1289:B1289"/>
    <mergeCell ref="G1289:G1293"/>
    <mergeCell ref="A1290:B1290"/>
    <mergeCell ref="A1291:B1291"/>
    <mergeCell ref="A1292:B1292"/>
    <mergeCell ref="A1293:B1293"/>
    <mergeCell ref="A1315:B1315"/>
    <mergeCell ref="C1315:E1315"/>
    <mergeCell ref="A1316:G1316"/>
    <mergeCell ref="A1317:B1317"/>
    <mergeCell ref="G1317:G1321"/>
    <mergeCell ref="A1318:B1318"/>
    <mergeCell ref="A1319:B1319"/>
    <mergeCell ref="A1320:B1320"/>
    <mergeCell ref="A1321:B1321"/>
    <mergeCell ref="A1306:B1306"/>
    <mergeCell ref="A1307:B1307"/>
    <mergeCell ref="A1308:G1308"/>
    <mergeCell ref="A1309:F1309"/>
    <mergeCell ref="A1311:B1314"/>
    <mergeCell ref="C1311:G1312"/>
    <mergeCell ref="C1313:G1313"/>
    <mergeCell ref="C1314:E1314"/>
    <mergeCell ref="A1334:B1334"/>
    <mergeCell ref="A1335:B1335"/>
    <mergeCell ref="A1336:G1336"/>
    <mergeCell ref="A1337:F1337"/>
    <mergeCell ref="A1339:B1342"/>
    <mergeCell ref="C1339:G1340"/>
    <mergeCell ref="C1341:G1341"/>
    <mergeCell ref="C1342:E1342"/>
    <mergeCell ref="A1328:B1328"/>
    <mergeCell ref="A1329:G1329"/>
    <mergeCell ref="A1330:B1330"/>
    <mergeCell ref="G1330:G1331"/>
    <mergeCell ref="A1331:B1331"/>
    <mergeCell ref="A1333:G1333"/>
    <mergeCell ref="A1322:B1322"/>
    <mergeCell ref="A1323:G1323"/>
    <mergeCell ref="A1324:B1324"/>
    <mergeCell ref="G1324:G1327"/>
    <mergeCell ref="A1325:B1325"/>
    <mergeCell ref="A1326:B1326"/>
    <mergeCell ref="A1327:B1327"/>
    <mergeCell ref="A1358:B1358"/>
    <mergeCell ref="A1350:B1350"/>
    <mergeCell ref="A1352:B1352"/>
    <mergeCell ref="A1353:B1353"/>
    <mergeCell ref="A1354:B1354"/>
    <mergeCell ref="A1355:B1355"/>
    <mergeCell ref="A1343:B1343"/>
    <mergeCell ref="C1343:E1343"/>
    <mergeCell ref="A1344:G1344"/>
    <mergeCell ref="A1345:B1345"/>
    <mergeCell ref="A1346:B1346"/>
    <mergeCell ref="A1347:B1347"/>
    <mergeCell ref="A1348:B1348"/>
    <mergeCell ref="G1345:G1347"/>
    <mergeCell ref="A1349:G1349"/>
    <mergeCell ref="G1350:G1354"/>
    <mergeCell ref="A1351:B1351"/>
    <mergeCell ref="A1356:G1356"/>
    <mergeCell ref="A1357:B1357"/>
    <mergeCell ref="A1359:G1359"/>
    <mergeCell ref="A1360:B1360"/>
    <mergeCell ref="A1361:B1361"/>
    <mergeCell ref="A1369:B1369"/>
    <mergeCell ref="C1369:E1369"/>
    <mergeCell ref="A1370:G1370"/>
    <mergeCell ref="A1371:B1371"/>
    <mergeCell ref="G1371:G1375"/>
    <mergeCell ref="A1372:B1372"/>
    <mergeCell ref="A1373:B1373"/>
    <mergeCell ref="A1374:B1374"/>
    <mergeCell ref="A1375:B1375"/>
    <mergeCell ref="A1362:G1362"/>
    <mergeCell ref="A1363:F1363"/>
    <mergeCell ref="A1365:B1368"/>
    <mergeCell ref="C1365:G1366"/>
    <mergeCell ref="C1367:G1367"/>
    <mergeCell ref="C1368:E1368"/>
    <mergeCell ref="A1388:B1388"/>
    <mergeCell ref="A1389:B1389"/>
    <mergeCell ref="A1390:G1390"/>
    <mergeCell ref="A1391:F1391"/>
    <mergeCell ref="A1393:B1396"/>
    <mergeCell ref="C1393:G1394"/>
    <mergeCell ref="C1395:G1395"/>
    <mergeCell ref="C1396:E1396"/>
    <mergeCell ref="A1382:B1382"/>
    <mergeCell ref="A1383:G1383"/>
    <mergeCell ref="A1384:B1384"/>
    <mergeCell ref="G1384:G1385"/>
    <mergeCell ref="A1385:B1385"/>
    <mergeCell ref="A1387:G1387"/>
    <mergeCell ref="A1376:B1376"/>
    <mergeCell ref="A1377:G1377"/>
    <mergeCell ref="A1378:B1378"/>
    <mergeCell ref="G1378:G1381"/>
    <mergeCell ref="A1379:B1379"/>
    <mergeCell ref="A1380:B1380"/>
    <mergeCell ref="A1381:B1381"/>
    <mergeCell ref="A1410:B1410"/>
    <mergeCell ref="A1411:G1411"/>
    <mergeCell ref="A1412:B1412"/>
    <mergeCell ref="G1412:G1413"/>
    <mergeCell ref="A1413:B1413"/>
    <mergeCell ref="A1415:G1415"/>
    <mergeCell ref="A1404:B1404"/>
    <mergeCell ref="A1405:G1405"/>
    <mergeCell ref="A1406:B1406"/>
    <mergeCell ref="G1406:G1409"/>
    <mergeCell ref="A1407:B1407"/>
    <mergeCell ref="A1408:B1408"/>
    <mergeCell ref="A1409:B1409"/>
    <mergeCell ref="A1397:B1397"/>
    <mergeCell ref="C1397:E1397"/>
    <mergeCell ref="A1398:G1398"/>
    <mergeCell ref="A1399:B1399"/>
    <mergeCell ref="G1399:G1403"/>
    <mergeCell ref="A1400:B1400"/>
    <mergeCell ref="A1401:B1401"/>
    <mergeCell ref="A1402:B1402"/>
    <mergeCell ref="A1403:B1403"/>
    <mergeCell ref="A1425:B1425"/>
    <mergeCell ref="C1425:E1425"/>
    <mergeCell ref="A1426:G1426"/>
    <mergeCell ref="A1427:B1427"/>
    <mergeCell ref="G1427:G1431"/>
    <mergeCell ref="A1428:B1428"/>
    <mergeCell ref="A1429:B1429"/>
    <mergeCell ref="A1430:B1430"/>
    <mergeCell ref="A1431:B1431"/>
    <mergeCell ref="A1416:B1416"/>
    <mergeCell ref="A1417:B1417"/>
    <mergeCell ref="A1418:G1418"/>
    <mergeCell ref="A1419:F1419"/>
    <mergeCell ref="A1421:B1424"/>
    <mergeCell ref="C1421:G1422"/>
    <mergeCell ref="C1423:G1423"/>
    <mergeCell ref="C1424:E1424"/>
    <mergeCell ref="A1444:B1444"/>
    <mergeCell ref="A1445:B1445"/>
    <mergeCell ref="A1446:G1446"/>
    <mergeCell ref="A1447:F1447"/>
    <mergeCell ref="A1449:B1452"/>
    <mergeCell ref="C1449:G1450"/>
    <mergeCell ref="C1451:G1451"/>
    <mergeCell ref="C1452:E1452"/>
    <mergeCell ref="A1438:B1438"/>
    <mergeCell ref="A1439:G1439"/>
    <mergeCell ref="A1440:B1440"/>
    <mergeCell ref="G1440:G1441"/>
    <mergeCell ref="A1441:B1441"/>
    <mergeCell ref="A1443:G1443"/>
    <mergeCell ref="A1432:B1432"/>
    <mergeCell ref="A1433:G1433"/>
    <mergeCell ref="A1434:B1434"/>
    <mergeCell ref="G1434:G1437"/>
    <mergeCell ref="A1435:B1435"/>
    <mergeCell ref="A1436:B1436"/>
    <mergeCell ref="A1437:B1437"/>
    <mergeCell ref="A1466:B1466"/>
    <mergeCell ref="A1467:G1467"/>
    <mergeCell ref="A1468:B1468"/>
    <mergeCell ref="G1468:G1469"/>
    <mergeCell ref="A1469:B1469"/>
    <mergeCell ref="A1471:G1471"/>
    <mergeCell ref="A1460:B1460"/>
    <mergeCell ref="A1461:G1461"/>
    <mergeCell ref="A1462:B1462"/>
    <mergeCell ref="G1462:G1465"/>
    <mergeCell ref="A1463:B1463"/>
    <mergeCell ref="A1464:B1464"/>
    <mergeCell ref="A1465:B1465"/>
    <mergeCell ref="A1453:B1453"/>
    <mergeCell ref="C1453:E1453"/>
    <mergeCell ref="A1454:G1454"/>
    <mergeCell ref="A1455:B1455"/>
    <mergeCell ref="G1455:G1459"/>
    <mergeCell ref="A1456:B1456"/>
    <mergeCell ref="A1457:B1457"/>
    <mergeCell ref="A1458:B1458"/>
    <mergeCell ref="A1459:B1459"/>
    <mergeCell ref="A1481:B1481"/>
    <mergeCell ref="C1481:E1481"/>
    <mergeCell ref="A1482:G1482"/>
    <mergeCell ref="A1483:B1483"/>
    <mergeCell ref="G1483:G1487"/>
    <mergeCell ref="A1484:B1484"/>
    <mergeCell ref="A1485:B1485"/>
    <mergeCell ref="A1486:B1486"/>
    <mergeCell ref="A1487:B1487"/>
    <mergeCell ref="A1472:B1472"/>
    <mergeCell ref="A1473:B1473"/>
    <mergeCell ref="A1474:G1474"/>
    <mergeCell ref="A1475:F1475"/>
    <mergeCell ref="A1477:B1480"/>
    <mergeCell ref="C1477:G1478"/>
    <mergeCell ref="C1479:G1479"/>
    <mergeCell ref="C1480:E1480"/>
    <mergeCell ref="A1500:B1500"/>
    <mergeCell ref="A1501:B1501"/>
    <mergeCell ref="A1502:G1502"/>
    <mergeCell ref="A1503:F1503"/>
    <mergeCell ref="A1505:B1508"/>
    <mergeCell ref="C1505:G1506"/>
    <mergeCell ref="C1507:G1507"/>
    <mergeCell ref="C1508:E1508"/>
    <mergeCell ref="A1494:B1494"/>
    <mergeCell ref="A1495:G1495"/>
    <mergeCell ref="A1496:B1496"/>
    <mergeCell ref="G1496:G1497"/>
    <mergeCell ref="A1497:B1497"/>
    <mergeCell ref="A1499:G1499"/>
    <mergeCell ref="A1488:B1488"/>
    <mergeCell ref="A1489:G1489"/>
    <mergeCell ref="A1490:B1490"/>
    <mergeCell ref="G1490:G1493"/>
    <mergeCell ref="A1491:B1491"/>
    <mergeCell ref="A1492:B1492"/>
    <mergeCell ref="A1493:B1493"/>
    <mergeCell ref="A1522:B1522"/>
    <mergeCell ref="A1523:G1523"/>
    <mergeCell ref="A1524:B1524"/>
    <mergeCell ref="G1524:G1525"/>
    <mergeCell ref="A1525:B1525"/>
    <mergeCell ref="A1516:B1516"/>
    <mergeCell ref="A1517:G1517"/>
    <mergeCell ref="A1518:B1518"/>
    <mergeCell ref="G1518:G1521"/>
    <mergeCell ref="A1519:B1519"/>
    <mergeCell ref="A1520:B1520"/>
    <mergeCell ref="A1521:B1521"/>
    <mergeCell ref="A1509:B1509"/>
    <mergeCell ref="C1509:E1509"/>
    <mergeCell ref="A1510:G1510"/>
    <mergeCell ref="A1511:B1511"/>
    <mergeCell ref="G1511:G1515"/>
    <mergeCell ref="A1512:B1512"/>
    <mergeCell ref="A1513:B1513"/>
    <mergeCell ref="A1514:B1514"/>
    <mergeCell ref="A1515:B1515"/>
    <mergeCell ref="A1545:B1545"/>
    <mergeCell ref="A1546:G1546"/>
    <mergeCell ref="A1547:B1547"/>
    <mergeCell ref="G1547:G1550"/>
    <mergeCell ref="A1548:B1548"/>
    <mergeCell ref="A1549:B1549"/>
    <mergeCell ref="A1550:B1550"/>
    <mergeCell ref="G1553:G1555"/>
    <mergeCell ref="A1555:B1555"/>
    <mergeCell ref="A1557:G1557"/>
    <mergeCell ref="A1559:B1559"/>
    <mergeCell ref="A1560:G1560"/>
    <mergeCell ref="A1526:B1526"/>
    <mergeCell ref="A1538:B1538"/>
    <mergeCell ref="C1538:E1538"/>
    <mergeCell ref="A1539:G1539"/>
    <mergeCell ref="A1540:B1540"/>
    <mergeCell ref="G1540:G1544"/>
    <mergeCell ref="A1541:B1541"/>
    <mergeCell ref="A1542:B1542"/>
    <mergeCell ref="A1543:B1543"/>
    <mergeCell ref="A1544:B1544"/>
    <mergeCell ref="A1529:B1529"/>
    <mergeCell ref="A1532:F1532"/>
    <mergeCell ref="A1534:B1537"/>
    <mergeCell ref="C1534:G1535"/>
    <mergeCell ref="C1536:G1536"/>
    <mergeCell ref="C1537:E1537"/>
    <mergeCell ref="A1528:G1528"/>
    <mergeCell ref="A1530:B1530"/>
    <mergeCell ref="A1531:G1531"/>
    <mergeCell ref="A1567:B1567"/>
    <mergeCell ref="C1567:E1567"/>
    <mergeCell ref="A1568:G1568"/>
    <mergeCell ref="A1569:B1569"/>
    <mergeCell ref="G1569:G1573"/>
    <mergeCell ref="A1570:B1570"/>
    <mergeCell ref="A1571:B1571"/>
    <mergeCell ref="A1572:B1572"/>
    <mergeCell ref="A1573:B1573"/>
    <mergeCell ref="A1578:B1578"/>
    <mergeCell ref="A1558:B1558"/>
    <mergeCell ref="A1561:F1561"/>
    <mergeCell ref="A1563:B1566"/>
    <mergeCell ref="C1563:G1564"/>
    <mergeCell ref="C1565:G1565"/>
    <mergeCell ref="C1566:E1566"/>
    <mergeCell ref="A1551:B1551"/>
    <mergeCell ref="A1552:G1552"/>
    <mergeCell ref="A1553:B1553"/>
    <mergeCell ref="A1554:B1554"/>
    <mergeCell ref="A1587:B1587"/>
    <mergeCell ref="A1588:B1588"/>
    <mergeCell ref="A1589:G1589"/>
    <mergeCell ref="A1590:F1590"/>
    <mergeCell ref="A1592:B1595"/>
    <mergeCell ref="C1592:G1593"/>
    <mergeCell ref="C1594:G1594"/>
    <mergeCell ref="C1595:E1595"/>
    <mergeCell ref="A1581:B1581"/>
    <mergeCell ref="A1582:G1582"/>
    <mergeCell ref="A1583:B1583"/>
    <mergeCell ref="G1583:G1584"/>
    <mergeCell ref="A1584:B1584"/>
    <mergeCell ref="A1586:G1586"/>
    <mergeCell ref="A1574:B1574"/>
    <mergeCell ref="A1575:G1575"/>
    <mergeCell ref="A1576:B1576"/>
    <mergeCell ref="G1576:G1580"/>
    <mergeCell ref="A1577:B1577"/>
    <mergeCell ref="A1579:B1579"/>
    <mergeCell ref="A1580:B1580"/>
    <mergeCell ref="A1609:B1609"/>
    <mergeCell ref="A1610:G1610"/>
    <mergeCell ref="A1611:B1611"/>
    <mergeCell ref="G1611:G1612"/>
    <mergeCell ref="A1612:B1612"/>
    <mergeCell ref="A1614:G1614"/>
    <mergeCell ref="A1603:B1603"/>
    <mergeCell ref="A1604:G1604"/>
    <mergeCell ref="A1605:B1605"/>
    <mergeCell ref="G1605:G1608"/>
    <mergeCell ref="A1606:B1606"/>
    <mergeCell ref="A1607:B1607"/>
    <mergeCell ref="A1608:B1608"/>
    <mergeCell ref="A1596:B1596"/>
    <mergeCell ref="C1596:E1596"/>
    <mergeCell ref="A1597:G1597"/>
    <mergeCell ref="A1598:B1598"/>
    <mergeCell ref="G1598:G1602"/>
    <mergeCell ref="A1599:B1599"/>
    <mergeCell ref="A1600:B1600"/>
    <mergeCell ref="A1601:B1601"/>
    <mergeCell ref="A1602:B1602"/>
    <mergeCell ref="A1624:B1624"/>
    <mergeCell ref="C1624:E1624"/>
    <mergeCell ref="A1625:G1625"/>
    <mergeCell ref="A1626:B1626"/>
    <mergeCell ref="G1626:G1630"/>
    <mergeCell ref="A1627:B1627"/>
    <mergeCell ref="A1628:B1628"/>
    <mergeCell ref="A1629:B1629"/>
    <mergeCell ref="A1630:B1630"/>
    <mergeCell ref="A1615:B1615"/>
    <mergeCell ref="A1616:B1616"/>
    <mergeCell ref="A1617:G1617"/>
    <mergeCell ref="A1618:F1618"/>
    <mergeCell ref="A1620:B1623"/>
    <mergeCell ref="C1620:G1621"/>
    <mergeCell ref="C1622:G1622"/>
    <mergeCell ref="C1623:E1623"/>
    <mergeCell ref="A1643:B1643"/>
    <mergeCell ref="A1644:B1644"/>
    <mergeCell ref="A1645:G1645"/>
    <mergeCell ref="A1646:F1646"/>
    <mergeCell ref="A1648:B1651"/>
    <mergeCell ref="C1648:G1649"/>
    <mergeCell ref="C1650:G1650"/>
    <mergeCell ref="C1651:E1651"/>
    <mergeCell ref="A1637:B1637"/>
    <mergeCell ref="A1638:G1638"/>
    <mergeCell ref="A1639:B1639"/>
    <mergeCell ref="G1639:G1640"/>
    <mergeCell ref="A1640:B1640"/>
    <mergeCell ref="A1642:G1642"/>
    <mergeCell ref="A1631:B1631"/>
    <mergeCell ref="A1632:G1632"/>
    <mergeCell ref="A1633:B1633"/>
    <mergeCell ref="G1633:G1636"/>
    <mergeCell ref="A1634:B1634"/>
    <mergeCell ref="A1635:B1635"/>
    <mergeCell ref="A1636:B1636"/>
    <mergeCell ref="A1665:B1665"/>
    <mergeCell ref="A1666:G1666"/>
    <mergeCell ref="A1667:B1667"/>
    <mergeCell ref="G1667:G1668"/>
    <mergeCell ref="A1668:B1668"/>
    <mergeCell ref="A1670:G1670"/>
    <mergeCell ref="A1659:B1659"/>
    <mergeCell ref="A1660:G1660"/>
    <mergeCell ref="A1661:B1661"/>
    <mergeCell ref="G1661:G1664"/>
    <mergeCell ref="A1662:B1662"/>
    <mergeCell ref="A1663:B1663"/>
    <mergeCell ref="A1664:B1664"/>
    <mergeCell ref="A1652:B1652"/>
    <mergeCell ref="C1652:E1652"/>
    <mergeCell ref="A1653:G1653"/>
    <mergeCell ref="A1654:B1654"/>
    <mergeCell ref="G1654:G1658"/>
    <mergeCell ref="A1655:B1655"/>
    <mergeCell ref="A1656:B1656"/>
    <mergeCell ref="A1657:B1657"/>
    <mergeCell ref="A1658:B1658"/>
    <mergeCell ref="A1680:B1680"/>
    <mergeCell ref="C1680:E1680"/>
    <mergeCell ref="A1681:G1681"/>
    <mergeCell ref="A1682:B1682"/>
    <mergeCell ref="G1682:G1686"/>
    <mergeCell ref="A1683:B1683"/>
    <mergeCell ref="A1684:B1684"/>
    <mergeCell ref="A1685:B1685"/>
    <mergeCell ref="A1686:B1686"/>
    <mergeCell ref="A1671:B1671"/>
    <mergeCell ref="A1672:B1672"/>
    <mergeCell ref="A1673:G1673"/>
    <mergeCell ref="A1674:F1674"/>
    <mergeCell ref="A1676:B1679"/>
    <mergeCell ref="C1676:G1677"/>
    <mergeCell ref="C1678:G1678"/>
    <mergeCell ref="C1679:E1679"/>
    <mergeCell ref="A1699:B1699"/>
    <mergeCell ref="A1700:B1700"/>
    <mergeCell ref="A1701:G1701"/>
    <mergeCell ref="A1702:F1702"/>
    <mergeCell ref="A1704:B1707"/>
    <mergeCell ref="C1704:G1705"/>
    <mergeCell ref="C1706:G1706"/>
    <mergeCell ref="C1707:E1707"/>
    <mergeCell ref="A1693:B1693"/>
    <mergeCell ref="A1694:G1694"/>
    <mergeCell ref="A1695:B1695"/>
    <mergeCell ref="G1695:G1696"/>
    <mergeCell ref="A1696:B1696"/>
    <mergeCell ref="A1698:G1698"/>
    <mergeCell ref="A1687:B1687"/>
    <mergeCell ref="A1688:G1688"/>
    <mergeCell ref="A1689:B1689"/>
    <mergeCell ref="G1689:G1692"/>
    <mergeCell ref="A1690:B1690"/>
    <mergeCell ref="A1691:B1691"/>
    <mergeCell ref="A1692:B1692"/>
    <mergeCell ref="A1721:B1721"/>
    <mergeCell ref="A1722:G1722"/>
    <mergeCell ref="A1723:B1723"/>
    <mergeCell ref="G1723:G1724"/>
    <mergeCell ref="A1724:B1724"/>
    <mergeCell ref="A1726:G1726"/>
    <mergeCell ref="A1715:B1715"/>
    <mergeCell ref="A1716:G1716"/>
    <mergeCell ref="A1717:B1717"/>
    <mergeCell ref="G1717:G1720"/>
    <mergeCell ref="A1718:B1718"/>
    <mergeCell ref="A1719:B1719"/>
    <mergeCell ref="A1720:B1720"/>
    <mergeCell ref="A1708:B1708"/>
    <mergeCell ref="C1708:E1708"/>
    <mergeCell ref="A1709:G1709"/>
    <mergeCell ref="A1710:B1710"/>
    <mergeCell ref="G1710:G1714"/>
    <mergeCell ref="A1711:B1711"/>
    <mergeCell ref="A1712:B1712"/>
    <mergeCell ref="A1713:B1713"/>
    <mergeCell ref="A1714:B1714"/>
    <mergeCell ref="A1736:B1736"/>
    <mergeCell ref="C1736:E1736"/>
    <mergeCell ref="A1737:G1737"/>
    <mergeCell ref="A1738:B1738"/>
    <mergeCell ref="G1738:G1740"/>
    <mergeCell ref="A1739:B1739"/>
    <mergeCell ref="A1740:B1740"/>
    <mergeCell ref="A1748:B1748"/>
    <mergeCell ref="A1751:B1751"/>
    <mergeCell ref="G1743:G1747"/>
    <mergeCell ref="A1749:G1749"/>
    <mergeCell ref="A1727:B1727"/>
    <mergeCell ref="A1728:B1728"/>
    <mergeCell ref="A1729:G1729"/>
    <mergeCell ref="A1730:F1730"/>
    <mergeCell ref="A1732:B1735"/>
    <mergeCell ref="C1732:G1733"/>
    <mergeCell ref="C1734:G1734"/>
    <mergeCell ref="C1735:E1735"/>
    <mergeCell ref="A1753:B1753"/>
    <mergeCell ref="A1754:B1754"/>
    <mergeCell ref="A1755:G1755"/>
    <mergeCell ref="A1756:F1756"/>
    <mergeCell ref="A1758:B1761"/>
    <mergeCell ref="C1758:G1759"/>
    <mergeCell ref="C1760:G1760"/>
    <mergeCell ref="C1761:E1761"/>
    <mergeCell ref="A1747:B1747"/>
    <mergeCell ref="A1750:B1750"/>
    <mergeCell ref="A1752:G1752"/>
    <mergeCell ref="A1741:B1741"/>
    <mergeCell ref="A1742:G1742"/>
    <mergeCell ref="A1743:B1743"/>
    <mergeCell ref="A1744:B1744"/>
    <mergeCell ref="A1745:B1745"/>
    <mergeCell ref="A1746:B1746"/>
    <mergeCell ref="A1775:B1775"/>
    <mergeCell ref="A1776:G1776"/>
    <mergeCell ref="A1777:B1777"/>
    <mergeCell ref="G1777:G1778"/>
    <mergeCell ref="A1778:B1778"/>
    <mergeCell ref="A1780:G1780"/>
    <mergeCell ref="A1769:B1769"/>
    <mergeCell ref="A1770:G1770"/>
    <mergeCell ref="A1771:B1771"/>
    <mergeCell ref="G1771:G1774"/>
    <mergeCell ref="A1772:B1772"/>
    <mergeCell ref="A1773:B1773"/>
    <mergeCell ref="A1774:B1774"/>
    <mergeCell ref="A1762:B1762"/>
    <mergeCell ref="C1762:E1762"/>
    <mergeCell ref="A1763:G1763"/>
    <mergeCell ref="A1764:B1764"/>
    <mergeCell ref="G1764:G1768"/>
    <mergeCell ref="A1765:B1765"/>
    <mergeCell ref="A1766:B1766"/>
    <mergeCell ref="A1767:B1767"/>
    <mergeCell ref="A1768:B1768"/>
    <mergeCell ref="A1790:B1790"/>
    <mergeCell ref="C1790:E1790"/>
    <mergeCell ref="A1791:G1791"/>
    <mergeCell ref="A1792:B1792"/>
    <mergeCell ref="G1792:G1796"/>
    <mergeCell ref="A1793:B1793"/>
    <mergeCell ref="A1794:B1794"/>
    <mergeCell ref="A1795:B1795"/>
    <mergeCell ref="A1796:B1796"/>
    <mergeCell ref="A1781:B1781"/>
    <mergeCell ref="A1782:B1782"/>
    <mergeCell ref="A1783:G1783"/>
    <mergeCell ref="A1784:F1784"/>
    <mergeCell ref="A1786:B1789"/>
    <mergeCell ref="C1786:G1787"/>
    <mergeCell ref="C1788:G1788"/>
    <mergeCell ref="C1789:E1789"/>
    <mergeCell ref="A1809:B1809"/>
    <mergeCell ref="A1810:B1810"/>
    <mergeCell ref="A1811:G1811"/>
    <mergeCell ref="A1812:F1812"/>
    <mergeCell ref="A1814:B1817"/>
    <mergeCell ref="C1814:G1815"/>
    <mergeCell ref="C1816:G1816"/>
    <mergeCell ref="C1817:E1817"/>
    <mergeCell ref="A1803:B1803"/>
    <mergeCell ref="A1804:G1804"/>
    <mergeCell ref="A1805:B1805"/>
    <mergeCell ref="G1805:G1806"/>
    <mergeCell ref="A1806:B1806"/>
    <mergeCell ref="A1808:G1808"/>
    <mergeCell ref="A1797:B1797"/>
    <mergeCell ref="A1798:G1798"/>
    <mergeCell ref="A1799:B1799"/>
    <mergeCell ref="G1799:G1802"/>
    <mergeCell ref="A1800:B1800"/>
    <mergeCell ref="A1801:B1801"/>
    <mergeCell ref="A1802:B1802"/>
    <mergeCell ref="A1831:B1831"/>
    <mergeCell ref="A1832:G1832"/>
    <mergeCell ref="A1833:B1833"/>
    <mergeCell ref="G1833:G1834"/>
    <mergeCell ref="A1834:B1834"/>
    <mergeCell ref="A1836:G1836"/>
    <mergeCell ref="A1825:B1825"/>
    <mergeCell ref="A1826:G1826"/>
    <mergeCell ref="A1827:B1827"/>
    <mergeCell ref="G1827:G1830"/>
    <mergeCell ref="A1828:B1828"/>
    <mergeCell ref="A1829:B1829"/>
    <mergeCell ref="A1830:B1830"/>
    <mergeCell ref="A1818:B1818"/>
    <mergeCell ref="C1818:E1818"/>
    <mergeCell ref="A1819:G1819"/>
    <mergeCell ref="A1820:B1820"/>
    <mergeCell ref="G1820:G1824"/>
    <mergeCell ref="A1821:B1821"/>
    <mergeCell ref="A1822:B1822"/>
    <mergeCell ref="A1823:B1823"/>
    <mergeCell ref="A1824:B1824"/>
    <mergeCell ref="A1846:B1846"/>
    <mergeCell ref="C1846:E1846"/>
    <mergeCell ref="A1847:G1847"/>
    <mergeCell ref="A1848:B1848"/>
    <mergeCell ref="G1848:G1852"/>
    <mergeCell ref="A1849:B1849"/>
    <mergeCell ref="A1850:B1850"/>
    <mergeCell ref="A1851:B1851"/>
    <mergeCell ref="A1852:B1852"/>
    <mergeCell ref="A1837:B1837"/>
    <mergeCell ref="A1838:B1838"/>
    <mergeCell ref="A1839:G1839"/>
    <mergeCell ref="A1840:F1840"/>
    <mergeCell ref="A1842:B1845"/>
    <mergeCell ref="C1842:G1843"/>
    <mergeCell ref="C1844:G1844"/>
    <mergeCell ref="C1845:E1845"/>
    <mergeCell ref="A1865:B1865"/>
    <mergeCell ref="A1866:B1866"/>
    <mergeCell ref="A1867:G1867"/>
    <mergeCell ref="A1868:F1868"/>
    <mergeCell ref="A1870:B1873"/>
    <mergeCell ref="C1870:G1871"/>
    <mergeCell ref="C1872:G1872"/>
    <mergeCell ref="C1873:E1873"/>
    <mergeCell ref="A1893:B1893"/>
    <mergeCell ref="A1859:B1859"/>
    <mergeCell ref="A1860:G1860"/>
    <mergeCell ref="A1861:B1861"/>
    <mergeCell ref="G1861:G1862"/>
    <mergeCell ref="A1862:B1862"/>
    <mergeCell ref="A1864:G1864"/>
    <mergeCell ref="A1853:B1853"/>
    <mergeCell ref="A1854:G1854"/>
    <mergeCell ref="A1855:B1855"/>
    <mergeCell ref="G1855:G1858"/>
    <mergeCell ref="A1856:B1856"/>
    <mergeCell ref="A1857:B1857"/>
    <mergeCell ref="A1858:B1858"/>
    <mergeCell ref="A1880:B1880"/>
    <mergeCell ref="A1881:G1881"/>
    <mergeCell ref="A1882:B1882"/>
    <mergeCell ref="G1882:G1885"/>
    <mergeCell ref="A1883:B1883"/>
    <mergeCell ref="A1884:B1884"/>
    <mergeCell ref="A1885:B1885"/>
    <mergeCell ref="A1890:B1890"/>
    <mergeCell ref="A1892:G1892"/>
    <mergeCell ref="A1894:B1894"/>
    <mergeCell ref="A1895:G1895"/>
    <mergeCell ref="A1874:B1874"/>
    <mergeCell ref="C1874:E1874"/>
    <mergeCell ref="A1875:G1875"/>
    <mergeCell ref="A1876:B1876"/>
    <mergeCell ref="G1876:G1879"/>
    <mergeCell ref="A1877:B1877"/>
    <mergeCell ref="A1878:B1878"/>
    <mergeCell ref="A1879:B1879"/>
    <mergeCell ref="A1902:B1902"/>
    <mergeCell ref="C1902:E1902"/>
    <mergeCell ref="A1903:G1903"/>
    <mergeCell ref="A1904:B1904"/>
    <mergeCell ref="G1904:G1908"/>
    <mergeCell ref="A1905:B1905"/>
    <mergeCell ref="A1906:B1906"/>
    <mergeCell ref="A1907:B1907"/>
    <mergeCell ref="A1908:B1908"/>
    <mergeCell ref="A1896:F1896"/>
    <mergeCell ref="A1898:B1901"/>
    <mergeCell ref="C1898:G1899"/>
    <mergeCell ref="C1900:G1900"/>
    <mergeCell ref="C1901:E1901"/>
    <mergeCell ref="A1886:B1886"/>
    <mergeCell ref="A1887:G1887"/>
    <mergeCell ref="A1888:B1888"/>
    <mergeCell ref="G1888:G1889"/>
    <mergeCell ref="A1889:B1889"/>
    <mergeCell ref="A1921:B1921"/>
    <mergeCell ref="A1922:B1922"/>
    <mergeCell ref="A1923:G1923"/>
    <mergeCell ref="A1924:F1924"/>
    <mergeCell ref="A1926:B1929"/>
    <mergeCell ref="C1926:G1927"/>
    <mergeCell ref="C1928:G1928"/>
    <mergeCell ref="C1929:E1929"/>
    <mergeCell ref="A1915:B1915"/>
    <mergeCell ref="A1916:G1916"/>
    <mergeCell ref="A1917:B1917"/>
    <mergeCell ref="G1917:G1918"/>
    <mergeCell ref="A1918:B1918"/>
    <mergeCell ref="A1920:G1920"/>
    <mergeCell ref="A1909:B1909"/>
    <mergeCell ref="A1910:G1910"/>
    <mergeCell ref="A1911:B1911"/>
    <mergeCell ref="G1911:G1914"/>
    <mergeCell ref="A1912:B1912"/>
    <mergeCell ref="A1913:B1913"/>
    <mergeCell ref="A1914:B1914"/>
    <mergeCell ref="A1937:B1937"/>
    <mergeCell ref="A1938:G1938"/>
    <mergeCell ref="A1939:B1939"/>
    <mergeCell ref="G1939:G1942"/>
    <mergeCell ref="A1940:B1940"/>
    <mergeCell ref="A1941:B1941"/>
    <mergeCell ref="A1942:B1942"/>
    <mergeCell ref="G1945:G1947"/>
    <mergeCell ref="A1947:B1947"/>
    <mergeCell ref="A1949:G1949"/>
    <mergeCell ref="A1951:B1951"/>
    <mergeCell ref="A1952:G1952"/>
    <mergeCell ref="A1930:B1930"/>
    <mergeCell ref="C1930:E1930"/>
    <mergeCell ref="A1931:G1931"/>
    <mergeCell ref="A1932:B1932"/>
    <mergeCell ref="G1932:G1936"/>
    <mergeCell ref="A1933:B1933"/>
    <mergeCell ref="A1934:B1934"/>
    <mergeCell ref="A1935:B1935"/>
    <mergeCell ref="A1936:B1936"/>
    <mergeCell ref="A1959:B1959"/>
    <mergeCell ref="C1959:E1959"/>
    <mergeCell ref="A1960:G1960"/>
    <mergeCell ref="A1961:B1961"/>
    <mergeCell ref="G1961:G1965"/>
    <mergeCell ref="A1962:B1962"/>
    <mergeCell ref="A1963:B1963"/>
    <mergeCell ref="A1964:B1964"/>
    <mergeCell ref="A1965:B1965"/>
    <mergeCell ref="A1950:B1950"/>
    <mergeCell ref="A1953:F1953"/>
    <mergeCell ref="A1955:B1958"/>
    <mergeCell ref="C1955:G1956"/>
    <mergeCell ref="C1957:G1957"/>
    <mergeCell ref="C1958:E1958"/>
    <mergeCell ref="A1943:B1943"/>
    <mergeCell ref="A1944:G1944"/>
    <mergeCell ref="A1945:B1945"/>
    <mergeCell ref="A1946:B1946"/>
    <mergeCell ref="A1978:B1978"/>
    <mergeCell ref="A1979:B1979"/>
    <mergeCell ref="A1980:G1980"/>
    <mergeCell ref="A1981:F1981"/>
    <mergeCell ref="A1983:B1986"/>
    <mergeCell ref="C1983:G1984"/>
    <mergeCell ref="C1985:G1985"/>
    <mergeCell ref="C1986:E1986"/>
    <mergeCell ref="A1972:B1972"/>
    <mergeCell ref="A1973:G1973"/>
    <mergeCell ref="A1974:B1974"/>
    <mergeCell ref="G1974:G1975"/>
    <mergeCell ref="A1975:B1975"/>
    <mergeCell ref="A1977:G1977"/>
    <mergeCell ref="A1966:B1966"/>
    <mergeCell ref="A1967:G1967"/>
    <mergeCell ref="A1968:B1968"/>
    <mergeCell ref="G1968:G1971"/>
    <mergeCell ref="A1969:B1969"/>
    <mergeCell ref="A1970:B1970"/>
    <mergeCell ref="A1971:B1971"/>
    <mergeCell ref="A2002:B2002"/>
    <mergeCell ref="A2003:G2003"/>
    <mergeCell ref="A2004:B2004"/>
    <mergeCell ref="G2004:G2005"/>
    <mergeCell ref="A2005:B2005"/>
    <mergeCell ref="A2007:G2007"/>
    <mergeCell ref="A1994:B1994"/>
    <mergeCell ref="A1995:G1995"/>
    <mergeCell ref="A1996:B1996"/>
    <mergeCell ref="G1996:G2001"/>
    <mergeCell ref="A1999:B1999"/>
    <mergeCell ref="A2000:B2000"/>
    <mergeCell ref="A2001:B2001"/>
    <mergeCell ref="A1997:B1997"/>
    <mergeCell ref="A1998:B1998"/>
    <mergeCell ref="A1987:B1987"/>
    <mergeCell ref="C1987:E1987"/>
    <mergeCell ref="A1988:G1988"/>
    <mergeCell ref="A1989:B1989"/>
    <mergeCell ref="G1989:G1993"/>
    <mergeCell ref="A1990:B1990"/>
    <mergeCell ref="A1991:B1991"/>
    <mergeCell ref="A1992:B1992"/>
    <mergeCell ref="A1993:B1993"/>
    <mergeCell ref="A2017:B2017"/>
    <mergeCell ref="C2017:E2017"/>
    <mergeCell ref="A2018:G2018"/>
    <mergeCell ref="A2019:B2019"/>
    <mergeCell ref="G2019:G2023"/>
    <mergeCell ref="A2020:B2020"/>
    <mergeCell ref="A2021:B2021"/>
    <mergeCell ref="A2022:B2022"/>
    <mergeCell ref="A2023:B2023"/>
    <mergeCell ref="A2008:B2008"/>
    <mergeCell ref="A2009:B2009"/>
    <mergeCell ref="A2010:G2010"/>
    <mergeCell ref="A2011:F2011"/>
    <mergeCell ref="A2013:B2016"/>
    <mergeCell ref="C2013:G2014"/>
    <mergeCell ref="C2015:G2015"/>
    <mergeCell ref="C2016:E2016"/>
    <mergeCell ref="A2037:B2037"/>
    <mergeCell ref="A2038:G2038"/>
    <mergeCell ref="A2039:F2039"/>
    <mergeCell ref="A2041:B2044"/>
    <mergeCell ref="C2041:G2042"/>
    <mergeCell ref="C2043:G2043"/>
    <mergeCell ref="C2044:E2044"/>
    <mergeCell ref="A2030:B2030"/>
    <mergeCell ref="A2031:G2031"/>
    <mergeCell ref="A2032:B2032"/>
    <mergeCell ref="G2032:G2033"/>
    <mergeCell ref="A2033:B2033"/>
    <mergeCell ref="A2035:G2035"/>
    <mergeCell ref="A2024:B2024"/>
    <mergeCell ref="A2025:G2025"/>
    <mergeCell ref="A2026:B2026"/>
    <mergeCell ref="G2026:G2029"/>
    <mergeCell ref="A2027:B2027"/>
    <mergeCell ref="A2028:B2028"/>
    <mergeCell ref="A2029:B2029"/>
    <mergeCell ref="A906:G906"/>
    <mergeCell ref="A907:B907"/>
    <mergeCell ref="G907:G908"/>
    <mergeCell ref="A910:G910"/>
    <mergeCell ref="A911:B911"/>
    <mergeCell ref="A2064:B2064"/>
    <mergeCell ref="A2065:B2065"/>
    <mergeCell ref="A2066:G2066"/>
    <mergeCell ref="A2067:F2067"/>
    <mergeCell ref="A2058:B2058"/>
    <mergeCell ref="A2059:G2059"/>
    <mergeCell ref="A2060:B2060"/>
    <mergeCell ref="G2060:G2061"/>
    <mergeCell ref="A2061:B2061"/>
    <mergeCell ref="A2063:G2063"/>
    <mergeCell ref="A2052:B2052"/>
    <mergeCell ref="A2053:G2053"/>
    <mergeCell ref="A2054:B2054"/>
    <mergeCell ref="G2054:G2057"/>
    <mergeCell ref="A2055:B2055"/>
    <mergeCell ref="A2056:B2056"/>
    <mergeCell ref="A2057:B2057"/>
    <mergeCell ref="A2045:B2045"/>
    <mergeCell ref="C2045:E2045"/>
    <mergeCell ref="A2046:G2046"/>
    <mergeCell ref="A2047:B2047"/>
    <mergeCell ref="G2047:G2051"/>
    <mergeCell ref="A2048:B2048"/>
    <mergeCell ref="A2049:B2049"/>
    <mergeCell ref="A2050:B2050"/>
    <mergeCell ref="A2051:B2051"/>
    <mergeCell ref="A2036:B2036"/>
  </mergeCells>
  <pageMargins left="0.25" right="0.25" top="0.75" bottom="0.75" header="0.3" footer="0.3"/>
  <pageSetup paperSize="9" scale="81"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FF00"/>
    <pageSetUpPr fitToPage="1"/>
  </sheetPr>
  <dimension ref="A2:H4223"/>
  <sheetViews>
    <sheetView topLeftCell="A4197" zoomScaleNormal="100" workbookViewId="0">
      <selection activeCell="B4202" sqref="B4202:C4207"/>
    </sheetView>
  </sheetViews>
  <sheetFormatPr baseColWidth="10" defaultColWidth="11.44140625" defaultRowHeight="14.4"/>
  <cols>
    <col min="1" max="2" width="18.6640625" customWidth="1"/>
    <col min="3" max="5" width="16.6640625" customWidth="1"/>
    <col min="6" max="6" width="19.109375" customWidth="1"/>
    <col min="7" max="7" width="21.44140625" customWidth="1"/>
  </cols>
  <sheetData>
    <row r="2" spans="1:7" s="2" customFormat="1" ht="116.25" customHeight="1">
      <c r="A2" s="177"/>
      <c r="B2" s="177"/>
      <c r="C2" s="922" t="s">
        <v>0</v>
      </c>
      <c r="D2" s="922"/>
      <c r="E2" s="922"/>
      <c r="F2" s="922"/>
      <c r="G2" s="923"/>
    </row>
    <row r="4" spans="1:7" s="145" customFormat="1" ht="15.75" customHeight="1">
      <c r="A4" s="1123" t="s">
        <v>1</v>
      </c>
      <c r="B4" s="1120"/>
      <c r="C4" s="953" t="s">
        <v>594</v>
      </c>
      <c r="D4" s="1125"/>
      <c r="E4" s="1125"/>
      <c r="F4" s="1125"/>
      <c r="G4" s="1126"/>
    </row>
    <row r="5" spans="1:7" s="145" customFormat="1" ht="24" customHeight="1">
      <c r="A5" s="1124"/>
      <c r="B5" s="1120"/>
      <c r="C5" s="1125"/>
      <c r="D5" s="1125"/>
      <c r="E5" s="1125"/>
      <c r="F5" s="1125"/>
      <c r="G5" s="1126"/>
    </row>
    <row r="6" spans="1:7" s="145" customFormat="1" ht="15.6" customHeight="1">
      <c r="A6" s="1124"/>
      <c r="B6" s="1120"/>
      <c r="C6" s="1127" t="s">
        <v>595</v>
      </c>
      <c r="D6" s="1120"/>
      <c r="E6" s="1120"/>
      <c r="F6" s="1120"/>
      <c r="G6" s="1121"/>
    </row>
    <row r="7" spans="1:7" s="145" customFormat="1" ht="15.75" customHeight="1">
      <c r="A7" s="1124"/>
      <c r="B7" s="1120"/>
      <c r="C7" s="1128" t="s">
        <v>2</v>
      </c>
      <c r="D7" s="1120"/>
      <c r="E7" s="1120"/>
      <c r="F7" s="146" t="s">
        <v>3</v>
      </c>
      <c r="G7" s="147" t="s">
        <v>4</v>
      </c>
    </row>
    <row r="8" spans="1:7" s="145" customFormat="1" ht="80.25" customHeight="1">
      <c r="A8" s="1073" t="s">
        <v>596</v>
      </c>
      <c r="B8" s="1115"/>
      <c r="C8" s="980" t="s">
        <v>597</v>
      </c>
      <c r="D8" s="1115"/>
      <c r="E8" s="1115"/>
      <c r="F8" s="16" t="s">
        <v>28</v>
      </c>
      <c r="G8" s="52">
        <v>1</v>
      </c>
    </row>
    <row r="9" spans="1:7" s="145" customFormat="1" ht="15.75" customHeight="1">
      <c r="A9" s="1114" t="s">
        <v>5</v>
      </c>
      <c r="B9" s="1115"/>
      <c r="C9" s="1115"/>
      <c r="D9" s="1115"/>
      <c r="E9" s="1115"/>
      <c r="F9" s="1115"/>
      <c r="G9" s="1116"/>
    </row>
    <row r="10" spans="1:7" s="145" customFormat="1" ht="15.75" customHeight="1">
      <c r="A10" s="1074" t="s">
        <v>2</v>
      </c>
      <c r="B10" s="1115"/>
      <c r="C10" s="53" t="s">
        <v>3</v>
      </c>
      <c r="D10" s="53" t="s">
        <v>4</v>
      </c>
      <c r="E10" s="53" t="s">
        <v>6</v>
      </c>
      <c r="F10" s="53" t="s">
        <v>7</v>
      </c>
      <c r="G10" s="1075" t="s">
        <v>8</v>
      </c>
    </row>
    <row r="11" spans="1:7" s="145" customFormat="1" ht="15.75" customHeight="1">
      <c r="A11" s="947" t="s">
        <v>167</v>
      </c>
      <c r="B11" s="1115"/>
      <c r="C11" s="51" t="s">
        <v>3</v>
      </c>
      <c r="D11" s="51">
        <v>0.05</v>
      </c>
      <c r="E11" s="17">
        <f>G25</f>
        <v>20030</v>
      </c>
      <c r="F11" s="55">
        <f>D11*E11</f>
        <v>1001.5</v>
      </c>
      <c r="G11" s="1116"/>
    </row>
    <row r="12" spans="1:7" s="145" customFormat="1" ht="15.75" customHeight="1">
      <c r="A12" s="943"/>
      <c r="B12" s="1115"/>
      <c r="C12" s="51"/>
      <c r="D12" s="51"/>
      <c r="E12" s="51"/>
      <c r="F12" s="55"/>
      <c r="G12" s="57">
        <f>SUM(F10:F12)</f>
        <v>1001.5</v>
      </c>
    </row>
    <row r="13" spans="1:7" s="145" customFormat="1" ht="15.75" customHeight="1">
      <c r="A13" s="1114" t="s">
        <v>10</v>
      </c>
      <c r="B13" s="1115"/>
      <c r="C13" s="1115"/>
      <c r="D13" s="1115"/>
      <c r="E13" s="1115"/>
      <c r="F13" s="1115"/>
      <c r="G13" s="1116"/>
    </row>
    <row r="14" spans="1:7" s="145" customFormat="1" ht="15.75" customHeight="1">
      <c r="A14" s="1074" t="s">
        <v>2</v>
      </c>
      <c r="B14" s="1115"/>
      <c r="C14" s="53" t="s">
        <v>3</v>
      </c>
      <c r="D14" s="53" t="s">
        <v>4</v>
      </c>
      <c r="E14" s="53" t="s">
        <v>6</v>
      </c>
      <c r="F14" s="53" t="s">
        <v>11</v>
      </c>
      <c r="G14" s="1029" t="s">
        <v>8</v>
      </c>
    </row>
    <row r="15" spans="1:7" s="145" customFormat="1" ht="65.25" customHeight="1">
      <c r="A15" s="947" t="s">
        <v>598</v>
      </c>
      <c r="B15" s="980"/>
      <c r="C15" s="16" t="s">
        <v>3</v>
      </c>
      <c r="D15" s="16">
        <v>1</v>
      </c>
      <c r="E15" s="17">
        <f>+'INSUMOS ELÉCTRICOS'!E16</f>
        <v>418285</v>
      </c>
      <c r="F15" s="55">
        <f>D15*E15</f>
        <v>418285</v>
      </c>
      <c r="G15" s="1030"/>
    </row>
    <row r="16" spans="1:7" s="150" customFormat="1" ht="15.75" customHeight="1">
      <c r="A16" s="1117" t="s">
        <v>599</v>
      </c>
      <c r="B16" s="1118"/>
      <c r="C16" s="148" t="s">
        <v>3</v>
      </c>
      <c r="D16" s="148">
        <v>4</v>
      </c>
      <c r="E16" s="17">
        <f>+'INSUMOS ELÉCTRICOS'!E21</f>
        <v>5200</v>
      </c>
      <c r="F16" s="149">
        <f>E16*D16</f>
        <v>20800</v>
      </c>
      <c r="G16" s="1031"/>
    </row>
    <row r="17" spans="1:7" s="145" customFormat="1" ht="15.75" customHeight="1">
      <c r="A17" s="947"/>
      <c r="B17" s="1115"/>
      <c r="C17" s="16"/>
      <c r="D17" s="58"/>
      <c r="E17" s="17"/>
      <c r="F17" s="55"/>
      <c r="G17" s="57">
        <f>SUM(F14:F17)</f>
        <v>439085</v>
      </c>
    </row>
    <row r="18" spans="1:7" s="145" customFormat="1" ht="15.75" customHeight="1">
      <c r="A18" s="1114" t="s">
        <v>15</v>
      </c>
      <c r="B18" s="1115"/>
      <c r="C18" s="1115"/>
      <c r="D18" s="1115"/>
      <c r="E18" s="1115"/>
      <c r="F18" s="1115"/>
      <c r="G18" s="1116"/>
    </row>
    <row r="19" spans="1:7" s="145" customFormat="1" ht="15.75" customHeight="1">
      <c r="A19" s="1074" t="s">
        <v>2</v>
      </c>
      <c r="B19" s="1115"/>
      <c r="C19" s="53" t="s">
        <v>3</v>
      </c>
      <c r="D19" s="53" t="s">
        <v>4</v>
      </c>
      <c r="E19" s="53" t="s">
        <v>6</v>
      </c>
      <c r="F19" s="53" t="s">
        <v>11</v>
      </c>
      <c r="G19" s="1075" t="s">
        <v>8</v>
      </c>
    </row>
    <row r="20" spans="1:7" s="145" customFormat="1" ht="15.75" customHeight="1">
      <c r="A20" s="943" t="s">
        <v>173</v>
      </c>
      <c r="B20" s="1115"/>
      <c r="C20" s="16" t="s">
        <v>3</v>
      </c>
      <c r="D20" s="54">
        <v>6.0000000000000001E-3</v>
      </c>
      <c r="E20" s="17">
        <f>G17</f>
        <v>439085</v>
      </c>
      <c r="F20" s="55">
        <f>E20*D20</f>
        <v>2634.51</v>
      </c>
      <c r="G20" s="1116"/>
    </row>
    <row r="21" spans="1:7" s="145" customFormat="1" ht="15.75" customHeight="1">
      <c r="A21" s="151"/>
      <c r="B21" s="152"/>
      <c r="C21" s="152"/>
      <c r="D21" s="152"/>
      <c r="E21" s="152"/>
      <c r="F21" s="152"/>
      <c r="G21" s="57">
        <f>SUM(F20:F21)</f>
        <v>2634.51</v>
      </c>
    </row>
    <row r="22" spans="1:7" s="145" customFormat="1" ht="15.75" customHeight="1">
      <c r="A22" s="1114" t="s">
        <v>19</v>
      </c>
      <c r="B22" s="1115"/>
      <c r="C22" s="1115"/>
      <c r="D22" s="1115"/>
      <c r="E22" s="1115"/>
      <c r="F22" s="1115"/>
      <c r="G22" s="1116"/>
    </row>
    <row r="23" spans="1:7" s="145" customFormat="1" ht="15.75" customHeight="1">
      <c r="A23" s="1074" t="s">
        <v>2</v>
      </c>
      <c r="B23" s="1115"/>
      <c r="C23" s="53" t="s">
        <v>3</v>
      </c>
      <c r="D23" s="53" t="s">
        <v>4</v>
      </c>
      <c r="E23" s="53" t="s">
        <v>6</v>
      </c>
      <c r="F23" s="53" t="s">
        <v>11</v>
      </c>
      <c r="G23" s="1075" t="s">
        <v>8</v>
      </c>
    </row>
    <row r="24" spans="1:7" s="2" customFormat="1" ht="15.75" customHeight="1">
      <c r="A24" s="978" t="s">
        <v>1256</v>
      </c>
      <c r="B24" s="979"/>
      <c r="C24" s="13" t="s">
        <v>1245</v>
      </c>
      <c r="D24" s="32">
        <v>1</v>
      </c>
      <c r="E24" s="13">
        <v>20030</v>
      </c>
      <c r="F24" s="55">
        <f>+D24*E24</f>
        <v>20030</v>
      </c>
      <c r="G24" s="1116"/>
    </row>
    <row r="25" spans="1:7" s="145" customFormat="1" ht="15.75" customHeight="1">
      <c r="A25" s="155"/>
      <c r="B25" s="156"/>
      <c r="C25" s="156"/>
      <c r="D25" s="156"/>
      <c r="E25" s="156"/>
      <c r="F25" s="156"/>
      <c r="G25" s="57">
        <f>SUM(F23:F25)</f>
        <v>20030</v>
      </c>
    </row>
    <row r="26" spans="1:7" s="145" customFormat="1" ht="15.75" customHeight="1">
      <c r="A26" s="1119" t="s">
        <v>25</v>
      </c>
      <c r="B26" s="1120"/>
      <c r="C26" s="1120"/>
      <c r="D26" s="1120"/>
      <c r="E26" s="1120"/>
      <c r="F26" s="1120"/>
      <c r="G26" s="1121"/>
    </row>
    <row r="27" spans="1:7" s="145" customFormat="1" ht="15.75" customHeight="1">
      <c r="A27" s="1122"/>
      <c r="B27" s="1120"/>
      <c r="C27" s="1120"/>
      <c r="D27" s="1120"/>
      <c r="E27" s="1120"/>
      <c r="F27" s="1120"/>
      <c r="G27" s="62">
        <f>G25+G21+G17+G12</f>
        <v>462751.01</v>
      </c>
    </row>
    <row r="28" spans="1:7" s="145" customFormat="1" ht="15" customHeight="1">
      <c r="A28" s="158"/>
      <c r="B28" s="159"/>
      <c r="C28" s="159"/>
      <c r="D28" s="159"/>
      <c r="E28" s="159"/>
      <c r="F28" s="159"/>
      <c r="G28" s="160"/>
    </row>
    <row r="29" spans="1:7" s="145" customFormat="1" ht="15.75" customHeight="1">
      <c r="A29" s="1123" t="s">
        <v>1</v>
      </c>
      <c r="B29" s="1120"/>
      <c r="C29" s="953" t="s">
        <v>594</v>
      </c>
      <c r="D29" s="1125"/>
      <c r="E29" s="1125"/>
      <c r="F29" s="1125"/>
      <c r="G29" s="1126"/>
    </row>
    <row r="30" spans="1:7" s="145" customFormat="1" ht="24" customHeight="1">
      <c r="A30" s="1124"/>
      <c r="B30" s="1120"/>
      <c r="C30" s="1125"/>
      <c r="D30" s="1125"/>
      <c r="E30" s="1125"/>
      <c r="F30" s="1125"/>
      <c r="G30" s="1126"/>
    </row>
    <row r="31" spans="1:7" s="145" customFormat="1" ht="15.6" customHeight="1">
      <c r="A31" s="1124"/>
      <c r="B31" s="1120"/>
      <c r="C31" s="1127" t="s">
        <v>595</v>
      </c>
      <c r="D31" s="1120"/>
      <c r="E31" s="1120"/>
      <c r="F31" s="1120"/>
      <c r="G31" s="1121"/>
    </row>
    <row r="32" spans="1:7" s="145" customFormat="1" ht="15.75" customHeight="1">
      <c r="A32" s="1124"/>
      <c r="B32" s="1120"/>
      <c r="C32" s="1128" t="s">
        <v>2</v>
      </c>
      <c r="D32" s="1120"/>
      <c r="E32" s="1120"/>
      <c r="F32" s="146" t="s">
        <v>3</v>
      </c>
      <c r="G32" s="147" t="s">
        <v>4</v>
      </c>
    </row>
    <row r="33" spans="1:7" s="145" customFormat="1" ht="57.75" customHeight="1">
      <c r="A33" s="1073" t="s">
        <v>600</v>
      </c>
      <c r="B33" s="1115"/>
      <c r="C33" s="980" t="s">
        <v>597</v>
      </c>
      <c r="D33" s="1115"/>
      <c r="E33" s="1115"/>
      <c r="F33" s="16" t="s">
        <v>28</v>
      </c>
      <c r="G33" s="52">
        <v>1</v>
      </c>
    </row>
    <row r="34" spans="1:7" s="145" customFormat="1" ht="15.75" customHeight="1">
      <c r="A34" s="1114" t="s">
        <v>5</v>
      </c>
      <c r="B34" s="1115"/>
      <c r="C34" s="1115"/>
      <c r="D34" s="1115"/>
      <c r="E34" s="1115"/>
      <c r="F34" s="1115"/>
      <c r="G34" s="1116"/>
    </row>
    <row r="35" spans="1:7" s="145" customFormat="1" ht="15.75" customHeight="1">
      <c r="A35" s="1074" t="s">
        <v>2</v>
      </c>
      <c r="B35" s="1115"/>
      <c r="C35" s="53" t="s">
        <v>3</v>
      </c>
      <c r="D35" s="53" t="s">
        <v>4</v>
      </c>
      <c r="E35" s="53" t="s">
        <v>6</v>
      </c>
      <c r="F35" s="53" t="s">
        <v>7</v>
      </c>
      <c r="G35" s="1075" t="s">
        <v>8</v>
      </c>
    </row>
    <row r="36" spans="1:7" s="150" customFormat="1" ht="15.75" customHeight="1">
      <c r="A36" s="1117" t="s">
        <v>167</v>
      </c>
      <c r="B36" s="1129"/>
      <c r="C36" s="161" t="s">
        <v>3</v>
      </c>
      <c r="D36" s="51">
        <v>0.05</v>
      </c>
      <c r="E36" s="17">
        <f>G50</f>
        <v>20030</v>
      </c>
      <c r="F36" s="149">
        <f>D36*E36</f>
        <v>1001.5</v>
      </c>
      <c r="G36" s="1116"/>
    </row>
    <row r="37" spans="1:7" s="145" customFormat="1" ht="15.75" customHeight="1">
      <c r="A37" s="943"/>
      <c r="B37" s="1115"/>
      <c r="C37" s="51"/>
      <c r="D37" s="51"/>
      <c r="E37" s="51"/>
      <c r="F37" s="55"/>
      <c r="G37" s="57">
        <f>SUM(F35:F37)</f>
        <v>1001.5</v>
      </c>
    </row>
    <row r="38" spans="1:7" s="145" customFormat="1" ht="15.75" customHeight="1">
      <c r="A38" s="1114" t="s">
        <v>10</v>
      </c>
      <c r="B38" s="1115"/>
      <c r="C38" s="1115"/>
      <c r="D38" s="1115"/>
      <c r="E38" s="1115"/>
      <c r="F38" s="1115"/>
      <c r="G38" s="1116"/>
    </row>
    <row r="39" spans="1:7" s="145" customFormat="1" ht="15.75" customHeight="1">
      <c r="A39" s="1074" t="s">
        <v>2</v>
      </c>
      <c r="B39" s="1115"/>
      <c r="C39" s="53" t="s">
        <v>3</v>
      </c>
      <c r="D39" s="53" t="s">
        <v>4</v>
      </c>
      <c r="E39" s="53" t="s">
        <v>6</v>
      </c>
      <c r="F39" s="53" t="s">
        <v>11</v>
      </c>
      <c r="G39" s="1029" t="s">
        <v>8</v>
      </c>
    </row>
    <row r="40" spans="1:7" s="145" customFormat="1" ht="40.950000000000003" customHeight="1">
      <c r="A40" s="947" t="s">
        <v>598</v>
      </c>
      <c r="B40" s="980"/>
      <c r="C40" s="16" t="s">
        <v>3</v>
      </c>
      <c r="D40" s="16">
        <v>1</v>
      </c>
      <c r="E40" s="17">
        <f>+'INSUMOS ELÉCTRICOS'!E16</f>
        <v>418285</v>
      </c>
      <c r="F40" s="55">
        <f>D40*E40</f>
        <v>418285</v>
      </c>
      <c r="G40" s="1030"/>
    </row>
    <row r="41" spans="1:7" s="150" customFormat="1" ht="15.75" customHeight="1">
      <c r="A41" s="1117" t="s">
        <v>599</v>
      </c>
      <c r="B41" s="1118"/>
      <c r="C41" s="148" t="s">
        <v>3</v>
      </c>
      <c r="D41" s="148">
        <v>4</v>
      </c>
      <c r="E41" s="17">
        <f>+'INSUMOS ELÉCTRICOS'!E21</f>
        <v>5200</v>
      </c>
      <c r="F41" s="149">
        <f>E41*D41</f>
        <v>20800</v>
      </c>
      <c r="G41" s="1031"/>
    </row>
    <row r="42" spans="1:7" s="145" customFormat="1" ht="15.75" customHeight="1">
      <c r="A42" s="947"/>
      <c r="B42" s="1115"/>
      <c r="C42" s="16"/>
      <c r="D42" s="58"/>
      <c r="E42" s="17"/>
      <c r="F42" s="55"/>
      <c r="G42" s="57">
        <f>SUM(F39:F42)</f>
        <v>439085</v>
      </c>
    </row>
    <row r="43" spans="1:7" s="145" customFormat="1" ht="15.75" customHeight="1">
      <c r="A43" s="1114" t="s">
        <v>15</v>
      </c>
      <c r="B43" s="1115"/>
      <c r="C43" s="1115"/>
      <c r="D43" s="1115"/>
      <c r="E43" s="1115"/>
      <c r="F43" s="1115"/>
      <c r="G43" s="1116"/>
    </row>
    <row r="44" spans="1:7" s="145" customFormat="1" ht="15.75" customHeight="1">
      <c r="A44" s="1074" t="s">
        <v>2</v>
      </c>
      <c r="B44" s="1115"/>
      <c r="C44" s="53" t="s">
        <v>3</v>
      </c>
      <c r="D44" s="53" t="s">
        <v>4</v>
      </c>
      <c r="E44" s="53" t="s">
        <v>6</v>
      </c>
      <c r="F44" s="53" t="s">
        <v>11</v>
      </c>
      <c r="G44" s="1075" t="s">
        <v>8</v>
      </c>
    </row>
    <row r="45" spans="1:7" s="145" customFormat="1" ht="15.75" customHeight="1">
      <c r="A45" s="943" t="s">
        <v>173</v>
      </c>
      <c r="B45" s="1115"/>
      <c r="C45" s="16" t="s">
        <v>3</v>
      </c>
      <c r="D45" s="54">
        <v>6.0000000000000001E-3</v>
      </c>
      <c r="E45" s="17">
        <f>G42</f>
        <v>439085</v>
      </c>
      <c r="F45" s="55">
        <f>E45*D45</f>
        <v>2634.51</v>
      </c>
      <c r="G45" s="1116"/>
    </row>
    <row r="46" spans="1:7" s="145" customFormat="1" ht="15.75" customHeight="1">
      <c r="A46" s="151"/>
      <c r="B46" s="152"/>
      <c r="C46" s="152"/>
      <c r="D46" s="152"/>
      <c r="E46" s="152"/>
      <c r="F46" s="152"/>
      <c r="G46" s="57">
        <f>SUM(F45:F46)</f>
        <v>2634.51</v>
      </c>
    </row>
    <row r="47" spans="1:7" s="145" customFormat="1" ht="15.75" customHeight="1">
      <c r="A47" s="1114" t="s">
        <v>19</v>
      </c>
      <c r="B47" s="1115"/>
      <c r="C47" s="1115"/>
      <c r="D47" s="1115"/>
      <c r="E47" s="1115"/>
      <c r="F47" s="1115"/>
      <c r="G47" s="1116"/>
    </row>
    <row r="48" spans="1:7" s="145" customFormat="1" ht="15.75" customHeight="1">
      <c r="A48" s="1074" t="s">
        <v>2</v>
      </c>
      <c r="B48" s="1115"/>
      <c r="C48" s="53" t="s">
        <v>3</v>
      </c>
      <c r="D48" s="53" t="s">
        <v>4</v>
      </c>
      <c r="E48" s="53" t="s">
        <v>6</v>
      </c>
      <c r="F48" s="53" t="s">
        <v>11</v>
      </c>
      <c r="G48" s="1075" t="s">
        <v>8</v>
      </c>
    </row>
    <row r="49" spans="1:7" s="2" customFormat="1" ht="15.75" customHeight="1">
      <c r="A49" s="978" t="s">
        <v>1256</v>
      </c>
      <c r="B49" s="979"/>
      <c r="C49" s="13" t="s">
        <v>1245</v>
      </c>
      <c r="D49" s="32">
        <v>1</v>
      </c>
      <c r="E49" s="13">
        <v>20030</v>
      </c>
      <c r="F49" s="55">
        <f>+D49*E49</f>
        <v>20030</v>
      </c>
      <c r="G49" s="1116"/>
    </row>
    <row r="50" spans="1:7" s="145" customFormat="1" ht="15.75" customHeight="1">
      <c r="A50" s="155"/>
      <c r="B50" s="156"/>
      <c r="C50" s="156"/>
      <c r="D50" s="156"/>
      <c r="E50" s="156"/>
      <c r="F50" s="156"/>
      <c r="G50" s="57">
        <f>SUM(F48:F50)</f>
        <v>20030</v>
      </c>
    </row>
    <row r="51" spans="1:7" s="145" customFormat="1" ht="15.75" customHeight="1">
      <c r="A51" s="1119" t="s">
        <v>25</v>
      </c>
      <c r="B51" s="1120"/>
      <c r="C51" s="1120"/>
      <c r="D51" s="1120"/>
      <c r="E51" s="1120"/>
      <c r="F51" s="1120"/>
      <c r="G51" s="1121"/>
    </row>
    <row r="52" spans="1:7" s="145" customFormat="1" ht="15.75" customHeight="1">
      <c r="A52" s="1122"/>
      <c r="B52" s="1120"/>
      <c r="C52" s="1120"/>
      <c r="D52" s="1120"/>
      <c r="E52" s="1120"/>
      <c r="F52" s="1120"/>
      <c r="G52" s="62">
        <f>G50+G46+G42+G37</f>
        <v>462751.01</v>
      </c>
    </row>
    <row r="53" spans="1:7" s="145" customFormat="1" ht="15" customHeight="1">
      <c r="A53" s="158"/>
      <c r="B53" s="159"/>
      <c r="C53" s="159"/>
      <c r="D53" s="159"/>
      <c r="E53" s="159"/>
      <c r="F53" s="159"/>
      <c r="G53" s="160"/>
    </row>
    <row r="54" spans="1:7" s="145" customFormat="1" ht="15.75" customHeight="1">
      <c r="A54" s="1123" t="s">
        <v>1</v>
      </c>
      <c r="B54" s="1120"/>
      <c r="C54" s="953" t="s">
        <v>594</v>
      </c>
      <c r="D54" s="1125"/>
      <c r="E54" s="1125"/>
      <c r="F54" s="1125"/>
      <c r="G54" s="1126"/>
    </row>
    <row r="55" spans="1:7" s="145" customFormat="1" ht="24" customHeight="1">
      <c r="A55" s="1124"/>
      <c r="B55" s="1120"/>
      <c r="C55" s="1125"/>
      <c r="D55" s="1125"/>
      <c r="E55" s="1125"/>
      <c r="F55" s="1125"/>
      <c r="G55" s="1126"/>
    </row>
    <row r="56" spans="1:7" s="145" customFormat="1" ht="15.6" customHeight="1">
      <c r="A56" s="1124"/>
      <c r="B56" s="1120"/>
      <c r="C56" s="1127" t="s">
        <v>595</v>
      </c>
      <c r="D56" s="1120"/>
      <c r="E56" s="1120"/>
      <c r="F56" s="1120"/>
      <c r="G56" s="1121"/>
    </row>
    <row r="57" spans="1:7" s="145" customFormat="1" ht="15.75" customHeight="1">
      <c r="A57" s="1124"/>
      <c r="B57" s="1120"/>
      <c r="C57" s="1128" t="s">
        <v>2</v>
      </c>
      <c r="D57" s="1120"/>
      <c r="E57" s="1120"/>
      <c r="F57" s="146" t="s">
        <v>3</v>
      </c>
      <c r="G57" s="147" t="s">
        <v>4</v>
      </c>
    </row>
    <row r="58" spans="1:7" s="145" customFormat="1" ht="37.5" customHeight="1">
      <c r="A58" s="1073" t="s">
        <v>601</v>
      </c>
      <c r="B58" s="1115"/>
      <c r="C58" s="980" t="s">
        <v>602</v>
      </c>
      <c r="D58" s="1115"/>
      <c r="E58" s="1115"/>
      <c r="F58" s="16" t="s">
        <v>28</v>
      </c>
      <c r="G58" s="52">
        <v>1</v>
      </c>
    </row>
    <row r="59" spans="1:7" s="145" customFormat="1" ht="15.75" customHeight="1">
      <c r="A59" s="1114" t="s">
        <v>5</v>
      </c>
      <c r="B59" s="1115"/>
      <c r="C59" s="1115"/>
      <c r="D59" s="1115"/>
      <c r="E59" s="1115"/>
      <c r="F59" s="1115"/>
      <c r="G59" s="1116"/>
    </row>
    <row r="60" spans="1:7" s="145" customFormat="1" ht="15.75" customHeight="1">
      <c r="A60" s="1074" t="s">
        <v>2</v>
      </c>
      <c r="B60" s="1115"/>
      <c r="C60" s="53" t="s">
        <v>3</v>
      </c>
      <c r="D60" s="53" t="s">
        <v>4</v>
      </c>
      <c r="E60" s="53" t="s">
        <v>6</v>
      </c>
      <c r="F60" s="53" t="s">
        <v>7</v>
      </c>
      <c r="G60" s="1075" t="s">
        <v>8</v>
      </c>
    </row>
    <row r="61" spans="1:7" s="145" customFormat="1" ht="15.75" customHeight="1">
      <c r="A61" s="947" t="s">
        <v>167</v>
      </c>
      <c r="B61" s="1115"/>
      <c r="C61" s="51" t="s">
        <v>3</v>
      </c>
      <c r="D61" s="51">
        <v>0.05</v>
      </c>
      <c r="E61" s="17">
        <f>G74</f>
        <v>20030</v>
      </c>
      <c r="F61" s="55">
        <f>D61*E61</f>
        <v>1001.5</v>
      </c>
      <c r="G61" s="1116"/>
    </row>
    <row r="62" spans="1:7" s="145" customFormat="1" ht="15.75" customHeight="1">
      <c r="A62" s="943"/>
      <c r="B62" s="1115"/>
      <c r="C62" s="51"/>
      <c r="D62" s="51"/>
      <c r="E62" s="51"/>
      <c r="F62" s="55"/>
      <c r="G62" s="57">
        <f>SUM(F60:F62)</f>
        <v>1001.5</v>
      </c>
    </row>
    <row r="63" spans="1:7" s="145" customFormat="1" ht="15.75" customHeight="1">
      <c r="A63" s="1114" t="s">
        <v>10</v>
      </c>
      <c r="B63" s="1115"/>
      <c r="C63" s="1115"/>
      <c r="D63" s="1115"/>
      <c r="E63" s="1115"/>
      <c r="F63" s="1115"/>
      <c r="G63" s="1116"/>
    </row>
    <row r="64" spans="1:7" s="145" customFormat="1" ht="15.75" customHeight="1">
      <c r="A64" s="1074" t="s">
        <v>2</v>
      </c>
      <c r="B64" s="1115"/>
      <c r="C64" s="53" t="s">
        <v>3</v>
      </c>
      <c r="D64" s="53" t="s">
        <v>4</v>
      </c>
      <c r="E64" s="53" t="s">
        <v>6</v>
      </c>
      <c r="F64" s="53" t="s">
        <v>11</v>
      </c>
      <c r="G64" s="1075" t="s">
        <v>8</v>
      </c>
    </row>
    <row r="65" spans="1:7" s="145" customFormat="1" ht="25.2" customHeight="1">
      <c r="A65" s="947" t="s">
        <v>602</v>
      </c>
      <c r="B65" s="980"/>
      <c r="C65" s="16" t="s">
        <v>3</v>
      </c>
      <c r="D65" s="16">
        <v>1</v>
      </c>
      <c r="E65" s="17">
        <f>+'INSUMOS ELÉCTRICOS'!E13</f>
        <v>279293</v>
      </c>
      <c r="F65" s="55">
        <f>D65*E65</f>
        <v>279293</v>
      </c>
      <c r="G65" s="1075"/>
    </row>
    <row r="66" spans="1:7" s="145" customFormat="1" ht="15.75" customHeight="1">
      <c r="A66" s="947"/>
      <c r="B66" s="1115"/>
      <c r="C66" s="16"/>
      <c r="D66" s="58"/>
      <c r="E66" s="17"/>
      <c r="F66" s="55"/>
      <c r="G66" s="57">
        <f>SUM(F64:F66)</f>
        <v>279293</v>
      </c>
    </row>
    <row r="67" spans="1:7" s="145" customFormat="1" ht="15.75" customHeight="1">
      <c r="A67" s="1114" t="s">
        <v>15</v>
      </c>
      <c r="B67" s="1115"/>
      <c r="C67" s="1115"/>
      <c r="D67" s="1115"/>
      <c r="E67" s="1115"/>
      <c r="F67" s="1115"/>
      <c r="G67" s="1116"/>
    </row>
    <row r="68" spans="1:7" s="145" customFormat="1" ht="15.75" customHeight="1">
      <c r="A68" s="1074" t="s">
        <v>2</v>
      </c>
      <c r="B68" s="1115"/>
      <c r="C68" s="53" t="s">
        <v>3</v>
      </c>
      <c r="D68" s="53" t="s">
        <v>4</v>
      </c>
      <c r="E68" s="53" t="s">
        <v>6</v>
      </c>
      <c r="F68" s="53" t="s">
        <v>11</v>
      </c>
      <c r="G68" s="1075" t="s">
        <v>8</v>
      </c>
    </row>
    <row r="69" spans="1:7" s="145" customFormat="1" ht="15.75" customHeight="1">
      <c r="A69" s="943" t="s">
        <v>173</v>
      </c>
      <c r="B69" s="1115"/>
      <c r="C69" s="16" t="s">
        <v>3</v>
      </c>
      <c r="D69" s="54">
        <v>6.0000000000000001E-3</v>
      </c>
      <c r="E69" s="17">
        <f>G66</f>
        <v>279293</v>
      </c>
      <c r="F69" s="55">
        <f>D69*E69</f>
        <v>1675.758</v>
      </c>
      <c r="G69" s="1116"/>
    </row>
    <row r="70" spans="1:7" s="145" customFormat="1" ht="15.75" customHeight="1">
      <c r="A70" s="151"/>
      <c r="B70" s="152"/>
      <c r="C70" s="152"/>
      <c r="D70" s="152"/>
      <c r="E70" s="152"/>
      <c r="F70" s="152"/>
      <c r="G70" s="57">
        <f>SUM(F69:F70)</f>
        <v>1675.758</v>
      </c>
    </row>
    <row r="71" spans="1:7" s="145" customFormat="1" ht="15.75" customHeight="1">
      <c r="A71" s="1114" t="s">
        <v>19</v>
      </c>
      <c r="B71" s="1115"/>
      <c r="C71" s="1115"/>
      <c r="D71" s="1115"/>
      <c r="E71" s="1115"/>
      <c r="F71" s="1115"/>
      <c r="G71" s="1116"/>
    </row>
    <row r="72" spans="1:7" s="145" customFormat="1" ht="15.75" customHeight="1">
      <c r="A72" s="1074" t="s">
        <v>2</v>
      </c>
      <c r="B72" s="1115"/>
      <c r="C72" s="53" t="s">
        <v>3</v>
      </c>
      <c r="D72" s="53" t="s">
        <v>4</v>
      </c>
      <c r="E72" s="53" t="s">
        <v>6</v>
      </c>
      <c r="F72" s="53" t="s">
        <v>11</v>
      </c>
      <c r="G72" s="1075" t="s">
        <v>8</v>
      </c>
    </row>
    <row r="73" spans="1:7" s="2" customFormat="1" ht="15.75" customHeight="1">
      <c r="A73" s="978" t="s">
        <v>1256</v>
      </c>
      <c r="B73" s="979"/>
      <c r="C73" s="13" t="s">
        <v>1245</v>
      </c>
      <c r="D73" s="32">
        <v>1</v>
      </c>
      <c r="E73" s="13">
        <v>20030</v>
      </c>
      <c r="F73" s="55">
        <f>+D73*E73</f>
        <v>20030</v>
      </c>
      <c r="G73" s="1116"/>
    </row>
    <row r="74" spans="1:7" s="145" customFormat="1" ht="15.75" customHeight="1">
      <c r="A74" s="155"/>
      <c r="B74" s="156"/>
      <c r="C74" s="156"/>
      <c r="D74" s="156"/>
      <c r="E74" s="156"/>
      <c r="F74" s="156"/>
      <c r="G74" s="57">
        <f>SUM(F72:F74)</f>
        <v>20030</v>
      </c>
    </row>
    <row r="75" spans="1:7" s="145" customFormat="1" ht="15.75" customHeight="1">
      <c r="A75" s="1119" t="s">
        <v>25</v>
      </c>
      <c r="B75" s="1120"/>
      <c r="C75" s="1120"/>
      <c r="D75" s="1120"/>
      <c r="E75" s="1120"/>
      <c r="F75" s="1120"/>
      <c r="G75" s="1121"/>
    </row>
    <row r="76" spans="1:7" s="145" customFormat="1" ht="15.75" customHeight="1">
      <c r="A76" s="1122"/>
      <c r="B76" s="1120"/>
      <c r="C76" s="1120"/>
      <c r="D76" s="1120"/>
      <c r="E76" s="1120"/>
      <c r="F76" s="1120"/>
      <c r="G76" s="62">
        <f>G74+G70+G66+G62</f>
        <v>302000.25800000003</v>
      </c>
    </row>
    <row r="77" spans="1:7" s="145" customFormat="1" ht="15" customHeight="1">
      <c r="A77" s="158"/>
      <c r="B77" s="159"/>
      <c r="C77" s="159"/>
      <c r="D77" s="159"/>
      <c r="E77" s="159"/>
      <c r="F77" s="159"/>
      <c r="G77" s="160"/>
    </row>
    <row r="78" spans="1:7" s="145" customFormat="1" ht="15.75" customHeight="1">
      <c r="A78" s="1123" t="s">
        <v>1</v>
      </c>
      <c r="B78" s="1120"/>
      <c r="C78" s="953" t="s">
        <v>594</v>
      </c>
      <c r="D78" s="1125"/>
      <c r="E78" s="1125"/>
      <c r="F78" s="1125"/>
      <c r="G78" s="1126"/>
    </row>
    <row r="79" spans="1:7" s="145" customFormat="1" ht="24" customHeight="1">
      <c r="A79" s="1124"/>
      <c r="B79" s="1120"/>
      <c r="C79" s="1125"/>
      <c r="D79" s="1125"/>
      <c r="E79" s="1125"/>
      <c r="F79" s="1125"/>
      <c r="G79" s="1126"/>
    </row>
    <row r="80" spans="1:7" s="145" customFormat="1" ht="15.6" customHeight="1">
      <c r="A80" s="1124"/>
      <c r="B80" s="1120"/>
      <c r="C80" s="1127" t="s">
        <v>595</v>
      </c>
      <c r="D80" s="1120"/>
      <c r="E80" s="1120"/>
      <c r="F80" s="1120"/>
      <c r="G80" s="1121"/>
    </row>
    <row r="81" spans="1:7" s="145" customFormat="1" ht="15.75" customHeight="1">
      <c r="A81" s="1124"/>
      <c r="B81" s="1120"/>
      <c r="C81" s="1128" t="s">
        <v>2</v>
      </c>
      <c r="D81" s="1120"/>
      <c r="E81" s="1120"/>
      <c r="F81" s="146" t="s">
        <v>3</v>
      </c>
      <c r="G81" s="147" t="s">
        <v>4</v>
      </c>
    </row>
    <row r="82" spans="1:7" s="145" customFormat="1" ht="57.75" customHeight="1">
      <c r="A82" s="1073" t="s">
        <v>603</v>
      </c>
      <c r="B82" s="1115"/>
      <c r="C82" s="980" t="s">
        <v>604</v>
      </c>
      <c r="D82" s="1115"/>
      <c r="E82" s="1115"/>
      <c r="F82" s="16" t="s">
        <v>28</v>
      </c>
      <c r="G82" s="52">
        <v>30</v>
      </c>
    </row>
    <row r="83" spans="1:7" s="145" customFormat="1" ht="15.75" customHeight="1">
      <c r="A83" s="1114" t="s">
        <v>5</v>
      </c>
      <c r="B83" s="1115"/>
      <c r="C83" s="1115"/>
      <c r="D83" s="1115"/>
      <c r="E83" s="1115"/>
      <c r="F83" s="1115"/>
      <c r="G83" s="1116"/>
    </row>
    <row r="84" spans="1:7" s="145" customFormat="1" ht="15.75" customHeight="1">
      <c r="A84" s="1074" t="s">
        <v>2</v>
      </c>
      <c r="B84" s="1115"/>
      <c r="C84" s="53" t="s">
        <v>3</v>
      </c>
      <c r="D84" s="53" t="s">
        <v>4</v>
      </c>
      <c r="E84" s="53" t="s">
        <v>6</v>
      </c>
      <c r="F84" s="53" t="s">
        <v>7</v>
      </c>
      <c r="G84" s="1075" t="s">
        <v>8</v>
      </c>
    </row>
    <row r="85" spans="1:7" s="145" customFormat="1" ht="15.75" customHeight="1">
      <c r="A85" s="947" t="s">
        <v>167</v>
      </c>
      <c r="B85" s="1115"/>
      <c r="C85" s="51" t="s">
        <v>3</v>
      </c>
      <c r="D85" s="51">
        <v>0.05</v>
      </c>
      <c r="E85" s="17">
        <f>G98</f>
        <v>2003</v>
      </c>
      <c r="F85" s="55">
        <f>D85*E85</f>
        <v>100.15</v>
      </c>
      <c r="G85" s="1116"/>
    </row>
    <row r="86" spans="1:7" s="145" customFormat="1" ht="15.75" customHeight="1">
      <c r="A86" s="943"/>
      <c r="B86" s="1115"/>
      <c r="C86" s="51"/>
      <c r="D86" s="51"/>
      <c r="E86" s="51"/>
      <c r="F86" s="55"/>
      <c r="G86" s="57">
        <f>SUM(F84:F86)</f>
        <v>100.15</v>
      </c>
    </row>
    <row r="87" spans="1:7" s="145" customFormat="1" ht="15.75" customHeight="1">
      <c r="A87" s="1114" t="s">
        <v>10</v>
      </c>
      <c r="B87" s="1115"/>
      <c r="C87" s="1115"/>
      <c r="D87" s="1115"/>
      <c r="E87" s="1115"/>
      <c r="F87" s="1115"/>
      <c r="G87" s="1116"/>
    </row>
    <row r="88" spans="1:7" s="145" customFormat="1" ht="15.75" customHeight="1">
      <c r="A88" s="1074" t="s">
        <v>2</v>
      </c>
      <c r="B88" s="1115"/>
      <c r="C88" s="53" t="s">
        <v>3</v>
      </c>
      <c r="D88" s="53" t="s">
        <v>4</v>
      </c>
      <c r="E88" s="53" t="s">
        <v>6</v>
      </c>
      <c r="F88" s="53" t="s">
        <v>11</v>
      </c>
      <c r="G88" s="1075" t="s">
        <v>8</v>
      </c>
    </row>
    <row r="89" spans="1:7" s="150" customFormat="1" ht="32.4" customHeight="1">
      <c r="A89" s="1117" t="s">
        <v>742</v>
      </c>
      <c r="B89" s="1118"/>
      <c r="C89" s="148" t="s">
        <v>3</v>
      </c>
      <c r="D89" s="148">
        <v>1</v>
      </c>
      <c r="E89" s="17">
        <f>+'INSUMOS ELÉCTRICOS'!E23</f>
        <v>14280</v>
      </c>
      <c r="F89" s="149">
        <f>D89*E89</f>
        <v>14280</v>
      </c>
      <c r="G89" s="1075"/>
    </row>
    <row r="90" spans="1:7" s="145" customFormat="1" ht="15.75" customHeight="1">
      <c r="A90" s="947"/>
      <c r="B90" s="1115"/>
      <c r="C90" s="16"/>
      <c r="D90" s="58"/>
      <c r="E90" s="17"/>
      <c r="F90" s="55"/>
      <c r="G90" s="57">
        <f>SUM(F88:F90)</f>
        <v>14280</v>
      </c>
    </row>
    <row r="91" spans="1:7" s="145" customFormat="1" ht="15.75" customHeight="1">
      <c r="A91" s="1114" t="s">
        <v>15</v>
      </c>
      <c r="B91" s="1115"/>
      <c r="C91" s="1115"/>
      <c r="D91" s="1115"/>
      <c r="E91" s="1115"/>
      <c r="F91" s="1115"/>
      <c r="G91" s="1116"/>
    </row>
    <row r="92" spans="1:7" s="145" customFormat="1" ht="15.75" customHeight="1">
      <c r="A92" s="1074" t="s">
        <v>2</v>
      </c>
      <c r="B92" s="1115"/>
      <c r="C92" s="53" t="s">
        <v>3</v>
      </c>
      <c r="D92" s="53" t="s">
        <v>4</v>
      </c>
      <c r="E92" s="53" t="s">
        <v>6</v>
      </c>
      <c r="F92" s="53" t="s">
        <v>11</v>
      </c>
      <c r="G92" s="1075" t="s">
        <v>8</v>
      </c>
    </row>
    <row r="93" spans="1:7" s="145" customFormat="1" ht="15.75" customHeight="1">
      <c r="A93" s="943" t="s">
        <v>173</v>
      </c>
      <c r="B93" s="1115"/>
      <c r="C93" s="16" t="s">
        <v>3</v>
      </c>
      <c r="D93" s="16">
        <v>0.04</v>
      </c>
      <c r="E93" s="17">
        <f>G90</f>
        <v>14280</v>
      </c>
      <c r="F93" s="55">
        <f>D93*E93</f>
        <v>571.20000000000005</v>
      </c>
      <c r="G93" s="1116"/>
    </row>
    <row r="94" spans="1:7" s="145" customFormat="1" ht="15.75" customHeight="1">
      <c r="A94" s="151"/>
      <c r="B94" s="152"/>
      <c r="C94" s="152"/>
      <c r="D94" s="152"/>
      <c r="E94" s="152"/>
      <c r="F94" s="152"/>
      <c r="G94" s="57">
        <f>SUM(F93:F94)</f>
        <v>571.20000000000005</v>
      </c>
    </row>
    <row r="95" spans="1:7" s="145" customFormat="1" ht="15.75" customHeight="1">
      <c r="A95" s="1114" t="s">
        <v>19</v>
      </c>
      <c r="B95" s="1115"/>
      <c r="C95" s="1115"/>
      <c r="D95" s="1115"/>
      <c r="E95" s="1115"/>
      <c r="F95" s="1115"/>
      <c r="G95" s="1116"/>
    </row>
    <row r="96" spans="1:7" s="145" customFormat="1" ht="15.75" customHeight="1">
      <c r="A96" s="1074" t="s">
        <v>2</v>
      </c>
      <c r="B96" s="1115"/>
      <c r="C96" s="53" t="s">
        <v>3</v>
      </c>
      <c r="D96" s="53" t="s">
        <v>4</v>
      </c>
      <c r="E96" s="53" t="s">
        <v>6</v>
      </c>
      <c r="F96" s="53" t="s">
        <v>11</v>
      </c>
      <c r="G96" s="1075" t="s">
        <v>8</v>
      </c>
    </row>
    <row r="97" spans="1:7" s="2" customFormat="1" ht="15.75" customHeight="1">
      <c r="A97" s="978" t="s">
        <v>1256</v>
      </c>
      <c r="B97" s="979"/>
      <c r="C97" s="13" t="s">
        <v>1245</v>
      </c>
      <c r="D97" s="32">
        <v>0.1</v>
      </c>
      <c r="E97" s="13">
        <v>20030</v>
      </c>
      <c r="F97" s="55">
        <f>+D97*E97</f>
        <v>2003</v>
      </c>
      <c r="G97" s="1116"/>
    </row>
    <row r="98" spans="1:7" s="145" customFormat="1" ht="15.75" customHeight="1">
      <c r="A98" s="155"/>
      <c r="B98" s="156"/>
      <c r="C98" s="156"/>
      <c r="D98" s="156"/>
      <c r="E98" s="156"/>
      <c r="F98" s="156"/>
      <c r="G98" s="57">
        <f>SUM(F96:F98)</f>
        <v>2003</v>
      </c>
    </row>
    <row r="99" spans="1:7" s="145" customFormat="1" ht="15.75" customHeight="1">
      <c r="A99" s="1119" t="s">
        <v>25</v>
      </c>
      <c r="B99" s="1144"/>
      <c r="C99" s="1144"/>
      <c r="D99" s="1144"/>
      <c r="E99" s="1144"/>
      <c r="F99" s="1144"/>
      <c r="G99" s="1145"/>
    </row>
    <row r="100" spans="1:7" s="145" customFormat="1" ht="15.75" customHeight="1">
      <c r="A100" s="1122"/>
      <c r="B100" s="1120"/>
      <c r="C100" s="1120"/>
      <c r="D100" s="1120"/>
      <c r="E100" s="1120"/>
      <c r="F100" s="1120"/>
      <c r="G100" s="62">
        <f>G98+G94+G90+G86</f>
        <v>16954.350000000002</v>
      </c>
    </row>
    <row r="101" spans="1:7" s="145" customFormat="1" ht="15" customHeight="1">
      <c r="A101" s="158"/>
      <c r="B101" s="159"/>
      <c r="C101" s="159"/>
      <c r="D101" s="159"/>
      <c r="E101" s="159"/>
      <c r="F101" s="159"/>
      <c r="G101" s="160"/>
    </row>
    <row r="102" spans="1:7" s="145" customFormat="1" ht="15.75" customHeight="1">
      <c r="A102" s="1123" t="s">
        <v>1</v>
      </c>
      <c r="B102" s="1120"/>
      <c r="C102" s="953" t="s">
        <v>594</v>
      </c>
      <c r="D102" s="1125"/>
      <c r="E102" s="1125"/>
      <c r="F102" s="1125"/>
      <c r="G102" s="1126"/>
    </row>
    <row r="103" spans="1:7" s="145" customFormat="1" ht="24" customHeight="1">
      <c r="A103" s="1124"/>
      <c r="B103" s="1120"/>
      <c r="C103" s="1125"/>
      <c r="D103" s="1125"/>
      <c r="E103" s="1125"/>
      <c r="F103" s="1125"/>
      <c r="G103" s="1126"/>
    </row>
    <row r="104" spans="1:7" s="145" customFormat="1" ht="15.6" customHeight="1">
      <c r="A104" s="1124"/>
      <c r="B104" s="1120"/>
      <c r="C104" s="1127" t="s">
        <v>606</v>
      </c>
      <c r="D104" s="1120"/>
      <c r="E104" s="1120"/>
      <c r="F104" s="1120"/>
      <c r="G104" s="1121"/>
    </row>
    <row r="105" spans="1:7" s="145" customFormat="1" ht="15.75" customHeight="1">
      <c r="A105" s="1124"/>
      <c r="B105" s="1120"/>
      <c r="C105" s="1128" t="s">
        <v>2</v>
      </c>
      <c r="D105" s="1120"/>
      <c r="E105" s="1120"/>
      <c r="F105" s="146" t="s">
        <v>3</v>
      </c>
      <c r="G105" s="147" t="s">
        <v>4</v>
      </c>
    </row>
    <row r="106" spans="1:7" s="145" customFormat="1" ht="65.25" customHeight="1">
      <c r="A106" s="1073" t="s">
        <v>607</v>
      </c>
      <c r="B106" s="1115"/>
      <c r="C106" s="980" t="s">
        <v>608</v>
      </c>
      <c r="D106" s="1115"/>
      <c r="E106" s="1115"/>
      <c r="F106" s="16" t="s">
        <v>45</v>
      </c>
      <c r="G106" s="52">
        <v>610</v>
      </c>
    </row>
    <row r="107" spans="1:7" s="145" customFormat="1" ht="15.75" customHeight="1">
      <c r="A107" s="1114" t="s">
        <v>5</v>
      </c>
      <c r="B107" s="1115"/>
      <c r="C107" s="1115"/>
      <c r="D107" s="1115"/>
      <c r="E107" s="1115"/>
      <c r="F107" s="1115"/>
      <c r="G107" s="1116"/>
    </row>
    <row r="108" spans="1:7" s="145" customFormat="1" ht="15.75" customHeight="1">
      <c r="A108" s="1074" t="s">
        <v>2</v>
      </c>
      <c r="B108" s="1115"/>
      <c r="C108" s="53" t="s">
        <v>3</v>
      </c>
      <c r="D108" s="53" t="s">
        <v>4</v>
      </c>
      <c r="E108" s="53" t="s">
        <v>6</v>
      </c>
      <c r="F108" s="53" t="s">
        <v>7</v>
      </c>
      <c r="G108" s="1075" t="s">
        <v>8</v>
      </c>
    </row>
    <row r="109" spans="1:7" s="145" customFormat="1" ht="15.75" customHeight="1">
      <c r="A109" s="947" t="s">
        <v>167</v>
      </c>
      <c r="B109" s="1115"/>
      <c r="C109" s="51" t="s">
        <v>3</v>
      </c>
      <c r="D109" s="51">
        <v>0.05</v>
      </c>
      <c r="E109" s="17">
        <f>G122</f>
        <v>4006</v>
      </c>
      <c r="F109" s="55">
        <f>D109*E109</f>
        <v>200.3</v>
      </c>
      <c r="G109" s="1116"/>
    </row>
    <row r="110" spans="1:7" s="145" customFormat="1" ht="15.75" customHeight="1">
      <c r="A110" s="943"/>
      <c r="B110" s="1115"/>
      <c r="C110" s="51"/>
      <c r="D110" s="51"/>
      <c r="E110" s="51"/>
      <c r="F110" s="55"/>
      <c r="G110" s="57">
        <f>SUM(F108:F110)</f>
        <v>200.3</v>
      </c>
    </row>
    <row r="111" spans="1:7" s="145" customFormat="1" ht="15.75" customHeight="1">
      <c r="A111" s="1114" t="s">
        <v>10</v>
      </c>
      <c r="B111" s="1115"/>
      <c r="C111" s="1115"/>
      <c r="D111" s="1115"/>
      <c r="E111" s="1115"/>
      <c r="F111" s="1115"/>
      <c r="G111" s="1116"/>
    </row>
    <row r="112" spans="1:7" s="145" customFormat="1" ht="15.75" customHeight="1">
      <c r="A112" s="1074" t="s">
        <v>2</v>
      </c>
      <c r="B112" s="1115"/>
      <c r="C112" s="53" t="s">
        <v>3</v>
      </c>
      <c r="D112" s="53" t="s">
        <v>4</v>
      </c>
      <c r="E112" s="53" t="s">
        <v>6</v>
      </c>
      <c r="F112" s="53" t="s">
        <v>11</v>
      </c>
      <c r="G112" s="1075" t="s">
        <v>8</v>
      </c>
    </row>
    <row r="113" spans="1:7" s="150" customFormat="1" ht="57.75" customHeight="1">
      <c r="A113" s="1117" t="s">
        <v>608</v>
      </c>
      <c r="B113" s="1118"/>
      <c r="C113" s="148" t="s">
        <v>3</v>
      </c>
      <c r="D113" s="148">
        <v>1.05</v>
      </c>
      <c r="E113" s="17">
        <f>+'INSUMOS ELÉCTRICOS'!E17</f>
        <v>5033.7</v>
      </c>
      <c r="F113" s="149">
        <f>D113*E113</f>
        <v>5285.3850000000002</v>
      </c>
      <c r="G113" s="1075"/>
    </row>
    <row r="114" spans="1:7" s="145" customFormat="1" ht="15.75" customHeight="1">
      <c r="A114" s="947"/>
      <c r="B114" s="1115"/>
      <c r="C114" s="16"/>
      <c r="D114" s="58"/>
      <c r="E114" s="17"/>
      <c r="F114" s="55"/>
      <c r="G114" s="57">
        <f>SUM(F112:F114)</f>
        <v>5285.3850000000002</v>
      </c>
    </row>
    <row r="115" spans="1:7" s="145" customFormat="1" ht="15.75" customHeight="1">
      <c r="A115" s="1114" t="s">
        <v>15</v>
      </c>
      <c r="B115" s="1115"/>
      <c r="C115" s="1115"/>
      <c r="D115" s="1115"/>
      <c r="E115" s="1115"/>
      <c r="F115" s="1115"/>
      <c r="G115" s="1116"/>
    </row>
    <row r="116" spans="1:7" s="145" customFormat="1" ht="15.75" customHeight="1">
      <c r="A116" s="1074" t="s">
        <v>2</v>
      </c>
      <c r="B116" s="1115"/>
      <c r="C116" s="53" t="s">
        <v>3</v>
      </c>
      <c r="D116" s="53" t="s">
        <v>4</v>
      </c>
      <c r="E116" s="53" t="s">
        <v>6</v>
      </c>
      <c r="F116" s="53" t="s">
        <v>11</v>
      </c>
      <c r="G116" s="1075" t="s">
        <v>8</v>
      </c>
    </row>
    <row r="117" spans="1:7" s="145" customFormat="1" ht="15.75" customHeight="1">
      <c r="A117" s="943" t="s">
        <v>173</v>
      </c>
      <c r="B117" s="1115"/>
      <c r="C117" s="16" t="s">
        <v>3</v>
      </c>
      <c r="D117" s="16">
        <v>0.06</v>
      </c>
      <c r="E117" s="17">
        <f>G114</f>
        <v>5285.3850000000002</v>
      </c>
      <c r="F117" s="55">
        <f>D117*E117</f>
        <v>317.12310000000002</v>
      </c>
      <c r="G117" s="1116"/>
    </row>
    <row r="118" spans="1:7" s="145" customFormat="1" ht="15.75" customHeight="1">
      <c r="A118" s="151"/>
      <c r="B118" s="152"/>
      <c r="C118" s="152"/>
      <c r="D118" s="152"/>
      <c r="E118" s="152"/>
      <c r="F118" s="152"/>
      <c r="G118" s="57">
        <f>SUM(F117:F118)</f>
        <v>317.12310000000002</v>
      </c>
    </row>
    <row r="119" spans="1:7" s="145" customFormat="1" ht="15.75" customHeight="1">
      <c r="A119" s="1114" t="s">
        <v>19</v>
      </c>
      <c r="B119" s="1115"/>
      <c r="C119" s="1115"/>
      <c r="D119" s="1115"/>
      <c r="E119" s="1115"/>
      <c r="F119" s="1115"/>
      <c r="G119" s="1116"/>
    </row>
    <row r="120" spans="1:7" s="145" customFormat="1" ht="15.75" customHeight="1">
      <c r="A120" s="1074" t="s">
        <v>2</v>
      </c>
      <c r="B120" s="1115"/>
      <c r="C120" s="53" t="s">
        <v>3</v>
      </c>
      <c r="D120" s="53" t="s">
        <v>4</v>
      </c>
      <c r="E120" s="53" t="s">
        <v>6</v>
      </c>
      <c r="F120" s="53" t="s">
        <v>11</v>
      </c>
      <c r="G120" s="1075" t="s">
        <v>8</v>
      </c>
    </row>
    <row r="121" spans="1:7" s="2" customFormat="1" ht="15.75" customHeight="1">
      <c r="A121" s="978" t="s">
        <v>1256</v>
      </c>
      <c r="B121" s="979"/>
      <c r="C121" s="13" t="s">
        <v>1245</v>
      </c>
      <c r="D121" s="32">
        <v>0.2</v>
      </c>
      <c r="E121" s="13">
        <v>20030</v>
      </c>
      <c r="F121" s="55">
        <f>+D121*E121</f>
        <v>4006</v>
      </c>
      <c r="G121" s="1116"/>
    </row>
    <row r="122" spans="1:7" s="145" customFormat="1" ht="15.75" customHeight="1">
      <c r="A122" s="155"/>
      <c r="B122" s="156"/>
      <c r="C122" s="156"/>
      <c r="D122" s="156"/>
      <c r="E122" s="156"/>
      <c r="F122" s="156"/>
      <c r="G122" s="57">
        <f>SUM(F120:F122)</f>
        <v>4006</v>
      </c>
    </row>
    <row r="123" spans="1:7" s="145" customFormat="1" ht="15.75" customHeight="1">
      <c r="A123" s="1119" t="s">
        <v>25</v>
      </c>
      <c r="B123" s="1120"/>
      <c r="C123" s="1120"/>
      <c r="D123" s="1120"/>
      <c r="E123" s="1120"/>
      <c r="F123" s="1120"/>
      <c r="G123" s="1121"/>
    </row>
    <row r="124" spans="1:7" s="145" customFormat="1" ht="15.75" customHeight="1">
      <c r="A124" s="1122"/>
      <c r="B124" s="1120"/>
      <c r="C124" s="1120"/>
      <c r="D124" s="1120"/>
      <c r="E124" s="1120"/>
      <c r="F124" s="1120"/>
      <c r="G124" s="157">
        <f>G122+G118+G114+G110</f>
        <v>9808.8080999999984</v>
      </c>
    </row>
    <row r="125" spans="1:7" s="145" customFormat="1" ht="15" customHeight="1">
      <c r="A125" s="158"/>
      <c r="B125" s="159"/>
      <c r="C125" s="159"/>
      <c r="D125" s="159"/>
      <c r="E125" s="159"/>
      <c r="F125" s="159"/>
      <c r="G125" s="160"/>
    </row>
    <row r="126" spans="1:7" s="145" customFormat="1" ht="15.75" customHeight="1">
      <c r="A126" s="1123" t="s">
        <v>1</v>
      </c>
      <c r="B126" s="1120"/>
      <c r="C126" s="953" t="s">
        <v>594</v>
      </c>
      <c r="D126" s="1125"/>
      <c r="E126" s="1125"/>
      <c r="F126" s="1125"/>
      <c r="G126" s="1126"/>
    </row>
    <row r="127" spans="1:7" s="145" customFormat="1" ht="24" customHeight="1">
      <c r="A127" s="1124"/>
      <c r="B127" s="1120"/>
      <c r="C127" s="1125"/>
      <c r="D127" s="1125"/>
      <c r="E127" s="1125"/>
      <c r="F127" s="1125"/>
      <c r="G127" s="1126"/>
    </row>
    <row r="128" spans="1:7" s="145" customFormat="1" ht="15.6" customHeight="1">
      <c r="A128" s="1124"/>
      <c r="B128" s="1120"/>
      <c r="C128" s="1127" t="s">
        <v>609</v>
      </c>
      <c r="D128" s="1120"/>
      <c r="E128" s="1120"/>
      <c r="F128" s="1120"/>
      <c r="G128" s="1121"/>
    </row>
    <row r="129" spans="1:7" s="145" customFormat="1" ht="15.75" customHeight="1">
      <c r="A129" s="1124"/>
      <c r="B129" s="1120"/>
      <c r="C129" s="1128" t="s">
        <v>2</v>
      </c>
      <c r="D129" s="1120"/>
      <c r="E129" s="1120"/>
      <c r="F129" s="146" t="s">
        <v>3</v>
      </c>
      <c r="G129" s="147" t="s">
        <v>4</v>
      </c>
    </row>
    <row r="130" spans="1:7" s="145" customFormat="1" ht="57.75" customHeight="1">
      <c r="A130" s="1073" t="s">
        <v>610</v>
      </c>
      <c r="B130" s="1115"/>
      <c r="C130" s="980" t="s">
        <v>2760</v>
      </c>
      <c r="D130" s="1115"/>
      <c r="E130" s="1115"/>
      <c r="F130" s="16" t="s">
        <v>45</v>
      </c>
      <c r="G130" s="52">
        <v>1</v>
      </c>
    </row>
    <row r="131" spans="1:7" s="145" customFormat="1" ht="15.75" customHeight="1">
      <c r="A131" s="1114" t="s">
        <v>5</v>
      </c>
      <c r="B131" s="1115"/>
      <c r="C131" s="1115"/>
      <c r="D131" s="1115"/>
      <c r="E131" s="1115"/>
      <c r="F131" s="1115"/>
      <c r="G131" s="1116"/>
    </row>
    <row r="132" spans="1:7" s="145" customFormat="1" ht="15.75" customHeight="1">
      <c r="A132" s="1074" t="s">
        <v>2</v>
      </c>
      <c r="B132" s="1115"/>
      <c r="C132" s="53" t="s">
        <v>3</v>
      </c>
      <c r="D132" s="53" t="s">
        <v>4</v>
      </c>
      <c r="E132" s="53" t="s">
        <v>6</v>
      </c>
      <c r="F132" s="53" t="s">
        <v>7</v>
      </c>
      <c r="G132" s="1075" t="s">
        <v>8</v>
      </c>
    </row>
    <row r="133" spans="1:7" s="145" customFormat="1" ht="15.75" customHeight="1">
      <c r="A133" s="947" t="s">
        <v>167</v>
      </c>
      <c r="B133" s="1115"/>
      <c r="C133" s="51" t="s">
        <v>3</v>
      </c>
      <c r="D133" s="51">
        <v>0.05</v>
      </c>
      <c r="E133" s="17">
        <v>6719</v>
      </c>
      <c r="F133" s="55">
        <f>D133*E133</f>
        <v>335.95000000000005</v>
      </c>
      <c r="G133" s="1116"/>
    </row>
    <row r="134" spans="1:7" s="145" customFormat="1" ht="15.75" customHeight="1">
      <c r="A134" s="943"/>
      <c r="B134" s="1115"/>
      <c r="C134" s="51"/>
      <c r="D134" s="51"/>
      <c r="E134" s="51"/>
      <c r="F134" s="55"/>
      <c r="G134" s="57">
        <f>SUM(F132:F134)</f>
        <v>335.95000000000005</v>
      </c>
    </row>
    <row r="135" spans="1:7" s="145" customFormat="1" ht="15.75" customHeight="1">
      <c r="A135" s="1114" t="s">
        <v>10</v>
      </c>
      <c r="B135" s="1115"/>
      <c r="C135" s="1115"/>
      <c r="D135" s="1115"/>
      <c r="E135" s="1115"/>
      <c r="F135" s="1115"/>
      <c r="G135" s="1116"/>
    </row>
    <row r="136" spans="1:7" s="145" customFormat="1" ht="15.75" customHeight="1">
      <c r="A136" s="1074" t="s">
        <v>2</v>
      </c>
      <c r="B136" s="1115"/>
      <c r="C136" s="53" t="s">
        <v>3</v>
      </c>
      <c r="D136" s="53" t="s">
        <v>4</v>
      </c>
      <c r="E136" s="53" t="s">
        <v>6</v>
      </c>
      <c r="F136" s="53" t="s">
        <v>11</v>
      </c>
      <c r="G136" s="1075" t="s">
        <v>8</v>
      </c>
    </row>
    <row r="137" spans="1:7" s="150" customFormat="1" ht="15.75" customHeight="1">
      <c r="A137" s="947" t="s">
        <v>612</v>
      </c>
      <c r="B137" s="1115"/>
      <c r="C137" s="51" t="s">
        <v>3</v>
      </c>
      <c r="D137" s="148">
        <v>10</v>
      </c>
      <c r="E137" s="17">
        <f>+'INSUMOS ELÉCTRICOS'!E126</f>
        <v>348.66999999999996</v>
      </c>
      <c r="F137" s="55">
        <f t="shared" ref="F137:F142" si="0">D137*E137</f>
        <v>3486.7</v>
      </c>
      <c r="G137" s="1075"/>
    </row>
    <row r="138" spans="1:7" s="145" customFormat="1" ht="15.75" customHeight="1">
      <c r="A138" s="947" t="s">
        <v>613</v>
      </c>
      <c r="B138" s="1115"/>
      <c r="C138" s="51" t="s">
        <v>3</v>
      </c>
      <c r="D138" s="148">
        <v>0.67</v>
      </c>
      <c r="E138" s="17">
        <f>+'INSUMOS ELÉCTRICOS'!E24</f>
        <v>780</v>
      </c>
      <c r="F138" s="55">
        <f t="shared" si="0"/>
        <v>522.6</v>
      </c>
      <c r="G138" s="1075"/>
    </row>
    <row r="139" spans="1:7" s="145" customFormat="1" ht="15.75" customHeight="1">
      <c r="A139" s="947" t="s">
        <v>614</v>
      </c>
      <c r="B139" s="1115"/>
      <c r="C139" s="51" t="s">
        <v>3</v>
      </c>
      <c r="D139" s="148">
        <v>0.17</v>
      </c>
      <c r="E139" s="17">
        <f>+'INSUMOS ELÉCTRICOS'!E25</f>
        <v>11900</v>
      </c>
      <c r="F139" s="55">
        <f t="shared" si="0"/>
        <v>2023.0000000000002</v>
      </c>
      <c r="G139" s="1075"/>
    </row>
    <row r="140" spans="1:7" s="145" customFormat="1" ht="15.75" customHeight="1">
      <c r="A140" s="947" t="s">
        <v>2477</v>
      </c>
      <c r="B140" s="1115"/>
      <c r="C140" s="51" t="s">
        <v>3</v>
      </c>
      <c r="D140" s="148">
        <v>1</v>
      </c>
      <c r="E140" s="17">
        <f>+'INSUMOS ELÉCTRICOS'!E26</f>
        <v>16580.666666666668</v>
      </c>
      <c r="F140" s="55">
        <f t="shared" si="0"/>
        <v>16580.666666666668</v>
      </c>
      <c r="G140" s="1075"/>
    </row>
    <row r="141" spans="1:7" s="145" customFormat="1" ht="15.75" customHeight="1">
      <c r="A141" s="947" t="s">
        <v>615</v>
      </c>
      <c r="B141" s="1115"/>
      <c r="C141" s="51" t="s">
        <v>3</v>
      </c>
      <c r="D141" s="148">
        <v>0.33</v>
      </c>
      <c r="E141" s="17">
        <f>+'INSUMOS ELÉCTRICOS'!E28</f>
        <v>2946.44</v>
      </c>
      <c r="F141" s="55">
        <f t="shared" si="0"/>
        <v>972.32520000000011</v>
      </c>
      <c r="G141" s="1075"/>
    </row>
    <row r="142" spans="1:7" s="145" customFormat="1" ht="15.75" customHeight="1">
      <c r="A142" s="947" t="s">
        <v>616</v>
      </c>
      <c r="B142" s="1115"/>
      <c r="C142" s="51" t="s">
        <v>3</v>
      </c>
      <c r="D142" s="148">
        <v>0.32929999999999998</v>
      </c>
      <c r="E142" s="17">
        <f>+'INSUMOS ELÉCTRICOS'!E29</f>
        <v>4190</v>
      </c>
      <c r="F142" s="55">
        <f t="shared" si="0"/>
        <v>1379.7669999999998</v>
      </c>
      <c r="G142" s="1075"/>
    </row>
    <row r="143" spans="1:7" s="145" customFormat="1" ht="15.75" customHeight="1">
      <c r="A143" s="947"/>
      <c r="B143" s="1115"/>
      <c r="C143" s="16"/>
      <c r="D143" s="58"/>
      <c r="E143" s="17"/>
      <c r="F143" s="55"/>
      <c r="G143" s="57">
        <f>SUM(F136:F143)</f>
        <v>24965.058866666666</v>
      </c>
    </row>
    <row r="144" spans="1:7" s="145" customFormat="1" ht="15.75" customHeight="1">
      <c r="A144" s="1114" t="s">
        <v>15</v>
      </c>
      <c r="B144" s="1115"/>
      <c r="C144" s="1115"/>
      <c r="D144" s="1115"/>
      <c r="E144" s="1115"/>
      <c r="F144" s="1115"/>
      <c r="G144" s="1116"/>
    </row>
    <row r="145" spans="1:7" s="145" customFormat="1" ht="15.75" customHeight="1">
      <c r="A145" s="1074" t="s">
        <v>2</v>
      </c>
      <c r="B145" s="1115"/>
      <c r="C145" s="53" t="s">
        <v>3</v>
      </c>
      <c r="D145" s="53" t="s">
        <v>4</v>
      </c>
      <c r="E145" s="53" t="s">
        <v>6</v>
      </c>
      <c r="F145" s="53" t="s">
        <v>11</v>
      </c>
      <c r="G145" s="1075" t="s">
        <v>8</v>
      </c>
    </row>
    <row r="146" spans="1:7" s="145" customFormat="1" ht="15.75" customHeight="1">
      <c r="A146" s="943" t="s">
        <v>173</v>
      </c>
      <c r="B146" s="1115"/>
      <c r="C146" s="16" t="s">
        <v>3</v>
      </c>
      <c r="D146" s="16">
        <v>0.1</v>
      </c>
      <c r="E146" s="17">
        <f>G143</f>
        <v>24965.058866666666</v>
      </c>
      <c r="F146" s="55">
        <f>D146*E146</f>
        <v>2496.5058866666668</v>
      </c>
      <c r="G146" s="1116"/>
    </row>
    <row r="147" spans="1:7" s="145" customFormat="1" ht="15.75" customHeight="1">
      <c r="A147" s="151"/>
      <c r="B147" s="152"/>
      <c r="C147" s="152"/>
      <c r="D147" s="152"/>
      <c r="E147" s="152"/>
      <c r="F147" s="152"/>
      <c r="G147" s="57">
        <f>SUM(F146:F147)</f>
        <v>2496.5058866666668</v>
      </c>
    </row>
    <row r="148" spans="1:7" s="145" customFormat="1" ht="15.75" customHeight="1">
      <c r="A148" s="1114" t="s">
        <v>19</v>
      </c>
      <c r="B148" s="1115"/>
      <c r="C148" s="1115"/>
      <c r="D148" s="1115"/>
      <c r="E148" s="1115"/>
      <c r="F148" s="1115"/>
      <c r="G148" s="1116"/>
    </row>
    <row r="149" spans="1:7" s="145" customFormat="1" ht="15.75" customHeight="1">
      <c r="A149" s="1074" t="s">
        <v>2</v>
      </c>
      <c r="B149" s="1115"/>
      <c r="C149" s="53" t="s">
        <v>3</v>
      </c>
      <c r="D149" s="53" t="s">
        <v>4</v>
      </c>
      <c r="E149" s="53" t="s">
        <v>6</v>
      </c>
      <c r="F149" s="53" t="s">
        <v>11</v>
      </c>
      <c r="G149" s="1075" t="s">
        <v>8</v>
      </c>
    </row>
    <row r="150" spans="1:7" s="2" customFormat="1" ht="15.75" customHeight="1">
      <c r="A150" s="978" t="s">
        <v>1256</v>
      </c>
      <c r="B150" s="979"/>
      <c r="C150" s="13" t="s">
        <v>1245</v>
      </c>
      <c r="D150" s="32">
        <v>0.2</v>
      </c>
      <c r="E150" s="13">
        <v>18041</v>
      </c>
      <c r="F150" s="55">
        <f>+D150*E150</f>
        <v>3608.2000000000003</v>
      </c>
      <c r="G150" s="1116"/>
    </row>
    <row r="151" spans="1:7" s="145" customFormat="1" ht="15.75" customHeight="1">
      <c r="A151" s="155"/>
      <c r="B151" s="156"/>
      <c r="C151" s="156"/>
      <c r="D151" s="156"/>
      <c r="E151" s="156"/>
      <c r="F151" s="156"/>
      <c r="G151" s="57">
        <f>SUM(F149:F151)</f>
        <v>3608.2000000000003</v>
      </c>
    </row>
    <row r="152" spans="1:7" s="145" customFormat="1" ht="15.75" customHeight="1">
      <c r="A152" s="1119" t="s">
        <v>25</v>
      </c>
      <c r="B152" s="1120"/>
      <c r="C152" s="1120"/>
      <c r="D152" s="1120"/>
      <c r="E152" s="1120"/>
      <c r="F152" s="1120"/>
      <c r="G152" s="1121"/>
    </row>
    <row r="153" spans="1:7" s="145" customFormat="1" ht="15.75" customHeight="1">
      <c r="A153" s="1122"/>
      <c r="B153" s="1120"/>
      <c r="C153" s="1120"/>
      <c r="D153" s="1120"/>
      <c r="E153" s="1120"/>
      <c r="F153" s="1120"/>
      <c r="G153" s="157">
        <f>G151+G147+G143+G134</f>
        <v>31405.714753333334</v>
      </c>
    </row>
    <row r="154" spans="1:7" s="145" customFormat="1" ht="15" customHeight="1">
      <c r="A154" s="158"/>
      <c r="B154" s="159"/>
      <c r="C154" s="159"/>
      <c r="D154" s="159"/>
      <c r="E154" s="159"/>
      <c r="F154" s="159"/>
      <c r="G154" s="160"/>
    </row>
    <row r="155" spans="1:7" s="145" customFormat="1" ht="15.75" customHeight="1">
      <c r="A155" s="1123" t="s">
        <v>1</v>
      </c>
      <c r="B155" s="1120"/>
      <c r="C155" s="953" t="s">
        <v>594</v>
      </c>
      <c r="D155" s="1125"/>
      <c r="E155" s="1125"/>
      <c r="F155" s="1125"/>
      <c r="G155" s="1126"/>
    </row>
    <row r="156" spans="1:7" s="145" customFormat="1" ht="24" customHeight="1">
      <c r="A156" s="1124"/>
      <c r="B156" s="1120"/>
      <c r="C156" s="1125"/>
      <c r="D156" s="1125"/>
      <c r="E156" s="1125"/>
      <c r="F156" s="1125"/>
      <c r="G156" s="1126"/>
    </row>
    <row r="157" spans="1:7" s="145" customFormat="1" ht="15.6" customHeight="1">
      <c r="A157" s="1124"/>
      <c r="B157" s="1120"/>
      <c r="C157" s="1127" t="s">
        <v>609</v>
      </c>
      <c r="D157" s="1120"/>
      <c r="E157" s="1120"/>
      <c r="F157" s="1120"/>
      <c r="G157" s="1121"/>
    </row>
    <row r="158" spans="1:7" s="145" customFormat="1" ht="15.75" customHeight="1">
      <c r="A158" s="1124"/>
      <c r="B158" s="1120"/>
      <c r="C158" s="1128" t="s">
        <v>2</v>
      </c>
      <c r="D158" s="1120"/>
      <c r="E158" s="1120"/>
      <c r="F158" s="146" t="s">
        <v>3</v>
      </c>
      <c r="G158" s="147" t="s">
        <v>4</v>
      </c>
    </row>
    <row r="159" spans="1:7" s="145" customFormat="1" ht="38.4" customHeight="1">
      <c r="A159" s="1073" t="s">
        <v>617</v>
      </c>
      <c r="B159" s="1115"/>
      <c r="C159" s="980" t="s">
        <v>618</v>
      </c>
      <c r="D159" s="1115"/>
      <c r="E159" s="1115"/>
      <c r="F159" s="16" t="s">
        <v>45</v>
      </c>
      <c r="G159" s="52">
        <v>10</v>
      </c>
    </row>
    <row r="160" spans="1:7" s="145" customFormat="1" ht="15.75" customHeight="1">
      <c r="A160" s="1114" t="s">
        <v>5</v>
      </c>
      <c r="B160" s="1115"/>
      <c r="C160" s="1115"/>
      <c r="D160" s="1115"/>
      <c r="E160" s="1115"/>
      <c r="F160" s="1115"/>
      <c r="G160" s="1116"/>
    </row>
    <row r="161" spans="1:7" s="145" customFormat="1" ht="15.75" customHeight="1">
      <c r="A161" s="1074" t="s">
        <v>2</v>
      </c>
      <c r="B161" s="1115"/>
      <c r="C161" s="53" t="s">
        <v>3</v>
      </c>
      <c r="D161" s="53" t="s">
        <v>4</v>
      </c>
      <c r="E161" s="53" t="s">
        <v>6</v>
      </c>
      <c r="F161" s="53" t="s">
        <v>7</v>
      </c>
      <c r="G161" s="1075" t="s">
        <v>8</v>
      </c>
    </row>
    <row r="162" spans="1:7" s="145" customFormat="1" ht="15.75" customHeight="1">
      <c r="A162" s="947" t="s">
        <v>167</v>
      </c>
      <c r="B162" s="1115"/>
      <c r="C162" s="51" t="s">
        <v>3</v>
      </c>
      <c r="D162" s="51">
        <v>0.05</v>
      </c>
      <c r="E162" s="17">
        <f>G180</f>
        <v>4006</v>
      </c>
      <c r="F162" s="55">
        <f>D162*E162</f>
        <v>200.3</v>
      </c>
      <c r="G162" s="1116"/>
    </row>
    <row r="163" spans="1:7" s="145" customFormat="1" ht="15.75" customHeight="1">
      <c r="A163" s="943"/>
      <c r="B163" s="1115"/>
      <c r="C163" s="51"/>
      <c r="D163" s="51"/>
      <c r="E163" s="51"/>
      <c r="F163" s="55"/>
      <c r="G163" s="57">
        <f>SUM(F161:F163)</f>
        <v>200.3</v>
      </c>
    </row>
    <row r="164" spans="1:7" s="145" customFormat="1" ht="15.75" customHeight="1">
      <c r="A164" s="1114" t="s">
        <v>10</v>
      </c>
      <c r="B164" s="1115"/>
      <c r="C164" s="1115"/>
      <c r="D164" s="1115"/>
      <c r="E164" s="1115"/>
      <c r="F164" s="1115"/>
      <c r="G164" s="1116"/>
    </row>
    <row r="165" spans="1:7" s="145" customFormat="1" ht="15.75" customHeight="1">
      <c r="A165" s="1074" t="s">
        <v>2</v>
      </c>
      <c r="B165" s="1115"/>
      <c r="C165" s="53" t="s">
        <v>3</v>
      </c>
      <c r="D165" s="53" t="s">
        <v>4</v>
      </c>
      <c r="E165" s="53" t="s">
        <v>6</v>
      </c>
      <c r="F165" s="53" t="s">
        <v>11</v>
      </c>
      <c r="G165" s="1075" t="s">
        <v>8</v>
      </c>
    </row>
    <row r="166" spans="1:7" s="150" customFormat="1" ht="15.75" customHeight="1">
      <c r="A166" s="947" t="s">
        <v>612</v>
      </c>
      <c r="B166" s="1115"/>
      <c r="C166" s="51" t="s">
        <v>3</v>
      </c>
      <c r="D166" s="148">
        <v>10</v>
      </c>
      <c r="E166" s="17">
        <f>+'INSUMOS ELÉCTRICOS'!E126</f>
        <v>348.66999999999996</v>
      </c>
      <c r="F166" s="55">
        <f t="shared" ref="F166:F171" si="1">D166*E166</f>
        <v>3486.7</v>
      </c>
      <c r="G166" s="1075"/>
    </row>
    <row r="167" spans="1:7" s="150" customFormat="1" ht="15.75" customHeight="1">
      <c r="A167" s="947" t="s">
        <v>619</v>
      </c>
      <c r="B167" s="1115"/>
      <c r="C167" s="51" t="s">
        <v>3</v>
      </c>
      <c r="D167" s="148">
        <v>0.67</v>
      </c>
      <c r="E167" s="17">
        <f>+'INSUMOS ELÉCTRICOS'!E115</f>
        <v>990</v>
      </c>
      <c r="F167" s="55">
        <f t="shared" si="1"/>
        <v>663.30000000000007</v>
      </c>
      <c r="G167" s="1075"/>
    </row>
    <row r="168" spans="1:7" s="145" customFormat="1" ht="15.75" customHeight="1">
      <c r="A168" s="947" t="s">
        <v>620</v>
      </c>
      <c r="B168" s="1115"/>
      <c r="C168" s="51" t="s">
        <v>3</v>
      </c>
      <c r="D168" s="148">
        <v>0.17</v>
      </c>
      <c r="E168" s="17">
        <f>+'INSUMOS ELÉCTRICOS'!E30</f>
        <v>21900</v>
      </c>
      <c r="F168" s="55">
        <f t="shared" si="1"/>
        <v>3723.0000000000005</v>
      </c>
      <c r="G168" s="1075"/>
    </row>
    <row r="169" spans="1:7" s="145" customFormat="1" ht="15.75" customHeight="1">
      <c r="A169" s="947" t="s">
        <v>621</v>
      </c>
      <c r="B169" s="1115"/>
      <c r="C169" s="51" t="s">
        <v>622</v>
      </c>
      <c r="D169" s="148">
        <v>1</v>
      </c>
      <c r="E169" s="17">
        <f>+'INSUMOS ELÉCTRICOS'!E27</f>
        <v>27300</v>
      </c>
      <c r="F169" s="55">
        <f t="shared" si="1"/>
        <v>27300</v>
      </c>
      <c r="G169" s="1075"/>
    </row>
    <row r="170" spans="1:7" s="145" customFormat="1" ht="15.75" customHeight="1">
      <c r="A170" s="947" t="s">
        <v>623</v>
      </c>
      <c r="B170" s="1115"/>
      <c r="C170" s="51" t="s">
        <v>3</v>
      </c>
      <c r="D170" s="148">
        <v>0.33</v>
      </c>
      <c r="E170" s="17">
        <f>+'INSUMOS ELÉCTRICOS'!E32</f>
        <v>2383.5699999999997</v>
      </c>
      <c r="F170" s="55">
        <f t="shared" si="1"/>
        <v>786.57809999999995</v>
      </c>
      <c r="G170" s="1075"/>
    </row>
    <row r="171" spans="1:7" s="145" customFormat="1" ht="15.75" customHeight="1">
      <c r="A171" s="947" t="s">
        <v>624</v>
      </c>
      <c r="B171" s="1115"/>
      <c r="C171" s="51" t="s">
        <v>3</v>
      </c>
      <c r="D171" s="148">
        <v>0.32929999999999998</v>
      </c>
      <c r="E171" s="17">
        <f>+'INSUMOS ELÉCTRICOS'!E33</f>
        <v>6890</v>
      </c>
      <c r="F171" s="55">
        <f t="shared" si="1"/>
        <v>2268.877</v>
      </c>
      <c r="G171" s="1075"/>
    </row>
    <row r="172" spans="1:7" s="145" customFormat="1" ht="15.75" customHeight="1">
      <c r="A172" s="947"/>
      <c r="B172" s="1115"/>
      <c r="C172" s="16"/>
      <c r="D172" s="58"/>
      <c r="E172" s="17"/>
      <c r="F172" s="55"/>
      <c r="G172" s="57">
        <f>SUM(F165:F172)</f>
        <v>38228.455099999999</v>
      </c>
    </row>
    <row r="173" spans="1:7" s="145" customFormat="1" ht="15.75" customHeight="1">
      <c r="A173" s="1114" t="s">
        <v>15</v>
      </c>
      <c r="B173" s="1115"/>
      <c r="C173" s="1115"/>
      <c r="D173" s="1115"/>
      <c r="E173" s="1115"/>
      <c r="F173" s="1115"/>
      <c r="G173" s="1116"/>
    </row>
    <row r="174" spans="1:7" s="145" customFormat="1" ht="15.75" customHeight="1">
      <c r="A174" s="1074" t="s">
        <v>2</v>
      </c>
      <c r="B174" s="1115"/>
      <c r="C174" s="53" t="s">
        <v>3</v>
      </c>
      <c r="D174" s="53" t="s">
        <v>4</v>
      </c>
      <c r="E174" s="53" t="s">
        <v>6</v>
      </c>
      <c r="F174" s="53" t="s">
        <v>11</v>
      </c>
      <c r="G174" s="1075" t="s">
        <v>8</v>
      </c>
    </row>
    <row r="175" spans="1:7" s="145" customFormat="1" ht="15.75" customHeight="1">
      <c r="A175" s="943" t="s">
        <v>173</v>
      </c>
      <c r="B175" s="1115"/>
      <c r="C175" s="16" t="s">
        <v>3</v>
      </c>
      <c r="D175" s="16">
        <v>0.05</v>
      </c>
      <c r="E175" s="17">
        <f>G172</f>
        <v>38228.455099999999</v>
      </c>
      <c r="F175" s="55">
        <f>D175*E175</f>
        <v>1911.4227550000001</v>
      </c>
      <c r="G175" s="1116"/>
    </row>
    <row r="176" spans="1:7" s="145" customFormat="1" ht="15.75" customHeight="1">
      <c r="A176" s="151"/>
      <c r="B176" s="152"/>
      <c r="C176" s="152"/>
      <c r="D176" s="152"/>
      <c r="E176" s="152"/>
      <c r="F176" s="152"/>
      <c r="G176" s="57">
        <f>SUM(F175:F176)</f>
        <v>1911.4227550000001</v>
      </c>
    </row>
    <row r="177" spans="1:7" s="145" customFormat="1" ht="15.75" customHeight="1">
      <c r="A177" s="1114" t="s">
        <v>19</v>
      </c>
      <c r="B177" s="1115"/>
      <c r="C177" s="1115"/>
      <c r="D177" s="1115"/>
      <c r="E177" s="1115"/>
      <c r="F177" s="1115"/>
      <c r="G177" s="1116"/>
    </row>
    <row r="178" spans="1:7" s="145" customFormat="1" ht="15.75" customHeight="1">
      <c r="A178" s="1074" t="s">
        <v>2</v>
      </c>
      <c r="B178" s="1115"/>
      <c r="C178" s="53" t="s">
        <v>3</v>
      </c>
      <c r="D178" s="53" t="s">
        <v>4</v>
      </c>
      <c r="E178" s="53" t="s">
        <v>6</v>
      </c>
      <c r="F178" s="53" t="s">
        <v>11</v>
      </c>
      <c r="G178" s="1075" t="s">
        <v>8</v>
      </c>
    </row>
    <row r="179" spans="1:7" s="2" customFormat="1" ht="15.75" customHeight="1">
      <c r="A179" s="978" t="s">
        <v>1256</v>
      </c>
      <c r="B179" s="979"/>
      <c r="C179" s="13" t="s">
        <v>1245</v>
      </c>
      <c r="D179" s="32">
        <v>0.2</v>
      </c>
      <c r="E179" s="13">
        <v>20030</v>
      </c>
      <c r="F179" s="55">
        <f>+D179*E179</f>
        <v>4006</v>
      </c>
      <c r="G179" s="1116"/>
    </row>
    <row r="180" spans="1:7" s="145" customFormat="1" ht="15.75" customHeight="1">
      <c r="A180" s="155"/>
      <c r="B180" s="156"/>
      <c r="C180" s="156"/>
      <c r="D180" s="156"/>
      <c r="E180" s="156"/>
      <c r="F180" s="156"/>
      <c r="G180" s="57">
        <f>SUM(F178:F180)</f>
        <v>4006</v>
      </c>
    </row>
    <row r="181" spans="1:7" s="145" customFormat="1" ht="15.75" customHeight="1">
      <c r="A181" s="1119" t="s">
        <v>25</v>
      </c>
      <c r="B181" s="1120"/>
      <c r="C181" s="1120"/>
      <c r="D181" s="1120"/>
      <c r="E181" s="1120"/>
      <c r="F181" s="1120"/>
      <c r="G181" s="1121"/>
    </row>
    <row r="182" spans="1:7" s="145" customFormat="1" ht="15.75" customHeight="1">
      <c r="A182" s="1122"/>
      <c r="B182" s="1120"/>
      <c r="C182" s="1120"/>
      <c r="D182" s="1120"/>
      <c r="E182" s="1120"/>
      <c r="F182" s="1120"/>
      <c r="G182" s="157">
        <f>G180+G176+G172+G163</f>
        <v>44346.177855000002</v>
      </c>
    </row>
    <row r="183" spans="1:7" s="145" customFormat="1" ht="15" customHeight="1">
      <c r="A183" s="158"/>
      <c r="B183" s="159"/>
      <c r="C183" s="159"/>
      <c r="D183" s="159"/>
      <c r="E183" s="159"/>
      <c r="F183" s="159"/>
      <c r="G183" s="160"/>
    </row>
    <row r="184" spans="1:7" s="145" customFormat="1" ht="15.75" customHeight="1">
      <c r="A184" s="1123" t="s">
        <v>1</v>
      </c>
      <c r="B184" s="1120"/>
      <c r="C184" s="953" t="s">
        <v>594</v>
      </c>
      <c r="D184" s="1125"/>
      <c r="E184" s="1125"/>
      <c r="F184" s="1125"/>
      <c r="G184" s="1126"/>
    </row>
    <row r="185" spans="1:7" s="145" customFormat="1" ht="24" customHeight="1">
      <c r="A185" s="1124"/>
      <c r="B185" s="1120"/>
      <c r="C185" s="1125"/>
      <c r="D185" s="1125"/>
      <c r="E185" s="1125"/>
      <c r="F185" s="1125"/>
      <c r="G185" s="1126"/>
    </row>
    <row r="186" spans="1:7" s="145" customFormat="1" ht="15.6" customHeight="1">
      <c r="A186" s="1124"/>
      <c r="B186" s="1120"/>
      <c r="C186" s="1127" t="s">
        <v>609</v>
      </c>
      <c r="D186" s="1120"/>
      <c r="E186" s="1120"/>
      <c r="F186" s="1120"/>
      <c r="G186" s="1121"/>
    </row>
    <row r="187" spans="1:7" s="145" customFormat="1" ht="15.75" customHeight="1">
      <c r="A187" s="1124"/>
      <c r="B187" s="1120"/>
      <c r="C187" s="1128" t="s">
        <v>2</v>
      </c>
      <c r="D187" s="1120"/>
      <c r="E187" s="1120"/>
      <c r="F187" s="146" t="s">
        <v>3</v>
      </c>
      <c r="G187" s="147" t="s">
        <v>4</v>
      </c>
    </row>
    <row r="188" spans="1:7" s="145" customFormat="1" ht="42.6" customHeight="1">
      <c r="A188" s="1073" t="s">
        <v>625</v>
      </c>
      <c r="B188" s="1115"/>
      <c r="C188" s="980" t="s">
        <v>626</v>
      </c>
      <c r="D188" s="1115"/>
      <c r="E188" s="1115"/>
      <c r="F188" s="16" t="s">
        <v>45</v>
      </c>
      <c r="G188" s="52">
        <v>1</v>
      </c>
    </row>
    <row r="189" spans="1:7" s="145" customFormat="1" ht="15.75" customHeight="1">
      <c r="A189" s="1114" t="s">
        <v>5</v>
      </c>
      <c r="B189" s="1115"/>
      <c r="C189" s="1115"/>
      <c r="D189" s="1115"/>
      <c r="E189" s="1115"/>
      <c r="F189" s="1115"/>
      <c r="G189" s="1116"/>
    </row>
    <row r="190" spans="1:7" s="145" customFormat="1" ht="15.75" customHeight="1">
      <c r="A190" s="1074" t="s">
        <v>2</v>
      </c>
      <c r="B190" s="1115"/>
      <c r="C190" s="53" t="s">
        <v>3</v>
      </c>
      <c r="D190" s="53" t="s">
        <v>4</v>
      </c>
      <c r="E190" s="53" t="s">
        <v>6</v>
      </c>
      <c r="F190" s="53" t="s">
        <v>7</v>
      </c>
      <c r="G190" s="1075" t="s">
        <v>8</v>
      </c>
    </row>
    <row r="191" spans="1:7" s="145" customFormat="1" ht="15.75" customHeight="1">
      <c r="A191" s="947" t="s">
        <v>167</v>
      </c>
      <c r="B191" s="1115"/>
      <c r="C191" s="51" t="s">
        <v>3</v>
      </c>
      <c r="D191" s="51">
        <v>0.05</v>
      </c>
      <c r="E191" s="17">
        <v>6719</v>
      </c>
      <c r="F191" s="55">
        <f>D191*E191</f>
        <v>335.95000000000005</v>
      </c>
      <c r="G191" s="1116"/>
    </row>
    <row r="192" spans="1:7" s="145" customFormat="1" ht="15.75" customHeight="1">
      <c r="A192" s="943"/>
      <c r="B192" s="1115"/>
      <c r="C192" s="51"/>
      <c r="D192" s="51"/>
      <c r="E192" s="51"/>
      <c r="F192" s="55"/>
      <c r="G192" s="57">
        <f>SUM(F190:F192)</f>
        <v>335.95000000000005</v>
      </c>
    </row>
    <row r="193" spans="1:7" s="145" customFormat="1" ht="15.75" customHeight="1">
      <c r="A193" s="1114" t="s">
        <v>10</v>
      </c>
      <c r="B193" s="1115"/>
      <c r="C193" s="1115"/>
      <c r="D193" s="1115"/>
      <c r="E193" s="1115"/>
      <c r="F193" s="1115"/>
      <c r="G193" s="1116"/>
    </row>
    <row r="194" spans="1:7" s="145" customFormat="1" ht="15.75" customHeight="1">
      <c r="A194" s="1074" t="s">
        <v>2</v>
      </c>
      <c r="B194" s="1115"/>
      <c r="C194" s="53" t="s">
        <v>3</v>
      </c>
      <c r="D194" s="53" t="s">
        <v>4</v>
      </c>
      <c r="E194" s="53" t="s">
        <v>6</v>
      </c>
      <c r="F194" s="53" t="s">
        <v>11</v>
      </c>
      <c r="G194" s="1075" t="s">
        <v>8</v>
      </c>
    </row>
    <row r="195" spans="1:7" s="150" customFormat="1" ht="15.75" customHeight="1">
      <c r="A195" s="947" t="s">
        <v>612</v>
      </c>
      <c r="B195" s="1115"/>
      <c r="C195" s="51" t="s">
        <v>3</v>
      </c>
      <c r="D195" s="148">
        <v>10</v>
      </c>
      <c r="E195" s="17">
        <f>+'INSUMOS ELÉCTRICOS'!E126</f>
        <v>348.66999999999996</v>
      </c>
      <c r="F195" s="55">
        <f t="shared" ref="F195:F200" si="2">D195*E195</f>
        <v>3486.7</v>
      </c>
      <c r="G195" s="1075"/>
    </row>
    <row r="196" spans="1:7" s="145" customFormat="1" ht="15.75" customHeight="1">
      <c r="A196" s="947" t="s">
        <v>627</v>
      </c>
      <c r="B196" s="1115"/>
      <c r="C196" s="51" t="s">
        <v>3</v>
      </c>
      <c r="D196" s="148">
        <v>0.67</v>
      </c>
      <c r="E196" s="17">
        <f>+'INSUMOS ELÉCTRICOS'!E34</f>
        <v>3000</v>
      </c>
      <c r="F196" s="55">
        <f t="shared" si="2"/>
        <v>2010.0000000000002</v>
      </c>
      <c r="G196" s="1075"/>
    </row>
    <row r="197" spans="1:7" s="145" customFormat="1" ht="15.75" customHeight="1">
      <c r="A197" s="947" t="s">
        <v>628</v>
      </c>
      <c r="B197" s="1115"/>
      <c r="C197" s="51" t="s">
        <v>3</v>
      </c>
      <c r="D197" s="148">
        <v>0.17</v>
      </c>
      <c r="E197" s="17">
        <f>+'INSUMOS ELÉCTRICOS'!E35</f>
        <v>23570.329999999998</v>
      </c>
      <c r="F197" s="55">
        <f t="shared" si="2"/>
        <v>4006.9560999999999</v>
      </c>
      <c r="G197" s="1075"/>
    </row>
    <row r="198" spans="1:7" s="145" customFormat="1" ht="15.75" customHeight="1">
      <c r="A198" s="947" t="s">
        <v>629</v>
      </c>
      <c r="B198" s="1115"/>
      <c r="C198" s="51" t="s">
        <v>622</v>
      </c>
      <c r="D198" s="148">
        <v>1</v>
      </c>
      <c r="E198" s="17">
        <f>+'INSUMOS ELÉCTRICOS'!E36</f>
        <v>48597.22</v>
      </c>
      <c r="F198" s="55">
        <f t="shared" si="2"/>
        <v>48597.22</v>
      </c>
      <c r="G198" s="1075"/>
    </row>
    <row r="199" spans="1:7" s="145" customFormat="1" ht="15.75" customHeight="1">
      <c r="A199" s="947" t="s">
        <v>630</v>
      </c>
      <c r="B199" s="1115"/>
      <c r="C199" s="51" t="s">
        <v>3</v>
      </c>
      <c r="D199" s="148">
        <v>0.33</v>
      </c>
      <c r="E199" s="17">
        <f>+'INSUMOS ELÉCTRICOS'!E37</f>
        <v>10407.74</v>
      </c>
      <c r="F199" s="55">
        <f t="shared" si="2"/>
        <v>3434.5542</v>
      </c>
      <c r="G199" s="1075"/>
    </row>
    <row r="200" spans="1:7" s="145" customFormat="1" ht="15.75" customHeight="1">
      <c r="A200" s="947" t="s">
        <v>631</v>
      </c>
      <c r="B200" s="1115"/>
      <c r="C200" s="51" t="s">
        <v>3</v>
      </c>
      <c r="D200" s="148">
        <v>0.32929999999999998</v>
      </c>
      <c r="E200" s="17">
        <f>+'INSUMOS ELÉCTRICOS'!E37</f>
        <v>10407.74</v>
      </c>
      <c r="F200" s="55">
        <f t="shared" si="2"/>
        <v>3427.2687819999996</v>
      </c>
      <c r="G200" s="1075"/>
    </row>
    <row r="201" spans="1:7" s="145" customFormat="1" ht="15.75" customHeight="1">
      <c r="A201" s="947"/>
      <c r="B201" s="1115"/>
      <c r="C201" s="51"/>
      <c r="D201" s="58"/>
      <c r="E201" s="17"/>
      <c r="F201" s="55"/>
      <c r="G201" s="57">
        <f>SUM(F194:F201)</f>
        <v>64962.699081999999</v>
      </c>
    </row>
    <row r="202" spans="1:7" s="145" customFormat="1" ht="15.75" customHeight="1">
      <c r="A202" s="1114" t="s">
        <v>15</v>
      </c>
      <c r="B202" s="1115"/>
      <c r="C202" s="1115"/>
      <c r="D202" s="1115"/>
      <c r="E202" s="1115"/>
      <c r="F202" s="1115"/>
      <c r="G202" s="1116"/>
    </row>
    <row r="203" spans="1:7" s="145" customFormat="1" ht="15.75" customHeight="1">
      <c r="A203" s="1074" t="s">
        <v>2</v>
      </c>
      <c r="B203" s="1115"/>
      <c r="C203" s="53" t="s">
        <v>3</v>
      </c>
      <c r="D203" s="53" t="s">
        <v>4</v>
      </c>
      <c r="E203" s="53" t="s">
        <v>6</v>
      </c>
      <c r="F203" s="53" t="s">
        <v>11</v>
      </c>
      <c r="G203" s="1075" t="s">
        <v>8</v>
      </c>
    </row>
    <row r="204" spans="1:7" s="145" customFormat="1" ht="15.75" customHeight="1">
      <c r="A204" s="943" t="s">
        <v>173</v>
      </c>
      <c r="B204" s="1115"/>
      <c r="C204" s="16" t="s">
        <v>3</v>
      </c>
      <c r="D204" s="16">
        <v>0.02</v>
      </c>
      <c r="E204" s="17">
        <f>G201</f>
        <v>64962.699081999999</v>
      </c>
      <c r="F204" s="55">
        <f>D204*E204</f>
        <v>1299.2539816400001</v>
      </c>
      <c r="G204" s="1116"/>
    </row>
    <row r="205" spans="1:7" s="145" customFormat="1" ht="15.75" customHeight="1">
      <c r="A205" s="151"/>
      <c r="B205" s="152"/>
      <c r="C205" s="152"/>
      <c r="D205" s="152"/>
      <c r="E205" s="152"/>
      <c r="F205" s="152"/>
      <c r="G205" s="57">
        <f>SUM(F204:F205)</f>
        <v>1299.2539816400001</v>
      </c>
    </row>
    <row r="206" spans="1:7" s="145" customFormat="1" ht="15.75" customHeight="1">
      <c r="A206" s="1114" t="s">
        <v>19</v>
      </c>
      <c r="B206" s="1115"/>
      <c r="C206" s="1115"/>
      <c r="D206" s="1115"/>
      <c r="E206" s="1115"/>
      <c r="F206" s="1115"/>
      <c r="G206" s="1116"/>
    </row>
    <row r="207" spans="1:7" s="145" customFormat="1" ht="15.75" customHeight="1">
      <c r="A207" s="1074" t="s">
        <v>2</v>
      </c>
      <c r="B207" s="1115"/>
      <c r="C207" s="53" t="s">
        <v>3</v>
      </c>
      <c r="D207" s="53" t="s">
        <v>4</v>
      </c>
      <c r="E207" s="53" t="s">
        <v>6</v>
      </c>
      <c r="F207" s="53" t="s">
        <v>11</v>
      </c>
      <c r="G207" s="1075" t="s">
        <v>8</v>
      </c>
    </row>
    <row r="208" spans="1:7" s="2" customFormat="1" ht="15.75" customHeight="1">
      <c r="A208" s="978" t="s">
        <v>1256</v>
      </c>
      <c r="B208" s="979"/>
      <c r="C208" s="13" t="s">
        <v>1245</v>
      </c>
      <c r="D208" s="32">
        <v>0.4</v>
      </c>
      <c r="E208" s="13">
        <v>20030</v>
      </c>
      <c r="F208" s="55">
        <f>+D208*E208</f>
        <v>8012</v>
      </c>
      <c r="G208" s="1116"/>
    </row>
    <row r="209" spans="1:7" s="145" customFormat="1" ht="15.75" customHeight="1">
      <c r="A209" s="155"/>
      <c r="B209" s="156"/>
      <c r="C209" s="156"/>
      <c r="D209" s="156"/>
      <c r="E209" s="156"/>
      <c r="F209" s="156"/>
      <c r="G209" s="57">
        <f>SUM(F207:F209)</f>
        <v>8012</v>
      </c>
    </row>
    <row r="210" spans="1:7" s="145" customFormat="1" ht="15.75" customHeight="1">
      <c r="A210" s="1119" t="s">
        <v>25</v>
      </c>
      <c r="B210" s="1120"/>
      <c r="C210" s="1120"/>
      <c r="D210" s="1120"/>
      <c r="E210" s="1120"/>
      <c r="F210" s="1120"/>
      <c r="G210" s="1121"/>
    </row>
    <row r="211" spans="1:7" s="145" customFormat="1" ht="15.75" customHeight="1">
      <c r="A211" s="1122"/>
      <c r="B211" s="1120"/>
      <c r="C211" s="1120"/>
      <c r="D211" s="1120"/>
      <c r="E211" s="1120"/>
      <c r="F211" s="1120"/>
      <c r="G211" s="157">
        <f>G209+G205+G201+G192</f>
        <v>74609.903063639998</v>
      </c>
    </row>
    <row r="212" spans="1:7" s="145" customFormat="1" ht="15" customHeight="1">
      <c r="A212" s="158"/>
      <c r="B212" s="159"/>
      <c r="C212" s="159"/>
      <c r="D212" s="159"/>
      <c r="E212" s="159"/>
      <c r="F212" s="159"/>
      <c r="G212" s="160"/>
    </row>
    <row r="213" spans="1:7" s="145" customFormat="1" ht="15.75" customHeight="1">
      <c r="A213" s="1123" t="s">
        <v>1</v>
      </c>
      <c r="B213" s="1120"/>
      <c r="C213" s="953" t="s">
        <v>594</v>
      </c>
      <c r="D213" s="1125"/>
      <c r="E213" s="1125"/>
      <c r="F213" s="1125"/>
      <c r="G213" s="1126"/>
    </row>
    <row r="214" spans="1:7" s="145" customFormat="1" ht="24" customHeight="1">
      <c r="A214" s="1124"/>
      <c r="B214" s="1120"/>
      <c r="C214" s="1125"/>
      <c r="D214" s="1125"/>
      <c r="E214" s="1125"/>
      <c r="F214" s="1125"/>
      <c r="G214" s="1126"/>
    </row>
    <row r="215" spans="1:7" s="145" customFormat="1" ht="15.6" customHeight="1">
      <c r="A215" s="1124"/>
      <c r="B215" s="1120"/>
      <c r="C215" s="1127" t="s">
        <v>609</v>
      </c>
      <c r="D215" s="1120"/>
      <c r="E215" s="1120"/>
      <c r="F215" s="1120"/>
      <c r="G215" s="1121"/>
    </row>
    <row r="216" spans="1:7" s="145" customFormat="1" ht="15.75" customHeight="1">
      <c r="A216" s="1124"/>
      <c r="B216" s="1120"/>
      <c r="C216" s="1128" t="s">
        <v>2</v>
      </c>
      <c r="D216" s="1120"/>
      <c r="E216" s="1120"/>
      <c r="F216" s="146" t="s">
        <v>3</v>
      </c>
      <c r="G216" s="147" t="s">
        <v>4</v>
      </c>
    </row>
    <row r="217" spans="1:7" s="145" customFormat="1" ht="57.75" customHeight="1">
      <c r="A217" s="1073" t="s">
        <v>632</v>
      </c>
      <c r="B217" s="1115"/>
      <c r="C217" s="980" t="s">
        <v>633</v>
      </c>
      <c r="D217" s="1115"/>
      <c r="E217" s="1115"/>
      <c r="F217" s="16" t="s">
        <v>45</v>
      </c>
      <c r="G217" s="52">
        <v>17</v>
      </c>
    </row>
    <row r="218" spans="1:7" s="145" customFormat="1" ht="15.75" customHeight="1">
      <c r="A218" s="1114" t="s">
        <v>5</v>
      </c>
      <c r="B218" s="1115"/>
      <c r="C218" s="1115"/>
      <c r="D218" s="1115"/>
      <c r="E218" s="1115"/>
      <c r="F218" s="1115"/>
      <c r="G218" s="1116"/>
    </row>
    <row r="219" spans="1:7" s="145" customFormat="1" ht="15.75" customHeight="1">
      <c r="A219" s="1074" t="s">
        <v>2</v>
      </c>
      <c r="B219" s="1115"/>
      <c r="C219" s="53" t="s">
        <v>3</v>
      </c>
      <c r="D219" s="53" t="s">
        <v>4</v>
      </c>
      <c r="E219" s="53" t="s">
        <v>6</v>
      </c>
      <c r="F219" s="53" t="s">
        <v>7</v>
      </c>
      <c r="G219" s="1075" t="s">
        <v>8</v>
      </c>
    </row>
    <row r="220" spans="1:7" s="145" customFormat="1" ht="15.75" customHeight="1">
      <c r="A220" s="947" t="s">
        <v>167</v>
      </c>
      <c r="B220" s="1115"/>
      <c r="C220" s="51" t="s">
        <v>3</v>
      </c>
      <c r="D220" s="51">
        <v>0.05</v>
      </c>
      <c r="E220" s="17">
        <f>G234</f>
        <v>4006</v>
      </c>
      <c r="F220" s="55">
        <f>D220*E220</f>
        <v>200.3</v>
      </c>
      <c r="G220" s="1116"/>
    </row>
    <row r="221" spans="1:7" s="145" customFormat="1" ht="15.75" customHeight="1">
      <c r="A221" s="943"/>
      <c r="B221" s="1115"/>
      <c r="C221" s="51"/>
      <c r="D221" s="51"/>
      <c r="E221" s="51"/>
      <c r="F221" s="55"/>
      <c r="G221" s="57">
        <f>SUM(F219:F221)</f>
        <v>200.3</v>
      </c>
    </row>
    <row r="222" spans="1:7" s="145" customFormat="1" ht="15.75" customHeight="1">
      <c r="A222" s="1114" t="s">
        <v>10</v>
      </c>
      <c r="B222" s="1115"/>
      <c r="C222" s="1115"/>
      <c r="D222" s="1115"/>
      <c r="E222" s="1115"/>
      <c r="F222" s="1115"/>
      <c r="G222" s="1116"/>
    </row>
    <row r="223" spans="1:7" s="145" customFormat="1" ht="15.75" customHeight="1">
      <c r="A223" s="1074" t="s">
        <v>2</v>
      </c>
      <c r="B223" s="1115"/>
      <c r="C223" s="53" t="s">
        <v>3</v>
      </c>
      <c r="D223" s="53" t="s">
        <v>4</v>
      </c>
      <c r="E223" s="53" t="s">
        <v>6</v>
      </c>
      <c r="F223" s="53" t="s">
        <v>11</v>
      </c>
      <c r="G223" s="1075" t="s">
        <v>8</v>
      </c>
    </row>
    <row r="224" spans="1:7" s="150" customFormat="1" ht="15.75" customHeight="1">
      <c r="A224" s="947" t="s">
        <v>612</v>
      </c>
      <c r="B224" s="1115"/>
      <c r="C224" s="51" t="s">
        <v>3</v>
      </c>
      <c r="D224" s="148">
        <v>8</v>
      </c>
      <c r="E224" s="17">
        <f>+'INSUMOS ELÉCTRICOS'!E126</f>
        <v>348.66999999999996</v>
      </c>
      <c r="F224" s="55">
        <f>D224*E224</f>
        <v>2789.3599999999997</v>
      </c>
      <c r="G224" s="1075"/>
    </row>
    <row r="225" spans="1:7" s="145" customFormat="1" ht="15.75" customHeight="1">
      <c r="A225" s="947" t="s">
        <v>633</v>
      </c>
      <c r="B225" s="1115"/>
      <c r="C225" s="51" t="s">
        <v>45</v>
      </c>
      <c r="D225" s="148">
        <v>1</v>
      </c>
      <c r="E225" s="17">
        <f>+'INSUMOS ELÉCTRICOS'!E51</f>
        <v>49583.333333333336</v>
      </c>
      <c r="F225" s="55">
        <f>D225*E225</f>
        <v>49583.333333333336</v>
      </c>
      <c r="G225" s="1075"/>
    </row>
    <row r="226" spans="1:7" s="145" customFormat="1" ht="15.75" customHeight="1">
      <c r="A226" s="947"/>
      <c r="B226" s="1115"/>
      <c r="C226" s="16"/>
      <c r="D226" s="58"/>
      <c r="E226" s="17"/>
      <c r="F226" s="55"/>
      <c r="G226" s="57">
        <f>SUM(F223:F226)</f>
        <v>52372.693333333336</v>
      </c>
    </row>
    <row r="227" spans="1:7" s="145" customFormat="1" ht="15.75" customHeight="1">
      <c r="A227" s="1114" t="s">
        <v>15</v>
      </c>
      <c r="B227" s="1115"/>
      <c r="C227" s="1115"/>
      <c r="D227" s="1115"/>
      <c r="E227" s="1115"/>
      <c r="F227" s="1115"/>
      <c r="G227" s="1116"/>
    </row>
    <row r="228" spans="1:7" s="145" customFormat="1" ht="15.75" customHeight="1">
      <c r="A228" s="1074" t="s">
        <v>2</v>
      </c>
      <c r="B228" s="1115"/>
      <c r="C228" s="53" t="s">
        <v>3</v>
      </c>
      <c r="D228" s="53" t="s">
        <v>4</v>
      </c>
      <c r="E228" s="53" t="s">
        <v>6</v>
      </c>
      <c r="F228" s="53" t="s">
        <v>11</v>
      </c>
      <c r="G228" s="1075" t="s">
        <v>8</v>
      </c>
    </row>
    <row r="229" spans="1:7" s="145" customFormat="1" ht="15.75" customHeight="1">
      <c r="A229" s="943" t="s">
        <v>173</v>
      </c>
      <c r="B229" s="1115"/>
      <c r="C229" s="16" t="s">
        <v>3</v>
      </c>
      <c r="D229" s="16">
        <v>0.02</v>
      </c>
      <c r="E229" s="17">
        <f>G226</f>
        <v>52372.693333333336</v>
      </c>
      <c r="F229" s="55">
        <f>D229*E229</f>
        <v>1047.4538666666667</v>
      </c>
      <c r="G229" s="1116"/>
    </row>
    <row r="230" spans="1:7" s="145" customFormat="1" ht="15.75" customHeight="1">
      <c r="A230" s="151"/>
      <c r="B230" s="152"/>
      <c r="C230" s="152"/>
      <c r="D230" s="152"/>
      <c r="E230" s="152"/>
      <c r="F230" s="152"/>
      <c r="G230" s="57">
        <f>SUM(F229:F230)</f>
        <v>1047.4538666666667</v>
      </c>
    </row>
    <row r="231" spans="1:7" s="145" customFormat="1" ht="15.75" customHeight="1">
      <c r="A231" s="1114" t="s">
        <v>19</v>
      </c>
      <c r="B231" s="1115"/>
      <c r="C231" s="1115"/>
      <c r="D231" s="1115"/>
      <c r="E231" s="1115"/>
      <c r="F231" s="1115"/>
      <c r="G231" s="1116"/>
    </row>
    <row r="232" spans="1:7" s="145" customFormat="1" ht="15.75" customHeight="1">
      <c r="A232" s="1074" t="s">
        <v>2</v>
      </c>
      <c r="B232" s="1115"/>
      <c r="C232" s="53" t="s">
        <v>3</v>
      </c>
      <c r="D232" s="53" t="s">
        <v>4</v>
      </c>
      <c r="E232" s="53" t="s">
        <v>6</v>
      </c>
      <c r="F232" s="53" t="s">
        <v>11</v>
      </c>
      <c r="G232" s="1075" t="s">
        <v>8</v>
      </c>
    </row>
    <row r="233" spans="1:7" s="2" customFormat="1" ht="15.75" customHeight="1">
      <c r="A233" s="978" t="s">
        <v>1256</v>
      </c>
      <c r="B233" s="979"/>
      <c r="C233" s="13" t="s">
        <v>1245</v>
      </c>
      <c r="D233" s="32">
        <v>0.2</v>
      </c>
      <c r="E233" s="13">
        <v>20030</v>
      </c>
      <c r="F233" s="55">
        <f>+D233*E233</f>
        <v>4006</v>
      </c>
      <c r="G233" s="1116"/>
    </row>
    <row r="234" spans="1:7" s="145" customFormat="1" ht="15.75" customHeight="1">
      <c r="A234" s="155"/>
      <c r="B234" s="156"/>
      <c r="C234" s="156"/>
      <c r="D234" s="156"/>
      <c r="E234" s="156"/>
      <c r="F234" s="156"/>
      <c r="G234" s="57">
        <f>SUM(F232:F234)</f>
        <v>4006</v>
      </c>
    </row>
    <row r="235" spans="1:7" s="145" customFormat="1" ht="15.75" customHeight="1">
      <c r="A235" s="1119" t="s">
        <v>25</v>
      </c>
      <c r="B235" s="1120"/>
      <c r="C235" s="1120"/>
      <c r="D235" s="1120"/>
      <c r="E235" s="1120"/>
      <c r="F235" s="1120"/>
      <c r="G235" s="1121"/>
    </row>
    <row r="236" spans="1:7" s="145" customFormat="1" ht="15.75" customHeight="1">
      <c r="A236" s="1122"/>
      <c r="B236" s="1120"/>
      <c r="C236" s="1120"/>
      <c r="D236" s="1120"/>
      <c r="E236" s="1120"/>
      <c r="F236" s="1120"/>
      <c r="G236" s="157">
        <f>G234+G230+G226+G221</f>
        <v>57626.44720000001</v>
      </c>
    </row>
    <row r="237" spans="1:7" s="145" customFormat="1" ht="15" customHeight="1">
      <c r="A237" s="158"/>
      <c r="B237" s="159"/>
      <c r="C237" s="159"/>
      <c r="D237" s="159"/>
      <c r="E237" s="159"/>
      <c r="F237" s="159"/>
      <c r="G237" s="160"/>
    </row>
    <row r="238" spans="1:7" s="145" customFormat="1" ht="15.75" customHeight="1">
      <c r="A238" s="1123" t="s">
        <v>1</v>
      </c>
      <c r="B238" s="1120"/>
      <c r="C238" s="953" t="s">
        <v>594</v>
      </c>
      <c r="D238" s="1125"/>
      <c r="E238" s="1125"/>
      <c r="F238" s="1125"/>
      <c r="G238" s="1126"/>
    </row>
    <row r="239" spans="1:7" s="145" customFormat="1" ht="24" customHeight="1">
      <c r="A239" s="1124"/>
      <c r="B239" s="1120"/>
      <c r="C239" s="1125"/>
      <c r="D239" s="1125"/>
      <c r="E239" s="1125"/>
      <c r="F239" s="1125"/>
      <c r="G239" s="1126"/>
    </row>
    <row r="240" spans="1:7" s="145" customFormat="1" ht="15.6" customHeight="1">
      <c r="A240" s="1124"/>
      <c r="B240" s="1120"/>
      <c r="C240" s="1127" t="s">
        <v>609</v>
      </c>
      <c r="D240" s="1120"/>
      <c r="E240" s="1120"/>
      <c r="F240" s="1120"/>
      <c r="G240" s="1121"/>
    </row>
    <row r="241" spans="1:7" s="145" customFormat="1" ht="15.75" customHeight="1">
      <c r="A241" s="1124"/>
      <c r="B241" s="1120"/>
      <c r="C241" s="1128" t="s">
        <v>2</v>
      </c>
      <c r="D241" s="1120"/>
      <c r="E241" s="1120"/>
      <c r="F241" s="146" t="s">
        <v>3</v>
      </c>
      <c r="G241" s="147" t="s">
        <v>4</v>
      </c>
    </row>
    <row r="242" spans="1:7" s="145" customFormat="1" ht="57.75" customHeight="1">
      <c r="A242" s="1073" t="s">
        <v>634</v>
      </c>
      <c r="B242" s="1115"/>
      <c r="C242" s="980" t="s">
        <v>2761</v>
      </c>
      <c r="D242" s="1115"/>
      <c r="E242" s="1115"/>
      <c r="F242" s="16" t="s">
        <v>28</v>
      </c>
      <c r="G242" s="52">
        <v>1</v>
      </c>
    </row>
    <row r="243" spans="1:7" s="145" customFormat="1" ht="15.75" customHeight="1">
      <c r="A243" s="1114" t="s">
        <v>5</v>
      </c>
      <c r="B243" s="1115"/>
      <c r="C243" s="1115"/>
      <c r="D243" s="1115"/>
      <c r="E243" s="1115"/>
      <c r="F243" s="1115"/>
      <c r="G243" s="1116"/>
    </row>
    <row r="244" spans="1:7" s="145" customFormat="1" ht="15.75" customHeight="1">
      <c r="A244" s="1074" t="s">
        <v>2</v>
      </c>
      <c r="B244" s="1115"/>
      <c r="C244" s="53" t="s">
        <v>3</v>
      </c>
      <c r="D244" s="53" t="s">
        <v>4</v>
      </c>
      <c r="E244" s="53" t="s">
        <v>6</v>
      </c>
      <c r="F244" s="53" t="s">
        <v>7</v>
      </c>
      <c r="G244" s="1075" t="s">
        <v>8</v>
      </c>
    </row>
    <row r="245" spans="1:7" s="145" customFormat="1" ht="15.75" customHeight="1">
      <c r="A245" s="947" t="s">
        <v>167</v>
      </c>
      <c r="B245" s="1115"/>
      <c r="C245" s="51" t="s">
        <v>3</v>
      </c>
      <c r="D245" s="51">
        <v>0.05</v>
      </c>
      <c r="E245" s="17">
        <f>G259</f>
        <v>10015</v>
      </c>
      <c r="F245" s="55">
        <f>D245*E245</f>
        <v>500.75</v>
      </c>
      <c r="G245" s="1116"/>
    </row>
    <row r="246" spans="1:7" s="145" customFormat="1" ht="15.75" customHeight="1">
      <c r="A246" s="943"/>
      <c r="B246" s="1115"/>
      <c r="C246" s="51"/>
      <c r="D246" s="51"/>
      <c r="E246" s="51"/>
      <c r="F246" s="55"/>
      <c r="G246" s="57">
        <f>SUM(F244:F246)</f>
        <v>500.75</v>
      </c>
    </row>
    <row r="247" spans="1:7" s="145" customFormat="1" ht="15.75" customHeight="1">
      <c r="A247" s="1114" t="s">
        <v>10</v>
      </c>
      <c r="B247" s="1115"/>
      <c r="C247" s="1115"/>
      <c r="D247" s="1115"/>
      <c r="E247" s="1115"/>
      <c r="F247" s="1115"/>
      <c r="G247" s="1116"/>
    </row>
    <row r="248" spans="1:7" s="145" customFormat="1" ht="15.75" customHeight="1">
      <c r="A248" s="1074" t="s">
        <v>2</v>
      </c>
      <c r="B248" s="1115"/>
      <c r="C248" s="53" t="s">
        <v>3</v>
      </c>
      <c r="D248" s="53" t="s">
        <v>4</v>
      </c>
      <c r="E248" s="53" t="s">
        <v>6</v>
      </c>
      <c r="F248" s="53" t="s">
        <v>11</v>
      </c>
      <c r="G248" s="1075" t="s">
        <v>8</v>
      </c>
    </row>
    <row r="249" spans="1:7" s="150" customFormat="1" ht="15.75" customHeight="1">
      <c r="A249" s="947" t="s">
        <v>612</v>
      </c>
      <c r="B249" s="1115"/>
      <c r="C249" s="51" t="s">
        <v>3</v>
      </c>
      <c r="D249" s="148">
        <v>10</v>
      </c>
      <c r="E249" s="17">
        <f>+'INSUMOS ELÉCTRICOS'!E126</f>
        <v>348.66999999999996</v>
      </c>
      <c r="F249" s="55">
        <f>D249*E249</f>
        <v>3486.7</v>
      </c>
      <c r="G249" s="1075"/>
    </row>
    <row r="250" spans="1:7" s="145" customFormat="1" ht="15.75" customHeight="1">
      <c r="A250" s="947" t="s">
        <v>635</v>
      </c>
      <c r="B250" s="1115"/>
      <c r="C250" s="51" t="s">
        <v>3</v>
      </c>
      <c r="D250" s="148">
        <v>1</v>
      </c>
      <c r="E250" s="17">
        <f>+'INSUMOS ELÉCTRICOS'!E54</f>
        <v>67400.41</v>
      </c>
      <c r="F250" s="55">
        <f>D250*E250</f>
        <v>67400.41</v>
      </c>
      <c r="G250" s="1075"/>
    </row>
    <row r="251" spans="1:7" s="145" customFormat="1" ht="15.75" customHeight="1">
      <c r="A251" s="947"/>
      <c r="B251" s="1115"/>
      <c r="C251" s="16"/>
      <c r="D251" s="58"/>
      <c r="E251" s="17"/>
      <c r="F251" s="55"/>
      <c r="G251" s="57">
        <f>SUM(F248:F251)</f>
        <v>70887.11</v>
      </c>
    </row>
    <row r="252" spans="1:7" s="145" customFormat="1" ht="15.75" customHeight="1">
      <c r="A252" s="1114" t="s">
        <v>15</v>
      </c>
      <c r="B252" s="1115"/>
      <c r="C252" s="1115"/>
      <c r="D252" s="1115"/>
      <c r="E252" s="1115"/>
      <c r="F252" s="1115"/>
      <c r="G252" s="1116"/>
    </row>
    <row r="253" spans="1:7" s="145" customFormat="1" ht="15.75" customHeight="1">
      <c r="A253" s="1074" t="s">
        <v>2</v>
      </c>
      <c r="B253" s="1115"/>
      <c r="C253" s="53" t="s">
        <v>3</v>
      </c>
      <c r="D253" s="53" t="s">
        <v>4</v>
      </c>
      <c r="E253" s="53" t="s">
        <v>6</v>
      </c>
      <c r="F253" s="53" t="s">
        <v>11</v>
      </c>
      <c r="G253" s="1075" t="s">
        <v>8</v>
      </c>
    </row>
    <row r="254" spans="1:7" s="145" customFormat="1" ht="15.75" customHeight="1">
      <c r="A254" s="943" t="s">
        <v>173</v>
      </c>
      <c r="B254" s="1115"/>
      <c r="C254" s="16" t="s">
        <v>3</v>
      </c>
      <c r="D254" s="16">
        <v>0.01</v>
      </c>
      <c r="E254" s="17">
        <f>G251</f>
        <v>70887.11</v>
      </c>
      <c r="F254" s="55">
        <f>D254*E254</f>
        <v>708.87110000000007</v>
      </c>
      <c r="G254" s="1116"/>
    </row>
    <row r="255" spans="1:7" s="145" customFormat="1" ht="15.75" customHeight="1">
      <c r="A255" s="151"/>
      <c r="B255" s="152"/>
      <c r="C255" s="152"/>
      <c r="D255" s="152"/>
      <c r="E255" s="152"/>
      <c r="F255" s="152"/>
      <c r="G255" s="57">
        <f>SUM(F254:F255)</f>
        <v>708.87110000000007</v>
      </c>
    </row>
    <row r="256" spans="1:7" s="145" customFormat="1" ht="15.75" customHeight="1">
      <c r="A256" s="1114" t="s">
        <v>19</v>
      </c>
      <c r="B256" s="1115"/>
      <c r="C256" s="1115"/>
      <c r="D256" s="1115"/>
      <c r="E256" s="1115"/>
      <c r="F256" s="1115"/>
      <c r="G256" s="1116"/>
    </row>
    <row r="257" spans="1:7" s="145" customFormat="1" ht="15.75" customHeight="1">
      <c r="A257" s="1074" t="s">
        <v>2</v>
      </c>
      <c r="B257" s="1115"/>
      <c r="C257" s="53" t="s">
        <v>3</v>
      </c>
      <c r="D257" s="53" t="s">
        <v>4</v>
      </c>
      <c r="E257" s="53" t="s">
        <v>6</v>
      </c>
      <c r="F257" s="53" t="s">
        <v>11</v>
      </c>
      <c r="G257" s="1075" t="s">
        <v>8</v>
      </c>
    </row>
    <row r="258" spans="1:7" s="2" customFormat="1" ht="15.75" customHeight="1">
      <c r="A258" s="978" t="s">
        <v>1256</v>
      </c>
      <c r="B258" s="979"/>
      <c r="C258" s="13" t="s">
        <v>1245</v>
      </c>
      <c r="D258" s="32">
        <v>0.5</v>
      </c>
      <c r="E258" s="13">
        <v>20030</v>
      </c>
      <c r="F258" s="55">
        <f>+D258*E258</f>
        <v>10015</v>
      </c>
      <c r="G258" s="1116"/>
    </row>
    <row r="259" spans="1:7" s="145" customFormat="1" ht="15.75" customHeight="1">
      <c r="A259" s="155"/>
      <c r="B259" s="156"/>
      <c r="C259" s="156"/>
      <c r="D259" s="156"/>
      <c r="E259" s="156"/>
      <c r="F259" s="156"/>
      <c r="G259" s="57">
        <f>SUM(F257:F259)</f>
        <v>10015</v>
      </c>
    </row>
    <row r="260" spans="1:7" s="145" customFormat="1" ht="15.75" customHeight="1">
      <c r="A260" s="1119" t="s">
        <v>25</v>
      </c>
      <c r="B260" s="1120"/>
      <c r="C260" s="1120"/>
      <c r="D260" s="1120"/>
      <c r="E260" s="1120"/>
      <c r="F260" s="1120"/>
      <c r="G260" s="1121"/>
    </row>
    <row r="261" spans="1:7" s="145" customFormat="1" ht="15.75" customHeight="1">
      <c r="A261" s="1122"/>
      <c r="B261" s="1120"/>
      <c r="C261" s="1120"/>
      <c r="D261" s="1120"/>
      <c r="E261" s="1120"/>
      <c r="F261" s="1120"/>
      <c r="G261" s="157">
        <f>G259+G255+G251+G246</f>
        <v>82111.731100000005</v>
      </c>
    </row>
    <row r="262" spans="1:7" s="145" customFormat="1" ht="15" customHeight="1">
      <c r="A262" s="158"/>
      <c r="B262" s="159"/>
      <c r="C262" s="159"/>
      <c r="D262" s="159"/>
      <c r="E262" s="159"/>
      <c r="F262" s="159"/>
      <c r="G262" s="160"/>
    </row>
    <row r="263" spans="1:7" s="145" customFormat="1" ht="24" customHeight="1">
      <c r="A263" s="1123" t="s">
        <v>1</v>
      </c>
      <c r="B263" s="1120"/>
      <c r="C263" s="953" t="s">
        <v>594</v>
      </c>
      <c r="D263" s="1125"/>
      <c r="E263" s="1125"/>
      <c r="F263" s="1125"/>
      <c r="G263" s="1126"/>
    </row>
    <row r="264" spans="1:7" s="145" customFormat="1" ht="15.6" customHeight="1">
      <c r="A264" s="1124"/>
      <c r="B264" s="1120"/>
      <c r="C264" s="1125"/>
      <c r="D264" s="1125"/>
      <c r="E264" s="1125"/>
      <c r="F264" s="1125"/>
      <c r="G264" s="1126"/>
    </row>
    <row r="265" spans="1:7" s="145" customFormat="1" ht="15.75" customHeight="1">
      <c r="A265" s="1124"/>
      <c r="B265" s="1120"/>
      <c r="C265" s="1127" t="s">
        <v>637</v>
      </c>
      <c r="D265" s="1120"/>
      <c r="E265" s="1120"/>
      <c r="F265" s="1120"/>
      <c r="G265" s="1121"/>
    </row>
    <row r="266" spans="1:7" s="145" customFormat="1" ht="13.8">
      <c r="A266" s="1124"/>
      <c r="B266" s="1120"/>
      <c r="C266" s="1128" t="s">
        <v>2</v>
      </c>
      <c r="D266" s="1120"/>
      <c r="E266" s="1120"/>
      <c r="F266" s="146" t="s">
        <v>3</v>
      </c>
      <c r="G266" s="147" t="s">
        <v>4</v>
      </c>
    </row>
    <row r="267" spans="1:7" s="145" customFormat="1" ht="96.75" customHeight="1">
      <c r="A267" s="1073" t="s">
        <v>638</v>
      </c>
      <c r="B267" s="1115"/>
      <c r="C267" s="980" t="s">
        <v>639</v>
      </c>
      <c r="D267" s="1115"/>
      <c r="E267" s="1115"/>
      <c r="F267" s="16" t="s">
        <v>28</v>
      </c>
      <c r="G267" s="52">
        <v>60</v>
      </c>
    </row>
    <row r="268" spans="1:7" s="145" customFormat="1" ht="15.75" customHeight="1">
      <c r="A268" s="1114" t="s">
        <v>5</v>
      </c>
      <c r="B268" s="1115"/>
      <c r="C268" s="1115"/>
      <c r="D268" s="1115"/>
      <c r="E268" s="1115"/>
      <c r="F268" s="1115"/>
      <c r="G268" s="1116"/>
    </row>
    <row r="269" spans="1:7" s="145" customFormat="1" ht="15.75" customHeight="1">
      <c r="A269" s="1074" t="s">
        <v>2</v>
      </c>
      <c r="B269" s="1115"/>
      <c r="C269" s="53" t="s">
        <v>3</v>
      </c>
      <c r="D269" s="53" t="s">
        <v>4</v>
      </c>
      <c r="E269" s="53" t="s">
        <v>6</v>
      </c>
      <c r="F269" s="53" t="s">
        <v>7</v>
      </c>
      <c r="G269" s="1075" t="s">
        <v>8</v>
      </c>
    </row>
    <row r="270" spans="1:7" s="145" customFormat="1" ht="15.75" customHeight="1">
      <c r="A270" s="947" t="s">
        <v>167</v>
      </c>
      <c r="B270" s="1115"/>
      <c r="C270" s="51" t="s">
        <v>3</v>
      </c>
      <c r="D270" s="51">
        <v>0.05</v>
      </c>
      <c r="E270" s="17">
        <f>G292</f>
        <v>20030</v>
      </c>
      <c r="F270" s="55">
        <f>D270*E270</f>
        <v>1001.5</v>
      </c>
      <c r="G270" s="1116"/>
    </row>
    <row r="271" spans="1:7" s="145" customFormat="1" ht="15.75" customHeight="1">
      <c r="A271" s="943"/>
      <c r="B271" s="1115"/>
      <c r="C271" s="51"/>
      <c r="D271" s="51"/>
      <c r="E271" s="51"/>
      <c r="F271" s="55"/>
      <c r="G271" s="57">
        <f>SUM(F269:F271)</f>
        <v>1001.5</v>
      </c>
    </row>
    <row r="272" spans="1:7" s="145" customFormat="1" ht="15.75" customHeight="1">
      <c r="A272" s="1114" t="s">
        <v>10</v>
      </c>
      <c r="B272" s="1115"/>
      <c r="C272" s="1115"/>
      <c r="D272" s="1115"/>
      <c r="E272" s="1115"/>
      <c r="F272" s="1115"/>
      <c r="G272" s="1116"/>
    </row>
    <row r="273" spans="1:7" s="150" customFormat="1" ht="15.75" customHeight="1">
      <c r="A273" s="1074" t="s">
        <v>2</v>
      </c>
      <c r="B273" s="1115"/>
      <c r="C273" s="53" t="s">
        <v>3</v>
      </c>
      <c r="D273" s="53" t="s">
        <v>4</v>
      </c>
      <c r="E273" s="53" t="s">
        <v>6</v>
      </c>
      <c r="F273" s="53" t="s">
        <v>11</v>
      </c>
      <c r="G273" s="1075" t="s">
        <v>8</v>
      </c>
    </row>
    <row r="274" spans="1:7" s="145" customFormat="1" ht="15.75" customHeight="1">
      <c r="A274" s="947" t="s">
        <v>612</v>
      </c>
      <c r="B274" s="1115"/>
      <c r="C274" s="16" t="s">
        <v>3</v>
      </c>
      <c r="D274" s="16">
        <v>20</v>
      </c>
      <c r="E274" s="17">
        <f>+'INSUMOS ELÉCTRICOS'!E126</f>
        <v>348.66999999999996</v>
      </c>
      <c r="F274" s="55">
        <f t="shared" ref="F274:F283" si="3">D274*E274</f>
        <v>6973.4</v>
      </c>
      <c r="G274" s="1075"/>
    </row>
    <row r="275" spans="1:7" s="145" customFormat="1" ht="15.75" customHeight="1">
      <c r="A275" s="947" t="s">
        <v>640</v>
      </c>
      <c r="B275" s="1115"/>
      <c r="C275" s="16" t="s">
        <v>3</v>
      </c>
      <c r="D275" s="16">
        <v>1</v>
      </c>
      <c r="E275" s="17">
        <f>+'INSUMOS ELÉCTRICOS'!E53</f>
        <v>20000</v>
      </c>
      <c r="F275" s="55">
        <f t="shared" si="3"/>
        <v>20000</v>
      </c>
      <c r="G275" s="1075"/>
    </row>
    <row r="276" spans="1:7" s="145" customFormat="1" ht="15.75" customHeight="1">
      <c r="A276" s="947" t="s">
        <v>641</v>
      </c>
      <c r="B276" s="1115"/>
      <c r="C276" s="16" t="s">
        <v>45</v>
      </c>
      <c r="D276" s="16">
        <v>4.2</v>
      </c>
      <c r="E276" s="17">
        <f>+'INSUMOS ELÉCTRICOS'!E26</f>
        <v>16580.666666666668</v>
      </c>
      <c r="F276" s="55">
        <f t="shared" si="3"/>
        <v>69638.8</v>
      </c>
      <c r="G276" s="1075"/>
    </row>
    <row r="277" spans="1:7" s="145" customFormat="1" ht="15.75" customHeight="1">
      <c r="A277" s="947" t="s">
        <v>613</v>
      </c>
      <c r="B277" s="1115"/>
      <c r="C277" s="16" t="s">
        <v>3</v>
      </c>
      <c r="D277" s="16">
        <v>3</v>
      </c>
      <c r="E277" s="17">
        <f>+'INSUMOS ELÉCTRICOS'!E24</f>
        <v>780</v>
      </c>
      <c r="F277" s="55">
        <f t="shared" si="3"/>
        <v>2340</v>
      </c>
      <c r="G277" s="1075"/>
    </row>
    <row r="278" spans="1:7" s="145" customFormat="1" ht="15.75" customHeight="1">
      <c r="A278" s="947" t="s">
        <v>615</v>
      </c>
      <c r="B278" s="1115"/>
      <c r="C278" s="16" t="s">
        <v>3</v>
      </c>
      <c r="D278" s="16">
        <v>1</v>
      </c>
      <c r="E278" s="17">
        <f>+'INSUMOS ELÉCTRICOS'!E28</f>
        <v>2946.44</v>
      </c>
      <c r="F278" s="55">
        <f t="shared" si="3"/>
        <v>2946.44</v>
      </c>
      <c r="G278" s="1075"/>
    </row>
    <row r="279" spans="1:7" s="145" customFormat="1" ht="15.75" customHeight="1">
      <c r="A279" s="947" t="s">
        <v>616</v>
      </c>
      <c r="B279" s="1115"/>
      <c r="C279" s="16" t="s">
        <v>3</v>
      </c>
      <c r="D279" s="16">
        <v>1</v>
      </c>
      <c r="E279" s="17">
        <f>+'INSUMOS ELÉCTRICOS'!E29</f>
        <v>4190</v>
      </c>
      <c r="F279" s="55">
        <f t="shared" si="3"/>
        <v>4190</v>
      </c>
      <c r="G279" s="1075"/>
    </row>
    <row r="280" spans="1:7" s="145" customFormat="1" ht="15.75" customHeight="1">
      <c r="A280" s="947" t="s">
        <v>614</v>
      </c>
      <c r="B280" s="1115"/>
      <c r="C280" s="16" t="s">
        <v>3</v>
      </c>
      <c r="D280" s="16">
        <v>0.5</v>
      </c>
      <c r="E280" s="17">
        <f>+'INSUMOS ELÉCTRICOS'!E25</f>
        <v>11900</v>
      </c>
      <c r="F280" s="55">
        <f t="shared" si="3"/>
        <v>5950</v>
      </c>
      <c r="G280" s="1075"/>
    </row>
    <row r="281" spans="1:7" s="145" customFormat="1" ht="15.75" customHeight="1">
      <c r="A281" s="947" t="s">
        <v>2478</v>
      </c>
      <c r="B281" s="1115"/>
      <c r="C281" s="16" t="s">
        <v>45</v>
      </c>
      <c r="D281" s="16">
        <v>12.6</v>
      </c>
      <c r="E281" s="647">
        <v>2567.4964</v>
      </c>
      <c r="F281" s="55">
        <f t="shared" si="3"/>
        <v>32350.45464</v>
      </c>
      <c r="G281" s="1075"/>
    </row>
    <row r="282" spans="1:7" s="145" customFormat="1" ht="33" customHeight="1">
      <c r="A282" s="947" t="s">
        <v>643</v>
      </c>
      <c r="B282" s="1115"/>
      <c r="C282" s="16" t="s">
        <v>3</v>
      </c>
      <c r="D282" s="16">
        <v>3</v>
      </c>
      <c r="E282" s="17">
        <f>+'INSUMOS ELÉCTRICOS'!E121</f>
        <v>1189</v>
      </c>
      <c r="F282" s="55">
        <f t="shared" si="3"/>
        <v>3567</v>
      </c>
      <c r="G282" s="1075"/>
    </row>
    <row r="283" spans="1:7" s="145" customFormat="1" ht="15.75" customHeight="1">
      <c r="A283" s="947" t="s">
        <v>644</v>
      </c>
      <c r="B283" s="1115"/>
      <c r="C283" s="16" t="s">
        <v>3</v>
      </c>
      <c r="D283" s="16">
        <v>1</v>
      </c>
      <c r="E283" s="17">
        <f>+'INSUMOS ELÉCTRICOS'!E55</f>
        <v>9100</v>
      </c>
      <c r="F283" s="55">
        <f t="shared" si="3"/>
        <v>9100</v>
      </c>
      <c r="G283" s="1075"/>
    </row>
    <row r="284" spans="1:7" s="145" customFormat="1" ht="15" customHeight="1">
      <c r="A284" s="947"/>
      <c r="B284" s="1115"/>
      <c r="C284" s="16"/>
      <c r="D284" s="58"/>
      <c r="E284" s="17"/>
      <c r="F284" s="55"/>
      <c r="G284" s="57">
        <f>SUM(F273:F284)</f>
        <v>157056.09464000002</v>
      </c>
    </row>
    <row r="285" spans="1:7" s="145" customFormat="1" ht="15.75" customHeight="1">
      <c r="A285" s="1114" t="s">
        <v>15</v>
      </c>
      <c r="B285" s="1115"/>
      <c r="C285" s="1115"/>
      <c r="D285" s="1115"/>
      <c r="E285" s="1115"/>
      <c r="F285" s="1115"/>
      <c r="G285" s="1116"/>
    </row>
    <row r="286" spans="1:7" s="145" customFormat="1" ht="24" customHeight="1">
      <c r="A286" s="1074" t="s">
        <v>2</v>
      </c>
      <c r="B286" s="1115"/>
      <c r="C286" s="53" t="s">
        <v>3</v>
      </c>
      <c r="D286" s="53" t="s">
        <v>4</v>
      </c>
      <c r="E286" s="53" t="s">
        <v>6</v>
      </c>
      <c r="F286" s="53" t="s">
        <v>11</v>
      </c>
      <c r="G286" s="1075" t="s">
        <v>8</v>
      </c>
    </row>
    <row r="287" spans="1:7" s="145" customFormat="1" ht="15.6" customHeight="1">
      <c r="A287" s="943" t="s">
        <v>173</v>
      </c>
      <c r="B287" s="1115"/>
      <c r="C287" s="16" t="s">
        <v>3</v>
      </c>
      <c r="D287" s="16">
        <v>0.01</v>
      </c>
      <c r="E287" s="17">
        <f>G284</f>
        <v>157056.09464000002</v>
      </c>
      <c r="F287" s="55">
        <f>D287*E287</f>
        <v>1570.5609464000004</v>
      </c>
      <c r="G287" s="1116"/>
    </row>
    <row r="288" spans="1:7" s="145" customFormat="1" ht="15.75" customHeight="1">
      <c r="A288" s="151"/>
      <c r="B288" s="152"/>
      <c r="C288" s="152"/>
      <c r="D288" s="152"/>
      <c r="E288" s="152"/>
      <c r="F288" s="152"/>
      <c r="G288" s="57">
        <f>SUM(F287:F288)</f>
        <v>1570.5609464000004</v>
      </c>
    </row>
    <row r="289" spans="1:7" s="145" customFormat="1" ht="13.8">
      <c r="A289" s="1114" t="s">
        <v>19</v>
      </c>
      <c r="B289" s="1115"/>
      <c r="C289" s="1115"/>
      <c r="D289" s="1115"/>
      <c r="E289" s="1115"/>
      <c r="F289" s="1115"/>
      <c r="G289" s="1116"/>
    </row>
    <row r="290" spans="1:7" s="145" customFormat="1" ht="15.75" customHeight="1">
      <c r="A290" s="469" t="s">
        <v>20</v>
      </c>
      <c r="B290" s="53" t="s">
        <v>21</v>
      </c>
      <c r="C290" s="53" t="s">
        <v>22</v>
      </c>
      <c r="D290" s="53" t="s">
        <v>23</v>
      </c>
      <c r="E290" s="53" t="s">
        <v>24</v>
      </c>
      <c r="F290" s="53" t="s">
        <v>11</v>
      </c>
      <c r="G290" s="1075" t="s">
        <v>8</v>
      </c>
    </row>
    <row r="291" spans="1:7" s="145" customFormat="1" ht="15.75" customHeight="1">
      <c r="A291" s="978" t="s">
        <v>1256</v>
      </c>
      <c r="B291" s="979"/>
      <c r="C291" s="13" t="s">
        <v>1245</v>
      </c>
      <c r="D291" s="32">
        <v>1</v>
      </c>
      <c r="E291" s="13">
        <v>20030</v>
      </c>
      <c r="F291" s="55">
        <f>+D291*E291</f>
        <v>20030</v>
      </c>
      <c r="G291" s="1116"/>
    </row>
    <row r="292" spans="1:7" s="145" customFormat="1" ht="15.75" customHeight="1">
      <c r="A292" s="155"/>
      <c r="B292" s="156"/>
      <c r="C292" s="156"/>
      <c r="D292" s="156"/>
      <c r="E292" s="156"/>
      <c r="F292" s="156"/>
      <c r="G292" s="57">
        <f>SUM(F290:F292)</f>
        <v>20030</v>
      </c>
    </row>
    <row r="293" spans="1:7" s="145" customFormat="1" ht="15.75" customHeight="1">
      <c r="A293" s="1119" t="s">
        <v>25</v>
      </c>
      <c r="B293" s="1120"/>
      <c r="C293" s="1120"/>
      <c r="D293" s="1120"/>
      <c r="E293" s="1120"/>
      <c r="F293" s="1120"/>
      <c r="G293" s="1121"/>
    </row>
    <row r="294" spans="1:7" s="145" customFormat="1" ht="15.75" customHeight="1">
      <c r="A294" s="1122"/>
      <c r="B294" s="1120"/>
      <c r="C294" s="1120"/>
      <c r="D294" s="1120"/>
      <c r="E294" s="1120"/>
      <c r="F294" s="1120"/>
      <c r="G294" s="157">
        <f>G292+G288+G284+G271</f>
        <v>179658.15558640001</v>
      </c>
    </row>
    <row r="295" spans="1:7" s="145" customFormat="1" ht="15.75" customHeight="1">
      <c r="A295" s="158"/>
      <c r="B295" s="159"/>
      <c r="C295" s="159"/>
      <c r="D295" s="159"/>
      <c r="E295" s="159"/>
      <c r="F295" s="159"/>
      <c r="G295" s="160"/>
    </row>
    <row r="296" spans="1:7" s="150" customFormat="1" ht="15.75" customHeight="1">
      <c r="A296" s="1123" t="s">
        <v>1</v>
      </c>
      <c r="B296" s="1120"/>
      <c r="C296" s="953" t="s">
        <v>594</v>
      </c>
      <c r="D296" s="1125"/>
      <c r="E296" s="1125"/>
      <c r="F296" s="1125"/>
      <c r="G296" s="1126"/>
    </row>
    <row r="297" spans="1:7" s="145" customFormat="1" ht="24.6" customHeight="1">
      <c r="A297" s="1124"/>
      <c r="B297" s="1120"/>
      <c r="C297" s="1125"/>
      <c r="D297" s="1125"/>
      <c r="E297" s="1125"/>
      <c r="F297" s="1125"/>
      <c r="G297" s="1126"/>
    </row>
    <row r="298" spans="1:7" s="145" customFormat="1" ht="15.75" customHeight="1">
      <c r="A298" s="1124"/>
      <c r="B298" s="1120"/>
      <c r="C298" s="1127" t="s">
        <v>637</v>
      </c>
      <c r="D298" s="1120"/>
      <c r="E298" s="1120"/>
      <c r="F298" s="1120"/>
      <c r="G298" s="1121"/>
    </row>
    <row r="299" spans="1:7" s="145" customFormat="1" ht="15.75" customHeight="1">
      <c r="A299" s="1124"/>
      <c r="B299" s="1120"/>
      <c r="C299" s="1128" t="s">
        <v>2</v>
      </c>
      <c r="D299" s="1120"/>
      <c r="E299" s="1120"/>
      <c r="F299" s="146" t="s">
        <v>3</v>
      </c>
      <c r="G299" s="147" t="s">
        <v>4</v>
      </c>
    </row>
    <row r="300" spans="1:7" s="145" customFormat="1" ht="107.25" customHeight="1">
      <c r="A300" s="1073" t="s">
        <v>647</v>
      </c>
      <c r="B300" s="1115"/>
      <c r="C300" s="980" t="s">
        <v>648</v>
      </c>
      <c r="D300" s="1115"/>
      <c r="E300" s="1115"/>
      <c r="F300" s="16" t="s">
        <v>28</v>
      </c>
      <c r="G300" s="52">
        <v>1</v>
      </c>
    </row>
    <row r="301" spans="1:7" s="145" customFormat="1" ht="15.75" customHeight="1">
      <c r="A301" s="1114" t="s">
        <v>5</v>
      </c>
      <c r="B301" s="1115"/>
      <c r="C301" s="1115"/>
      <c r="D301" s="1115"/>
      <c r="E301" s="1115"/>
      <c r="F301" s="1115"/>
      <c r="G301" s="1116"/>
    </row>
    <row r="302" spans="1:7" s="145" customFormat="1" ht="15.75" customHeight="1">
      <c r="A302" s="1074" t="s">
        <v>2</v>
      </c>
      <c r="B302" s="1115"/>
      <c r="C302" s="53" t="s">
        <v>3</v>
      </c>
      <c r="D302" s="53" t="s">
        <v>4</v>
      </c>
      <c r="E302" s="53" t="s">
        <v>6</v>
      </c>
      <c r="F302" s="53" t="s">
        <v>7</v>
      </c>
      <c r="G302" s="1075" t="s">
        <v>8</v>
      </c>
    </row>
    <row r="303" spans="1:7" s="150" customFormat="1" ht="15.75" customHeight="1">
      <c r="A303" s="947" t="s">
        <v>167</v>
      </c>
      <c r="B303" s="1115"/>
      <c r="C303" s="51" t="s">
        <v>3</v>
      </c>
      <c r="D303" s="51">
        <v>0.05</v>
      </c>
      <c r="E303" s="17">
        <f>G325</f>
        <v>20030</v>
      </c>
      <c r="F303" s="55">
        <f>D303*E303</f>
        <v>1001.5</v>
      </c>
      <c r="G303" s="1116"/>
    </row>
    <row r="304" spans="1:7" s="150" customFormat="1" ht="15.75" customHeight="1">
      <c r="A304" s="943"/>
      <c r="B304" s="1115"/>
      <c r="C304" s="51"/>
      <c r="D304" s="51"/>
      <c r="E304" s="51"/>
      <c r="F304" s="55"/>
      <c r="G304" s="57">
        <f>SUM(F302:F304)</f>
        <v>1001.5</v>
      </c>
    </row>
    <row r="305" spans="1:7" s="150" customFormat="1" ht="15.75" customHeight="1">
      <c r="A305" s="1114" t="s">
        <v>10</v>
      </c>
      <c r="B305" s="1115"/>
      <c r="C305" s="1115"/>
      <c r="D305" s="1115"/>
      <c r="E305" s="1115"/>
      <c r="F305" s="1115"/>
      <c r="G305" s="1116"/>
    </row>
    <row r="306" spans="1:7" s="150" customFormat="1" ht="24" customHeight="1">
      <c r="A306" s="1074" t="s">
        <v>2</v>
      </c>
      <c r="B306" s="1115"/>
      <c r="C306" s="53" t="s">
        <v>3</v>
      </c>
      <c r="D306" s="53" t="s">
        <v>4</v>
      </c>
      <c r="E306" s="53" t="s">
        <v>6</v>
      </c>
      <c r="F306" s="53" t="s">
        <v>11</v>
      </c>
      <c r="G306" s="1075" t="s">
        <v>8</v>
      </c>
    </row>
    <row r="307" spans="1:7" s="145" customFormat="1" ht="15.75" customHeight="1">
      <c r="A307" s="947" t="s">
        <v>612</v>
      </c>
      <c r="B307" s="1115"/>
      <c r="C307" s="16" t="s">
        <v>3</v>
      </c>
      <c r="D307" s="16">
        <v>20</v>
      </c>
      <c r="E307" s="17">
        <f>+'INSUMOS ELÉCTRICOS'!E126</f>
        <v>348.66999999999996</v>
      </c>
      <c r="F307" s="55">
        <f t="shared" ref="F307:F316" si="4">D307*E307</f>
        <v>6973.4</v>
      </c>
      <c r="G307" s="1075"/>
    </row>
    <row r="308" spans="1:7" s="145" customFormat="1" ht="15.75" customHeight="1">
      <c r="A308" s="947" t="s">
        <v>640</v>
      </c>
      <c r="B308" s="1115"/>
      <c r="C308" s="16" t="s">
        <v>3</v>
      </c>
      <c r="D308" s="16">
        <v>1</v>
      </c>
      <c r="E308" s="17">
        <f>+'INSUMOS ELÉCTRICOS'!E53</f>
        <v>20000</v>
      </c>
      <c r="F308" s="55">
        <f t="shared" si="4"/>
        <v>20000</v>
      </c>
      <c r="G308" s="1075"/>
    </row>
    <row r="309" spans="1:7" s="145" customFormat="1" ht="15.75" customHeight="1">
      <c r="A309" s="947" t="s">
        <v>641</v>
      </c>
      <c r="B309" s="1115"/>
      <c r="C309" s="16" t="s">
        <v>45</v>
      </c>
      <c r="D309" s="16">
        <v>4.2</v>
      </c>
      <c r="E309" s="17">
        <f>+'INSUMOS ELÉCTRICOS'!E26</f>
        <v>16580.666666666668</v>
      </c>
      <c r="F309" s="55">
        <f t="shared" si="4"/>
        <v>69638.8</v>
      </c>
      <c r="G309" s="1075"/>
    </row>
    <row r="310" spans="1:7" s="145" customFormat="1" ht="15.75" customHeight="1">
      <c r="A310" s="947" t="s">
        <v>613</v>
      </c>
      <c r="B310" s="1115"/>
      <c r="C310" s="16" t="s">
        <v>3</v>
      </c>
      <c r="D310" s="16">
        <v>3</v>
      </c>
      <c r="E310" s="17">
        <f>+'INSUMOS ELÉCTRICOS'!E24</f>
        <v>780</v>
      </c>
      <c r="F310" s="55">
        <f t="shared" si="4"/>
        <v>2340</v>
      </c>
      <c r="G310" s="1075"/>
    </row>
    <row r="311" spans="1:7" s="145" customFormat="1" ht="15.75" customHeight="1">
      <c r="A311" s="947" t="s">
        <v>615</v>
      </c>
      <c r="B311" s="1115"/>
      <c r="C311" s="16" t="s">
        <v>3</v>
      </c>
      <c r="D311" s="16">
        <v>1</v>
      </c>
      <c r="E311" s="17">
        <f>+'INSUMOS ELÉCTRICOS'!E28</f>
        <v>2946.44</v>
      </c>
      <c r="F311" s="55">
        <f t="shared" si="4"/>
        <v>2946.44</v>
      </c>
      <c r="G311" s="1075"/>
    </row>
    <row r="312" spans="1:7" s="145" customFormat="1" ht="15.75" customHeight="1">
      <c r="A312" s="947" t="s">
        <v>616</v>
      </c>
      <c r="B312" s="1115"/>
      <c r="C312" s="16" t="s">
        <v>3</v>
      </c>
      <c r="D312" s="16">
        <v>1</v>
      </c>
      <c r="E312" s="17">
        <f>+'INSUMOS ELÉCTRICOS'!E29</f>
        <v>4190</v>
      </c>
      <c r="F312" s="55">
        <f t="shared" si="4"/>
        <v>4190</v>
      </c>
      <c r="G312" s="1075"/>
    </row>
    <row r="313" spans="1:7" s="145" customFormat="1" ht="15.75" customHeight="1">
      <c r="A313" s="947" t="s">
        <v>614</v>
      </c>
      <c r="B313" s="1115"/>
      <c r="C313" s="16" t="s">
        <v>3</v>
      </c>
      <c r="D313" s="16">
        <v>0.5</v>
      </c>
      <c r="E313" s="17">
        <f>+'INSUMOS ELÉCTRICOS'!E25</f>
        <v>11900</v>
      </c>
      <c r="F313" s="55">
        <f t="shared" si="4"/>
        <v>5950</v>
      </c>
      <c r="G313" s="1075"/>
    </row>
    <row r="314" spans="1:7" s="145" customFormat="1" ht="15.75" customHeight="1">
      <c r="A314" s="947" t="s">
        <v>642</v>
      </c>
      <c r="B314" s="1115"/>
      <c r="C314" s="16" t="s">
        <v>45</v>
      </c>
      <c r="D314" s="16">
        <v>12.6</v>
      </c>
      <c r="E314" s="785">
        <v>2567.4964</v>
      </c>
      <c r="F314" s="55">
        <f t="shared" si="4"/>
        <v>32350.45464</v>
      </c>
      <c r="G314" s="1075"/>
    </row>
    <row r="315" spans="1:7" s="2" customFormat="1" ht="15.75" customHeight="1">
      <c r="A315" s="947" t="s">
        <v>643</v>
      </c>
      <c r="B315" s="1115"/>
      <c r="C315" s="16" t="s">
        <v>3</v>
      </c>
      <c r="D315" s="16">
        <v>3</v>
      </c>
      <c r="E315" s="17">
        <f>+'INSUMOS ELÉCTRICOS'!E121</f>
        <v>1189</v>
      </c>
      <c r="F315" s="55">
        <f t="shared" si="4"/>
        <v>3567</v>
      </c>
      <c r="G315" s="1075"/>
    </row>
    <row r="316" spans="1:7" s="145" customFormat="1" ht="15.75" customHeight="1">
      <c r="A316" s="947" t="s">
        <v>649</v>
      </c>
      <c r="B316" s="1115"/>
      <c r="C316" s="16" t="s">
        <v>3</v>
      </c>
      <c r="D316" s="16">
        <v>1</v>
      </c>
      <c r="E316" s="17">
        <f>+'INSUMOS ELÉCTRICOS'!E56</f>
        <v>34100</v>
      </c>
      <c r="F316" s="55">
        <f t="shared" si="4"/>
        <v>34100</v>
      </c>
      <c r="G316" s="1075"/>
    </row>
    <row r="317" spans="1:7" s="145" customFormat="1" ht="15" customHeight="1">
      <c r="A317" s="947"/>
      <c r="B317" s="1115"/>
      <c r="C317" s="16"/>
      <c r="D317" s="58"/>
      <c r="E317" s="17"/>
      <c r="F317" s="55"/>
      <c r="G317" s="57">
        <f>SUM(F306:F317)</f>
        <v>182056.09464000002</v>
      </c>
    </row>
    <row r="318" spans="1:7" s="145" customFormat="1" ht="15.75" customHeight="1">
      <c r="A318" s="1114" t="s">
        <v>15</v>
      </c>
      <c r="B318" s="1115"/>
      <c r="C318" s="1115"/>
      <c r="D318" s="1115"/>
      <c r="E318" s="1115"/>
      <c r="F318" s="1115"/>
      <c r="G318" s="1116"/>
    </row>
    <row r="319" spans="1:7" s="145" customFormat="1" ht="24" customHeight="1">
      <c r="A319" s="1074" t="s">
        <v>2</v>
      </c>
      <c r="B319" s="1115"/>
      <c r="C319" s="53" t="s">
        <v>3</v>
      </c>
      <c r="D319" s="53" t="s">
        <v>4</v>
      </c>
      <c r="E319" s="53" t="s">
        <v>6</v>
      </c>
      <c r="F319" s="53" t="s">
        <v>11</v>
      </c>
      <c r="G319" s="1075" t="s">
        <v>8</v>
      </c>
    </row>
    <row r="320" spans="1:7" s="145" customFormat="1" ht="15.6" customHeight="1">
      <c r="A320" s="943" t="s">
        <v>173</v>
      </c>
      <c r="B320" s="1115"/>
      <c r="C320" s="16" t="s">
        <v>3</v>
      </c>
      <c r="D320" s="32">
        <v>0.01</v>
      </c>
      <c r="E320" s="13">
        <f>G317</f>
        <v>182056.09464000002</v>
      </c>
      <c r="F320" s="55">
        <f>+D320*E320</f>
        <v>1820.5609464000004</v>
      </c>
      <c r="G320" s="1116"/>
    </row>
    <row r="321" spans="1:7" s="145" customFormat="1" ht="15.75" customHeight="1">
      <c r="A321" s="151"/>
      <c r="B321" s="152"/>
      <c r="C321" s="152"/>
      <c r="D321" s="152"/>
      <c r="E321" s="152"/>
      <c r="F321" s="152"/>
      <c r="G321" s="57">
        <f>SUM(F320:F321)</f>
        <v>1820.5609464000004</v>
      </c>
    </row>
    <row r="322" spans="1:7" s="145" customFormat="1" ht="13.8">
      <c r="A322" s="1114" t="s">
        <v>19</v>
      </c>
      <c r="B322" s="1115"/>
      <c r="C322" s="1115"/>
      <c r="D322" s="1115"/>
      <c r="E322" s="1115"/>
      <c r="F322" s="1115"/>
      <c r="G322" s="1116"/>
    </row>
    <row r="323" spans="1:7" s="145" customFormat="1" ht="15.75" customHeight="1">
      <c r="A323" s="1074" t="s">
        <v>2</v>
      </c>
      <c r="B323" s="1115"/>
      <c r="C323" s="53" t="s">
        <v>3</v>
      </c>
      <c r="D323" s="53" t="s">
        <v>4</v>
      </c>
      <c r="E323" s="53" t="s">
        <v>6</v>
      </c>
      <c r="F323" s="53" t="s">
        <v>11</v>
      </c>
      <c r="G323" s="1075" t="s">
        <v>8</v>
      </c>
    </row>
    <row r="324" spans="1:7" s="145" customFormat="1" ht="15.75" customHeight="1">
      <c r="A324" s="978" t="s">
        <v>1256</v>
      </c>
      <c r="B324" s="979"/>
      <c r="C324" s="13" t="s">
        <v>1245</v>
      </c>
      <c r="D324" s="32">
        <v>1</v>
      </c>
      <c r="E324" s="13">
        <v>20030</v>
      </c>
      <c r="F324" s="55">
        <f>+D324*E324</f>
        <v>20030</v>
      </c>
      <c r="G324" s="1116"/>
    </row>
    <row r="325" spans="1:7" s="145" customFormat="1" ht="15.75" customHeight="1">
      <c r="A325" s="155"/>
      <c r="B325" s="156"/>
      <c r="C325" s="156"/>
      <c r="D325" s="156"/>
      <c r="E325" s="156"/>
      <c r="F325" s="156"/>
      <c r="G325" s="57">
        <f>SUM(F323:F325)</f>
        <v>20030</v>
      </c>
    </row>
    <row r="326" spans="1:7" s="145" customFormat="1" ht="15.75" customHeight="1">
      <c r="A326" s="1119" t="s">
        <v>25</v>
      </c>
      <c r="B326" s="1120"/>
      <c r="C326" s="1120"/>
      <c r="D326" s="1120"/>
      <c r="E326" s="1120"/>
      <c r="F326" s="1120"/>
      <c r="G326" s="1121"/>
    </row>
    <row r="327" spans="1:7" s="145" customFormat="1" ht="15.75" customHeight="1">
      <c r="A327" s="1122"/>
      <c r="B327" s="1120"/>
      <c r="C327" s="1120"/>
      <c r="D327" s="1120"/>
      <c r="E327" s="1120"/>
      <c r="F327" s="1120"/>
      <c r="G327" s="157">
        <f>G325+G321+G317+G304</f>
        <v>204908.15558640001</v>
      </c>
    </row>
    <row r="328" spans="1:7" s="145" customFormat="1" ht="15.75" customHeight="1">
      <c r="A328" s="158"/>
      <c r="B328" s="159"/>
      <c r="C328" s="159"/>
      <c r="D328" s="159"/>
      <c r="E328" s="159"/>
      <c r="F328" s="159"/>
      <c r="G328" s="160"/>
    </row>
    <row r="329" spans="1:7" s="150" customFormat="1" ht="15.75" customHeight="1">
      <c r="A329" s="1123" t="s">
        <v>1</v>
      </c>
      <c r="B329" s="1120"/>
      <c r="C329" s="953" t="s">
        <v>594</v>
      </c>
      <c r="D329" s="1125"/>
      <c r="E329" s="1125"/>
      <c r="F329" s="1125"/>
      <c r="G329" s="1126"/>
    </row>
    <row r="330" spans="1:7" s="145" customFormat="1" ht="24.6" customHeight="1">
      <c r="A330" s="1124"/>
      <c r="B330" s="1120"/>
      <c r="C330" s="1125"/>
      <c r="D330" s="1125"/>
      <c r="E330" s="1125"/>
      <c r="F330" s="1125"/>
      <c r="G330" s="1126"/>
    </row>
    <row r="331" spans="1:7" s="145" customFormat="1" ht="15.75" customHeight="1">
      <c r="A331" s="1124"/>
      <c r="B331" s="1120"/>
      <c r="C331" s="1127" t="s">
        <v>637</v>
      </c>
      <c r="D331" s="1120"/>
      <c r="E331" s="1120"/>
      <c r="F331" s="1120"/>
      <c r="G331" s="1121"/>
    </row>
    <row r="332" spans="1:7" s="145" customFormat="1" ht="15.75" customHeight="1">
      <c r="A332" s="1124"/>
      <c r="B332" s="1120"/>
      <c r="C332" s="1128" t="s">
        <v>2</v>
      </c>
      <c r="D332" s="1120"/>
      <c r="E332" s="1120"/>
      <c r="F332" s="146" t="s">
        <v>3</v>
      </c>
      <c r="G332" s="147" t="s">
        <v>4</v>
      </c>
    </row>
    <row r="333" spans="1:7" s="145" customFormat="1" ht="96" customHeight="1">
      <c r="A333" s="1073" t="s">
        <v>650</v>
      </c>
      <c r="B333" s="1115"/>
      <c r="C333" s="980" t="s">
        <v>651</v>
      </c>
      <c r="D333" s="1115"/>
      <c r="E333" s="1115"/>
      <c r="F333" s="16" t="s">
        <v>28</v>
      </c>
      <c r="G333" s="52">
        <v>1</v>
      </c>
    </row>
    <row r="334" spans="1:7" s="145" customFormat="1" ht="15.75" customHeight="1">
      <c r="A334" s="1130" t="s">
        <v>5</v>
      </c>
      <c r="B334" s="1131"/>
      <c r="C334" s="1131"/>
      <c r="D334" s="1131"/>
      <c r="E334" s="1131"/>
      <c r="F334" s="1131"/>
      <c r="G334" s="1132"/>
    </row>
    <row r="335" spans="1:7" s="145" customFormat="1" ht="15.75" customHeight="1">
      <c r="A335" s="1027" t="s">
        <v>2</v>
      </c>
      <c r="B335" s="1028"/>
      <c r="C335" s="53" t="s">
        <v>3</v>
      </c>
      <c r="D335" s="53" t="s">
        <v>4</v>
      </c>
      <c r="E335" s="53" t="s">
        <v>6</v>
      </c>
      <c r="F335" s="53" t="s">
        <v>7</v>
      </c>
      <c r="G335" s="1029" t="s">
        <v>8</v>
      </c>
    </row>
    <row r="336" spans="1:7" s="150" customFormat="1" ht="15.75" customHeight="1">
      <c r="A336" s="1015" t="s">
        <v>167</v>
      </c>
      <c r="B336" s="1016"/>
      <c r="C336" s="51" t="s">
        <v>3</v>
      </c>
      <c r="D336" s="51">
        <v>0.05</v>
      </c>
      <c r="E336" s="17">
        <f>G358</f>
        <v>20030</v>
      </c>
      <c r="F336" s="55">
        <f>D336*E336</f>
        <v>1001.5</v>
      </c>
      <c r="G336" s="1031"/>
    </row>
    <row r="337" spans="1:7" s="150" customFormat="1" ht="15.75" customHeight="1">
      <c r="A337" s="1019"/>
      <c r="B337" s="1020"/>
      <c r="C337" s="51"/>
      <c r="D337" s="51"/>
      <c r="E337" s="51"/>
      <c r="F337" s="55"/>
      <c r="G337" s="57">
        <f>SUM(F335:F337)</f>
        <v>1001.5</v>
      </c>
    </row>
    <row r="338" spans="1:7" s="145" customFormat="1" ht="15.75" customHeight="1">
      <c r="A338" s="1130" t="s">
        <v>10</v>
      </c>
      <c r="B338" s="1131"/>
      <c r="C338" s="1131"/>
      <c r="D338" s="1131"/>
      <c r="E338" s="1131"/>
      <c r="F338" s="1131"/>
      <c r="G338" s="1132"/>
    </row>
    <row r="339" spans="1:7" s="150" customFormat="1" ht="24" customHeight="1">
      <c r="A339" s="1027" t="s">
        <v>2</v>
      </c>
      <c r="B339" s="1028"/>
      <c r="C339" s="53" t="s">
        <v>3</v>
      </c>
      <c r="D339" s="53" t="s">
        <v>4</v>
      </c>
      <c r="E339" s="53" t="s">
        <v>6</v>
      </c>
      <c r="F339" s="53" t="s">
        <v>11</v>
      </c>
      <c r="G339" s="1029" t="s">
        <v>8</v>
      </c>
    </row>
    <row r="340" spans="1:7" s="145" customFormat="1" ht="15.75" customHeight="1">
      <c r="A340" s="1015" t="s">
        <v>612</v>
      </c>
      <c r="B340" s="1016"/>
      <c r="C340" s="16" t="s">
        <v>3</v>
      </c>
      <c r="D340" s="16">
        <v>20</v>
      </c>
      <c r="E340" s="17">
        <f>+'INSUMOS ELÉCTRICOS'!E126</f>
        <v>348.66999999999996</v>
      </c>
      <c r="F340" s="55">
        <f t="shared" ref="F340:F349" si="5">D340*E340</f>
        <v>6973.4</v>
      </c>
      <c r="G340" s="1030"/>
    </row>
    <row r="341" spans="1:7" s="145" customFormat="1" ht="15.75" customHeight="1">
      <c r="A341" s="1015" t="s">
        <v>640</v>
      </c>
      <c r="B341" s="1016"/>
      <c r="C341" s="16" t="s">
        <v>3</v>
      </c>
      <c r="D341" s="16">
        <v>1</v>
      </c>
      <c r="E341" s="17">
        <f>+'INSUMOS ELÉCTRICOS'!E53</f>
        <v>20000</v>
      </c>
      <c r="F341" s="55">
        <f t="shared" si="5"/>
        <v>20000</v>
      </c>
      <c r="G341" s="1030"/>
    </row>
    <row r="342" spans="1:7" s="145" customFormat="1" ht="15.75" customHeight="1">
      <c r="A342" s="1015" t="s">
        <v>641</v>
      </c>
      <c r="B342" s="1016"/>
      <c r="C342" s="16" t="s">
        <v>45</v>
      </c>
      <c r="D342" s="16">
        <v>4.2</v>
      </c>
      <c r="E342" s="17">
        <f>+'INSUMOS ELÉCTRICOS'!E26</f>
        <v>16580.666666666668</v>
      </c>
      <c r="F342" s="55">
        <f t="shared" si="5"/>
        <v>69638.8</v>
      </c>
      <c r="G342" s="1030"/>
    </row>
    <row r="343" spans="1:7" s="145" customFormat="1" ht="15.75" customHeight="1">
      <c r="A343" s="1015" t="s">
        <v>613</v>
      </c>
      <c r="B343" s="1016"/>
      <c r="C343" s="16" t="s">
        <v>3</v>
      </c>
      <c r="D343" s="16">
        <v>3</v>
      </c>
      <c r="E343" s="17">
        <f>+'INSUMOS ELÉCTRICOS'!E24</f>
        <v>780</v>
      </c>
      <c r="F343" s="55">
        <f t="shared" si="5"/>
        <v>2340</v>
      </c>
      <c r="G343" s="1030"/>
    </row>
    <row r="344" spans="1:7" s="2" customFormat="1" ht="15.75" customHeight="1">
      <c r="A344" s="1015" t="s">
        <v>615</v>
      </c>
      <c r="B344" s="1016"/>
      <c r="C344" s="16" t="s">
        <v>3</v>
      </c>
      <c r="D344" s="16">
        <v>1</v>
      </c>
      <c r="E344" s="17">
        <f>+'INSUMOS ELÉCTRICOS'!E28</f>
        <v>2946.44</v>
      </c>
      <c r="F344" s="55">
        <f t="shared" si="5"/>
        <v>2946.44</v>
      </c>
      <c r="G344" s="1030"/>
    </row>
    <row r="345" spans="1:7" s="145" customFormat="1" ht="15.75" customHeight="1">
      <c r="A345" s="1015" t="s">
        <v>616</v>
      </c>
      <c r="B345" s="1016"/>
      <c r="C345" s="16" t="s">
        <v>3</v>
      </c>
      <c r="D345" s="16">
        <v>1</v>
      </c>
      <c r="E345" s="17">
        <f>+'INSUMOS ELÉCTRICOS'!E29</f>
        <v>4190</v>
      </c>
      <c r="F345" s="55">
        <f t="shared" si="5"/>
        <v>4190</v>
      </c>
      <c r="G345" s="1030"/>
    </row>
    <row r="346" spans="1:7" s="145" customFormat="1" ht="15.75" customHeight="1">
      <c r="A346" s="1015" t="s">
        <v>614</v>
      </c>
      <c r="B346" s="1016"/>
      <c r="C346" s="16" t="s">
        <v>3</v>
      </c>
      <c r="D346" s="16">
        <v>0.5</v>
      </c>
      <c r="E346" s="17">
        <f>+'INSUMOS ELÉCTRICOS'!E25</f>
        <v>11900</v>
      </c>
      <c r="F346" s="55">
        <f t="shared" si="5"/>
        <v>5950</v>
      </c>
      <c r="G346" s="1030"/>
    </row>
    <row r="347" spans="1:7" s="145" customFormat="1" ht="15.75" customHeight="1">
      <c r="A347" s="1015" t="s">
        <v>2478</v>
      </c>
      <c r="B347" s="1016"/>
      <c r="C347" s="16" t="s">
        <v>45</v>
      </c>
      <c r="D347" s="16">
        <v>12.6</v>
      </c>
      <c r="E347" s="785">
        <v>2567.4964</v>
      </c>
      <c r="F347" s="55">
        <f t="shared" si="5"/>
        <v>32350.45464</v>
      </c>
      <c r="G347" s="1030"/>
    </row>
    <row r="348" spans="1:7" s="2" customFormat="1" ht="15.75" customHeight="1">
      <c r="A348" s="1015" t="s">
        <v>643</v>
      </c>
      <c r="B348" s="1016"/>
      <c r="C348" s="16" t="s">
        <v>3</v>
      </c>
      <c r="D348" s="16">
        <v>3</v>
      </c>
      <c r="E348" s="17">
        <f>+'INSUMOS ELÉCTRICOS'!E121</f>
        <v>1189</v>
      </c>
      <c r="F348" s="55">
        <f t="shared" si="5"/>
        <v>3567</v>
      </c>
      <c r="G348" s="1030"/>
    </row>
    <row r="349" spans="1:7" s="145" customFormat="1" ht="15.75" customHeight="1">
      <c r="A349" s="1015" t="s">
        <v>644</v>
      </c>
      <c r="B349" s="1016"/>
      <c r="C349" s="16" t="s">
        <v>3</v>
      </c>
      <c r="D349" s="16">
        <v>1</v>
      </c>
      <c r="E349" s="17">
        <f>+'INSUMOS ELÉCTRICOS'!E55</f>
        <v>9100</v>
      </c>
      <c r="F349" s="55">
        <f t="shared" si="5"/>
        <v>9100</v>
      </c>
      <c r="G349" s="1030"/>
    </row>
    <row r="350" spans="1:7" s="145" customFormat="1" ht="15" customHeight="1">
      <c r="A350" s="1015"/>
      <c r="B350" s="1016"/>
      <c r="C350" s="16"/>
      <c r="D350" s="58"/>
      <c r="E350" s="17"/>
      <c r="F350" s="55"/>
      <c r="G350" s="57">
        <f>SUM(F339:F350)</f>
        <v>157056.09464000002</v>
      </c>
    </row>
    <row r="351" spans="1:7" s="145" customFormat="1" ht="15.75" customHeight="1">
      <c r="A351" s="1130" t="s">
        <v>15</v>
      </c>
      <c r="B351" s="1131"/>
      <c r="C351" s="1131"/>
      <c r="D351" s="1131"/>
      <c r="E351" s="1131"/>
      <c r="F351" s="1131"/>
      <c r="G351" s="1132"/>
    </row>
    <row r="352" spans="1:7" s="145" customFormat="1" ht="24" customHeight="1">
      <c r="A352" s="1027" t="s">
        <v>2</v>
      </c>
      <c r="B352" s="1028"/>
      <c r="C352" s="53" t="s">
        <v>3</v>
      </c>
      <c r="D352" s="53" t="s">
        <v>4</v>
      </c>
      <c r="E352" s="53" t="s">
        <v>6</v>
      </c>
      <c r="F352" s="53" t="s">
        <v>11</v>
      </c>
      <c r="G352" s="1029" t="s">
        <v>8</v>
      </c>
    </row>
    <row r="353" spans="1:7" s="145" customFormat="1" ht="15.6" customHeight="1">
      <c r="A353" s="1019" t="s">
        <v>173</v>
      </c>
      <c r="B353" s="1020"/>
      <c r="C353" s="16" t="s">
        <v>3</v>
      </c>
      <c r="D353" s="16">
        <v>0.01</v>
      </c>
      <c r="E353" s="17">
        <f>G350</f>
        <v>157056.09464000002</v>
      </c>
      <c r="F353" s="55">
        <f>D353*E353</f>
        <v>1570.5609464000004</v>
      </c>
      <c r="G353" s="1031"/>
    </row>
    <row r="354" spans="1:7" s="145" customFormat="1" ht="15.75" customHeight="1">
      <c r="A354" s="151"/>
      <c r="B354" s="152"/>
      <c r="C354" s="152"/>
      <c r="D354" s="152"/>
      <c r="E354" s="152"/>
      <c r="F354" s="152"/>
      <c r="G354" s="57">
        <f>SUM(F353:F354)</f>
        <v>1570.5609464000004</v>
      </c>
    </row>
    <row r="355" spans="1:7" s="145" customFormat="1" ht="13.8">
      <c r="A355" s="1130" t="s">
        <v>19</v>
      </c>
      <c r="B355" s="1131"/>
      <c r="C355" s="1131"/>
      <c r="D355" s="1131"/>
      <c r="E355" s="1131"/>
      <c r="F355" s="1131"/>
      <c r="G355" s="1132"/>
    </row>
    <row r="356" spans="1:7" s="145" customFormat="1" ht="15.75" customHeight="1">
      <c r="A356" s="469" t="s">
        <v>20</v>
      </c>
      <c r="B356" s="53" t="s">
        <v>21</v>
      </c>
      <c r="C356" s="53" t="s">
        <v>22</v>
      </c>
      <c r="D356" s="53" t="s">
        <v>23</v>
      </c>
      <c r="E356" s="53" t="s">
        <v>24</v>
      </c>
      <c r="F356" s="53" t="s">
        <v>11</v>
      </c>
      <c r="G356" s="1029" t="s">
        <v>8</v>
      </c>
    </row>
    <row r="357" spans="1:7" s="145" customFormat="1" ht="15.75" customHeight="1">
      <c r="A357" s="978" t="s">
        <v>1256</v>
      </c>
      <c r="B357" s="979"/>
      <c r="C357" s="13" t="s">
        <v>1245</v>
      </c>
      <c r="D357" s="32">
        <v>1</v>
      </c>
      <c r="E357" s="13">
        <v>20030</v>
      </c>
      <c r="F357" s="55">
        <f>+D357*E357</f>
        <v>20030</v>
      </c>
      <c r="G357" s="1031"/>
    </row>
    <row r="358" spans="1:7" s="145" customFormat="1" ht="15.75" customHeight="1">
      <c r="A358" s="155"/>
      <c r="B358" s="156"/>
      <c r="C358" s="156"/>
      <c r="D358" s="156"/>
      <c r="E358" s="156"/>
      <c r="F358" s="156"/>
      <c r="G358" s="57">
        <f>SUM(F356:F358)</f>
        <v>20030</v>
      </c>
    </row>
    <row r="359" spans="1:7" s="145" customFormat="1" ht="15.75" customHeight="1">
      <c r="A359" s="1119" t="s">
        <v>25</v>
      </c>
      <c r="B359" s="1120"/>
      <c r="C359" s="1120"/>
      <c r="D359" s="1120"/>
      <c r="E359" s="1120"/>
      <c r="F359" s="1120"/>
      <c r="G359" s="1121"/>
    </row>
    <row r="360" spans="1:7" s="145" customFormat="1" ht="15.75" customHeight="1">
      <c r="A360" s="1122"/>
      <c r="B360" s="1120"/>
      <c r="C360" s="1120"/>
      <c r="D360" s="1120"/>
      <c r="E360" s="1120"/>
      <c r="F360" s="1120"/>
      <c r="G360" s="157">
        <f>G358+G354+G350+G337</f>
        <v>179658.15558640001</v>
      </c>
    </row>
    <row r="361" spans="1:7" s="145" customFormat="1" ht="15.75" customHeight="1">
      <c r="A361" s="158"/>
      <c r="B361" s="159"/>
      <c r="C361" s="159"/>
      <c r="D361" s="159"/>
      <c r="E361" s="159"/>
      <c r="F361" s="159"/>
      <c r="G361" s="160"/>
    </row>
    <row r="362" spans="1:7" s="150" customFormat="1" ht="15.75" customHeight="1">
      <c r="A362" s="1123" t="s">
        <v>1</v>
      </c>
      <c r="B362" s="1120"/>
      <c r="C362" s="953" t="s">
        <v>594</v>
      </c>
      <c r="D362" s="1125"/>
      <c r="E362" s="1125"/>
      <c r="F362" s="1125"/>
      <c r="G362" s="1126"/>
    </row>
    <row r="363" spans="1:7" s="145" customFormat="1" ht="24.6" customHeight="1">
      <c r="A363" s="1124"/>
      <c r="B363" s="1120"/>
      <c r="C363" s="1125"/>
      <c r="D363" s="1125"/>
      <c r="E363" s="1125"/>
      <c r="F363" s="1125"/>
      <c r="G363" s="1126"/>
    </row>
    <row r="364" spans="1:7" s="145" customFormat="1" ht="15.75" customHeight="1">
      <c r="A364" s="1124"/>
      <c r="B364" s="1120"/>
      <c r="C364" s="1127" t="s">
        <v>637</v>
      </c>
      <c r="D364" s="1120"/>
      <c r="E364" s="1120"/>
      <c r="F364" s="1120"/>
      <c r="G364" s="1121"/>
    </row>
    <row r="365" spans="1:7" s="145" customFormat="1" ht="15.75" customHeight="1">
      <c r="A365" s="1124"/>
      <c r="B365" s="1120"/>
      <c r="C365" s="1128" t="s">
        <v>2</v>
      </c>
      <c r="D365" s="1120"/>
      <c r="E365" s="1120"/>
      <c r="F365" s="146" t="s">
        <v>3</v>
      </c>
      <c r="G365" s="147" t="s">
        <v>4</v>
      </c>
    </row>
    <row r="366" spans="1:7" s="145" customFormat="1" ht="97.5" customHeight="1">
      <c r="A366" s="1073" t="s">
        <v>652</v>
      </c>
      <c r="B366" s="1115"/>
      <c r="C366" s="980" t="s">
        <v>2770</v>
      </c>
      <c r="D366" s="1115"/>
      <c r="E366" s="1115"/>
      <c r="F366" s="16" t="s">
        <v>28</v>
      </c>
      <c r="G366" s="52">
        <v>1</v>
      </c>
    </row>
    <row r="367" spans="1:7" s="145" customFormat="1" ht="15.75" customHeight="1">
      <c r="A367" s="1114" t="s">
        <v>5</v>
      </c>
      <c r="B367" s="1115"/>
      <c r="C367" s="1115"/>
      <c r="D367" s="1115"/>
      <c r="E367" s="1115"/>
      <c r="F367" s="1115"/>
      <c r="G367" s="1116"/>
    </row>
    <row r="368" spans="1:7" s="145" customFormat="1" ht="15.75" customHeight="1">
      <c r="A368" s="1074" t="s">
        <v>2</v>
      </c>
      <c r="B368" s="1115"/>
      <c r="C368" s="53" t="s">
        <v>3</v>
      </c>
      <c r="D368" s="53" t="s">
        <v>4</v>
      </c>
      <c r="E368" s="53" t="s">
        <v>6</v>
      </c>
      <c r="F368" s="53" t="s">
        <v>7</v>
      </c>
      <c r="G368" s="1075" t="s">
        <v>8</v>
      </c>
    </row>
    <row r="369" spans="1:7" s="150" customFormat="1" ht="15.75" customHeight="1">
      <c r="A369" s="947" t="s">
        <v>167</v>
      </c>
      <c r="B369" s="1115"/>
      <c r="C369" s="51" t="s">
        <v>3</v>
      </c>
      <c r="D369" s="51">
        <v>0.05</v>
      </c>
      <c r="E369" s="17">
        <f>G385</f>
        <v>20030</v>
      </c>
      <c r="F369" s="55">
        <f>D369*E369</f>
        <v>1001.5</v>
      </c>
      <c r="G369" s="1116"/>
    </row>
    <row r="370" spans="1:7" s="150" customFormat="1" ht="15.75" customHeight="1">
      <c r="A370" s="943"/>
      <c r="B370" s="1115"/>
      <c r="C370" s="51"/>
      <c r="D370" s="51"/>
      <c r="E370" s="51"/>
      <c r="F370" s="55"/>
      <c r="G370" s="57">
        <f>SUM(F368:F370)</f>
        <v>1001.5</v>
      </c>
    </row>
    <row r="371" spans="1:7" s="150" customFormat="1" ht="15.75" customHeight="1">
      <c r="A371" s="1114" t="s">
        <v>10</v>
      </c>
      <c r="B371" s="1115"/>
      <c r="C371" s="1115"/>
      <c r="D371" s="1115"/>
      <c r="E371" s="1115"/>
      <c r="F371" s="1115"/>
      <c r="G371" s="1116"/>
    </row>
    <row r="372" spans="1:7" s="150" customFormat="1" ht="24" customHeight="1">
      <c r="A372" s="1074" t="s">
        <v>2</v>
      </c>
      <c r="B372" s="1115"/>
      <c r="C372" s="53" t="s">
        <v>3</v>
      </c>
      <c r="D372" s="53" t="s">
        <v>4</v>
      </c>
      <c r="E372" s="53" t="s">
        <v>6</v>
      </c>
      <c r="F372" s="53" t="s">
        <v>11</v>
      </c>
      <c r="G372" s="1075" t="s">
        <v>8</v>
      </c>
    </row>
    <row r="373" spans="1:7" s="145" customFormat="1" ht="15.75" customHeight="1">
      <c r="A373" s="947" t="s">
        <v>642</v>
      </c>
      <c r="B373" s="1115"/>
      <c r="C373" s="16" t="s">
        <v>622</v>
      </c>
      <c r="D373" s="16">
        <v>12.6</v>
      </c>
      <c r="E373" s="17">
        <v>2567.4964</v>
      </c>
      <c r="F373" s="55">
        <f>D373*E373</f>
        <v>32350.45464</v>
      </c>
      <c r="G373" s="1075"/>
    </row>
    <row r="374" spans="1:7" s="145" customFormat="1" ht="15.75" customHeight="1">
      <c r="A374" s="947" t="s">
        <v>644</v>
      </c>
      <c r="B374" s="1115"/>
      <c r="C374" s="16" t="s">
        <v>3</v>
      </c>
      <c r="D374" s="16">
        <v>1</v>
      </c>
      <c r="E374" s="17">
        <f>+'INSUMOS ELÉCTRICOS'!E55</f>
        <v>9100</v>
      </c>
      <c r="F374" s="55">
        <f>D374*E374</f>
        <v>9100</v>
      </c>
      <c r="G374" s="1075"/>
    </row>
    <row r="375" spans="1:7" s="145" customFormat="1" ht="15.75" customHeight="1">
      <c r="A375" s="947" t="s">
        <v>654</v>
      </c>
      <c r="B375" s="1115"/>
      <c r="C375" s="16" t="s">
        <v>3</v>
      </c>
      <c r="D375" s="16">
        <v>3</v>
      </c>
      <c r="E375" s="17">
        <f>+'INSUMOS ELÉCTRICOS'!E99</f>
        <v>1699</v>
      </c>
      <c r="F375" s="55">
        <f>D375*E375</f>
        <v>5097</v>
      </c>
      <c r="G375" s="1075"/>
    </row>
    <row r="376" spans="1:7" s="145" customFormat="1" ht="15.75" customHeight="1">
      <c r="A376" s="947" t="s">
        <v>655</v>
      </c>
      <c r="B376" s="1115"/>
      <c r="C376" s="16" t="s">
        <v>3</v>
      </c>
      <c r="D376" s="16">
        <v>1</v>
      </c>
      <c r="E376" s="17">
        <f>+'INSUMOS ELÉCTRICOS'!E58</f>
        <v>15900</v>
      </c>
      <c r="F376" s="55">
        <f>D376*E376</f>
        <v>15900</v>
      </c>
      <c r="G376" s="1075"/>
    </row>
    <row r="377" spans="1:7" s="145" customFormat="1" ht="15.75" customHeight="1">
      <c r="A377" s="947"/>
      <c r="B377" s="1115"/>
      <c r="C377" s="16"/>
      <c r="D377" s="58"/>
      <c r="E377" s="17"/>
      <c r="F377" s="55"/>
      <c r="G377" s="57">
        <f>SUM(F372:F377)</f>
        <v>62447.454639999996</v>
      </c>
    </row>
    <row r="378" spans="1:7" s="145" customFormat="1" ht="15.75" customHeight="1">
      <c r="A378" s="1114" t="s">
        <v>15</v>
      </c>
      <c r="B378" s="1115"/>
      <c r="C378" s="1115"/>
      <c r="D378" s="1115"/>
      <c r="E378" s="1115"/>
      <c r="F378" s="1115"/>
      <c r="G378" s="1116"/>
    </row>
    <row r="379" spans="1:7" s="2" customFormat="1" ht="15.75" customHeight="1">
      <c r="A379" s="1074" t="s">
        <v>2</v>
      </c>
      <c r="B379" s="1115"/>
      <c r="C379" s="53" t="s">
        <v>3</v>
      </c>
      <c r="D379" s="53" t="s">
        <v>4</v>
      </c>
      <c r="E379" s="53" t="s">
        <v>6</v>
      </c>
      <c r="F379" s="53" t="s">
        <v>11</v>
      </c>
      <c r="G379" s="1075" t="s">
        <v>8</v>
      </c>
    </row>
    <row r="380" spans="1:7" s="145" customFormat="1" ht="15.75" customHeight="1">
      <c r="A380" s="943" t="s">
        <v>173</v>
      </c>
      <c r="B380" s="1115"/>
      <c r="C380" s="16" t="s">
        <v>3</v>
      </c>
      <c r="D380" s="16">
        <v>0.02</v>
      </c>
      <c r="E380" s="17">
        <f>G377</f>
        <v>62447.454639999996</v>
      </c>
      <c r="F380" s="55">
        <f>D380*E380</f>
        <v>1248.9490928</v>
      </c>
      <c r="G380" s="1116"/>
    </row>
    <row r="381" spans="1:7" s="145" customFormat="1" ht="15.75" customHeight="1">
      <c r="A381" s="151"/>
      <c r="B381" s="152"/>
      <c r="C381" s="152"/>
      <c r="D381" s="152"/>
      <c r="E381" s="152"/>
      <c r="F381" s="152"/>
      <c r="G381" s="57">
        <f>SUM(F380:F381)</f>
        <v>1248.9490928</v>
      </c>
    </row>
    <row r="382" spans="1:7" s="145" customFormat="1" ht="15.75" customHeight="1">
      <c r="A382" s="1114" t="s">
        <v>19</v>
      </c>
      <c r="B382" s="1115"/>
      <c r="C382" s="1115"/>
      <c r="D382" s="1115"/>
      <c r="E382" s="1115"/>
      <c r="F382" s="1115"/>
      <c r="G382" s="1116"/>
    </row>
    <row r="383" spans="1:7" s="145" customFormat="1" ht="15" customHeight="1">
      <c r="A383" s="1074" t="s">
        <v>2</v>
      </c>
      <c r="B383" s="1115"/>
      <c r="C383" s="53" t="s">
        <v>3</v>
      </c>
      <c r="D383" s="53" t="s">
        <v>4</v>
      </c>
      <c r="E383" s="53" t="s">
        <v>6</v>
      </c>
      <c r="F383" s="53" t="s">
        <v>11</v>
      </c>
      <c r="G383" s="1075" t="s">
        <v>8</v>
      </c>
    </row>
    <row r="384" spans="1:7" s="145" customFormat="1" ht="15.75" customHeight="1">
      <c r="A384" s="978" t="s">
        <v>1256</v>
      </c>
      <c r="B384" s="979"/>
      <c r="C384" s="13" t="s">
        <v>1245</v>
      </c>
      <c r="D384" s="32">
        <v>1</v>
      </c>
      <c r="E384" s="13">
        <v>20030</v>
      </c>
      <c r="F384" s="55">
        <f>+D384*E384</f>
        <v>20030</v>
      </c>
      <c r="G384" s="1116"/>
    </row>
    <row r="385" spans="1:7" s="145" customFormat="1" ht="24" customHeight="1">
      <c r="A385" s="155"/>
      <c r="B385" s="156"/>
      <c r="C385" s="156"/>
      <c r="D385" s="156"/>
      <c r="E385" s="156"/>
      <c r="F385" s="156"/>
      <c r="G385" s="57">
        <f>SUM(F383:F385)</f>
        <v>20030</v>
      </c>
    </row>
    <row r="386" spans="1:7" s="145" customFormat="1" ht="15.6" customHeight="1">
      <c r="A386" s="1119" t="s">
        <v>25</v>
      </c>
      <c r="B386" s="1120"/>
      <c r="C386" s="1120"/>
      <c r="D386" s="1120"/>
      <c r="E386" s="1120"/>
      <c r="F386" s="1120"/>
      <c r="G386" s="1121"/>
    </row>
    <row r="387" spans="1:7" s="145" customFormat="1" ht="15.75" customHeight="1">
      <c r="A387" s="1122"/>
      <c r="B387" s="1120"/>
      <c r="C387" s="1120"/>
      <c r="D387" s="1120"/>
      <c r="E387" s="1120"/>
      <c r="F387" s="1120"/>
      <c r="G387" s="157">
        <f>G385+G381+G377+G370</f>
        <v>84727.903732799998</v>
      </c>
    </row>
    <row r="388" spans="1:7" s="145" customFormat="1" ht="13.8">
      <c r="A388" s="158"/>
      <c r="B388" s="159"/>
      <c r="C388" s="159"/>
      <c r="D388" s="159"/>
      <c r="E388" s="159"/>
      <c r="F388" s="159"/>
      <c r="G388" s="160"/>
    </row>
    <row r="389" spans="1:7" s="145" customFormat="1" ht="15.75" customHeight="1">
      <c r="A389" s="1123" t="s">
        <v>1</v>
      </c>
      <c r="B389" s="1120"/>
      <c r="C389" s="953" t="s">
        <v>594</v>
      </c>
      <c r="D389" s="1125"/>
      <c r="E389" s="1125"/>
      <c r="F389" s="1125"/>
      <c r="G389" s="1126"/>
    </row>
    <row r="390" spans="1:7" s="145" customFormat="1" ht="15.75" customHeight="1">
      <c r="A390" s="1124"/>
      <c r="B390" s="1120"/>
      <c r="C390" s="1125"/>
      <c r="D390" s="1125"/>
      <c r="E390" s="1125"/>
      <c r="F390" s="1125"/>
      <c r="G390" s="1126"/>
    </row>
    <row r="391" spans="1:7" s="145" customFormat="1" ht="15.75" customHeight="1">
      <c r="A391" s="1124"/>
      <c r="B391" s="1120"/>
      <c r="C391" s="1127" t="s">
        <v>656</v>
      </c>
      <c r="D391" s="1120"/>
      <c r="E391" s="1120"/>
      <c r="F391" s="1120"/>
      <c r="G391" s="1121"/>
    </row>
    <row r="392" spans="1:7" s="145" customFormat="1" ht="15.75" customHeight="1">
      <c r="A392" s="1124"/>
      <c r="B392" s="1120"/>
      <c r="C392" s="1128" t="s">
        <v>2</v>
      </c>
      <c r="D392" s="1120"/>
      <c r="E392" s="1120"/>
      <c r="F392" s="146" t="s">
        <v>3</v>
      </c>
      <c r="G392" s="147" t="s">
        <v>4</v>
      </c>
    </row>
    <row r="393" spans="1:7" s="145" customFormat="1" ht="84.75" customHeight="1">
      <c r="A393" s="1073" t="s">
        <v>657</v>
      </c>
      <c r="B393" s="1115"/>
      <c r="C393" s="980" t="s">
        <v>658</v>
      </c>
      <c r="D393" s="1115"/>
      <c r="E393" s="1115"/>
      <c r="F393" s="162" t="s">
        <v>28</v>
      </c>
      <c r="G393" s="52">
        <v>1</v>
      </c>
    </row>
    <row r="394" spans="1:7" s="145" customFormat="1" ht="15.75" customHeight="1">
      <c r="A394" s="1114" t="s">
        <v>5</v>
      </c>
      <c r="B394" s="1115"/>
      <c r="C394" s="1115"/>
      <c r="D394" s="1115"/>
      <c r="E394" s="1115"/>
      <c r="F394" s="1115"/>
      <c r="G394" s="1116"/>
    </row>
    <row r="395" spans="1:7" s="145" customFormat="1" ht="24.6" customHeight="1">
      <c r="A395" s="1074" t="s">
        <v>2</v>
      </c>
      <c r="B395" s="1115"/>
      <c r="C395" s="53" t="s">
        <v>3</v>
      </c>
      <c r="D395" s="53" t="s">
        <v>4</v>
      </c>
      <c r="E395" s="53" t="s">
        <v>6</v>
      </c>
      <c r="F395" s="53" t="s">
        <v>7</v>
      </c>
      <c r="G395" s="1075" t="s">
        <v>8</v>
      </c>
    </row>
    <row r="396" spans="1:7" s="145" customFormat="1" ht="15.75" customHeight="1">
      <c r="A396" s="947" t="s">
        <v>167</v>
      </c>
      <c r="B396" s="1115"/>
      <c r="C396" s="51" t="s">
        <v>3</v>
      </c>
      <c r="D396" s="51">
        <v>0.05</v>
      </c>
      <c r="E396" s="17">
        <f>G410</f>
        <v>20030</v>
      </c>
      <c r="F396" s="55">
        <f>D396*E396</f>
        <v>1001.5</v>
      </c>
      <c r="G396" s="1116"/>
    </row>
    <row r="397" spans="1:7" s="145" customFormat="1" ht="15.75" customHeight="1">
      <c r="A397" s="943"/>
      <c r="B397" s="1115"/>
      <c r="C397" s="51"/>
      <c r="D397" s="51"/>
      <c r="E397" s="51"/>
      <c r="F397" s="55"/>
      <c r="G397" s="57">
        <f>SUM(F395:F397)</f>
        <v>1001.5</v>
      </c>
    </row>
    <row r="398" spans="1:7" s="145" customFormat="1" ht="15.75" customHeight="1">
      <c r="A398" s="1114" t="s">
        <v>10</v>
      </c>
      <c r="B398" s="1115"/>
      <c r="C398" s="1115"/>
      <c r="D398" s="1115"/>
      <c r="E398" s="1115"/>
      <c r="F398" s="1115"/>
      <c r="G398" s="1116"/>
    </row>
    <row r="399" spans="1:7" s="150" customFormat="1" ht="15.75" customHeight="1">
      <c r="A399" s="1074" t="s">
        <v>2</v>
      </c>
      <c r="B399" s="1115"/>
      <c r="C399" s="53" t="s">
        <v>3</v>
      </c>
      <c r="D399" s="53" t="s">
        <v>4</v>
      </c>
      <c r="E399" s="53" t="s">
        <v>6</v>
      </c>
      <c r="F399" s="53" t="s">
        <v>11</v>
      </c>
      <c r="G399" s="1029" t="s">
        <v>8</v>
      </c>
    </row>
    <row r="400" spans="1:7" s="150" customFormat="1" ht="54.75" customHeight="1">
      <c r="A400" s="947" t="s">
        <v>658</v>
      </c>
      <c r="B400" s="980"/>
      <c r="C400" s="16" t="s">
        <v>3</v>
      </c>
      <c r="D400" s="16">
        <v>1</v>
      </c>
      <c r="E400" s="785">
        <v>250000</v>
      </c>
      <c r="F400" s="55">
        <f>D400*E400</f>
        <v>250000</v>
      </c>
      <c r="G400" s="1030"/>
    </row>
    <row r="401" spans="1:7" s="145" customFormat="1" ht="15.75" customHeight="1">
      <c r="A401" s="1117" t="s">
        <v>599</v>
      </c>
      <c r="B401" s="1118"/>
      <c r="C401" s="148" t="s">
        <v>3</v>
      </c>
      <c r="D401" s="148">
        <v>6</v>
      </c>
      <c r="E401" s="17">
        <f>+'INSUMOS ELÉCTRICOS'!E21</f>
        <v>5200</v>
      </c>
      <c r="F401" s="149">
        <f>E401*D401</f>
        <v>31200</v>
      </c>
      <c r="G401" s="1031"/>
    </row>
    <row r="402" spans="1:7" s="145" customFormat="1" ht="15.75" customHeight="1">
      <c r="A402" s="947"/>
      <c r="B402" s="1115"/>
      <c r="C402" s="16"/>
      <c r="D402" s="58"/>
      <c r="E402" s="17"/>
      <c r="F402" s="55"/>
      <c r="G402" s="57">
        <f>SUM(F399:F402)</f>
        <v>281200</v>
      </c>
    </row>
    <row r="403" spans="1:7" s="145" customFormat="1" ht="15.75" customHeight="1">
      <c r="A403" s="1114" t="s">
        <v>15</v>
      </c>
      <c r="B403" s="1115"/>
      <c r="C403" s="1115"/>
      <c r="D403" s="1115"/>
      <c r="E403" s="1115"/>
      <c r="F403" s="1115"/>
      <c r="G403" s="1116"/>
    </row>
    <row r="404" spans="1:7" s="145" customFormat="1" ht="15.75" customHeight="1">
      <c r="A404" s="1074" t="s">
        <v>2</v>
      </c>
      <c r="B404" s="1115"/>
      <c r="C404" s="53" t="s">
        <v>3</v>
      </c>
      <c r="D404" s="53" t="s">
        <v>4</v>
      </c>
      <c r="E404" s="53" t="s">
        <v>6</v>
      </c>
      <c r="F404" s="53" t="s">
        <v>11</v>
      </c>
      <c r="G404" s="1075" t="s">
        <v>8</v>
      </c>
    </row>
    <row r="405" spans="1:7" s="145" customFormat="1" ht="15.75" customHeight="1">
      <c r="A405" s="943" t="s">
        <v>173</v>
      </c>
      <c r="B405" s="1115"/>
      <c r="C405" s="16" t="s">
        <v>3</v>
      </c>
      <c r="D405" s="16">
        <v>5.0000000000000001E-3</v>
      </c>
      <c r="E405" s="17">
        <f>G402</f>
        <v>281200</v>
      </c>
      <c r="F405" s="55">
        <f>E405*D405</f>
        <v>1406</v>
      </c>
      <c r="G405" s="1116"/>
    </row>
    <row r="406" spans="1:7" s="145" customFormat="1" ht="15.75" customHeight="1">
      <c r="A406" s="151"/>
      <c r="B406" s="152"/>
      <c r="C406" s="152"/>
      <c r="D406" s="152"/>
      <c r="E406" s="152"/>
      <c r="F406" s="152"/>
      <c r="G406" s="57">
        <f>SUM(F405:F406)</f>
        <v>1406</v>
      </c>
    </row>
    <row r="407" spans="1:7" s="145" customFormat="1" ht="15.75" customHeight="1">
      <c r="A407" s="1114" t="s">
        <v>19</v>
      </c>
      <c r="B407" s="1115"/>
      <c r="C407" s="1115"/>
      <c r="D407" s="1115"/>
      <c r="E407" s="1115"/>
      <c r="F407" s="1115"/>
      <c r="G407" s="1116"/>
    </row>
    <row r="408" spans="1:7" s="2" customFormat="1" ht="15.75" customHeight="1">
      <c r="A408" s="1074" t="s">
        <v>2</v>
      </c>
      <c r="B408" s="1115"/>
      <c r="C408" s="53" t="s">
        <v>3</v>
      </c>
      <c r="D408" s="53" t="s">
        <v>4</v>
      </c>
      <c r="E408" s="53" t="s">
        <v>6</v>
      </c>
      <c r="F408" s="53" t="s">
        <v>11</v>
      </c>
      <c r="G408" s="1075" t="s">
        <v>8</v>
      </c>
    </row>
    <row r="409" spans="1:7" s="145" customFormat="1" ht="15.75" customHeight="1">
      <c r="A409" s="978" t="s">
        <v>1256</v>
      </c>
      <c r="B409" s="979"/>
      <c r="C409" s="13" t="s">
        <v>1245</v>
      </c>
      <c r="D409" s="32">
        <v>1</v>
      </c>
      <c r="E409" s="13">
        <v>20030</v>
      </c>
      <c r="F409" s="55">
        <f>+D409*E409</f>
        <v>20030</v>
      </c>
      <c r="G409" s="1116"/>
    </row>
    <row r="410" spans="1:7" s="145" customFormat="1" ht="15.75" customHeight="1">
      <c r="A410" s="155"/>
      <c r="B410" s="156"/>
      <c r="C410" s="156"/>
      <c r="D410" s="156"/>
      <c r="E410" s="156"/>
      <c r="F410" s="156"/>
      <c r="G410" s="57">
        <f>SUM(F408:F410)</f>
        <v>20030</v>
      </c>
    </row>
    <row r="411" spans="1:7" s="145" customFormat="1" ht="15.75" customHeight="1">
      <c r="A411" s="1119" t="s">
        <v>25</v>
      </c>
      <c r="B411" s="1120"/>
      <c r="C411" s="1120"/>
      <c r="D411" s="1120"/>
      <c r="E411" s="1120"/>
      <c r="F411" s="1120"/>
      <c r="G411" s="1121"/>
    </row>
    <row r="412" spans="1:7" s="145" customFormat="1" ht="15" customHeight="1">
      <c r="A412" s="1122"/>
      <c r="B412" s="1120"/>
      <c r="C412" s="1120"/>
      <c r="D412" s="1120"/>
      <c r="E412" s="1120"/>
      <c r="F412" s="1120"/>
      <c r="G412" s="157">
        <f>G410+G406+G402+G397</f>
        <v>303637.5</v>
      </c>
    </row>
    <row r="413" spans="1:7" s="145" customFormat="1" ht="15.75" customHeight="1">
      <c r="A413" s="158"/>
      <c r="B413" s="159"/>
      <c r="C413" s="159"/>
      <c r="D413" s="159"/>
      <c r="E413" s="159"/>
      <c r="F413" s="159"/>
      <c r="G413" s="160"/>
    </row>
    <row r="414" spans="1:7" s="145" customFormat="1" ht="24" customHeight="1">
      <c r="A414" s="1123" t="s">
        <v>1</v>
      </c>
      <c r="B414" s="1120"/>
      <c r="C414" s="953" t="s">
        <v>594</v>
      </c>
      <c r="D414" s="1125"/>
      <c r="E414" s="1125"/>
      <c r="F414" s="1125"/>
      <c r="G414" s="1126"/>
    </row>
    <row r="415" spans="1:7" s="145" customFormat="1" ht="15.6" customHeight="1">
      <c r="A415" s="1124"/>
      <c r="B415" s="1120"/>
      <c r="C415" s="1125"/>
      <c r="D415" s="1125"/>
      <c r="E415" s="1125"/>
      <c r="F415" s="1125"/>
      <c r="G415" s="1126"/>
    </row>
    <row r="416" spans="1:7" s="145" customFormat="1" ht="15.75" customHeight="1">
      <c r="A416" s="1124"/>
      <c r="B416" s="1120"/>
      <c r="C416" s="1127" t="s">
        <v>656</v>
      </c>
      <c r="D416" s="1120"/>
      <c r="E416" s="1120"/>
      <c r="F416" s="1120"/>
      <c r="G416" s="1121"/>
    </row>
    <row r="417" spans="1:7" s="145" customFormat="1" ht="13.8">
      <c r="A417" s="1124"/>
      <c r="B417" s="1120"/>
      <c r="C417" s="1128" t="s">
        <v>2</v>
      </c>
      <c r="D417" s="1120"/>
      <c r="E417" s="1120"/>
      <c r="F417" s="146" t="s">
        <v>3</v>
      </c>
      <c r="G417" s="147" t="s">
        <v>4</v>
      </c>
    </row>
    <row r="418" spans="1:7" s="145" customFormat="1" ht="35.25" customHeight="1">
      <c r="A418" s="1073" t="s">
        <v>659</v>
      </c>
      <c r="B418" s="1115"/>
      <c r="C418" s="980" t="s">
        <v>660</v>
      </c>
      <c r="D418" s="1115"/>
      <c r="E418" s="1115"/>
      <c r="F418" s="162" t="s">
        <v>28</v>
      </c>
      <c r="G418" s="52">
        <v>1</v>
      </c>
    </row>
    <row r="419" spans="1:7" s="145" customFormat="1" ht="15.75" customHeight="1">
      <c r="A419" s="1114" t="s">
        <v>5</v>
      </c>
      <c r="B419" s="1115"/>
      <c r="C419" s="1115"/>
      <c r="D419" s="1115"/>
      <c r="E419" s="1115"/>
      <c r="F419" s="1115"/>
      <c r="G419" s="1116"/>
    </row>
    <row r="420" spans="1:7" s="145" customFormat="1" ht="15.75" customHeight="1">
      <c r="A420" s="1074" t="s">
        <v>2</v>
      </c>
      <c r="B420" s="1115"/>
      <c r="C420" s="53" t="s">
        <v>3</v>
      </c>
      <c r="D420" s="53" t="s">
        <v>4</v>
      </c>
      <c r="E420" s="53" t="s">
        <v>6</v>
      </c>
      <c r="F420" s="53" t="s">
        <v>7</v>
      </c>
      <c r="G420" s="1075" t="s">
        <v>8</v>
      </c>
    </row>
    <row r="421" spans="1:7" s="145" customFormat="1" ht="15.75" customHeight="1">
      <c r="A421" s="947" t="s">
        <v>167</v>
      </c>
      <c r="B421" s="1115"/>
      <c r="C421" s="51" t="s">
        <v>3</v>
      </c>
      <c r="D421" s="51">
        <v>0.05</v>
      </c>
      <c r="E421" s="17">
        <f>G434</f>
        <v>10015</v>
      </c>
      <c r="F421" s="55">
        <f>D421*E421</f>
        <v>500.75</v>
      </c>
      <c r="G421" s="1116"/>
    </row>
    <row r="422" spans="1:7" s="145" customFormat="1" ht="15.75" customHeight="1">
      <c r="A422" s="943"/>
      <c r="B422" s="1115"/>
      <c r="C422" s="51"/>
      <c r="D422" s="51"/>
      <c r="E422" s="51"/>
      <c r="F422" s="55"/>
      <c r="G422" s="57">
        <f>SUM(F420:F422)</f>
        <v>500.75</v>
      </c>
    </row>
    <row r="423" spans="1:7" s="145" customFormat="1" ht="15.75" customHeight="1">
      <c r="A423" s="1114" t="s">
        <v>10</v>
      </c>
      <c r="B423" s="1115"/>
      <c r="C423" s="1115"/>
      <c r="D423" s="1115"/>
      <c r="E423" s="1115"/>
      <c r="F423" s="1115"/>
      <c r="G423" s="1116"/>
    </row>
    <row r="424" spans="1:7" s="145" customFormat="1" ht="13.8">
      <c r="A424" s="1074" t="s">
        <v>2</v>
      </c>
      <c r="B424" s="1115"/>
      <c r="C424" s="53" t="s">
        <v>3</v>
      </c>
      <c r="D424" s="53" t="s">
        <v>4</v>
      </c>
      <c r="E424" s="53" t="s">
        <v>6</v>
      </c>
      <c r="F424" s="53" t="s">
        <v>11</v>
      </c>
      <c r="G424" s="1075" t="s">
        <v>8</v>
      </c>
    </row>
    <row r="425" spans="1:7" s="150" customFormat="1" ht="15.75" customHeight="1">
      <c r="A425" s="947" t="s">
        <v>660</v>
      </c>
      <c r="B425" s="980"/>
      <c r="C425" s="16" t="s">
        <v>3</v>
      </c>
      <c r="D425" s="16">
        <v>1</v>
      </c>
      <c r="E425" s="17">
        <f>+'INSUMOS ELÉCTRICOS'!E15</f>
        <v>262619.90999999997</v>
      </c>
      <c r="F425" s="55">
        <f>D425*E425</f>
        <v>262619.90999999997</v>
      </c>
      <c r="G425" s="1075"/>
    </row>
    <row r="426" spans="1:7" s="145" customFormat="1" ht="15.75" customHeight="1">
      <c r="A426" s="947"/>
      <c r="B426" s="1115"/>
      <c r="C426" s="16"/>
      <c r="D426" s="58"/>
      <c r="E426" s="17"/>
      <c r="F426" s="55"/>
      <c r="G426" s="57">
        <f>SUM(F424:F426)</f>
        <v>262619.90999999997</v>
      </c>
    </row>
    <row r="427" spans="1:7" s="145" customFormat="1" ht="15.75" customHeight="1">
      <c r="A427" s="1114" t="s">
        <v>15</v>
      </c>
      <c r="B427" s="1115"/>
      <c r="C427" s="1115"/>
      <c r="D427" s="1115"/>
      <c r="E427" s="1115"/>
      <c r="F427" s="1115"/>
      <c r="G427" s="1116"/>
    </row>
    <row r="428" spans="1:7" s="145" customFormat="1" ht="15.75" customHeight="1">
      <c r="A428" s="1074" t="s">
        <v>2</v>
      </c>
      <c r="B428" s="1115"/>
      <c r="C428" s="53" t="s">
        <v>3</v>
      </c>
      <c r="D428" s="53" t="s">
        <v>4</v>
      </c>
      <c r="E428" s="53" t="s">
        <v>6</v>
      </c>
      <c r="F428" s="53" t="s">
        <v>11</v>
      </c>
      <c r="G428" s="1075" t="s">
        <v>8</v>
      </c>
    </row>
    <row r="429" spans="1:7" s="145" customFormat="1" ht="15.75" customHeight="1">
      <c r="A429" s="943" t="s">
        <v>173</v>
      </c>
      <c r="B429" s="1115"/>
      <c r="C429" s="16" t="s">
        <v>3</v>
      </c>
      <c r="D429" s="54">
        <v>3.0000000000000001E-3</v>
      </c>
      <c r="E429" s="17">
        <f>G426</f>
        <v>262619.90999999997</v>
      </c>
      <c r="F429" s="55">
        <f>D429*E429</f>
        <v>787.8597299999999</v>
      </c>
      <c r="G429" s="1116"/>
    </row>
    <row r="430" spans="1:7" s="145" customFormat="1" ht="15.75" customHeight="1">
      <c r="A430" s="151"/>
      <c r="B430" s="152"/>
      <c r="C430" s="152"/>
      <c r="D430" s="152"/>
      <c r="E430" s="152"/>
      <c r="F430" s="152"/>
      <c r="G430" s="57">
        <f>SUM(F429:F430)</f>
        <v>787.8597299999999</v>
      </c>
    </row>
    <row r="431" spans="1:7" s="145" customFormat="1" ht="15.75" customHeight="1">
      <c r="A431" s="1114" t="s">
        <v>19</v>
      </c>
      <c r="B431" s="1115"/>
      <c r="C431" s="1115"/>
      <c r="D431" s="1115"/>
      <c r="E431" s="1115"/>
      <c r="F431" s="1115"/>
      <c r="G431" s="1116"/>
    </row>
    <row r="432" spans="1:7" s="145" customFormat="1" ht="15.75" customHeight="1">
      <c r="A432" s="1074" t="s">
        <v>2</v>
      </c>
      <c r="B432" s="1115"/>
      <c r="C432" s="53" t="s">
        <v>3</v>
      </c>
      <c r="D432" s="53" t="s">
        <v>4</v>
      </c>
      <c r="E432" s="53" t="s">
        <v>6</v>
      </c>
      <c r="F432" s="53" t="s">
        <v>11</v>
      </c>
      <c r="G432" s="1075" t="s">
        <v>8</v>
      </c>
    </row>
    <row r="433" spans="1:7" s="2" customFormat="1" ht="15.75" customHeight="1">
      <c r="A433" s="978" t="s">
        <v>1256</v>
      </c>
      <c r="B433" s="979"/>
      <c r="C433" s="13" t="s">
        <v>1245</v>
      </c>
      <c r="D433" s="32">
        <v>0.5</v>
      </c>
      <c r="E433" s="13">
        <v>20030</v>
      </c>
      <c r="F433" s="55">
        <f>+D433*E433</f>
        <v>10015</v>
      </c>
      <c r="G433" s="1116"/>
    </row>
    <row r="434" spans="1:7" s="145" customFormat="1" ht="15.75" customHeight="1">
      <c r="A434" s="155"/>
      <c r="B434" s="156"/>
      <c r="C434" s="156"/>
      <c r="D434" s="156"/>
      <c r="E434" s="156"/>
      <c r="F434" s="156"/>
      <c r="G434" s="57">
        <f>SUM(F432:F434)</f>
        <v>10015</v>
      </c>
    </row>
    <row r="435" spans="1:7" s="145" customFormat="1" ht="15.75" customHeight="1">
      <c r="A435" s="1119" t="s">
        <v>25</v>
      </c>
      <c r="B435" s="1120"/>
      <c r="C435" s="1120"/>
      <c r="D435" s="1120"/>
      <c r="E435" s="1120"/>
      <c r="F435" s="1120"/>
      <c r="G435" s="1121"/>
    </row>
    <row r="436" spans="1:7" s="145" customFormat="1" ht="15.75" customHeight="1">
      <c r="A436" s="1122"/>
      <c r="B436" s="1120"/>
      <c r="C436" s="1120"/>
      <c r="D436" s="1120"/>
      <c r="E436" s="1120"/>
      <c r="F436" s="1120"/>
      <c r="G436" s="157">
        <f>G434+G430+G426+G422</f>
        <v>273923.51973</v>
      </c>
    </row>
    <row r="437" spans="1:7" s="145" customFormat="1" ht="15" customHeight="1">
      <c r="A437" s="158"/>
      <c r="B437" s="159"/>
      <c r="C437" s="159"/>
      <c r="D437" s="159"/>
      <c r="E437" s="159"/>
      <c r="F437" s="159"/>
      <c r="G437" s="160"/>
    </row>
    <row r="438" spans="1:7" s="145" customFormat="1" ht="15.75" customHeight="1">
      <c r="A438" s="1123" t="s">
        <v>1</v>
      </c>
      <c r="B438" s="1120"/>
      <c r="C438" s="953" t="s">
        <v>594</v>
      </c>
      <c r="D438" s="1125"/>
      <c r="E438" s="1125"/>
      <c r="F438" s="1125"/>
      <c r="G438" s="1126"/>
    </row>
    <row r="439" spans="1:7" s="145" customFormat="1" ht="24" customHeight="1">
      <c r="A439" s="1124"/>
      <c r="B439" s="1120"/>
      <c r="C439" s="1125"/>
      <c r="D439" s="1125"/>
      <c r="E439" s="1125"/>
      <c r="F439" s="1125"/>
      <c r="G439" s="1126"/>
    </row>
    <row r="440" spans="1:7" s="145" customFormat="1" ht="15.6" customHeight="1">
      <c r="A440" s="1124"/>
      <c r="B440" s="1120"/>
      <c r="C440" s="1127" t="s">
        <v>656</v>
      </c>
      <c r="D440" s="1120"/>
      <c r="E440" s="1120"/>
      <c r="F440" s="1120"/>
      <c r="G440" s="1121"/>
    </row>
    <row r="441" spans="1:7" s="145" customFormat="1" ht="15.75" customHeight="1">
      <c r="A441" s="1124"/>
      <c r="B441" s="1120"/>
      <c r="C441" s="1128" t="s">
        <v>2</v>
      </c>
      <c r="D441" s="1120"/>
      <c r="E441" s="1120"/>
      <c r="F441" s="146" t="s">
        <v>3</v>
      </c>
      <c r="G441" s="147" t="s">
        <v>4</v>
      </c>
    </row>
    <row r="442" spans="1:7" s="145" customFormat="1" ht="57.75" customHeight="1">
      <c r="A442" s="1073" t="s">
        <v>661</v>
      </c>
      <c r="B442" s="1115"/>
      <c r="C442" s="980" t="s">
        <v>662</v>
      </c>
      <c r="D442" s="1115"/>
      <c r="E442" s="1115"/>
      <c r="F442" s="162" t="s">
        <v>28</v>
      </c>
      <c r="G442" s="52">
        <v>1</v>
      </c>
    </row>
    <row r="443" spans="1:7" s="145" customFormat="1" ht="15.75" customHeight="1">
      <c r="A443" s="1114" t="s">
        <v>5</v>
      </c>
      <c r="B443" s="1115"/>
      <c r="C443" s="1115"/>
      <c r="D443" s="1115"/>
      <c r="E443" s="1115"/>
      <c r="F443" s="1115"/>
      <c r="G443" s="1116"/>
    </row>
    <row r="444" spans="1:7" s="145" customFormat="1" ht="15.75" customHeight="1">
      <c r="A444" s="1074" t="s">
        <v>2</v>
      </c>
      <c r="B444" s="1115"/>
      <c r="C444" s="53" t="s">
        <v>3</v>
      </c>
      <c r="D444" s="53" t="s">
        <v>4</v>
      </c>
      <c r="E444" s="53" t="s">
        <v>6</v>
      </c>
      <c r="F444" s="53" t="s">
        <v>7</v>
      </c>
      <c r="G444" s="1075" t="s">
        <v>8</v>
      </c>
    </row>
    <row r="445" spans="1:7" s="145" customFormat="1" ht="15.75" customHeight="1">
      <c r="A445" s="947" t="s">
        <v>167</v>
      </c>
      <c r="B445" s="1115"/>
      <c r="C445" s="51" t="s">
        <v>3</v>
      </c>
      <c r="D445" s="51">
        <v>0.05</v>
      </c>
      <c r="E445" s="17">
        <f>G458</f>
        <v>2003</v>
      </c>
      <c r="F445" s="55">
        <f>D445*E445</f>
        <v>100.15</v>
      </c>
      <c r="G445" s="1116"/>
    </row>
    <row r="446" spans="1:7" s="145" customFormat="1" ht="15.75" customHeight="1">
      <c r="A446" s="943"/>
      <c r="B446" s="1115"/>
      <c r="C446" s="51"/>
      <c r="D446" s="51"/>
      <c r="E446" s="51"/>
      <c r="F446" s="55"/>
      <c r="G446" s="57">
        <f>SUM(F444:F446)</f>
        <v>100.15</v>
      </c>
    </row>
    <row r="447" spans="1:7" s="145" customFormat="1" ht="15.75" customHeight="1">
      <c r="A447" s="1114" t="s">
        <v>10</v>
      </c>
      <c r="B447" s="1115"/>
      <c r="C447" s="1115"/>
      <c r="D447" s="1115"/>
      <c r="E447" s="1115"/>
      <c r="F447" s="1115"/>
      <c r="G447" s="1116"/>
    </row>
    <row r="448" spans="1:7" s="145" customFormat="1" ht="15.75" customHeight="1">
      <c r="A448" s="1074" t="s">
        <v>2</v>
      </c>
      <c r="B448" s="1115"/>
      <c r="C448" s="53" t="s">
        <v>3</v>
      </c>
      <c r="D448" s="53" t="s">
        <v>4</v>
      </c>
      <c r="E448" s="53" t="s">
        <v>6</v>
      </c>
      <c r="F448" s="53" t="s">
        <v>11</v>
      </c>
      <c r="G448" s="1075" t="s">
        <v>8</v>
      </c>
    </row>
    <row r="449" spans="1:7" s="145" customFormat="1" ht="24.6" customHeight="1">
      <c r="A449" s="1117" t="s">
        <v>742</v>
      </c>
      <c r="B449" s="1118"/>
      <c r="C449" s="148" t="s">
        <v>3</v>
      </c>
      <c r="D449" s="148">
        <v>1</v>
      </c>
      <c r="E449" s="17">
        <f>+'INSUMOS ELÉCTRICOS'!E23</f>
        <v>14280</v>
      </c>
      <c r="F449" s="149">
        <f>D449*E449</f>
        <v>14280</v>
      </c>
      <c r="G449" s="1075"/>
    </row>
    <row r="450" spans="1:7" s="145" customFormat="1" ht="15.75" customHeight="1">
      <c r="A450" s="947"/>
      <c r="B450" s="1115"/>
      <c r="C450" s="16"/>
      <c r="D450" s="58"/>
      <c r="E450" s="17"/>
      <c r="F450" s="55"/>
      <c r="G450" s="57">
        <f>SUM(F448:F450)</f>
        <v>14280</v>
      </c>
    </row>
    <row r="451" spans="1:7" s="145" customFormat="1" ht="15.75" customHeight="1">
      <c r="A451" s="1114" t="s">
        <v>15</v>
      </c>
      <c r="B451" s="1115"/>
      <c r="C451" s="1115"/>
      <c r="D451" s="1115"/>
      <c r="E451" s="1115"/>
      <c r="F451" s="1115"/>
      <c r="G451" s="1116"/>
    </row>
    <row r="452" spans="1:7" s="145" customFormat="1" ht="15.75" customHeight="1">
      <c r="A452" s="1074" t="s">
        <v>2</v>
      </c>
      <c r="B452" s="1115"/>
      <c r="C452" s="53" t="s">
        <v>3</v>
      </c>
      <c r="D452" s="53" t="s">
        <v>4</v>
      </c>
      <c r="E452" s="53" t="s">
        <v>6</v>
      </c>
      <c r="F452" s="53" t="s">
        <v>11</v>
      </c>
      <c r="G452" s="1075" t="s">
        <v>8</v>
      </c>
    </row>
    <row r="453" spans="1:7" s="145" customFormat="1" ht="15.75" customHeight="1">
      <c r="A453" s="943" t="s">
        <v>173</v>
      </c>
      <c r="B453" s="1115"/>
      <c r="C453" s="16" t="s">
        <v>3</v>
      </c>
      <c r="D453" s="16">
        <v>0.02</v>
      </c>
      <c r="E453" s="17">
        <f>G450</f>
        <v>14280</v>
      </c>
      <c r="F453" s="55">
        <f>D453*E453</f>
        <v>285.60000000000002</v>
      </c>
      <c r="G453" s="1116"/>
    </row>
    <row r="454" spans="1:7" s="145" customFormat="1" ht="15.75" customHeight="1">
      <c r="A454" s="151"/>
      <c r="B454" s="152"/>
      <c r="C454" s="152"/>
      <c r="D454" s="152"/>
      <c r="E454" s="152"/>
      <c r="F454" s="152"/>
      <c r="G454" s="57">
        <f>SUM(F453:F454)</f>
        <v>285.60000000000002</v>
      </c>
    </row>
    <row r="455" spans="1:7" s="145" customFormat="1" ht="15.75" customHeight="1">
      <c r="A455" s="1114" t="s">
        <v>19</v>
      </c>
      <c r="B455" s="1115"/>
      <c r="C455" s="1115"/>
      <c r="D455" s="1115"/>
      <c r="E455" s="1115"/>
      <c r="F455" s="1115"/>
      <c r="G455" s="1116"/>
    </row>
    <row r="456" spans="1:7" s="145" customFormat="1" ht="15.75" customHeight="1">
      <c r="A456" s="1074" t="s">
        <v>2</v>
      </c>
      <c r="B456" s="1115"/>
      <c r="C456" s="53" t="s">
        <v>3</v>
      </c>
      <c r="D456" s="53" t="s">
        <v>4</v>
      </c>
      <c r="E456" s="53" t="s">
        <v>6</v>
      </c>
      <c r="F456" s="53" t="s">
        <v>11</v>
      </c>
      <c r="G456" s="1075" t="s">
        <v>8</v>
      </c>
    </row>
    <row r="457" spans="1:7" s="2" customFormat="1" ht="15.75" customHeight="1">
      <c r="A457" s="978" t="s">
        <v>1256</v>
      </c>
      <c r="B457" s="979"/>
      <c r="C457" s="13" t="s">
        <v>1245</v>
      </c>
      <c r="D457" s="32">
        <v>0.1</v>
      </c>
      <c r="E457" s="13">
        <v>20030</v>
      </c>
      <c r="F457" s="55">
        <f>+D457*E457</f>
        <v>2003</v>
      </c>
      <c r="G457" s="1116"/>
    </row>
    <row r="458" spans="1:7" s="145" customFormat="1" ht="15.75" customHeight="1">
      <c r="A458" s="155"/>
      <c r="B458" s="156"/>
      <c r="C458" s="156"/>
      <c r="D458" s="156"/>
      <c r="E458" s="156"/>
      <c r="F458" s="156"/>
      <c r="G458" s="57">
        <f>SUM(F456:F458)</f>
        <v>2003</v>
      </c>
    </row>
    <row r="459" spans="1:7" s="145" customFormat="1" ht="15.75" customHeight="1">
      <c r="A459" s="1119" t="s">
        <v>25</v>
      </c>
      <c r="B459" s="1120"/>
      <c r="C459" s="1120"/>
      <c r="D459" s="1120"/>
      <c r="E459" s="1120"/>
      <c r="F459" s="1120"/>
      <c r="G459" s="1121"/>
    </row>
    <row r="460" spans="1:7" s="145" customFormat="1" ht="15.75" customHeight="1">
      <c r="A460" s="1122"/>
      <c r="B460" s="1120"/>
      <c r="C460" s="1120"/>
      <c r="D460" s="1120"/>
      <c r="E460" s="1120"/>
      <c r="F460" s="1120"/>
      <c r="G460" s="157">
        <f>G458+G454+G450+G446</f>
        <v>16668.75</v>
      </c>
    </row>
    <row r="461" spans="1:7" s="145" customFormat="1" ht="15" customHeight="1">
      <c r="A461" s="158"/>
      <c r="B461" s="159"/>
      <c r="C461" s="159"/>
      <c r="D461" s="159"/>
      <c r="E461" s="159"/>
      <c r="F461" s="159"/>
      <c r="G461" s="160"/>
    </row>
    <row r="462" spans="1:7" s="145" customFormat="1" ht="15.75" customHeight="1">
      <c r="A462" s="1123" t="s">
        <v>1</v>
      </c>
      <c r="B462" s="1120"/>
      <c r="C462" s="953" t="s">
        <v>594</v>
      </c>
      <c r="D462" s="1125"/>
      <c r="E462" s="1125"/>
      <c r="F462" s="1125"/>
      <c r="G462" s="1126"/>
    </row>
    <row r="463" spans="1:7" s="145" customFormat="1" ht="24" customHeight="1">
      <c r="A463" s="1124"/>
      <c r="B463" s="1120"/>
      <c r="C463" s="1125"/>
      <c r="D463" s="1125"/>
      <c r="E463" s="1125"/>
      <c r="F463" s="1125"/>
      <c r="G463" s="1126"/>
    </row>
    <row r="464" spans="1:7" s="145" customFormat="1" ht="15.6" customHeight="1">
      <c r="A464" s="1124"/>
      <c r="B464" s="1120"/>
      <c r="C464" s="1127" t="s">
        <v>606</v>
      </c>
      <c r="D464" s="1120"/>
      <c r="E464" s="1120"/>
      <c r="F464" s="1120"/>
      <c r="G464" s="1121"/>
    </row>
    <row r="465" spans="1:7" s="145" customFormat="1" ht="15.75" customHeight="1">
      <c r="A465" s="1124"/>
      <c r="B465" s="1120"/>
      <c r="C465" s="1128" t="s">
        <v>2</v>
      </c>
      <c r="D465" s="1120"/>
      <c r="E465" s="1120"/>
      <c r="F465" s="146" t="s">
        <v>3</v>
      </c>
      <c r="G465" s="147" t="s">
        <v>4</v>
      </c>
    </row>
    <row r="466" spans="1:7" s="145" customFormat="1" ht="57.75" customHeight="1">
      <c r="A466" s="1073" t="s">
        <v>663</v>
      </c>
      <c r="B466" s="1115"/>
      <c r="C466" s="980" t="s">
        <v>608</v>
      </c>
      <c r="D466" s="1115"/>
      <c r="E466" s="1115"/>
      <c r="F466" s="162" t="s">
        <v>45</v>
      </c>
      <c r="G466" s="52">
        <v>1</v>
      </c>
    </row>
    <row r="467" spans="1:7" s="145" customFormat="1" ht="15.75" customHeight="1">
      <c r="A467" s="1114" t="s">
        <v>5</v>
      </c>
      <c r="B467" s="1115"/>
      <c r="C467" s="1115"/>
      <c r="D467" s="1115"/>
      <c r="E467" s="1115"/>
      <c r="F467" s="1115"/>
      <c r="G467" s="1116"/>
    </row>
    <row r="468" spans="1:7" s="145" customFormat="1" ht="15.75" customHeight="1">
      <c r="A468" s="1074" t="s">
        <v>2</v>
      </c>
      <c r="B468" s="1115"/>
      <c r="C468" s="53" t="s">
        <v>3</v>
      </c>
      <c r="D468" s="53" t="s">
        <v>4</v>
      </c>
      <c r="E468" s="53" t="s">
        <v>6</v>
      </c>
      <c r="F468" s="53" t="s">
        <v>7</v>
      </c>
      <c r="G468" s="1075" t="s">
        <v>8</v>
      </c>
    </row>
    <row r="469" spans="1:7" s="145" customFormat="1" ht="15.75" customHeight="1">
      <c r="A469" s="947" t="s">
        <v>167</v>
      </c>
      <c r="B469" s="1115"/>
      <c r="C469" s="51" t="s">
        <v>3</v>
      </c>
      <c r="D469" s="51">
        <v>0.05</v>
      </c>
      <c r="E469" s="17">
        <f>G482</f>
        <v>4006</v>
      </c>
      <c r="F469" s="55">
        <f>D469*E469</f>
        <v>200.3</v>
      </c>
      <c r="G469" s="1116"/>
    </row>
    <row r="470" spans="1:7" s="145" customFormat="1" ht="15.75" customHeight="1">
      <c r="A470" s="943"/>
      <c r="B470" s="1115"/>
      <c r="C470" s="51"/>
      <c r="D470" s="51"/>
      <c r="E470" s="51"/>
      <c r="F470" s="55"/>
      <c r="G470" s="57">
        <f>SUM(F468:F470)</f>
        <v>200.3</v>
      </c>
    </row>
    <row r="471" spans="1:7" s="145" customFormat="1" ht="15.75" customHeight="1">
      <c r="A471" s="1114" t="s">
        <v>10</v>
      </c>
      <c r="B471" s="1115"/>
      <c r="C471" s="1115"/>
      <c r="D471" s="1115"/>
      <c r="E471" s="1115"/>
      <c r="F471" s="1115"/>
      <c r="G471" s="1116"/>
    </row>
    <row r="472" spans="1:7" s="145" customFormat="1" ht="15.75" customHeight="1">
      <c r="A472" s="1074" t="s">
        <v>2</v>
      </c>
      <c r="B472" s="1115"/>
      <c r="C472" s="53" t="s">
        <v>3</v>
      </c>
      <c r="D472" s="53" t="s">
        <v>4</v>
      </c>
      <c r="E472" s="53" t="s">
        <v>6</v>
      </c>
      <c r="F472" s="53" t="s">
        <v>11</v>
      </c>
      <c r="G472" s="1075" t="s">
        <v>8</v>
      </c>
    </row>
    <row r="473" spans="1:7" s="150" customFormat="1" ht="67.5" customHeight="1">
      <c r="A473" s="1117" t="s">
        <v>608</v>
      </c>
      <c r="B473" s="1118"/>
      <c r="C473" s="148" t="s">
        <v>3</v>
      </c>
      <c r="D473" s="148">
        <v>1.05</v>
      </c>
      <c r="E473" s="17">
        <f>+'INSUMOS ELÉCTRICOS'!E17</f>
        <v>5033.7</v>
      </c>
      <c r="F473" s="149">
        <f>D473*E473</f>
        <v>5285.3850000000002</v>
      </c>
      <c r="G473" s="1075"/>
    </row>
    <row r="474" spans="1:7" s="145" customFormat="1" ht="15.75" customHeight="1">
      <c r="A474" s="947"/>
      <c r="B474" s="1115"/>
      <c r="C474" s="16"/>
      <c r="D474" s="58"/>
      <c r="E474" s="17"/>
      <c r="F474" s="55"/>
      <c r="G474" s="57">
        <f>SUM(F472:F474)</f>
        <v>5285.3850000000002</v>
      </c>
    </row>
    <row r="475" spans="1:7" s="145" customFormat="1" ht="15.75" customHeight="1">
      <c r="A475" s="1114" t="s">
        <v>15</v>
      </c>
      <c r="B475" s="1115"/>
      <c r="C475" s="1115"/>
      <c r="D475" s="1115"/>
      <c r="E475" s="1115"/>
      <c r="F475" s="1115"/>
      <c r="G475" s="1116"/>
    </row>
    <row r="476" spans="1:7" s="145" customFormat="1" ht="15.75" customHeight="1">
      <c r="A476" s="1074" t="s">
        <v>2</v>
      </c>
      <c r="B476" s="1115"/>
      <c r="C476" s="53" t="s">
        <v>3</v>
      </c>
      <c r="D476" s="53" t="s">
        <v>4</v>
      </c>
      <c r="E476" s="53" t="s">
        <v>6</v>
      </c>
      <c r="F476" s="53" t="s">
        <v>11</v>
      </c>
      <c r="G476" s="1075" t="s">
        <v>8</v>
      </c>
    </row>
    <row r="477" spans="1:7" s="145" customFormat="1" ht="15.75" customHeight="1">
      <c r="A477" s="943" t="s">
        <v>173</v>
      </c>
      <c r="B477" s="1115"/>
      <c r="C477" s="16" t="s">
        <v>3</v>
      </c>
      <c r="D477" s="16">
        <v>0.06</v>
      </c>
      <c r="E477" s="17">
        <f>G474</f>
        <v>5285.3850000000002</v>
      </c>
      <c r="F477" s="55">
        <f>D477*E477</f>
        <v>317.12310000000002</v>
      </c>
      <c r="G477" s="1116"/>
    </row>
    <row r="478" spans="1:7" s="145" customFormat="1" ht="15.75" customHeight="1">
      <c r="A478" s="151"/>
      <c r="B478" s="152"/>
      <c r="C478" s="152"/>
      <c r="D478" s="152"/>
      <c r="E478" s="152"/>
      <c r="F478" s="152"/>
      <c r="G478" s="57">
        <f>SUM(F477:F478)</f>
        <v>317.12310000000002</v>
      </c>
    </row>
    <row r="479" spans="1:7" s="145" customFormat="1" ht="15.75" customHeight="1">
      <c r="A479" s="1114" t="s">
        <v>19</v>
      </c>
      <c r="B479" s="1115"/>
      <c r="C479" s="1115"/>
      <c r="D479" s="1115"/>
      <c r="E479" s="1115"/>
      <c r="F479" s="1115"/>
      <c r="G479" s="1116"/>
    </row>
    <row r="480" spans="1:7" s="145" customFormat="1" ht="15.75" customHeight="1">
      <c r="A480" s="1074" t="s">
        <v>2</v>
      </c>
      <c r="B480" s="1115"/>
      <c r="C480" s="53" t="s">
        <v>3</v>
      </c>
      <c r="D480" s="53" t="s">
        <v>4</v>
      </c>
      <c r="E480" s="53" t="s">
        <v>6</v>
      </c>
      <c r="F480" s="53" t="s">
        <v>11</v>
      </c>
      <c r="G480" s="1075" t="s">
        <v>8</v>
      </c>
    </row>
    <row r="481" spans="1:7" s="2" customFormat="1" ht="15.75" customHeight="1">
      <c r="A481" s="978" t="s">
        <v>1256</v>
      </c>
      <c r="B481" s="979"/>
      <c r="C481" s="13" t="s">
        <v>1245</v>
      </c>
      <c r="D481" s="32">
        <v>0.2</v>
      </c>
      <c r="E481" s="13">
        <v>20030</v>
      </c>
      <c r="F481" s="55">
        <f>+D481*E481</f>
        <v>4006</v>
      </c>
      <c r="G481" s="1116"/>
    </row>
    <row r="482" spans="1:7" s="145" customFormat="1" ht="15.75" customHeight="1">
      <c r="A482" s="155"/>
      <c r="B482" s="156"/>
      <c r="C482" s="156"/>
      <c r="D482" s="156"/>
      <c r="E482" s="156"/>
      <c r="F482" s="156"/>
      <c r="G482" s="57">
        <f>SUM(F480:F482)</f>
        <v>4006</v>
      </c>
    </row>
    <row r="483" spans="1:7" s="145" customFormat="1" ht="15.75" customHeight="1">
      <c r="A483" s="1119" t="s">
        <v>25</v>
      </c>
      <c r="B483" s="1120"/>
      <c r="C483" s="1120"/>
      <c r="D483" s="1120"/>
      <c r="E483" s="1120"/>
      <c r="F483" s="1120"/>
      <c r="G483" s="1121"/>
    </row>
    <row r="484" spans="1:7" s="145" customFormat="1" ht="15.75" customHeight="1">
      <c r="A484" s="1122"/>
      <c r="B484" s="1120"/>
      <c r="C484" s="1120"/>
      <c r="D484" s="1120"/>
      <c r="E484" s="1120"/>
      <c r="F484" s="1120"/>
      <c r="G484" s="157">
        <f>G482+G478+G474+G470</f>
        <v>9808.8080999999984</v>
      </c>
    </row>
    <row r="485" spans="1:7" s="145" customFormat="1" ht="15" customHeight="1">
      <c r="A485" s="158"/>
      <c r="B485" s="159"/>
      <c r="C485" s="159"/>
      <c r="D485" s="159"/>
      <c r="E485" s="159"/>
      <c r="F485" s="159"/>
      <c r="G485" s="160"/>
    </row>
    <row r="486" spans="1:7" s="145" customFormat="1" ht="15.75" customHeight="1">
      <c r="A486" s="1123" t="s">
        <v>1</v>
      </c>
      <c r="B486" s="1120"/>
      <c r="C486" s="953" t="s">
        <v>594</v>
      </c>
      <c r="D486" s="1125"/>
      <c r="E486" s="1125"/>
      <c r="F486" s="1125"/>
      <c r="G486" s="1126"/>
    </row>
    <row r="487" spans="1:7" s="145" customFormat="1" ht="24" customHeight="1">
      <c r="A487" s="1124"/>
      <c r="B487" s="1120"/>
      <c r="C487" s="1125"/>
      <c r="D487" s="1125"/>
      <c r="E487" s="1125"/>
      <c r="F487" s="1125"/>
      <c r="G487" s="1126"/>
    </row>
    <row r="488" spans="1:7" s="145" customFormat="1" ht="15.6" customHeight="1">
      <c r="A488" s="1124"/>
      <c r="B488" s="1120"/>
      <c r="C488" s="1127" t="s">
        <v>609</v>
      </c>
      <c r="D488" s="1120"/>
      <c r="E488" s="1120"/>
      <c r="F488" s="1120"/>
      <c r="G488" s="1121"/>
    </row>
    <row r="489" spans="1:7" s="145" customFormat="1" ht="15.75" customHeight="1">
      <c r="A489" s="1124"/>
      <c r="B489" s="1120"/>
      <c r="C489" s="1128" t="s">
        <v>2</v>
      </c>
      <c r="D489" s="1120"/>
      <c r="E489" s="1120"/>
      <c r="F489" s="146" t="s">
        <v>3</v>
      </c>
      <c r="G489" s="147" t="s">
        <v>4</v>
      </c>
    </row>
    <row r="490" spans="1:7" s="145" customFormat="1" ht="56.25" customHeight="1">
      <c r="A490" s="1073" t="s">
        <v>664</v>
      </c>
      <c r="B490" s="1115"/>
      <c r="C490" s="980" t="s">
        <v>611</v>
      </c>
      <c r="D490" s="1115"/>
      <c r="E490" s="1115"/>
      <c r="F490" s="162" t="s">
        <v>45</v>
      </c>
      <c r="G490" s="52">
        <v>1</v>
      </c>
    </row>
    <row r="491" spans="1:7" s="145" customFormat="1" ht="15.75" customHeight="1">
      <c r="A491" s="1114" t="s">
        <v>5</v>
      </c>
      <c r="B491" s="1115"/>
      <c r="C491" s="1115"/>
      <c r="D491" s="1115"/>
      <c r="E491" s="1115"/>
      <c r="F491" s="1115"/>
      <c r="G491" s="1116"/>
    </row>
    <row r="492" spans="1:7" s="145" customFormat="1" ht="15.75" customHeight="1">
      <c r="A492" s="1074" t="s">
        <v>2</v>
      </c>
      <c r="B492" s="1115"/>
      <c r="C492" s="53" t="s">
        <v>3</v>
      </c>
      <c r="D492" s="53" t="s">
        <v>4</v>
      </c>
      <c r="E492" s="53" t="s">
        <v>6</v>
      </c>
      <c r="F492" s="53" t="s">
        <v>7</v>
      </c>
      <c r="G492" s="1075" t="s">
        <v>8</v>
      </c>
    </row>
    <row r="493" spans="1:7" s="145" customFormat="1" ht="15.75" customHeight="1">
      <c r="A493" s="947" t="s">
        <v>167</v>
      </c>
      <c r="B493" s="1115"/>
      <c r="C493" s="51" t="s">
        <v>3</v>
      </c>
      <c r="D493" s="51">
        <v>0.05</v>
      </c>
      <c r="E493" s="17">
        <v>6719</v>
      </c>
      <c r="F493" s="55">
        <f>D493*E493</f>
        <v>335.95000000000005</v>
      </c>
      <c r="G493" s="1116"/>
    </row>
    <row r="494" spans="1:7" s="145" customFormat="1" ht="15.75" customHeight="1">
      <c r="A494" s="943"/>
      <c r="B494" s="1115"/>
      <c r="C494" s="51"/>
      <c r="D494" s="51"/>
      <c r="E494" s="51"/>
      <c r="F494" s="55"/>
      <c r="G494" s="57">
        <f>SUM(F492:F494)</f>
        <v>335.95000000000005</v>
      </c>
    </row>
    <row r="495" spans="1:7" s="145" customFormat="1" ht="15.75" customHeight="1">
      <c r="A495" s="1114" t="s">
        <v>10</v>
      </c>
      <c r="B495" s="1115"/>
      <c r="C495" s="1115"/>
      <c r="D495" s="1115"/>
      <c r="E495" s="1115"/>
      <c r="F495" s="1115"/>
      <c r="G495" s="1116"/>
    </row>
    <row r="496" spans="1:7" s="145" customFormat="1" ht="15.75" customHeight="1">
      <c r="A496" s="1074" t="s">
        <v>2</v>
      </c>
      <c r="B496" s="1115"/>
      <c r="C496" s="53" t="s">
        <v>3</v>
      </c>
      <c r="D496" s="53" t="s">
        <v>4</v>
      </c>
      <c r="E496" s="53" t="s">
        <v>6</v>
      </c>
      <c r="F496" s="53" t="s">
        <v>11</v>
      </c>
      <c r="G496" s="1075" t="s">
        <v>8</v>
      </c>
    </row>
    <row r="497" spans="1:7" s="150" customFormat="1" ht="13.8">
      <c r="A497" s="947" t="s">
        <v>612</v>
      </c>
      <c r="B497" s="1115"/>
      <c r="C497" s="51" t="s">
        <v>3</v>
      </c>
      <c r="D497" s="148">
        <v>10</v>
      </c>
      <c r="E497" s="17">
        <f>+'INSUMOS ELÉCTRICOS'!E126</f>
        <v>348.66999999999996</v>
      </c>
      <c r="F497" s="55">
        <f t="shared" ref="F497:F502" si="6">D497*E497</f>
        <v>3486.7</v>
      </c>
      <c r="G497" s="1075"/>
    </row>
    <row r="498" spans="1:7" s="145" customFormat="1" ht="15.75" customHeight="1">
      <c r="A498" s="947" t="s">
        <v>613</v>
      </c>
      <c r="B498" s="1115"/>
      <c r="C498" s="51" t="s">
        <v>3</v>
      </c>
      <c r="D498" s="148">
        <v>0.67</v>
      </c>
      <c r="E498" s="17">
        <f>+'INSUMOS ELÉCTRICOS'!E24</f>
        <v>780</v>
      </c>
      <c r="F498" s="55">
        <f t="shared" si="6"/>
        <v>522.6</v>
      </c>
      <c r="G498" s="1075"/>
    </row>
    <row r="499" spans="1:7" s="145" customFormat="1" ht="15.75" customHeight="1">
      <c r="A499" s="947" t="s">
        <v>614</v>
      </c>
      <c r="B499" s="1115"/>
      <c r="C499" s="51" t="s">
        <v>3</v>
      </c>
      <c r="D499" s="148">
        <v>0.17</v>
      </c>
      <c r="E499" s="17">
        <f>+'INSUMOS ELÉCTRICOS'!E25</f>
        <v>11900</v>
      </c>
      <c r="F499" s="55">
        <f t="shared" si="6"/>
        <v>2023.0000000000002</v>
      </c>
      <c r="G499" s="1075"/>
    </row>
    <row r="500" spans="1:7" s="145" customFormat="1" ht="15.75" customHeight="1">
      <c r="A500" s="947" t="s">
        <v>2477</v>
      </c>
      <c r="B500" s="1115"/>
      <c r="C500" s="51" t="s">
        <v>3</v>
      </c>
      <c r="D500" s="148">
        <v>1</v>
      </c>
      <c r="E500" s="17">
        <f>+'INSUMOS ELÉCTRICOS'!E26</f>
        <v>16580.666666666668</v>
      </c>
      <c r="F500" s="55">
        <f t="shared" si="6"/>
        <v>16580.666666666668</v>
      </c>
      <c r="G500" s="1075"/>
    </row>
    <row r="501" spans="1:7" s="145" customFormat="1" ht="15.75" customHeight="1">
      <c r="A501" s="947" t="s">
        <v>615</v>
      </c>
      <c r="B501" s="1115"/>
      <c r="C501" s="51" t="s">
        <v>3</v>
      </c>
      <c r="D501" s="148">
        <v>0.33</v>
      </c>
      <c r="E501" s="17">
        <f>+'INSUMOS ELÉCTRICOS'!E28</f>
        <v>2946.44</v>
      </c>
      <c r="F501" s="55">
        <f t="shared" si="6"/>
        <v>972.32520000000011</v>
      </c>
      <c r="G501" s="1075"/>
    </row>
    <row r="502" spans="1:7" s="145" customFormat="1" ht="15.75" customHeight="1">
      <c r="A502" s="947" t="s">
        <v>616</v>
      </c>
      <c r="B502" s="1115"/>
      <c r="C502" s="51" t="s">
        <v>3</v>
      </c>
      <c r="D502" s="148">
        <v>0.32929999999999998</v>
      </c>
      <c r="E502" s="17">
        <f>+'INSUMOS ELÉCTRICOS'!E29</f>
        <v>4190</v>
      </c>
      <c r="F502" s="55">
        <f t="shared" si="6"/>
        <v>1379.7669999999998</v>
      </c>
      <c r="G502" s="1075"/>
    </row>
    <row r="503" spans="1:7" s="145" customFormat="1" ht="15.75" customHeight="1">
      <c r="A503" s="947"/>
      <c r="B503" s="1115"/>
      <c r="C503" s="16"/>
      <c r="D503" s="58"/>
      <c r="E503" s="17"/>
      <c r="F503" s="55"/>
      <c r="G503" s="57">
        <f>SUM(F496:F503)</f>
        <v>24965.058866666666</v>
      </c>
    </row>
    <row r="504" spans="1:7" s="145" customFormat="1" ht="15.75" customHeight="1">
      <c r="A504" s="1114" t="s">
        <v>15</v>
      </c>
      <c r="B504" s="1115"/>
      <c r="C504" s="1115"/>
      <c r="D504" s="1115"/>
      <c r="E504" s="1115"/>
      <c r="F504" s="1115"/>
      <c r="G504" s="1116"/>
    </row>
    <row r="505" spans="1:7" s="2" customFormat="1" ht="15.75" customHeight="1">
      <c r="A505" s="1074" t="s">
        <v>2</v>
      </c>
      <c r="B505" s="1115"/>
      <c r="C505" s="53" t="s">
        <v>3</v>
      </c>
      <c r="D505" s="53" t="s">
        <v>4</v>
      </c>
      <c r="E505" s="53" t="s">
        <v>6</v>
      </c>
      <c r="F505" s="53" t="s">
        <v>11</v>
      </c>
      <c r="G505" s="1075" t="s">
        <v>8</v>
      </c>
    </row>
    <row r="506" spans="1:7" s="145" customFormat="1" ht="15.75" customHeight="1">
      <c r="A506" s="943" t="s">
        <v>173</v>
      </c>
      <c r="B506" s="1115"/>
      <c r="C506" s="16" t="s">
        <v>3</v>
      </c>
      <c r="D506" s="16">
        <v>0.1</v>
      </c>
      <c r="E506" s="17">
        <f>G503</f>
        <v>24965.058866666666</v>
      </c>
      <c r="F506" s="55">
        <f>D506*E506</f>
        <v>2496.5058866666668</v>
      </c>
      <c r="G506" s="1116"/>
    </row>
    <row r="507" spans="1:7" s="145" customFormat="1" ht="15.75" customHeight="1">
      <c r="A507" s="151"/>
      <c r="B507" s="152"/>
      <c r="C507" s="152"/>
      <c r="D507" s="152"/>
      <c r="E507" s="152"/>
      <c r="F507" s="152"/>
      <c r="G507" s="57">
        <f>SUM(F506:F507)</f>
        <v>2496.5058866666668</v>
      </c>
    </row>
    <row r="508" spans="1:7" s="145" customFormat="1" ht="15.75" customHeight="1">
      <c r="A508" s="1114" t="s">
        <v>19</v>
      </c>
      <c r="B508" s="1115"/>
      <c r="C508" s="1115"/>
      <c r="D508" s="1115"/>
      <c r="E508" s="1115"/>
      <c r="F508" s="1115"/>
      <c r="G508" s="1116"/>
    </row>
    <row r="509" spans="1:7" s="145" customFormat="1" ht="15" customHeight="1">
      <c r="A509" s="1074" t="s">
        <v>2</v>
      </c>
      <c r="B509" s="1115"/>
      <c r="C509" s="53" t="s">
        <v>3</v>
      </c>
      <c r="D509" s="53" t="s">
        <v>4</v>
      </c>
      <c r="E509" s="53" t="s">
        <v>6</v>
      </c>
      <c r="F509" s="53" t="s">
        <v>11</v>
      </c>
      <c r="G509" s="1075" t="s">
        <v>8</v>
      </c>
    </row>
    <row r="510" spans="1:7" s="145" customFormat="1" ht="15.75" customHeight="1">
      <c r="A510" s="978" t="s">
        <v>1256</v>
      </c>
      <c r="B510" s="979"/>
      <c r="C510" s="13" t="s">
        <v>1245</v>
      </c>
      <c r="D510" s="32">
        <v>0.2</v>
      </c>
      <c r="E510" s="13">
        <v>18041</v>
      </c>
      <c r="F510" s="55">
        <f>+D510*E510</f>
        <v>3608.2000000000003</v>
      </c>
      <c r="G510" s="1116"/>
    </row>
    <row r="511" spans="1:7" s="145" customFormat="1" ht="24" customHeight="1">
      <c r="A511" s="155"/>
      <c r="B511" s="156"/>
      <c r="C511" s="156"/>
      <c r="D511" s="156"/>
      <c r="E511" s="156"/>
      <c r="F511" s="156"/>
      <c r="G511" s="57">
        <f>SUM(F509:F511)</f>
        <v>3608.2000000000003</v>
      </c>
    </row>
    <row r="512" spans="1:7" s="145" customFormat="1" ht="15.6" customHeight="1">
      <c r="A512" s="1119" t="s">
        <v>25</v>
      </c>
      <c r="B512" s="1120"/>
      <c r="C512" s="1120"/>
      <c r="D512" s="1120"/>
      <c r="E512" s="1120"/>
      <c r="F512" s="1120"/>
      <c r="G512" s="1121"/>
    </row>
    <row r="513" spans="1:7" s="145" customFormat="1" ht="15.75" customHeight="1">
      <c r="A513" s="1122"/>
      <c r="B513" s="1120"/>
      <c r="C513" s="1120"/>
      <c r="D513" s="1120"/>
      <c r="E513" s="1120"/>
      <c r="F513" s="1120"/>
      <c r="G513" s="157">
        <f>G511+G507+G503+G494</f>
        <v>31405.714753333334</v>
      </c>
    </row>
    <row r="514" spans="1:7" s="145" customFormat="1" ht="13.8">
      <c r="A514" s="158"/>
      <c r="B514" s="159"/>
      <c r="C514" s="159"/>
      <c r="D514" s="159"/>
      <c r="E514" s="159"/>
      <c r="F514" s="159"/>
      <c r="G514" s="160"/>
    </row>
    <row r="515" spans="1:7" s="150" customFormat="1" ht="16.2" customHeight="1">
      <c r="A515" s="1123" t="s">
        <v>1</v>
      </c>
      <c r="B515" s="1120"/>
      <c r="C515" s="953" t="s">
        <v>594</v>
      </c>
      <c r="D515" s="1125"/>
      <c r="E515" s="1125"/>
      <c r="F515" s="1125"/>
      <c r="G515" s="1126"/>
    </row>
    <row r="516" spans="1:7" s="145" customFormat="1" ht="16.2" customHeight="1">
      <c r="A516" s="1124"/>
      <c r="B516" s="1120"/>
      <c r="C516" s="1125"/>
      <c r="D516" s="1125"/>
      <c r="E516" s="1125"/>
      <c r="F516" s="1125"/>
      <c r="G516" s="1126"/>
    </row>
    <row r="517" spans="1:7" s="145" customFormat="1" ht="16.2" customHeight="1">
      <c r="A517" s="1124"/>
      <c r="B517" s="1120"/>
      <c r="C517" s="1127" t="s">
        <v>665</v>
      </c>
      <c r="D517" s="1120"/>
      <c r="E517" s="1120"/>
      <c r="F517" s="1120"/>
      <c r="G517" s="1121"/>
    </row>
    <row r="518" spans="1:7" s="145" customFormat="1" ht="16.2" customHeight="1">
      <c r="A518" s="1124"/>
      <c r="B518" s="1120"/>
      <c r="C518" s="1128" t="s">
        <v>2</v>
      </c>
      <c r="D518" s="1120"/>
      <c r="E518" s="1120"/>
      <c r="F518" s="146" t="s">
        <v>3</v>
      </c>
      <c r="G518" s="147" t="s">
        <v>4</v>
      </c>
    </row>
    <row r="519" spans="1:7" s="145" customFormat="1" ht="84.75" customHeight="1">
      <c r="A519" s="1073" t="s">
        <v>667</v>
      </c>
      <c r="B519" s="1115"/>
      <c r="C519" s="980" t="s">
        <v>668</v>
      </c>
      <c r="D519" s="1115"/>
      <c r="E519" s="1115"/>
      <c r="F519" s="162" t="s">
        <v>28</v>
      </c>
      <c r="G519" s="52">
        <v>37</v>
      </c>
    </row>
    <row r="520" spans="1:7" s="145" customFormat="1" ht="16.2" customHeight="1">
      <c r="A520" s="1114" t="s">
        <v>5</v>
      </c>
      <c r="B520" s="1115"/>
      <c r="C520" s="1115"/>
      <c r="D520" s="1115"/>
      <c r="E520" s="1115"/>
      <c r="F520" s="1115"/>
      <c r="G520" s="1116"/>
    </row>
    <row r="521" spans="1:7" s="145" customFormat="1" ht="16.2" customHeight="1">
      <c r="A521" s="1074" t="s">
        <v>2</v>
      </c>
      <c r="B521" s="1115"/>
      <c r="C521" s="53" t="s">
        <v>3</v>
      </c>
      <c r="D521" s="53" t="s">
        <v>4</v>
      </c>
      <c r="E521" s="53" t="s">
        <v>6</v>
      </c>
      <c r="F521" s="53" t="s">
        <v>7</v>
      </c>
      <c r="G521" s="1075" t="s">
        <v>8</v>
      </c>
    </row>
    <row r="522" spans="1:7" s="145" customFormat="1" ht="16.2" customHeight="1">
      <c r="A522" s="947" t="s">
        <v>167</v>
      </c>
      <c r="B522" s="1115"/>
      <c r="C522" s="51" t="s">
        <v>3</v>
      </c>
      <c r="D522" s="51">
        <v>0.05</v>
      </c>
      <c r="E522" s="17">
        <f>G542</f>
        <v>14021</v>
      </c>
      <c r="F522" s="55">
        <f>D522*E522</f>
        <v>701.05000000000007</v>
      </c>
      <c r="G522" s="1116"/>
    </row>
    <row r="523" spans="1:7" s="145" customFormat="1" ht="16.2" customHeight="1">
      <c r="A523" s="943"/>
      <c r="B523" s="1115"/>
      <c r="C523" s="51"/>
      <c r="D523" s="51"/>
      <c r="E523" s="51"/>
      <c r="F523" s="55"/>
      <c r="G523" s="57">
        <f>SUM(F521:F523)</f>
        <v>701.05000000000007</v>
      </c>
    </row>
    <row r="524" spans="1:7" s="145" customFormat="1" ht="16.2" customHeight="1">
      <c r="A524" s="1114" t="s">
        <v>10</v>
      </c>
      <c r="B524" s="1115"/>
      <c r="C524" s="1115"/>
      <c r="D524" s="1115"/>
      <c r="E524" s="1115"/>
      <c r="F524" s="1115"/>
      <c r="G524" s="1116"/>
    </row>
    <row r="525" spans="1:7" s="145" customFormat="1" ht="16.2" customHeight="1">
      <c r="A525" s="1074" t="s">
        <v>2</v>
      </c>
      <c r="B525" s="1115"/>
      <c r="C525" s="53" t="s">
        <v>3</v>
      </c>
      <c r="D525" s="53" t="s">
        <v>4</v>
      </c>
      <c r="E525" s="53" t="s">
        <v>6</v>
      </c>
      <c r="F525" s="53" t="s">
        <v>11</v>
      </c>
      <c r="G525" s="1075" t="s">
        <v>8</v>
      </c>
    </row>
    <row r="526" spans="1:7" s="145" customFormat="1" ht="16.2" customHeight="1">
      <c r="A526" s="947" t="s">
        <v>612</v>
      </c>
      <c r="B526" s="980"/>
      <c r="C526" s="148" t="s">
        <v>3</v>
      </c>
      <c r="D526" s="148">
        <v>20</v>
      </c>
      <c r="E526" s="17">
        <f>+'INSUMOS ELÉCTRICOS'!E126</f>
        <v>348.66999999999996</v>
      </c>
      <c r="F526" s="149">
        <f t="shared" ref="F526:F533" si="7">D526*E526</f>
        <v>6973.4</v>
      </c>
      <c r="G526" s="1075"/>
    </row>
    <row r="527" spans="1:7" s="145" customFormat="1" ht="15.75" customHeight="1">
      <c r="A527" s="947" t="s">
        <v>640</v>
      </c>
      <c r="B527" s="980"/>
      <c r="C527" s="148" t="s">
        <v>3</v>
      </c>
      <c r="D527" s="148">
        <v>1</v>
      </c>
      <c r="E527" s="17">
        <f>+'INSUMOS ELÉCTRICOS'!E53</f>
        <v>20000</v>
      </c>
      <c r="F527" s="149">
        <f t="shared" si="7"/>
        <v>20000</v>
      </c>
      <c r="G527" s="1075"/>
    </row>
    <row r="528" spans="1:7" s="145" customFormat="1" ht="15.75" customHeight="1">
      <c r="A528" s="947" t="s">
        <v>641</v>
      </c>
      <c r="B528" s="980"/>
      <c r="C528" s="148" t="s">
        <v>3</v>
      </c>
      <c r="D528" s="16">
        <v>4.2</v>
      </c>
      <c r="E528" s="17">
        <f>+'INSUMOS ELÉCTRICOS'!E26</f>
        <v>16580.666666666668</v>
      </c>
      <c r="F528" s="149">
        <f t="shared" si="7"/>
        <v>69638.8</v>
      </c>
      <c r="G528" s="1075"/>
    </row>
    <row r="529" spans="1:7" s="145" customFormat="1" ht="15.75" customHeight="1">
      <c r="A529" s="947" t="s">
        <v>613</v>
      </c>
      <c r="B529" s="980"/>
      <c r="C529" s="148" t="s">
        <v>3</v>
      </c>
      <c r="D529" s="16">
        <v>3</v>
      </c>
      <c r="E529" s="17">
        <f>+'INSUMOS ELÉCTRICOS'!E24</f>
        <v>780</v>
      </c>
      <c r="F529" s="149">
        <f t="shared" si="7"/>
        <v>2340</v>
      </c>
      <c r="G529" s="1075"/>
    </row>
    <row r="530" spans="1:7" s="145" customFormat="1" ht="15.75" customHeight="1">
      <c r="A530" s="947" t="s">
        <v>615</v>
      </c>
      <c r="B530" s="980"/>
      <c r="C530" s="148" t="s">
        <v>3</v>
      </c>
      <c r="D530" s="16">
        <v>0</v>
      </c>
      <c r="E530" s="17">
        <f>+'INSUMOS ELÉCTRICOS'!E28</f>
        <v>2946.44</v>
      </c>
      <c r="F530" s="149">
        <f t="shared" si="7"/>
        <v>0</v>
      </c>
      <c r="G530" s="1075"/>
    </row>
    <row r="531" spans="1:7" s="145" customFormat="1" ht="15.75" customHeight="1">
      <c r="A531" s="947" t="s">
        <v>616</v>
      </c>
      <c r="B531" s="980"/>
      <c r="C531" s="148" t="s">
        <v>3</v>
      </c>
      <c r="D531" s="16">
        <v>1</v>
      </c>
      <c r="E531" s="17">
        <f>+'INSUMOS ELÉCTRICOS'!E29</f>
        <v>4190</v>
      </c>
      <c r="F531" s="149">
        <f t="shared" si="7"/>
        <v>4190</v>
      </c>
      <c r="G531" s="1075"/>
    </row>
    <row r="532" spans="1:7" s="145" customFormat="1" ht="15.75" customHeight="1">
      <c r="A532" s="947" t="s">
        <v>614</v>
      </c>
      <c r="B532" s="980"/>
      <c r="C532" s="148" t="s">
        <v>3</v>
      </c>
      <c r="D532" s="16">
        <v>0.5</v>
      </c>
      <c r="E532" s="17">
        <f>+'INSUMOS ELÉCTRICOS'!E25</f>
        <v>11900</v>
      </c>
      <c r="F532" s="149">
        <f t="shared" si="7"/>
        <v>5950</v>
      </c>
      <c r="G532" s="1075"/>
    </row>
    <row r="533" spans="1:7" s="145" customFormat="1" ht="15.75" customHeight="1">
      <c r="A533" s="947" t="s">
        <v>642</v>
      </c>
      <c r="B533" s="980"/>
      <c r="C533" s="148" t="s">
        <v>3</v>
      </c>
      <c r="D533" s="16">
        <v>12.6</v>
      </c>
      <c r="E533" s="785">
        <v>2567.4964</v>
      </c>
      <c r="F533" s="149">
        <f t="shared" si="7"/>
        <v>32350.45464</v>
      </c>
      <c r="G533" s="1075"/>
    </row>
    <row r="534" spans="1:7" s="145" customFormat="1" ht="15" customHeight="1">
      <c r="A534" s="947"/>
      <c r="B534" s="1115"/>
      <c r="C534" s="16"/>
      <c r="D534" s="58"/>
      <c r="E534" s="17"/>
      <c r="F534" s="55"/>
      <c r="G534" s="57">
        <f>SUM(F525:F534)</f>
        <v>141442.65464000002</v>
      </c>
    </row>
    <row r="535" spans="1:7" s="145" customFormat="1" ht="15" customHeight="1">
      <c r="A535" s="1114" t="s">
        <v>15</v>
      </c>
      <c r="B535" s="1115"/>
      <c r="C535" s="1115"/>
      <c r="D535" s="1115"/>
      <c r="E535" s="1115"/>
      <c r="F535" s="1115"/>
      <c r="G535" s="1116"/>
    </row>
    <row r="536" spans="1:7" s="145" customFormat="1" ht="15" customHeight="1">
      <c r="A536" s="1074" t="s">
        <v>2</v>
      </c>
      <c r="B536" s="1115"/>
      <c r="C536" s="53" t="s">
        <v>3</v>
      </c>
      <c r="D536" s="53" t="s">
        <v>4</v>
      </c>
      <c r="E536" s="53" t="s">
        <v>6</v>
      </c>
      <c r="F536" s="53" t="s">
        <v>11</v>
      </c>
      <c r="G536" s="1075" t="s">
        <v>8</v>
      </c>
    </row>
    <row r="537" spans="1:7" s="145" customFormat="1" ht="15" customHeight="1">
      <c r="A537" s="943" t="s">
        <v>173</v>
      </c>
      <c r="B537" s="1115"/>
      <c r="C537" s="16" t="s">
        <v>3</v>
      </c>
      <c r="D537" s="16">
        <v>1.4E-2</v>
      </c>
      <c r="E537" s="17">
        <f>G534</f>
        <v>141442.65464000002</v>
      </c>
      <c r="F537" s="55">
        <f>D537*E537</f>
        <v>1980.1971649600005</v>
      </c>
      <c r="G537" s="1116"/>
    </row>
    <row r="538" spans="1:7" s="145" customFormat="1" ht="15" customHeight="1">
      <c r="A538" s="151"/>
      <c r="B538" s="152"/>
      <c r="C538" s="152"/>
      <c r="D538" s="152"/>
      <c r="E538" s="152"/>
      <c r="F538" s="152"/>
      <c r="G538" s="57">
        <f>SUM(F537:F538)</f>
        <v>1980.1971649600005</v>
      </c>
    </row>
    <row r="539" spans="1:7" s="145" customFormat="1" ht="13.8">
      <c r="A539" s="1114" t="s">
        <v>19</v>
      </c>
      <c r="B539" s="1115"/>
      <c r="C539" s="1115"/>
      <c r="D539" s="1115"/>
      <c r="E539" s="1115"/>
      <c r="F539" s="1115"/>
      <c r="G539" s="1116"/>
    </row>
    <row r="540" spans="1:7" s="145" customFormat="1" ht="15" customHeight="1">
      <c r="A540" s="1074" t="s">
        <v>2</v>
      </c>
      <c r="B540" s="1115"/>
      <c r="C540" s="53" t="s">
        <v>3</v>
      </c>
      <c r="D540" s="53" t="s">
        <v>4</v>
      </c>
      <c r="E540" s="53" t="s">
        <v>6</v>
      </c>
      <c r="F540" s="53" t="s">
        <v>11</v>
      </c>
      <c r="G540" s="1075" t="s">
        <v>8</v>
      </c>
    </row>
    <row r="541" spans="1:7" s="145" customFormat="1" ht="15" customHeight="1">
      <c r="A541" s="978" t="s">
        <v>1256</v>
      </c>
      <c r="B541" s="979"/>
      <c r="C541" s="13" t="s">
        <v>1245</v>
      </c>
      <c r="D541" s="32">
        <v>0.7</v>
      </c>
      <c r="E541" s="13">
        <v>20030</v>
      </c>
      <c r="F541" s="55">
        <f>+D541*E541</f>
        <v>14021</v>
      </c>
      <c r="G541" s="1116"/>
    </row>
    <row r="542" spans="1:7" s="145" customFormat="1" ht="15" customHeight="1">
      <c r="A542" s="155"/>
      <c r="B542" s="156"/>
      <c r="C542" s="156"/>
      <c r="D542" s="156"/>
      <c r="E542" s="156"/>
      <c r="F542" s="156"/>
      <c r="G542" s="57">
        <f>SUM(F540:F542)</f>
        <v>14021</v>
      </c>
    </row>
    <row r="543" spans="1:7" s="145" customFormat="1" ht="15" customHeight="1">
      <c r="A543" s="1119" t="s">
        <v>25</v>
      </c>
      <c r="B543" s="1120"/>
      <c r="C543" s="1120"/>
      <c r="D543" s="1120"/>
      <c r="E543" s="1120"/>
      <c r="F543" s="1120"/>
      <c r="G543" s="1121"/>
    </row>
    <row r="544" spans="1:7" s="145" customFormat="1" ht="15" customHeight="1">
      <c r="A544" s="1122"/>
      <c r="B544" s="1120"/>
      <c r="C544" s="1120"/>
      <c r="D544" s="1120"/>
      <c r="E544" s="1120"/>
      <c r="F544" s="1120"/>
      <c r="G544" s="157">
        <f>G542+G538+G534+G523</f>
        <v>158144.90180496001</v>
      </c>
    </row>
    <row r="545" spans="1:7" s="145" customFormat="1" ht="15" customHeight="1">
      <c r="A545" s="158"/>
      <c r="B545" s="159"/>
      <c r="C545" s="159"/>
      <c r="D545" s="159"/>
      <c r="E545" s="159"/>
      <c r="F545" s="159"/>
      <c r="G545" s="160"/>
    </row>
    <row r="546" spans="1:7" s="145" customFormat="1" ht="15" customHeight="1">
      <c r="A546" s="1123" t="s">
        <v>1</v>
      </c>
      <c r="B546" s="1120"/>
      <c r="C546" s="953" t="s">
        <v>594</v>
      </c>
      <c r="D546" s="1125"/>
      <c r="E546" s="1125"/>
      <c r="F546" s="1125"/>
      <c r="G546" s="1126"/>
    </row>
    <row r="547" spans="1:7" s="145" customFormat="1" ht="15" customHeight="1">
      <c r="A547" s="1124"/>
      <c r="B547" s="1120"/>
      <c r="C547" s="1125"/>
      <c r="D547" s="1125"/>
      <c r="E547" s="1125"/>
      <c r="F547" s="1125"/>
      <c r="G547" s="1126"/>
    </row>
    <row r="548" spans="1:7" s="145" customFormat="1" ht="15" customHeight="1">
      <c r="A548" s="1124"/>
      <c r="B548" s="1120"/>
      <c r="C548" s="1127" t="s">
        <v>665</v>
      </c>
      <c r="D548" s="1120"/>
      <c r="E548" s="1120"/>
      <c r="F548" s="1120"/>
      <c r="G548" s="1121"/>
    </row>
    <row r="549" spans="1:7" s="145" customFormat="1" ht="15" customHeight="1">
      <c r="A549" s="1124"/>
      <c r="B549" s="1120"/>
      <c r="C549" s="1128" t="s">
        <v>2</v>
      </c>
      <c r="D549" s="1120"/>
      <c r="E549" s="1120"/>
      <c r="F549" s="146" t="s">
        <v>3</v>
      </c>
      <c r="G549" s="147" t="s">
        <v>4</v>
      </c>
    </row>
    <row r="550" spans="1:7" s="145" customFormat="1" ht="74.25" customHeight="1">
      <c r="A550" s="1073" t="s">
        <v>669</v>
      </c>
      <c r="B550" s="1115"/>
      <c r="C550" s="1118" t="s">
        <v>670</v>
      </c>
      <c r="D550" s="1129"/>
      <c r="E550" s="1129"/>
      <c r="F550" s="162" t="s">
        <v>28</v>
      </c>
      <c r="G550" s="52">
        <v>1</v>
      </c>
    </row>
    <row r="551" spans="1:7" s="145" customFormat="1" ht="15" customHeight="1">
      <c r="A551" s="1114" t="s">
        <v>5</v>
      </c>
      <c r="B551" s="1115"/>
      <c r="C551" s="1115"/>
      <c r="D551" s="1115"/>
      <c r="E551" s="1115"/>
      <c r="F551" s="1115"/>
      <c r="G551" s="1116"/>
    </row>
    <row r="552" spans="1:7" s="145" customFormat="1" ht="15" customHeight="1">
      <c r="A552" s="1074" t="s">
        <v>2</v>
      </c>
      <c r="B552" s="1115"/>
      <c r="C552" s="53" t="s">
        <v>3</v>
      </c>
      <c r="D552" s="53" t="s">
        <v>4</v>
      </c>
      <c r="E552" s="53" t="s">
        <v>6</v>
      </c>
      <c r="F552" s="53" t="s">
        <v>7</v>
      </c>
      <c r="G552" s="1075" t="s">
        <v>8</v>
      </c>
    </row>
    <row r="553" spans="1:7" s="145" customFormat="1" ht="15" customHeight="1">
      <c r="A553" s="947" t="s">
        <v>167</v>
      </c>
      <c r="B553" s="1115"/>
      <c r="C553" s="51" t="s">
        <v>3</v>
      </c>
      <c r="D553" s="51">
        <v>0.05</v>
      </c>
      <c r="E553" s="17">
        <f>G573</f>
        <v>14021</v>
      </c>
      <c r="F553" s="55">
        <f>D553*E553</f>
        <v>701.05000000000007</v>
      </c>
      <c r="G553" s="1116"/>
    </row>
    <row r="554" spans="1:7" s="145" customFormat="1" ht="15" customHeight="1">
      <c r="A554" s="943"/>
      <c r="B554" s="1115"/>
      <c r="C554" s="51"/>
      <c r="D554" s="51"/>
      <c r="E554" s="51"/>
      <c r="F554" s="55"/>
      <c r="G554" s="57">
        <f>SUM(F552:F554)</f>
        <v>701.05000000000007</v>
      </c>
    </row>
    <row r="555" spans="1:7" s="145" customFormat="1" ht="15" customHeight="1">
      <c r="A555" s="1114" t="s">
        <v>10</v>
      </c>
      <c r="B555" s="1115"/>
      <c r="C555" s="1115"/>
      <c r="D555" s="1115"/>
      <c r="E555" s="1115"/>
      <c r="F555" s="1115"/>
      <c r="G555" s="1116"/>
    </row>
    <row r="556" spans="1:7" s="145" customFormat="1" ht="15" customHeight="1">
      <c r="A556" s="1074" t="s">
        <v>2</v>
      </c>
      <c r="B556" s="1115"/>
      <c r="C556" s="53" t="s">
        <v>3</v>
      </c>
      <c r="D556" s="53" t="s">
        <v>4</v>
      </c>
      <c r="E556" s="53" t="s">
        <v>6</v>
      </c>
      <c r="F556" s="53" t="s">
        <v>11</v>
      </c>
      <c r="G556" s="1075" t="s">
        <v>8</v>
      </c>
    </row>
    <row r="557" spans="1:7" s="145" customFormat="1" ht="15" customHeight="1">
      <c r="A557" s="947" t="s">
        <v>612</v>
      </c>
      <c r="B557" s="980"/>
      <c r="C557" s="148" t="s">
        <v>3</v>
      </c>
      <c r="D557" s="148">
        <v>20</v>
      </c>
      <c r="E557" s="17">
        <f>+'INSUMOS ELÉCTRICOS'!E126</f>
        <v>348.66999999999996</v>
      </c>
      <c r="F557" s="149">
        <f t="shared" ref="F557:F564" si="8">D557*E557</f>
        <v>6973.4</v>
      </c>
      <c r="G557" s="1075"/>
    </row>
    <row r="558" spans="1:7" s="145" customFormat="1" ht="15" customHeight="1">
      <c r="A558" s="947" t="s">
        <v>640</v>
      </c>
      <c r="B558" s="980"/>
      <c r="C558" s="148" t="s">
        <v>3</v>
      </c>
      <c r="D558" s="148">
        <v>1</v>
      </c>
      <c r="E558" s="17">
        <f>+'INSUMOS ELÉCTRICOS'!E53</f>
        <v>20000</v>
      </c>
      <c r="F558" s="149">
        <f t="shared" si="8"/>
        <v>20000</v>
      </c>
      <c r="G558" s="1075"/>
    </row>
    <row r="559" spans="1:7" s="145" customFormat="1" ht="15" customHeight="1">
      <c r="A559" s="947" t="s">
        <v>641</v>
      </c>
      <c r="B559" s="980"/>
      <c r="C559" s="148" t="s">
        <v>3</v>
      </c>
      <c r="D559" s="16">
        <v>4.2</v>
      </c>
      <c r="E559" s="17">
        <f>+'INSUMOS ELÉCTRICOS'!E26</f>
        <v>16580.666666666668</v>
      </c>
      <c r="F559" s="149">
        <f t="shared" si="8"/>
        <v>69638.8</v>
      </c>
      <c r="G559" s="1075"/>
    </row>
    <row r="560" spans="1:7" s="145" customFormat="1" ht="15" customHeight="1">
      <c r="A560" s="947" t="s">
        <v>613</v>
      </c>
      <c r="B560" s="980"/>
      <c r="C560" s="148" t="s">
        <v>3</v>
      </c>
      <c r="D560" s="16">
        <v>3</v>
      </c>
      <c r="E560" s="17">
        <f>+'INSUMOS ELÉCTRICOS'!E24</f>
        <v>780</v>
      </c>
      <c r="F560" s="149">
        <f t="shared" si="8"/>
        <v>2340</v>
      </c>
      <c r="G560" s="1075"/>
    </row>
    <row r="561" spans="1:7" s="145" customFormat="1" ht="15" customHeight="1">
      <c r="A561" s="947" t="s">
        <v>615</v>
      </c>
      <c r="B561" s="980"/>
      <c r="C561" s="148" t="s">
        <v>3</v>
      </c>
      <c r="D561" s="16">
        <v>0</v>
      </c>
      <c r="E561" s="17">
        <f>+'INSUMOS ELÉCTRICOS'!E28</f>
        <v>2946.44</v>
      </c>
      <c r="F561" s="149">
        <f t="shared" si="8"/>
        <v>0</v>
      </c>
      <c r="G561" s="1075"/>
    </row>
    <row r="562" spans="1:7" s="145" customFormat="1" ht="15.75" customHeight="1">
      <c r="A562" s="947" t="s">
        <v>616</v>
      </c>
      <c r="B562" s="980"/>
      <c r="C562" s="148" t="s">
        <v>3</v>
      </c>
      <c r="D562" s="16">
        <v>1</v>
      </c>
      <c r="E562" s="17">
        <f>+'INSUMOS ELÉCTRICOS'!E29</f>
        <v>4190</v>
      </c>
      <c r="F562" s="149">
        <f t="shared" si="8"/>
        <v>4190</v>
      </c>
      <c r="G562" s="1075"/>
    </row>
    <row r="563" spans="1:7" s="2" customFormat="1" ht="15.75" customHeight="1">
      <c r="A563" s="947" t="s">
        <v>614</v>
      </c>
      <c r="B563" s="980"/>
      <c r="C563" s="148" t="s">
        <v>3</v>
      </c>
      <c r="D563" s="16">
        <v>0.5</v>
      </c>
      <c r="E563" s="17">
        <f>+'INSUMOS ELÉCTRICOS'!E25</f>
        <v>11900</v>
      </c>
      <c r="F563" s="149">
        <f t="shared" si="8"/>
        <v>5950</v>
      </c>
      <c r="G563" s="1075"/>
    </row>
    <row r="564" spans="1:7" s="145" customFormat="1" ht="15" customHeight="1">
      <c r="A564" s="947" t="s">
        <v>642</v>
      </c>
      <c r="B564" s="980"/>
      <c r="C564" s="148" t="s">
        <v>3</v>
      </c>
      <c r="D564" s="16">
        <v>12.6</v>
      </c>
      <c r="E564" s="785">
        <v>2567.4964</v>
      </c>
      <c r="F564" s="149">
        <f t="shared" si="8"/>
        <v>32350.45464</v>
      </c>
      <c r="G564" s="1075"/>
    </row>
    <row r="565" spans="1:7" s="145" customFormat="1" ht="15" customHeight="1">
      <c r="A565" s="947"/>
      <c r="B565" s="1115"/>
      <c r="C565" s="16"/>
      <c r="D565" s="58"/>
      <c r="E565" s="17"/>
      <c r="F565" s="55"/>
      <c r="G565" s="57">
        <f>SUM(F556:F565)</f>
        <v>141442.65464000002</v>
      </c>
    </row>
    <row r="566" spans="1:7" s="145" customFormat="1" ht="15" customHeight="1">
      <c r="A566" s="1114" t="s">
        <v>15</v>
      </c>
      <c r="B566" s="1115"/>
      <c r="C566" s="1115"/>
      <c r="D566" s="1115"/>
      <c r="E566" s="1115"/>
      <c r="F566" s="1115"/>
      <c r="G566" s="1116"/>
    </row>
    <row r="567" spans="1:7" s="145" customFormat="1" ht="15" customHeight="1">
      <c r="A567" s="1074" t="s">
        <v>2</v>
      </c>
      <c r="B567" s="1115"/>
      <c r="C567" s="53" t="s">
        <v>3</v>
      </c>
      <c r="D567" s="53" t="s">
        <v>4</v>
      </c>
      <c r="E567" s="53" t="s">
        <v>6</v>
      </c>
      <c r="F567" s="53" t="s">
        <v>11</v>
      </c>
      <c r="G567" s="1075" t="s">
        <v>8</v>
      </c>
    </row>
    <row r="568" spans="1:7" s="145" customFormat="1" ht="15" customHeight="1">
      <c r="A568" s="943" t="s">
        <v>173</v>
      </c>
      <c r="B568" s="1115"/>
      <c r="C568" s="16" t="s">
        <v>3</v>
      </c>
      <c r="D568" s="16">
        <v>1.4E-2</v>
      </c>
      <c r="E568" s="17">
        <f>G565</f>
        <v>141442.65464000002</v>
      </c>
      <c r="F568" s="55">
        <f>D568*E568</f>
        <v>1980.1971649600005</v>
      </c>
      <c r="G568" s="1116"/>
    </row>
    <row r="569" spans="1:7" s="145" customFormat="1" ht="13.8">
      <c r="A569" s="151"/>
      <c r="B569" s="152"/>
      <c r="C569" s="152"/>
      <c r="D569" s="152"/>
      <c r="E569" s="152"/>
      <c r="F569" s="152"/>
      <c r="G569" s="57">
        <f>SUM(F568:F569)</f>
        <v>1980.1971649600005</v>
      </c>
    </row>
    <row r="570" spans="1:7" s="145" customFormat="1" ht="15" customHeight="1">
      <c r="A570" s="1114" t="s">
        <v>19</v>
      </c>
      <c r="B570" s="1115"/>
      <c r="C570" s="1115"/>
      <c r="D570" s="1115"/>
      <c r="E570" s="1115"/>
      <c r="F570" s="1115"/>
      <c r="G570" s="1116"/>
    </row>
    <row r="571" spans="1:7" s="145" customFormat="1" ht="15" customHeight="1">
      <c r="A571" s="1074" t="s">
        <v>2</v>
      </c>
      <c r="B571" s="1115"/>
      <c r="C571" s="53" t="s">
        <v>3</v>
      </c>
      <c r="D571" s="53" t="s">
        <v>4</v>
      </c>
      <c r="E571" s="53" t="s">
        <v>6</v>
      </c>
      <c r="F571" s="53" t="s">
        <v>11</v>
      </c>
      <c r="G571" s="1075" t="s">
        <v>8</v>
      </c>
    </row>
    <row r="572" spans="1:7" s="145" customFormat="1" ht="15" customHeight="1">
      <c r="A572" s="978" t="s">
        <v>1256</v>
      </c>
      <c r="B572" s="979"/>
      <c r="C572" s="13" t="s">
        <v>1245</v>
      </c>
      <c r="D572" s="32">
        <v>0.7</v>
      </c>
      <c r="E572" s="13">
        <v>20030</v>
      </c>
      <c r="F572" s="55">
        <f>+D572*E572</f>
        <v>14021</v>
      </c>
      <c r="G572" s="1116"/>
    </row>
    <row r="573" spans="1:7" s="145" customFormat="1" ht="15" customHeight="1">
      <c r="A573" s="155"/>
      <c r="B573" s="156"/>
      <c r="C573" s="156"/>
      <c r="D573" s="156"/>
      <c r="E573" s="156"/>
      <c r="F573" s="156"/>
      <c r="G573" s="57">
        <f>SUM(F571:F573)</f>
        <v>14021</v>
      </c>
    </row>
    <row r="574" spans="1:7" s="145" customFormat="1" ht="15" customHeight="1">
      <c r="A574" s="1119" t="s">
        <v>25</v>
      </c>
      <c r="B574" s="1120"/>
      <c r="C574" s="1120"/>
      <c r="D574" s="1120"/>
      <c r="E574" s="1120"/>
      <c r="F574" s="1120"/>
      <c r="G574" s="1121"/>
    </row>
    <row r="575" spans="1:7" s="145" customFormat="1" ht="15" customHeight="1">
      <c r="A575" s="1122"/>
      <c r="B575" s="1120"/>
      <c r="C575" s="1120"/>
      <c r="D575" s="1120"/>
      <c r="E575" s="1120"/>
      <c r="F575" s="1120"/>
      <c r="G575" s="157">
        <f>G573+G569+G565+G554</f>
        <v>158144.90180496001</v>
      </c>
    </row>
    <row r="576" spans="1:7" s="145" customFormat="1" ht="15.75" customHeight="1">
      <c r="A576" s="158"/>
      <c r="B576" s="159"/>
      <c r="C576" s="159"/>
      <c r="D576" s="159"/>
      <c r="E576" s="159"/>
      <c r="F576" s="159"/>
      <c r="G576" s="160"/>
    </row>
    <row r="577" spans="1:7" s="150" customFormat="1" ht="16.2" customHeight="1">
      <c r="A577" s="1123" t="s">
        <v>1</v>
      </c>
      <c r="B577" s="1120"/>
      <c r="C577" s="953" t="s">
        <v>594</v>
      </c>
      <c r="D577" s="1125"/>
      <c r="E577" s="1125"/>
      <c r="F577" s="1125"/>
      <c r="G577" s="1126"/>
    </row>
    <row r="578" spans="1:7" s="145" customFormat="1" ht="16.2" customHeight="1">
      <c r="A578" s="1124"/>
      <c r="B578" s="1120"/>
      <c r="C578" s="1125"/>
      <c r="D578" s="1125"/>
      <c r="E578" s="1125"/>
      <c r="F578" s="1125"/>
      <c r="G578" s="1126"/>
    </row>
    <row r="579" spans="1:7" s="145" customFormat="1" ht="16.2" customHeight="1">
      <c r="A579" s="1124"/>
      <c r="B579" s="1120"/>
      <c r="C579" s="1127" t="s">
        <v>665</v>
      </c>
      <c r="D579" s="1120"/>
      <c r="E579" s="1120"/>
      <c r="F579" s="1120"/>
      <c r="G579" s="1121"/>
    </row>
    <row r="580" spans="1:7" s="145" customFormat="1" ht="16.2" customHeight="1">
      <c r="A580" s="1124"/>
      <c r="B580" s="1120"/>
      <c r="C580" s="1128" t="s">
        <v>2</v>
      </c>
      <c r="D580" s="1120"/>
      <c r="E580" s="1120"/>
      <c r="F580" s="146" t="s">
        <v>3</v>
      </c>
      <c r="G580" s="147" t="s">
        <v>4</v>
      </c>
    </row>
    <row r="581" spans="1:7" s="145" customFormat="1" ht="87" customHeight="1">
      <c r="A581" s="1073" t="s">
        <v>675</v>
      </c>
      <c r="B581" s="1115"/>
      <c r="C581" s="980" t="s">
        <v>676</v>
      </c>
      <c r="D581" s="1115"/>
      <c r="E581" s="1115"/>
      <c r="F581" s="162" t="s">
        <v>28</v>
      </c>
      <c r="G581" s="52">
        <v>1</v>
      </c>
    </row>
    <row r="582" spans="1:7" s="145" customFormat="1" ht="16.2" customHeight="1">
      <c r="A582" s="1114" t="s">
        <v>5</v>
      </c>
      <c r="B582" s="1115"/>
      <c r="C582" s="1115"/>
      <c r="D582" s="1115"/>
      <c r="E582" s="1115"/>
      <c r="F582" s="1115"/>
      <c r="G582" s="1116"/>
    </row>
    <row r="583" spans="1:7" s="145" customFormat="1" ht="16.2" customHeight="1">
      <c r="A583" s="1074" t="s">
        <v>2</v>
      </c>
      <c r="B583" s="1115"/>
      <c r="C583" s="53" t="s">
        <v>3</v>
      </c>
      <c r="D583" s="53" t="s">
        <v>4</v>
      </c>
      <c r="E583" s="53" t="s">
        <v>6</v>
      </c>
      <c r="F583" s="53" t="s">
        <v>7</v>
      </c>
      <c r="G583" s="1075" t="s">
        <v>8</v>
      </c>
    </row>
    <row r="584" spans="1:7" s="145" customFormat="1" ht="16.2" customHeight="1">
      <c r="A584" s="947" t="s">
        <v>167</v>
      </c>
      <c r="B584" s="1115"/>
      <c r="C584" s="51" t="s">
        <v>3</v>
      </c>
      <c r="D584" s="51">
        <v>0.05</v>
      </c>
      <c r="E584" s="17">
        <f>G602</f>
        <v>20030</v>
      </c>
      <c r="F584" s="55">
        <f>D584*E584</f>
        <v>1001.5</v>
      </c>
      <c r="G584" s="1116"/>
    </row>
    <row r="585" spans="1:7" s="145" customFormat="1" ht="16.2" customHeight="1">
      <c r="A585" s="943"/>
      <c r="B585" s="1115"/>
      <c r="C585" s="51"/>
      <c r="D585" s="51"/>
      <c r="E585" s="51"/>
      <c r="F585" s="55"/>
      <c r="G585" s="57">
        <f>SUM(F583:F585)</f>
        <v>1001.5</v>
      </c>
    </row>
    <row r="586" spans="1:7" s="145" customFormat="1" ht="16.2" customHeight="1">
      <c r="A586" s="1114" t="s">
        <v>10</v>
      </c>
      <c r="B586" s="1115"/>
      <c r="C586" s="1115"/>
      <c r="D586" s="1115"/>
      <c r="E586" s="1115"/>
      <c r="F586" s="1115"/>
      <c r="G586" s="1116"/>
    </row>
    <row r="587" spans="1:7" s="145" customFormat="1" ht="16.2" customHeight="1">
      <c r="A587" s="1074" t="s">
        <v>2</v>
      </c>
      <c r="B587" s="1115"/>
      <c r="C587" s="53" t="s">
        <v>3</v>
      </c>
      <c r="D587" s="53" t="s">
        <v>4</v>
      </c>
      <c r="E587" s="53" t="s">
        <v>6</v>
      </c>
      <c r="F587" s="53" t="s">
        <v>11</v>
      </c>
      <c r="G587" s="1075" t="s">
        <v>8</v>
      </c>
    </row>
    <row r="588" spans="1:7" s="150" customFormat="1" ht="16.2" customHeight="1">
      <c r="A588" s="947" t="s">
        <v>615</v>
      </c>
      <c r="B588" s="980"/>
      <c r="C588" s="148" t="s">
        <v>3</v>
      </c>
      <c r="D588" s="148">
        <v>1</v>
      </c>
      <c r="E588" s="17">
        <f>+'INSUMOS ELÉCTRICOS'!E28</f>
        <v>2946.44</v>
      </c>
      <c r="F588" s="149">
        <f t="shared" ref="F588:F593" si="9">D588*E588</f>
        <v>2946.44</v>
      </c>
      <c r="G588" s="1075"/>
    </row>
    <row r="589" spans="1:7" s="145" customFormat="1" ht="15.75" customHeight="1">
      <c r="A589" s="947" t="s">
        <v>642</v>
      </c>
      <c r="B589" s="980"/>
      <c r="C589" s="148" t="s">
        <v>622</v>
      </c>
      <c r="D589" s="16">
        <v>12.6</v>
      </c>
      <c r="E589" s="785">
        <v>2567.4964</v>
      </c>
      <c r="F589" s="149">
        <f t="shared" si="9"/>
        <v>32350.45464</v>
      </c>
      <c r="G589" s="1075"/>
    </row>
    <row r="590" spans="1:7" s="145" customFormat="1" ht="15.75" customHeight="1">
      <c r="A590" s="947" t="s">
        <v>643</v>
      </c>
      <c r="B590" s="980"/>
      <c r="C590" s="148" t="s">
        <v>3</v>
      </c>
      <c r="D590" s="148">
        <v>4</v>
      </c>
      <c r="E590" s="785">
        <f>+'INSUMOS ELÉCTRICOS'!E121</f>
        <v>1189</v>
      </c>
      <c r="F590" s="149">
        <f t="shared" si="9"/>
        <v>4756</v>
      </c>
      <c r="G590" s="1075"/>
    </row>
    <row r="591" spans="1:7" s="145" customFormat="1" ht="15.75" customHeight="1">
      <c r="A591" s="947" t="s">
        <v>645</v>
      </c>
      <c r="B591" s="980"/>
      <c r="C591" s="148" t="s">
        <v>3</v>
      </c>
      <c r="D591" s="148">
        <v>0.02</v>
      </c>
      <c r="E591" s="785">
        <v>5598.95</v>
      </c>
      <c r="F591" s="149">
        <f t="shared" si="9"/>
        <v>111.979</v>
      </c>
      <c r="G591" s="1075"/>
    </row>
    <row r="592" spans="1:7" s="145" customFormat="1" ht="15.75" customHeight="1">
      <c r="A592" s="947" t="s">
        <v>646</v>
      </c>
      <c r="B592" s="980"/>
      <c r="C592" s="148" t="s">
        <v>3</v>
      </c>
      <c r="D592" s="148">
        <v>0.02</v>
      </c>
      <c r="E592" s="785">
        <f>+'INSUMOS ELÉCTRICOS'!E120</f>
        <v>25000</v>
      </c>
      <c r="F592" s="149">
        <f t="shared" si="9"/>
        <v>500</v>
      </c>
      <c r="G592" s="1075"/>
    </row>
    <row r="593" spans="1:7" s="145" customFormat="1" ht="15.75" customHeight="1">
      <c r="A593" s="1117" t="s">
        <v>674</v>
      </c>
      <c r="B593" s="1118"/>
      <c r="C593" s="148" t="s">
        <v>3</v>
      </c>
      <c r="D593" s="148">
        <v>1</v>
      </c>
      <c r="E593" s="17">
        <f>+'INSUMOS ELÉCTRICOS'!E12</f>
        <v>14000</v>
      </c>
      <c r="F593" s="149">
        <f t="shared" si="9"/>
        <v>14000</v>
      </c>
      <c r="G593" s="1075"/>
    </row>
    <row r="594" spans="1:7" s="145" customFormat="1" ht="15.75" customHeight="1">
      <c r="A594" s="947"/>
      <c r="B594" s="1115"/>
      <c r="C594" s="16"/>
      <c r="D594" s="58"/>
      <c r="E594" s="17"/>
      <c r="F594" s="55"/>
      <c r="G594" s="57">
        <f>SUM(F587:F594)</f>
        <v>54664.873639999998</v>
      </c>
    </row>
    <row r="595" spans="1:7" s="145" customFormat="1" ht="15.75" customHeight="1">
      <c r="A595" s="1114" t="s">
        <v>15</v>
      </c>
      <c r="B595" s="1115"/>
      <c r="C595" s="1115"/>
      <c r="D595" s="1115"/>
      <c r="E595" s="1115"/>
      <c r="F595" s="1115"/>
      <c r="G595" s="1116"/>
    </row>
    <row r="596" spans="1:7" s="145" customFormat="1" ht="15.75" customHeight="1">
      <c r="A596" s="1074" t="s">
        <v>2</v>
      </c>
      <c r="B596" s="1115"/>
      <c r="C596" s="53" t="s">
        <v>3</v>
      </c>
      <c r="D596" s="53" t="s">
        <v>4</v>
      </c>
      <c r="E596" s="53" t="s">
        <v>6</v>
      </c>
      <c r="F596" s="53" t="s">
        <v>11</v>
      </c>
      <c r="G596" s="1075" t="s">
        <v>8</v>
      </c>
    </row>
    <row r="597" spans="1:7" s="145" customFormat="1" ht="15.75" customHeight="1">
      <c r="A597" s="943" t="s">
        <v>173</v>
      </c>
      <c r="B597" s="1115"/>
      <c r="C597" s="16" t="s">
        <v>3</v>
      </c>
      <c r="D597" s="16">
        <v>0.05</v>
      </c>
      <c r="E597" s="17">
        <f>G594</f>
        <v>54664.873639999998</v>
      </c>
      <c r="F597" s="55">
        <f>D597*E597</f>
        <v>2733.2436820000003</v>
      </c>
      <c r="G597" s="1116"/>
    </row>
    <row r="598" spans="1:7" s="145" customFormat="1" ht="15.75" customHeight="1">
      <c r="A598" s="151"/>
      <c r="B598" s="152"/>
      <c r="C598" s="152"/>
      <c r="D598" s="152"/>
      <c r="E598" s="152"/>
      <c r="F598" s="152"/>
      <c r="G598" s="57">
        <f>SUM(F597:F598)</f>
        <v>2733.2436820000003</v>
      </c>
    </row>
    <row r="599" spans="1:7" s="145" customFormat="1" ht="15" customHeight="1">
      <c r="A599" s="1114" t="s">
        <v>19</v>
      </c>
      <c r="B599" s="1115"/>
      <c r="C599" s="1115"/>
      <c r="D599" s="1115"/>
      <c r="E599" s="1115"/>
      <c r="F599" s="1115"/>
      <c r="G599" s="1116"/>
    </row>
    <row r="600" spans="1:7" s="145" customFormat="1" ht="15" customHeight="1">
      <c r="A600" s="1074" t="s">
        <v>2</v>
      </c>
      <c r="B600" s="1115"/>
      <c r="C600" s="53" t="s">
        <v>3</v>
      </c>
      <c r="D600" s="53" t="s">
        <v>4</v>
      </c>
      <c r="E600" s="53" t="s">
        <v>6</v>
      </c>
      <c r="F600" s="53" t="s">
        <v>11</v>
      </c>
      <c r="G600" s="1075" t="s">
        <v>8</v>
      </c>
    </row>
    <row r="601" spans="1:7" s="145" customFormat="1" ht="15" customHeight="1">
      <c r="A601" s="978" t="s">
        <v>1256</v>
      </c>
      <c r="B601" s="979"/>
      <c r="C601" s="13" t="s">
        <v>1245</v>
      </c>
      <c r="D601" s="32">
        <v>1</v>
      </c>
      <c r="E601" s="13">
        <v>20030</v>
      </c>
      <c r="F601" s="55">
        <f>+D601*E601</f>
        <v>20030</v>
      </c>
      <c r="G601" s="1116"/>
    </row>
    <row r="602" spans="1:7" s="145" customFormat="1" ht="15" customHeight="1">
      <c r="A602" s="155"/>
      <c r="B602" s="156"/>
      <c r="C602" s="156"/>
      <c r="D602" s="156"/>
      <c r="E602" s="156"/>
      <c r="F602" s="156"/>
      <c r="G602" s="57">
        <f>SUM(F600:F602)</f>
        <v>20030</v>
      </c>
    </row>
    <row r="603" spans="1:7" s="145" customFormat="1" ht="15" customHeight="1">
      <c r="A603" s="1119" t="s">
        <v>25</v>
      </c>
      <c r="B603" s="1120"/>
      <c r="C603" s="1120"/>
      <c r="D603" s="1120"/>
      <c r="E603" s="1120"/>
      <c r="F603" s="1120"/>
      <c r="G603" s="1121"/>
    </row>
    <row r="604" spans="1:7" s="145" customFormat="1" ht="15" customHeight="1">
      <c r="A604" s="1122"/>
      <c r="B604" s="1120"/>
      <c r="C604" s="1120"/>
      <c r="D604" s="1120"/>
      <c r="E604" s="1120"/>
      <c r="F604" s="1120"/>
      <c r="G604" s="157">
        <f>G594+G598+G585+G602</f>
        <v>78429.617322000006</v>
      </c>
    </row>
    <row r="605" spans="1:7" s="145" customFormat="1" ht="15" customHeight="1">
      <c r="A605" s="158"/>
      <c r="B605" s="159"/>
      <c r="C605" s="159"/>
      <c r="D605" s="159"/>
      <c r="E605" s="159"/>
      <c r="F605" s="159"/>
      <c r="G605" s="160"/>
    </row>
    <row r="606" spans="1:7" s="145" customFormat="1" ht="15" customHeight="1">
      <c r="A606" s="1123" t="s">
        <v>1</v>
      </c>
      <c r="B606" s="1120"/>
      <c r="C606" s="953" t="s">
        <v>594</v>
      </c>
      <c r="D606" s="1125"/>
      <c r="E606" s="1125"/>
      <c r="F606" s="1125"/>
      <c r="G606" s="1126"/>
    </row>
    <row r="607" spans="1:7" s="145" customFormat="1" ht="15" customHeight="1">
      <c r="A607" s="1124"/>
      <c r="B607" s="1120"/>
      <c r="C607" s="1125"/>
      <c r="D607" s="1125"/>
      <c r="E607" s="1125"/>
      <c r="F607" s="1125"/>
      <c r="G607" s="1126"/>
    </row>
    <row r="608" spans="1:7" s="145" customFormat="1" ht="15" customHeight="1">
      <c r="A608" s="1124"/>
      <c r="B608" s="1120"/>
      <c r="C608" s="1127" t="s">
        <v>665</v>
      </c>
      <c r="D608" s="1120"/>
      <c r="E608" s="1120"/>
      <c r="F608" s="1120"/>
      <c r="G608" s="1121"/>
    </row>
    <row r="609" spans="1:7" s="145" customFormat="1" ht="15" customHeight="1">
      <c r="A609" s="1124"/>
      <c r="B609" s="1120"/>
      <c r="C609" s="1128" t="s">
        <v>2</v>
      </c>
      <c r="D609" s="1120"/>
      <c r="E609" s="1120"/>
      <c r="F609" s="146" t="s">
        <v>3</v>
      </c>
      <c r="G609" s="147" t="s">
        <v>4</v>
      </c>
    </row>
    <row r="610" spans="1:7" s="145" customFormat="1" ht="99.75" customHeight="1">
      <c r="A610" s="1073" t="s">
        <v>677</v>
      </c>
      <c r="B610" s="1115"/>
      <c r="C610" s="980" t="s">
        <v>678</v>
      </c>
      <c r="D610" s="1115"/>
      <c r="E610" s="1115"/>
      <c r="F610" s="162" t="s">
        <v>28</v>
      </c>
      <c r="G610" s="52">
        <v>1</v>
      </c>
    </row>
    <row r="611" spans="1:7" s="145" customFormat="1" ht="15" customHeight="1">
      <c r="A611" s="1114" t="s">
        <v>5</v>
      </c>
      <c r="B611" s="1115"/>
      <c r="C611" s="1115"/>
      <c r="D611" s="1115"/>
      <c r="E611" s="1115"/>
      <c r="F611" s="1115"/>
      <c r="G611" s="1116"/>
    </row>
    <row r="612" spans="1:7" s="145" customFormat="1" ht="15" customHeight="1">
      <c r="A612" s="1074" t="s">
        <v>2</v>
      </c>
      <c r="B612" s="1115"/>
      <c r="C612" s="53" t="s">
        <v>3</v>
      </c>
      <c r="D612" s="53" t="s">
        <v>4</v>
      </c>
      <c r="E612" s="53" t="s">
        <v>6</v>
      </c>
      <c r="F612" s="53" t="s">
        <v>7</v>
      </c>
      <c r="G612" s="1075" t="s">
        <v>8</v>
      </c>
    </row>
    <row r="613" spans="1:7" s="145" customFormat="1" ht="15" customHeight="1">
      <c r="A613" s="947" t="s">
        <v>167</v>
      </c>
      <c r="B613" s="1115"/>
      <c r="C613" s="51" t="s">
        <v>3</v>
      </c>
      <c r="D613" s="51">
        <v>0.05</v>
      </c>
      <c r="E613" s="17">
        <f>G631</f>
        <v>20030</v>
      </c>
      <c r="F613" s="55">
        <f>D613*E613</f>
        <v>1001.5</v>
      </c>
      <c r="G613" s="1116"/>
    </row>
    <row r="614" spans="1:7" s="145" customFormat="1" ht="15" customHeight="1">
      <c r="A614" s="943"/>
      <c r="B614" s="1115"/>
      <c r="C614" s="51"/>
      <c r="D614" s="51"/>
      <c r="E614" s="51"/>
      <c r="F614" s="55"/>
      <c r="G614" s="57">
        <f>SUM(F612:F614)</f>
        <v>1001.5</v>
      </c>
    </row>
    <row r="615" spans="1:7" s="145" customFormat="1" ht="15" customHeight="1">
      <c r="A615" s="1114" t="s">
        <v>10</v>
      </c>
      <c r="B615" s="1115"/>
      <c r="C615" s="1115"/>
      <c r="D615" s="1115"/>
      <c r="E615" s="1115"/>
      <c r="F615" s="1115"/>
      <c r="G615" s="1116"/>
    </row>
    <row r="616" spans="1:7" s="145" customFormat="1" ht="15" customHeight="1">
      <c r="A616" s="1074" t="s">
        <v>2</v>
      </c>
      <c r="B616" s="1115"/>
      <c r="C616" s="53" t="s">
        <v>3</v>
      </c>
      <c r="D616" s="53" t="s">
        <v>4</v>
      </c>
      <c r="E616" s="53" t="s">
        <v>6</v>
      </c>
      <c r="F616" s="53" t="s">
        <v>11</v>
      </c>
      <c r="G616" s="1075" t="s">
        <v>8</v>
      </c>
    </row>
    <row r="617" spans="1:7" s="145" customFormat="1" ht="15.75" customHeight="1">
      <c r="A617" s="947" t="s">
        <v>615</v>
      </c>
      <c r="B617" s="980"/>
      <c r="C617" s="148" t="s">
        <v>3</v>
      </c>
      <c r="D617" s="148">
        <v>1</v>
      </c>
      <c r="E617" s="17">
        <f>+'INSUMOS ELÉCTRICOS'!E28</f>
        <v>2946.44</v>
      </c>
      <c r="F617" s="149">
        <f t="shared" ref="F617:F622" si="10">D617*E617</f>
        <v>2946.44</v>
      </c>
      <c r="G617" s="1075"/>
    </row>
    <row r="618" spans="1:7" s="145" customFormat="1" ht="15" customHeight="1">
      <c r="A618" s="947" t="s">
        <v>642</v>
      </c>
      <c r="B618" s="980"/>
      <c r="C618" s="148" t="s">
        <v>622</v>
      </c>
      <c r="D618" s="16">
        <v>12.6</v>
      </c>
      <c r="E618" s="785">
        <v>2567.4964</v>
      </c>
      <c r="F618" s="149">
        <f t="shared" si="10"/>
        <v>32350.45464</v>
      </c>
      <c r="G618" s="1075"/>
    </row>
    <row r="619" spans="1:7" s="145" customFormat="1" ht="15.75" customHeight="1">
      <c r="A619" s="947" t="s">
        <v>643</v>
      </c>
      <c r="B619" s="980"/>
      <c r="C619" s="148" t="s">
        <v>3</v>
      </c>
      <c r="D619" s="148">
        <v>4</v>
      </c>
      <c r="E619" s="17">
        <f>+'INSUMOS ELÉCTRICOS'!E121</f>
        <v>1189</v>
      </c>
      <c r="F619" s="149">
        <f t="shared" si="10"/>
        <v>4756</v>
      </c>
      <c r="G619" s="1075"/>
    </row>
    <row r="620" spans="1:7" s="2" customFormat="1" ht="15.75" customHeight="1">
      <c r="A620" s="947" t="s">
        <v>645</v>
      </c>
      <c r="B620" s="980"/>
      <c r="C620" s="148" t="s">
        <v>3</v>
      </c>
      <c r="D620" s="148">
        <v>0.02</v>
      </c>
      <c r="E620" s="17">
        <v>5598.95</v>
      </c>
      <c r="F620" s="149">
        <f t="shared" si="10"/>
        <v>111.979</v>
      </c>
      <c r="G620" s="1075"/>
    </row>
    <row r="621" spans="1:7" s="145" customFormat="1" ht="15" customHeight="1">
      <c r="A621" s="947" t="s">
        <v>646</v>
      </c>
      <c r="B621" s="980"/>
      <c r="C621" s="148" t="s">
        <v>3</v>
      </c>
      <c r="D621" s="148">
        <v>0.02</v>
      </c>
      <c r="E621" s="17">
        <f>+'INSUMOS ELÉCTRICOS'!E120</f>
        <v>25000</v>
      </c>
      <c r="F621" s="149">
        <f t="shared" si="10"/>
        <v>500</v>
      </c>
      <c r="G621" s="1075"/>
    </row>
    <row r="622" spans="1:7" s="145" customFormat="1" ht="15" customHeight="1">
      <c r="A622" s="1117" t="s">
        <v>674</v>
      </c>
      <c r="B622" s="1118"/>
      <c r="C622" s="148" t="s">
        <v>3</v>
      </c>
      <c r="D622" s="148">
        <v>1</v>
      </c>
      <c r="E622" s="17">
        <f>+'INSUMOS ELÉCTRICOS'!E12</f>
        <v>14000</v>
      </c>
      <c r="F622" s="149">
        <f t="shared" si="10"/>
        <v>14000</v>
      </c>
      <c r="G622" s="1075"/>
    </row>
    <row r="623" spans="1:7" s="145" customFormat="1" ht="15" customHeight="1">
      <c r="A623" s="947"/>
      <c r="B623" s="1115"/>
      <c r="C623" s="16"/>
      <c r="D623" s="58"/>
      <c r="E623" s="17"/>
      <c r="F623" s="55"/>
      <c r="G623" s="57">
        <f>SUM(F616:F623)</f>
        <v>54664.873639999998</v>
      </c>
    </row>
    <row r="624" spans="1:7" s="145" customFormat="1" ht="15" customHeight="1">
      <c r="A624" s="1114" t="s">
        <v>15</v>
      </c>
      <c r="B624" s="1115"/>
      <c r="C624" s="1115"/>
      <c r="D624" s="1115"/>
      <c r="E624" s="1115"/>
      <c r="F624" s="1115"/>
      <c r="G624" s="1116"/>
    </row>
    <row r="625" spans="1:7" s="145" customFormat="1" ht="26.25" customHeight="1">
      <c r="A625" s="1074" t="s">
        <v>2</v>
      </c>
      <c r="B625" s="1115"/>
      <c r="C625" s="53" t="s">
        <v>3</v>
      </c>
      <c r="D625" s="53" t="s">
        <v>4</v>
      </c>
      <c r="E625" s="53" t="s">
        <v>6</v>
      </c>
      <c r="F625" s="53" t="s">
        <v>11</v>
      </c>
      <c r="G625" s="1075" t="s">
        <v>8</v>
      </c>
    </row>
    <row r="626" spans="1:7" s="145" customFormat="1" ht="15" customHeight="1">
      <c r="A626" s="943" t="s">
        <v>173</v>
      </c>
      <c r="B626" s="1115"/>
      <c r="C626" s="16" t="s">
        <v>3</v>
      </c>
      <c r="D626" s="16">
        <v>0.05</v>
      </c>
      <c r="E626" s="17">
        <f>G623</f>
        <v>54664.873639999998</v>
      </c>
      <c r="F626" s="55">
        <f>D626*E626</f>
        <v>2733.2436820000003</v>
      </c>
      <c r="G626" s="1116"/>
    </row>
    <row r="627" spans="1:7" s="145" customFormat="1" ht="15" customHeight="1">
      <c r="A627" s="151"/>
      <c r="B627" s="152"/>
      <c r="C627" s="152"/>
      <c r="D627" s="152"/>
      <c r="E627" s="152"/>
      <c r="F627" s="152"/>
      <c r="G627" s="57">
        <f>SUM(F626:F627)</f>
        <v>2733.2436820000003</v>
      </c>
    </row>
    <row r="628" spans="1:7" s="145" customFormat="1" ht="13.8">
      <c r="A628" s="1114" t="s">
        <v>19</v>
      </c>
      <c r="B628" s="1115"/>
      <c r="C628" s="1115"/>
      <c r="D628" s="1115"/>
      <c r="E628" s="1115"/>
      <c r="F628" s="1115"/>
      <c r="G628" s="1116"/>
    </row>
    <row r="629" spans="1:7" s="145" customFormat="1" ht="15" customHeight="1">
      <c r="A629" s="1074" t="s">
        <v>2</v>
      </c>
      <c r="B629" s="1115"/>
      <c r="C629" s="53" t="s">
        <v>3</v>
      </c>
      <c r="D629" s="53" t="s">
        <v>4</v>
      </c>
      <c r="E629" s="53" t="s">
        <v>6</v>
      </c>
      <c r="F629" s="53" t="s">
        <v>11</v>
      </c>
      <c r="G629" s="1075" t="s">
        <v>8</v>
      </c>
    </row>
    <row r="630" spans="1:7" s="145" customFormat="1" ht="15" customHeight="1">
      <c r="A630" s="978" t="s">
        <v>1256</v>
      </c>
      <c r="B630" s="979"/>
      <c r="C630" s="13" t="s">
        <v>1245</v>
      </c>
      <c r="D630" s="32">
        <v>1</v>
      </c>
      <c r="E630" s="13">
        <v>20030</v>
      </c>
      <c r="F630" s="55">
        <f>+D630*E630</f>
        <v>20030</v>
      </c>
      <c r="G630" s="1116"/>
    </row>
    <row r="631" spans="1:7" s="145" customFormat="1" ht="15" customHeight="1">
      <c r="A631" s="155"/>
      <c r="B631" s="156"/>
      <c r="C631" s="156"/>
      <c r="D631" s="156"/>
      <c r="E631" s="156"/>
      <c r="F631" s="156"/>
      <c r="G631" s="57">
        <f>SUM(F629:F631)</f>
        <v>20030</v>
      </c>
    </row>
    <row r="632" spans="1:7" s="145" customFormat="1" ht="15" customHeight="1">
      <c r="A632" s="1119" t="s">
        <v>25</v>
      </c>
      <c r="B632" s="1120"/>
      <c r="C632" s="1120"/>
      <c r="D632" s="1120"/>
      <c r="E632" s="1120"/>
      <c r="F632" s="1120"/>
      <c r="G632" s="1121"/>
    </row>
    <row r="633" spans="1:7" s="145" customFormat="1" ht="15" customHeight="1">
      <c r="A633" s="1122"/>
      <c r="B633" s="1120"/>
      <c r="C633" s="1120"/>
      <c r="D633" s="1120"/>
      <c r="E633" s="1120"/>
      <c r="F633" s="1120"/>
      <c r="G633" s="157">
        <f>G631+G627+G623+G614</f>
        <v>78429.617322000006</v>
      </c>
    </row>
    <row r="634" spans="1:7" s="145" customFormat="1" ht="15" customHeight="1">
      <c r="A634" s="158"/>
      <c r="B634" s="159"/>
      <c r="C634" s="159"/>
      <c r="D634" s="159"/>
      <c r="E634" s="159"/>
      <c r="F634" s="159"/>
      <c r="G634" s="160"/>
    </row>
    <row r="635" spans="1:7" s="145" customFormat="1" ht="15" customHeight="1">
      <c r="A635" s="1123" t="s">
        <v>1</v>
      </c>
      <c r="B635" s="1120"/>
      <c r="C635" s="953" t="s">
        <v>594</v>
      </c>
      <c r="D635" s="1125"/>
      <c r="E635" s="1125"/>
      <c r="F635" s="1125"/>
      <c r="G635" s="1126"/>
    </row>
    <row r="636" spans="1:7" s="145" customFormat="1" ht="15" customHeight="1">
      <c r="A636" s="1124"/>
      <c r="B636" s="1120"/>
      <c r="C636" s="1125"/>
      <c r="D636" s="1125"/>
      <c r="E636" s="1125"/>
      <c r="F636" s="1125"/>
      <c r="G636" s="1126"/>
    </row>
    <row r="637" spans="1:7" s="145" customFormat="1" ht="15" customHeight="1">
      <c r="A637" s="1124"/>
      <c r="B637" s="1120"/>
      <c r="C637" s="1127" t="s">
        <v>665</v>
      </c>
      <c r="D637" s="1120"/>
      <c r="E637" s="1120"/>
      <c r="F637" s="1120"/>
      <c r="G637" s="1121"/>
    </row>
    <row r="638" spans="1:7" s="145" customFormat="1" ht="15" customHeight="1">
      <c r="A638" s="1124"/>
      <c r="B638" s="1120"/>
      <c r="C638" s="1128" t="s">
        <v>2</v>
      </c>
      <c r="D638" s="1120"/>
      <c r="E638" s="1120"/>
      <c r="F638" s="146" t="s">
        <v>3</v>
      </c>
      <c r="G638" s="147" t="s">
        <v>4</v>
      </c>
    </row>
    <row r="639" spans="1:7" s="145" customFormat="1" ht="88.5" customHeight="1">
      <c r="A639" s="1073" t="s">
        <v>680</v>
      </c>
      <c r="B639" s="1115"/>
      <c r="C639" s="980" t="s">
        <v>2771</v>
      </c>
      <c r="D639" s="1115"/>
      <c r="E639" s="1115"/>
      <c r="F639" s="162" t="s">
        <v>28</v>
      </c>
      <c r="G639" s="52">
        <v>1</v>
      </c>
    </row>
    <row r="640" spans="1:7" s="145" customFormat="1" ht="15" customHeight="1">
      <c r="A640" s="1114" t="s">
        <v>5</v>
      </c>
      <c r="B640" s="1115"/>
      <c r="C640" s="1115"/>
      <c r="D640" s="1115"/>
      <c r="E640" s="1115"/>
      <c r="F640" s="1115"/>
      <c r="G640" s="1116"/>
    </row>
    <row r="641" spans="1:7" s="145" customFormat="1" ht="15" customHeight="1">
      <c r="A641" s="1074" t="s">
        <v>2</v>
      </c>
      <c r="B641" s="1115"/>
      <c r="C641" s="53" t="s">
        <v>3</v>
      </c>
      <c r="D641" s="53" t="s">
        <v>4</v>
      </c>
      <c r="E641" s="53" t="s">
        <v>6</v>
      </c>
      <c r="F641" s="53" t="s">
        <v>7</v>
      </c>
      <c r="G641" s="1075" t="s">
        <v>8</v>
      </c>
    </row>
    <row r="642" spans="1:7" s="145" customFormat="1" ht="15" customHeight="1">
      <c r="A642" s="947" t="s">
        <v>167</v>
      </c>
      <c r="B642" s="1115"/>
      <c r="C642" s="51" t="s">
        <v>3</v>
      </c>
      <c r="D642" s="51">
        <v>0.05</v>
      </c>
      <c r="E642" s="17">
        <f>G660</f>
        <v>20030</v>
      </c>
      <c r="F642" s="55">
        <f>D642*E642</f>
        <v>1001.5</v>
      </c>
      <c r="G642" s="1116"/>
    </row>
    <row r="643" spans="1:7" s="145" customFormat="1" ht="15" customHeight="1">
      <c r="A643" s="943"/>
      <c r="B643" s="1115"/>
      <c r="C643" s="51"/>
      <c r="D643" s="51"/>
      <c r="E643" s="51"/>
      <c r="F643" s="55"/>
      <c r="G643" s="57">
        <f>SUM(F641:F643)</f>
        <v>1001.5</v>
      </c>
    </row>
    <row r="644" spans="1:7" s="145" customFormat="1" ht="15" customHeight="1">
      <c r="A644" s="1114" t="s">
        <v>10</v>
      </c>
      <c r="B644" s="1115"/>
      <c r="C644" s="1115"/>
      <c r="D644" s="1115"/>
      <c r="E644" s="1115"/>
      <c r="F644" s="1115"/>
      <c r="G644" s="1116"/>
    </row>
    <row r="645" spans="1:7" s="145" customFormat="1" ht="15" customHeight="1">
      <c r="A645" s="1074" t="s">
        <v>2</v>
      </c>
      <c r="B645" s="1115"/>
      <c r="C645" s="53" t="s">
        <v>3</v>
      </c>
      <c r="D645" s="53" t="s">
        <v>4</v>
      </c>
      <c r="E645" s="53" t="s">
        <v>6</v>
      </c>
      <c r="F645" s="53" t="s">
        <v>11</v>
      </c>
      <c r="G645" s="1075" t="s">
        <v>8</v>
      </c>
    </row>
    <row r="646" spans="1:7" s="145" customFormat="1" ht="15" customHeight="1">
      <c r="A646" s="947" t="s">
        <v>615</v>
      </c>
      <c r="B646" s="980"/>
      <c r="C646" s="148" t="s">
        <v>3</v>
      </c>
      <c r="D646" s="148">
        <v>1</v>
      </c>
      <c r="E646" s="17">
        <f>+'INSUMOS ELÉCTRICOS'!E28</f>
        <v>2946.44</v>
      </c>
      <c r="F646" s="149">
        <f t="shared" ref="F646:F651" si="11">D646*E646</f>
        <v>2946.44</v>
      </c>
      <c r="G646" s="1075"/>
    </row>
    <row r="647" spans="1:7" s="145" customFormat="1" ht="15" customHeight="1">
      <c r="A647" s="947" t="s">
        <v>642</v>
      </c>
      <c r="B647" s="980"/>
      <c r="C647" s="148" t="s">
        <v>622</v>
      </c>
      <c r="D647" s="16">
        <v>12.6</v>
      </c>
      <c r="E647" s="785">
        <v>2567.4964</v>
      </c>
      <c r="F647" s="149">
        <f t="shared" si="11"/>
        <v>32350.45464</v>
      </c>
      <c r="G647" s="1075"/>
    </row>
    <row r="648" spans="1:7" s="145" customFormat="1" ht="15" customHeight="1">
      <c r="A648" s="947" t="s">
        <v>643</v>
      </c>
      <c r="B648" s="980"/>
      <c r="C648" s="148" t="s">
        <v>3</v>
      </c>
      <c r="D648" s="148">
        <v>4</v>
      </c>
      <c r="E648" s="785">
        <f>+'INSUMOS ELÉCTRICOS'!E121</f>
        <v>1189</v>
      </c>
      <c r="F648" s="149">
        <f t="shared" si="11"/>
        <v>4756</v>
      </c>
      <c r="G648" s="1075"/>
    </row>
    <row r="649" spans="1:7" s="145" customFormat="1" ht="15.75" customHeight="1">
      <c r="A649" s="947" t="s">
        <v>645</v>
      </c>
      <c r="B649" s="980"/>
      <c r="C649" s="148" t="s">
        <v>3</v>
      </c>
      <c r="D649" s="148">
        <v>0.02</v>
      </c>
      <c r="E649" s="785">
        <v>5598.95</v>
      </c>
      <c r="F649" s="149">
        <f t="shared" si="11"/>
        <v>111.979</v>
      </c>
      <c r="G649" s="1075"/>
    </row>
    <row r="650" spans="1:7" s="145" customFormat="1" ht="15" customHeight="1">
      <c r="A650" s="947" t="s">
        <v>646</v>
      </c>
      <c r="B650" s="980"/>
      <c r="C650" s="148" t="s">
        <v>3</v>
      </c>
      <c r="D650" s="148">
        <v>0.02</v>
      </c>
      <c r="E650" s="785">
        <f>+'INSUMOS ELÉCTRICOS'!E120</f>
        <v>25000</v>
      </c>
      <c r="F650" s="149">
        <f t="shared" si="11"/>
        <v>500</v>
      </c>
      <c r="G650" s="1075"/>
    </row>
    <row r="651" spans="1:7" s="145" customFormat="1" ht="15" customHeight="1">
      <c r="A651" s="1117" t="s">
        <v>674</v>
      </c>
      <c r="B651" s="1118"/>
      <c r="C651" s="148" t="s">
        <v>3</v>
      </c>
      <c r="D651" s="148">
        <v>1</v>
      </c>
      <c r="E651" s="17">
        <f>+'INSUMOS ELÉCTRICOS'!E12</f>
        <v>14000</v>
      </c>
      <c r="F651" s="149">
        <f t="shared" si="11"/>
        <v>14000</v>
      </c>
      <c r="G651" s="1075"/>
    </row>
    <row r="652" spans="1:7" s="145" customFormat="1" ht="15" customHeight="1">
      <c r="A652" s="947"/>
      <c r="B652" s="1115"/>
      <c r="C652" s="16"/>
      <c r="D652" s="58"/>
      <c r="E652" s="17"/>
      <c r="F652" s="55"/>
      <c r="G652" s="57">
        <f>SUM(F645:F652)</f>
        <v>54664.873639999998</v>
      </c>
    </row>
    <row r="653" spans="1:7" s="145" customFormat="1" ht="15.75" customHeight="1">
      <c r="A653" s="1114" t="s">
        <v>15</v>
      </c>
      <c r="B653" s="1115"/>
      <c r="C653" s="1115"/>
      <c r="D653" s="1115"/>
      <c r="E653" s="1115"/>
      <c r="F653" s="1115"/>
      <c r="G653" s="1116"/>
    </row>
    <row r="654" spans="1:7" s="145" customFormat="1" ht="15" customHeight="1">
      <c r="A654" s="1074" t="s">
        <v>2</v>
      </c>
      <c r="B654" s="1115"/>
      <c r="C654" s="53" t="s">
        <v>3</v>
      </c>
      <c r="D654" s="53" t="s">
        <v>4</v>
      </c>
      <c r="E654" s="53" t="s">
        <v>6</v>
      </c>
      <c r="F654" s="53" t="s">
        <v>11</v>
      </c>
      <c r="G654" s="1075" t="s">
        <v>8</v>
      </c>
    </row>
    <row r="655" spans="1:7" s="145" customFormat="1" ht="15" customHeight="1">
      <c r="A655" s="943" t="s">
        <v>173</v>
      </c>
      <c r="B655" s="1115"/>
      <c r="C655" s="16" t="s">
        <v>3</v>
      </c>
      <c r="D655" s="16">
        <v>0.05</v>
      </c>
      <c r="E655" s="17">
        <f>G652</f>
        <v>54664.873639999998</v>
      </c>
      <c r="F655" s="55">
        <f>D655*E655</f>
        <v>2733.2436820000003</v>
      </c>
      <c r="G655" s="1116"/>
    </row>
    <row r="656" spans="1:7" s="145" customFormat="1" ht="15" customHeight="1">
      <c r="A656" s="151"/>
      <c r="B656" s="152"/>
      <c r="C656" s="152"/>
      <c r="D656" s="152"/>
      <c r="E656" s="152"/>
      <c r="F656" s="152"/>
      <c r="G656" s="57">
        <f>SUM(F655:F656)</f>
        <v>2733.2436820000003</v>
      </c>
    </row>
    <row r="657" spans="1:7" s="145" customFormat="1" ht="15" customHeight="1">
      <c r="A657" s="1114" t="s">
        <v>19</v>
      </c>
      <c r="B657" s="1115"/>
      <c r="C657" s="1115"/>
      <c r="D657" s="1115"/>
      <c r="E657" s="1115"/>
      <c r="F657" s="1115"/>
      <c r="G657" s="1116"/>
    </row>
    <row r="658" spans="1:7" s="145" customFormat="1" ht="15" customHeight="1">
      <c r="A658" s="1074" t="s">
        <v>2</v>
      </c>
      <c r="B658" s="1115"/>
      <c r="C658" s="53" t="s">
        <v>3</v>
      </c>
      <c r="D658" s="53" t="s">
        <v>4</v>
      </c>
      <c r="E658" s="53" t="s">
        <v>6</v>
      </c>
      <c r="F658" s="53" t="s">
        <v>11</v>
      </c>
      <c r="G658" s="1075" t="s">
        <v>8</v>
      </c>
    </row>
    <row r="659" spans="1:7" s="145" customFormat="1" ht="15" customHeight="1">
      <c r="A659" s="978" t="s">
        <v>1256</v>
      </c>
      <c r="B659" s="979"/>
      <c r="C659" s="13" t="s">
        <v>1245</v>
      </c>
      <c r="D659" s="32">
        <v>1</v>
      </c>
      <c r="E659" s="13">
        <v>20030</v>
      </c>
      <c r="F659" s="55">
        <f>+D659*E659</f>
        <v>20030</v>
      </c>
      <c r="G659" s="1116"/>
    </row>
    <row r="660" spans="1:7" s="145" customFormat="1" ht="15" customHeight="1">
      <c r="A660" s="155"/>
      <c r="B660" s="156"/>
      <c r="C660" s="156"/>
      <c r="D660" s="156"/>
      <c r="E660" s="156"/>
      <c r="F660" s="156"/>
      <c r="G660" s="57">
        <f>SUM(F658:F660)</f>
        <v>20030</v>
      </c>
    </row>
    <row r="661" spans="1:7" s="145" customFormat="1" ht="15" customHeight="1">
      <c r="A661" s="1119" t="s">
        <v>25</v>
      </c>
      <c r="B661" s="1120"/>
      <c r="C661" s="1120"/>
      <c r="D661" s="1120"/>
      <c r="E661" s="1120"/>
      <c r="F661" s="1120"/>
      <c r="G661" s="1121"/>
    </row>
    <row r="662" spans="1:7" s="145" customFormat="1" ht="15" customHeight="1">
      <c r="A662" s="1122"/>
      <c r="B662" s="1120"/>
      <c r="C662" s="1120"/>
      <c r="D662" s="1120"/>
      <c r="E662" s="1120"/>
      <c r="F662" s="1120"/>
      <c r="G662" s="157">
        <f>G660+G656+G652+G643</f>
        <v>78429.617322000006</v>
      </c>
    </row>
    <row r="663" spans="1:7" s="145" customFormat="1" ht="15" customHeight="1">
      <c r="A663" s="158"/>
      <c r="B663" s="159"/>
      <c r="C663" s="159"/>
      <c r="D663" s="159"/>
      <c r="E663" s="159"/>
      <c r="F663" s="159"/>
      <c r="G663" s="160"/>
    </row>
    <row r="664" spans="1:7" s="145" customFormat="1" ht="15" customHeight="1">
      <c r="A664" s="1123" t="s">
        <v>1</v>
      </c>
      <c r="B664" s="1120"/>
      <c r="C664" s="953" t="s">
        <v>594</v>
      </c>
      <c r="D664" s="1125"/>
      <c r="E664" s="1125"/>
      <c r="F664" s="1125"/>
      <c r="G664" s="1126"/>
    </row>
    <row r="665" spans="1:7" s="145" customFormat="1" ht="15" customHeight="1">
      <c r="A665" s="1124"/>
      <c r="B665" s="1120"/>
      <c r="C665" s="1125"/>
      <c r="D665" s="1125"/>
      <c r="E665" s="1125"/>
      <c r="F665" s="1125"/>
      <c r="G665" s="1126"/>
    </row>
    <row r="666" spans="1:7" s="145" customFormat="1" ht="15" customHeight="1">
      <c r="A666" s="1124"/>
      <c r="B666" s="1120"/>
      <c r="C666" s="1127" t="s">
        <v>665</v>
      </c>
      <c r="D666" s="1120"/>
      <c r="E666" s="1120"/>
      <c r="F666" s="1120"/>
      <c r="G666" s="1121"/>
    </row>
    <row r="667" spans="1:7" s="145" customFormat="1" ht="15" customHeight="1">
      <c r="A667" s="1124"/>
      <c r="B667" s="1120"/>
      <c r="C667" s="1128" t="s">
        <v>2</v>
      </c>
      <c r="D667" s="1120"/>
      <c r="E667" s="1120"/>
      <c r="F667" s="146" t="s">
        <v>3</v>
      </c>
      <c r="G667" s="147" t="s">
        <v>4</v>
      </c>
    </row>
    <row r="668" spans="1:7" s="145" customFormat="1" ht="84" customHeight="1">
      <c r="A668" s="1073" t="s">
        <v>682</v>
      </c>
      <c r="B668" s="1115"/>
      <c r="C668" s="980" t="s">
        <v>683</v>
      </c>
      <c r="D668" s="1115"/>
      <c r="E668" s="1115"/>
      <c r="F668" s="162" t="s">
        <v>28</v>
      </c>
      <c r="G668" s="52">
        <v>1</v>
      </c>
    </row>
    <row r="669" spans="1:7" s="145" customFormat="1" ht="15" customHeight="1">
      <c r="A669" s="1114" t="s">
        <v>5</v>
      </c>
      <c r="B669" s="1115"/>
      <c r="C669" s="1115"/>
      <c r="D669" s="1115"/>
      <c r="E669" s="1115"/>
      <c r="F669" s="1115"/>
      <c r="G669" s="1116"/>
    </row>
    <row r="670" spans="1:7" s="145" customFormat="1" ht="15" customHeight="1">
      <c r="A670" s="1074" t="s">
        <v>2</v>
      </c>
      <c r="B670" s="1115"/>
      <c r="C670" s="53" t="s">
        <v>3</v>
      </c>
      <c r="D670" s="53" t="s">
        <v>4</v>
      </c>
      <c r="E670" s="53" t="s">
        <v>6</v>
      </c>
      <c r="F670" s="53" t="s">
        <v>7</v>
      </c>
      <c r="G670" s="1075" t="s">
        <v>8</v>
      </c>
    </row>
    <row r="671" spans="1:7" s="145" customFormat="1" ht="15" customHeight="1">
      <c r="A671" s="947" t="s">
        <v>167</v>
      </c>
      <c r="B671" s="1115"/>
      <c r="C671" s="51" t="s">
        <v>3</v>
      </c>
      <c r="D671" s="51">
        <v>0.05</v>
      </c>
      <c r="E671" s="17">
        <v>27950</v>
      </c>
      <c r="F671" s="55">
        <f>D671*E671</f>
        <v>1397.5</v>
      </c>
      <c r="G671" s="1116"/>
    </row>
    <row r="672" spans="1:7" s="145" customFormat="1" ht="15" customHeight="1">
      <c r="A672" s="943"/>
      <c r="B672" s="1115"/>
      <c r="C672" s="51"/>
      <c r="D672" s="51"/>
      <c r="E672" s="51"/>
      <c r="F672" s="55"/>
      <c r="G672" s="57">
        <f>SUM(F670:F672)</f>
        <v>1397.5</v>
      </c>
    </row>
    <row r="673" spans="1:7" s="145" customFormat="1" ht="15" customHeight="1">
      <c r="A673" s="1114" t="s">
        <v>10</v>
      </c>
      <c r="B673" s="1115"/>
      <c r="C673" s="1115"/>
      <c r="D673" s="1115"/>
      <c r="E673" s="1115"/>
      <c r="F673" s="1115"/>
      <c r="G673" s="1116"/>
    </row>
    <row r="674" spans="1:7" s="145" customFormat="1" ht="15" customHeight="1">
      <c r="A674" s="1074" t="s">
        <v>2</v>
      </c>
      <c r="B674" s="1115"/>
      <c r="C674" s="53" t="s">
        <v>3</v>
      </c>
      <c r="D674" s="53" t="s">
        <v>4</v>
      </c>
      <c r="E674" s="53" t="s">
        <v>6</v>
      </c>
      <c r="F674" s="53" t="s">
        <v>11</v>
      </c>
      <c r="G674" s="1075" t="s">
        <v>8</v>
      </c>
    </row>
    <row r="675" spans="1:7" s="145" customFormat="1" ht="15" customHeight="1">
      <c r="A675" s="1117" t="s">
        <v>612</v>
      </c>
      <c r="B675" s="1118"/>
      <c r="C675" s="148" t="s">
        <v>3</v>
      </c>
      <c r="D675" s="148">
        <v>8.01</v>
      </c>
      <c r="E675" s="17">
        <f>+'INSUMOS ELÉCTRICOS'!E126</f>
        <v>348.66999999999996</v>
      </c>
      <c r="F675" s="149">
        <f t="shared" ref="F675:F684" si="12">D675*E675</f>
        <v>2792.8466999999996</v>
      </c>
      <c r="G675" s="1075"/>
    </row>
    <row r="676" spans="1:7" s="145" customFormat="1" ht="15" customHeight="1">
      <c r="A676" s="1117" t="s">
        <v>641</v>
      </c>
      <c r="B676" s="1118"/>
      <c r="C676" s="148" t="s">
        <v>622</v>
      </c>
      <c r="D676" s="16">
        <v>4.2</v>
      </c>
      <c r="E676" s="17">
        <f>+'INSUMOS ELÉCTRICOS'!E26</f>
        <v>16580.666666666668</v>
      </c>
      <c r="F676" s="149">
        <f t="shared" si="12"/>
        <v>69638.8</v>
      </c>
      <c r="G676" s="1075"/>
    </row>
    <row r="677" spans="1:7" s="145" customFormat="1" ht="15" customHeight="1">
      <c r="A677" s="1117" t="s">
        <v>613</v>
      </c>
      <c r="B677" s="1118"/>
      <c r="C677" s="148" t="s">
        <v>3</v>
      </c>
      <c r="D677" s="16">
        <v>3</v>
      </c>
      <c r="E677" s="17">
        <f>+'INSUMOS ELÉCTRICOS'!E24</f>
        <v>780</v>
      </c>
      <c r="F677" s="149">
        <f t="shared" si="12"/>
        <v>2340</v>
      </c>
      <c r="G677" s="1075"/>
    </row>
    <row r="678" spans="1:7" s="145" customFormat="1" ht="15.75" customHeight="1">
      <c r="A678" s="1117" t="s">
        <v>615</v>
      </c>
      <c r="B678" s="1118"/>
      <c r="C678" s="148" t="s">
        <v>3</v>
      </c>
      <c r="D678" s="16">
        <v>1</v>
      </c>
      <c r="E678" s="17">
        <f>+'INSUMOS ELÉCTRICOS'!E28</f>
        <v>2946.44</v>
      </c>
      <c r="F678" s="149">
        <f t="shared" si="12"/>
        <v>2946.44</v>
      </c>
      <c r="G678" s="1075"/>
    </row>
    <row r="679" spans="1:7" s="145" customFormat="1" ht="15" customHeight="1">
      <c r="A679" s="1117" t="s">
        <v>616</v>
      </c>
      <c r="B679" s="1118"/>
      <c r="C679" s="148" t="s">
        <v>3</v>
      </c>
      <c r="D679" s="16">
        <v>1</v>
      </c>
      <c r="E679" s="17">
        <f>+'INSUMOS ELÉCTRICOS'!E29</f>
        <v>4190</v>
      </c>
      <c r="F679" s="149">
        <f t="shared" si="12"/>
        <v>4190</v>
      </c>
      <c r="G679" s="1075"/>
    </row>
    <row r="680" spans="1:7" s="145" customFormat="1" ht="15" customHeight="1">
      <c r="A680" s="1117" t="s">
        <v>614</v>
      </c>
      <c r="B680" s="1118"/>
      <c r="C680" s="148" t="s">
        <v>3</v>
      </c>
      <c r="D680" s="16">
        <v>1</v>
      </c>
      <c r="E680" s="17">
        <f>+'INSUMOS ELÉCTRICOS'!E25</f>
        <v>11900</v>
      </c>
      <c r="F680" s="149">
        <f t="shared" si="12"/>
        <v>11900</v>
      </c>
      <c r="G680" s="1075"/>
    </row>
    <row r="681" spans="1:7" s="145" customFormat="1" ht="15" customHeight="1">
      <c r="A681" s="1117" t="s">
        <v>642</v>
      </c>
      <c r="B681" s="1118"/>
      <c r="C681" s="148" t="s">
        <v>622</v>
      </c>
      <c r="D681" s="16">
        <v>12.6</v>
      </c>
      <c r="E681" s="785">
        <v>2300.27</v>
      </c>
      <c r="F681" s="149">
        <f t="shared" si="12"/>
        <v>28983.401999999998</v>
      </c>
      <c r="G681" s="1075"/>
    </row>
    <row r="682" spans="1:7" s="145" customFormat="1" ht="15.75" customHeight="1">
      <c r="A682" s="1117" t="s">
        <v>643</v>
      </c>
      <c r="B682" s="1118"/>
      <c r="C682" s="148" t="s">
        <v>3</v>
      </c>
      <c r="D682" s="148">
        <v>5</v>
      </c>
      <c r="E682" s="17">
        <f>+'INSUMOS ELÉCTRICOS'!E121</f>
        <v>1189</v>
      </c>
      <c r="F682" s="149">
        <f t="shared" si="12"/>
        <v>5945</v>
      </c>
      <c r="G682" s="1075"/>
    </row>
    <row r="683" spans="1:7" s="145" customFormat="1" ht="15" customHeight="1">
      <c r="A683" s="1117" t="s">
        <v>673</v>
      </c>
      <c r="B683" s="1118"/>
      <c r="C683" s="148" t="s">
        <v>3</v>
      </c>
      <c r="D683" s="148">
        <v>1</v>
      </c>
      <c r="E683" s="17">
        <f>+'INSUMOS ELÉCTRICOS'!E53</f>
        <v>20000</v>
      </c>
      <c r="F683" s="149">
        <f t="shared" si="12"/>
        <v>20000</v>
      </c>
      <c r="G683" s="1075"/>
    </row>
    <row r="684" spans="1:7" s="145" customFormat="1" ht="15" customHeight="1">
      <c r="A684" s="1117" t="s">
        <v>684</v>
      </c>
      <c r="B684" s="1118"/>
      <c r="C684" s="148" t="s">
        <v>3</v>
      </c>
      <c r="D684" s="148">
        <v>1</v>
      </c>
      <c r="E684" s="17">
        <f>+'INSUMOS ELÉCTRICOS'!E61</f>
        <v>21900</v>
      </c>
      <c r="F684" s="149">
        <f t="shared" si="12"/>
        <v>21900</v>
      </c>
      <c r="G684" s="1075"/>
    </row>
    <row r="685" spans="1:7" s="145" customFormat="1" ht="15" customHeight="1">
      <c r="A685" s="947"/>
      <c r="B685" s="1115"/>
      <c r="C685" s="16"/>
      <c r="D685" s="58"/>
      <c r="E685" s="17"/>
      <c r="F685" s="55"/>
      <c r="G685" s="57">
        <f>SUM(F674:F685)</f>
        <v>170636.48869999999</v>
      </c>
    </row>
    <row r="686" spans="1:7" s="145" customFormat="1" ht="15.75" customHeight="1">
      <c r="A686" s="1114" t="s">
        <v>15</v>
      </c>
      <c r="B686" s="1115"/>
      <c r="C686" s="1115"/>
      <c r="D686" s="1115"/>
      <c r="E686" s="1115"/>
      <c r="F686" s="1115"/>
      <c r="G686" s="1116"/>
    </row>
    <row r="687" spans="1:7" s="145" customFormat="1" ht="24" customHeight="1">
      <c r="A687" s="1074" t="s">
        <v>2</v>
      </c>
      <c r="B687" s="1115"/>
      <c r="C687" s="53" t="s">
        <v>3</v>
      </c>
      <c r="D687" s="53" t="s">
        <v>4</v>
      </c>
      <c r="E687" s="53" t="s">
        <v>6</v>
      </c>
      <c r="F687" s="53" t="s">
        <v>11</v>
      </c>
      <c r="G687" s="1075" t="s">
        <v>8</v>
      </c>
    </row>
    <row r="688" spans="1:7" s="145" customFormat="1" ht="15.6" customHeight="1">
      <c r="A688" s="943" t="s">
        <v>173</v>
      </c>
      <c r="B688" s="1115"/>
      <c r="C688" s="16" t="s">
        <v>3</v>
      </c>
      <c r="D688" s="16">
        <v>0.1</v>
      </c>
      <c r="E688" s="17">
        <v>10500</v>
      </c>
      <c r="F688" s="55">
        <f>D688*E688</f>
        <v>1050</v>
      </c>
      <c r="G688" s="1116"/>
    </row>
    <row r="689" spans="1:7" s="145" customFormat="1" ht="15.75" customHeight="1">
      <c r="A689" s="151"/>
      <c r="B689" s="152"/>
      <c r="C689" s="152"/>
      <c r="D689" s="152"/>
      <c r="E689" s="152"/>
      <c r="F689" s="152"/>
      <c r="G689" s="57">
        <f>SUM(F688:F689)</f>
        <v>1050</v>
      </c>
    </row>
    <row r="690" spans="1:7" s="145" customFormat="1" ht="13.8">
      <c r="A690" s="1114" t="s">
        <v>19</v>
      </c>
      <c r="B690" s="1115"/>
      <c r="C690" s="1115"/>
      <c r="D690" s="1115"/>
      <c r="E690" s="1115"/>
      <c r="F690" s="1115"/>
      <c r="G690" s="1116"/>
    </row>
    <row r="691" spans="1:7" s="145" customFormat="1" ht="15.75" customHeight="1">
      <c r="A691" s="1074" t="s">
        <v>2</v>
      </c>
      <c r="B691" s="1115"/>
      <c r="C691" s="53" t="s">
        <v>3</v>
      </c>
      <c r="D691" s="53" t="s">
        <v>4</v>
      </c>
      <c r="E691" s="53" t="s">
        <v>6</v>
      </c>
      <c r="F691" s="53" t="s">
        <v>11</v>
      </c>
      <c r="G691" s="1075" t="s">
        <v>8</v>
      </c>
    </row>
    <row r="692" spans="1:7" s="145" customFormat="1" ht="15.75" customHeight="1">
      <c r="A692" s="153" t="s">
        <v>2882</v>
      </c>
      <c r="B692" s="154">
        <v>109543.16666666667</v>
      </c>
      <c r="C692" s="13">
        <v>85873.808042988821</v>
      </c>
      <c r="D692" s="154">
        <f>+B692+C692</f>
        <v>195416.97470965551</v>
      </c>
      <c r="E692" s="16">
        <v>0.16</v>
      </c>
      <c r="F692" s="55">
        <f>E692*D692</f>
        <v>31266.715953544881</v>
      </c>
      <c r="G692" s="1116"/>
    </row>
    <row r="693" spans="1:7" s="145" customFormat="1" ht="15.75" customHeight="1">
      <c r="A693" s="155"/>
      <c r="B693" s="156"/>
      <c r="C693" s="156"/>
      <c r="D693" s="156"/>
      <c r="E693" s="156"/>
      <c r="F693" s="156"/>
      <c r="G693" s="57">
        <f>SUM(F691:F693)</f>
        <v>31266.715953544881</v>
      </c>
    </row>
    <row r="694" spans="1:7" s="145" customFormat="1" ht="15.75" customHeight="1">
      <c r="A694" s="1119" t="s">
        <v>25</v>
      </c>
      <c r="B694" s="1120"/>
      <c r="C694" s="1120"/>
      <c r="D694" s="1120"/>
      <c r="E694" s="1120"/>
      <c r="F694" s="1120"/>
      <c r="G694" s="1121"/>
    </row>
    <row r="695" spans="1:7" s="145" customFormat="1" ht="15.75" customHeight="1">
      <c r="A695" s="1122"/>
      <c r="B695" s="1120"/>
      <c r="C695" s="1120"/>
      <c r="D695" s="1120"/>
      <c r="E695" s="1120"/>
      <c r="F695" s="1120"/>
      <c r="G695" s="157">
        <f>G693+G689+G685+G672</f>
        <v>204350.70465354488</v>
      </c>
    </row>
    <row r="696" spans="1:7" s="145" customFormat="1" ht="15.75" customHeight="1">
      <c r="A696" s="158"/>
      <c r="B696" s="159"/>
      <c r="C696" s="159"/>
      <c r="D696" s="159"/>
      <c r="E696" s="159"/>
      <c r="F696" s="159"/>
      <c r="G696" s="160"/>
    </row>
    <row r="697" spans="1:7" s="150" customFormat="1" ht="16.2" customHeight="1">
      <c r="A697" s="1123" t="s">
        <v>1</v>
      </c>
      <c r="B697" s="1120"/>
      <c r="C697" s="953" t="s">
        <v>594</v>
      </c>
      <c r="D697" s="1125"/>
      <c r="E697" s="1125"/>
      <c r="F697" s="1125"/>
      <c r="G697" s="1126"/>
    </row>
    <row r="698" spans="1:7" s="145" customFormat="1" ht="16.2" customHeight="1">
      <c r="A698" s="1124"/>
      <c r="B698" s="1120"/>
      <c r="C698" s="1125"/>
      <c r="D698" s="1125"/>
      <c r="E698" s="1125"/>
      <c r="F698" s="1125"/>
      <c r="G698" s="1126"/>
    </row>
    <row r="699" spans="1:7" s="145" customFormat="1" ht="16.2" customHeight="1">
      <c r="A699" s="1124"/>
      <c r="B699" s="1120"/>
      <c r="C699" s="1127" t="s">
        <v>665</v>
      </c>
      <c r="D699" s="1120"/>
      <c r="E699" s="1120"/>
      <c r="F699" s="1120"/>
      <c r="G699" s="1121"/>
    </row>
    <row r="700" spans="1:7" s="145" customFormat="1" ht="16.2" customHeight="1">
      <c r="A700" s="1124"/>
      <c r="B700" s="1120"/>
      <c r="C700" s="1128" t="s">
        <v>2</v>
      </c>
      <c r="D700" s="1120"/>
      <c r="E700" s="1120"/>
      <c r="F700" s="146" t="s">
        <v>3</v>
      </c>
      <c r="G700" s="147" t="s">
        <v>4</v>
      </c>
    </row>
    <row r="701" spans="1:7" s="145" customFormat="1" ht="92.25" customHeight="1">
      <c r="A701" s="1073" t="s">
        <v>685</v>
      </c>
      <c r="B701" s="1115"/>
      <c r="C701" s="980" t="s">
        <v>686</v>
      </c>
      <c r="D701" s="1115"/>
      <c r="E701" s="1115"/>
      <c r="F701" s="162" t="s">
        <v>28</v>
      </c>
      <c r="G701" s="52">
        <v>1</v>
      </c>
    </row>
    <row r="702" spans="1:7" s="145" customFormat="1" ht="16.2" customHeight="1">
      <c r="A702" s="1114" t="s">
        <v>5</v>
      </c>
      <c r="B702" s="1115"/>
      <c r="C702" s="1115"/>
      <c r="D702" s="1115"/>
      <c r="E702" s="1115"/>
      <c r="F702" s="1115"/>
      <c r="G702" s="1116"/>
    </row>
    <row r="703" spans="1:7" s="145" customFormat="1" ht="16.2" customHeight="1">
      <c r="A703" s="1074" t="s">
        <v>2</v>
      </c>
      <c r="B703" s="1115"/>
      <c r="C703" s="53" t="s">
        <v>3</v>
      </c>
      <c r="D703" s="53" t="s">
        <v>4</v>
      </c>
      <c r="E703" s="53" t="s">
        <v>6</v>
      </c>
      <c r="F703" s="53" t="s">
        <v>7</v>
      </c>
      <c r="G703" s="1075" t="s">
        <v>8</v>
      </c>
    </row>
    <row r="704" spans="1:7" s="145" customFormat="1" ht="16.2" customHeight="1">
      <c r="A704" s="947" t="s">
        <v>167</v>
      </c>
      <c r="B704" s="1115"/>
      <c r="C704" s="51" t="s">
        <v>3</v>
      </c>
      <c r="D704" s="51">
        <v>0.05</v>
      </c>
      <c r="E704" s="17">
        <f>G722</f>
        <v>20030</v>
      </c>
      <c r="F704" s="55">
        <f>D704*E704</f>
        <v>1001.5</v>
      </c>
      <c r="G704" s="1116"/>
    </row>
    <row r="705" spans="1:7" s="145" customFormat="1" ht="16.2" customHeight="1">
      <c r="A705" s="943"/>
      <c r="B705" s="1115"/>
      <c r="C705" s="51"/>
      <c r="D705" s="51"/>
      <c r="E705" s="51"/>
      <c r="F705" s="55"/>
      <c r="G705" s="57">
        <f>SUM(F703:F705)</f>
        <v>1001.5</v>
      </c>
    </row>
    <row r="706" spans="1:7" s="145" customFormat="1" ht="16.2" customHeight="1">
      <c r="A706" s="1114" t="s">
        <v>10</v>
      </c>
      <c r="B706" s="1115"/>
      <c r="C706" s="1115"/>
      <c r="D706" s="1115"/>
      <c r="E706" s="1115"/>
      <c r="F706" s="1115"/>
      <c r="G706" s="1116"/>
    </row>
    <row r="707" spans="1:7" s="145" customFormat="1" ht="16.2" customHeight="1">
      <c r="A707" s="1074" t="s">
        <v>2</v>
      </c>
      <c r="B707" s="1115"/>
      <c r="C707" s="53" t="s">
        <v>3</v>
      </c>
      <c r="D707" s="53" t="s">
        <v>4</v>
      </c>
      <c r="E707" s="53" t="s">
        <v>6</v>
      </c>
      <c r="F707" s="53" t="s">
        <v>11</v>
      </c>
      <c r="G707" s="1075" t="s">
        <v>8</v>
      </c>
    </row>
    <row r="708" spans="1:7" s="150" customFormat="1" ht="16.2" customHeight="1">
      <c r="A708" s="947" t="s">
        <v>615</v>
      </c>
      <c r="B708" s="980"/>
      <c r="C708" s="148" t="s">
        <v>3</v>
      </c>
      <c r="D708" s="148">
        <v>1</v>
      </c>
      <c r="E708" s="17">
        <f>+'INSUMOS ELÉCTRICOS'!E28</f>
        <v>2946.44</v>
      </c>
      <c r="F708" s="149">
        <f t="shared" ref="F708:F713" si="13">D708*E708</f>
        <v>2946.44</v>
      </c>
      <c r="G708" s="1075"/>
    </row>
    <row r="709" spans="1:7" s="145" customFormat="1" ht="15.75" customHeight="1">
      <c r="A709" s="947" t="s">
        <v>642</v>
      </c>
      <c r="B709" s="980"/>
      <c r="C709" s="148" t="s">
        <v>622</v>
      </c>
      <c r="D709" s="16">
        <v>12.6</v>
      </c>
      <c r="E709" s="785">
        <v>2567.4964</v>
      </c>
      <c r="F709" s="149">
        <f t="shared" si="13"/>
        <v>32350.45464</v>
      </c>
      <c r="G709" s="1075"/>
    </row>
    <row r="710" spans="1:7" s="145" customFormat="1" ht="15.75" customHeight="1">
      <c r="A710" s="947" t="s">
        <v>643</v>
      </c>
      <c r="B710" s="980"/>
      <c r="C710" s="148" t="s">
        <v>3</v>
      </c>
      <c r="D710" s="148">
        <v>4</v>
      </c>
      <c r="E710" s="785">
        <f>+'INSUMOS ELÉCTRICOS'!E121</f>
        <v>1189</v>
      </c>
      <c r="F710" s="149">
        <f t="shared" si="13"/>
        <v>4756</v>
      </c>
      <c r="G710" s="1075"/>
    </row>
    <row r="711" spans="1:7" s="145" customFormat="1" ht="15.75" customHeight="1">
      <c r="A711" s="947" t="s">
        <v>645</v>
      </c>
      <c r="B711" s="980"/>
      <c r="C711" s="148" t="s">
        <v>3</v>
      </c>
      <c r="D711" s="148">
        <v>0.02</v>
      </c>
      <c r="E711" s="785">
        <v>5598.95</v>
      </c>
      <c r="F711" s="149">
        <f t="shared" si="13"/>
        <v>111.979</v>
      </c>
      <c r="G711" s="1075"/>
    </row>
    <row r="712" spans="1:7" s="145" customFormat="1" ht="15.75" customHeight="1">
      <c r="A712" s="947" t="s">
        <v>646</v>
      </c>
      <c r="B712" s="980"/>
      <c r="C712" s="148" t="s">
        <v>3</v>
      </c>
      <c r="D712" s="148">
        <v>0.02</v>
      </c>
      <c r="E712" s="17">
        <f>+'INSUMOS ELÉCTRICOS'!E120</f>
        <v>25000</v>
      </c>
      <c r="F712" s="149">
        <f t="shared" si="13"/>
        <v>500</v>
      </c>
      <c r="G712" s="1075"/>
    </row>
    <row r="713" spans="1:7" s="145" customFormat="1" ht="15.75" customHeight="1">
      <c r="A713" s="1117" t="s">
        <v>674</v>
      </c>
      <c r="B713" s="1118"/>
      <c r="C713" s="148" t="s">
        <v>3</v>
      </c>
      <c r="D713" s="148">
        <v>1</v>
      </c>
      <c r="E713" s="17">
        <f>+'INSUMOS ELÉCTRICOS'!E12</f>
        <v>14000</v>
      </c>
      <c r="F713" s="149">
        <f t="shared" si="13"/>
        <v>14000</v>
      </c>
      <c r="G713" s="1075"/>
    </row>
    <row r="714" spans="1:7" s="145" customFormat="1" ht="15" customHeight="1">
      <c r="A714" s="947"/>
      <c r="B714" s="1115"/>
      <c r="C714" s="16"/>
      <c r="D714" s="58"/>
      <c r="E714" s="17"/>
      <c r="F714" s="55"/>
      <c r="G714" s="57">
        <f>SUM(F707:F714)</f>
        <v>54664.873639999998</v>
      </c>
    </row>
    <row r="715" spans="1:7" s="145" customFormat="1" ht="15" customHeight="1">
      <c r="A715" s="1114" t="s">
        <v>15</v>
      </c>
      <c r="B715" s="1115"/>
      <c r="C715" s="1115"/>
      <c r="D715" s="1115"/>
      <c r="E715" s="1115"/>
      <c r="F715" s="1115"/>
      <c r="G715" s="1116"/>
    </row>
    <row r="716" spans="1:7" s="145" customFormat="1" ht="15" customHeight="1">
      <c r="A716" s="1074" t="s">
        <v>2</v>
      </c>
      <c r="B716" s="1115"/>
      <c r="C716" s="53" t="s">
        <v>3</v>
      </c>
      <c r="D716" s="53" t="s">
        <v>4</v>
      </c>
      <c r="E716" s="53" t="s">
        <v>6</v>
      </c>
      <c r="F716" s="53" t="s">
        <v>11</v>
      </c>
      <c r="G716" s="1075" t="s">
        <v>8</v>
      </c>
    </row>
    <row r="717" spans="1:7" s="145" customFormat="1" ht="15" customHeight="1">
      <c r="A717" s="943" t="s">
        <v>173</v>
      </c>
      <c r="B717" s="1115"/>
      <c r="C717" s="16" t="s">
        <v>3</v>
      </c>
      <c r="D717" s="16">
        <v>0.05</v>
      </c>
      <c r="E717" s="17">
        <f>G714</f>
        <v>54664.873639999998</v>
      </c>
      <c r="F717" s="55">
        <f>D717*E717</f>
        <v>2733.2436820000003</v>
      </c>
      <c r="G717" s="1116"/>
    </row>
    <row r="718" spans="1:7" s="145" customFormat="1" ht="15" customHeight="1">
      <c r="A718" s="151"/>
      <c r="B718" s="152"/>
      <c r="C718" s="152"/>
      <c r="D718" s="152"/>
      <c r="E718" s="152"/>
      <c r="F718" s="152"/>
      <c r="G718" s="57">
        <f>SUM(F717:F718)</f>
        <v>2733.2436820000003</v>
      </c>
    </row>
    <row r="719" spans="1:7" s="145" customFormat="1" ht="13.8">
      <c r="A719" s="1114" t="s">
        <v>19</v>
      </c>
      <c r="B719" s="1115"/>
      <c r="C719" s="1115"/>
      <c r="D719" s="1115"/>
      <c r="E719" s="1115"/>
      <c r="F719" s="1115"/>
      <c r="G719" s="1116"/>
    </row>
    <row r="720" spans="1:7" s="145" customFormat="1" ht="15" customHeight="1">
      <c r="A720" s="1074" t="s">
        <v>2</v>
      </c>
      <c r="B720" s="1115"/>
      <c r="C720" s="53" t="s">
        <v>3</v>
      </c>
      <c r="D720" s="53" t="s">
        <v>4</v>
      </c>
      <c r="E720" s="53" t="s">
        <v>6</v>
      </c>
      <c r="F720" s="53" t="s">
        <v>11</v>
      </c>
      <c r="G720" s="1075" t="s">
        <v>8</v>
      </c>
    </row>
    <row r="721" spans="1:7" s="145" customFormat="1" ht="15" customHeight="1">
      <c r="A721" s="978" t="s">
        <v>1256</v>
      </c>
      <c r="B721" s="979"/>
      <c r="C721" s="13" t="s">
        <v>1245</v>
      </c>
      <c r="D721" s="32">
        <v>1</v>
      </c>
      <c r="E721" s="13">
        <v>20030</v>
      </c>
      <c r="F721" s="55">
        <f>+D721*E721</f>
        <v>20030</v>
      </c>
      <c r="G721" s="1116"/>
    </row>
    <row r="722" spans="1:7" s="145" customFormat="1" ht="15" customHeight="1">
      <c r="A722" s="155"/>
      <c r="B722" s="156"/>
      <c r="C722" s="156"/>
      <c r="D722" s="156"/>
      <c r="E722" s="156"/>
      <c r="F722" s="156"/>
      <c r="G722" s="57">
        <f>SUM(F720:F722)</f>
        <v>20030</v>
      </c>
    </row>
    <row r="723" spans="1:7" s="145" customFormat="1" ht="15" customHeight="1">
      <c r="A723" s="1119" t="s">
        <v>25</v>
      </c>
      <c r="B723" s="1120"/>
      <c r="C723" s="1120"/>
      <c r="D723" s="1120"/>
      <c r="E723" s="1120"/>
      <c r="F723" s="1120"/>
      <c r="G723" s="1121"/>
    </row>
    <row r="724" spans="1:7" s="145" customFormat="1" ht="15" customHeight="1">
      <c r="A724" s="1122"/>
      <c r="B724" s="1120"/>
      <c r="C724" s="1120"/>
      <c r="D724" s="1120"/>
      <c r="E724" s="1120"/>
      <c r="F724" s="1120"/>
      <c r="G724" s="157">
        <f>G722+G718+G714+G705</f>
        <v>78429.617322000006</v>
      </c>
    </row>
    <row r="725" spans="1:7" s="145" customFormat="1" ht="15" customHeight="1">
      <c r="A725" s="48"/>
      <c r="B725" s="49"/>
      <c r="C725" s="49"/>
      <c r="D725" s="49"/>
      <c r="E725" s="49"/>
      <c r="F725" s="49"/>
      <c r="G725" s="50"/>
    </row>
    <row r="726" spans="1:7" s="145" customFormat="1" ht="15" customHeight="1">
      <c r="A726" s="1123" t="s">
        <v>1</v>
      </c>
      <c r="B726" s="1120"/>
      <c r="C726" s="953" t="s">
        <v>594</v>
      </c>
      <c r="D726" s="1125"/>
      <c r="E726" s="1125"/>
      <c r="F726" s="1125"/>
      <c r="G726" s="1126"/>
    </row>
    <row r="727" spans="1:7" s="145" customFormat="1" ht="15" customHeight="1">
      <c r="A727" s="1124"/>
      <c r="B727" s="1120"/>
      <c r="C727" s="1125"/>
      <c r="D727" s="1125"/>
      <c r="E727" s="1125"/>
      <c r="F727" s="1125"/>
      <c r="G727" s="1126"/>
    </row>
    <row r="728" spans="1:7" s="145" customFormat="1" ht="15" customHeight="1">
      <c r="A728" s="1124"/>
      <c r="B728" s="1120"/>
      <c r="C728" s="1127" t="s">
        <v>665</v>
      </c>
      <c r="D728" s="1120"/>
      <c r="E728" s="1120"/>
      <c r="F728" s="1120"/>
      <c r="G728" s="1121"/>
    </row>
    <row r="729" spans="1:7" s="145" customFormat="1" ht="15" customHeight="1">
      <c r="A729" s="1124"/>
      <c r="B729" s="1120"/>
      <c r="C729" s="1128" t="s">
        <v>2</v>
      </c>
      <c r="D729" s="1120"/>
      <c r="E729" s="1120"/>
      <c r="F729" s="146" t="s">
        <v>3</v>
      </c>
      <c r="G729" s="147" t="s">
        <v>4</v>
      </c>
    </row>
    <row r="730" spans="1:7" s="145" customFormat="1" ht="96" customHeight="1">
      <c r="A730" s="1073" t="s">
        <v>687</v>
      </c>
      <c r="B730" s="1115"/>
      <c r="C730" s="980" t="s">
        <v>2772</v>
      </c>
      <c r="D730" s="1115"/>
      <c r="E730" s="1115"/>
      <c r="F730" s="162" t="s">
        <v>28</v>
      </c>
      <c r="G730" s="52">
        <v>1</v>
      </c>
    </row>
    <row r="731" spans="1:7" s="145" customFormat="1" ht="15" customHeight="1">
      <c r="A731" s="1114" t="s">
        <v>5</v>
      </c>
      <c r="B731" s="1115"/>
      <c r="C731" s="1115"/>
      <c r="D731" s="1115"/>
      <c r="E731" s="1115"/>
      <c r="F731" s="1115"/>
      <c r="G731" s="1116"/>
    </row>
    <row r="732" spans="1:7" s="145" customFormat="1" ht="15" customHeight="1">
      <c r="A732" s="1074" t="s">
        <v>2</v>
      </c>
      <c r="B732" s="1115"/>
      <c r="C732" s="53" t="s">
        <v>3</v>
      </c>
      <c r="D732" s="53" t="s">
        <v>4</v>
      </c>
      <c r="E732" s="53" t="s">
        <v>6</v>
      </c>
      <c r="F732" s="53" t="s">
        <v>7</v>
      </c>
      <c r="G732" s="1075" t="s">
        <v>8</v>
      </c>
    </row>
    <row r="733" spans="1:7" s="145" customFormat="1" ht="15" customHeight="1">
      <c r="A733" s="947" t="s">
        <v>167</v>
      </c>
      <c r="B733" s="1115"/>
      <c r="C733" s="51" t="s">
        <v>3</v>
      </c>
      <c r="D733" s="51">
        <v>0.05</v>
      </c>
      <c r="E733" s="17">
        <f>G751</f>
        <v>20030</v>
      </c>
      <c r="F733" s="55">
        <f>D733*E733</f>
        <v>1001.5</v>
      </c>
      <c r="G733" s="1116"/>
    </row>
    <row r="734" spans="1:7" s="145" customFormat="1" ht="15" customHeight="1">
      <c r="A734" s="943"/>
      <c r="B734" s="1115"/>
      <c r="C734" s="51"/>
      <c r="D734" s="51"/>
      <c r="E734" s="51"/>
      <c r="F734" s="55"/>
      <c r="G734" s="57">
        <f>SUM(F732:F734)</f>
        <v>1001.5</v>
      </c>
    </row>
    <row r="735" spans="1:7" s="145" customFormat="1" ht="15" customHeight="1">
      <c r="A735" s="1114" t="s">
        <v>10</v>
      </c>
      <c r="B735" s="1115"/>
      <c r="C735" s="1115"/>
      <c r="D735" s="1115"/>
      <c r="E735" s="1115"/>
      <c r="F735" s="1115"/>
      <c r="G735" s="1116"/>
    </row>
    <row r="736" spans="1:7" s="145" customFormat="1" ht="15" customHeight="1">
      <c r="A736" s="1074" t="s">
        <v>2</v>
      </c>
      <c r="B736" s="1115"/>
      <c r="C736" s="53" t="s">
        <v>3</v>
      </c>
      <c r="D736" s="53" t="s">
        <v>4</v>
      </c>
      <c r="E736" s="53" t="s">
        <v>6</v>
      </c>
      <c r="F736" s="53" t="s">
        <v>11</v>
      </c>
      <c r="G736" s="1075" t="s">
        <v>8</v>
      </c>
    </row>
    <row r="737" spans="1:7" s="145" customFormat="1" ht="15" customHeight="1">
      <c r="A737" s="947" t="s">
        <v>615</v>
      </c>
      <c r="B737" s="980"/>
      <c r="C737" s="148" t="s">
        <v>3</v>
      </c>
      <c r="D737" s="148">
        <v>1</v>
      </c>
      <c r="E737" s="17">
        <f>+'INSUMOS ELÉCTRICOS'!E28</f>
        <v>2946.44</v>
      </c>
      <c r="F737" s="149">
        <f t="shared" ref="F737:F742" si="14">D737*E737</f>
        <v>2946.44</v>
      </c>
      <c r="G737" s="1075"/>
    </row>
    <row r="738" spans="1:7" s="145" customFormat="1" ht="15" customHeight="1">
      <c r="A738" s="947" t="s">
        <v>642</v>
      </c>
      <c r="B738" s="980"/>
      <c r="C738" s="148" t="s">
        <v>622</v>
      </c>
      <c r="D738" s="16">
        <v>12.6</v>
      </c>
      <c r="E738" s="785">
        <v>2567.4964</v>
      </c>
      <c r="F738" s="149">
        <f t="shared" si="14"/>
        <v>32350.45464</v>
      </c>
      <c r="G738" s="1075"/>
    </row>
    <row r="739" spans="1:7" s="145" customFormat="1" ht="15" customHeight="1">
      <c r="A739" s="947" t="s">
        <v>643</v>
      </c>
      <c r="B739" s="980"/>
      <c r="C739" s="148" t="s">
        <v>3</v>
      </c>
      <c r="D739" s="148">
        <v>4</v>
      </c>
      <c r="E739" s="785">
        <f>+'INSUMOS ELÉCTRICOS'!E121</f>
        <v>1189</v>
      </c>
      <c r="F739" s="149">
        <f t="shared" si="14"/>
        <v>4756</v>
      </c>
      <c r="G739" s="1075"/>
    </row>
    <row r="740" spans="1:7" s="145" customFormat="1" ht="15" customHeight="1">
      <c r="A740" s="947" t="s">
        <v>645</v>
      </c>
      <c r="B740" s="980"/>
      <c r="C740" s="148" t="s">
        <v>3</v>
      </c>
      <c r="D740" s="148">
        <v>0.02</v>
      </c>
      <c r="E740" s="785">
        <v>5598.95</v>
      </c>
      <c r="F740" s="149">
        <f t="shared" si="14"/>
        <v>111.979</v>
      </c>
      <c r="G740" s="1075"/>
    </row>
    <row r="741" spans="1:7" s="145" customFormat="1" ht="15" customHeight="1">
      <c r="A741" s="947" t="s">
        <v>646</v>
      </c>
      <c r="B741" s="980"/>
      <c r="C741" s="148" t="s">
        <v>3</v>
      </c>
      <c r="D741" s="148">
        <v>0.02</v>
      </c>
      <c r="E741" s="17">
        <f>+'INSUMOS ELÉCTRICOS'!E120</f>
        <v>25000</v>
      </c>
      <c r="F741" s="149">
        <f t="shared" si="14"/>
        <v>500</v>
      </c>
      <c r="G741" s="1075"/>
    </row>
    <row r="742" spans="1:7" s="145" customFormat="1" ht="15.75" customHeight="1">
      <c r="A742" s="1117" t="s">
        <v>674</v>
      </c>
      <c r="B742" s="1118"/>
      <c r="C742" s="148" t="s">
        <v>3</v>
      </c>
      <c r="D742" s="148">
        <v>1</v>
      </c>
      <c r="E742" s="17">
        <f>+'INSUMOS ELÉCTRICOS'!E12</f>
        <v>14000</v>
      </c>
      <c r="F742" s="149">
        <f t="shared" si="14"/>
        <v>14000</v>
      </c>
      <c r="G742" s="1075"/>
    </row>
    <row r="743" spans="1:7" s="2" customFormat="1" ht="15.75" customHeight="1">
      <c r="A743" s="947"/>
      <c r="B743" s="1115"/>
      <c r="C743" s="16"/>
      <c r="D743" s="58"/>
      <c r="E743" s="17"/>
      <c r="F743" s="55"/>
      <c r="G743" s="57">
        <f>SUM(F736:F743)</f>
        <v>54664.873639999998</v>
      </c>
    </row>
    <row r="744" spans="1:7" s="145" customFormat="1" ht="15" customHeight="1">
      <c r="A744" s="1114" t="s">
        <v>15</v>
      </c>
      <c r="B744" s="1115"/>
      <c r="C744" s="1115"/>
      <c r="D744" s="1115"/>
      <c r="E744" s="1115"/>
      <c r="F744" s="1115"/>
      <c r="G744" s="1116"/>
    </row>
    <row r="745" spans="1:7" s="145" customFormat="1" ht="15" customHeight="1">
      <c r="A745" s="1074" t="s">
        <v>2</v>
      </c>
      <c r="B745" s="1115"/>
      <c r="C745" s="53" t="s">
        <v>3</v>
      </c>
      <c r="D745" s="53" t="s">
        <v>4</v>
      </c>
      <c r="E745" s="53" t="s">
        <v>6</v>
      </c>
      <c r="F745" s="53" t="s">
        <v>11</v>
      </c>
      <c r="G745" s="1075" t="s">
        <v>8</v>
      </c>
    </row>
    <row r="746" spans="1:7" s="145" customFormat="1" ht="15" customHeight="1">
      <c r="A746" s="943" t="s">
        <v>173</v>
      </c>
      <c r="B746" s="1115"/>
      <c r="C746" s="16" t="s">
        <v>3</v>
      </c>
      <c r="D746" s="16">
        <v>0.05</v>
      </c>
      <c r="E746" s="17">
        <f>G743</f>
        <v>54664.873639999998</v>
      </c>
      <c r="F746" s="55">
        <f>D746*E746</f>
        <v>2733.2436820000003</v>
      </c>
      <c r="G746" s="1116"/>
    </row>
    <row r="747" spans="1:7" s="145" customFormat="1" ht="15" customHeight="1">
      <c r="A747" s="151"/>
      <c r="B747" s="152"/>
      <c r="C747" s="152"/>
      <c r="D747" s="152"/>
      <c r="E747" s="152"/>
      <c r="F747" s="152"/>
      <c r="G747" s="57">
        <f>SUM(F746:F747)</f>
        <v>2733.2436820000003</v>
      </c>
    </row>
    <row r="748" spans="1:7" s="145" customFormat="1" ht="15" customHeight="1">
      <c r="A748" s="1114" t="s">
        <v>19</v>
      </c>
      <c r="B748" s="1115"/>
      <c r="C748" s="1115"/>
      <c r="D748" s="1115"/>
      <c r="E748" s="1115"/>
      <c r="F748" s="1115"/>
      <c r="G748" s="1116"/>
    </row>
    <row r="749" spans="1:7" s="145" customFormat="1" ht="15" customHeight="1">
      <c r="A749" s="1074" t="s">
        <v>2</v>
      </c>
      <c r="B749" s="1115"/>
      <c r="C749" s="53" t="s">
        <v>3</v>
      </c>
      <c r="D749" s="53" t="s">
        <v>4</v>
      </c>
      <c r="E749" s="53" t="s">
        <v>6</v>
      </c>
      <c r="F749" s="53" t="s">
        <v>11</v>
      </c>
      <c r="G749" s="1075" t="s">
        <v>8</v>
      </c>
    </row>
    <row r="750" spans="1:7" s="145" customFormat="1" ht="15" customHeight="1">
      <c r="A750" s="978" t="s">
        <v>1256</v>
      </c>
      <c r="B750" s="979"/>
      <c r="C750" s="13" t="s">
        <v>1245</v>
      </c>
      <c r="D750" s="32">
        <v>1</v>
      </c>
      <c r="E750" s="13">
        <v>20030</v>
      </c>
      <c r="F750" s="55">
        <f>+D750*E750</f>
        <v>20030</v>
      </c>
      <c r="G750" s="1116"/>
    </row>
    <row r="751" spans="1:7" s="145" customFormat="1" ht="15" customHeight="1">
      <c r="A751" s="155"/>
      <c r="B751" s="156"/>
      <c r="C751" s="156"/>
      <c r="D751" s="156"/>
      <c r="E751" s="156"/>
      <c r="F751" s="156"/>
      <c r="G751" s="57">
        <f>SUM(F749:F751)</f>
        <v>20030</v>
      </c>
    </row>
    <row r="752" spans="1:7" s="145" customFormat="1" ht="15" customHeight="1">
      <c r="A752" s="1119" t="s">
        <v>25</v>
      </c>
      <c r="B752" s="1120"/>
      <c r="C752" s="1120"/>
      <c r="D752" s="1120"/>
      <c r="E752" s="1120"/>
      <c r="F752" s="1120"/>
      <c r="G752" s="1121"/>
    </row>
    <row r="753" spans="1:7" s="145" customFormat="1" ht="15" customHeight="1">
      <c r="A753" s="1122"/>
      <c r="B753" s="1120"/>
      <c r="C753" s="1120"/>
      <c r="D753" s="1120"/>
      <c r="E753" s="1120"/>
      <c r="F753" s="1120"/>
      <c r="G753" s="157">
        <f>G751+G747+G743+G734</f>
        <v>78429.617322000006</v>
      </c>
    </row>
    <row r="754" spans="1:7" s="145" customFormat="1" ht="13.8">
      <c r="A754" s="158"/>
      <c r="B754" s="159"/>
      <c r="C754" s="159"/>
      <c r="D754" s="159"/>
      <c r="E754" s="159"/>
      <c r="F754" s="159"/>
      <c r="G754" s="160"/>
    </row>
    <row r="755" spans="1:7" s="145" customFormat="1" ht="15" customHeight="1">
      <c r="A755" s="1123" t="s">
        <v>1</v>
      </c>
      <c r="B755" s="1120"/>
      <c r="C755" s="953" t="s">
        <v>594</v>
      </c>
      <c r="D755" s="1125"/>
      <c r="E755" s="1125"/>
      <c r="F755" s="1125"/>
      <c r="G755" s="1126"/>
    </row>
    <row r="756" spans="1:7" s="145" customFormat="1" ht="15" customHeight="1">
      <c r="A756" s="1124"/>
      <c r="B756" s="1120"/>
      <c r="C756" s="1125"/>
      <c r="D756" s="1125"/>
      <c r="E756" s="1125"/>
      <c r="F756" s="1125"/>
      <c r="G756" s="1126"/>
    </row>
    <row r="757" spans="1:7" s="145" customFormat="1" ht="15" customHeight="1">
      <c r="A757" s="1124"/>
      <c r="B757" s="1120"/>
      <c r="C757" s="1127" t="s">
        <v>689</v>
      </c>
      <c r="D757" s="1120"/>
      <c r="E757" s="1120"/>
      <c r="F757" s="1120"/>
      <c r="G757" s="1121"/>
    </row>
    <row r="758" spans="1:7" s="145" customFormat="1" ht="15" customHeight="1">
      <c r="A758" s="1124"/>
      <c r="B758" s="1120"/>
      <c r="C758" s="1128" t="s">
        <v>2</v>
      </c>
      <c r="D758" s="1120"/>
      <c r="E758" s="1120"/>
      <c r="F758" s="146" t="s">
        <v>3</v>
      </c>
      <c r="G758" s="147" t="s">
        <v>4</v>
      </c>
    </row>
    <row r="759" spans="1:7" s="145" customFormat="1" ht="34.799999999999997">
      <c r="A759" s="1073" t="s">
        <v>690</v>
      </c>
      <c r="B759" s="1115"/>
      <c r="C759" s="980" t="s">
        <v>2780</v>
      </c>
      <c r="D759" s="1115"/>
      <c r="E759" s="1115"/>
      <c r="F759" s="162" t="s">
        <v>28</v>
      </c>
      <c r="G759" s="52">
        <v>1</v>
      </c>
    </row>
    <row r="760" spans="1:7" s="145" customFormat="1" ht="15" customHeight="1">
      <c r="A760" s="1114" t="s">
        <v>5</v>
      </c>
      <c r="B760" s="1115"/>
      <c r="C760" s="1115"/>
      <c r="D760" s="1115"/>
      <c r="E760" s="1115"/>
      <c r="F760" s="1115"/>
      <c r="G760" s="1116"/>
    </row>
    <row r="761" spans="1:7" s="145" customFormat="1" ht="15" customHeight="1">
      <c r="A761" s="1074" t="s">
        <v>2</v>
      </c>
      <c r="B761" s="1115"/>
      <c r="C761" s="53" t="s">
        <v>3</v>
      </c>
      <c r="D761" s="53" t="s">
        <v>4</v>
      </c>
      <c r="E761" s="53" t="s">
        <v>6</v>
      </c>
      <c r="F761" s="53" t="s">
        <v>7</v>
      </c>
      <c r="G761" s="1075" t="s">
        <v>8</v>
      </c>
    </row>
    <row r="762" spans="1:7" s="145" customFormat="1" ht="15" customHeight="1">
      <c r="A762" s="947" t="s">
        <v>167</v>
      </c>
      <c r="B762" s="1115"/>
      <c r="C762" s="51" t="s">
        <v>3</v>
      </c>
      <c r="D762" s="51">
        <v>0.05</v>
      </c>
      <c r="E762" s="17">
        <f>G779</f>
        <v>9020.5</v>
      </c>
      <c r="F762" s="55">
        <f>D762*E762</f>
        <v>451.02500000000003</v>
      </c>
      <c r="G762" s="1116"/>
    </row>
    <row r="763" spans="1:7" s="145" customFormat="1" ht="15" customHeight="1">
      <c r="A763" s="943"/>
      <c r="B763" s="1115"/>
      <c r="C763" s="51"/>
      <c r="D763" s="51"/>
      <c r="E763" s="51"/>
      <c r="F763" s="55"/>
      <c r="G763" s="57">
        <f>SUM(F761:F763)</f>
        <v>451.02500000000003</v>
      </c>
    </row>
    <row r="764" spans="1:7" s="145" customFormat="1" ht="15" customHeight="1">
      <c r="A764" s="1114" t="s">
        <v>10</v>
      </c>
      <c r="B764" s="1115"/>
      <c r="C764" s="1115"/>
      <c r="D764" s="1115"/>
      <c r="E764" s="1115"/>
      <c r="F764" s="1115"/>
      <c r="G764" s="1116"/>
    </row>
    <row r="765" spans="1:7" s="145" customFormat="1" ht="15" customHeight="1">
      <c r="A765" s="1074" t="s">
        <v>2</v>
      </c>
      <c r="B765" s="1115"/>
      <c r="C765" s="53" t="s">
        <v>3</v>
      </c>
      <c r="D765" s="53" t="s">
        <v>4</v>
      </c>
      <c r="E765" s="53" t="s">
        <v>6</v>
      </c>
      <c r="F765" s="53" t="s">
        <v>11</v>
      </c>
      <c r="G765" s="1075" t="s">
        <v>8</v>
      </c>
    </row>
    <row r="766" spans="1:7" s="145" customFormat="1" ht="15" customHeight="1">
      <c r="A766" s="1117" t="s">
        <v>643</v>
      </c>
      <c r="B766" s="1118"/>
      <c r="C766" s="148" t="s">
        <v>3</v>
      </c>
      <c r="D766" s="148">
        <v>2</v>
      </c>
      <c r="E766" s="17">
        <f>+'INSUMOS ELÉCTRICOS'!E121</f>
        <v>1189</v>
      </c>
      <c r="F766" s="149">
        <f>D766*E766</f>
        <v>2378</v>
      </c>
      <c r="G766" s="1075"/>
    </row>
    <row r="767" spans="1:7" s="145" customFormat="1" ht="15" customHeight="1">
      <c r="A767" s="1117" t="s">
        <v>692</v>
      </c>
      <c r="B767" s="1118"/>
      <c r="C767" s="148" t="s">
        <v>3</v>
      </c>
      <c r="D767" s="148">
        <v>1</v>
      </c>
      <c r="E767" s="17">
        <f>+'INSUMOS ELÉCTRICOS'!E73</f>
        <v>6679.4699999999993</v>
      </c>
      <c r="F767" s="149">
        <f>D767*E767</f>
        <v>6679.4699999999993</v>
      </c>
      <c r="G767" s="1075"/>
    </row>
    <row r="768" spans="1:7" s="145" customFormat="1" ht="15" customHeight="1">
      <c r="A768" s="1117" t="s">
        <v>693</v>
      </c>
      <c r="B768" s="1118"/>
      <c r="C768" s="148" t="s">
        <v>3</v>
      </c>
      <c r="D768" s="148">
        <v>1</v>
      </c>
      <c r="E768" s="17">
        <f>+'INSUMOS ELÉCTRICOS'!E181</f>
        <v>47900</v>
      </c>
      <c r="F768" s="149">
        <f>D768*E768</f>
        <v>47900</v>
      </c>
      <c r="G768" s="1075"/>
    </row>
    <row r="769" spans="1:7" s="145" customFormat="1" ht="15.75" customHeight="1">
      <c r="A769" s="1117" t="s">
        <v>694</v>
      </c>
      <c r="B769" s="1118"/>
      <c r="C769" s="148" t="s">
        <v>3</v>
      </c>
      <c r="D769" s="148">
        <v>1</v>
      </c>
      <c r="E769" s="17">
        <f>+'INSUMOS ELÉCTRICOS'!E124</f>
        <v>6399.82</v>
      </c>
      <c r="F769" s="149">
        <f>D769*E769</f>
        <v>6399.82</v>
      </c>
      <c r="G769" s="1075"/>
    </row>
    <row r="770" spans="1:7" s="145" customFormat="1" ht="15" customHeight="1">
      <c r="A770" s="1117" t="s">
        <v>612</v>
      </c>
      <c r="B770" s="1118"/>
      <c r="C770" s="148" t="s">
        <v>3</v>
      </c>
      <c r="D770" s="148">
        <v>10</v>
      </c>
      <c r="E770" s="17">
        <f>+'INSUMOS ELÉCTRICOS'!E126</f>
        <v>348.66999999999996</v>
      </c>
      <c r="F770" s="149">
        <f>D770*E770</f>
        <v>3486.7</v>
      </c>
      <c r="G770" s="1075"/>
    </row>
    <row r="771" spans="1:7" s="145" customFormat="1" ht="15" customHeight="1">
      <c r="A771" s="947"/>
      <c r="B771" s="1115"/>
      <c r="C771" s="16"/>
      <c r="D771" s="58"/>
      <c r="E771" s="17"/>
      <c r="F771" s="55"/>
      <c r="G771" s="57">
        <f>SUM(F765:F771)</f>
        <v>66843.990000000005</v>
      </c>
    </row>
    <row r="772" spans="1:7" s="145" customFormat="1" ht="15" customHeight="1">
      <c r="A772" s="1114" t="s">
        <v>15</v>
      </c>
      <c r="B772" s="1115"/>
      <c r="C772" s="1115"/>
      <c r="D772" s="1115"/>
      <c r="E772" s="1115"/>
      <c r="F772" s="1115"/>
      <c r="G772" s="1116"/>
    </row>
    <row r="773" spans="1:7" s="145" customFormat="1" ht="15.75" customHeight="1">
      <c r="A773" s="1074" t="s">
        <v>2</v>
      </c>
      <c r="B773" s="1115"/>
      <c r="C773" s="53" t="s">
        <v>3</v>
      </c>
      <c r="D773" s="53" t="s">
        <v>4</v>
      </c>
      <c r="E773" s="53" t="s">
        <v>6</v>
      </c>
      <c r="F773" s="53" t="s">
        <v>11</v>
      </c>
      <c r="G773" s="1075" t="s">
        <v>8</v>
      </c>
    </row>
    <row r="774" spans="1:7" s="2" customFormat="1" ht="15.75" customHeight="1">
      <c r="A774" s="943" t="s">
        <v>173</v>
      </c>
      <c r="B774" s="1115"/>
      <c r="C774" s="16" t="s">
        <v>3</v>
      </c>
      <c r="D774" s="16">
        <v>0.01</v>
      </c>
      <c r="E774" s="17">
        <f>G771</f>
        <v>66843.990000000005</v>
      </c>
      <c r="F774" s="55">
        <f>D774*E774</f>
        <v>668.43990000000008</v>
      </c>
      <c r="G774" s="1116"/>
    </row>
    <row r="775" spans="1:7" s="145" customFormat="1" ht="15" customHeight="1">
      <c r="A775" s="151"/>
      <c r="B775" s="152"/>
      <c r="C775" s="152"/>
      <c r="D775" s="152"/>
      <c r="E775" s="152"/>
      <c r="F775" s="152"/>
      <c r="G775" s="57">
        <f>SUM(F774:F775)</f>
        <v>668.43990000000008</v>
      </c>
    </row>
    <row r="776" spans="1:7" s="145" customFormat="1" ht="15" customHeight="1">
      <c r="A776" s="1114" t="s">
        <v>19</v>
      </c>
      <c r="B776" s="1115"/>
      <c r="C776" s="1115"/>
      <c r="D776" s="1115"/>
      <c r="E776" s="1115"/>
      <c r="F776" s="1115"/>
      <c r="G776" s="1116"/>
    </row>
    <row r="777" spans="1:7" s="145" customFormat="1" ht="15" customHeight="1">
      <c r="A777" s="1074" t="s">
        <v>2</v>
      </c>
      <c r="B777" s="1115"/>
      <c r="C777" s="53" t="s">
        <v>3</v>
      </c>
      <c r="D777" s="53" t="s">
        <v>4</v>
      </c>
      <c r="E777" s="53" t="s">
        <v>6</v>
      </c>
      <c r="F777" s="53" t="s">
        <v>11</v>
      </c>
      <c r="G777" s="1075" t="s">
        <v>8</v>
      </c>
    </row>
    <row r="778" spans="1:7" s="145" customFormat="1" ht="15" customHeight="1">
      <c r="A778" s="978" t="s">
        <v>1256</v>
      </c>
      <c r="B778" s="979"/>
      <c r="C778" s="13" t="s">
        <v>1245</v>
      </c>
      <c r="D778" s="32">
        <v>0.5</v>
      </c>
      <c r="E778" s="13">
        <v>18041</v>
      </c>
      <c r="F778" s="55">
        <f>+D778*E778</f>
        <v>9020.5</v>
      </c>
      <c r="G778" s="1116"/>
    </row>
    <row r="779" spans="1:7" s="145" customFormat="1" ht="15.75" customHeight="1">
      <c r="A779" s="155"/>
      <c r="B779" s="156"/>
      <c r="C779" s="156"/>
      <c r="D779" s="156"/>
      <c r="E779" s="156"/>
      <c r="F779" s="156"/>
      <c r="G779" s="57">
        <f>SUM(F777:F779)</f>
        <v>9020.5</v>
      </c>
    </row>
    <row r="780" spans="1:7" s="145" customFormat="1" ht="24" customHeight="1">
      <c r="A780" s="1119" t="s">
        <v>25</v>
      </c>
      <c r="B780" s="1120"/>
      <c r="C780" s="1120"/>
      <c r="D780" s="1120"/>
      <c r="E780" s="1120"/>
      <c r="F780" s="1120"/>
      <c r="G780" s="1121"/>
    </row>
    <row r="781" spans="1:7" s="145" customFormat="1" ht="15.6" customHeight="1">
      <c r="A781" s="1122"/>
      <c r="B781" s="1120"/>
      <c r="C781" s="1120"/>
      <c r="D781" s="1120"/>
      <c r="E781" s="1120"/>
      <c r="F781" s="1120"/>
      <c r="G781" s="157">
        <f>G779+G775+G771+G763</f>
        <v>76983.954899999997</v>
      </c>
    </row>
    <row r="782" spans="1:7" s="145" customFormat="1" ht="15.75" customHeight="1">
      <c r="A782" s="158"/>
      <c r="B782" s="159"/>
      <c r="C782" s="159"/>
      <c r="D782" s="159"/>
      <c r="E782" s="159"/>
      <c r="F782" s="159"/>
      <c r="G782" s="160"/>
    </row>
    <row r="783" spans="1:7" s="145" customFormat="1" ht="40.950000000000003" customHeight="1">
      <c r="A783" s="1123" t="s">
        <v>1</v>
      </c>
      <c r="B783" s="1120"/>
      <c r="C783" s="953" t="s">
        <v>594</v>
      </c>
      <c r="D783" s="1125"/>
      <c r="E783" s="1125"/>
      <c r="F783" s="1125"/>
      <c r="G783" s="1126"/>
    </row>
    <row r="784" spans="1:7" s="145" customFormat="1" ht="15.75" customHeight="1">
      <c r="A784" s="1124"/>
      <c r="B784" s="1120"/>
      <c r="C784" s="1125"/>
      <c r="D784" s="1125"/>
      <c r="E784" s="1125"/>
      <c r="F784" s="1125"/>
      <c r="G784" s="1126"/>
    </row>
    <row r="785" spans="1:7" s="145" customFormat="1" ht="15.75" customHeight="1">
      <c r="A785" s="1124"/>
      <c r="B785" s="1120"/>
      <c r="C785" s="1127" t="s">
        <v>689</v>
      </c>
      <c r="D785" s="1120"/>
      <c r="E785" s="1120"/>
      <c r="F785" s="1120"/>
      <c r="G785" s="1121"/>
    </row>
    <row r="786" spans="1:7" s="145" customFormat="1" ht="15.75" customHeight="1">
      <c r="A786" s="1124"/>
      <c r="B786" s="1120"/>
      <c r="C786" s="1128" t="s">
        <v>2</v>
      </c>
      <c r="D786" s="1120"/>
      <c r="E786" s="1120"/>
      <c r="F786" s="146" t="s">
        <v>3</v>
      </c>
      <c r="G786" s="147" t="s">
        <v>4</v>
      </c>
    </row>
    <row r="787" spans="1:7" s="145" customFormat="1" ht="43.5" customHeight="1">
      <c r="A787" s="1073" t="s">
        <v>695</v>
      </c>
      <c r="B787" s="1115"/>
      <c r="C787" s="980" t="s">
        <v>2781</v>
      </c>
      <c r="D787" s="1115"/>
      <c r="E787" s="1115"/>
      <c r="F787" s="162" t="s">
        <v>28</v>
      </c>
      <c r="G787" s="52">
        <v>1</v>
      </c>
    </row>
    <row r="788" spans="1:7" s="145" customFormat="1" ht="15.75" customHeight="1">
      <c r="A788" s="1114" t="s">
        <v>5</v>
      </c>
      <c r="B788" s="1115"/>
      <c r="C788" s="1115"/>
      <c r="D788" s="1115"/>
      <c r="E788" s="1115"/>
      <c r="F788" s="1115"/>
      <c r="G788" s="1116"/>
    </row>
    <row r="789" spans="1:7" s="145" customFormat="1" ht="15.75" customHeight="1">
      <c r="A789" s="1074" t="s">
        <v>2</v>
      </c>
      <c r="B789" s="1115"/>
      <c r="C789" s="53" t="s">
        <v>3</v>
      </c>
      <c r="D789" s="53" t="s">
        <v>4</v>
      </c>
      <c r="E789" s="53" t="s">
        <v>6</v>
      </c>
      <c r="F789" s="53" t="s">
        <v>7</v>
      </c>
      <c r="G789" s="1075" t="s">
        <v>8</v>
      </c>
    </row>
    <row r="790" spans="1:7" s="145" customFormat="1" ht="16.2" customHeight="1">
      <c r="A790" s="947" t="s">
        <v>167</v>
      </c>
      <c r="B790" s="1115"/>
      <c r="C790" s="51" t="s">
        <v>3</v>
      </c>
      <c r="D790" s="51">
        <v>0.05</v>
      </c>
      <c r="E790" s="17">
        <f>G807</f>
        <v>10015</v>
      </c>
      <c r="F790" s="55">
        <f>D790*E790</f>
        <v>500.75</v>
      </c>
      <c r="G790" s="1116"/>
    </row>
    <row r="791" spans="1:7" s="145" customFormat="1" ht="16.2" customHeight="1">
      <c r="A791" s="943"/>
      <c r="B791" s="1115"/>
      <c r="C791" s="51"/>
      <c r="D791" s="51"/>
      <c r="E791" s="51"/>
      <c r="F791" s="55"/>
      <c r="G791" s="57">
        <f>SUM(F789:F791)</f>
        <v>500.75</v>
      </c>
    </row>
    <row r="792" spans="1:7" s="150" customFormat="1" ht="16.2" customHeight="1">
      <c r="A792" s="1114" t="s">
        <v>10</v>
      </c>
      <c r="B792" s="1115"/>
      <c r="C792" s="1115"/>
      <c r="D792" s="1115"/>
      <c r="E792" s="1115"/>
      <c r="F792" s="1115"/>
      <c r="G792" s="1116"/>
    </row>
    <row r="793" spans="1:7" s="150" customFormat="1" ht="16.2" customHeight="1">
      <c r="A793" s="1074" t="s">
        <v>2</v>
      </c>
      <c r="B793" s="1115"/>
      <c r="C793" s="53" t="s">
        <v>3</v>
      </c>
      <c r="D793" s="53" t="s">
        <v>4</v>
      </c>
      <c r="E793" s="53" t="s">
        <v>6</v>
      </c>
      <c r="F793" s="53" t="s">
        <v>11</v>
      </c>
      <c r="G793" s="1075" t="s">
        <v>8</v>
      </c>
    </row>
    <row r="794" spans="1:7" s="150" customFormat="1" ht="16.2" customHeight="1">
      <c r="A794" s="1117" t="s">
        <v>643</v>
      </c>
      <c r="B794" s="1118"/>
      <c r="C794" s="148" t="s">
        <v>3</v>
      </c>
      <c r="D794" s="148">
        <v>2</v>
      </c>
      <c r="E794" s="17">
        <f>+'INSUMOS ELÉCTRICOS'!E121</f>
        <v>1189</v>
      </c>
      <c r="F794" s="149">
        <f>D794*E794</f>
        <v>2378</v>
      </c>
      <c r="G794" s="1075"/>
    </row>
    <row r="795" spans="1:7" s="145" customFormat="1" ht="15.75" customHeight="1">
      <c r="A795" s="1117" t="s">
        <v>692</v>
      </c>
      <c r="B795" s="1118"/>
      <c r="C795" s="148" t="s">
        <v>3</v>
      </c>
      <c r="D795" s="148">
        <v>1</v>
      </c>
      <c r="E795" s="17">
        <f>+'INSUMOS ELÉCTRICOS'!E73</f>
        <v>6679.4699999999993</v>
      </c>
      <c r="F795" s="149">
        <f>D795*E795</f>
        <v>6679.4699999999993</v>
      </c>
      <c r="G795" s="1075"/>
    </row>
    <row r="796" spans="1:7" s="145" customFormat="1" ht="15.75" customHeight="1">
      <c r="A796" s="1117" t="s">
        <v>697</v>
      </c>
      <c r="B796" s="1118"/>
      <c r="C796" s="148" t="s">
        <v>3</v>
      </c>
      <c r="D796" s="148">
        <v>1</v>
      </c>
      <c r="E796" s="17">
        <f>+'INSUMOS ELÉCTRICOS'!E69</f>
        <v>69900</v>
      </c>
      <c r="F796" s="149">
        <f>D796*E796</f>
        <v>69900</v>
      </c>
      <c r="G796" s="1075"/>
    </row>
    <row r="797" spans="1:7" s="145" customFormat="1" ht="15.75" customHeight="1">
      <c r="A797" s="1117" t="s">
        <v>694</v>
      </c>
      <c r="B797" s="1118"/>
      <c r="C797" s="148" t="s">
        <v>3</v>
      </c>
      <c r="D797" s="148">
        <v>1</v>
      </c>
      <c r="E797" s="17">
        <f>+'INSUMOS ELÉCTRICOS'!E124</f>
        <v>6399.82</v>
      </c>
      <c r="F797" s="149">
        <f>D797*E797</f>
        <v>6399.82</v>
      </c>
      <c r="G797" s="1075"/>
    </row>
    <row r="798" spans="1:7" s="145" customFormat="1" ht="15.75" customHeight="1">
      <c r="A798" s="1117" t="s">
        <v>612</v>
      </c>
      <c r="B798" s="1118"/>
      <c r="C798" s="148" t="s">
        <v>3</v>
      </c>
      <c r="D798" s="148">
        <v>10</v>
      </c>
      <c r="E798" s="17">
        <f>+'INSUMOS ELÉCTRICOS'!E126</f>
        <v>348.66999999999996</v>
      </c>
      <c r="F798" s="149">
        <f>D798*E798</f>
        <v>3486.7</v>
      </c>
      <c r="G798" s="1075"/>
    </row>
    <row r="799" spans="1:7" s="145" customFormat="1" ht="15.75" customHeight="1">
      <c r="A799" s="947"/>
      <c r="B799" s="1115"/>
      <c r="C799" s="16"/>
      <c r="D799" s="58"/>
      <c r="E799" s="17"/>
      <c r="F799" s="55"/>
      <c r="G799" s="57">
        <f>SUM(F793:F799)</f>
        <v>88843.99</v>
      </c>
    </row>
    <row r="800" spans="1:7" s="145" customFormat="1" ht="15.75" customHeight="1">
      <c r="A800" s="1114" t="s">
        <v>15</v>
      </c>
      <c r="B800" s="1115"/>
      <c r="C800" s="1115"/>
      <c r="D800" s="1115"/>
      <c r="E800" s="1115"/>
      <c r="F800" s="1115"/>
      <c r="G800" s="1116"/>
    </row>
    <row r="801" spans="1:7" s="145" customFormat="1" ht="15.75" customHeight="1">
      <c r="A801" s="1074" t="s">
        <v>2</v>
      </c>
      <c r="B801" s="1115"/>
      <c r="C801" s="53" t="s">
        <v>3</v>
      </c>
      <c r="D801" s="53" t="s">
        <v>4</v>
      </c>
      <c r="E801" s="53" t="s">
        <v>6</v>
      </c>
      <c r="F801" s="53" t="s">
        <v>11</v>
      </c>
      <c r="G801" s="1075" t="s">
        <v>8</v>
      </c>
    </row>
    <row r="802" spans="1:7" s="2" customFormat="1" ht="15.75" customHeight="1">
      <c r="A802" s="943" t="s">
        <v>173</v>
      </c>
      <c r="B802" s="1115"/>
      <c r="C802" s="16" t="s">
        <v>3</v>
      </c>
      <c r="D802" s="16">
        <v>0.02</v>
      </c>
      <c r="E802" s="17">
        <f>G799</f>
        <v>88843.99</v>
      </c>
      <c r="F802" s="55">
        <f>D802*E802</f>
        <v>1776.8798000000002</v>
      </c>
      <c r="G802" s="1116"/>
    </row>
    <row r="803" spans="1:7" s="145" customFormat="1" ht="15.75" customHeight="1">
      <c r="A803" s="151"/>
      <c r="B803" s="152"/>
      <c r="C803" s="152"/>
      <c r="D803" s="152"/>
      <c r="E803" s="152"/>
      <c r="F803" s="152"/>
      <c r="G803" s="57">
        <f>SUM(F802:F803)</f>
        <v>1776.8798000000002</v>
      </c>
    </row>
    <row r="804" spans="1:7" s="145" customFormat="1" ht="15.75" customHeight="1">
      <c r="A804" s="1114" t="s">
        <v>19</v>
      </c>
      <c r="B804" s="1115"/>
      <c r="C804" s="1115"/>
      <c r="D804" s="1115"/>
      <c r="E804" s="1115"/>
      <c r="F804" s="1115"/>
      <c r="G804" s="1116"/>
    </row>
    <row r="805" spans="1:7" s="145" customFormat="1" ht="15.75" customHeight="1">
      <c r="A805" s="1074" t="s">
        <v>2</v>
      </c>
      <c r="B805" s="1115"/>
      <c r="C805" s="53" t="s">
        <v>3</v>
      </c>
      <c r="D805" s="53" t="s">
        <v>4</v>
      </c>
      <c r="E805" s="53" t="s">
        <v>6</v>
      </c>
      <c r="F805" s="53" t="s">
        <v>11</v>
      </c>
      <c r="G805" s="1075" t="s">
        <v>8</v>
      </c>
    </row>
    <row r="806" spans="1:7" s="145" customFormat="1" ht="15" customHeight="1">
      <c r="A806" s="978" t="s">
        <v>1256</v>
      </c>
      <c r="B806" s="979"/>
      <c r="C806" s="13" t="s">
        <v>1245</v>
      </c>
      <c r="D806" s="32">
        <v>0.5</v>
      </c>
      <c r="E806" s="13">
        <v>20030</v>
      </c>
      <c r="F806" s="55">
        <f>+D806*E806</f>
        <v>10015</v>
      </c>
      <c r="G806" s="1116"/>
    </row>
    <row r="807" spans="1:7" s="145" customFormat="1" ht="15.75" customHeight="1">
      <c r="A807" s="155"/>
      <c r="B807" s="156"/>
      <c r="C807" s="156"/>
      <c r="D807" s="156"/>
      <c r="E807" s="156"/>
      <c r="F807" s="156"/>
      <c r="G807" s="57">
        <f>SUM(F805:F807)</f>
        <v>10015</v>
      </c>
    </row>
    <row r="808" spans="1:7" s="145" customFormat="1" ht="13.8">
      <c r="A808" s="1119" t="s">
        <v>25</v>
      </c>
      <c r="B808" s="1120"/>
      <c r="C808" s="1120"/>
      <c r="D808" s="1120"/>
      <c r="E808" s="1120"/>
      <c r="F808" s="1120"/>
      <c r="G808" s="1121"/>
    </row>
    <row r="809" spans="1:7" s="145" customFormat="1" ht="15.6" customHeight="1">
      <c r="A809" s="1122"/>
      <c r="B809" s="1120"/>
      <c r="C809" s="1120"/>
      <c r="D809" s="1120"/>
      <c r="E809" s="1120"/>
      <c r="F809" s="1120"/>
      <c r="G809" s="157">
        <f>G807+G803+G799+G791</f>
        <v>101136.6198</v>
      </c>
    </row>
    <row r="810" spans="1:7" s="145" customFormat="1" ht="15.75" customHeight="1">
      <c r="A810" s="158"/>
      <c r="B810" s="159"/>
      <c r="C810" s="159"/>
      <c r="D810" s="159"/>
      <c r="E810" s="159"/>
      <c r="F810" s="159"/>
      <c r="G810" s="160"/>
    </row>
    <row r="811" spans="1:7" s="145" customFormat="1" ht="40.950000000000003" customHeight="1">
      <c r="A811" s="1123" t="s">
        <v>1</v>
      </c>
      <c r="B811" s="1120"/>
      <c r="C811" s="953" t="s">
        <v>594</v>
      </c>
      <c r="D811" s="1125"/>
      <c r="E811" s="1125"/>
      <c r="F811" s="1125"/>
      <c r="G811" s="1126"/>
    </row>
    <row r="812" spans="1:7" s="145" customFormat="1" ht="15.75" customHeight="1">
      <c r="A812" s="1124"/>
      <c r="B812" s="1120"/>
      <c r="C812" s="1125"/>
      <c r="D812" s="1125"/>
      <c r="E812" s="1125"/>
      <c r="F812" s="1125"/>
      <c r="G812" s="1126"/>
    </row>
    <row r="813" spans="1:7" s="145" customFormat="1" ht="15.75" customHeight="1">
      <c r="A813" s="1124"/>
      <c r="B813" s="1120"/>
      <c r="C813" s="1127" t="s">
        <v>689</v>
      </c>
      <c r="D813" s="1120"/>
      <c r="E813" s="1120"/>
      <c r="F813" s="1120"/>
      <c r="G813" s="1121"/>
    </row>
    <row r="814" spans="1:7" s="145" customFormat="1" ht="15.75" customHeight="1">
      <c r="A814" s="1124"/>
      <c r="B814" s="1120"/>
      <c r="C814" s="1128" t="s">
        <v>2</v>
      </c>
      <c r="D814" s="1120"/>
      <c r="E814" s="1120"/>
      <c r="F814" s="146" t="s">
        <v>3</v>
      </c>
      <c r="G814" s="147" t="s">
        <v>4</v>
      </c>
    </row>
    <row r="815" spans="1:7" s="145" customFormat="1" ht="42.75" customHeight="1">
      <c r="A815" s="1073" t="s">
        <v>698</v>
      </c>
      <c r="B815" s="1115"/>
      <c r="C815" s="980" t="s">
        <v>2781</v>
      </c>
      <c r="D815" s="1115"/>
      <c r="E815" s="1115"/>
      <c r="F815" s="162" t="s">
        <v>28</v>
      </c>
      <c r="G815" s="52">
        <v>1</v>
      </c>
    </row>
    <row r="816" spans="1:7" s="145" customFormat="1" ht="15.75" customHeight="1">
      <c r="A816" s="1114" t="s">
        <v>5</v>
      </c>
      <c r="B816" s="1115"/>
      <c r="C816" s="1115"/>
      <c r="D816" s="1115"/>
      <c r="E816" s="1115"/>
      <c r="F816" s="1115"/>
      <c r="G816" s="1116"/>
    </row>
    <row r="817" spans="1:7" s="145" customFormat="1" ht="15.75" customHeight="1">
      <c r="A817" s="1074" t="s">
        <v>2</v>
      </c>
      <c r="B817" s="1115"/>
      <c r="C817" s="53" t="s">
        <v>3</v>
      </c>
      <c r="D817" s="53" t="s">
        <v>4</v>
      </c>
      <c r="E817" s="53" t="s">
        <v>6</v>
      </c>
      <c r="F817" s="53" t="s">
        <v>7</v>
      </c>
      <c r="G817" s="1075" t="s">
        <v>8</v>
      </c>
    </row>
    <row r="818" spans="1:7" s="145" customFormat="1" ht="16.2" customHeight="1">
      <c r="A818" s="947" t="s">
        <v>167</v>
      </c>
      <c r="B818" s="1115"/>
      <c r="C818" s="51" t="s">
        <v>3</v>
      </c>
      <c r="D818" s="51">
        <v>0.05</v>
      </c>
      <c r="E818" s="17">
        <f>G835</f>
        <v>10015</v>
      </c>
      <c r="F818" s="55">
        <f>D818*E818</f>
        <v>500.75</v>
      </c>
      <c r="G818" s="1116"/>
    </row>
    <row r="819" spans="1:7" s="145" customFormat="1" ht="16.2" customHeight="1">
      <c r="A819" s="943"/>
      <c r="B819" s="1115"/>
      <c r="C819" s="51"/>
      <c r="D819" s="51"/>
      <c r="E819" s="51"/>
      <c r="F819" s="55"/>
      <c r="G819" s="57">
        <f>SUM(F817:F819)</f>
        <v>500.75</v>
      </c>
    </row>
    <row r="820" spans="1:7" s="150" customFormat="1" ht="16.2" customHeight="1">
      <c r="A820" s="1114" t="s">
        <v>10</v>
      </c>
      <c r="B820" s="1115"/>
      <c r="C820" s="1115"/>
      <c r="D820" s="1115"/>
      <c r="E820" s="1115"/>
      <c r="F820" s="1115"/>
      <c r="G820" s="1116"/>
    </row>
    <row r="821" spans="1:7" s="150" customFormat="1" ht="16.2" customHeight="1">
      <c r="A821" s="1074" t="s">
        <v>2</v>
      </c>
      <c r="B821" s="1115"/>
      <c r="C821" s="53" t="s">
        <v>3</v>
      </c>
      <c r="D821" s="53" t="s">
        <v>4</v>
      </c>
      <c r="E821" s="53" t="s">
        <v>6</v>
      </c>
      <c r="F821" s="53" t="s">
        <v>11</v>
      </c>
      <c r="G821" s="1075" t="s">
        <v>8</v>
      </c>
    </row>
    <row r="822" spans="1:7" s="150" customFormat="1" ht="16.2" customHeight="1">
      <c r="A822" s="1117" t="s">
        <v>643</v>
      </c>
      <c r="B822" s="1118"/>
      <c r="C822" s="148" t="s">
        <v>3</v>
      </c>
      <c r="D822" s="148">
        <v>2</v>
      </c>
      <c r="E822" s="17">
        <f>+'INSUMOS ELÉCTRICOS'!E121</f>
        <v>1189</v>
      </c>
      <c r="F822" s="149">
        <f>D822*E822</f>
        <v>2378</v>
      </c>
      <c r="G822" s="1075"/>
    </row>
    <row r="823" spans="1:7" s="145" customFormat="1" ht="15.75" customHeight="1">
      <c r="A823" s="1117" t="s">
        <v>692</v>
      </c>
      <c r="B823" s="1118"/>
      <c r="C823" s="148" t="s">
        <v>3</v>
      </c>
      <c r="D823" s="148">
        <v>1</v>
      </c>
      <c r="E823" s="17">
        <f>+'INSUMOS ELÉCTRICOS'!E73</f>
        <v>6679.4699999999993</v>
      </c>
      <c r="F823" s="149">
        <f>D823*E823</f>
        <v>6679.4699999999993</v>
      </c>
      <c r="G823" s="1075"/>
    </row>
    <row r="824" spans="1:7" s="145" customFormat="1" ht="15.75" customHeight="1">
      <c r="A824" s="1117" t="s">
        <v>697</v>
      </c>
      <c r="B824" s="1118"/>
      <c r="C824" s="148" t="s">
        <v>3</v>
      </c>
      <c r="D824" s="148">
        <v>1</v>
      </c>
      <c r="E824" s="17">
        <f>+'INSUMOS ELÉCTRICOS'!E69</f>
        <v>69900</v>
      </c>
      <c r="F824" s="149">
        <f>D824*E824</f>
        <v>69900</v>
      </c>
      <c r="G824" s="1075"/>
    </row>
    <row r="825" spans="1:7" s="145" customFormat="1" ht="15.75" customHeight="1">
      <c r="A825" s="1117" t="s">
        <v>694</v>
      </c>
      <c r="B825" s="1118"/>
      <c r="C825" s="148" t="s">
        <v>3</v>
      </c>
      <c r="D825" s="148">
        <v>1</v>
      </c>
      <c r="E825" s="17">
        <f>+'INSUMOS ELÉCTRICOS'!E124</f>
        <v>6399.82</v>
      </c>
      <c r="F825" s="149">
        <f>D825*E825</f>
        <v>6399.82</v>
      </c>
      <c r="G825" s="1075"/>
    </row>
    <row r="826" spans="1:7" s="145" customFormat="1" ht="15.75" customHeight="1">
      <c r="A826" s="1117" t="s">
        <v>612</v>
      </c>
      <c r="B826" s="1118"/>
      <c r="C826" s="148" t="s">
        <v>3</v>
      </c>
      <c r="D826" s="148">
        <v>10</v>
      </c>
      <c r="E826" s="17">
        <f>+'INSUMOS ELÉCTRICOS'!E126</f>
        <v>348.66999999999996</v>
      </c>
      <c r="F826" s="149">
        <f>D826*E826</f>
        <v>3486.7</v>
      </c>
      <c r="G826" s="1075"/>
    </row>
    <row r="827" spans="1:7" s="145" customFormat="1" ht="15.75" customHeight="1">
      <c r="A827" s="947"/>
      <c r="B827" s="1115"/>
      <c r="C827" s="16"/>
      <c r="D827" s="58"/>
      <c r="E827" s="17"/>
      <c r="F827" s="55"/>
      <c r="G827" s="57">
        <f>SUM(F821:F827)</f>
        <v>88843.99</v>
      </c>
    </row>
    <row r="828" spans="1:7" s="145" customFormat="1" ht="15.75" customHeight="1">
      <c r="A828" s="1114" t="s">
        <v>15</v>
      </c>
      <c r="B828" s="1115"/>
      <c r="C828" s="1115"/>
      <c r="D828" s="1115"/>
      <c r="E828" s="1115"/>
      <c r="F828" s="1115"/>
      <c r="G828" s="1116"/>
    </row>
    <row r="829" spans="1:7" s="145" customFormat="1" ht="15.75" customHeight="1">
      <c r="A829" s="1074" t="s">
        <v>2</v>
      </c>
      <c r="B829" s="1115"/>
      <c r="C829" s="53" t="s">
        <v>3</v>
      </c>
      <c r="D829" s="53" t="s">
        <v>4</v>
      </c>
      <c r="E829" s="53" t="s">
        <v>6</v>
      </c>
      <c r="F829" s="53" t="s">
        <v>11</v>
      </c>
      <c r="G829" s="1075" t="s">
        <v>8</v>
      </c>
    </row>
    <row r="830" spans="1:7" s="2" customFormat="1" ht="15.75" customHeight="1">
      <c r="A830" s="943" t="s">
        <v>173</v>
      </c>
      <c r="B830" s="1115"/>
      <c r="C830" s="16" t="s">
        <v>3</v>
      </c>
      <c r="D830" s="16">
        <v>0.02</v>
      </c>
      <c r="E830" s="17">
        <f>G827</f>
        <v>88843.99</v>
      </c>
      <c r="F830" s="55">
        <f>D830*E830</f>
        <v>1776.8798000000002</v>
      </c>
      <c r="G830" s="1116"/>
    </row>
    <row r="831" spans="1:7" s="145" customFormat="1" ht="15.75" customHeight="1">
      <c r="A831" s="151"/>
      <c r="B831" s="152"/>
      <c r="C831" s="152"/>
      <c r="D831" s="152"/>
      <c r="E831" s="152"/>
      <c r="F831" s="152"/>
      <c r="G831" s="57">
        <f>SUM(F830:F831)</f>
        <v>1776.8798000000002</v>
      </c>
    </row>
    <row r="832" spans="1:7" s="145" customFormat="1" ht="15.75" customHeight="1">
      <c r="A832" s="1114" t="s">
        <v>19</v>
      </c>
      <c r="B832" s="1115"/>
      <c r="C832" s="1115"/>
      <c r="D832" s="1115"/>
      <c r="E832" s="1115"/>
      <c r="F832" s="1115"/>
      <c r="G832" s="1116"/>
    </row>
    <row r="833" spans="1:7" s="145" customFormat="1" ht="15.75" customHeight="1">
      <c r="A833" s="1074" t="s">
        <v>2</v>
      </c>
      <c r="B833" s="1115"/>
      <c r="C833" s="53" t="s">
        <v>3</v>
      </c>
      <c r="D833" s="53" t="s">
        <v>4</v>
      </c>
      <c r="E833" s="53" t="s">
        <v>6</v>
      </c>
      <c r="F833" s="53" t="s">
        <v>11</v>
      </c>
      <c r="G833" s="1075" t="s">
        <v>8</v>
      </c>
    </row>
    <row r="834" spans="1:7" s="145" customFormat="1" ht="15" customHeight="1">
      <c r="A834" s="978" t="s">
        <v>1256</v>
      </c>
      <c r="B834" s="979"/>
      <c r="C834" s="13" t="s">
        <v>1245</v>
      </c>
      <c r="D834" s="32">
        <v>0.5</v>
      </c>
      <c r="E834" s="13">
        <v>20030</v>
      </c>
      <c r="F834" s="55">
        <f>+D834*E834</f>
        <v>10015</v>
      </c>
      <c r="G834" s="1116"/>
    </row>
    <row r="835" spans="1:7" s="145" customFormat="1" ht="15.75" customHeight="1">
      <c r="A835" s="155"/>
      <c r="B835" s="156"/>
      <c r="C835" s="156"/>
      <c r="D835" s="156"/>
      <c r="E835" s="156"/>
      <c r="F835" s="156"/>
      <c r="G835" s="57">
        <f>SUM(F833:F835)</f>
        <v>10015</v>
      </c>
    </row>
    <row r="836" spans="1:7" s="145" customFormat="1" ht="24" customHeight="1">
      <c r="A836" s="1119" t="s">
        <v>25</v>
      </c>
      <c r="B836" s="1120"/>
      <c r="C836" s="1120"/>
      <c r="D836" s="1120"/>
      <c r="E836" s="1120"/>
      <c r="F836" s="1120"/>
      <c r="G836" s="1121"/>
    </row>
    <row r="837" spans="1:7" s="145" customFormat="1" ht="15.6" customHeight="1">
      <c r="A837" s="1122"/>
      <c r="B837" s="1120"/>
      <c r="C837" s="1120"/>
      <c r="D837" s="1120"/>
      <c r="E837" s="1120"/>
      <c r="F837" s="1120"/>
      <c r="G837" s="157">
        <f>G835+G831+G827+G819</f>
        <v>101136.6198</v>
      </c>
    </row>
    <row r="838" spans="1:7" s="145" customFormat="1" ht="15.75" customHeight="1">
      <c r="A838" s="158"/>
      <c r="B838" s="159"/>
      <c r="C838" s="159"/>
      <c r="D838" s="159"/>
      <c r="E838" s="159"/>
      <c r="F838" s="159"/>
      <c r="G838" s="160"/>
    </row>
    <row r="839" spans="1:7" s="145" customFormat="1" ht="40.950000000000003" customHeight="1">
      <c r="A839" s="1123" t="s">
        <v>1</v>
      </c>
      <c r="B839" s="1120"/>
      <c r="C839" s="953" t="s">
        <v>594</v>
      </c>
      <c r="D839" s="1125"/>
      <c r="E839" s="1125"/>
      <c r="F839" s="1125"/>
      <c r="G839" s="1126"/>
    </row>
    <row r="840" spans="1:7" s="145" customFormat="1" ht="15.75" customHeight="1">
      <c r="A840" s="1124"/>
      <c r="B840" s="1120"/>
      <c r="C840" s="1125"/>
      <c r="D840" s="1125"/>
      <c r="E840" s="1125"/>
      <c r="F840" s="1125"/>
      <c r="G840" s="1126"/>
    </row>
    <row r="841" spans="1:7" s="145" customFormat="1" ht="15.75" customHeight="1">
      <c r="A841" s="1124"/>
      <c r="B841" s="1120"/>
      <c r="C841" s="1127" t="s">
        <v>609</v>
      </c>
      <c r="D841" s="1120"/>
      <c r="E841" s="1120"/>
      <c r="F841" s="1120"/>
      <c r="G841" s="1121"/>
    </row>
    <row r="842" spans="1:7" s="145" customFormat="1" ht="15.75" customHeight="1">
      <c r="A842" s="1124"/>
      <c r="B842" s="1120"/>
      <c r="C842" s="1128" t="s">
        <v>2</v>
      </c>
      <c r="D842" s="1120"/>
      <c r="E842" s="1120"/>
      <c r="F842" s="146" t="s">
        <v>3</v>
      </c>
      <c r="G842" s="147" t="s">
        <v>4</v>
      </c>
    </row>
    <row r="843" spans="1:7" s="145" customFormat="1" ht="54" customHeight="1">
      <c r="A843" s="1073" t="s">
        <v>699</v>
      </c>
      <c r="B843" s="1115"/>
      <c r="C843" s="980" t="s">
        <v>2773</v>
      </c>
      <c r="D843" s="1115"/>
      <c r="E843" s="1115"/>
      <c r="F843" s="162" t="s">
        <v>45</v>
      </c>
      <c r="G843" s="52">
        <v>1</v>
      </c>
    </row>
    <row r="844" spans="1:7" s="145" customFormat="1" ht="15.75" customHeight="1">
      <c r="A844" s="1114" t="s">
        <v>5</v>
      </c>
      <c r="B844" s="1115"/>
      <c r="C844" s="1115"/>
      <c r="D844" s="1115"/>
      <c r="E844" s="1115"/>
      <c r="F844" s="1115"/>
      <c r="G844" s="1116"/>
    </row>
    <row r="845" spans="1:7" s="145" customFormat="1" ht="15.75" customHeight="1">
      <c r="A845" s="1074" t="s">
        <v>2</v>
      </c>
      <c r="B845" s="1115"/>
      <c r="C845" s="53" t="s">
        <v>3</v>
      </c>
      <c r="D845" s="53" t="s">
        <v>4</v>
      </c>
      <c r="E845" s="53" t="s">
        <v>6</v>
      </c>
      <c r="F845" s="53" t="s">
        <v>7</v>
      </c>
      <c r="G845" s="1075" t="s">
        <v>8</v>
      </c>
    </row>
    <row r="846" spans="1:7" s="145" customFormat="1" ht="16.2" customHeight="1">
      <c r="A846" s="947" t="s">
        <v>167</v>
      </c>
      <c r="B846" s="1115"/>
      <c r="C846" s="51" t="s">
        <v>3</v>
      </c>
      <c r="D846" s="51">
        <v>0.05</v>
      </c>
      <c r="E846" s="17">
        <f>G864</f>
        <v>4006</v>
      </c>
      <c r="F846" s="55">
        <f>D846*E846</f>
        <v>200.3</v>
      </c>
      <c r="G846" s="1116"/>
    </row>
    <row r="847" spans="1:7" s="145" customFormat="1" ht="16.2" customHeight="1">
      <c r="A847" s="943"/>
      <c r="B847" s="1115"/>
      <c r="C847" s="51"/>
      <c r="D847" s="51"/>
      <c r="E847" s="51"/>
      <c r="F847" s="55"/>
      <c r="G847" s="57">
        <f>SUM(F845:F847)</f>
        <v>200.3</v>
      </c>
    </row>
    <row r="848" spans="1:7" s="150" customFormat="1" ht="16.2" customHeight="1">
      <c r="A848" s="1114" t="s">
        <v>10</v>
      </c>
      <c r="B848" s="1115"/>
      <c r="C848" s="1115"/>
      <c r="D848" s="1115"/>
      <c r="E848" s="1115"/>
      <c r="F848" s="1115"/>
      <c r="G848" s="1116"/>
    </row>
    <row r="849" spans="1:7" s="150" customFormat="1" ht="16.2" customHeight="1">
      <c r="A849" s="1074" t="s">
        <v>2</v>
      </c>
      <c r="B849" s="1115"/>
      <c r="C849" s="53" t="s">
        <v>3</v>
      </c>
      <c r="D849" s="53" t="s">
        <v>4</v>
      </c>
      <c r="E849" s="53" t="s">
        <v>6</v>
      </c>
      <c r="F849" s="53" t="s">
        <v>11</v>
      </c>
      <c r="G849" s="1075" t="s">
        <v>8</v>
      </c>
    </row>
    <row r="850" spans="1:7" s="150" customFormat="1" ht="16.2" customHeight="1">
      <c r="A850" s="947" t="s">
        <v>612</v>
      </c>
      <c r="B850" s="1115"/>
      <c r="C850" s="51" t="s">
        <v>3</v>
      </c>
      <c r="D850" s="148">
        <v>10</v>
      </c>
      <c r="E850" s="17">
        <f>+'INSUMOS ELÉCTRICOS'!E126</f>
        <v>348.66999999999996</v>
      </c>
      <c r="F850" s="55">
        <f t="shared" ref="F850:F855" si="15">D850*E850</f>
        <v>3486.7</v>
      </c>
      <c r="G850" s="1075"/>
    </row>
    <row r="851" spans="1:7" s="145" customFormat="1" ht="15.75" customHeight="1">
      <c r="A851" s="947" t="s">
        <v>619</v>
      </c>
      <c r="B851" s="1115"/>
      <c r="C851" s="51" t="s">
        <v>3</v>
      </c>
      <c r="D851" s="148">
        <v>0.67</v>
      </c>
      <c r="E851" s="17">
        <f>+'INSUMOS ELÉCTRICOS'!E115</f>
        <v>990</v>
      </c>
      <c r="F851" s="55">
        <f t="shared" si="15"/>
        <v>663.30000000000007</v>
      </c>
      <c r="G851" s="1075"/>
    </row>
    <row r="852" spans="1:7" s="145" customFormat="1" ht="15.75" customHeight="1">
      <c r="A852" s="947" t="s">
        <v>620</v>
      </c>
      <c r="B852" s="1115"/>
      <c r="C852" s="51" t="s">
        <v>3</v>
      </c>
      <c r="D852" s="148">
        <v>0.17</v>
      </c>
      <c r="E852" s="17">
        <f>+'INSUMOS ELÉCTRICOS'!E30</f>
        <v>21900</v>
      </c>
      <c r="F852" s="55">
        <f t="shared" si="15"/>
        <v>3723.0000000000005</v>
      </c>
      <c r="G852" s="1075"/>
    </row>
    <row r="853" spans="1:7" s="145" customFormat="1" ht="15.75" customHeight="1">
      <c r="A853" s="947" t="s">
        <v>621</v>
      </c>
      <c r="B853" s="1115"/>
      <c r="C853" s="51" t="s">
        <v>622</v>
      </c>
      <c r="D853" s="148">
        <v>1</v>
      </c>
      <c r="E853" s="17">
        <f>+'INSUMOS ELÉCTRICOS'!E31</f>
        <v>27300</v>
      </c>
      <c r="F853" s="55">
        <f t="shared" si="15"/>
        <v>27300</v>
      </c>
      <c r="G853" s="1075"/>
    </row>
    <row r="854" spans="1:7" s="145" customFormat="1" ht="15.75" customHeight="1">
      <c r="A854" s="947" t="s">
        <v>623</v>
      </c>
      <c r="B854" s="1115"/>
      <c r="C854" s="51" t="s">
        <v>3</v>
      </c>
      <c r="D854" s="148">
        <v>0.33</v>
      </c>
      <c r="E854" s="17">
        <f>+'INSUMOS ELÉCTRICOS'!E32</f>
        <v>2383.5699999999997</v>
      </c>
      <c r="F854" s="55">
        <f t="shared" si="15"/>
        <v>786.57809999999995</v>
      </c>
      <c r="G854" s="1075"/>
    </row>
    <row r="855" spans="1:7" s="145" customFormat="1" ht="15.75" customHeight="1">
      <c r="A855" s="947" t="s">
        <v>624</v>
      </c>
      <c r="B855" s="1115"/>
      <c r="C855" s="51" t="s">
        <v>3</v>
      </c>
      <c r="D855" s="148">
        <v>0.32929999999999998</v>
      </c>
      <c r="E855" s="17">
        <f>+'INSUMOS ELÉCTRICOS'!E33</f>
        <v>6890</v>
      </c>
      <c r="F855" s="55">
        <f t="shared" si="15"/>
        <v>2268.877</v>
      </c>
      <c r="G855" s="1075"/>
    </row>
    <row r="856" spans="1:7" s="145" customFormat="1" ht="15.75" customHeight="1">
      <c r="A856" s="947"/>
      <c r="B856" s="1115"/>
      <c r="C856" s="16"/>
      <c r="D856" s="58"/>
      <c r="E856" s="17"/>
      <c r="F856" s="55"/>
      <c r="G856" s="57">
        <f>SUM(F849:F856)</f>
        <v>38228.455099999999</v>
      </c>
    </row>
    <row r="857" spans="1:7" s="145" customFormat="1" ht="15.75" customHeight="1">
      <c r="A857" s="1114" t="s">
        <v>15</v>
      </c>
      <c r="B857" s="1115"/>
      <c r="C857" s="1115"/>
      <c r="D857" s="1115"/>
      <c r="E857" s="1115"/>
      <c r="F857" s="1115"/>
      <c r="G857" s="1116"/>
    </row>
    <row r="858" spans="1:7" s="2" customFormat="1" ht="15.75" customHeight="1">
      <c r="A858" s="1074" t="s">
        <v>2</v>
      </c>
      <c r="B858" s="1115"/>
      <c r="C858" s="53" t="s">
        <v>3</v>
      </c>
      <c r="D858" s="53" t="s">
        <v>4</v>
      </c>
      <c r="E858" s="53" t="s">
        <v>6</v>
      </c>
      <c r="F858" s="53" t="s">
        <v>11</v>
      </c>
      <c r="G858" s="1075" t="s">
        <v>8</v>
      </c>
    </row>
    <row r="859" spans="1:7" s="145" customFormat="1" ht="15.75" customHeight="1">
      <c r="A859" s="943" t="s">
        <v>173</v>
      </c>
      <c r="B859" s="1115"/>
      <c r="C859" s="16" t="s">
        <v>3</v>
      </c>
      <c r="D859" s="16">
        <v>0.05</v>
      </c>
      <c r="E859" s="17">
        <f>G856</f>
        <v>38228.455099999999</v>
      </c>
      <c r="F859" s="55">
        <f>D859*E859</f>
        <v>1911.4227550000001</v>
      </c>
      <c r="G859" s="1116"/>
    </row>
    <row r="860" spans="1:7" s="145" customFormat="1" ht="15.75" customHeight="1">
      <c r="A860" s="151"/>
      <c r="B860" s="152"/>
      <c r="C860" s="152"/>
      <c r="D860" s="152"/>
      <c r="E860" s="152"/>
      <c r="F860" s="152"/>
      <c r="G860" s="57">
        <f>SUM(F859:F860)</f>
        <v>1911.4227550000001</v>
      </c>
    </row>
    <row r="861" spans="1:7" s="145" customFormat="1" ht="15.75" customHeight="1">
      <c r="A861" s="1114" t="s">
        <v>19</v>
      </c>
      <c r="B861" s="1115"/>
      <c r="C861" s="1115"/>
      <c r="D861" s="1115"/>
      <c r="E861" s="1115"/>
      <c r="F861" s="1115"/>
      <c r="G861" s="1116"/>
    </row>
    <row r="862" spans="1:7" s="145" customFormat="1" ht="15" customHeight="1">
      <c r="A862" s="1074" t="s">
        <v>2</v>
      </c>
      <c r="B862" s="1115"/>
      <c r="C862" s="53" t="s">
        <v>3</v>
      </c>
      <c r="D862" s="53" t="s">
        <v>4</v>
      </c>
      <c r="E862" s="53" t="s">
        <v>6</v>
      </c>
      <c r="F862" s="53" t="s">
        <v>11</v>
      </c>
      <c r="G862" s="1075" t="s">
        <v>8</v>
      </c>
    </row>
    <row r="863" spans="1:7" s="145" customFormat="1" ht="15.75" customHeight="1">
      <c r="A863" s="978" t="s">
        <v>1256</v>
      </c>
      <c r="B863" s="979"/>
      <c r="C863" s="13" t="s">
        <v>1245</v>
      </c>
      <c r="D863" s="32">
        <v>0.2</v>
      </c>
      <c r="E863" s="13">
        <v>20030</v>
      </c>
      <c r="F863" s="55">
        <f>+D863*E863</f>
        <v>4006</v>
      </c>
      <c r="G863" s="1116"/>
    </row>
    <row r="864" spans="1:7" s="145" customFormat="1" ht="24" customHeight="1">
      <c r="A864" s="155"/>
      <c r="B864" s="156"/>
      <c r="C864" s="156"/>
      <c r="D864" s="156"/>
      <c r="E864" s="156"/>
      <c r="F864" s="156"/>
      <c r="G864" s="57">
        <f>SUM(F862:F864)</f>
        <v>4006</v>
      </c>
    </row>
    <row r="865" spans="1:8" s="145" customFormat="1" ht="15.6" customHeight="1">
      <c r="A865" s="1119" t="s">
        <v>25</v>
      </c>
      <c r="B865" s="1120"/>
      <c r="C865" s="1120"/>
      <c r="D865" s="1120"/>
      <c r="E865" s="1120"/>
      <c r="F865" s="1120"/>
      <c r="G865" s="1121"/>
    </row>
    <row r="866" spans="1:8" s="145" customFormat="1" ht="15.75" customHeight="1">
      <c r="A866" s="1122"/>
      <c r="B866" s="1120"/>
      <c r="C866" s="1120"/>
      <c r="D866" s="1120"/>
      <c r="E866" s="1120"/>
      <c r="F866" s="1120"/>
      <c r="G866" s="157">
        <f>G864+G860+G856+G847</f>
        <v>44346.177855000002</v>
      </c>
    </row>
    <row r="867" spans="1:8" s="145" customFormat="1" ht="13.8">
      <c r="A867" s="158"/>
      <c r="B867" s="159"/>
      <c r="C867" s="159"/>
      <c r="D867" s="159"/>
      <c r="E867" s="159"/>
      <c r="F867" s="159"/>
      <c r="G867" s="160"/>
      <c r="H867" s="630"/>
    </row>
    <row r="868" spans="1:8" s="145" customFormat="1" ht="15.75" customHeight="1">
      <c r="A868" s="1123" t="s">
        <v>1</v>
      </c>
      <c r="B868" s="1120"/>
      <c r="C868" s="953" t="s">
        <v>594</v>
      </c>
      <c r="D868" s="1125"/>
      <c r="E868" s="1125"/>
      <c r="F868" s="1125"/>
      <c r="G868" s="1126"/>
    </row>
    <row r="869" spans="1:8" s="145" customFormat="1" ht="15.75" customHeight="1">
      <c r="A869" s="1124"/>
      <c r="B869" s="1120"/>
      <c r="C869" s="1125"/>
      <c r="D869" s="1125"/>
      <c r="E869" s="1125"/>
      <c r="F869" s="1125"/>
      <c r="G869" s="1126"/>
    </row>
    <row r="870" spans="1:8" s="145" customFormat="1" ht="15.75" customHeight="1">
      <c r="A870" s="1124"/>
      <c r="B870" s="1120"/>
      <c r="C870" s="1127" t="s">
        <v>609</v>
      </c>
      <c r="D870" s="1120"/>
      <c r="E870" s="1120"/>
      <c r="F870" s="1120"/>
      <c r="G870" s="1121"/>
    </row>
    <row r="871" spans="1:8" s="145" customFormat="1" ht="15.75" customHeight="1">
      <c r="A871" s="1124"/>
      <c r="B871" s="1120"/>
      <c r="C871" s="1128" t="s">
        <v>2</v>
      </c>
      <c r="D871" s="1120"/>
      <c r="E871" s="1120"/>
      <c r="F871" s="146" t="s">
        <v>3</v>
      </c>
      <c r="G871" s="147" t="s">
        <v>4</v>
      </c>
    </row>
    <row r="872" spans="1:8" s="145" customFormat="1" ht="56.25" customHeight="1">
      <c r="A872" s="1073" t="s">
        <v>700</v>
      </c>
      <c r="B872" s="1115"/>
      <c r="C872" s="980" t="s">
        <v>2762</v>
      </c>
      <c r="D872" s="1115"/>
      <c r="E872" s="1115"/>
      <c r="F872" s="162" t="s">
        <v>45</v>
      </c>
      <c r="G872" s="52">
        <v>1</v>
      </c>
    </row>
    <row r="873" spans="1:8" s="145" customFormat="1" ht="15.75" customHeight="1">
      <c r="A873" s="1114" t="s">
        <v>5</v>
      </c>
      <c r="B873" s="1115"/>
      <c r="C873" s="1115"/>
      <c r="D873" s="1115"/>
      <c r="E873" s="1115"/>
      <c r="F873" s="1115"/>
      <c r="G873" s="1116"/>
    </row>
    <row r="874" spans="1:8" s="150" customFormat="1" ht="15.75" customHeight="1">
      <c r="A874" s="1074" t="s">
        <v>2</v>
      </c>
      <c r="B874" s="1115"/>
      <c r="C874" s="53" t="s">
        <v>3</v>
      </c>
      <c r="D874" s="53" t="s">
        <v>4</v>
      </c>
      <c r="E874" s="53" t="s">
        <v>6</v>
      </c>
      <c r="F874" s="53" t="s">
        <v>7</v>
      </c>
      <c r="G874" s="1075" t="s">
        <v>8</v>
      </c>
    </row>
    <row r="875" spans="1:8" s="150" customFormat="1" ht="15.75" customHeight="1">
      <c r="A875" s="947" t="s">
        <v>167</v>
      </c>
      <c r="B875" s="1115"/>
      <c r="C875" s="51" t="s">
        <v>3</v>
      </c>
      <c r="D875" s="51">
        <v>0.05</v>
      </c>
      <c r="E875" s="17">
        <v>6719</v>
      </c>
      <c r="F875" s="55">
        <f>D875*E875</f>
        <v>335.95000000000005</v>
      </c>
      <c r="G875" s="1116"/>
    </row>
    <row r="876" spans="1:8" s="145" customFormat="1" ht="15.75" customHeight="1">
      <c r="A876" s="943"/>
      <c r="B876" s="1115"/>
      <c r="C876" s="51"/>
      <c r="D876" s="51"/>
      <c r="E876" s="51"/>
      <c r="F876" s="55"/>
      <c r="G876" s="57">
        <f>SUM(F874:F876)</f>
        <v>335.95000000000005</v>
      </c>
    </row>
    <row r="877" spans="1:8" s="145" customFormat="1" ht="15.75" customHeight="1">
      <c r="A877" s="1114" t="s">
        <v>10</v>
      </c>
      <c r="B877" s="1115"/>
      <c r="C877" s="1115"/>
      <c r="D877" s="1115"/>
      <c r="E877" s="1115"/>
      <c r="F877" s="1115"/>
      <c r="G877" s="1116"/>
    </row>
    <row r="878" spans="1:8" s="145" customFormat="1" ht="15.75" customHeight="1">
      <c r="A878" s="1074" t="s">
        <v>2</v>
      </c>
      <c r="B878" s="1115"/>
      <c r="C878" s="53" t="s">
        <v>3</v>
      </c>
      <c r="D878" s="53" t="s">
        <v>4</v>
      </c>
      <c r="E878" s="53" t="s">
        <v>6</v>
      </c>
      <c r="F878" s="53" t="s">
        <v>11</v>
      </c>
      <c r="G878" s="1075" t="s">
        <v>8</v>
      </c>
    </row>
    <row r="879" spans="1:8" s="145" customFormat="1" ht="15.75" customHeight="1">
      <c r="A879" s="947" t="s">
        <v>612</v>
      </c>
      <c r="B879" s="1115"/>
      <c r="C879" s="51" t="s">
        <v>3</v>
      </c>
      <c r="D879" s="148">
        <v>10</v>
      </c>
      <c r="E879" s="17">
        <f>+'INSUMOS ELÉCTRICOS'!E126</f>
        <v>348.66999999999996</v>
      </c>
      <c r="F879" s="55">
        <f t="shared" ref="F879:F884" si="16">D879*E879</f>
        <v>3486.7</v>
      </c>
      <c r="G879" s="1075"/>
    </row>
    <row r="880" spans="1:8" s="145" customFormat="1" ht="15.75" customHeight="1">
      <c r="A880" s="947" t="s">
        <v>627</v>
      </c>
      <c r="B880" s="1115"/>
      <c r="C880" s="51" t="s">
        <v>3</v>
      </c>
      <c r="D880" s="148">
        <v>0.67</v>
      </c>
      <c r="E880" s="17">
        <f>+'INSUMOS ELÉCTRICOS'!E34</f>
        <v>3000</v>
      </c>
      <c r="F880" s="55">
        <f t="shared" si="16"/>
        <v>2010.0000000000002</v>
      </c>
      <c r="G880" s="1075"/>
    </row>
    <row r="881" spans="1:8" s="145" customFormat="1" ht="15.75" customHeight="1">
      <c r="A881" s="947" t="s">
        <v>628</v>
      </c>
      <c r="B881" s="1115"/>
      <c r="C881" s="51" t="s">
        <v>3</v>
      </c>
      <c r="D881" s="148">
        <v>0.17</v>
      </c>
      <c r="E881" s="17">
        <f>+'INSUMOS ELÉCTRICOS'!E35</f>
        <v>23570.329999999998</v>
      </c>
      <c r="F881" s="55">
        <f t="shared" si="16"/>
        <v>4006.9560999999999</v>
      </c>
      <c r="G881" s="1075"/>
    </row>
    <row r="882" spans="1:8" s="145" customFormat="1" ht="15.75" customHeight="1">
      <c r="A882" s="947" t="s">
        <v>629</v>
      </c>
      <c r="B882" s="1115"/>
      <c r="C882" s="51" t="s">
        <v>622</v>
      </c>
      <c r="D882" s="148">
        <v>1</v>
      </c>
      <c r="E882" s="17">
        <f>+'INSUMOS ELÉCTRICOS'!E36</f>
        <v>48597.22</v>
      </c>
      <c r="F882" s="55">
        <f t="shared" si="16"/>
        <v>48597.22</v>
      </c>
      <c r="G882" s="1075"/>
    </row>
    <row r="883" spans="1:8" s="145" customFormat="1" ht="15.75" customHeight="1">
      <c r="A883" s="947" t="s">
        <v>630</v>
      </c>
      <c r="B883" s="1115"/>
      <c r="C883" s="51" t="s">
        <v>3</v>
      </c>
      <c r="D883" s="148">
        <v>0.33</v>
      </c>
      <c r="E883" s="17">
        <f>+'INSUMOS ELÉCTRICOS'!E38</f>
        <v>9879.3799999999992</v>
      </c>
      <c r="F883" s="55">
        <f t="shared" si="16"/>
        <v>3260.1954000000001</v>
      </c>
      <c r="G883" s="1075"/>
    </row>
    <row r="884" spans="1:8" s="145" customFormat="1" ht="15.75" customHeight="1">
      <c r="A884" s="947" t="s">
        <v>631</v>
      </c>
      <c r="B884" s="1115"/>
      <c r="C884" s="51" t="s">
        <v>3</v>
      </c>
      <c r="D884" s="148">
        <v>0.32929999999999998</v>
      </c>
      <c r="E884" s="17">
        <f>+'INSUMOS ELÉCTRICOS'!E37</f>
        <v>10407.74</v>
      </c>
      <c r="F884" s="55">
        <f t="shared" si="16"/>
        <v>3427.2687819999996</v>
      </c>
      <c r="G884" s="1075"/>
    </row>
    <row r="885" spans="1:8" s="145" customFormat="1" ht="15.75" customHeight="1">
      <c r="A885" s="947"/>
      <c r="B885" s="1115"/>
      <c r="C885" s="51"/>
      <c r="D885" s="58"/>
      <c r="E885" s="17"/>
      <c r="F885" s="55"/>
      <c r="G885" s="57">
        <f>SUM(F878:F885)</f>
        <v>64788.340281999997</v>
      </c>
    </row>
    <row r="886" spans="1:8" s="145" customFormat="1" ht="15.75" customHeight="1">
      <c r="A886" s="1114" t="s">
        <v>15</v>
      </c>
      <c r="B886" s="1115"/>
      <c r="C886" s="1115"/>
      <c r="D886" s="1115"/>
      <c r="E886" s="1115"/>
      <c r="F886" s="1115"/>
      <c r="G886" s="1116"/>
    </row>
    <row r="887" spans="1:8" s="2" customFormat="1" ht="15.75" customHeight="1">
      <c r="A887" s="1074" t="s">
        <v>2</v>
      </c>
      <c r="B887" s="1115"/>
      <c r="C887" s="53" t="s">
        <v>3</v>
      </c>
      <c r="D887" s="53" t="s">
        <v>4</v>
      </c>
      <c r="E887" s="53" t="s">
        <v>6</v>
      </c>
      <c r="F887" s="53" t="s">
        <v>11</v>
      </c>
      <c r="G887" s="1075" t="s">
        <v>8</v>
      </c>
    </row>
    <row r="888" spans="1:8" s="145" customFormat="1" ht="15.75" customHeight="1">
      <c r="A888" s="943" t="s">
        <v>173</v>
      </c>
      <c r="B888" s="1115"/>
      <c r="C888" s="16" t="s">
        <v>3</v>
      </c>
      <c r="D888" s="16">
        <v>0.02</v>
      </c>
      <c r="E888" s="17">
        <f>G885</f>
        <v>64788.340281999997</v>
      </c>
      <c r="F888" s="55">
        <f>D888*E888</f>
        <v>1295.76680564</v>
      </c>
      <c r="G888" s="1116"/>
    </row>
    <row r="889" spans="1:8" s="145" customFormat="1" ht="15.75" customHeight="1">
      <c r="A889" s="151"/>
      <c r="B889" s="152"/>
      <c r="C889" s="152"/>
      <c r="D889" s="152"/>
      <c r="E889" s="152"/>
      <c r="F889" s="152"/>
      <c r="G889" s="57">
        <f>SUM(F888:F889)</f>
        <v>1295.76680564</v>
      </c>
    </row>
    <row r="890" spans="1:8" s="145" customFormat="1" ht="15.75" customHeight="1">
      <c r="A890" s="1114" t="s">
        <v>19</v>
      </c>
      <c r="B890" s="1115"/>
      <c r="C890" s="1115"/>
      <c r="D890" s="1115"/>
      <c r="E890" s="1115"/>
      <c r="F890" s="1115"/>
      <c r="G890" s="1116"/>
    </row>
    <row r="891" spans="1:8" s="145" customFormat="1" ht="15" customHeight="1">
      <c r="A891" s="1074" t="s">
        <v>2</v>
      </c>
      <c r="B891" s="1115"/>
      <c r="C891" s="53" t="s">
        <v>3</v>
      </c>
      <c r="D891" s="53" t="s">
        <v>4</v>
      </c>
      <c r="E891" s="53" t="s">
        <v>6</v>
      </c>
      <c r="F891" s="53" t="s">
        <v>11</v>
      </c>
      <c r="G891" s="1075" t="s">
        <v>8</v>
      </c>
    </row>
    <row r="892" spans="1:8" s="145" customFormat="1" ht="15.75" customHeight="1">
      <c r="A892" s="978" t="s">
        <v>1256</v>
      </c>
      <c r="B892" s="979"/>
      <c r="C892" s="13" t="s">
        <v>1245</v>
      </c>
      <c r="D892" s="32">
        <v>0.4</v>
      </c>
      <c r="E892" s="13">
        <v>20030</v>
      </c>
      <c r="F892" s="55">
        <f>+D892*E892</f>
        <v>8012</v>
      </c>
      <c r="G892" s="1116"/>
    </row>
    <row r="893" spans="1:8" s="145" customFormat="1" ht="24" customHeight="1">
      <c r="A893" s="155"/>
      <c r="B893" s="156"/>
      <c r="C893" s="156"/>
      <c r="D893" s="156"/>
      <c r="E893" s="156"/>
      <c r="F893" s="156"/>
      <c r="G893" s="57">
        <f>SUM(F891:F893)</f>
        <v>8012</v>
      </c>
    </row>
    <row r="894" spans="1:8" s="145" customFormat="1" ht="15.6" customHeight="1">
      <c r="A894" s="1119" t="s">
        <v>25</v>
      </c>
      <c r="B894" s="1120"/>
      <c r="C894" s="1120"/>
      <c r="D894" s="1120"/>
      <c r="E894" s="1120"/>
      <c r="F894" s="1120"/>
      <c r="G894" s="1121"/>
    </row>
    <row r="895" spans="1:8" s="145" customFormat="1" ht="15.75" customHeight="1">
      <c r="A895" s="1122"/>
      <c r="B895" s="1120"/>
      <c r="C895" s="1120"/>
      <c r="D895" s="1120"/>
      <c r="E895" s="1120"/>
      <c r="F895" s="1120"/>
      <c r="G895" s="157">
        <f>G893+G889+G885+G876</f>
        <v>74432.057087640002</v>
      </c>
    </row>
    <row r="896" spans="1:8" s="145" customFormat="1" ht="13.8">
      <c r="A896" s="158"/>
      <c r="B896" s="159"/>
      <c r="C896" s="159"/>
      <c r="D896" s="159"/>
      <c r="E896" s="159"/>
      <c r="F896" s="159"/>
      <c r="G896" s="160"/>
      <c r="H896" s="630"/>
    </row>
    <row r="897" spans="1:7" s="145" customFormat="1" ht="15.75" customHeight="1">
      <c r="A897" s="1123" t="s">
        <v>1</v>
      </c>
      <c r="B897" s="1120"/>
      <c r="C897" s="953" t="s">
        <v>594</v>
      </c>
      <c r="D897" s="1125"/>
      <c r="E897" s="1125"/>
      <c r="F897" s="1125"/>
      <c r="G897" s="1126"/>
    </row>
    <row r="898" spans="1:7" s="145" customFormat="1" ht="15.75" customHeight="1">
      <c r="A898" s="1124"/>
      <c r="B898" s="1120"/>
      <c r="C898" s="1125"/>
      <c r="D898" s="1125"/>
      <c r="E898" s="1125"/>
      <c r="F898" s="1125"/>
      <c r="G898" s="1126"/>
    </row>
    <row r="899" spans="1:7" s="145" customFormat="1" ht="15.75" customHeight="1">
      <c r="A899" s="1124"/>
      <c r="B899" s="1120"/>
      <c r="C899" s="1127" t="s">
        <v>609</v>
      </c>
      <c r="D899" s="1120"/>
      <c r="E899" s="1120"/>
      <c r="F899" s="1120"/>
      <c r="G899" s="1121"/>
    </row>
    <row r="900" spans="1:7" s="145" customFormat="1" ht="15.75" customHeight="1">
      <c r="A900" s="1124"/>
      <c r="B900" s="1120"/>
      <c r="C900" s="1128" t="s">
        <v>2</v>
      </c>
      <c r="D900" s="1120"/>
      <c r="E900" s="1120"/>
      <c r="F900" s="146" t="s">
        <v>3</v>
      </c>
      <c r="G900" s="147" t="s">
        <v>4</v>
      </c>
    </row>
    <row r="901" spans="1:7" s="145" customFormat="1" ht="30" customHeight="1">
      <c r="A901" s="1073" t="s">
        <v>701</v>
      </c>
      <c r="B901" s="1115"/>
      <c r="C901" s="980" t="s">
        <v>2763</v>
      </c>
      <c r="D901" s="1115"/>
      <c r="E901" s="1115"/>
      <c r="F901" s="162" t="s">
        <v>28</v>
      </c>
      <c r="G901" s="52">
        <v>1</v>
      </c>
    </row>
    <row r="902" spans="1:7" s="145" customFormat="1" ht="15.75" customHeight="1">
      <c r="A902" s="1114" t="s">
        <v>5</v>
      </c>
      <c r="B902" s="1115"/>
      <c r="C902" s="1115"/>
      <c r="D902" s="1115"/>
      <c r="E902" s="1115"/>
      <c r="F902" s="1115"/>
      <c r="G902" s="1116"/>
    </row>
    <row r="903" spans="1:7" s="150" customFormat="1" ht="15.75" customHeight="1">
      <c r="A903" s="1074" t="s">
        <v>2</v>
      </c>
      <c r="B903" s="1115"/>
      <c r="C903" s="53" t="s">
        <v>3</v>
      </c>
      <c r="D903" s="53" t="s">
        <v>4</v>
      </c>
      <c r="E903" s="53" t="s">
        <v>6</v>
      </c>
      <c r="F903" s="53" t="s">
        <v>7</v>
      </c>
      <c r="G903" s="1075" t="s">
        <v>8</v>
      </c>
    </row>
    <row r="904" spans="1:7" s="145" customFormat="1" ht="15.75" customHeight="1">
      <c r="A904" s="947" t="s">
        <v>167</v>
      </c>
      <c r="B904" s="1115"/>
      <c r="C904" s="51" t="s">
        <v>3</v>
      </c>
      <c r="D904" s="51">
        <v>0.05</v>
      </c>
      <c r="E904" s="17">
        <f>G918</f>
        <v>10015</v>
      </c>
      <c r="F904" s="55">
        <f>D904*E904</f>
        <v>500.75</v>
      </c>
      <c r="G904" s="1116"/>
    </row>
    <row r="905" spans="1:7" s="145" customFormat="1" ht="15.75" customHeight="1">
      <c r="A905" s="943"/>
      <c r="B905" s="1115"/>
      <c r="C905" s="51"/>
      <c r="D905" s="51"/>
      <c r="E905" s="51"/>
      <c r="F905" s="55"/>
      <c r="G905" s="57">
        <f>SUM(F903:F905)</f>
        <v>500.75</v>
      </c>
    </row>
    <row r="906" spans="1:7" s="145" customFormat="1" ht="15.75" customHeight="1">
      <c r="A906" s="1114" t="s">
        <v>10</v>
      </c>
      <c r="B906" s="1115"/>
      <c r="C906" s="1115"/>
      <c r="D906" s="1115"/>
      <c r="E906" s="1115"/>
      <c r="F906" s="1115"/>
      <c r="G906" s="1116"/>
    </row>
    <row r="907" spans="1:7" s="145" customFormat="1" ht="15.75" customHeight="1">
      <c r="A907" s="1074" t="s">
        <v>2</v>
      </c>
      <c r="B907" s="1115"/>
      <c r="C907" s="53" t="s">
        <v>3</v>
      </c>
      <c r="D907" s="53" t="s">
        <v>4</v>
      </c>
      <c r="E907" s="53" t="s">
        <v>6</v>
      </c>
      <c r="F907" s="53" t="s">
        <v>11</v>
      </c>
      <c r="G907" s="1075" t="s">
        <v>8</v>
      </c>
    </row>
    <row r="908" spans="1:7" s="145" customFormat="1" ht="15.75" customHeight="1">
      <c r="A908" s="947" t="s">
        <v>612</v>
      </c>
      <c r="B908" s="1115"/>
      <c r="C908" s="51" t="s">
        <v>3</v>
      </c>
      <c r="D908" s="148">
        <v>10</v>
      </c>
      <c r="E908" s="17">
        <f>+'INSUMOS ELÉCTRICOS'!E126</f>
        <v>348.66999999999996</v>
      </c>
      <c r="F908" s="55">
        <f>D908*E908</f>
        <v>3486.7</v>
      </c>
      <c r="G908" s="1075"/>
    </row>
    <row r="909" spans="1:7" s="145" customFormat="1" ht="15.75" customHeight="1">
      <c r="A909" s="947" t="s">
        <v>635</v>
      </c>
      <c r="B909" s="1115"/>
      <c r="C909" s="51" t="s">
        <v>3</v>
      </c>
      <c r="D909" s="148">
        <v>1</v>
      </c>
      <c r="E909" s="17">
        <f>+'INSUMOS ELÉCTRICOS'!E54</f>
        <v>67400.41</v>
      </c>
      <c r="F909" s="55">
        <f>D909*E909</f>
        <v>67400.41</v>
      </c>
      <c r="G909" s="1075"/>
    </row>
    <row r="910" spans="1:7" s="145" customFormat="1" ht="15.75" customHeight="1">
      <c r="A910" s="947"/>
      <c r="B910" s="1115"/>
      <c r="C910" s="16"/>
      <c r="D910" s="58"/>
      <c r="E910" s="17"/>
      <c r="F910" s="55"/>
      <c r="G910" s="57">
        <f>SUM(F907:F910)</f>
        <v>70887.11</v>
      </c>
    </row>
    <row r="911" spans="1:7" s="145" customFormat="1" ht="15.75" customHeight="1">
      <c r="A911" s="1114" t="s">
        <v>15</v>
      </c>
      <c r="B911" s="1115"/>
      <c r="C911" s="1115"/>
      <c r="D911" s="1115"/>
      <c r="E911" s="1115"/>
      <c r="F911" s="1115"/>
      <c r="G911" s="1116"/>
    </row>
    <row r="912" spans="1:7" s="145" customFormat="1" ht="15.75" customHeight="1">
      <c r="A912" s="1074" t="s">
        <v>2</v>
      </c>
      <c r="B912" s="1115"/>
      <c r="C912" s="53" t="s">
        <v>3</v>
      </c>
      <c r="D912" s="53" t="s">
        <v>4</v>
      </c>
      <c r="E912" s="53" t="s">
        <v>6</v>
      </c>
      <c r="F912" s="53" t="s">
        <v>11</v>
      </c>
      <c r="G912" s="1075" t="s">
        <v>8</v>
      </c>
    </row>
    <row r="913" spans="1:7" s="145" customFormat="1" ht="15.75" customHeight="1">
      <c r="A913" s="943" t="s">
        <v>173</v>
      </c>
      <c r="B913" s="1115"/>
      <c r="C913" s="16" t="s">
        <v>3</v>
      </c>
      <c r="D913" s="16">
        <v>0.01</v>
      </c>
      <c r="E913" s="17">
        <f>G910</f>
        <v>70887.11</v>
      </c>
      <c r="F913" s="55">
        <f>D913*E913</f>
        <v>708.87110000000007</v>
      </c>
      <c r="G913" s="1116"/>
    </row>
    <row r="914" spans="1:7" s="145" customFormat="1" ht="15.75" customHeight="1">
      <c r="A914" s="151"/>
      <c r="B914" s="152"/>
      <c r="C914" s="152"/>
      <c r="D914" s="152"/>
      <c r="E914" s="152"/>
      <c r="F914" s="152"/>
      <c r="G914" s="57">
        <f>SUM(F913:F914)</f>
        <v>708.87110000000007</v>
      </c>
    </row>
    <row r="915" spans="1:7" s="145" customFormat="1" ht="15.75" customHeight="1">
      <c r="A915" s="1114" t="s">
        <v>19</v>
      </c>
      <c r="B915" s="1115"/>
      <c r="C915" s="1115"/>
      <c r="D915" s="1115"/>
      <c r="E915" s="1115"/>
      <c r="F915" s="1115"/>
      <c r="G915" s="1116"/>
    </row>
    <row r="916" spans="1:7" s="2" customFormat="1" ht="15.75" customHeight="1">
      <c r="A916" s="1074" t="s">
        <v>2</v>
      </c>
      <c r="B916" s="1115"/>
      <c r="C916" s="53" t="s">
        <v>3</v>
      </c>
      <c r="D916" s="53" t="s">
        <v>4</v>
      </c>
      <c r="E916" s="53" t="s">
        <v>6</v>
      </c>
      <c r="F916" s="53" t="s">
        <v>11</v>
      </c>
      <c r="G916" s="1075" t="s">
        <v>8</v>
      </c>
    </row>
    <row r="917" spans="1:7" s="145" customFormat="1" ht="15.75" customHeight="1">
      <c r="A917" s="978" t="s">
        <v>1256</v>
      </c>
      <c r="B917" s="979"/>
      <c r="C917" s="13" t="s">
        <v>1245</v>
      </c>
      <c r="D917" s="32">
        <v>0.5</v>
      </c>
      <c r="E917" s="13">
        <v>20030</v>
      </c>
      <c r="F917" s="55">
        <f>+D917*E917</f>
        <v>10015</v>
      </c>
      <c r="G917" s="1116"/>
    </row>
    <row r="918" spans="1:7" s="145" customFormat="1" ht="15.75" customHeight="1">
      <c r="A918" s="155"/>
      <c r="B918" s="156"/>
      <c r="C918" s="156"/>
      <c r="D918" s="156"/>
      <c r="E918" s="156"/>
      <c r="F918" s="156"/>
      <c r="G918" s="57">
        <f>SUM(F916:F918)</f>
        <v>10015</v>
      </c>
    </row>
    <row r="919" spans="1:7" s="145" customFormat="1" ht="15.75" customHeight="1">
      <c r="A919" s="1119" t="s">
        <v>25</v>
      </c>
      <c r="B919" s="1120"/>
      <c r="C919" s="1120"/>
      <c r="D919" s="1120"/>
      <c r="E919" s="1120"/>
      <c r="F919" s="1120"/>
      <c r="G919" s="1121"/>
    </row>
    <row r="920" spans="1:7" s="145" customFormat="1" ht="15" customHeight="1">
      <c r="A920" s="1122"/>
      <c r="B920" s="1120"/>
      <c r="C920" s="1120"/>
      <c r="D920" s="1120"/>
      <c r="E920" s="1120"/>
      <c r="F920" s="1120"/>
      <c r="G920" s="157">
        <f>G918+G914+G910+G905</f>
        <v>82111.731100000005</v>
      </c>
    </row>
    <row r="921" spans="1:7" s="145" customFormat="1" ht="15.75" customHeight="1">
      <c r="A921" s="158"/>
      <c r="B921" s="159"/>
      <c r="C921" s="159"/>
      <c r="D921" s="159"/>
      <c r="E921" s="159"/>
      <c r="F921" s="159"/>
      <c r="G921" s="160"/>
    </row>
    <row r="922" spans="1:7" s="145" customFormat="1" ht="24" customHeight="1">
      <c r="A922" s="1123" t="s">
        <v>1</v>
      </c>
      <c r="B922" s="1120"/>
      <c r="C922" s="953" t="s">
        <v>594</v>
      </c>
      <c r="D922" s="1125"/>
      <c r="E922" s="1125"/>
      <c r="F922" s="1125"/>
      <c r="G922" s="1126"/>
    </row>
    <row r="923" spans="1:7" s="145" customFormat="1" ht="15.6" customHeight="1">
      <c r="A923" s="1124"/>
      <c r="B923" s="1120"/>
      <c r="C923" s="1125"/>
      <c r="D923" s="1125"/>
      <c r="E923" s="1125"/>
      <c r="F923" s="1125"/>
      <c r="G923" s="1126"/>
    </row>
    <row r="924" spans="1:7" s="145" customFormat="1" ht="15.75" customHeight="1">
      <c r="A924" s="1124"/>
      <c r="B924" s="1120"/>
      <c r="C924" s="1127" t="s">
        <v>609</v>
      </c>
      <c r="D924" s="1120"/>
      <c r="E924" s="1120"/>
      <c r="F924" s="1120"/>
      <c r="G924" s="1121"/>
    </row>
    <row r="925" spans="1:7" s="145" customFormat="1" ht="57.75" customHeight="1">
      <c r="A925" s="1124"/>
      <c r="B925" s="1120"/>
      <c r="C925" s="1128" t="s">
        <v>2</v>
      </c>
      <c r="D925" s="1120"/>
      <c r="E925" s="1120"/>
      <c r="F925" s="146" t="s">
        <v>3</v>
      </c>
      <c r="G925" s="147" t="s">
        <v>4</v>
      </c>
    </row>
    <row r="926" spans="1:7" s="145" customFormat="1" ht="30.75" customHeight="1">
      <c r="A926" s="1073" t="s">
        <v>702</v>
      </c>
      <c r="B926" s="1115"/>
      <c r="C926" s="980" t="s">
        <v>2764</v>
      </c>
      <c r="D926" s="1115"/>
      <c r="E926" s="1115"/>
      <c r="F926" s="162" t="s">
        <v>28</v>
      </c>
      <c r="G926" s="52">
        <v>1</v>
      </c>
    </row>
    <row r="927" spans="1:7" s="145" customFormat="1" ht="15.75" customHeight="1">
      <c r="A927" s="1114" t="s">
        <v>5</v>
      </c>
      <c r="B927" s="1115"/>
      <c r="C927" s="1115"/>
      <c r="D927" s="1115"/>
      <c r="E927" s="1115"/>
      <c r="F927" s="1115"/>
      <c r="G927" s="1116"/>
    </row>
    <row r="928" spans="1:7" s="145" customFormat="1" ht="15.75" customHeight="1">
      <c r="A928" s="1074" t="s">
        <v>2</v>
      </c>
      <c r="B928" s="1115"/>
      <c r="C928" s="53" t="s">
        <v>3</v>
      </c>
      <c r="D928" s="53" t="s">
        <v>4</v>
      </c>
      <c r="E928" s="53" t="s">
        <v>6</v>
      </c>
      <c r="F928" s="53" t="s">
        <v>7</v>
      </c>
      <c r="G928" s="1075" t="s">
        <v>8</v>
      </c>
    </row>
    <row r="929" spans="1:7" s="145" customFormat="1" ht="15.75" customHeight="1">
      <c r="A929" s="947" t="s">
        <v>167</v>
      </c>
      <c r="B929" s="1115"/>
      <c r="C929" s="51" t="s">
        <v>3</v>
      </c>
      <c r="D929" s="51">
        <v>0.05</v>
      </c>
      <c r="E929" s="17">
        <f>G943</f>
        <v>10015</v>
      </c>
      <c r="F929" s="55">
        <f>D929*E929</f>
        <v>500.75</v>
      </c>
      <c r="G929" s="1116"/>
    </row>
    <row r="930" spans="1:7" s="145" customFormat="1" ht="15.75" customHeight="1">
      <c r="A930" s="943"/>
      <c r="B930" s="1115"/>
      <c r="C930" s="51"/>
      <c r="D930" s="51"/>
      <c r="E930" s="51"/>
      <c r="F930" s="55"/>
      <c r="G930" s="57">
        <f>SUM(F928:F930)</f>
        <v>500.75</v>
      </c>
    </row>
    <row r="931" spans="1:7" s="145" customFormat="1" ht="15.75" customHeight="1">
      <c r="A931" s="1114" t="s">
        <v>10</v>
      </c>
      <c r="B931" s="1115"/>
      <c r="C931" s="1115"/>
      <c r="D931" s="1115"/>
      <c r="E931" s="1115"/>
      <c r="F931" s="1115"/>
      <c r="G931" s="1116"/>
    </row>
    <row r="932" spans="1:7" s="150" customFormat="1" ht="15.75" customHeight="1">
      <c r="A932" s="1156" t="s">
        <v>2</v>
      </c>
      <c r="B932" s="1129"/>
      <c r="C932" s="163" t="s">
        <v>3</v>
      </c>
      <c r="D932" s="163" t="s">
        <v>4</v>
      </c>
      <c r="E932" s="53" t="s">
        <v>6</v>
      </c>
      <c r="F932" s="163" t="s">
        <v>11</v>
      </c>
      <c r="G932" s="1075" t="s">
        <v>8</v>
      </c>
    </row>
    <row r="933" spans="1:7" s="145" customFormat="1" ht="15.75" customHeight="1">
      <c r="A933" s="1117" t="s">
        <v>612</v>
      </c>
      <c r="B933" s="1118"/>
      <c r="C933" s="148" t="s">
        <v>3</v>
      </c>
      <c r="D933" s="148">
        <v>2</v>
      </c>
      <c r="E933" s="17">
        <f>+'INSUMOS ELÉCTRICOS'!E126</f>
        <v>348.66999999999996</v>
      </c>
      <c r="F933" s="149">
        <f>D933*E933</f>
        <v>697.33999999999992</v>
      </c>
      <c r="G933" s="1075"/>
    </row>
    <row r="934" spans="1:7" s="145" customFormat="1" ht="15.75" customHeight="1">
      <c r="A934" s="1117" t="s">
        <v>636</v>
      </c>
      <c r="B934" s="1118"/>
      <c r="C934" s="148" t="s">
        <v>622</v>
      </c>
      <c r="D934" s="148">
        <v>1</v>
      </c>
      <c r="E934" s="17">
        <f>+'INSUMOS ELÉCTRICOS'!E53</f>
        <v>20000</v>
      </c>
      <c r="F934" s="149">
        <f>D934*E934</f>
        <v>20000</v>
      </c>
      <c r="G934" s="1075"/>
    </row>
    <row r="935" spans="1:7" s="145" customFormat="1" ht="15.75" customHeight="1">
      <c r="A935" s="947"/>
      <c r="B935" s="1115"/>
      <c r="C935" s="16"/>
      <c r="D935" s="58"/>
      <c r="E935" s="17"/>
      <c r="F935" s="55"/>
      <c r="G935" s="57">
        <f>SUM(F932:F935)</f>
        <v>20697.34</v>
      </c>
    </row>
    <row r="936" spans="1:7" s="145" customFormat="1" ht="15.75" customHeight="1">
      <c r="A936" s="1114" t="s">
        <v>15</v>
      </c>
      <c r="B936" s="1115"/>
      <c r="C936" s="1115"/>
      <c r="D936" s="1115"/>
      <c r="E936" s="1115"/>
      <c r="F936" s="1115"/>
      <c r="G936" s="1116"/>
    </row>
    <row r="937" spans="1:7" s="145" customFormat="1" ht="15.75" customHeight="1">
      <c r="A937" s="1074" t="s">
        <v>2</v>
      </c>
      <c r="B937" s="1115"/>
      <c r="C937" s="53" t="s">
        <v>3</v>
      </c>
      <c r="D937" s="53" t="s">
        <v>4</v>
      </c>
      <c r="E937" s="53" t="s">
        <v>16</v>
      </c>
      <c r="F937" s="53" t="s">
        <v>11</v>
      </c>
      <c r="G937" s="1075" t="s">
        <v>8</v>
      </c>
    </row>
    <row r="938" spans="1:7" s="145" customFormat="1" ht="15.75" customHeight="1">
      <c r="A938" s="943" t="s">
        <v>173</v>
      </c>
      <c r="B938" s="1115"/>
      <c r="C938" s="16" t="s">
        <v>3</v>
      </c>
      <c r="D938" s="16">
        <v>0.04</v>
      </c>
      <c r="E938" s="17">
        <f>G935</f>
        <v>20697.34</v>
      </c>
      <c r="F938" s="55">
        <f>D938*E938</f>
        <v>827.89359999999999</v>
      </c>
      <c r="G938" s="1116"/>
    </row>
    <row r="939" spans="1:7" s="145" customFormat="1" ht="15.75" customHeight="1">
      <c r="A939" s="151"/>
      <c r="B939" s="152"/>
      <c r="C939" s="152"/>
      <c r="D939" s="152"/>
      <c r="E939" s="152"/>
      <c r="F939" s="152"/>
      <c r="G939" s="57">
        <f>SUM(F938:F939)</f>
        <v>827.89359999999999</v>
      </c>
    </row>
    <row r="940" spans="1:7" s="145" customFormat="1" ht="15.75" customHeight="1">
      <c r="A940" s="1114" t="s">
        <v>19</v>
      </c>
      <c r="B940" s="1115"/>
      <c r="C940" s="1115"/>
      <c r="D940" s="1115"/>
      <c r="E940" s="1115"/>
      <c r="F940" s="1115"/>
      <c r="G940" s="1116"/>
    </row>
    <row r="941" spans="1:7" s="2" customFormat="1" ht="15.75" customHeight="1">
      <c r="A941" s="469" t="s">
        <v>20</v>
      </c>
      <c r="B941" s="53" t="s">
        <v>21</v>
      </c>
      <c r="C941" s="53" t="s">
        <v>22</v>
      </c>
      <c r="D941" s="53" t="s">
        <v>23</v>
      </c>
      <c r="E941" s="53" t="s">
        <v>24</v>
      </c>
      <c r="F941" s="53" t="s">
        <v>11</v>
      </c>
      <c r="G941" s="1075" t="s">
        <v>8</v>
      </c>
    </row>
    <row r="942" spans="1:7" s="145" customFormat="1" ht="15.75" customHeight="1">
      <c r="A942" s="978" t="s">
        <v>1256</v>
      </c>
      <c r="B942" s="979"/>
      <c r="C942" s="13" t="s">
        <v>1245</v>
      </c>
      <c r="D942" s="32">
        <v>0.5</v>
      </c>
      <c r="E942" s="13">
        <v>20030</v>
      </c>
      <c r="F942" s="55">
        <f>+D942*E942</f>
        <v>10015</v>
      </c>
      <c r="G942" s="1116"/>
    </row>
    <row r="943" spans="1:7" s="145" customFormat="1" ht="15.75" customHeight="1">
      <c r="A943" s="155"/>
      <c r="B943" s="156"/>
      <c r="C943" s="156"/>
      <c r="D943" s="156"/>
      <c r="E943" s="156"/>
      <c r="F943" s="156"/>
      <c r="G943" s="57">
        <f>SUM(F941:F943)</f>
        <v>10015</v>
      </c>
    </row>
    <row r="944" spans="1:7" s="145" customFormat="1" ht="15.75" customHeight="1">
      <c r="A944" s="1119" t="s">
        <v>25</v>
      </c>
      <c r="B944" s="1120"/>
      <c r="C944" s="1120"/>
      <c r="D944" s="1120"/>
      <c r="E944" s="1120"/>
      <c r="F944" s="1120"/>
      <c r="G944" s="1121"/>
    </row>
    <row r="945" spans="1:7" s="145" customFormat="1" ht="15" customHeight="1">
      <c r="A945" s="1122"/>
      <c r="B945" s="1120"/>
      <c r="C945" s="1120"/>
      <c r="D945" s="1120"/>
      <c r="E945" s="1120"/>
      <c r="F945" s="1120"/>
      <c r="G945" s="157">
        <f>G943+G939+G935+G930</f>
        <v>32040.9836</v>
      </c>
    </row>
    <row r="946" spans="1:7" s="145" customFormat="1" ht="15.75" customHeight="1">
      <c r="A946" s="158"/>
      <c r="B946" s="159"/>
      <c r="C946" s="159"/>
      <c r="D946" s="159"/>
      <c r="E946" s="159"/>
      <c r="F946" s="159"/>
      <c r="G946" s="160"/>
    </row>
    <row r="947" spans="1:7" s="145" customFormat="1" ht="24" customHeight="1">
      <c r="A947" s="1123" t="s">
        <v>1</v>
      </c>
      <c r="B947" s="1120"/>
      <c r="C947" s="953" t="s">
        <v>594</v>
      </c>
      <c r="D947" s="1125"/>
      <c r="E947" s="1125"/>
      <c r="F947" s="1125"/>
      <c r="G947" s="1126"/>
    </row>
    <row r="948" spans="1:7" s="145" customFormat="1" ht="15.6" customHeight="1">
      <c r="A948" s="1124"/>
      <c r="B948" s="1120"/>
      <c r="C948" s="1125"/>
      <c r="D948" s="1125"/>
      <c r="E948" s="1125"/>
      <c r="F948" s="1125"/>
      <c r="G948" s="1126"/>
    </row>
    <row r="949" spans="1:7" s="145" customFormat="1" ht="15.75" customHeight="1">
      <c r="A949" s="1124"/>
      <c r="B949" s="1120"/>
      <c r="C949" s="1127" t="s">
        <v>703</v>
      </c>
      <c r="D949" s="1120"/>
      <c r="E949" s="1120"/>
      <c r="F949" s="1120"/>
      <c r="G949" s="1121"/>
    </row>
    <row r="950" spans="1:7" s="145" customFormat="1" ht="13.8">
      <c r="A950" s="1124"/>
      <c r="B950" s="1120"/>
      <c r="C950" s="1128" t="s">
        <v>2</v>
      </c>
      <c r="D950" s="1120"/>
      <c r="E950" s="1120"/>
      <c r="F950" s="146" t="s">
        <v>3</v>
      </c>
      <c r="G950" s="147" t="s">
        <v>4</v>
      </c>
    </row>
    <row r="951" spans="1:7" s="145" customFormat="1" ht="44.25" customHeight="1">
      <c r="A951" s="1073" t="s">
        <v>704</v>
      </c>
      <c r="B951" s="1115"/>
      <c r="C951" s="1118" t="s">
        <v>705</v>
      </c>
      <c r="D951" s="1118"/>
      <c r="E951" s="1118"/>
      <c r="F951" s="162" t="s">
        <v>45</v>
      </c>
      <c r="G951" s="52">
        <v>300</v>
      </c>
    </row>
    <row r="952" spans="1:7" s="145" customFormat="1" ht="15.75" customHeight="1">
      <c r="A952" s="1114" t="s">
        <v>5</v>
      </c>
      <c r="B952" s="1115"/>
      <c r="C952" s="1115"/>
      <c r="D952" s="1115"/>
      <c r="E952" s="1115"/>
      <c r="F952" s="1115"/>
      <c r="G952" s="1116"/>
    </row>
    <row r="953" spans="1:7" s="145" customFormat="1" ht="15.75" customHeight="1">
      <c r="A953" s="1074" t="s">
        <v>2</v>
      </c>
      <c r="B953" s="1115"/>
      <c r="C953" s="53" t="s">
        <v>3</v>
      </c>
      <c r="D953" s="53" t="s">
        <v>4</v>
      </c>
      <c r="E953" s="53" t="s">
        <v>6</v>
      </c>
      <c r="F953" s="53" t="s">
        <v>7</v>
      </c>
      <c r="G953" s="1075" t="s">
        <v>8</v>
      </c>
    </row>
    <row r="954" spans="1:7" s="145" customFormat="1" ht="15.75" customHeight="1">
      <c r="A954" s="947" t="s">
        <v>167</v>
      </c>
      <c r="B954" s="1115"/>
      <c r="C954" s="51" t="s">
        <v>3</v>
      </c>
      <c r="D954" s="51">
        <v>0.05</v>
      </c>
      <c r="E954" s="17">
        <f>G968</f>
        <v>2003</v>
      </c>
      <c r="F954" s="55">
        <f>D954*E954</f>
        <v>100.15</v>
      </c>
      <c r="G954" s="1116"/>
    </row>
    <row r="955" spans="1:7" s="145" customFormat="1" ht="15.75" customHeight="1">
      <c r="A955" s="943"/>
      <c r="B955" s="1115"/>
      <c r="C955" s="51"/>
      <c r="D955" s="51"/>
      <c r="E955" s="51"/>
      <c r="F955" s="55"/>
      <c r="G955" s="57">
        <f>SUM(F953:F955)</f>
        <v>100.15</v>
      </c>
    </row>
    <row r="956" spans="1:7" s="150" customFormat="1" ht="15.75" customHeight="1">
      <c r="A956" s="1114" t="s">
        <v>10</v>
      </c>
      <c r="B956" s="1115"/>
      <c r="C956" s="1115"/>
      <c r="D956" s="1115"/>
      <c r="E956" s="1115"/>
      <c r="F956" s="1115"/>
      <c r="G956" s="1116"/>
    </row>
    <row r="957" spans="1:7" s="150" customFormat="1" ht="15.75" customHeight="1">
      <c r="A957" s="1074" t="s">
        <v>2</v>
      </c>
      <c r="B957" s="1115"/>
      <c r="C957" s="53" t="s">
        <v>3</v>
      </c>
      <c r="D957" s="53" t="s">
        <v>4</v>
      </c>
      <c r="E957" s="53" t="s">
        <v>6</v>
      </c>
      <c r="F957" s="53" t="s">
        <v>11</v>
      </c>
      <c r="G957" s="1075" t="s">
        <v>8</v>
      </c>
    </row>
    <row r="958" spans="1:7" s="145" customFormat="1" ht="15.75" customHeight="1">
      <c r="A958" s="1117" t="s">
        <v>706</v>
      </c>
      <c r="B958" s="1118"/>
      <c r="C958" s="148" t="s">
        <v>3</v>
      </c>
      <c r="D958" s="148">
        <v>1</v>
      </c>
      <c r="E958" s="631">
        <f>+'INSUMOS ELÉCTRICOS'!E90</f>
        <v>4736.2</v>
      </c>
      <c r="F958" s="55">
        <f>D958*E958</f>
        <v>4736.2</v>
      </c>
      <c r="G958" s="1075"/>
    </row>
    <row r="959" spans="1:7" s="145" customFormat="1" ht="15.75" customHeight="1">
      <c r="A959" s="1117" t="s">
        <v>707</v>
      </c>
      <c r="B959" s="1118"/>
      <c r="C959" s="148" t="s">
        <v>622</v>
      </c>
      <c r="D959" s="148">
        <v>0.01</v>
      </c>
      <c r="E959" s="17">
        <f>+'INSUMOS ELÉCTRICOS'!E91</f>
        <v>6000</v>
      </c>
      <c r="F959" s="55">
        <f>D959*E959</f>
        <v>60</v>
      </c>
      <c r="G959" s="1075"/>
    </row>
    <row r="960" spans="1:7" s="145" customFormat="1" ht="15.75" customHeight="1">
      <c r="A960" s="947"/>
      <c r="B960" s="1115"/>
      <c r="C960" s="16"/>
      <c r="D960" s="58"/>
      <c r="E960" s="17"/>
      <c r="F960" s="55"/>
      <c r="G960" s="57">
        <f>SUM(F957:F960)</f>
        <v>4796.2</v>
      </c>
    </row>
    <row r="961" spans="1:7" s="145" customFormat="1" ht="15.75" customHeight="1">
      <c r="A961" s="1114" t="s">
        <v>15</v>
      </c>
      <c r="B961" s="1115"/>
      <c r="C961" s="1115"/>
      <c r="D961" s="1115"/>
      <c r="E961" s="1115"/>
      <c r="F961" s="1115"/>
      <c r="G961" s="1116"/>
    </row>
    <row r="962" spans="1:7" s="145" customFormat="1" ht="15.75" customHeight="1">
      <c r="A962" s="1074" t="s">
        <v>2</v>
      </c>
      <c r="B962" s="1115"/>
      <c r="C962" s="53" t="s">
        <v>3</v>
      </c>
      <c r="D962" s="53" t="s">
        <v>4</v>
      </c>
      <c r="E962" s="53" t="s">
        <v>6</v>
      </c>
      <c r="F962" s="53" t="s">
        <v>11</v>
      </c>
      <c r="G962" s="1075" t="s">
        <v>8</v>
      </c>
    </row>
    <row r="963" spans="1:7" s="145" customFormat="1" ht="15.75" customHeight="1">
      <c r="A963" s="943" t="s">
        <v>173</v>
      </c>
      <c r="B963" s="1115"/>
      <c r="C963" s="16" t="s">
        <v>3</v>
      </c>
      <c r="D963" s="16">
        <v>0.05</v>
      </c>
      <c r="E963" s="631">
        <f>G960</f>
        <v>4796.2</v>
      </c>
      <c r="F963" s="55">
        <f>D963*E963</f>
        <v>239.81</v>
      </c>
      <c r="G963" s="1116"/>
    </row>
    <row r="964" spans="1:7" s="145" customFormat="1" ht="15.75" customHeight="1">
      <c r="A964" s="151"/>
      <c r="B964" s="152"/>
      <c r="C964" s="152"/>
      <c r="D964" s="152"/>
      <c r="E964" s="152"/>
      <c r="F964" s="152"/>
      <c r="G964" s="57">
        <f>SUM(F963:F964)</f>
        <v>239.81</v>
      </c>
    </row>
    <row r="965" spans="1:7" s="145" customFormat="1" ht="15.75" customHeight="1">
      <c r="A965" s="1114" t="s">
        <v>19</v>
      </c>
      <c r="B965" s="1115"/>
      <c r="C965" s="1115"/>
      <c r="D965" s="1115"/>
      <c r="E965" s="1115"/>
      <c r="F965" s="1115"/>
      <c r="G965" s="1116"/>
    </row>
    <row r="966" spans="1:7" s="2" customFormat="1" ht="15.75" customHeight="1">
      <c r="A966" s="1074" t="s">
        <v>2</v>
      </c>
      <c r="B966" s="1115"/>
      <c r="C966" s="53" t="s">
        <v>3</v>
      </c>
      <c r="D966" s="53" t="s">
        <v>4</v>
      </c>
      <c r="E966" s="53" t="s">
        <v>6</v>
      </c>
      <c r="F966" s="53" t="s">
        <v>11</v>
      </c>
      <c r="G966" s="1075" t="s">
        <v>8</v>
      </c>
    </row>
    <row r="967" spans="1:7" s="145" customFormat="1" ht="15.75" customHeight="1">
      <c r="A967" s="978" t="s">
        <v>1256</v>
      </c>
      <c r="B967" s="979"/>
      <c r="C967" s="13" t="s">
        <v>1245</v>
      </c>
      <c r="D967" s="32">
        <v>0.1</v>
      </c>
      <c r="E967" s="13">
        <v>20030</v>
      </c>
      <c r="F967" s="55">
        <f>+D967*E967</f>
        <v>2003</v>
      </c>
      <c r="G967" s="1116"/>
    </row>
    <row r="968" spans="1:7" s="145" customFormat="1" ht="15.75" customHeight="1">
      <c r="A968" s="155"/>
      <c r="B968" s="156"/>
      <c r="C968" s="156"/>
      <c r="D968" s="156"/>
      <c r="E968" s="156"/>
      <c r="F968" s="156"/>
      <c r="G968" s="57">
        <f>SUM(F966:F968)</f>
        <v>2003</v>
      </c>
    </row>
    <row r="969" spans="1:7" s="145" customFormat="1" ht="15.75" customHeight="1">
      <c r="A969" s="1119" t="s">
        <v>25</v>
      </c>
      <c r="B969" s="1120"/>
      <c r="C969" s="1120"/>
      <c r="D969" s="1120"/>
      <c r="E969" s="1120"/>
      <c r="F969" s="1120"/>
      <c r="G969" s="1121"/>
    </row>
    <row r="970" spans="1:7" s="145" customFormat="1" ht="15" customHeight="1">
      <c r="A970" s="1122"/>
      <c r="B970" s="1120"/>
      <c r="C970" s="1120"/>
      <c r="D970" s="1120"/>
      <c r="E970" s="1120"/>
      <c r="F970" s="1120"/>
      <c r="G970" s="157">
        <f>G968+G964+G960+G955</f>
        <v>7139.16</v>
      </c>
    </row>
    <row r="971" spans="1:7" s="145" customFormat="1" ht="15.75" customHeight="1">
      <c r="A971" s="158"/>
      <c r="B971" s="159"/>
      <c r="C971" s="159"/>
      <c r="D971" s="159"/>
      <c r="E971" s="159"/>
      <c r="F971" s="159"/>
      <c r="G971" s="160"/>
    </row>
    <row r="972" spans="1:7" s="145" customFormat="1" ht="24" customHeight="1">
      <c r="A972" s="1123" t="s">
        <v>1</v>
      </c>
      <c r="B972" s="1120"/>
      <c r="C972" s="953" t="s">
        <v>594</v>
      </c>
      <c r="D972" s="1125"/>
      <c r="E972" s="1125"/>
      <c r="F972" s="1125"/>
      <c r="G972" s="1126"/>
    </row>
    <row r="973" spans="1:7" s="145" customFormat="1" ht="15.6" customHeight="1">
      <c r="A973" s="1124"/>
      <c r="B973" s="1120"/>
      <c r="C973" s="1125"/>
      <c r="D973" s="1125"/>
      <c r="E973" s="1125"/>
      <c r="F973" s="1125"/>
      <c r="G973" s="1126"/>
    </row>
    <row r="974" spans="1:7" s="145" customFormat="1" ht="15.75" customHeight="1">
      <c r="A974" s="1124"/>
      <c r="B974" s="1120"/>
      <c r="C974" s="1127" t="s">
        <v>703</v>
      </c>
      <c r="D974" s="1120"/>
      <c r="E974" s="1120"/>
      <c r="F974" s="1120"/>
      <c r="G974" s="1121"/>
    </row>
    <row r="975" spans="1:7" s="145" customFormat="1" ht="51.75" customHeight="1">
      <c r="A975" s="1124"/>
      <c r="B975" s="1120"/>
      <c r="C975" s="1128" t="s">
        <v>2</v>
      </c>
      <c r="D975" s="1120"/>
      <c r="E975" s="1120"/>
      <c r="F975" s="146" t="s">
        <v>3</v>
      </c>
      <c r="G975" s="147" t="s">
        <v>4</v>
      </c>
    </row>
    <row r="976" spans="1:7" s="145" customFormat="1" ht="47.25" customHeight="1">
      <c r="A976" s="1073" t="s">
        <v>708</v>
      </c>
      <c r="B976" s="1115"/>
      <c r="C976" s="980" t="s">
        <v>709</v>
      </c>
      <c r="D976" s="980"/>
      <c r="E976" s="980"/>
      <c r="F976" s="162" t="s">
        <v>28</v>
      </c>
      <c r="G976" s="52">
        <v>1</v>
      </c>
    </row>
    <row r="977" spans="1:7" s="145" customFormat="1" ht="15.75" customHeight="1">
      <c r="A977" s="1114" t="s">
        <v>5</v>
      </c>
      <c r="B977" s="1115"/>
      <c r="C977" s="1115"/>
      <c r="D977" s="1115"/>
      <c r="E977" s="1115"/>
      <c r="F977" s="1115"/>
      <c r="G977" s="1116"/>
    </row>
    <row r="978" spans="1:7" s="145" customFormat="1" ht="15.75" customHeight="1">
      <c r="A978" s="1074" t="s">
        <v>2</v>
      </c>
      <c r="B978" s="1115"/>
      <c r="C978" s="53" t="s">
        <v>3</v>
      </c>
      <c r="D978" s="53" t="s">
        <v>4</v>
      </c>
      <c r="E978" s="53" t="s">
        <v>6</v>
      </c>
      <c r="F978" s="53" t="s">
        <v>7</v>
      </c>
      <c r="G978" s="1075" t="s">
        <v>8</v>
      </c>
    </row>
    <row r="979" spans="1:7" s="145" customFormat="1" ht="15.75" customHeight="1">
      <c r="A979" s="947" t="s">
        <v>167</v>
      </c>
      <c r="B979" s="1115"/>
      <c r="C979" s="51" t="s">
        <v>3</v>
      </c>
      <c r="D979" s="51">
        <v>0.05</v>
      </c>
      <c r="E979" s="17">
        <f>G996</f>
        <v>20030</v>
      </c>
      <c r="F979" s="55">
        <f>D979*E979</f>
        <v>1001.5</v>
      </c>
      <c r="G979" s="1116"/>
    </row>
    <row r="980" spans="1:7" s="145" customFormat="1" ht="15.75" customHeight="1">
      <c r="A980" s="943"/>
      <c r="B980" s="1115"/>
      <c r="C980" s="51"/>
      <c r="D980" s="51"/>
      <c r="E980" s="51"/>
      <c r="F980" s="55"/>
      <c r="G980" s="57">
        <f>SUM(F978:F980)</f>
        <v>1001.5</v>
      </c>
    </row>
    <row r="981" spans="1:7" s="145" customFormat="1" ht="15.75" customHeight="1">
      <c r="A981" s="1114" t="s">
        <v>10</v>
      </c>
      <c r="B981" s="1115"/>
      <c r="C981" s="1115"/>
      <c r="D981" s="1115"/>
      <c r="E981" s="1115"/>
      <c r="F981" s="1115"/>
      <c r="G981" s="1116"/>
    </row>
    <row r="982" spans="1:7" s="145" customFormat="1" ht="15.75" customHeight="1">
      <c r="A982" s="1074" t="s">
        <v>2</v>
      </c>
      <c r="B982" s="1115"/>
      <c r="C982" s="53" t="s">
        <v>3</v>
      </c>
      <c r="D982" s="53" t="s">
        <v>4</v>
      </c>
      <c r="E982" s="53" t="s">
        <v>6</v>
      </c>
      <c r="F982" s="53" t="s">
        <v>11</v>
      </c>
      <c r="G982" s="1075" t="s">
        <v>8</v>
      </c>
    </row>
    <row r="983" spans="1:7" s="150" customFormat="1" ht="28.5" customHeight="1">
      <c r="A983" s="1117" t="s">
        <v>673</v>
      </c>
      <c r="B983" s="1118"/>
      <c r="C983" s="148" t="s">
        <v>3</v>
      </c>
      <c r="D983" s="148">
        <v>1</v>
      </c>
      <c r="E983" s="17">
        <f>+'INSUMOS ELÉCTRICOS'!E53</f>
        <v>20000</v>
      </c>
      <c r="F983" s="55">
        <f>D983*E983</f>
        <v>20000</v>
      </c>
      <c r="G983" s="1075"/>
    </row>
    <row r="984" spans="1:7" s="145" customFormat="1" ht="15.75" customHeight="1">
      <c r="A984" s="1117" t="s">
        <v>612</v>
      </c>
      <c r="B984" s="1118"/>
      <c r="C984" s="148" t="s">
        <v>3</v>
      </c>
      <c r="D984" s="148">
        <v>2</v>
      </c>
      <c r="E984" s="17">
        <f>+'INSUMOS ELÉCTRICOS'!E126</f>
        <v>348.66999999999996</v>
      </c>
      <c r="F984" s="55">
        <f>D984*E984</f>
        <v>697.33999999999992</v>
      </c>
      <c r="G984" s="1075"/>
    </row>
    <row r="985" spans="1:7" s="145" customFormat="1" ht="15.75" customHeight="1">
      <c r="A985" s="1117" t="s">
        <v>710</v>
      </c>
      <c r="B985" s="1118"/>
      <c r="C985" s="148" t="s">
        <v>3</v>
      </c>
      <c r="D985" s="148">
        <v>1</v>
      </c>
      <c r="E985" s="17">
        <f>+'INSUMOS ELÉCTRICOS'!E182</f>
        <v>52700</v>
      </c>
      <c r="F985" s="55">
        <f>D985*E985</f>
        <v>52700</v>
      </c>
      <c r="G985" s="61"/>
    </row>
    <row r="986" spans="1:7" s="145" customFormat="1" ht="15.75" customHeight="1">
      <c r="A986" s="1117" t="s">
        <v>711</v>
      </c>
      <c r="B986" s="1118"/>
      <c r="C986" s="148" t="s">
        <v>3</v>
      </c>
      <c r="D986" s="148">
        <v>1</v>
      </c>
      <c r="E986" s="17">
        <f>+'INSUMOS ELÉCTRICOS'!E52</f>
        <v>2000</v>
      </c>
      <c r="F986" s="55">
        <f>D986*E986</f>
        <v>2000</v>
      </c>
      <c r="G986" s="164"/>
    </row>
    <row r="987" spans="1:7" s="145" customFormat="1" ht="15.75" customHeight="1">
      <c r="A987" s="1117" t="s">
        <v>712</v>
      </c>
      <c r="B987" s="1118"/>
      <c r="C987" s="148" t="s">
        <v>3</v>
      </c>
      <c r="D987" s="148">
        <v>1</v>
      </c>
      <c r="E987" s="17">
        <f>+'INSUMOS ELÉCTRICOS'!E94</f>
        <v>8330</v>
      </c>
      <c r="F987" s="55">
        <f>D987*E987</f>
        <v>8330</v>
      </c>
      <c r="G987" s="61"/>
    </row>
    <row r="988" spans="1:7" s="145" customFormat="1" ht="15.75" customHeight="1">
      <c r="A988" s="947"/>
      <c r="B988" s="1115"/>
      <c r="C988" s="16"/>
      <c r="D988" s="58"/>
      <c r="E988" s="17"/>
      <c r="F988" s="55"/>
      <c r="G988" s="57">
        <f>SUM(F982:F988)</f>
        <v>83727.34</v>
      </c>
    </row>
    <row r="989" spans="1:7" s="145" customFormat="1" ht="15.75" customHeight="1">
      <c r="A989" s="1114" t="s">
        <v>15</v>
      </c>
      <c r="B989" s="1115"/>
      <c r="C989" s="1115"/>
      <c r="D989" s="1115"/>
      <c r="E989" s="1115"/>
      <c r="F989" s="1115"/>
      <c r="G989" s="1116"/>
    </row>
    <row r="990" spans="1:7" s="145" customFormat="1" ht="15.75" customHeight="1">
      <c r="A990" s="1074" t="s">
        <v>2</v>
      </c>
      <c r="B990" s="1115"/>
      <c r="C990" s="53" t="s">
        <v>3</v>
      </c>
      <c r="D990" s="53" t="s">
        <v>4</v>
      </c>
      <c r="E990" s="53" t="s">
        <v>6</v>
      </c>
      <c r="F990" s="53" t="s">
        <v>11</v>
      </c>
      <c r="G990" s="1075" t="s">
        <v>8</v>
      </c>
    </row>
    <row r="991" spans="1:7" s="2" customFormat="1" ht="15.75" customHeight="1">
      <c r="A991" s="943" t="s">
        <v>173</v>
      </c>
      <c r="B991" s="1115"/>
      <c r="C991" s="16" t="s">
        <v>3</v>
      </c>
      <c r="D991" s="16">
        <v>0.01</v>
      </c>
      <c r="E991" s="17">
        <f>G988</f>
        <v>83727.34</v>
      </c>
      <c r="F991" s="55">
        <f>D991*E991</f>
        <v>837.27340000000004</v>
      </c>
      <c r="G991" s="1116"/>
    </row>
    <row r="992" spans="1:7" s="145" customFormat="1" ht="15.75" customHeight="1">
      <c r="A992" s="151"/>
      <c r="B992" s="152"/>
      <c r="C992" s="152"/>
      <c r="D992" s="152"/>
      <c r="E992" s="152"/>
      <c r="F992" s="152"/>
      <c r="G992" s="57">
        <f>SUM(F991:F992)</f>
        <v>837.27340000000004</v>
      </c>
    </row>
    <row r="993" spans="1:7" s="145" customFormat="1" ht="15.75" customHeight="1">
      <c r="A993" s="1114" t="s">
        <v>19</v>
      </c>
      <c r="B993" s="1115"/>
      <c r="C993" s="1115"/>
      <c r="D993" s="1115"/>
      <c r="E993" s="1115"/>
      <c r="F993" s="1115"/>
      <c r="G993" s="1116"/>
    </row>
    <row r="994" spans="1:7" s="145" customFormat="1" ht="15.75" customHeight="1">
      <c r="A994" s="1074" t="s">
        <v>2</v>
      </c>
      <c r="B994" s="1115"/>
      <c r="C994" s="53" t="s">
        <v>3</v>
      </c>
      <c r="D994" s="53" t="s">
        <v>4</v>
      </c>
      <c r="E994" s="53" t="s">
        <v>6</v>
      </c>
      <c r="F994" s="53" t="s">
        <v>11</v>
      </c>
      <c r="G994" s="1075" t="s">
        <v>8</v>
      </c>
    </row>
    <row r="995" spans="1:7" s="145" customFormat="1" ht="15" customHeight="1">
      <c r="A995" s="978" t="s">
        <v>1256</v>
      </c>
      <c r="B995" s="979"/>
      <c r="C995" s="13" t="s">
        <v>1245</v>
      </c>
      <c r="D995" s="32">
        <v>1</v>
      </c>
      <c r="E995" s="13">
        <v>20030</v>
      </c>
      <c r="F995" s="55">
        <f>+D995*E995</f>
        <v>20030</v>
      </c>
      <c r="G995" s="1116"/>
    </row>
    <row r="996" spans="1:7" s="145" customFormat="1" ht="15.75" customHeight="1">
      <c r="A996" s="155"/>
      <c r="B996" s="156"/>
      <c r="C996" s="156"/>
      <c r="D996" s="156"/>
      <c r="E996" s="156"/>
      <c r="F996" s="156"/>
      <c r="G996" s="57">
        <f>SUM(F994:F996)</f>
        <v>20030</v>
      </c>
    </row>
    <row r="997" spans="1:7" s="145" customFormat="1" ht="24" customHeight="1">
      <c r="A997" s="1119" t="s">
        <v>25</v>
      </c>
      <c r="B997" s="1120"/>
      <c r="C997" s="1120"/>
      <c r="D997" s="1120"/>
      <c r="E997" s="1120"/>
      <c r="F997" s="1120"/>
      <c r="G997" s="1121"/>
    </row>
    <row r="998" spans="1:7" s="145" customFormat="1" ht="15.6" customHeight="1">
      <c r="A998" s="1122"/>
      <c r="B998" s="1120"/>
      <c r="C998" s="1120"/>
      <c r="D998" s="1120"/>
      <c r="E998" s="1120"/>
      <c r="F998" s="1120"/>
      <c r="G998" s="157">
        <f>G996+G992+G988+G980</f>
        <v>105596.1134</v>
      </c>
    </row>
    <row r="999" spans="1:7" s="145" customFormat="1" ht="15.75" customHeight="1">
      <c r="A999" s="158"/>
      <c r="B999" s="159"/>
      <c r="C999" s="159"/>
      <c r="D999" s="159"/>
      <c r="E999" s="159"/>
      <c r="F999" s="159"/>
      <c r="G999" s="160"/>
    </row>
    <row r="1000" spans="1:7" s="145" customFormat="1" ht="13.8">
      <c r="A1000" s="1123" t="s">
        <v>1</v>
      </c>
      <c r="B1000" s="1120"/>
      <c r="C1000" s="953" t="s">
        <v>594</v>
      </c>
      <c r="D1000" s="1125"/>
      <c r="E1000" s="1125"/>
      <c r="F1000" s="1125"/>
      <c r="G1000" s="1126"/>
    </row>
    <row r="1001" spans="1:7" s="145" customFormat="1" ht="16.5" customHeight="1">
      <c r="A1001" s="1124"/>
      <c r="B1001" s="1120"/>
      <c r="C1001" s="1125"/>
      <c r="D1001" s="1125"/>
      <c r="E1001" s="1125"/>
      <c r="F1001" s="1125"/>
      <c r="G1001" s="1126"/>
    </row>
    <row r="1002" spans="1:7" s="145" customFormat="1" ht="15.75" customHeight="1">
      <c r="A1002" s="1124"/>
      <c r="B1002" s="1120"/>
      <c r="C1002" s="1127" t="s">
        <v>703</v>
      </c>
      <c r="D1002" s="1120"/>
      <c r="E1002" s="1120"/>
      <c r="F1002" s="1120"/>
      <c r="G1002" s="1121"/>
    </row>
    <row r="1003" spans="1:7" s="145" customFormat="1" ht="15.75" customHeight="1">
      <c r="A1003" s="1124"/>
      <c r="B1003" s="1120"/>
      <c r="C1003" s="1128" t="s">
        <v>2</v>
      </c>
      <c r="D1003" s="1120"/>
      <c r="E1003" s="1120"/>
      <c r="F1003" s="146" t="s">
        <v>3</v>
      </c>
      <c r="G1003" s="147" t="s">
        <v>4</v>
      </c>
    </row>
    <row r="1004" spans="1:7" s="145" customFormat="1" ht="42.75" customHeight="1">
      <c r="A1004" s="1073" t="s">
        <v>713</v>
      </c>
      <c r="B1004" s="1115"/>
      <c r="C1004" s="980" t="s">
        <v>714</v>
      </c>
      <c r="D1004" s="980"/>
      <c r="E1004" s="980"/>
      <c r="F1004" s="162" t="s">
        <v>28</v>
      </c>
      <c r="G1004" s="52">
        <v>1</v>
      </c>
    </row>
    <row r="1005" spans="1:7" s="145" customFormat="1" ht="15.75" customHeight="1">
      <c r="A1005" s="1114" t="s">
        <v>5</v>
      </c>
      <c r="B1005" s="1115"/>
      <c r="C1005" s="1115"/>
      <c r="D1005" s="1115"/>
      <c r="E1005" s="1115"/>
      <c r="F1005" s="1115"/>
      <c r="G1005" s="1116"/>
    </row>
    <row r="1006" spans="1:7" s="145" customFormat="1" ht="15.75" customHeight="1">
      <c r="A1006" s="1074" t="s">
        <v>2</v>
      </c>
      <c r="B1006" s="1115"/>
      <c r="C1006" s="53" t="s">
        <v>3</v>
      </c>
      <c r="D1006" s="53" t="s">
        <v>4</v>
      </c>
      <c r="E1006" s="53" t="s">
        <v>6</v>
      </c>
      <c r="F1006" s="53" t="s">
        <v>7</v>
      </c>
      <c r="G1006" s="1075" t="s">
        <v>8</v>
      </c>
    </row>
    <row r="1007" spans="1:7" s="145" customFormat="1" ht="15.75" customHeight="1">
      <c r="A1007" s="947" t="s">
        <v>167</v>
      </c>
      <c r="B1007" s="1115"/>
      <c r="C1007" s="51" t="s">
        <v>3</v>
      </c>
      <c r="D1007" s="51">
        <v>0.05</v>
      </c>
      <c r="E1007" s="17">
        <f>G1024</f>
        <v>100150</v>
      </c>
      <c r="F1007" s="55">
        <f>D1007*E1007</f>
        <v>5007.5</v>
      </c>
      <c r="G1007" s="1116"/>
    </row>
    <row r="1008" spans="1:7" s="150" customFormat="1" ht="15.75" customHeight="1">
      <c r="A1008" s="943"/>
      <c r="B1008" s="1115"/>
      <c r="C1008" s="51"/>
      <c r="D1008" s="51"/>
      <c r="E1008" s="51"/>
      <c r="F1008" s="55"/>
      <c r="G1008" s="57">
        <f>SUM(F1006:F1008)</f>
        <v>5007.5</v>
      </c>
    </row>
    <row r="1009" spans="1:7" s="145" customFormat="1" ht="15.75" customHeight="1">
      <c r="A1009" s="1114" t="s">
        <v>10</v>
      </c>
      <c r="B1009" s="1115"/>
      <c r="C1009" s="1115"/>
      <c r="D1009" s="1115"/>
      <c r="E1009" s="1115"/>
      <c r="F1009" s="1115"/>
      <c r="G1009" s="1116"/>
    </row>
    <row r="1010" spans="1:7" s="150" customFormat="1" ht="15.75" customHeight="1">
      <c r="A1010" s="1074" t="s">
        <v>2</v>
      </c>
      <c r="B1010" s="1115"/>
      <c r="C1010" s="53" t="s">
        <v>3</v>
      </c>
      <c r="D1010" s="53" t="s">
        <v>4</v>
      </c>
      <c r="E1010" s="53" t="s">
        <v>6</v>
      </c>
      <c r="F1010" s="53" t="s">
        <v>11</v>
      </c>
      <c r="G1010" s="1075" t="s">
        <v>8</v>
      </c>
    </row>
    <row r="1011" spans="1:7" s="145" customFormat="1" ht="15.75" customHeight="1">
      <c r="A1011" s="1117" t="s">
        <v>715</v>
      </c>
      <c r="B1011" s="1118"/>
      <c r="C1011" s="148" t="s">
        <v>3</v>
      </c>
      <c r="D1011" s="148">
        <v>1</v>
      </c>
      <c r="E1011" s="17">
        <f>+'INSUMOS ELÉCTRICOS'!E18</f>
        <v>985000</v>
      </c>
      <c r="F1011" s="55">
        <f>D1011*E1011</f>
        <v>985000</v>
      </c>
      <c r="G1011" s="1075"/>
    </row>
    <row r="1012" spans="1:7" s="145" customFormat="1" ht="15.75" customHeight="1">
      <c r="A1012" s="1117" t="s">
        <v>716</v>
      </c>
      <c r="B1012" s="1118"/>
      <c r="C1012" s="148" t="s">
        <v>3</v>
      </c>
      <c r="D1012" s="148">
        <v>1</v>
      </c>
      <c r="E1012" s="17">
        <f>+'INSUMOS ELÉCTRICOS'!E19</f>
        <v>189900</v>
      </c>
      <c r="F1012" s="55">
        <f>D1012*E1012</f>
        <v>189900</v>
      </c>
      <c r="G1012" s="1075"/>
    </row>
    <row r="1013" spans="1:7" s="145" customFormat="1" ht="30" customHeight="1">
      <c r="A1013" s="1117" t="s">
        <v>717</v>
      </c>
      <c r="B1013" s="1118"/>
      <c r="C1013" s="148" t="s">
        <v>3</v>
      </c>
      <c r="D1013" s="148">
        <v>1</v>
      </c>
      <c r="E1013" s="17">
        <f>+'INSUMOS ELÉCTRICOS'!E20</f>
        <v>249900</v>
      </c>
      <c r="F1013" s="55">
        <f>D1013*E1013</f>
        <v>249900</v>
      </c>
      <c r="G1013" s="164"/>
    </row>
    <row r="1014" spans="1:7" s="145" customFormat="1" ht="15.75" customHeight="1">
      <c r="A1014" s="1117" t="s">
        <v>718</v>
      </c>
      <c r="B1014" s="1118"/>
      <c r="C1014" s="148" t="s">
        <v>3</v>
      </c>
      <c r="D1014" s="148">
        <v>4</v>
      </c>
      <c r="E1014" s="17">
        <f>+'INSUMOS ELÉCTRICOS'!E21</f>
        <v>5200</v>
      </c>
      <c r="F1014" s="55">
        <f>D1014*E1014</f>
        <v>20800</v>
      </c>
      <c r="G1014" s="164"/>
    </row>
    <row r="1015" spans="1:7" s="145" customFormat="1" ht="15.75" customHeight="1">
      <c r="A1015" s="1117" t="s">
        <v>719</v>
      </c>
      <c r="B1015" s="1118"/>
      <c r="C1015" s="148" t="s">
        <v>3</v>
      </c>
      <c r="D1015" s="148">
        <v>1</v>
      </c>
      <c r="E1015" s="17">
        <f>+'INSUMOS ELÉCTRICOS'!E22</f>
        <v>60900</v>
      </c>
      <c r="F1015" s="55">
        <f>D1015*E1015</f>
        <v>60900</v>
      </c>
      <c r="G1015" s="164"/>
    </row>
    <row r="1016" spans="1:7" s="145" customFormat="1" ht="15.75" customHeight="1">
      <c r="A1016" s="947"/>
      <c r="B1016" s="1115"/>
      <c r="C1016" s="16"/>
      <c r="D1016" s="58"/>
      <c r="E1016" s="17"/>
      <c r="F1016" s="55"/>
      <c r="G1016" s="57">
        <f>SUM(F1010:F1016)</f>
        <v>1506500</v>
      </c>
    </row>
    <row r="1017" spans="1:7" s="145" customFormat="1" ht="15.75" customHeight="1">
      <c r="A1017" s="1114" t="s">
        <v>15</v>
      </c>
      <c r="B1017" s="1115"/>
      <c r="C1017" s="1115"/>
      <c r="D1017" s="1115"/>
      <c r="E1017" s="1115"/>
      <c r="F1017" s="1115"/>
      <c r="G1017" s="1116"/>
    </row>
    <row r="1018" spans="1:7" s="145" customFormat="1" ht="15.75" customHeight="1">
      <c r="A1018" s="1074" t="s">
        <v>2</v>
      </c>
      <c r="B1018" s="1115"/>
      <c r="C1018" s="53" t="s">
        <v>3</v>
      </c>
      <c r="D1018" s="53" t="s">
        <v>4</v>
      </c>
      <c r="E1018" s="53" t="s">
        <v>6</v>
      </c>
      <c r="F1018" s="53" t="s">
        <v>11</v>
      </c>
      <c r="G1018" s="1075" t="s">
        <v>8</v>
      </c>
    </row>
    <row r="1019" spans="1:7" s="2" customFormat="1" ht="15.75" customHeight="1">
      <c r="A1019" s="943" t="s">
        <v>173</v>
      </c>
      <c r="B1019" s="1115"/>
      <c r="C1019" s="16" t="s">
        <v>3</v>
      </c>
      <c r="D1019" s="16">
        <v>5.0000000000000001E-3</v>
      </c>
      <c r="E1019" s="17">
        <f>G1016</f>
        <v>1506500</v>
      </c>
      <c r="F1019" s="55">
        <f>D1019*E1019</f>
        <v>7532.5</v>
      </c>
      <c r="G1019" s="1116"/>
    </row>
    <row r="1020" spans="1:7" s="145" customFormat="1" ht="15.75" customHeight="1">
      <c r="A1020" s="151"/>
      <c r="B1020" s="152"/>
      <c r="C1020" s="152"/>
      <c r="D1020" s="152"/>
      <c r="E1020" s="152"/>
      <c r="F1020" s="152"/>
      <c r="G1020" s="57">
        <f>SUM(F1019:F1020)</f>
        <v>7532.5</v>
      </c>
    </row>
    <row r="1021" spans="1:7" s="145" customFormat="1" ht="15.75" customHeight="1">
      <c r="A1021" s="1114" t="s">
        <v>19</v>
      </c>
      <c r="B1021" s="1115"/>
      <c r="C1021" s="1115"/>
      <c r="D1021" s="1115"/>
      <c r="E1021" s="1115"/>
      <c r="F1021" s="1115"/>
      <c r="G1021" s="1116"/>
    </row>
    <row r="1022" spans="1:7" s="145" customFormat="1" ht="15.75" customHeight="1">
      <c r="A1022" s="1074" t="s">
        <v>2</v>
      </c>
      <c r="B1022" s="1115"/>
      <c r="C1022" s="53" t="s">
        <v>3</v>
      </c>
      <c r="D1022" s="53" t="s">
        <v>4</v>
      </c>
      <c r="E1022" s="53" t="s">
        <v>6</v>
      </c>
      <c r="F1022" s="53" t="s">
        <v>11</v>
      </c>
      <c r="G1022" s="1075" t="s">
        <v>8</v>
      </c>
    </row>
    <row r="1023" spans="1:7" s="145" customFormat="1" ht="15" customHeight="1">
      <c r="A1023" s="978" t="s">
        <v>1256</v>
      </c>
      <c r="B1023" s="979"/>
      <c r="C1023" s="13" t="s">
        <v>1245</v>
      </c>
      <c r="D1023" s="32">
        <v>5</v>
      </c>
      <c r="E1023" s="13">
        <v>20030</v>
      </c>
      <c r="F1023" s="55">
        <f>+D1023*E1023</f>
        <v>100150</v>
      </c>
      <c r="G1023" s="1116"/>
    </row>
    <row r="1024" spans="1:7" s="145" customFormat="1" ht="15.75" customHeight="1">
      <c r="A1024" s="155"/>
      <c r="B1024" s="156"/>
      <c r="C1024" s="156"/>
      <c r="D1024" s="156"/>
      <c r="E1024" s="156"/>
      <c r="F1024" s="156"/>
      <c r="G1024" s="57">
        <f>SUM(F1022:F1024)</f>
        <v>100150</v>
      </c>
    </row>
    <row r="1025" spans="1:7" s="145" customFormat="1" ht="24" customHeight="1">
      <c r="A1025" s="1119" t="s">
        <v>25</v>
      </c>
      <c r="B1025" s="1120"/>
      <c r="C1025" s="1120"/>
      <c r="D1025" s="1120"/>
      <c r="E1025" s="1120"/>
      <c r="F1025" s="1120"/>
      <c r="G1025" s="1121"/>
    </row>
    <row r="1026" spans="1:7" s="145" customFormat="1" ht="15.6" customHeight="1">
      <c r="A1026" s="1122"/>
      <c r="B1026" s="1120"/>
      <c r="C1026" s="1120"/>
      <c r="D1026" s="1120"/>
      <c r="E1026" s="1120"/>
      <c r="F1026" s="1120"/>
      <c r="G1026" s="157">
        <f>G1024+G1020+G1016+G1008</f>
        <v>1619190</v>
      </c>
    </row>
    <row r="1027" spans="1:7" s="145" customFormat="1" ht="15.75" customHeight="1">
      <c r="A1027" s="158"/>
      <c r="B1027" s="159"/>
      <c r="C1027" s="159"/>
      <c r="D1027" s="159"/>
      <c r="E1027" s="159"/>
      <c r="F1027" s="159"/>
      <c r="G1027" s="160"/>
    </row>
    <row r="1028" spans="1:7" s="145" customFormat="1" ht="15.75" customHeight="1">
      <c r="A1028" s="1123" t="s">
        <v>1</v>
      </c>
      <c r="B1028" s="1120"/>
      <c r="C1028" s="953" t="s">
        <v>594</v>
      </c>
      <c r="D1028" s="1125"/>
      <c r="E1028" s="1125"/>
      <c r="F1028" s="1125"/>
      <c r="G1028" s="1126"/>
    </row>
    <row r="1029" spans="1:7" s="145" customFormat="1" ht="15.75" customHeight="1">
      <c r="A1029" s="1124"/>
      <c r="B1029" s="1120"/>
      <c r="C1029" s="1125"/>
      <c r="D1029" s="1125"/>
      <c r="E1029" s="1125"/>
      <c r="F1029" s="1125"/>
      <c r="G1029" s="1126"/>
    </row>
    <row r="1030" spans="1:7" s="145" customFormat="1" ht="15.75" customHeight="1">
      <c r="A1030" s="1124"/>
      <c r="B1030" s="1120"/>
      <c r="C1030" s="1127" t="s">
        <v>703</v>
      </c>
      <c r="D1030" s="1120"/>
      <c r="E1030" s="1120"/>
      <c r="F1030" s="1120"/>
      <c r="G1030" s="1121"/>
    </row>
    <row r="1031" spans="1:7" s="145" customFormat="1" ht="15.75" customHeight="1">
      <c r="A1031" s="1124"/>
      <c r="B1031" s="1120"/>
      <c r="C1031" s="1128" t="s">
        <v>2</v>
      </c>
      <c r="D1031" s="1120"/>
      <c r="E1031" s="1120"/>
      <c r="F1031" s="146" t="s">
        <v>3</v>
      </c>
      <c r="G1031" s="147" t="s">
        <v>4</v>
      </c>
    </row>
    <row r="1032" spans="1:7" s="145" customFormat="1" ht="38.25" customHeight="1">
      <c r="A1032" s="1073" t="s">
        <v>720</v>
      </c>
      <c r="B1032" s="1115"/>
      <c r="C1032" s="980" t="s">
        <v>721</v>
      </c>
      <c r="D1032" s="980"/>
      <c r="E1032" s="980"/>
      <c r="F1032" s="162" t="s">
        <v>28</v>
      </c>
      <c r="G1032" s="52">
        <v>1</v>
      </c>
    </row>
    <row r="1033" spans="1:7" s="145" customFormat="1" ht="15.75" customHeight="1">
      <c r="A1033" s="1114" t="s">
        <v>5</v>
      </c>
      <c r="B1033" s="1115"/>
      <c r="C1033" s="1115"/>
      <c r="D1033" s="1115"/>
      <c r="E1033" s="1115"/>
      <c r="F1033" s="1115"/>
      <c r="G1033" s="1116"/>
    </row>
    <row r="1034" spans="1:7" s="150" customFormat="1" ht="15.75" customHeight="1">
      <c r="A1034" s="1074" t="s">
        <v>2</v>
      </c>
      <c r="B1034" s="1115"/>
      <c r="C1034" s="53" t="s">
        <v>3</v>
      </c>
      <c r="D1034" s="53" t="s">
        <v>4</v>
      </c>
      <c r="E1034" s="53" t="s">
        <v>6</v>
      </c>
      <c r="F1034" s="53" t="s">
        <v>7</v>
      </c>
      <c r="G1034" s="1075" t="s">
        <v>8</v>
      </c>
    </row>
    <row r="1035" spans="1:7" s="150" customFormat="1" ht="15.75" customHeight="1">
      <c r="A1035" s="947" t="s">
        <v>167</v>
      </c>
      <c r="B1035" s="1115"/>
      <c r="C1035" s="51" t="s">
        <v>3</v>
      </c>
      <c r="D1035" s="51">
        <v>0.05</v>
      </c>
      <c r="E1035" s="17">
        <f>G1048</f>
        <v>100150</v>
      </c>
      <c r="F1035" s="55">
        <f>D1035*E1035</f>
        <v>5007.5</v>
      </c>
      <c r="G1035" s="1116"/>
    </row>
    <row r="1036" spans="1:7" s="150" customFormat="1" ht="15.75" customHeight="1">
      <c r="A1036" s="943"/>
      <c r="B1036" s="1115"/>
      <c r="C1036" s="51"/>
      <c r="D1036" s="51"/>
      <c r="E1036" s="51"/>
      <c r="F1036" s="55"/>
      <c r="G1036" s="57">
        <f>SUM(F1034:F1036)</f>
        <v>5007.5</v>
      </c>
    </row>
    <row r="1037" spans="1:7" s="150" customFormat="1" ht="15.75" customHeight="1">
      <c r="A1037" s="1114" t="s">
        <v>10</v>
      </c>
      <c r="B1037" s="1115"/>
      <c r="C1037" s="1115"/>
      <c r="D1037" s="1115"/>
      <c r="E1037" s="1115"/>
      <c r="F1037" s="1115"/>
      <c r="G1037" s="1116"/>
    </row>
    <row r="1038" spans="1:7" s="150" customFormat="1" ht="15.75" customHeight="1">
      <c r="A1038" s="1074" t="s">
        <v>2</v>
      </c>
      <c r="B1038" s="1115"/>
      <c r="C1038" s="53" t="s">
        <v>3</v>
      </c>
      <c r="D1038" s="53" t="s">
        <v>4</v>
      </c>
      <c r="E1038" s="53" t="s">
        <v>6</v>
      </c>
      <c r="F1038" s="53" t="s">
        <v>11</v>
      </c>
      <c r="G1038" s="1075" t="s">
        <v>8</v>
      </c>
    </row>
    <row r="1039" spans="1:7" s="145" customFormat="1" ht="33.75" customHeight="1">
      <c r="A1039" s="1117" t="s">
        <v>722</v>
      </c>
      <c r="B1039" s="1118"/>
      <c r="C1039" s="148" t="s">
        <v>3</v>
      </c>
      <c r="D1039" s="148">
        <v>1</v>
      </c>
      <c r="E1039" s="17">
        <f>+'INSUMOS ELÉCTRICOS'!E95</f>
        <v>449900</v>
      </c>
      <c r="F1039" s="55">
        <f>D1039*E1039</f>
        <v>449900</v>
      </c>
      <c r="G1039" s="1075"/>
    </row>
    <row r="1040" spans="1:7" s="145" customFormat="1" ht="15.75" customHeight="1">
      <c r="A1040" s="947"/>
      <c r="B1040" s="1115"/>
      <c r="C1040" s="16"/>
      <c r="D1040" s="58"/>
      <c r="E1040" s="17"/>
      <c r="F1040" s="55"/>
      <c r="G1040" s="57">
        <f>SUM(F1038:F1040)</f>
        <v>449900</v>
      </c>
    </row>
    <row r="1041" spans="1:7" s="145" customFormat="1" ht="15.75" customHeight="1">
      <c r="A1041" s="1114" t="s">
        <v>15</v>
      </c>
      <c r="B1041" s="1115"/>
      <c r="C1041" s="1115"/>
      <c r="D1041" s="1115"/>
      <c r="E1041" s="1115"/>
      <c r="F1041" s="1115"/>
      <c r="G1041" s="1116"/>
    </row>
    <row r="1042" spans="1:7" s="145" customFormat="1" ht="15.75" customHeight="1">
      <c r="A1042" s="1074" t="s">
        <v>2</v>
      </c>
      <c r="B1042" s="1115"/>
      <c r="C1042" s="53" t="s">
        <v>3</v>
      </c>
      <c r="D1042" s="53" t="s">
        <v>4</v>
      </c>
      <c r="E1042" s="53" t="s">
        <v>6</v>
      </c>
      <c r="F1042" s="53" t="s">
        <v>11</v>
      </c>
      <c r="G1042" s="1075" t="s">
        <v>8</v>
      </c>
    </row>
    <row r="1043" spans="1:7" s="145" customFormat="1" ht="15.75" customHeight="1">
      <c r="A1043" s="943" t="s">
        <v>173</v>
      </c>
      <c r="B1043" s="1115"/>
      <c r="C1043" s="16" t="s">
        <v>3</v>
      </c>
      <c r="D1043" s="54">
        <v>2E-3</v>
      </c>
      <c r="E1043" s="17">
        <f>G1040</f>
        <v>449900</v>
      </c>
      <c r="F1043" s="55">
        <f>D1043*E1043</f>
        <v>899.80000000000007</v>
      </c>
      <c r="G1043" s="1116"/>
    </row>
    <row r="1044" spans="1:7" s="145" customFormat="1" ht="15.75" customHeight="1">
      <c r="A1044" s="151"/>
      <c r="B1044" s="152"/>
      <c r="C1044" s="152"/>
      <c r="D1044" s="152"/>
      <c r="E1044" s="152"/>
      <c r="F1044" s="152"/>
      <c r="G1044" s="57">
        <f>SUM(F1043:F1044)</f>
        <v>899.80000000000007</v>
      </c>
    </row>
    <row r="1045" spans="1:7" s="145" customFormat="1" ht="15.75" customHeight="1">
      <c r="A1045" s="1114" t="s">
        <v>19</v>
      </c>
      <c r="B1045" s="1115"/>
      <c r="C1045" s="1115"/>
      <c r="D1045" s="1115"/>
      <c r="E1045" s="1115"/>
      <c r="F1045" s="1115"/>
      <c r="G1045" s="1116"/>
    </row>
    <row r="1046" spans="1:7" s="2" customFormat="1" ht="15.75" customHeight="1">
      <c r="A1046" s="1074" t="s">
        <v>2</v>
      </c>
      <c r="B1046" s="1115"/>
      <c r="C1046" s="53" t="s">
        <v>3</v>
      </c>
      <c r="D1046" s="53" t="s">
        <v>4</v>
      </c>
      <c r="E1046" s="53" t="s">
        <v>6</v>
      </c>
      <c r="F1046" s="53" t="s">
        <v>11</v>
      </c>
      <c r="G1046" s="1075" t="s">
        <v>8</v>
      </c>
    </row>
    <row r="1047" spans="1:7" s="145" customFormat="1" ht="15.75" customHeight="1">
      <c r="A1047" s="978" t="s">
        <v>1256</v>
      </c>
      <c r="B1047" s="979"/>
      <c r="C1047" s="13" t="s">
        <v>1245</v>
      </c>
      <c r="D1047" s="32">
        <v>5</v>
      </c>
      <c r="E1047" s="13">
        <v>20030</v>
      </c>
      <c r="F1047" s="55">
        <f>+D1047*E1047</f>
        <v>100150</v>
      </c>
      <c r="G1047" s="1116"/>
    </row>
    <row r="1048" spans="1:7" s="145" customFormat="1" ht="15.75" customHeight="1">
      <c r="A1048" s="155"/>
      <c r="B1048" s="156"/>
      <c r="C1048" s="156"/>
      <c r="D1048" s="156"/>
      <c r="E1048" s="156"/>
      <c r="F1048" s="156"/>
      <c r="G1048" s="57">
        <f>SUM(F1046:F1048)</f>
        <v>100150</v>
      </c>
    </row>
    <row r="1049" spans="1:7" s="145" customFormat="1" ht="15.75" customHeight="1">
      <c r="A1049" s="1119" t="s">
        <v>25</v>
      </c>
      <c r="B1049" s="1120"/>
      <c r="C1049" s="1120"/>
      <c r="D1049" s="1120"/>
      <c r="E1049" s="1120"/>
      <c r="F1049" s="1120"/>
      <c r="G1049" s="1121"/>
    </row>
    <row r="1050" spans="1:7" s="145" customFormat="1" ht="15" customHeight="1">
      <c r="A1050" s="1122"/>
      <c r="B1050" s="1120"/>
      <c r="C1050" s="1120"/>
      <c r="D1050" s="1120"/>
      <c r="E1050" s="1120"/>
      <c r="F1050" s="1120"/>
      <c r="G1050" s="157">
        <f>G1048+G1044+G1040+G1036</f>
        <v>555957.30000000005</v>
      </c>
    </row>
    <row r="1051" spans="1:7" s="145" customFormat="1" ht="15" customHeight="1">
      <c r="A1051" s="158"/>
      <c r="B1051" s="159"/>
      <c r="C1051" s="159"/>
      <c r="D1051" s="159"/>
      <c r="E1051" s="159"/>
      <c r="F1051" s="159"/>
      <c r="G1051" s="160"/>
    </row>
    <row r="1052" spans="1:7" s="145" customFormat="1" ht="15.75" customHeight="1">
      <c r="A1052" s="1123" t="s">
        <v>1</v>
      </c>
      <c r="B1052" s="1120"/>
      <c r="C1052" s="953" t="s">
        <v>594</v>
      </c>
      <c r="D1052" s="1125"/>
      <c r="E1052" s="1125"/>
      <c r="F1052" s="1125"/>
      <c r="G1052" s="1126"/>
    </row>
    <row r="1053" spans="1:7" s="145" customFormat="1" ht="24" customHeight="1">
      <c r="A1053" s="1124"/>
      <c r="B1053" s="1120"/>
      <c r="C1053" s="1125"/>
      <c r="D1053" s="1125"/>
      <c r="E1053" s="1125"/>
      <c r="F1053" s="1125"/>
      <c r="G1053" s="1126"/>
    </row>
    <row r="1054" spans="1:7" s="145" customFormat="1" ht="15.6" customHeight="1">
      <c r="A1054" s="1124"/>
      <c r="B1054" s="1120"/>
      <c r="C1054" s="1127" t="s">
        <v>703</v>
      </c>
      <c r="D1054" s="1120"/>
      <c r="E1054" s="1120"/>
      <c r="F1054" s="1120"/>
      <c r="G1054" s="1121"/>
    </row>
    <row r="1055" spans="1:7" s="145" customFormat="1" ht="15.75" customHeight="1">
      <c r="A1055" s="1124"/>
      <c r="B1055" s="1120"/>
      <c r="C1055" s="1128" t="s">
        <v>2</v>
      </c>
      <c r="D1055" s="1120"/>
      <c r="E1055" s="1120"/>
      <c r="F1055" s="146" t="s">
        <v>3</v>
      </c>
      <c r="G1055" s="147" t="s">
        <v>4</v>
      </c>
    </row>
    <row r="1056" spans="1:7" s="145" customFormat="1" ht="29.4" customHeight="1">
      <c r="A1056" s="1073" t="s">
        <v>723</v>
      </c>
      <c r="B1056" s="1115"/>
      <c r="C1056" s="980" t="s">
        <v>724</v>
      </c>
      <c r="D1056" s="980"/>
      <c r="E1056" s="980"/>
      <c r="F1056" s="162" t="s">
        <v>28</v>
      </c>
      <c r="G1056" s="52">
        <v>1</v>
      </c>
    </row>
    <row r="1057" spans="1:7" s="145" customFormat="1" ht="15.75" customHeight="1">
      <c r="A1057" s="1114" t="s">
        <v>5</v>
      </c>
      <c r="B1057" s="1115"/>
      <c r="C1057" s="1115"/>
      <c r="D1057" s="1115"/>
      <c r="E1057" s="1115"/>
      <c r="F1057" s="1115"/>
      <c r="G1057" s="1116"/>
    </row>
    <row r="1058" spans="1:7" s="145" customFormat="1" ht="15.75" customHeight="1">
      <c r="A1058" s="1074" t="s">
        <v>2</v>
      </c>
      <c r="B1058" s="1115"/>
      <c r="C1058" s="53" t="s">
        <v>3</v>
      </c>
      <c r="D1058" s="53" t="s">
        <v>4</v>
      </c>
      <c r="E1058" s="53" t="s">
        <v>6</v>
      </c>
      <c r="F1058" s="53" t="s">
        <v>7</v>
      </c>
      <c r="G1058" s="1075" t="s">
        <v>8</v>
      </c>
    </row>
    <row r="1059" spans="1:7" s="145" customFormat="1" ht="15.75" customHeight="1">
      <c r="A1059" s="947" t="s">
        <v>167</v>
      </c>
      <c r="B1059" s="1115"/>
      <c r="C1059" s="51" t="s">
        <v>3</v>
      </c>
      <c r="D1059" s="51">
        <v>0.05</v>
      </c>
      <c r="E1059" s="17">
        <f>G1072</f>
        <v>6009</v>
      </c>
      <c r="F1059" s="55">
        <f>D1059*E1059</f>
        <v>300.45</v>
      </c>
      <c r="G1059" s="1116"/>
    </row>
    <row r="1060" spans="1:7" s="145" customFormat="1" ht="15.75" customHeight="1">
      <c r="A1060" s="943"/>
      <c r="B1060" s="1115"/>
      <c r="C1060" s="51"/>
      <c r="D1060" s="51"/>
      <c r="E1060" s="51"/>
      <c r="F1060" s="55"/>
      <c r="G1060" s="57">
        <f>SUM(F1058:F1060)</f>
        <v>300.45</v>
      </c>
    </row>
    <row r="1061" spans="1:7" s="145" customFormat="1" ht="15.75" customHeight="1">
      <c r="A1061" s="1114" t="s">
        <v>10</v>
      </c>
      <c r="B1061" s="1115"/>
      <c r="C1061" s="1115"/>
      <c r="D1061" s="1115"/>
      <c r="E1061" s="1115"/>
      <c r="F1061" s="1115"/>
      <c r="G1061" s="1116"/>
    </row>
    <row r="1062" spans="1:7" s="145" customFormat="1" ht="15.75" customHeight="1">
      <c r="A1062" s="1074" t="s">
        <v>2</v>
      </c>
      <c r="B1062" s="1115"/>
      <c r="C1062" s="53" t="s">
        <v>3</v>
      </c>
      <c r="D1062" s="53" t="s">
        <v>4</v>
      </c>
      <c r="E1062" s="53" t="s">
        <v>6</v>
      </c>
      <c r="F1062" s="53" t="s">
        <v>11</v>
      </c>
      <c r="G1062" s="1075" t="s">
        <v>8</v>
      </c>
    </row>
    <row r="1063" spans="1:7" s="150" customFormat="1" ht="15.75" customHeight="1">
      <c r="A1063" s="1117" t="s">
        <v>725</v>
      </c>
      <c r="B1063" s="1118"/>
      <c r="C1063" s="148" t="s">
        <v>3</v>
      </c>
      <c r="D1063" s="148">
        <v>1</v>
      </c>
      <c r="E1063" s="17">
        <f>+'INSUMOS ELÉCTRICOS'!E132</f>
        <v>49499.24</v>
      </c>
      <c r="F1063" s="55">
        <f>D1063*E1063</f>
        <v>49499.24</v>
      </c>
      <c r="G1063" s="1075"/>
    </row>
    <row r="1064" spans="1:7" s="145" customFormat="1" ht="15.75" customHeight="1">
      <c r="A1064" s="947"/>
      <c r="B1064" s="1115"/>
      <c r="C1064" s="16"/>
      <c r="D1064" s="58"/>
      <c r="E1064" s="17"/>
      <c r="F1064" s="55"/>
      <c r="G1064" s="57">
        <f>SUM(F1062:F1064)</f>
        <v>49499.24</v>
      </c>
    </row>
    <row r="1065" spans="1:7" s="145" customFormat="1" ht="15.75" customHeight="1">
      <c r="A1065" s="1114" t="s">
        <v>15</v>
      </c>
      <c r="B1065" s="1115"/>
      <c r="C1065" s="1115"/>
      <c r="D1065" s="1115"/>
      <c r="E1065" s="1115"/>
      <c r="F1065" s="1115"/>
      <c r="G1065" s="1116"/>
    </row>
    <row r="1066" spans="1:7" s="145" customFormat="1" ht="15.75" customHeight="1">
      <c r="A1066" s="1074" t="s">
        <v>2</v>
      </c>
      <c r="B1066" s="1115"/>
      <c r="C1066" s="53" t="s">
        <v>3</v>
      </c>
      <c r="D1066" s="53" t="s">
        <v>4</v>
      </c>
      <c r="E1066" s="53" t="s">
        <v>6</v>
      </c>
      <c r="F1066" s="53" t="s">
        <v>11</v>
      </c>
      <c r="G1066" s="1075" t="s">
        <v>8</v>
      </c>
    </row>
    <row r="1067" spans="1:7" s="145" customFormat="1" ht="15.75" customHeight="1">
      <c r="A1067" s="943" t="s">
        <v>173</v>
      </c>
      <c r="B1067" s="1115"/>
      <c r="C1067" s="16" t="s">
        <v>3</v>
      </c>
      <c r="D1067" s="16">
        <v>0.01</v>
      </c>
      <c r="E1067" s="17">
        <f>G1064</f>
        <v>49499.24</v>
      </c>
      <c r="F1067" s="55">
        <f>D1067*E1067</f>
        <v>494.99239999999998</v>
      </c>
      <c r="G1067" s="1116"/>
    </row>
    <row r="1068" spans="1:7" s="145" customFormat="1" ht="15.75" customHeight="1">
      <c r="A1068" s="151"/>
      <c r="B1068" s="152"/>
      <c r="C1068" s="152"/>
      <c r="D1068" s="152"/>
      <c r="E1068" s="152"/>
      <c r="F1068" s="152"/>
      <c r="G1068" s="57">
        <f>SUM(F1067:F1068)</f>
        <v>494.99239999999998</v>
      </c>
    </row>
    <row r="1069" spans="1:7" s="145" customFormat="1" ht="15.75" customHeight="1">
      <c r="A1069" s="1114" t="s">
        <v>19</v>
      </c>
      <c r="B1069" s="1115"/>
      <c r="C1069" s="1115"/>
      <c r="D1069" s="1115"/>
      <c r="E1069" s="1115"/>
      <c r="F1069" s="1115"/>
      <c r="G1069" s="1116"/>
    </row>
    <row r="1070" spans="1:7" s="145" customFormat="1" ht="15.75" customHeight="1">
      <c r="A1070" s="1074" t="s">
        <v>2</v>
      </c>
      <c r="B1070" s="1115"/>
      <c r="C1070" s="53" t="s">
        <v>3</v>
      </c>
      <c r="D1070" s="53" t="s">
        <v>4</v>
      </c>
      <c r="E1070" s="53" t="s">
        <v>6</v>
      </c>
      <c r="F1070" s="53" t="s">
        <v>11</v>
      </c>
      <c r="G1070" s="1075" t="s">
        <v>8</v>
      </c>
    </row>
    <row r="1071" spans="1:7" s="2" customFormat="1" ht="15.75" customHeight="1">
      <c r="A1071" s="978" t="s">
        <v>1256</v>
      </c>
      <c r="B1071" s="979"/>
      <c r="C1071" s="13" t="s">
        <v>1245</v>
      </c>
      <c r="D1071" s="32">
        <v>0.3</v>
      </c>
      <c r="E1071" s="13">
        <v>20030</v>
      </c>
      <c r="F1071" s="55">
        <f>+D1071*E1071</f>
        <v>6009</v>
      </c>
      <c r="G1071" s="1116"/>
    </row>
    <row r="1072" spans="1:7" s="145" customFormat="1" ht="15.75" customHeight="1">
      <c r="A1072" s="155"/>
      <c r="B1072" s="156"/>
      <c r="C1072" s="156"/>
      <c r="D1072" s="156"/>
      <c r="E1072" s="156"/>
      <c r="F1072" s="156"/>
      <c r="G1072" s="57">
        <f>SUM(F1070:F1072)</f>
        <v>6009</v>
      </c>
    </row>
    <row r="1073" spans="1:7" s="145" customFormat="1" ht="15.75" customHeight="1">
      <c r="A1073" s="1119" t="s">
        <v>25</v>
      </c>
      <c r="B1073" s="1120"/>
      <c r="C1073" s="1120"/>
      <c r="D1073" s="1120"/>
      <c r="E1073" s="1120"/>
      <c r="F1073" s="1120"/>
      <c r="G1073" s="1121"/>
    </row>
    <row r="1074" spans="1:7" s="145" customFormat="1" ht="15.75" customHeight="1">
      <c r="A1074" s="1122"/>
      <c r="B1074" s="1120"/>
      <c r="C1074" s="1120"/>
      <c r="D1074" s="1120"/>
      <c r="E1074" s="1120"/>
      <c r="F1074" s="1120"/>
      <c r="G1074" s="157">
        <f>G1072+G1068+G1064+G1060</f>
        <v>56303.682399999998</v>
      </c>
    </row>
    <row r="1075" spans="1:7" s="145" customFormat="1" ht="15" customHeight="1">
      <c r="A1075" s="158"/>
      <c r="B1075" s="159"/>
      <c r="C1075" s="159"/>
      <c r="D1075" s="159"/>
      <c r="E1075" s="159"/>
      <c r="F1075" s="159"/>
      <c r="G1075" s="160"/>
    </row>
    <row r="1076" spans="1:7" s="145" customFormat="1" ht="15.75" customHeight="1">
      <c r="A1076" s="1123" t="s">
        <v>1</v>
      </c>
      <c r="B1076" s="1120"/>
      <c r="C1076" s="953" t="s">
        <v>594</v>
      </c>
      <c r="D1076" s="1125"/>
      <c r="E1076" s="1125"/>
      <c r="F1076" s="1125"/>
      <c r="G1076" s="1126"/>
    </row>
    <row r="1077" spans="1:7" s="145" customFormat="1" ht="24" customHeight="1">
      <c r="A1077" s="1124"/>
      <c r="B1077" s="1120"/>
      <c r="C1077" s="1125"/>
      <c r="D1077" s="1125"/>
      <c r="E1077" s="1125"/>
      <c r="F1077" s="1125"/>
      <c r="G1077" s="1126"/>
    </row>
    <row r="1078" spans="1:7" s="145" customFormat="1" ht="15.6" customHeight="1">
      <c r="A1078" s="1124"/>
      <c r="B1078" s="1120"/>
      <c r="C1078" s="1127" t="s">
        <v>595</v>
      </c>
      <c r="D1078" s="1120"/>
      <c r="E1078" s="1120"/>
      <c r="F1078" s="1120"/>
      <c r="G1078" s="1121"/>
    </row>
    <row r="1079" spans="1:7" s="145" customFormat="1" ht="15.75" customHeight="1">
      <c r="A1079" s="1124"/>
      <c r="B1079" s="1120"/>
      <c r="C1079" s="1128" t="s">
        <v>2</v>
      </c>
      <c r="D1079" s="1120"/>
      <c r="E1079" s="1120"/>
      <c r="F1079" s="146" t="s">
        <v>3</v>
      </c>
      <c r="G1079" s="147" t="s">
        <v>4</v>
      </c>
    </row>
    <row r="1080" spans="1:7" s="145" customFormat="1" ht="84" customHeight="1">
      <c r="A1080" s="1073" t="s">
        <v>726</v>
      </c>
      <c r="B1080" s="1115"/>
      <c r="C1080" s="980" t="s">
        <v>727</v>
      </c>
      <c r="D1080" s="1115"/>
      <c r="E1080" s="1115"/>
      <c r="F1080" s="162" t="s">
        <v>28</v>
      </c>
      <c r="G1080" s="52">
        <v>1</v>
      </c>
    </row>
    <row r="1081" spans="1:7" s="145" customFormat="1" ht="15.75" customHeight="1">
      <c r="A1081" s="1114" t="s">
        <v>5</v>
      </c>
      <c r="B1081" s="1115"/>
      <c r="C1081" s="1115"/>
      <c r="D1081" s="1115"/>
      <c r="E1081" s="1115"/>
      <c r="F1081" s="1115"/>
      <c r="G1081" s="1116"/>
    </row>
    <row r="1082" spans="1:7" s="145" customFormat="1" ht="15.75" customHeight="1">
      <c r="A1082" s="1074" t="s">
        <v>2</v>
      </c>
      <c r="B1082" s="1115"/>
      <c r="C1082" s="53" t="s">
        <v>3</v>
      </c>
      <c r="D1082" s="53" t="s">
        <v>4</v>
      </c>
      <c r="E1082" s="53" t="s">
        <v>6</v>
      </c>
      <c r="F1082" s="53" t="s">
        <v>7</v>
      </c>
      <c r="G1082" s="1075" t="s">
        <v>8</v>
      </c>
    </row>
    <row r="1083" spans="1:7" s="145" customFormat="1" ht="15.75" customHeight="1">
      <c r="A1083" s="947" t="s">
        <v>167</v>
      </c>
      <c r="B1083" s="1115"/>
      <c r="C1083" s="51" t="s">
        <v>3</v>
      </c>
      <c r="D1083" s="51">
        <v>0.05</v>
      </c>
      <c r="E1083" s="17">
        <f>G1097</f>
        <v>20030</v>
      </c>
      <c r="F1083" s="55">
        <f>D1083*E1083</f>
        <v>1001.5</v>
      </c>
      <c r="G1083" s="1116"/>
    </row>
    <row r="1084" spans="1:7" s="145" customFormat="1" ht="15.75" customHeight="1">
      <c r="A1084" s="943"/>
      <c r="B1084" s="1115"/>
      <c r="C1084" s="51"/>
      <c r="D1084" s="51"/>
      <c r="E1084" s="51"/>
      <c r="F1084" s="55"/>
      <c r="G1084" s="57">
        <f>SUM(F1082:F1084)</f>
        <v>1001.5</v>
      </c>
    </row>
    <row r="1085" spans="1:7" s="145" customFormat="1" ht="15.75" customHeight="1">
      <c r="A1085" s="1114" t="s">
        <v>10</v>
      </c>
      <c r="B1085" s="1115"/>
      <c r="C1085" s="1115"/>
      <c r="D1085" s="1115"/>
      <c r="E1085" s="1115"/>
      <c r="F1085" s="1115"/>
      <c r="G1085" s="1116"/>
    </row>
    <row r="1086" spans="1:7" s="145" customFormat="1" ht="15.75" customHeight="1">
      <c r="A1086" s="1074" t="s">
        <v>2</v>
      </c>
      <c r="B1086" s="1115"/>
      <c r="C1086" s="53" t="s">
        <v>3</v>
      </c>
      <c r="D1086" s="53" t="s">
        <v>4</v>
      </c>
      <c r="E1086" s="53" t="s">
        <v>6</v>
      </c>
      <c r="F1086" s="53" t="s">
        <v>11</v>
      </c>
      <c r="G1086" s="1029" t="s">
        <v>8</v>
      </c>
    </row>
    <row r="1087" spans="1:7" s="145" customFormat="1" ht="75.599999999999994" customHeight="1">
      <c r="A1087" s="947" t="s">
        <v>658</v>
      </c>
      <c r="B1087" s="980"/>
      <c r="C1087" s="16" t="s">
        <v>3</v>
      </c>
      <c r="D1087" s="16">
        <v>1</v>
      </c>
      <c r="E1087" s="17">
        <f>+'INSUMOS ELÉCTRICOS'!E11</f>
        <v>340449.48</v>
      </c>
      <c r="F1087" s="55">
        <f>D1087*E1087</f>
        <v>340449.48</v>
      </c>
      <c r="G1087" s="1030"/>
    </row>
    <row r="1088" spans="1:7" s="145" customFormat="1" ht="14.25" customHeight="1">
      <c r="A1088" s="1117" t="s">
        <v>599</v>
      </c>
      <c r="B1088" s="1118"/>
      <c r="C1088" s="148" t="s">
        <v>3</v>
      </c>
      <c r="D1088" s="148">
        <v>6</v>
      </c>
      <c r="E1088" s="17">
        <f>+'INSUMOS ELÉCTRICOS'!E21</f>
        <v>5200</v>
      </c>
      <c r="F1088" s="149">
        <f>E1088*D1088</f>
        <v>31200</v>
      </c>
      <c r="G1088" s="1031"/>
    </row>
    <row r="1089" spans="1:7" s="145" customFormat="1" ht="15.75" customHeight="1">
      <c r="A1089" s="947"/>
      <c r="B1089" s="1115"/>
      <c r="C1089" s="16"/>
      <c r="D1089" s="58"/>
      <c r="E1089" s="17"/>
      <c r="F1089" s="55"/>
      <c r="G1089" s="57">
        <f>SUM(F1086:F1089)</f>
        <v>371649.48</v>
      </c>
    </row>
    <row r="1090" spans="1:7" s="145" customFormat="1" ht="15.75" customHeight="1">
      <c r="A1090" s="1114" t="s">
        <v>15</v>
      </c>
      <c r="B1090" s="1115"/>
      <c r="C1090" s="1115"/>
      <c r="D1090" s="1115"/>
      <c r="E1090" s="1115"/>
      <c r="F1090" s="1115"/>
      <c r="G1090" s="1116"/>
    </row>
    <row r="1091" spans="1:7" s="145" customFormat="1" ht="15.75" customHeight="1">
      <c r="A1091" s="1074" t="s">
        <v>2</v>
      </c>
      <c r="B1091" s="1115"/>
      <c r="C1091" s="53" t="s">
        <v>3</v>
      </c>
      <c r="D1091" s="53" t="s">
        <v>4</v>
      </c>
      <c r="E1091" s="53" t="s">
        <v>6</v>
      </c>
      <c r="F1091" s="53" t="s">
        <v>11</v>
      </c>
      <c r="G1091" s="1075" t="s">
        <v>8</v>
      </c>
    </row>
    <row r="1092" spans="1:7" s="145" customFormat="1" ht="15.75" customHeight="1">
      <c r="A1092" s="943" t="s">
        <v>173</v>
      </c>
      <c r="B1092" s="1115"/>
      <c r="C1092" s="16" t="s">
        <v>3</v>
      </c>
      <c r="D1092" s="16">
        <v>5.0000000000000001E-3</v>
      </c>
      <c r="E1092" s="17">
        <f>G1089</f>
        <v>371649.48</v>
      </c>
      <c r="F1092" s="55">
        <f>E1092*D1092</f>
        <v>1858.2474</v>
      </c>
      <c r="G1092" s="1116"/>
    </row>
    <row r="1093" spans="1:7" s="145" customFormat="1" ht="15.75" customHeight="1">
      <c r="A1093" s="151"/>
      <c r="B1093" s="152"/>
      <c r="C1093" s="152"/>
      <c r="D1093" s="152"/>
      <c r="E1093" s="152"/>
      <c r="F1093" s="152"/>
      <c r="G1093" s="57">
        <f>SUM(F1092:F1093)</f>
        <v>1858.2474</v>
      </c>
    </row>
    <row r="1094" spans="1:7" s="145" customFormat="1" ht="15.75" customHeight="1">
      <c r="A1094" s="1114" t="s">
        <v>19</v>
      </c>
      <c r="B1094" s="1115"/>
      <c r="C1094" s="1115"/>
      <c r="D1094" s="1115"/>
      <c r="E1094" s="1115"/>
      <c r="F1094" s="1115"/>
      <c r="G1094" s="1116"/>
    </row>
    <row r="1095" spans="1:7" s="2" customFormat="1" ht="15.75" customHeight="1">
      <c r="A1095" s="1074" t="s">
        <v>2</v>
      </c>
      <c r="B1095" s="1115"/>
      <c r="C1095" s="53" t="s">
        <v>3</v>
      </c>
      <c r="D1095" s="53" t="s">
        <v>4</v>
      </c>
      <c r="E1095" s="53" t="s">
        <v>6</v>
      </c>
      <c r="F1095" s="53" t="s">
        <v>11</v>
      </c>
      <c r="G1095" s="1075" t="s">
        <v>8</v>
      </c>
    </row>
    <row r="1096" spans="1:7" s="145" customFormat="1" ht="15.75" customHeight="1">
      <c r="A1096" s="978" t="s">
        <v>1256</v>
      </c>
      <c r="B1096" s="979"/>
      <c r="C1096" s="13" t="s">
        <v>1245</v>
      </c>
      <c r="D1096" s="32">
        <v>1</v>
      </c>
      <c r="E1096" s="13">
        <v>20030</v>
      </c>
      <c r="F1096" s="55">
        <f>+D1096*E1096</f>
        <v>20030</v>
      </c>
      <c r="G1096" s="1116"/>
    </row>
    <row r="1097" spans="1:7" s="145" customFormat="1" ht="15.75" customHeight="1">
      <c r="A1097" s="155"/>
      <c r="B1097" s="156"/>
      <c r="C1097" s="156"/>
      <c r="D1097" s="156"/>
      <c r="E1097" s="156"/>
      <c r="F1097" s="156"/>
      <c r="G1097" s="57">
        <f>SUM(F1095:F1097)</f>
        <v>20030</v>
      </c>
    </row>
    <row r="1098" spans="1:7" s="145" customFormat="1" ht="15.75" customHeight="1">
      <c r="A1098" s="1119" t="s">
        <v>25</v>
      </c>
      <c r="B1098" s="1120"/>
      <c r="C1098" s="1120"/>
      <c r="D1098" s="1120"/>
      <c r="E1098" s="1120"/>
      <c r="F1098" s="1120"/>
      <c r="G1098" s="1121"/>
    </row>
    <row r="1099" spans="1:7" s="145" customFormat="1" ht="15" customHeight="1">
      <c r="A1099" s="1122"/>
      <c r="B1099" s="1120"/>
      <c r="C1099" s="1120"/>
      <c r="D1099" s="1120"/>
      <c r="E1099" s="1120"/>
      <c r="F1099" s="1120"/>
      <c r="G1099" s="157">
        <f>G1097+G1093+G1089+G1084</f>
        <v>394539.22739999997</v>
      </c>
    </row>
    <row r="1100" spans="1:7" s="145" customFormat="1" ht="15.75" customHeight="1">
      <c r="A1100" s="158"/>
      <c r="B1100" s="159"/>
      <c r="C1100" s="159"/>
      <c r="D1100" s="159"/>
      <c r="E1100" s="159"/>
      <c r="F1100" s="159"/>
      <c r="G1100" s="160"/>
    </row>
    <row r="1101" spans="1:7" s="145" customFormat="1" ht="24" customHeight="1">
      <c r="A1101" s="1123" t="s">
        <v>1</v>
      </c>
      <c r="B1101" s="1120"/>
      <c r="C1101" s="953" t="s">
        <v>594</v>
      </c>
      <c r="D1101" s="1125"/>
      <c r="E1101" s="1125"/>
      <c r="F1101" s="1125"/>
      <c r="G1101" s="1126"/>
    </row>
    <row r="1102" spans="1:7" s="145" customFormat="1" ht="15.6" customHeight="1">
      <c r="A1102" s="1124"/>
      <c r="B1102" s="1120"/>
      <c r="C1102" s="1125"/>
      <c r="D1102" s="1125"/>
      <c r="E1102" s="1125"/>
      <c r="F1102" s="1125"/>
      <c r="G1102" s="1126"/>
    </row>
    <row r="1103" spans="1:7" s="145" customFormat="1" ht="15.75" customHeight="1">
      <c r="A1103" s="1124"/>
      <c r="B1103" s="1120"/>
      <c r="C1103" s="1127" t="s">
        <v>595</v>
      </c>
      <c r="D1103" s="1120"/>
      <c r="E1103" s="1120"/>
      <c r="F1103" s="1120"/>
      <c r="G1103" s="1121"/>
    </row>
    <row r="1104" spans="1:7" s="145" customFormat="1" ht="13.8">
      <c r="A1104" s="1124"/>
      <c r="B1104" s="1120"/>
      <c r="C1104" s="1128" t="s">
        <v>2</v>
      </c>
      <c r="D1104" s="1120"/>
      <c r="E1104" s="1120"/>
      <c r="F1104" s="146" t="s">
        <v>3</v>
      </c>
      <c r="G1104" s="147" t="s">
        <v>4</v>
      </c>
    </row>
    <row r="1105" spans="1:7" s="145" customFormat="1" ht="84" customHeight="1">
      <c r="A1105" s="1073" t="s">
        <v>728</v>
      </c>
      <c r="B1105" s="1115"/>
      <c r="C1105" s="980" t="s">
        <v>727</v>
      </c>
      <c r="D1105" s="1115"/>
      <c r="E1105" s="1115"/>
      <c r="F1105" s="162" t="s">
        <v>28</v>
      </c>
      <c r="G1105" s="52">
        <v>1</v>
      </c>
    </row>
    <row r="1106" spans="1:7" s="145" customFormat="1" ht="15.75" customHeight="1">
      <c r="A1106" s="1114" t="s">
        <v>5</v>
      </c>
      <c r="B1106" s="1115"/>
      <c r="C1106" s="1115"/>
      <c r="D1106" s="1115"/>
      <c r="E1106" s="1115"/>
      <c r="F1106" s="1115"/>
      <c r="G1106" s="1116"/>
    </row>
    <row r="1107" spans="1:7" s="145" customFormat="1" ht="15.75" customHeight="1">
      <c r="A1107" s="1074" t="s">
        <v>2</v>
      </c>
      <c r="B1107" s="1115"/>
      <c r="C1107" s="53" t="s">
        <v>3</v>
      </c>
      <c r="D1107" s="53" t="s">
        <v>4</v>
      </c>
      <c r="E1107" s="53" t="s">
        <v>6</v>
      </c>
      <c r="F1107" s="53" t="s">
        <v>7</v>
      </c>
      <c r="G1107" s="1075" t="s">
        <v>8</v>
      </c>
    </row>
    <row r="1108" spans="1:7" s="145" customFormat="1" ht="15.75" customHeight="1">
      <c r="A1108" s="947" t="s">
        <v>167</v>
      </c>
      <c r="B1108" s="1115"/>
      <c r="C1108" s="51" t="s">
        <v>3</v>
      </c>
      <c r="D1108" s="51">
        <v>0.05</v>
      </c>
      <c r="E1108" s="17">
        <f>G1122</f>
        <v>20030</v>
      </c>
      <c r="F1108" s="55">
        <f>D1108*E1108</f>
        <v>1001.5</v>
      </c>
      <c r="G1108" s="1116"/>
    </row>
    <row r="1109" spans="1:7" s="145" customFormat="1" ht="15.75" customHeight="1">
      <c r="A1109" s="943"/>
      <c r="B1109" s="1115"/>
      <c r="C1109" s="51"/>
      <c r="D1109" s="51"/>
      <c r="E1109" s="51"/>
      <c r="F1109" s="55"/>
      <c r="G1109" s="57">
        <f>SUM(F1107:F1109)</f>
        <v>1001.5</v>
      </c>
    </row>
    <row r="1110" spans="1:7" s="145" customFormat="1" ht="15.75" customHeight="1">
      <c r="A1110" s="1114" t="s">
        <v>10</v>
      </c>
      <c r="B1110" s="1115"/>
      <c r="C1110" s="1115"/>
      <c r="D1110" s="1115"/>
      <c r="E1110" s="1115"/>
      <c r="F1110" s="1115"/>
      <c r="G1110" s="1116"/>
    </row>
    <row r="1111" spans="1:7" s="145" customFormat="1" ht="13.8">
      <c r="A1111" s="1074" t="s">
        <v>2</v>
      </c>
      <c r="B1111" s="1115"/>
      <c r="C1111" s="53" t="s">
        <v>3</v>
      </c>
      <c r="D1111" s="53" t="s">
        <v>4</v>
      </c>
      <c r="E1111" s="53" t="s">
        <v>6</v>
      </c>
      <c r="F1111" s="53" t="s">
        <v>11</v>
      </c>
      <c r="G1111" s="1029" t="s">
        <v>8</v>
      </c>
    </row>
    <row r="1112" spans="1:7" s="150" customFormat="1" ht="76.95" customHeight="1">
      <c r="A1112" s="947" t="s">
        <v>658</v>
      </c>
      <c r="B1112" s="980"/>
      <c r="C1112" s="16" t="s">
        <v>3</v>
      </c>
      <c r="D1112" s="16">
        <v>1</v>
      </c>
      <c r="E1112" s="17">
        <f>+'INSUMOS ELÉCTRICOS'!E11</f>
        <v>340449.48</v>
      </c>
      <c r="F1112" s="55">
        <f>D1112*E1112</f>
        <v>340449.48</v>
      </c>
      <c r="G1112" s="1030"/>
    </row>
    <row r="1113" spans="1:7" s="145" customFormat="1" ht="15.75" customHeight="1">
      <c r="A1113" s="1117" t="s">
        <v>599</v>
      </c>
      <c r="B1113" s="1118"/>
      <c r="C1113" s="148" t="s">
        <v>3</v>
      </c>
      <c r="D1113" s="148">
        <v>6</v>
      </c>
      <c r="E1113" s="17">
        <f>+'INSUMOS ELÉCTRICOS'!E21</f>
        <v>5200</v>
      </c>
      <c r="F1113" s="149">
        <f>E1113*D1113</f>
        <v>31200</v>
      </c>
      <c r="G1113" s="1031"/>
    </row>
    <row r="1114" spans="1:7" s="145" customFormat="1" ht="15.75" customHeight="1">
      <c r="A1114" s="947"/>
      <c r="B1114" s="1115"/>
      <c r="C1114" s="16"/>
      <c r="D1114" s="58"/>
      <c r="E1114" s="17"/>
      <c r="F1114" s="55"/>
      <c r="G1114" s="57">
        <f>SUM(F1111:F1114)</f>
        <v>371649.48</v>
      </c>
    </row>
    <row r="1115" spans="1:7" s="145" customFormat="1" ht="15.75" customHeight="1">
      <c r="A1115" s="1114" t="s">
        <v>15</v>
      </c>
      <c r="B1115" s="1115"/>
      <c r="C1115" s="1115"/>
      <c r="D1115" s="1115"/>
      <c r="E1115" s="1115"/>
      <c r="F1115" s="1115"/>
      <c r="G1115" s="1116"/>
    </row>
    <row r="1116" spans="1:7" s="145" customFormat="1" ht="15.75" customHeight="1">
      <c r="A1116" s="1074" t="s">
        <v>2</v>
      </c>
      <c r="B1116" s="1115"/>
      <c r="C1116" s="53" t="s">
        <v>3</v>
      </c>
      <c r="D1116" s="53" t="s">
        <v>4</v>
      </c>
      <c r="E1116" s="53" t="s">
        <v>6</v>
      </c>
      <c r="F1116" s="53" t="s">
        <v>11</v>
      </c>
      <c r="G1116" s="1075" t="s">
        <v>8</v>
      </c>
    </row>
    <row r="1117" spans="1:7" s="145" customFormat="1" ht="15.75" customHeight="1">
      <c r="A1117" s="943" t="s">
        <v>173</v>
      </c>
      <c r="B1117" s="1115"/>
      <c r="C1117" s="16" t="s">
        <v>3</v>
      </c>
      <c r="D1117" s="16">
        <v>5.0000000000000001E-3</v>
      </c>
      <c r="E1117" s="17">
        <f>G1114</f>
        <v>371649.48</v>
      </c>
      <c r="F1117" s="55">
        <f>E1117*D1117</f>
        <v>1858.2474</v>
      </c>
      <c r="G1117" s="1116"/>
    </row>
    <row r="1118" spans="1:7" s="145" customFormat="1" ht="15.75" customHeight="1">
      <c r="A1118" s="151"/>
      <c r="B1118" s="152"/>
      <c r="C1118" s="152"/>
      <c r="D1118" s="152"/>
      <c r="E1118" s="152"/>
      <c r="F1118" s="152"/>
      <c r="G1118" s="57">
        <f>SUM(F1117:F1118)</f>
        <v>1858.2474</v>
      </c>
    </row>
    <row r="1119" spans="1:7" s="145" customFormat="1" ht="15.75" customHeight="1">
      <c r="A1119" s="1114" t="s">
        <v>19</v>
      </c>
      <c r="B1119" s="1115"/>
      <c r="C1119" s="1115"/>
      <c r="D1119" s="1115"/>
      <c r="E1119" s="1115"/>
      <c r="F1119" s="1115"/>
      <c r="G1119" s="1116"/>
    </row>
    <row r="1120" spans="1:7" s="2" customFormat="1" ht="15.75" customHeight="1">
      <c r="A1120" s="1074" t="s">
        <v>2</v>
      </c>
      <c r="B1120" s="1115"/>
      <c r="C1120" s="53" t="s">
        <v>3</v>
      </c>
      <c r="D1120" s="53" t="s">
        <v>4</v>
      </c>
      <c r="E1120" s="53" t="s">
        <v>6</v>
      </c>
      <c r="F1120" s="53" t="s">
        <v>11</v>
      </c>
      <c r="G1120" s="1075" t="s">
        <v>8</v>
      </c>
    </row>
    <row r="1121" spans="1:7" s="145" customFormat="1" ht="15.75" customHeight="1">
      <c r="A1121" s="978" t="s">
        <v>1256</v>
      </c>
      <c r="B1121" s="979"/>
      <c r="C1121" s="13" t="s">
        <v>1245</v>
      </c>
      <c r="D1121" s="32">
        <v>1</v>
      </c>
      <c r="E1121" s="13">
        <v>20030</v>
      </c>
      <c r="F1121" s="55">
        <f>+D1121*E1121</f>
        <v>20030</v>
      </c>
      <c r="G1121" s="1116"/>
    </row>
    <row r="1122" spans="1:7" s="145" customFormat="1" ht="15.75" customHeight="1">
      <c r="A1122" s="155"/>
      <c r="B1122" s="156"/>
      <c r="C1122" s="156"/>
      <c r="D1122" s="156"/>
      <c r="E1122" s="156"/>
      <c r="F1122" s="156"/>
      <c r="G1122" s="57">
        <f>SUM(F1120:F1122)</f>
        <v>20030</v>
      </c>
    </row>
    <row r="1123" spans="1:7" s="145" customFormat="1" ht="15.75" customHeight="1">
      <c r="A1123" s="1119" t="s">
        <v>25</v>
      </c>
      <c r="B1123" s="1120"/>
      <c r="C1123" s="1120"/>
      <c r="D1123" s="1120"/>
      <c r="E1123" s="1120"/>
      <c r="F1123" s="1120"/>
      <c r="G1123" s="1121"/>
    </row>
    <row r="1124" spans="1:7" s="145" customFormat="1" ht="15" customHeight="1">
      <c r="A1124" s="1122"/>
      <c r="B1124" s="1120"/>
      <c r="C1124" s="1120"/>
      <c r="D1124" s="1120"/>
      <c r="E1124" s="1120"/>
      <c r="F1124" s="1120"/>
      <c r="G1124" s="157">
        <f>G1122+G1118+G1114+G1109</f>
        <v>394539.22739999997</v>
      </c>
    </row>
    <row r="1125" spans="1:7" s="145" customFormat="1" ht="15.75" customHeight="1">
      <c r="A1125" s="158"/>
      <c r="B1125" s="159"/>
      <c r="C1125" s="159"/>
      <c r="D1125" s="159"/>
      <c r="E1125" s="159"/>
      <c r="F1125" s="159"/>
      <c r="G1125" s="160"/>
    </row>
    <row r="1126" spans="1:7" s="145" customFormat="1" ht="24" customHeight="1">
      <c r="A1126" s="1123" t="s">
        <v>1</v>
      </c>
      <c r="B1126" s="1120"/>
      <c r="C1126" s="953" t="s">
        <v>594</v>
      </c>
      <c r="D1126" s="1125"/>
      <c r="E1126" s="1125"/>
      <c r="F1126" s="1125"/>
      <c r="G1126" s="1126"/>
    </row>
    <row r="1127" spans="1:7" s="145" customFormat="1" ht="15.6" customHeight="1">
      <c r="A1127" s="1124"/>
      <c r="B1127" s="1120"/>
      <c r="C1127" s="1125"/>
      <c r="D1127" s="1125"/>
      <c r="E1127" s="1125"/>
      <c r="F1127" s="1125"/>
      <c r="G1127" s="1126"/>
    </row>
    <row r="1128" spans="1:7" s="145" customFormat="1" ht="15.75" customHeight="1">
      <c r="A1128" s="1124"/>
      <c r="B1128" s="1120"/>
      <c r="C1128" s="1127" t="s">
        <v>595</v>
      </c>
      <c r="D1128" s="1120"/>
      <c r="E1128" s="1120"/>
      <c r="F1128" s="1120"/>
      <c r="G1128" s="1121"/>
    </row>
    <row r="1129" spans="1:7" s="145" customFormat="1" ht="13.8">
      <c r="A1129" s="1124"/>
      <c r="B1129" s="1120"/>
      <c r="C1129" s="1128" t="s">
        <v>2</v>
      </c>
      <c r="D1129" s="1120"/>
      <c r="E1129" s="1120"/>
      <c r="F1129" s="146" t="s">
        <v>3</v>
      </c>
      <c r="G1129" s="147" t="s">
        <v>4</v>
      </c>
    </row>
    <row r="1130" spans="1:7" s="145" customFormat="1" ht="43.5" customHeight="1">
      <c r="A1130" s="1073" t="s">
        <v>729</v>
      </c>
      <c r="B1130" s="1115"/>
      <c r="C1130" s="980" t="s">
        <v>602</v>
      </c>
      <c r="D1130" s="1115"/>
      <c r="E1130" s="1115"/>
      <c r="F1130" s="162" t="s">
        <v>28</v>
      </c>
      <c r="G1130" s="52">
        <v>1</v>
      </c>
    </row>
    <row r="1131" spans="1:7" s="145" customFormat="1" ht="15.75" customHeight="1">
      <c r="A1131" s="1114" t="s">
        <v>5</v>
      </c>
      <c r="B1131" s="1115"/>
      <c r="C1131" s="1115"/>
      <c r="D1131" s="1115"/>
      <c r="E1131" s="1115"/>
      <c r="F1131" s="1115"/>
      <c r="G1131" s="1116"/>
    </row>
    <row r="1132" spans="1:7" s="145" customFormat="1" ht="15.75" customHeight="1">
      <c r="A1132" s="1074" t="s">
        <v>2</v>
      </c>
      <c r="B1132" s="1115"/>
      <c r="C1132" s="53" t="s">
        <v>3</v>
      </c>
      <c r="D1132" s="53" t="s">
        <v>4</v>
      </c>
      <c r="E1132" s="53" t="s">
        <v>6</v>
      </c>
      <c r="F1132" s="53" t="s">
        <v>7</v>
      </c>
      <c r="G1132" s="1075" t="s">
        <v>8</v>
      </c>
    </row>
    <row r="1133" spans="1:7" s="145" customFormat="1" ht="15.75" customHeight="1">
      <c r="A1133" s="947" t="s">
        <v>167</v>
      </c>
      <c r="B1133" s="1115"/>
      <c r="C1133" s="51" t="s">
        <v>3</v>
      </c>
      <c r="D1133" s="51">
        <v>0.05</v>
      </c>
      <c r="E1133" s="17">
        <f>G1146</f>
        <v>20030</v>
      </c>
      <c r="F1133" s="55">
        <f>D1133*E1133</f>
        <v>1001.5</v>
      </c>
      <c r="G1133" s="1116"/>
    </row>
    <row r="1134" spans="1:7" s="145" customFormat="1" ht="15.75" customHeight="1">
      <c r="A1134" s="943"/>
      <c r="B1134" s="1115"/>
      <c r="C1134" s="51"/>
      <c r="D1134" s="51"/>
      <c r="E1134" s="51"/>
      <c r="F1134" s="55"/>
      <c r="G1134" s="57">
        <f>SUM(F1132:F1134)</f>
        <v>1001.5</v>
      </c>
    </row>
    <row r="1135" spans="1:7" s="145" customFormat="1" ht="15.75" customHeight="1">
      <c r="A1135" s="1114" t="s">
        <v>10</v>
      </c>
      <c r="B1135" s="1115"/>
      <c r="C1135" s="1115"/>
      <c r="D1135" s="1115"/>
      <c r="E1135" s="1115"/>
      <c r="F1135" s="1115"/>
      <c r="G1135" s="1116"/>
    </row>
    <row r="1136" spans="1:7" s="145" customFormat="1" ht="15.75" customHeight="1">
      <c r="A1136" s="1074" t="s">
        <v>2</v>
      </c>
      <c r="B1136" s="1115"/>
      <c r="C1136" s="53" t="s">
        <v>3</v>
      </c>
      <c r="D1136" s="53" t="s">
        <v>4</v>
      </c>
      <c r="E1136" s="53" t="s">
        <v>6</v>
      </c>
      <c r="F1136" s="53" t="s">
        <v>11</v>
      </c>
      <c r="G1136" s="1075" t="s">
        <v>8</v>
      </c>
    </row>
    <row r="1137" spans="1:7" s="145" customFormat="1" ht="25.2" customHeight="1">
      <c r="A1137" s="947" t="s">
        <v>602</v>
      </c>
      <c r="B1137" s="980"/>
      <c r="C1137" s="16" t="s">
        <v>3</v>
      </c>
      <c r="D1137" s="16">
        <v>1</v>
      </c>
      <c r="E1137" s="17">
        <f>+'INSUMOS ELÉCTRICOS'!E13</f>
        <v>279293</v>
      </c>
      <c r="F1137" s="55">
        <f>D1137*E1137</f>
        <v>279293</v>
      </c>
      <c r="G1137" s="1075"/>
    </row>
    <row r="1138" spans="1:7" s="145" customFormat="1" ht="15.75" customHeight="1">
      <c r="A1138" s="947"/>
      <c r="B1138" s="1115"/>
      <c r="C1138" s="16"/>
      <c r="D1138" s="58"/>
      <c r="E1138" s="17"/>
      <c r="F1138" s="55"/>
      <c r="G1138" s="57">
        <f>SUM(F1136:F1138)</f>
        <v>279293</v>
      </c>
    </row>
    <row r="1139" spans="1:7" s="145" customFormat="1" ht="15.75" customHeight="1">
      <c r="A1139" s="1114" t="s">
        <v>15</v>
      </c>
      <c r="B1139" s="1115"/>
      <c r="C1139" s="1115"/>
      <c r="D1139" s="1115"/>
      <c r="E1139" s="1115"/>
      <c r="F1139" s="1115"/>
      <c r="G1139" s="1116"/>
    </row>
    <row r="1140" spans="1:7" s="145" customFormat="1" ht="15.75" customHeight="1">
      <c r="A1140" s="1074" t="s">
        <v>2</v>
      </c>
      <c r="B1140" s="1115"/>
      <c r="C1140" s="53" t="s">
        <v>3</v>
      </c>
      <c r="D1140" s="53" t="s">
        <v>4</v>
      </c>
      <c r="E1140" s="53" t="s">
        <v>6</v>
      </c>
      <c r="F1140" s="53" t="s">
        <v>11</v>
      </c>
      <c r="G1140" s="1075" t="s">
        <v>8</v>
      </c>
    </row>
    <row r="1141" spans="1:7" s="145" customFormat="1" ht="15.75" customHeight="1">
      <c r="A1141" s="943" t="s">
        <v>173</v>
      </c>
      <c r="B1141" s="1115"/>
      <c r="C1141" s="16" t="s">
        <v>3</v>
      </c>
      <c r="D1141" s="54">
        <v>6.0000000000000001E-3</v>
      </c>
      <c r="E1141" s="17">
        <f>G1138</f>
        <v>279293</v>
      </c>
      <c r="F1141" s="55">
        <f>D1141*E1141</f>
        <v>1675.758</v>
      </c>
      <c r="G1141" s="1116"/>
    </row>
    <row r="1142" spans="1:7" s="145" customFormat="1" ht="15.75" customHeight="1">
      <c r="A1142" s="151"/>
      <c r="B1142" s="152"/>
      <c r="C1142" s="152"/>
      <c r="D1142" s="152"/>
      <c r="E1142" s="152"/>
      <c r="F1142" s="152"/>
      <c r="G1142" s="57">
        <f>SUM(F1141:F1142)</f>
        <v>1675.758</v>
      </c>
    </row>
    <row r="1143" spans="1:7" s="145" customFormat="1" ht="15.75" customHeight="1">
      <c r="A1143" s="1114" t="s">
        <v>19</v>
      </c>
      <c r="B1143" s="1115"/>
      <c r="C1143" s="1115"/>
      <c r="D1143" s="1115"/>
      <c r="E1143" s="1115"/>
      <c r="F1143" s="1115"/>
      <c r="G1143" s="1116"/>
    </row>
    <row r="1144" spans="1:7" s="145" customFormat="1" ht="15.75" customHeight="1">
      <c r="A1144" s="1074" t="s">
        <v>2</v>
      </c>
      <c r="B1144" s="1115"/>
      <c r="C1144" s="53" t="s">
        <v>3</v>
      </c>
      <c r="D1144" s="53" t="s">
        <v>4</v>
      </c>
      <c r="E1144" s="53" t="s">
        <v>6</v>
      </c>
      <c r="F1144" s="53" t="s">
        <v>11</v>
      </c>
      <c r="G1144" s="1075" t="s">
        <v>8</v>
      </c>
    </row>
    <row r="1145" spans="1:7" s="2" customFormat="1" ht="15.75" customHeight="1">
      <c r="A1145" s="978" t="s">
        <v>1256</v>
      </c>
      <c r="B1145" s="979"/>
      <c r="C1145" s="13" t="s">
        <v>1245</v>
      </c>
      <c r="D1145" s="32">
        <v>1</v>
      </c>
      <c r="E1145" s="13">
        <v>20030</v>
      </c>
      <c r="F1145" s="55">
        <f>+D1145*E1145</f>
        <v>20030</v>
      </c>
      <c r="G1145" s="1116"/>
    </row>
    <row r="1146" spans="1:7" s="145" customFormat="1" ht="15.75" customHeight="1">
      <c r="A1146" s="155"/>
      <c r="B1146" s="156"/>
      <c r="C1146" s="156"/>
      <c r="D1146" s="156"/>
      <c r="E1146" s="156"/>
      <c r="F1146" s="156"/>
      <c r="G1146" s="57">
        <f>SUM(F1144:F1146)</f>
        <v>20030</v>
      </c>
    </row>
    <row r="1147" spans="1:7" s="145" customFormat="1" ht="15.75" customHeight="1">
      <c r="A1147" s="1119" t="s">
        <v>25</v>
      </c>
      <c r="B1147" s="1120"/>
      <c r="C1147" s="1120"/>
      <c r="D1147" s="1120"/>
      <c r="E1147" s="1120"/>
      <c r="F1147" s="1120"/>
      <c r="G1147" s="1121"/>
    </row>
    <row r="1148" spans="1:7" s="145" customFormat="1" ht="15.75" customHeight="1">
      <c r="A1148" s="1122"/>
      <c r="B1148" s="1120"/>
      <c r="C1148" s="1120"/>
      <c r="D1148" s="1120"/>
      <c r="E1148" s="1120"/>
      <c r="F1148" s="1120"/>
      <c r="G1148" s="157">
        <f>G1146+G1142+G1138+G1134</f>
        <v>302000.25800000003</v>
      </c>
    </row>
    <row r="1149" spans="1:7" s="145" customFormat="1" ht="15" customHeight="1">
      <c r="A1149" s="158"/>
      <c r="B1149" s="159"/>
      <c r="C1149" s="159"/>
      <c r="D1149" s="159"/>
      <c r="E1149" s="159"/>
      <c r="F1149" s="159"/>
      <c r="G1149" s="160"/>
    </row>
    <row r="1150" spans="1:7" s="145" customFormat="1" ht="15.75" customHeight="1">
      <c r="A1150" s="1123" t="s">
        <v>1</v>
      </c>
      <c r="B1150" s="1120"/>
      <c r="C1150" s="953" t="s">
        <v>594</v>
      </c>
      <c r="D1150" s="1125"/>
      <c r="E1150" s="1125"/>
      <c r="F1150" s="1125"/>
      <c r="G1150" s="1126"/>
    </row>
    <row r="1151" spans="1:7" s="145" customFormat="1" ht="24" customHeight="1">
      <c r="A1151" s="1124"/>
      <c r="B1151" s="1120"/>
      <c r="C1151" s="1125"/>
      <c r="D1151" s="1125"/>
      <c r="E1151" s="1125"/>
      <c r="F1151" s="1125"/>
      <c r="G1151" s="1126"/>
    </row>
    <row r="1152" spans="1:7" s="145" customFormat="1" ht="15.6" customHeight="1">
      <c r="A1152" s="1124"/>
      <c r="B1152" s="1120"/>
      <c r="C1152" s="1127" t="s">
        <v>595</v>
      </c>
      <c r="D1152" s="1120"/>
      <c r="E1152" s="1120"/>
      <c r="F1152" s="1120"/>
      <c r="G1152" s="1121"/>
    </row>
    <row r="1153" spans="1:7" s="145" customFormat="1" ht="15.75" customHeight="1">
      <c r="A1153" s="1124"/>
      <c r="B1153" s="1120"/>
      <c r="C1153" s="1128" t="s">
        <v>2</v>
      </c>
      <c r="D1153" s="1120"/>
      <c r="E1153" s="1120"/>
      <c r="F1153" s="146" t="s">
        <v>3</v>
      </c>
      <c r="G1153" s="147" t="s">
        <v>4</v>
      </c>
    </row>
    <row r="1154" spans="1:7" s="145" customFormat="1" ht="57.75" customHeight="1">
      <c r="A1154" s="1073" t="s">
        <v>730</v>
      </c>
      <c r="B1154" s="1115"/>
      <c r="C1154" s="980" t="s">
        <v>604</v>
      </c>
      <c r="D1154" s="1115"/>
      <c r="E1154" s="1115"/>
      <c r="F1154" s="162" t="s">
        <v>28</v>
      </c>
      <c r="G1154" s="52">
        <v>1</v>
      </c>
    </row>
    <row r="1155" spans="1:7" s="145" customFormat="1" ht="15.75" customHeight="1">
      <c r="A1155" s="1114" t="s">
        <v>5</v>
      </c>
      <c r="B1155" s="1115"/>
      <c r="C1155" s="1115"/>
      <c r="D1155" s="1115"/>
      <c r="E1155" s="1115"/>
      <c r="F1155" s="1115"/>
      <c r="G1155" s="1116"/>
    </row>
    <row r="1156" spans="1:7" s="145" customFormat="1" ht="15.75" customHeight="1">
      <c r="A1156" s="1074" t="s">
        <v>2</v>
      </c>
      <c r="B1156" s="1115"/>
      <c r="C1156" s="53" t="s">
        <v>3</v>
      </c>
      <c r="D1156" s="53" t="s">
        <v>4</v>
      </c>
      <c r="E1156" s="53" t="s">
        <v>6</v>
      </c>
      <c r="F1156" s="53" t="s">
        <v>7</v>
      </c>
      <c r="G1156" s="1075" t="s">
        <v>8</v>
      </c>
    </row>
    <row r="1157" spans="1:7" s="145" customFormat="1" ht="15.75" customHeight="1">
      <c r="A1157" s="947" t="s">
        <v>167</v>
      </c>
      <c r="B1157" s="1115"/>
      <c r="C1157" s="51" t="s">
        <v>3</v>
      </c>
      <c r="D1157" s="51">
        <v>0.05</v>
      </c>
      <c r="E1157" s="17">
        <f>G1170</f>
        <v>2003</v>
      </c>
      <c r="F1157" s="55">
        <f>D1157*E1157</f>
        <v>100.15</v>
      </c>
      <c r="G1157" s="1116"/>
    </row>
    <row r="1158" spans="1:7" s="145" customFormat="1" ht="15.75" customHeight="1">
      <c r="A1158" s="943"/>
      <c r="B1158" s="1115"/>
      <c r="C1158" s="51"/>
      <c r="D1158" s="51"/>
      <c r="E1158" s="51"/>
      <c r="F1158" s="55"/>
      <c r="G1158" s="57">
        <f>SUM(F1156:F1158)</f>
        <v>100.15</v>
      </c>
    </row>
    <row r="1159" spans="1:7" s="145" customFormat="1" ht="15.75" customHeight="1">
      <c r="A1159" s="1114" t="s">
        <v>10</v>
      </c>
      <c r="B1159" s="1115"/>
      <c r="C1159" s="1115"/>
      <c r="D1159" s="1115"/>
      <c r="E1159" s="1115"/>
      <c r="F1159" s="1115"/>
      <c r="G1159" s="1116"/>
    </row>
    <row r="1160" spans="1:7" s="145" customFormat="1" ht="15.75" customHeight="1">
      <c r="A1160" s="1074" t="s">
        <v>2</v>
      </c>
      <c r="B1160" s="1115"/>
      <c r="C1160" s="53" t="s">
        <v>3</v>
      </c>
      <c r="D1160" s="53" t="s">
        <v>4</v>
      </c>
      <c r="E1160" s="53" t="s">
        <v>6</v>
      </c>
      <c r="F1160" s="53" t="s">
        <v>11</v>
      </c>
      <c r="G1160" s="1075" t="s">
        <v>8</v>
      </c>
    </row>
    <row r="1161" spans="1:7" s="145" customFormat="1" ht="25.2" customHeight="1">
      <c r="A1161" s="1117" t="s">
        <v>742</v>
      </c>
      <c r="B1161" s="1118"/>
      <c r="C1161" s="148" t="s">
        <v>3</v>
      </c>
      <c r="D1161" s="148">
        <v>1</v>
      </c>
      <c r="E1161" s="17">
        <f>+'INSUMOS ELÉCTRICOS'!E23</f>
        <v>14280</v>
      </c>
      <c r="F1161" s="149">
        <f>D1161*E1161</f>
        <v>14280</v>
      </c>
      <c r="G1161" s="1075"/>
    </row>
    <row r="1162" spans="1:7" s="145" customFormat="1" ht="15.75" customHeight="1">
      <c r="A1162" s="947"/>
      <c r="B1162" s="1115"/>
      <c r="C1162" s="16"/>
      <c r="D1162" s="58"/>
      <c r="E1162" s="17"/>
      <c r="F1162" s="55"/>
      <c r="G1162" s="57">
        <f>SUM(F1160:F1162)</f>
        <v>14280</v>
      </c>
    </row>
    <row r="1163" spans="1:7" s="145" customFormat="1" ht="15.75" customHeight="1">
      <c r="A1163" s="1114" t="s">
        <v>15</v>
      </c>
      <c r="B1163" s="1115"/>
      <c r="C1163" s="1115"/>
      <c r="D1163" s="1115"/>
      <c r="E1163" s="1115"/>
      <c r="F1163" s="1115"/>
      <c r="G1163" s="1116"/>
    </row>
    <row r="1164" spans="1:7" s="145" customFormat="1" ht="15.75" customHeight="1">
      <c r="A1164" s="1074" t="s">
        <v>2</v>
      </c>
      <c r="B1164" s="1115"/>
      <c r="C1164" s="53" t="s">
        <v>3</v>
      </c>
      <c r="D1164" s="53" t="s">
        <v>4</v>
      </c>
      <c r="E1164" s="53" t="s">
        <v>6</v>
      </c>
      <c r="F1164" s="53" t="s">
        <v>11</v>
      </c>
      <c r="G1164" s="1075" t="s">
        <v>8</v>
      </c>
    </row>
    <row r="1165" spans="1:7" s="145" customFormat="1" ht="15.75" customHeight="1">
      <c r="A1165" s="943" t="s">
        <v>173</v>
      </c>
      <c r="B1165" s="1115"/>
      <c r="C1165" s="16" t="s">
        <v>3</v>
      </c>
      <c r="D1165" s="16">
        <v>0.04</v>
      </c>
      <c r="E1165" s="17">
        <f>G1162</f>
        <v>14280</v>
      </c>
      <c r="F1165" s="55">
        <f>D1165*E1165</f>
        <v>571.20000000000005</v>
      </c>
      <c r="G1165" s="1116"/>
    </row>
    <row r="1166" spans="1:7" s="145" customFormat="1" ht="15.75" customHeight="1">
      <c r="A1166" s="151"/>
      <c r="B1166" s="152"/>
      <c r="C1166" s="152"/>
      <c r="D1166" s="152"/>
      <c r="E1166" s="152"/>
      <c r="F1166" s="152"/>
      <c r="G1166" s="57">
        <f>SUM(F1165:F1166)</f>
        <v>571.20000000000005</v>
      </c>
    </row>
    <row r="1167" spans="1:7" s="145" customFormat="1" ht="15.75" customHeight="1">
      <c r="A1167" s="1114" t="s">
        <v>19</v>
      </c>
      <c r="B1167" s="1115"/>
      <c r="C1167" s="1115"/>
      <c r="D1167" s="1115"/>
      <c r="E1167" s="1115"/>
      <c r="F1167" s="1115"/>
      <c r="G1167" s="1116"/>
    </row>
    <row r="1168" spans="1:7" s="145" customFormat="1" ht="15.75" customHeight="1">
      <c r="A1168" s="1074" t="s">
        <v>2</v>
      </c>
      <c r="B1168" s="1115"/>
      <c r="C1168" s="53" t="s">
        <v>3</v>
      </c>
      <c r="D1168" s="53" t="s">
        <v>4</v>
      </c>
      <c r="E1168" s="53" t="s">
        <v>6</v>
      </c>
      <c r="F1168" s="53" t="s">
        <v>11</v>
      </c>
      <c r="G1168" s="1075" t="s">
        <v>8</v>
      </c>
    </row>
    <row r="1169" spans="1:7" s="2" customFormat="1" ht="15.75" customHeight="1">
      <c r="A1169" s="978" t="s">
        <v>1256</v>
      </c>
      <c r="B1169" s="979"/>
      <c r="C1169" s="13" t="s">
        <v>1245</v>
      </c>
      <c r="D1169" s="32">
        <v>0.1</v>
      </c>
      <c r="E1169" s="13">
        <v>20030</v>
      </c>
      <c r="F1169" s="55">
        <f>+D1169*E1169</f>
        <v>2003</v>
      </c>
      <c r="G1169" s="1116"/>
    </row>
    <row r="1170" spans="1:7" s="145" customFormat="1" ht="15.75" customHeight="1">
      <c r="A1170" s="155"/>
      <c r="B1170" s="156"/>
      <c r="C1170" s="156"/>
      <c r="D1170" s="156"/>
      <c r="E1170" s="156"/>
      <c r="F1170" s="156"/>
      <c r="G1170" s="57">
        <f>SUM(F1168:F1170)</f>
        <v>2003</v>
      </c>
    </row>
    <row r="1171" spans="1:7" s="145" customFormat="1" ht="15.75" customHeight="1">
      <c r="A1171" s="1119" t="s">
        <v>25</v>
      </c>
      <c r="B1171" s="1120"/>
      <c r="C1171" s="1120"/>
      <c r="D1171" s="1120"/>
      <c r="E1171" s="1120"/>
      <c r="F1171" s="1120"/>
      <c r="G1171" s="1121"/>
    </row>
    <row r="1172" spans="1:7" s="145" customFormat="1" ht="15.75" customHeight="1">
      <c r="A1172" s="1122"/>
      <c r="B1172" s="1120"/>
      <c r="C1172" s="1120"/>
      <c r="D1172" s="1120"/>
      <c r="E1172" s="1120"/>
      <c r="F1172" s="1120"/>
      <c r="G1172" s="157">
        <f>G1170+G1166+G1162+G1158</f>
        <v>16954.350000000002</v>
      </c>
    </row>
    <row r="1173" spans="1:7" s="145" customFormat="1" ht="15" customHeight="1">
      <c r="A1173" s="158"/>
      <c r="B1173" s="159"/>
      <c r="C1173" s="159"/>
      <c r="D1173" s="159"/>
      <c r="E1173" s="159"/>
      <c r="F1173" s="159"/>
      <c r="G1173" s="160"/>
    </row>
    <row r="1174" spans="1:7" s="145" customFormat="1" ht="15.75" customHeight="1">
      <c r="A1174" s="1123" t="s">
        <v>1</v>
      </c>
      <c r="B1174" s="1120"/>
      <c r="C1174" s="953" t="s">
        <v>594</v>
      </c>
      <c r="D1174" s="1125"/>
      <c r="E1174" s="1125"/>
      <c r="F1174" s="1125"/>
      <c r="G1174" s="1126"/>
    </row>
    <row r="1175" spans="1:7" s="145" customFormat="1" ht="24" customHeight="1">
      <c r="A1175" s="1124"/>
      <c r="B1175" s="1120"/>
      <c r="C1175" s="1125"/>
      <c r="D1175" s="1125"/>
      <c r="E1175" s="1125"/>
      <c r="F1175" s="1125"/>
      <c r="G1175" s="1126"/>
    </row>
    <row r="1176" spans="1:7" s="145" customFormat="1" ht="15.6" customHeight="1">
      <c r="A1176" s="1124"/>
      <c r="B1176" s="1120"/>
      <c r="C1176" s="1127" t="s">
        <v>606</v>
      </c>
      <c r="D1176" s="1120"/>
      <c r="E1176" s="1120"/>
      <c r="F1176" s="1120"/>
      <c r="G1176" s="1121"/>
    </row>
    <row r="1177" spans="1:7" s="145" customFormat="1" ht="15.75" customHeight="1">
      <c r="A1177" s="1124"/>
      <c r="B1177" s="1120"/>
      <c r="C1177" s="1128" t="s">
        <v>2</v>
      </c>
      <c r="D1177" s="1120"/>
      <c r="E1177" s="1120"/>
      <c r="F1177" s="146" t="s">
        <v>3</v>
      </c>
      <c r="G1177" s="147" t="s">
        <v>4</v>
      </c>
    </row>
    <row r="1178" spans="1:7" s="145" customFormat="1" ht="57.75" customHeight="1">
      <c r="A1178" s="1073" t="s">
        <v>731</v>
      </c>
      <c r="B1178" s="1115"/>
      <c r="C1178" s="980" t="s">
        <v>608</v>
      </c>
      <c r="D1178" s="1115"/>
      <c r="E1178" s="1115"/>
      <c r="F1178" s="162" t="s">
        <v>45</v>
      </c>
      <c r="G1178" s="52">
        <v>410</v>
      </c>
    </row>
    <row r="1179" spans="1:7" s="145" customFormat="1" ht="15.75" customHeight="1">
      <c r="A1179" s="1114" t="s">
        <v>5</v>
      </c>
      <c r="B1179" s="1115"/>
      <c r="C1179" s="1115"/>
      <c r="D1179" s="1115"/>
      <c r="E1179" s="1115"/>
      <c r="F1179" s="1115"/>
      <c r="G1179" s="1116"/>
    </row>
    <row r="1180" spans="1:7" s="145" customFormat="1" ht="15.75" customHeight="1">
      <c r="A1180" s="1074" t="s">
        <v>2</v>
      </c>
      <c r="B1180" s="1115"/>
      <c r="C1180" s="53" t="s">
        <v>3</v>
      </c>
      <c r="D1180" s="53" t="s">
        <v>4</v>
      </c>
      <c r="E1180" s="53" t="s">
        <v>6</v>
      </c>
      <c r="F1180" s="53" t="s">
        <v>7</v>
      </c>
      <c r="G1180" s="1075" t="s">
        <v>8</v>
      </c>
    </row>
    <row r="1181" spans="1:7" s="145" customFormat="1" ht="15.75" customHeight="1">
      <c r="A1181" s="947" t="s">
        <v>167</v>
      </c>
      <c r="B1181" s="1115"/>
      <c r="C1181" s="51" t="s">
        <v>3</v>
      </c>
      <c r="D1181" s="51">
        <v>0.05</v>
      </c>
      <c r="E1181" s="17">
        <f>G1194</f>
        <v>4006</v>
      </c>
      <c r="F1181" s="55">
        <f>D1181*E1181</f>
        <v>200.3</v>
      </c>
      <c r="G1181" s="1116"/>
    </row>
    <row r="1182" spans="1:7" s="145" customFormat="1" ht="15.75" customHeight="1">
      <c r="A1182" s="943"/>
      <c r="B1182" s="1115"/>
      <c r="C1182" s="51"/>
      <c r="D1182" s="51"/>
      <c r="E1182" s="51"/>
      <c r="F1182" s="55"/>
      <c r="G1182" s="57">
        <f>SUM(F1180:F1182)</f>
        <v>200.3</v>
      </c>
    </row>
    <row r="1183" spans="1:7" s="145" customFormat="1" ht="15.75" customHeight="1">
      <c r="A1183" s="1114" t="s">
        <v>10</v>
      </c>
      <c r="B1183" s="1115"/>
      <c r="C1183" s="1115"/>
      <c r="D1183" s="1115"/>
      <c r="E1183" s="1115"/>
      <c r="F1183" s="1115"/>
      <c r="G1183" s="1116"/>
    </row>
    <row r="1184" spans="1:7" s="145" customFormat="1" ht="15.75" customHeight="1">
      <c r="A1184" s="1074" t="s">
        <v>2</v>
      </c>
      <c r="B1184" s="1115"/>
      <c r="C1184" s="53" t="s">
        <v>3</v>
      </c>
      <c r="D1184" s="53" t="s">
        <v>4</v>
      </c>
      <c r="E1184" s="53" t="s">
        <v>6</v>
      </c>
      <c r="F1184" s="53" t="s">
        <v>11</v>
      </c>
      <c r="G1184" s="1075" t="s">
        <v>8</v>
      </c>
    </row>
    <row r="1185" spans="1:7" s="150" customFormat="1" ht="53.25" customHeight="1">
      <c r="A1185" s="1117" t="s">
        <v>608</v>
      </c>
      <c r="B1185" s="1118"/>
      <c r="C1185" s="148" t="s">
        <v>3</v>
      </c>
      <c r="D1185" s="148">
        <v>1.05</v>
      </c>
      <c r="E1185" s="17">
        <f>+'INSUMOS ELÉCTRICOS'!E17</f>
        <v>5033.7</v>
      </c>
      <c r="F1185" s="149">
        <f>D1185*E1185</f>
        <v>5285.3850000000002</v>
      </c>
      <c r="G1185" s="1075"/>
    </row>
    <row r="1186" spans="1:7" s="145" customFormat="1" ht="15.75" customHeight="1">
      <c r="A1186" s="947"/>
      <c r="B1186" s="1115"/>
      <c r="C1186" s="16"/>
      <c r="D1186" s="58"/>
      <c r="E1186" s="17"/>
      <c r="F1186" s="55"/>
      <c r="G1186" s="57">
        <f>SUM(F1184:F1186)</f>
        <v>5285.3850000000002</v>
      </c>
    </row>
    <row r="1187" spans="1:7" s="145" customFormat="1" ht="15.75" customHeight="1">
      <c r="A1187" s="1114" t="s">
        <v>15</v>
      </c>
      <c r="B1187" s="1115"/>
      <c r="C1187" s="1115"/>
      <c r="D1187" s="1115"/>
      <c r="E1187" s="1115"/>
      <c r="F1187" s="1115"/>
      <c r="G1187" s="1116"/>
    </row>
    <row r="1188" spans="1:7" s="145" customFormat="1" ht="15.75" customHeight="1">
      <c r="A1188" s="1074" t="s">
        <v>2</v>
      </c>
      <c r="B1188" s="1115"/>
      <c r="C1188" s="53" t="s">
        <v>3</v>
      </c>
      <c r="D1188" s="53" t="s">
        <v>4</v>
      </c>
      <c r="E1188" s="53" t="s">
        <v>6</v>
      </c>
      <c r="F1188" s="53" t="s">
        <v>11</v>
      </c>
      <c r="G1188" s="1075" t="s">
        <v>8</v>
      </c>
    </row>
    <row r="1189" spans="1:7" s="145" customFormat="1" ht="15.75" customHeight="1">
      <c r="A1189" s="943" t="s">
        <v>173</v>
      </c>
      <c r="B1189" s="1115"/>
      <c r="C1189" s="16" t="s">
        <v>3</v>
      </c>
      <c r="D1189" s="16">
        <v>0.06</v>
      </c>
      <c r="E1189" s="17">
        <f>G1186</f>
        <v>5285.3850000000002</v>
      </c>
      <c r="F1189" s="55">
        <f>D1189*E1189</f>
        <v>317.12310000000002</v>
      </c>
      <c r="G1189" s="1116"/>
    </row>
    <row r="1190" spans="1:7" s="145" customFormat="1" ht="15.75" customHeight="1">
      <c r="A1190" s="151"/>
      <c r="B1190" s="152"/>
      <c r="C1190" s="152"/>
      <c r="D1190" s="152"/>
      <c r="E1190" s="152"/>
      <c r="F1190" s="152"/>
      <c r="G1190" s="57">
        <f>SUM(F1189:F1190)</f>
        <v>317.12310000000002</v>
      </c>
    </row>
    <row r="1191" spans="1:7" s="145" customFormat="1" ht="15.75" customHeight="1">
      <c r="A1191" s="1114" t="s">
        <v>19</v>
      </c>
      <c r="B1191" s="1115"/>
      <c r="C1191" s="1115"/>
      <c r="D1191" s="1115"/>
      <c r="E1191" s="1115"/>
      <c r="F1191" s="1115"/>
      <c r="G1191" s="1116"/>
    </row>
    <row r="1192" spans="1:7" s="145" customFormat="1" ht="15.75" customHeight="1">
      <c r="A1192" s="1074" t="s">
        <v>2</v>
      </c>
      <c r="B1192" s="1115"/>
      <c r="C1192" s="53" t="s">
        <v>3</v>
      </c>
      <c r="D1192" s="53" t="s">
        <v>4</v>
      </c>
      <c r="E1192" s="53" t="s">
        <v>6</v>
      </c>
      <c r="F1192" s="53" t="s">
        <v>11</v>
      </c>
      <c r="G1192" s="1075" t="s">
        <v>8</v>
      </c>
    </row>
    <row r="1193" spans="1:7" s="2" customFormat="1" ht="15.75" customHeight="1">
      <c r="A1193" s="978" t="s">
        <v>1256</v>
      </c>
      <c r="B1193" s="979"/>
      <c r="C1193" s="13" t="s">
        <v>1245</v>
      </c>
      <c r="D1193" s="32">
        <v>0.2</v>
      </c>
      <c r="E1193" s="13">
        <v>20030</v>
      </c>
      <c r="F1193" s="55">
        <f>+D1193*E1193</f>
        <v>4006</v>
      </c>
      <c r="G1193" s="1116"/>
    </row>
    <row r="1194" spans="1:7" s="145" customFormat="1" ht="15.75" customHeight="1">
      <c r="A1194" s="155"/>
      <c r="B1194" s="156"/>
      <c r="C1194" s="156"/>
      <c r="D1194" s="156"/>
      <c r="E1194" s="156"/>
      <c r="F1194" s="156"/>
      <c r="G1194" s="57">
        <f>SUM(F1192:F1194)</f>
        <v>4006</v>
      </c>
    </row>
    <row r="1195" spans="1:7" s="145" customFormat="1" ht="15.75" customHeight="1">
      <c r="A1195" s="1119" t="s">
        <v>25</v>
      </c>
      <c r="B1195" s="1120"/>
      <c r="C1195" s="1120"/>
      <c r="D1195" s="1120"/>
      <c r="E1195" s="1120"/>
      <c r="F1195" s="1120"/>
      <c r="G1195" s="1121"/>
    </row>
    <row r="1196" spans="1:7" s="145" customFormat="1" ht="15.75" customHeight="1">
      <c r="A1196" s="1122"/>
      <c r="B1196" s="1120"/>
      <c r="C1196" s="1120"/>
      <c r="D1196" s="1120"/>
      <c r="E1196" s="1120"/>
      <c r="F1196" s="1120"/>
      <c r="G1196" s="157">
        <f>G1194+G1190+G1186+G1182</f>
        <v>9808.8080999999984</v>
      </c>
    </row>
    <row r="1197" spans="1:7" s="145" customFormat="1" ht="15" customHeight="1">
      <c r="A1197" s="158"/>
      <c r="B1197" s="159"/>
      <c r="C1197" s="159"/>
      <c r="D1197" s="159"/>
      <c r="E1197" s="159"/>
      <c r="F1197" s="159"/>
      <c r="G1197" s="160"/>
    </row>
    <row r="1198" spans="1:7" s="145" customFormat="1" ht="15.75" customHeight="1">
      <c r="A1198" s="1123" t="s">
        <v>1</v>
      </c>
      <c r="B1198" s="1120"/>
      <c r="C1198" s="953" t="s">
        <v>594</v>
      </c>
      <c r="D1198" s="1125"/>
      <c r="E1198" s="1125"/>
      <c r="F1198" s="1125"/>
      <c r="G1198" s="1126"/>
    </row>
    <row r="1199" spans="1:7" s="145" customFormat="1" ht="24" customHeight="1">
      <c r="A1199" s="1124"/>
      <c r="B1199" s="1120"/>
      <c r="C1199" s="1125"/>
      <c r="D1199" s="1125"/>
      <c r="E1199" s="1125"/>
      <c r="F1199" s="1125"/>
      <c r="G1199" s="1126"/>
    </row>
    <row r="1200" spans="1:7" s="145" customFormat="1" ht="15.6" customHeight="1">
      <c r="A1200" s="1124"/>
      <c r="B1200" s="1120"/>
      <c r="C1200" s="1127" t="s">
        <v>609</v>
      </c>
      <c r="D1200" s="1120"/>
      <c r="E1200" s="1120"/>
      <c r="F1200" s="1120"/>
      <c r="G1200" s="1121"/>
    </row>
    <row r="1201" spans="1:7" s="145" customFormat="1" ht="15.75" customHeight="1">
      <c r="A1201" s="1124"/>
      <c r="B1201" s="1120"/>
      <c r="C1201" s="1128" t="s">
        <v>2</v>
      </c>
      <c r="D1201" s="1120"/>
      <c r="E1201" s="1120"/>
      <c r="F1201" s="146" t="s">
        <v>3</v>
      </c>
      <c r="G1201" s="147" t="s">
        <v>4</v>
      </c>
    </row>
    <row r="1202" spans="1:7" s="145" customFormat="1" ht="67.5" customHeight="1">
      <c r="A1202" s="1073" t="s">
        <v>732</v>
      </c>
      <c r="B1202" s="1115"/>
      <c r="C1202" s="980" t="s">
        <v>2765</v>
      </c>
      <c r="D1202" s="1115"/>
      <c r="E1202" s="1115"/>
      <c r="F1202" s="162" t="s">
        <v>45</v>
      </c>
      <c r="G1202" s="52">
        <v>1</v>
      </c>
    </row>
    <row r="1203" spans="1:7" s="145" customFormat="1" ht="15.75" customHeight="1">
      <c r="A1203" s="1114" t="s">
        <v>5</v>
      </c>
      <c r="B1203" s="1115"/>
      <c r="C1203" s="1115"/>
      <c r="D1203" s="1115"/>
      <c r="E1203" s="1115"/>
      <c r="F1203" s="1115"/>
      <c r="G1203" s="1116"/>
    </row>
    <row r="1204" spans="1:7" s="145" customFormat="1" ht="15.75" customHeight="1">
      <c r="A1204" s="1074" t="s">
        <v>2</v>
      </c>
      <c r="B1204" s="1115"/>
      <c r="C1204" s="53" t="s">
        <v>3</v>
      </c>
      <c r="D1204" s="53" t="s">
        <v>4</v>
      </c>
      <c r="E1204" s="53" t="s">
        <v>6</v>
      </c>
      <c r="F1204" s="53" t="s">
        <v>7</v>
      </c>
      <c r="G1204" s="1075" t="s">
        <v>8</v>
      </c>
    </row>
    <row r="1205" spans="1:7" s="145" customFormat="1" ht="15.75" customHeight="1">
      <c r="A1205" s="947" t="s">
        <v>167</v>
      </c>
      <c r="B1205" s="1115"/>
      <c r="C1205" s="51" t="s">
        <v>3</v>
      </c>
      <c r="D1205" s="51">
        <v>0.05</v>
      </c>
      <c r="E1205" s="17">
        <v>6719</v>
      </c>
      <c r="F1205" s="55">
        <f>D1205*E1205</f>
        <v>335.95000000000005</v>
      </c>
      <c r="G1205" s="1116"/>
    </row>
    <row r="1206" spans="1:7" s="145" customFormat="1" ht="15.75" customHeight="1">
      <c r="A1206" s="943"/>
      <c r="B1206" s="1115"/>
      <c r="C1206" s="51"/>
      <c r="D1206" s="51"/>
      <c r="E1206" s="51"/>
      <c r="F1206" s="55"/>
      <c r="G1206" s="57">
        <f>SUM(F1204:F1206)</f>
        <v>335.95000000000005</v>
      </c>
    </row>
    <row r="1207" spans="1:7" s="145" customFormat="1" ht="15.75" customHeight="1">
      <c r="A1207" s="1114" t="s">
        <v>10</v>
      </c>
      <c r="B1207" s="1115"/>
      <c r="C1207" s="1115"/>
      <c r="D1207" s="1115"/>
      <c r="E1207" s="1115"/>
      <c r="F1207" s="1115"/>
      <c r="G1207" s="1116"/>
    </row>
    <row r="1208" spans="1:7" s="145" customFormat="1" ht="15.75" customHeight="1">
      <c r="A1208" s="1074" t="s">
        <v>2</v>
      </c>
      <c r="B1208" s="1115"/>
      <c r="C1208" s="53" t="s">
        <v>3</v>
      </c>
      <c r="D1208" s="53" t="s">
        <v>4</v>
      </c>
      <c r="E1208" s="53" t="s">
        <v>6</v>
      </c>
      <c r="F1208" s="53" t="s">
        <v>11</v>
      </c>
      <c r="G1208" s="1075" t="s">
        <v>8</v>
      </c>
    </row>
    <row r="1209" spans="1:7" s="150" customFormat="1" ht="43.95" customHeight="1">
      <c r="A1209" s="947" t="s">
        <v>612</v>
      </c>
      <c r="B1209" s="1115"/>
      <c r="C1209" s="51" t="s">
        <v>3</v>
      </c>
      <c r="D1209" s="148">
        <v>10</v>
      </c>
      <c r="E1209" s="17">
        <f>+'INSUMOS ELÉCTRICOS'!E126</f>
        <v>348.66999999999996</v>
      </c>
      <c r="F1209" s="55">
        <f t="shared" ref="F1209:F1214" si="17">D1209*E1209</f>
        <v>3486.7</v>
      </c>
      <c r="G1209" s="1075"/>
    </row>
    <row r="1210" spans="1:7" s="145" customFormat="1" ht="15.75" customHeight="1">
      <c r="A1210" s="947" t="s">
        <v>613</v>
      </c>
      <c r="B1210" s="1115"/>
      <c r="C1210" s="51" t="s">
        <v>3</v>
      </c>
      <c r="D1210" s="148">
        <v>0.67</v>
      </c>
      <c r="E1210" s="17">
        <f>+'INSUMOS ELÉCTRICOS'!E24</f>
        <v>780</v>
      </c>
      <c r="F1210" s="55">
        <f t="shared" si="17"/>
        <v>522.6</v>
      </c>
      <c r="G1210" s="1075"/>
    </row>
    <row r="1211" spans="1:7" s="145" customFormat="1" ht="15.75" customHeight="1">
      <c r="A1211" s="947" t="s">
        <v>614</v>
      </c>
      <c r="B1211" s="1115"/>
      <c r="C1211" s="51" t="s">
        <v>3</v>
      </c>
      <c r="D1211" s="148">
        <v>0.17</v>
      </c>
      <c r="E1211" s="17">
        <f>+'INSUMOS ELÉCTRICOS'!E25</f>
        <v>11900</v>
      </c>
      <c r="F1211" s="55">
        <f t="shared" si="17"/>
        <v>2023.0000000000002</v>
      </c>
      <c r="G1211" s="1075"/>
    </row>
    <row r="1212" spans="1:7" s="145" customFormat="1" ht="15.75" customHeight="1">
      <c r="A1212" s="947" t="s">
        <v>2477</v>
      </c>
      <c r="B1212" s="1115"/>
      <c r="C1212" s="51" t="s">
        <v>3</v>
      </c>
      <c r="D1212" s="148">
        <v>1</v>
      </c>
      <c r="E1212" s="17">
        <f>+'INSUMOS ELÉCTRICOS'!E26</f>
        <v>16580.666666666668</v>
      </c>
      <c r="F1212" s="55">
        <f t="shared" si="17"/>
        <v>16580.666666666668</v>
      </c>
      <c r="G1212" s="1075"/>
    </row>
    <row r="1213" spans="1:7" s="145" customFormat="1" ht="15.75" customHeight="1">
      <c r="A1213" s="947" t="s">
        <v>615</v>
      </c>
      <c r="B1213" s="1115"/>
      <c r="C1213" s="51" t="s">
        <v>3</v>
      </c>
      <c r="D1213" s="148">
        <v>0.33</v>
      </c>
      <c r="E1213" s="17">
        <f>+'INSUMOS ELÉCTRICOS'!E28</f>
        <v>2946.44</v>
      </c>
      <c r="F1213" s="55">
        <f t="shared" si="17"/>
        <v>972.32520000000011</v>
      </c>
      <c r="G1213" s="1075"/>
    </row>
    <row r="1214" spans="1:7" s="145" customFormat="1" ht="15.75" customHeight="1">
      <c r="A1214" s="947" t="s">
        <v>616</v>
      </c>
      <c r="B1214" s="1115"/>
      <c r="C1214" s="51" t="s">
        <v>3</v>
      </c>
      <c r="D1214" s="148">
        <v>0.32929999999999998</v>
      </c>
      <c r="E1214" s="17">
        <f>+'INSUMOS ELÉCTRICOS'!E29</f>
        <v>4190</v>
      </c>
      <c r="F1214" s="55">
        <f t="shared" si="17"/>
        <v>1379.7669999999998</v>
      </c>
      <c r="G1214" s="1075"/>
    </row>
    <row r="1215" spans="1:7" s="145" customFormat="1" ht="15.75" customHeight="1">
      <c r="A1215" s="947"/>
      <c r="B1215" s="1115"/>
      <c r="C1215" s="16"/>
      <c r="D1215" s="58"/>
      <c r="E1215" s="17"/>
      <c r="F1215" s="55"/>
      <c r="G1215" s="57">
        <f>SUM(F1208:F1215)</f>
        <v>24965.058866666666</v>
      </c>
    </row>
    <row r="1216" spans="1:7" s="145" customFormat="1" ht="15.75" customHeight="1">
      <c r="A1216" s="1114" t="s">
        <v>15</v>
      </c>
      <c r="B1216" s="1115"/>
      <c r="C1216" s="1115"/>
      <c r="D1216" s="1115"/>
      <c r="E1216" s="1115"/>
      <c r="F1216" s="1115"/>
      <c r="G1216" s="1116"/>
    </row>
    <row r="1217" spans="1:7" s="2" customFormat="1" ht="15.75" customHeight="1">
      <c r="A1217" s="1074" t="s">
        <v>2</v>
      </c>
      <c r="B1217" s="1115"/>
      <c r="C1217" s="53" t="s">
        <v>3</v>
      </c>
      <c r="D1217" s="53" t="s">
        <v>4</v>
      </c>
      <c r="E1217" s="53" t="s">
        <v>6</v>
      </c>
      <c r="F1217" s="53" t="s">
        <v>11</v>
      </c>
      <c r="G1217" s="1075" t="s">
        <v>8</v>
      </c>
    </row>
    <row r="1218" spans="1:7" s="145" customFormat="1" ht="15.75" customHeight="1">
      <c r="A1218" s="943" t="s">
        <v>173</v>
      </c>
      <c r="B1218" s="1115"/>
      <c r="C1218" s="16" t="s">
        <v>3</v>
      </c>
      <c r="D1218" s="16">
        <v>0.1</v>
      </c>
      <c r="E1218" s="17">
        <f>G1215</f>
        <v>24965.058866666666</v>
      </c>
      <c r="F1218" s="55">
        <f>D1218*E1218</f>
        <v>2496.5058866666668</v>
      </c>
      <c r="G1218" s="1116"/>
    </row>
    <row r="1219" spans="1:7" s="145" customFormat="1" ht="15.75" customHeight="1">
      <c r="A1219" s="151"/>
      <c r="B1219" s="152"/>
      <c r="C1219" s="152"/>
      <c r="D1219" s="152"/>
      <c r="E1219" s="152"/>
      <c r="F1219" s="152"/>
      <c r="G1219" s="57">
        <f>SUM(F1218:F1219)</f>
        <v>2496.5058866666668</v>
      </c>
    </row>
    <row r="1220" spans="1:7" s="145" customFormat="1" ht="15.75" customHeight="1">
      <c r="A1220" s="1114" t="s">
        <v>19</v>
      </c>
      <c r="B1220" s="1115"/>
      <c r="C1220" s="1115"/>
      <c r="D1220" s="1115"/>
      <c r="E1220" s="1115"/>
      <c r="F1220" s="1115"/>
      <c r="G1220" s="1116"/>
    </row>
    <row r="1221" spans="1:7" s="145" customFormat="1" ht="15" customHeight="1">
      <c r="A1221" s="1074" t="s">
        <v>2</v>
      </c>
      <c r="B1221" s="1115"/>
      <c r="C1221" s="53" t="s">
        <v>3</v>
      </c>
      <c r="D1221" s="53" t="s">
        <v>4</v>
      </c>
      <c r="E1221" s="53" t="s">
        <v>6</v>
      </c>
      <c r="F1221" s="53" t="s">
        <v>11</v>
      </c>
      <c r="G1221" s="1075" t="s">
        <v>8</v>
      </c>
    </row>
    <row r="1222" spans="1:7" s="145" customFormat="1" ht="15.75" customHeight="1">
      <c r="A1222" s="978" t="s">
        <v>1256</v>
      </c>
      <c r="B1222" s="979"/>
      <c r="C1222" s="13" t="s">
        <v>1245</v>
      </c>
      <c r="D1222" s="32">
        <v>0.2</v>
      </c>
      <c r="E1222" s="13">
        <v>18041</v>
      </c>
      <c r="F1222" s="55">
        <f>+D1222*E1222</f>
        <v>3608.2000000000003</v>
      </c>
      <c r="G1222" s="1116"/>
    </row>
    <row r="1223" spans="1:7" s="145" customFormat="1" ht="24" customHeight="1">
      <c r="A1223" s="155"/>
      <c r="B1223" s="156"/>
      <c r="C1223" s="156"/>
      <c r="D1223" s="156"/>
      <c r="E1223" s="156"/>
      <c r="F1223" s="156"/>
      <c r="G1223" s="57">
        <f>SUM(F1221:F1223)</f>
        <v>3608.2000000000003</v>
      </c>
    </row>
    <row r="1224" spans="1:7" s="145" customFormat="1" ht="15.6" customHeight="1">
      <c r="A1224" s="1119" t="s">
        <v>25</v>
      </c>
      <c r="B1224" s="1120"/>
      <c r="C1224" s="1120"/>
      <c r="D1224" s="1120"/>
      <c r="E1224" s="1120"/>
      <c r="F1224" s="1120"/>
      <c r="G1224" s="1121"/>
    </row>
    <row r="1225" spans="1:7" s="145" customFormat="1" ht="15.75" customHeight="1">
      <c r="A1225" s="1122"/>
      <c r="B1225" s="1120"/>
      <c r="C1225" s="1120"/>
      <c r="D1225" s="1120"/>
      <c r="E1225" s="1120"/>
      <c r="F1225" s="1120"/>
      <c r="G1225" s="157">
        <f>G1223+G1219+G1215+G1206</f>
        <v>31405.714753333334</v>
      </c>
    </row>
    <row r="1226" spans="1:7" s="145" customFormat="1" ht="13.8">
      <c r="A1226" s="158"/>
      <c r="B1226" s="159"/>
      <c r="C1226" s="159"/>
      <c r="D1226" s="159"/>
      <c r="E1226" s="159"/>
      <c r="F1226" s="159"/>
      <c r="G1226" s="160"/>
    </row>
    <row r="1227" spans="1:7" s="145" customFormat="1" ht="15.75" customHeight="1">
      <c r="A1227" s="1123" t="s">
        <v>1</v>
      </c>
      <c r="B1227" s="1120"/>
      <c r="C1227" s="953" t="s">
        <v>594</v>
      </c>
      <c r="D1227" s="1125"/>
      <c r="E1227" s="1125"/>
      <c r="F1227" s="1125"/>
      <c r="G1227" s="1126"/>
    </row>
    <row r="1228" spans="1:7" s="145" customFormat="1" ht="15.75" customHeight="1">
      <c r="A1228" s="1124"/>
      <c r="B1228" s="1120"/>
      <c r="C1228" s="1125"/>
      <c r="D1228" s="1125"/>
      <c r="E1228" s="1125"/>
      <c r="F1228" s="1125"/>
      <c r="G1228" s="1126"/>
    </row>
    <row r="1229" spans="1:7" s="145" customFormat="1" ht="15.75" customHeight="1">
      <c r="A1229" s="1124"/>
      <c r="B1229" s="1120"/>
      <c r="C1229" s="1127" t="s">
        <v>609</v>
      </c>
      <c r="D1229" s="1120"/>
      <c r="E1229" s="1120"/>
      <c r="F1229" s="1120"/>
      <c r="G1229" s="1121"/>
    </row>
    <row r="1230" spans="1:7" s="145" customFormat="1" ht="15.75" customHeight="1">
      <c r="A1230" s="1124"/>
      <c r="B1230" s="1120"/>
      <c r="C1230" s="1128" t="s">
        <v>2</v>
      </c>
      <c r="D1230" s="1120"/>
      <c r="E1230" s="1120"/>
      <c r="F1230" s="146" t="s">
        <v>3</v>
      </c>
      <c r="G1230" s="147" t="s">
        <v>4</v>
      </c>
    </row>
    <row r="1231" spans="1:7" s="145" customFormat="1" ht="30" customHeight="1">
      <c r="A1231" s="1073" t="s">
        <v>733</v>
      </c>
      <c r="B1231" s="1115"/>
      <c r="C1231" s="980" t="s">
        <v>626</v>
      </c>
      <c r="D1231" s="1115"/>
      <c r="E1231" s="1115"/>
      <c r="F1231" s="162" t="s">
        <v>45</v>
      </c>
      <c r="G1231" s="52">
        <v>1</v>
      </c>
    </row>
    <row r="1232" spans="1:7" s="145" customFormat="1" ht="15.75" customHeight="1">
      <c r="A1232" s="1114" t="s">
        <v>5</v>
      </c>
      <c r="B1232" s="1115"/>
      <c r="C1232" s="1115"/>
      <c r="D1232" s="1115"/>
      <c r="E1232" s="1115"/>
      <c r="F1232" s="1115"/>
      <c r="G1232" s="1116"/>
    </row>
    <row r="1233" spans="1:7" s="150" customFormat="1" ht="15.75" customHeight="1">
      <c r="A1233" s="1074" t="s">
        <v>2</v>
      </c>
      <c r="B1233" s="1115"/>
      <c r="C1233" s="53" t="s">
        <v>3</v>
      </c>
      <c r="D1233" s="53" t="s">
        <v>4</v>
      </c>
      <c r="E1233" s="53" t="s">
        <v>6</v>
      </c>
      <c r="F1233" s="53" t="s">
        <v>7</v>
      </c>
      <c r="G1233" s="1075" t="s">
        <v>8</v>
      </c>
    </row>
    <row r="1234" spans="1:7" s="145" customFormat="1" ht="15.75" customHeight="1">
      <c r="A1234" s="947" t="s">
        <v>167</v>
      </c>
      <c r="B1234" s="1115"/>
      <c r="C1234" s="51" t="s">
        <v>3</v>
      </c>
      <c r="D1234" s="51">
        <v>0.05</v>
      </c>
      <c r="E1234" s="17">
        <v>6719</v>
      </c>
      <c r="F1234" s="55">
        <f>D1234*E1234</f>
        <v>335.95000000000005</v>
      </c>
      <c r="G1234" s="1116"/>
    </row>
    <row r="1235" spans="1:7" s="145" customFormat="1" ht="15.75" customHeight="1">
      <c r="A1235" s="943"/>
      <c r="B1235" s="1115"/>
      <c r="C1235" s="51"/>
      <c r="D1235" s="51"/>
      <c r="E1235" s="51"/>
      <c r="F1235" s="55"/>
      <c r="G1235" s="57">
        <f>SUM(F1233:F1235)</f>
        <v>335.95000000000005</v>
      </c>
    </row>
    <row r="1236" spans="1:7" s="145" customFormat="1" ht="15.75" customHeight="1">
      <c r="A1236" s="1114" t="s">
        <v>10</v>
      </c>
      <c r="B1236" s="1115"/>
      <c r="C1236" s="1115"/>
      <c r="D1236" s="1115"/>
      <c r="E1236" s="1115"/>
      <c r="F1236" s="1115"/>
      <c r="G1236" s="1116"/>
    </row>
    <row r="1237" spans="1:7" s="145" customFormat="1" ht="15.75" customHeight="1">
      <c r="A1237" s="1074" t="s">
        <v>2</v>
      </c>
      <c r="B1237" s="1115"/>
      <c r="C1237" s="53" t="s">
        <v>3</v>
      </c>
      <c r="D1237" s="53" t="s">
        <v>4</v>
      </c>
      <c r="E1237" s="53" t="s">
        <v>6</v>
      </c>
      <c r="F1237" s="53" t="s">
        <v>11</v>
      </c>
      <c r="G1237" s="1075" t="s">
        <v>8</v>
      </c>
    </row>
    <row r="1238" spans="1:7" s="145" customFormat="1" ht="15.75" customHeight="1">
      <c r="A1238" s="947" t="s">
        <v>612</v>
      </c>
      <c r="B1238" s="1115"/>
      <c r="C1238" s="51" t="s">
        <v>3</v>
      </c>
      <c r="D1238" s="148">
        <v>10</v>
      </c>
      <c r="E1238" s="17">
        <f>+'INSUMOS ELÉCTRICOS'!E126</f>
        <v>348.66999999999996</v>
      </c>
      <c r="F1238" s="55">
        <f t="shared" ref="F1238:F1243" si="18">D1238*E1238</f>
        <v>3486.7</v>
      </c>
      <c r="G1238" s="1075"/>
    </row>
    <row r="1239" spans="1:7" s="145" customFormat="1" ht="15.75" customHeight="1">
      <c r="A1239" s="947" t="s">
        <v>627</v>
      </c>
      <c r="B1239" s="1115"/>
      <c r="C1239" s="51" t="s">
        <v>3</v>
      </c>
      <c r="D1239" s="148">
        <v>0.67</v>
      </c>
      <c r="E1239" s="17">
        <f>+'INSUMOS ELÉCTRICOS'!E34</f>
        <v>3000</v>
      </c>
      <c r="F1239" s="55">
        <f t="shared" si="18"/>
        <v>2010.0000000000002</v>
      </c>
      <c r="G1239" s="1075"/>
    </row>
    <row r="1240" spans="1:7" s="145" customFormat="1" ht="15.75" customHeight="1">
      <c r="A1240" s="947" t="s">
        <v>628</v>
      </c>
      <c r="B1240" s="1115"/>
      <c r="C1240" s="51" t="s">
        <v>3</v>
      </c>
      <c r="D1240" s="148">
        <v>0.17</v>
      </c>
      <c r="E1240" s="17">
        <f>+'INSUMOS ELÉCTRICOS'!E35</f>
        <v>23570.329999999998</v>
      </c>
      <c r="F1240" s="55">
        <f t="shared" si="18"/>
        <v>4006.9560999999999</v>
      </c>
      <c r="G1240" s="1075"/>
    </row>
    <row r="1241" spans="1:7" s="145" customFormat="1" ht="15.75" customHeight="1">
      <c r="A1241" s="947" t="s">
        <v>629</v>
      </c>
      <c r="B1241" s="1115"/>
      <c r="C1241" s="51" t="s">
        <v>622</v>
      </c>
      <c r="D1241" s="148">
        <v>1</v>
      </c>
      <c r="E1241" s="17">
        <f>+'INSUMOS ELÉCTRICOS'!E36</f>
        <v>48597.22</v>
      </c>
      <c r="F1241" s="55">
        <f t="shared" si="18"/>
        <v>48597.22</v>
      </c>
      <c r="G1241" s="1075"/>
    </row>
    <row r="1242" spans="1:7" s="145" customFormat="1" ht="15.75" customHeight="1">
      <c r="A1242" s="947" t="s">
        <v>630</v>
      </c>
      <c r="B1242" s="1115"/>
      <c r="C1242" s="51" t="s">
        <v>3</v>
      </c>
      <c r="D1242" s="148">
        <v>0.33</v>
      </c>
      <c r="E1242" s="17">
        <f>+'INSUMOS ELÉCTRICOS'!E38</f>
        <v>9879.3799999999992</v>
      </c>
      <c r="F1242" s="55">
        <f t="shared" si="18"/>
        <v>3260.1954000000001</v>
      </c>
      <c r="G1242" s="1075"/>
    </row>
    <row r="1243" spans="1:7" s="145" customFormat="1" ht="15.75" customHeight="1">
      <c r="A1243" s="947" t="s">
        <v>631</v>
      </c>
      <c r="B1243" s="1115"/>
      <c r="C1243" s="51" t="s">
        <v>3</v>
      </c>
      <c r="D1243" s="148">
        <v>0.32929999999999998</v>
      </c>
      <c r="E1243" s="17">
        <f>+'INSUMOS ELÉCTRICOS'!E37</f>
        <v>10407.74</v>
      </c>
      <c r="F1243" s="55">
        <f t="shared" si="18"/>
        <v>3427.2687819999996</v>
      </c>
      <c r="G1243" s="1075"/>
    </row>
    <row r="1244" spans="1:7" s="145" customFormat="1" ht="15.75" customHeight="1">
      <c r="A1244" s="947"/>
      <c r="B1244" s="1115"/>
      <c r="C1244" s="51"/>
      <c r="D1244" s="58"/>
      <c r="E1244" s="17"/>
      <c r="F1244" s="55"/>
      <c r="G1244" s="57">
        <f>SUM(F1237:F1244)</f>
        <v>64788.340281999997</v>
      </c>
    </row>
    <row r="1245" spans="1:7" s="145" customFormat="1" ht="15.75" customHeight="1">
      <c r="A1245" s="1114" t="s">
        <v>15</v>
      </c>
      <c r="B1245" s="1115"/>
      <c r="C1245" s="1115"/>
      <c r="D1245" s="1115"/>
      <c r="E1245" s="1115"/>
      <c r="F1245" s="1115"/>
      <c r="G1245" s="1116"/>
    </row>
    <row r="1246" spans="1:7" s="2" customFormat="1" ht="15.75" customHeight="1">
      <c r="A1246" s="1074" t="s">
        <v>2</v>
      </c>
      <c r="B1246" s="1115"/>
      <c r="C1246" s="53" t="s">
        <v>3</v>
      </c>
      <c r="D1246" s="53" t="s">
        <v>4</v>
      </c>
      <c r="E1246" s="53" t="s">
        <v>6</v>
      </c>
      <c r="F1246" s="53" t="s">
        <v>11</v>
      </c>
      <c r="G1246" s="1075" t="s">
        <v>8</v>
      </c>
    </row>
    <row r="1247" spans="1:7" s="145" customFormat="1" ht="15.75" customHeight="1">
      <c r="A1247" s="943" t="s">
        <v>173</v>
      </c>
      <c r="B1247" s="1115"/>
      <c r="C1247" s="16" t="s">
        <v>3</v>
      </c>
      <c r="D1247" s="16">
        <v>0.02</v>
      </c>
      <c r="E1247" s="17">
        <f>G1244</f>
        <v>64788.340281999997</v>
      </c>
      <c r="F1247" s="55">
        <f>D1247*E1247</f>
        <v>1295.76680564</v>
      </c>
      <c r="G1247" s="1116"/>
    </row>
    <row r="1248" spans="1:7" s="145" customFormat="1" ht="15.75" customHeight="1">
      <c r="A1248" s="151"/>
      <c r="B1248" s="152"/>
      <c r="C1248" s="152"/>
      <c r="D1248" s="152"/>
      <c r="E1248" s="152"/>
      <c r="F1248" s="152"/>
      <c r="G1248" s="57">
        <f>SUM(F1247:F1248)</f>
        <v>1295.76680564</v>
      </c>
    </row>
    <row r="1249" spans="1:7" s="145" customFormat="1" ht="15.75" customHeight="1">
      <c r="A1249" s="1114" t="s">
        <v>19</v>
      </c>
      <c r="B1249" s="1115"/>
      <c r="C1249" s="1115"/>
      <c r="D1249" s="1115"/>
      <c r="E1249" s="1115"/>
      <c r="F1249" s="1115"/>
      <c r="G1249" s="1116"/>
    </row>
    <row r="1250" spans="1:7" s="145" customFormat="1" ht="15" customHeight="1">
      <c r="A1250" s="1074" t="s">
        <v>2</v>
      </c>
      <c r="B1250" s="1115"/>
      <c r="C1250" s="53" t="s">
        <v>3</v>
      </c>
      <c r="D1250" s="53" t="s">
        <v>4</v>
      </c>
      <c r="E1250" s="53" t="s">
        <v>6</v>
      </c>
      <c r="F1250" s="53" t="s">
        <v>11</v>
      </c>
      <c r="G1250" s="1075" t="s">
        <v>8</v>
      </c>
    </row>
    <row r="1251" spans="1:7" s="145" customFormat="1" ht="15.75" customHeight="1">
      <c r="A1251" s="978" t="s">
        <v>1256</v>
      </c>
      <c r="B1251" s="979"/>
      <c r="C1251" s="13" t="s">
        <v>1245</v>
      </c>
      <c r="D1251" s="32">
        <v>0.4</v>
      </c>
      <c r="E1251" s="13">
        <v>20030</v>
      </c>
      <c r="F1251" s="55">
        <f>+D1251*E1251</f>
        <v>8012</v>
      </c>
      <c r="G1251" s="1116"/>
    </row>
    <row r="1252" spans="1:7" s="145" customFormat="1" ht="24" customHeight="1">
      <c r="A1252" s="155"/>
      <c r="B1252" s="156"/>
      <c r="C1252" s="156"/>
      <c r="D1252" s="156"/>
      <c r="E1252" s="156"/>
      <c r="F1252" s="156"/>
      <c r="G1252" s="57">
        <f>SUM(F1250:F1252)</f>
        <v>8012</v>
      </c>
    </row>
    <row r="1253" spans="1:7" s="145" customFormat="1" ht="15.6" customHeight="1">
      <c r="A1253" s="1119" t="s">
        <v>25</v>
      </c>
      <c r="B1253" s="1120"/>
      <c r="C1253" s="1120"/>
      <c r="D1253" s="1120"/>
      <c r="E1253" s="1120"/>
      <c r="F1253" s="1120"/>
      <c r="G1253" s="1121"/>
    </row>
    <row r="1254" spans="1:7" s="145" customFormat="1" ht="15.75" customHeight="1">
      <c r="A1254" s="1122"/>
      <c r="B1254" s="1120"/>
      <c r="C1254" s="1120"/>
      <c r="D1254" s="1120"/>
      <c r="E1254" s="1120"/>
      <c r="F1254" s="1120"/>
      <c r="G1254" s="157">
        <f>G1252+G1248+G1244+G1235</f>
        <v>74432.057087640002</v>
      </c>
    </row>
    <row r="1255" spans="1:7" s="145" customFormat="1" ht="57.75" customHeight="1">
      <c r="A1255" s="158"/>
      <c r="B1255" s="159"/>
      <c r="C1255" s="159"/>
      <c r="D1255" s="159"/>
      <c r="E1255" s="159"/>
      <c r="F1255" s="159"/>
      <c r="G1255" s="160"/>
    </row>
    <row r="1256" spans="1:7" s="145" customFormat="1" ht="15.75" customHeight="1">
      <c r="A1256" s="1123" t="s">
        <v>1</v>
      </c>
      <c r="B1256" s="1120"/>
      <c r="C1256" s="953" t="s">
        <v>594</v>
      </c>
      <c r="D1256" s="1125"/>
      <c r="E1256" s="1125"/>
      <c r="F1256" s="1125"/>
      <c r="G1256" s="1126"/>
    </row>
    <row r="1257" spans="1:7" s="145" customFormat="1" ht="15.75" customHeight="1">
      <c r="A1257" s="1124"/>
      <c r="B1257" s="1120"/>
      <c r="C1257" s="1125"/>
      <c r="D1257" s="1125"/>
      <c r="E1257" s="1125"/>
      <c r="F1257" s="1125"/>
      <c r="G1257" s="1126"/>
    </row>
    <row r="1258" spans="1:7" s="145" customFormat="1" ht="15.75" customHeight="1">
      <c r="A1258" s="1124"/>
      <c r="B1258" s="1120"/>
      <c r="C1258" s="1127" t="s">
        <v>609</v>
      </c>
      <c r="D1258" s="1120"/>
      <c r="E1258" s="1120"/>
      <c r="F1258" s="1120"/>
      <c r="G1258" s="1121"/>
    </row>
    <row r="1259" spans="1:7" s="145" customFormat="1" ht="15.75" customHeight="1">
      <c r="A1259" s="1124"/>
      <c r="B1259" s="1120"/>
      <c r="C1259" s="1128" t="s">
        <v>2</v>
      </c>
      <c r="D1259" s="1120"/>
      <c r="E1259" s="1120"/>
      <c r="F1259" s="146" t="s">
        <v>3</v>
      </c>
      <c r="G1259" s="147" t="s">
        <v>4</v>
      </c>
    </row>
    <row r="1260" spans="1:7" s="145" customFormat="1" ht="34.799999999999997">
      <c r="A1260" s="1073" t="s">
        <v>734</v>
      </c>
      <c r="B1260" s="1115"/>
      <c r="C1260" s="980" t="s">
        <v>633</v>
      </c>
      <c r="D1260" s="1115"/>
      <c r="E1260" s="1115"/>
      <c r="F1260" s="162" t="s">
        <v>28</v>
      </c>
      <c r="G1260" s="52">
        <v>1</v>
      </c>
    </row>
    <row r="1261" spans="1:7" s="145" customFormat="1" ht="15.75" customHeight="1">
      <c r="A1261" s="1114" t="s">
        <v>5</v>
      </c>
      <c r="B1261" s="1115"/>
      <c r="C1261" s="1115"/>
      <c r="D1261" s="1115"/>
      <c r="E1261" s="1115"/>
      <c r="F1261" s="1115"/>
      <c r="G1261" s="1116"/>
    </row>
    <row r="1262" spans="1:7" s="150" customFormat="1" ht="15.75" customHeight="1">
      <c r="A1262" s="1074" t="s">
        <v>2</v>
      </c>
      <c r="B1262" s="1115"/>
      <c r="C1262" s="53" t="s">
        <v>3</v>
      </c>
      <c r="D1262" s="53" t="s">
        <v>4</v>
      </c>
      <c r="E1262" s="53" t="s">
        <v>6</v>
      </c>
      <c r="F1262" s="53" t="s">
        <v>7</v>
      </c>
      <c r="G1262" s="1075" t="s">
        <v>8</v>
      </c>
    </row>
    <row r="1263" spans="1:7" s="145" customFormat="1" ht="15.75" customHeight="1">
      <c r="A1263" s="947" t="s">
        <v>167</v>
      </c>
      <c r="B1263" s="1115"/>
      <c r="C1263" s="51" t="s">
        <v>3</v>
      </c>
      <c r="D1263" s="51">
        <v>0.05</v>
      </c>
      <c r="E1263" s="17">
        <f>G1277</f>
        <v>4006</v>
      </c>
      <c r="F1263" s="55">
        <f>D1263*E1263</f>
        <v>200.3</v>
      </c>
      <c r="G1263" s="1116"/>
    </row>
    <row r="1264" spans="1:7" s="145" customFormat="1" ht="15.75" customHeight="1">
      <c r="A1264" s="943"/>
      <c r="B1264" s="1115"/>
      <c r="C1264" s="51"/>
      <c r="D1264" s="51"/>
      <c r="E1264" s="51"/>
      <c r="F1264" s="55"/>
      <c r="G1264" s="57">
        <f>SUM(F1262:F1264)</f>
        <v>200.3</v>
      </c>
    </row>
    <row r="1265" spans="1:7" s="145" customFormat="1" ht="15.75" customHeight="1">
      <c r="A1265" s="1114" t="s">
        <v>10</v>
      </c>
      <c r="B1265" s="1115"/>
      <c r="C1265" s="1115"/>
      <c r="D1265" s="1115"/>
      <c r="E1265" s="1115"/>
      <c r="F1265" s="1115"/>
      <c r="G1265" s="1116"/>
    </row>
    <row r="1266" spans="1:7" s="145" customFormat="1" ht="15.75" customHeight="1">
      <c r="A1266" s="1074" t="s">
        <v>2</v>
      </c>
      <c r="B1266" s="1115"/>
      <c r="C1266" s="53" t="s">
        <v>3</v>
      </c>
      <c r="D1266" s="53" t="s">
        <v>4</v>
      </c>
      <c r="E1266" s="53" t="s">
        <v>6</v>
      </c>
      <c r="F1266" s="53" t="s">
        <v>11</v>
      </c>
      <c r="G1266" s="1075" t="s">
        <v>8</v>
      </c>
    </row>
    <row r="1267" spans="1:7" s="145" customFormat="1" ht="15.75" customHeight="1">
      <c r="A1267" s="947" t="s">
        <v>612</v>
      </c>
      <c r="B1267" s="1115"/>
      <c r="C1267" s="51" t="s">
        <v>3</v>
      </c>
      <c r="D1267" s="148">
        <v>8</v>
      </c>
      <c r="E1267" s="17">
        <f>+'INSUMOS ELÉCTRICOS'!E126</f>
        <v>348.66999999999996</v>
      </c>
      <c r="F1267" s="55">
        <f>D1267*E1267</f>
        <v>2789.3599999999997</v>
      </c>
      <c r="G1267" s="1075"/>
    </row>
    <row r="1268" spans="1:7" s="145" customFormat="1" ht="15.75" customHeight="1">
      <c r="A1268" s="947" t="s">
        <v>633</v>
      </c>
      <c r="B1268" s="1115"/>
      <c r="C1268" s="51" t="s">
        <v>45</v>
      </c>
      <c r="D1268" s="148">
        <v>1</v>
      </c>
      <c r="E1268" s="17">
        <f>+'INSUMOS ELÉCTRICOS'!E51</f>
        <v>49583.333333333336</v>
      </c>
      <c r="F1268" s="55">
        <f>D1268*E1268</f>
        <v>49583.333333333336</v>
      </c>
      <c r="G1268" s="1075"/>
    </row>
    <row r="1269" spans="1:7" s="145" customFormat="1" ht="15.75" customHeight="1">
      <c r="A1269" s="947"/>
      <c r="B1269" s="1115"/>
      <c r="C1269" s="16"/>
      <c r="D1269" s="58"/>
      <c r="E1269" s="17"/>
      <c r="F1269" s="55"/>
      <c r="G1269" s="57">
        <f>SUM(F1266:F1269)</f>
        <v>52372.693333333336</v>
      </c>
    </row>
    <row r="1270" spans="1:7" s="145" customFormat="1" ht="15.75" customHeight="1">
      <c r="A1270" s="1114" t="s">
        <v>15</v>
      </c>
      <c r="B1270" s="1115"/>
      <c r="C1270" s="1115"/>
      <c r="D1270" s="1115"/>
      <c r="E1270" s="1115"/>
      <c r="F1270" s="1115"/>
      <c r="G1270" s="1116"/>
    </row>
    <row r="1271" spans="1:7" s="145" customFormat="1" ht="15.75" customHeight="1">
      <c r="A1271" s="1074" t="s">
        <v>2</v>
      </c>
      <c r="B1271" s="1115"/>
      <c r="C1271" s="53" t="s">
        <v>3</v>
      </c>
      <c r="D1271" s="53" t="s">
        <v>4</v>
      </c>
      <c r="E1271" s="53" t="s">
        <v>6</v>
      </c>
      <c r="F1271" s="53" t="s">
        <v>11</v>
      </c>
      <c r="G1271" s="1075" t="s">
        <v>8</v>
      </c>
    </row>
    <row r="1272" spans="1:7" s="145" customFormat="1" ht="15.75" customHeight="1">
      <c r="A1272" s="943" t="s">
        <v>173</v>
      </c>
      <c r="B1272" s="1115"/>
      <c r="C1272" s="16" t="s">
        <v>3</v>
      </c>
      <c r="D1272" s="16">
        <v>0.02</v>
      </c>
      <c r="E1272" s="17">
        <f>G1269</f>
        <v>52372.693333333336</v>
      </c>
      <c r="F1272" s="55">
        <f>D1272*E1272</f>
        <v>1047.4538666666667</v>
      </c>
      <c r="G1272" s="1116"/>
    </row>
    <row r="1273" spans="1:7" s="145" customFormat="1" ht="15.75" customHeight="1">
      <c r="A1273" s="151"/>
      <c r="B1273" s="152"/>
      <c r="C1273" s="152"/>
      <c r="D1273" s="152"/>
      <c r="E1273" s="152"/>
      <c r="F1273" s="152"/>
      <c r="G1273" s="57">
        <f>SUM(F1272:F1273)</f>
        <v>1047.4538666666667</v>
      </c>
    </row>
    <row r="1274" spans="1:7" s="145" customFormat="1" ht="15.75" customHeight="1">
      <c r="A1274" s="1114" t="s">
        <v>19</v>
      </c>
      <c r="B1274" s="1115"/>
      <c r="C1274" s="1115"/>
      <c r="D1274" s="1115"/>
      <c r="E1274" s="1115"/>
      <c r="F1274" s="1115"/>
      <c r="G1274" s="1116"/>
    </row>
    <row r="1275" spans="1:7" s="2" customFormat="1" ht="15.75" customHeight="1">
      <c r="A1275" s="1074" t="s">
        <v>2</v>
      </c>
      <c r="B1275" s="1115"/>
      <c r="C1275" s="53" t="s">
        <v>3</v>
      </c>
      <c r="D1275" s="53" t="s">
        <v>4</v>
      </c>
      <c r="E1275" s="53" t="s">
        <v>6</v>
      </c>
      <c r="F1275" s="53" t="s">
        <v>11</v>
      </c>
      <c r="G1275" s="1075" t="s">
        <v>8</v>
      </c>
    </row>
    <row r="1276" spans="1:7" s="145" customFormat="1" ht="15.75" customHeight="1">
      <c r="A1276" s="978" t="s">
        <v>1256</v>
      </c>
      <c r="B1276" s="979"/>
      <c r="C1276" s="13" t="s">
        <v>1245</v>
      </c>
      <c r="D1276" s="32">
        <v>0.2</v>
      </c>
      <c r="E1276" s="13">
        <v>20030</v>
      </c>
      <c r="F1276" s="55">
        <f>+D1276*E1276</f>
        <v>4006</v>
      </c>
      <c r="G1276" s="1116"/>
    </row>
    <row r="1277" spans="1:7" s="145" customFormat="1" ht="15.75" customHeight="1">
      <c r="A1277" s="155"/>
      <c r="B1277" s="156"/>
      <c r="C1277" s="156"/>
      <c r="D1277" s="156"/>
      <c r="E1277" s="156"/>
      <c r="F1277" s="156"/>
      <c r="G1277" s="57">
        <f>SUM(F1275:F1277)</f>
        <v>4006</v>
      </c>
    </row>
    <row r="1278" spans="1:7" s="145" customFormat="1" ht="15.75" customHeight="1">
      <c r="A1278" s="1119" t="s">
        <v>25</v>
      </c>
      <c r="B1278" s="1120"/>
      <c r="C1278" s="1120"/>
      <c r="D1278" s="1120"/>
      <c r="E1278" s="1120"/>
      <c r="F1278" s="1120"/>
      <c r="G1278" s="1121"/>
    </row>
    <row r="1279" spans="1:7" s="145" customFormat="1" ht="15" customHeight="1">
      <c r="A1279" s="1122"/>
      <c r="B1279" s="1120"/>
      <c r="C1279" s="1120"/>
      <c r="D1279" s="1120"/>
      <c r="E1279" s="1120"/>
      <c r="F1279" s="1120"/>
      <c r="G1279" s="157">
        <f>G1277+G1273+G1269+G1264</f>
        <v>57626.44720000001</v>
      </c>
    </row>
    <row r="1280" spans="1:7" s="145" customFormat="1" ht="15.75" customHeight="1">
      <c r="A1280" s="158"/>
      <c r="B1280" s="159"/>
      <c r="C1280" s="159"/>
      <c r="D1280" s="159"/>
      <c r="E1280" s="159"/>
      <c r="F1280" s="159"/>
      <c r="G1280" s="160"/>
    </row>
    <row r="1281" spans="1:7" s="145" customFormat="1" ht="24" customHeight="1">
      <c r="A1281" s="1123" t="s">
        <v>1</v>
      </c>
      <c r="B1281" s="1120"/>
      <c r="C1281" s="953" t="s">
        <v>594</v>
      </c>
      <c r="D1281" s="1125"/>
      <c r="E1281" s="1125"/>
      <c r="F1281" s="1125"/>
      <c r="G1281" s="1126"/>
    </row>
    <row r="1282" spans="1:7" s="145" customFormat="1" ht="15.6" customHeight="1">
      <c r="A1282" s="1124"/>
      <c r="B1282" s="1120"/>
      <c r="C1282" s="1125"/>
      <c r="D1282" s="1125"/>
      <c r="E1282" s="1125"/>
      <c r="F1282" s="1125"/>
      <c r="G1282" s="1126"/>
    </row>
    <row r="1283" spans="1:7" s="145" customFormat="1" ht="15.75" customHeight="1">
      <c r="A1283" s="1124"/>
      <c r="B1283" s="1120"/>
      <c r="C1283" s="1127" t="s">
        <v>609</v>
      </c>
      <c r="D1283" s="1120"/>
      <c r="E1283" s="1120"/>
      <c r="F1283" s="1120"/>
      <c r="G1283" s="1121"/>
    </row>
    <row r="1284" spans="1:7" s="145" customFormat="1" ht="57.75" customHeight="1">
      <c r="A1284" s="1124"/>
      <c r="B1284" s="1120"/>
      <c r="C1284" s="1128" t="s">
        <v>2</v>
      </c>
      <c r="D1284" s="1120"/>
      <c r="E1284" s="1120"/>
      <c r="F1284" s="146" t="s">
        <v>3</v>
      </c>
      <c r="G1284" s="147" t="s">
        <v>4</v>
      </c>
    </row>
    <row r="1285" spans="1:7" s="145" customFormat="1" ht="34.799999999999997">
      <c r="A1285" s="1073" t="s">
        <v>735</v>
      </c>
      <c r="B1285" s="1115"/>
      <c r="C1285" s="980" t="s">
        <v>2761</v>
      </c>
      <c r="D1285" s="1115"/>
      <c r="E1285" s="1115"/>
      <c r="F1285" s="162" t="s">
        <v>28</v>
      </c>
      <c r="G1285" s="52">
        <v>1</v>
      </c>
    </row>
    <row r="1286" spans="1:7" s="145" customFormat="1" ht="15.75" customHeight="1">
      <c r="A1286" s="1114" t="s">
        <v>5</v>
      </c>
      <c r="B1286" s="1115"/>
      <c r="C1286" s="1115"/>
      <c r="D1286" s="1115"/>
      <c r="E1286" s="1115"/>
      <c r="F1286" s="1115"/>
      <c r="G1286" s="1116"/>
    </row>
    <row r="1287" spans="1:7" s="145" customFormat="1" ht="15.75" customHeight="1">
      <c r="A1287" s="1074" t="s">
        <v>2</v>
      </c>
      <c r="B1287" s="1115"/>
      <c r="C1287" s="53" t="s">
        <v>3</v>
      </c>
      <c r="D1287" s="53" t="s">
        <v>4</v>
      </c>
      <c r="E1287" s="53" t="s">
        <v>6</v>
      </c>
      <c r="F1287" s="53" t="s">
        <v>7</v>
      </c>
      <c r="G1287" s="1075" t="s">
        <v>8</v>
      </c>
    </row>
    <row r="1288" spans="1:7" s="145" customFormat="1" ht="15.75" customHeight="1">
      <c r="A1288" s="947" t="s">
        <v>167</v>
      </c>
      <c r="B1288" s="1115"/>
      <c r="C1288" s="51" t="s">
        <v>3</v>
      </c>
      <c r="D1288" s="51">
        <v>0.05</v>
      </c>
      <c r="E1288" s="17">
        <f>G1302</f>
        <v>10015</v>
      </c>
      <c r="F1288" s="55">
        <f>D1288*E1288</f>
        <v>500.75</v>
      </c>
      <c r="G1288" s="1116"/>
    </row>
    <row r="1289" spans="1:7" s="145" customFormat="1" ht="15.75" customHeight="1">
      <c r="A1289" s="943"/>
      <c r="B1289" s="1115"/>
      <c r="C1289" s="51"/>
      <c r="D1289" s="51"/>
      <c r="E1289" s="51"/>
      <c r="F1289" s="55"/>
      <c r="G1289" s="57">
        <f>SUM(F1287:F1289)</f>
        <v>500.75</v>
      </c>
    </row>
    <row r="1290" spans="1:7" s="145" customFormat="1" ht="15.75" customHeight="1">
      <c r="A1290" s="1114" t="s">
        <v>10</v>
      </c>
      <c r="B1290" s="1115"/>
      <c r="C1290" s="1115"/>
      <c r="D1290" s="1115"/>
      <c r="E1290" s="1115"/>
      <c r="F1290" s="1115"/>
      <c r="G1290" s="1116"/>
    </row>
    <row r="1291" spans="1:7" s="150" customFormat="1" ht="15.75" customHeight="1">
      <c r="A1291" s="1074" t="s">
        <v>2</v>
      </c>
      <c r="B1291" s="1115"/>
      <c r="C1291" s="53" t="s">
        <v>3</v>
      </c>
      <c r="D1291" s="53" t="s">
        <v>4</v>
      </c>
      <c r="E1291" s="53" t="s">
        <v>6</v>
      </c>
      <c r="F1291" s="53" t="s">
        <v>11</v>
      </c>
      <c r="G1291" s="1075" t="s">
        <v>8</v>
      </c>
    </row>
    <row r="1292" spans="1:7" s="145" customFormat="1" ht="15.75" customHeight="1">
      <c r="A1292" s="947" t="s">
        <v>612</v>
      </c>
      <c r="B1292" s="1115"/>
      <c r="C1292" s="51" t="s">
        <v>3</v>
      </c>
      <c r="D1292" s="148">
        <v>10</v>
      </c>
      <c r="E1292" s="17">
        <f>+'INSUMOS ELÉCTRICOS'!E126</f>
        <v>348.66999999999996</v>
      </c>
      <c r="F1292" s="55">
        <f>D1292*E1292</f>
        <v>3486.7</v>
      </c>
      <c r="G1292" s="1075"/>
    </row>
    <row r="1293" spans="1:7" s="145" customFormat="1" ht="15.75" customHeight="1">
      <c r="A1293" s="947" t="s">
        <v>635</v>
      </c>
      <c r="B1293" s="1115"/>
      <c r="C1293" s="51" t="s">
        <v>3</v>
      </c>
      <c r="D1293" s="148">
        <v>1</v>
      </c>
      <c r="E1293" s="17">
        <f>+'INSUMOS ELÉCTRICOS'!E54</f>
        <v>67400.41</v>
      </c>
      <c r="F1293" s="55">
        <f>D1293*E1293</f>
        <v>67400.41</v>
      </c>
      <c r="G1293" s="1075"/>
    </row>
    <row r="1294" spans="1:7" s="145" customFormat="1" ht="15.75" customHeight="1">
      <c r="A1294" s="947"/>
      <c r="B1294" s="1115"/>
      <c r="C1294" s="16"/>
      <c r="D1294" s="58"/>
      <c r="E1294" s="17"/>
      <c r="F1294" s="55"/>
      <c r="G1294" s="57">
        <f>SUM(F1291:F1294)</f>
        <v>70887.11</v>
      </c>
    </row>
    <row r="1295" spans="1:7" s="145" customFormat="1" ht="15.75" customHeight="1">
      <c r="A1295" s="1114" t="s">
        <v>15</v>
      </c>
      <c r="B1295" s="1115"/>
      <c r="C1295" s="1115"/>
      <c r="D1295" s="1115"/>
      <c r="E1295" s="1115"/>
      <c r="F1295" s="1115"/>
      <c r="G1295" s="1116"/>
    </row>
    <row r="1296" spans="1:7" s="145" customFormat="1" ht="15.75" customHeight="1">
      <c r="A1296" s="1074" t="s">
        <v>2</v>
      </c>
      <c r="B1296" s="1115"/>
      <c r="C1296" s="53" t="s">
        <v>3</v>
      </c>
      <c r="D1296" s="53" t="s">
        <v>4</v>
      </c>
      <c r="E1296" s="53" t="s">
        <v>6</v>
      </c>
      <c r="F1296" s="53" t="s">
        <v>11</v>
      </c>
      <c r="G1296" s="1075" t="s">
        <v>8</v>
      </c>
    </row>
    <row r="1297" spans="1:7" s="145" customFormat="1" ht="15.75" customHeight="1">
      <c r="A1297" s="943" t="s">
        <v>173</v>
      </c>
      <c r="B1297" s="1115"/>
      <c r="C1297" s="16" t="s">
        <v>3</v>
      </c>
      <c r="D1297" s="16">
        <v>0.01</v>
      </c>
      <c r="E1297" s="17">
        <f>G1294</f>
        <v>70887.11</v>
      </c>
      <c r="F1297" s="55">
        <f>D1297*E1297</f>
        <v>708.87110000000007</v>
      </c>
      <c r="G1297" s="1116"/>
    </row>
    <row r="1298" spans="1:7" s="145" customFormat="1" ht="15.75" customHeight="1">
      <c r="A1298" s="151"/>
      <c r="B1298" s="152"/>
      <c r="C1298" s="152"/>
      <c r="D1298" s="152"/>
      <c r="E1298" s="152"/>
      <c r="F1298" s="152"/>
      <c r="G1298" s="57">
        <f>SUM(F1297:F1298)</f>
        <v>708.87110000000007</v>
      </c>
    </row>
    <row r="1299" spans="1:7" s="145" customFormat="1" ht="15.75" customHeight="1">
      <c r="A1299" s="1114" t="s">
        <v>19</v>
      </c>
      <c r="B1299" s="1115"/>
      <c r="C1299" s="1115"/>
      <c r="D1299" s="1115"/>
      <c r="E1299" s="1115"/>
      <c r="F1299" s="1115"/>
      <c r="G1299" s="1116"/>
    </row>
    <row r="1300" spans="1:7" s="2" customFormat="1" ht="15.75" customHeight="1">
      <c r="A1300" s="1074" t="s">
        <v>2</v>
      </c>
      <c r="B1300" s="1115"/>
      <c r="C1300" s="53" t="s">
        <v>3</v>
      </c>
      <c r="D1300" s="53" t="s">
        <v>4</v>
      </c>
      <c r="E1300" s="53" t="s">
        <v>6</v>
      </c>
      <c r="F1300" s="53" t="s">
        <v>11</v>
      </c>
      <c r="G1300" s="1075" t="s">
        <v>8</v>
      </c>
    </row>
    <row r="1301" spans="1:7" s="145" customFormat="1" ht="15.75" customHeight="1">
      <c r="A1301" s="978" t="s">
        <v>1256</v>
      </c>
      <c r="B1301" s="979"/>
      <c r="C1301" s="13" t="s">
        <v>1245</v>
      </c>
      <c r="D1301" s="32">
        <v>0.5</v>
      </c>
      <c r="E1301" s="13">
        <v>20030</v>
      </c>
      <c r="F1301" s="55">
        <f>+D1301*E1301</f>
        <v>10015</v>
      </c>
      <c r="G1301" s="1116"/>
    </row>
    <row r="1302" spans="1:7" s="145" customFormat="1" ht="15.75" customHeight="1">
      <c r="A1302" s="155"/>
      <c r="B1302" s="156"/>
      <c r="C1302" s="156"/>
      <c r="D1302" s="156"/>
      <c r="E1302" s="156"/>
      <c r="F1302" s="156"/>
      <c r="G1302" s="57">
        <f>SUM(F1300:F1302)</f>
        <v>10015</v>
      </c>
    </row>
    <row r="1303" spans="1:7" s="145" customFormat="1" ht="15.75" customHeight="1">
      <c r="A1303" s="1119" t="s">
        <v>25</v>
      </c>
      <c r="B1303" s="1120"/>
      <c r="C1303" s="1120"/>
      <c r="D1303" s="1120"/>
      <c r="E1303" s="1120"/>
      <c r="F1303" s="1120"/>
      <c r="G1303" s="1121"/>
    </row>
    <row r="1304" spans="1:7" s="145" customFormat="1" ht="15" customHeight="1">
      <c r="A1304" s="1122"/>
      <c r="B1304" s="1120"/>
      <c r="C1304" s="1120"/>
      <c r="D1304" s="1120"/>
      <c r="E1304" s="1120"/>
      <c r="F1304" s="1120"/>
      <c r="G1304" s="157">
        <f>G1302+G1298+G1294+G1289</f>
        <v>82111.731100000005</v>
      </c>
    </row>
    <row r="1305" spans="1:7" s="145" customFormat="1" ht="15.75" customHeight="1">
      <c r="A1305" s="158"/>
      <c r="B1305" s="159"/>
      <c r="C1305" s="159"/>
      <c r="D1305" s="159"/>
      <c r="E1305" s="159"/>
      <c r="F1305" s="159"/>
      <c r="G1305" s="160"/>
    </row>
    <row r="1306" spans="1:7" s="145" customFormat="1" ht="24" customHeight="1">
      <c r="A1306" s="1123" t="s">
        <v>1</v>
      </c>
      <c r="B1306" s="1120"/>
      <c r="C1306" s="953" t="s">
        <v>594</v>
      </c>
      <c r="D1306" s="1125"/>
      <c r="E1306" s="1125"/>
      <c r="F1306" s="1125"/>
      <c r="G1306" s="1126"/>
    </row>
    <row r="1307" spans="1:7" s="145" customFormat="1" ht="15.6" customHeight="1">
      <c r="A1307" s="1124"/>
      <c r="B1307" s="1120"/>
      <c r="C1307" s="1125"/>
      <c r="D1307" s="1125"/>
      <c r="E1307" s="1125"/>
      <c r="F1307" s="1125"/>
      <c r="G1307" s="1126"/>
    </row>
    <row r="1308" spans="1:7" s="145" customFormat="1" ht="15.75" customHeight="1">
      <c r="A1308" s="1124"/>
      <c r="B1308" s="1120"/>
      <c r="C1308" s="1127" t="s">
        <v>637</v>
      </c>
      <c r="D1308" s="1120"/>
      <c r="E1308" s="1120"/>
      <c r="F1308" s="1120"/>
      <c r="G1308" s="1121"/>
    </row>
    <row r="1309" spans="1:7" s="145" customFormat="1" ht="57.75" customHeight="1">
      <c r="A1309" s="1124"/>
      <c r="B1309" s="1120"/>
      <c r="C1309" s="1128" t="s">
        <v>2</v>
      </c>
      <c r="D1309" s="1120"/>
      <c r="E1309" s="1120"/>
      <c r="F1309" s="146" t="s">
        <v>3</v>
      </c>
      <c r="G1309" s="147" t="s">
        <v>4</v>
      </c>
    </row>
    <row r="1310" spans="1:7" s="145" customFormat="1" ht="102.75" customHeight="1">
      <c r="A1310" s="1073" t="s">
        <v>736</v>
      </c>
      <c r="B1310" s="1115"/>
      <c r="C1310" s="980" t="s">
        <v>639</v>
      </c>
      <c r="D1310" s="1115"/>
      <c r="E1310" s="1115"/>
      <c r="F1310" s="162" t="s">
        <v>28</v>
      </c>
      <c r="G1310" s="52">
        <v>1</v>
      </c>
    </row>
    <row r="1311" spans="1:7" s="145" customFormat="1" ht="15.75" customHeight="1">
      <c r="A1311" s="1114" t="s">
        <v>5</v>
      </c>
      <c r="B1311" s="1115"/>
      <c r="C1311" s="1115"/>
      <c r="D1311" s="1115"/>
      <c r="E1311" s="1115"/>
      <c r="F1311" s="1115"/>
      <c r="G1311" s="1116"/>
    </row>
    <row r="1312" spans="1:7" s="145" customFormat="1" ht="15.75" customHeight="1">
      <c r="A1312" s="1074" t="s">
        <v>2</v>
      </c>
      <c r="B1312" s="1115"/>
      <c r="C1312" s="53" t="s">
        <v>3</v>
      </c>
      <c r="D1312" s="53" t="s">
        <v>4</v>
      </c>
      <c r="E1312" s="53" t="s">
        <v>6</v>
      </c>
      <c r="F1312" s="53" t="s">
        <v>7</v>
      </c>
      <c r="G1312" s="1075" t="s">
        <v>8</v>
      </c>
    </row>
    <row r="1313" spans="1:7" s="145" customFormat="1" ht="15.75" customHeight="1">
      <c r="A1313" s="947" t="s">
        <v>167</v>
      </c>
      <c r="B1313" s="1115"/>
      <c r="C1313" s="51" t="s">
        <v>3</v>
      </c>
      <c r="D1313" s="51">
        <v>0.05</v>
      </c>
      <c r="E1313" s="17">
        <f>G1335</f>
        <v>20030</v>
      </c>
      <c r="F1313" s="55">
        <f>D1313*E1313</f>
        <v>1001.5</v>
      </c>
      <c r="G1313" s="1116"/>
    </row>
    <row r="1314" spans="1:7" s="145" customFormat="1" ht="15.75" customHeight="1">
      <c r="A1314" s="943"/>
      <c r="B1314" s="1115"/>
      <c r="C1314" s="51"/>
      <c r="D1314" s="51"/>
      <c r="E1314" s="51"/>
      <c r="F1314" s="55"/>
      <c r="G1314" s="57">
        <f>SUM(F1312:F1314)</f>
        <v>1001.5</v>
      </c>
    </row>
    <row r="1315" spans="1:7" s="145" customFormat="1" ht="15.75" customHeight="1">
      <c r="A1315" s="1114" t="s">
        <v>10</v>
      </c>
      <c r="B1315" s="1115"/>
      <c r="C1315" s="1115"/>
      <c r="D1315" s="1115"/>
      <c r="E1315" s="1115"/>
      <c r="F1315" s="1115"/>
      <c r="G1315" s="1116"/>
    </row>
    <row r="1316" spans="1:7" s="150" customFormat="1" ht="15.75" customHeight="1">
      <c r="A1316" s="1074" t="s">
        <v>2</v>
      </c>
      <c r="B1316" s="1115"/>
      <c r="C1316" s="53" t="s">
        <v>3</v>
      </c>
      <c r="D1316" s="53" t="s">
        <v>4</v>
      </c>
      <c r="E1316" s="53" t="s">
        <v>6</v>
      </c>
      <c r="F1316" s="53" t="s">
        <v>11</v>
      </c>
      <c r="G1316" s="1075" t="s">
        <v>8</v>
      </c>
    </row>
    <row r="1317" spans="1:7" s="145" customFormat="1" ht="15.75" customHeight="1">
      <c r="A1317" s="947" t="s">
        <v>612</v>
      </c>
      <c r="B1317" s="1115"/>
      <c r="C1317" s="16" t="s">
        <v>3</v>
      </c>
      <c r="D1317" s="16">
        <v>20</v>
      </c>
      <c r="E1317" s="17">
        <f>+'INSUMOS ELÉCTRICOS'!E126</f>
        <v>348.66999999999996</v>
      </c>
      <c r="F1317" s="55">
        <f t="shared" ref="F1317:F1326" si="19">D1317*E1317</f>
        <v>6973.4</v>
      </c>
      <c r="G1317" s="1075"/>
    </row>
    <row r="1318" spans="1:7" s="145" customFormat="1" ht="15.75" customHeight="1">
      <c r="A1318" s="947" t="s">
        <v>640</v>
      </c>
      <c r="B1318" s="1115"/>
      <c r="C1318" s="16" t="s">
        <v>3</v>
      </c>
      <c r="D1318" s="16">
        <v>1</v>
      </c>
      <c r="E1318" s="17">
        <f>+'INSUMOS ELÉCTRICOS'!E53</f>
        <v>20000</v>
      </c>
      <c r="F1318" s="55">
        <f t="shared" si="19"/>
        <v>20000</v>
      </c>
      <c r="G1318" s="1075"/>
    </row>
    <row r="1319" spans="1:7" s="145" customFormat="1" ht="15.75" customHeight="1">
      <c r="A1319" s="947" t="s">
        <v>641</v>
      </c>
      <c r="B1319" s="1115"/>
      <c r="C1319" s="16" t="s">
        <v>45</v>
      </c>
      <c r="D1319" s="16">
        <v>4.2</v>
      </c>
      <c r="E1319" s="17">
        <f>+'INSUMOS ELÉCTRICOS'!E26</f>
        <v>16580.666666666668</v>
      </c>
      <c r="F1319" s="55">
        <f t="shared" si="19"/>
        <v>69638.8</v>
      </c>
      <c r="G1319" s="1075"/>
    </row>
    <row r="1320" spans="1:7" s="145" customFormat="1" ht="15.75" customHeight="1">
      <c r="A1320" s="947" t="s">
        <v>613</v>
      </c>
      <c r="B1320" s="1115"/>
      <c r="C1320" s="16" t="s">
        <v>3</v>
      </c>
      <c r="D1320" s="16">
        <v>3</v>
      </c>
      <c r="E1320" s="17">
        <f>+'INSUMOS ELÉCTRICOS'!E24</f>
        <v>780</v>
      </c>
      <c r="F1320" s="55">
        <f t="shared" si="19"/>
        <v>2340</v>
      </c>
      <c r="G1320" s="1075"/>
    </row>
    <row r="1321" spans="1:7" s="145" customFormat="1" ht="15.75" customHeight="1">
      <c r="A1321" s="947" t="s">
        <v>615</v>
      </c>
      <c r="B1321" s="1115"/>
      <c r="C1321" s="16" t="s">
        <v>3</v>
      </c>
      <c r="D1321" s="16">
        <v>1</v>
      </c>
      <c r="E1321" s="17">
        <f>+'INSUMOS ELÉCTRICOS'!E28</f>
        <v>2946.44</v>
      </c>
      <c r="F1321" s="55">
        <f t="shared" si="19"/>
        <v>2946.44</v>
      </c>
      <c r="G1321" s="1075"/>
    </row>
    <row r="1322" spans="1:7" s="145" customFormat="1" ht="15.75" customHeight="1">
      <c r="A1322" s="947" t="s">
        <v>616</v>
      </c>
      <c r="B1322" s="1115"/>
      <c r="C1322" s="16" t="s">
        <v>3</v>
      </c>
      <c r="D1322" s="16">
        <v>1</v>
      </c>
      <c r="E1322" s="17">
        <f>+'INSUMOS ELÉCTRICOS'!E29</f>
        <v>4190</v>
      </c>
      <c r="F1322" s="55">
        <f t="shared" si="19"/>
        <v>4190</v>
      </c>
      <c r="G1322" s="1075"/>
    </row>
    <row r="1323" spans="1:7" s="145" customFormat="1" ht="15.75" customHeight="1">
      <c r="A1323" s="947" t="s">
        <v>614</v>
      </c>
      <c r="B1323" s="1115"/>
      <c r="C1323" s="16" t="s">
        <v>3</v>
      </c>
      <c r="D1323" s="16">
        <v>0.5</v>
      </c>
      <c r="E1323" s="17">
        <f>+'INSUMOS ELÉCTRICOS'!E25</f>
        <v>11900</v>
      </c>
      <c r="F1323" s="55">
        <f t="shared" si="19"/>
        <v>5950</v>
      </c>
      <c r="G1323" s="1075"/>
    </row>
    <row r="1324" spans="1:7" s="145" customFormat="1" ht="15.75" customHeight="1">
      <c r="A1324" s="947" t="s">
        <v>2478</v>
      </c>
      <c r="B1324" s="1115"/>
      <c r="C1324" s="16" t="s">
        <v>45</v>
      </c>
      <c r="D1324" s="16">
        <v>12.6</v>
      </c>
      <c r="E1324" s="785">
        <v>2567.4964</v>
      </c>
      <c r="F1324" s="55">
        <f t="shared" si="19"/>
        <v>32350.45464</v>
      </c>
      <c r="G1324" s="1075"/>
    </row>
    <row r="1325" spans="1:7" s="2" customFormat="1" ht="15.75" customHeight="1">
      <c r="A1325" s="947" t="s">
        <v>643</v>
      </c>
      <c r="B1325" s="1115"/>
      <c r="C1325" s="16" t="s">
        <v>3</v>
      </c>
      <c r="D1325" s="16">
        <v>3</v>
      </c>
      <c r="E1325" s="17">
        <f>+'INSUMOS ELÉCTRICOS'!E121</f>
        <v>1189</v>
      </c>
      <c r="F1325" s="55">
        <f t="shared" si="19"/>
        <v>3567</v>
      </c>
      <c r="G1325" s="1075"/>
    </row>
    <row r="1326" spans="1:7" s="145" customFormat="1" ht="15.75" customHeight="1">
      <c r="A1326" s="947" t="s">
        <v>644</v>
      </c>
      <c r="B1326" s="1115"/>
      <c r="C1326" s="16" t="s">
        <v>3</v>
      </c>
      <c r="D1326" s="16">
        <v>1</v>
      </c>
      <c r="E1326" s="17">
        <f>+'INSUMOS ELÉCTRICOS'!E55</f>
        <v>9100</v>
      </c>
      <c r="F1326" s="55">
        <f t="shared" si="19"/>
        <v>9100</v>
      </c>
      <c r="G1326" s="1075"/>
    </row>
    <row r="1327" spans="1:7" s="145" customFormat="1" ht="15.75" customHeight="1">
      <c r="A1327" s="947"/>
      <c r="B1327" s="1115"/>
      <c r="C1327" s="16"/>
      <c r="D1327" s="58"/>
      <c r="E1327" s="17"/>
      <c r="F1327" s="55"/>
      <c r="G1327" s="57">
        <f>SUM(F1316:F1327)</f>
        <v>157056.09464000002</v>
      </c>
    </row>
    <row r="1328" spans="1:7" s="145" customFormat="1" ht="15.75" customHeight="1">
      <c r="A1328" s="1114" t="s">
        <v>15</v>
      </c>
      <c r="B1328" s="1115"/>
      <c r="C1328" s="1115"/>
      <c r="D1328" s="1115"/>
      <c r="E1328" s="1115"/>
      <c r="F1328" s="1115"/>
      <c r="G1328" s="1116"/>
    </row>
    <row r="1329" spans="1:7" s="145" customFormat="1" ht="15" customHeight="1">
      <c r="A1329" s="1074" t="s">
        <v>2</v>
      </c>
      <c r="B1329" s="1115"/>
      <c r="C1329" s="53" t="s">
        <v>3</v>
      </c>
      <c r="D1329" s="53" t="s">
        <v>4</v>
      </c>
      <c r="E1329" s="53" t="s">
        <v>6</v>
      </c>
      <c r="F1329" s="53" t="s">
        <v>11</v>
      </c>
      <c r="G1329" s="1075" t="s">
        <v>8</v>
      </c>
    </row>
    <row r="1330" spans="1:7" s="145" customFormat="1" ht="15.75" customHeight="1">
      <c r="A1330" s="943" t="s">
        <v>173</v>
      </c>
      <c r="B1330" s="1115"/>
      <c r="C1330" s="16" t="s">
        <v>3</v>
      </c>
      <c r="D1330" s="16">
        <v>0.01</v>
      </c>
      <c r="E1330" s="17">
        <f>G1327</f>
        <v>157056.09464000002</v>
      </c>
      <c r="F1330" s="55">
        <f>D1330*E1330</f>
        <v>1570.5609464000004</v>
      </c>
      <c r="G1330" s="1116"/>
    </row>
    <row r="1331" spans="1:7" s="145" customFormat="1" ht="24" customHeight="1">
      <c r="A1331" s="151"/>
      <c r="B1331" s="152"/>
      <c r="C1331" s="152"/>
      <c r="D1331" s="152"/>
      <c r="E1331" s="152"/>
      <c r="F1331" s="152"/>
      <c r="G1331" s="57">
        <f>SUM(F1330:F1331)</f>
        <v>1570.5609464000004</v>
      </c>
    </row>
    <row r="1332" spans="1:7" s="145" customFormat="1" ht="15.6" customHeight="1">
      <c r="A1332" s="1114" t="s">
        <v>19</v>
      </c>
      <c r="B1332" s="1115"/>
      <c r="C1332" s="1115"/>
      <c r="D1332" s="1115"/>
      <c r="E1332" s="1115"/>
      <c r="F1332" s="1115"/>
      <c r="G1332" s="1116"/>
    </row>
    <row r="1333" spans="1:7" s="145" customFormat="1" ht="15.75" customHeight="1">
      <c r="A1333" s="469" t="s">
        <v>20</v>
      </c>
      <c r="B1333" s="53" t="s">
        <v>21</v>
      </c>
      <c r="C1333" s="53" t="s">
        <v>22</v>
      </c>
      <c r="D1333" s="53" t="s">
        <v>23</v>
      </c>
      <c r="E1333" s="53" t="s">
        <v>24</v>
      </c>
      <c r="F1333" s="53" t="s">
        <v>11</v>
      </c>
      <c r="G1333" s="1075" t="s">
        <v>8</v>
      </c>
    </row>
    <row r="1334" spans="1:7" s="145" customFormat="1" ht="13.8">
      <c r="A1334" s="978" t="s">
        <v>1256</v>
      </c>
      <c r="B1334" s="979"/>
      <c r="C1334" s="13" t="s">
        <v>1245</v>
      </c>
      <c r="D1334" s="32">
        <v>1</v>
      </c>
      <c r="E1334" s="13">
        <v>20030</v>
      </c>
      <c r="F1334" s="55">
        <f>+D1334*E1334</f>
        <v>20030</v>
      </c>
      <c r="G1334" s="1116"/>
    </row>
    <row r="1335" spans="1:7" s="145" customFormat="1" ht="15.75" customHeight="1">
      <c r="A1335" s="155"/>
      <c r="B1335" s="156"/>
      <c r="C1335" s="156"/>
      <c r="D1335" s="156"/>
      <c r="E1335" s="156"/>
      <c r="F1335" s="156"/>
      <c r="G1335" s="57">
        <f>SUM(F1333:F1335)</f>
        <v>20030</v>
      </c>
    </row>
    <row r="1336" spans="1:7" s="145" customFormat="1" ht="15.75" customHeight="1">
      <c r="A1336" s="1119" t="s">
        <v>25</v>
      </c>
      <c r="B1336" s="1120"/>
      <c r="C1336" s="1120"/>
      <c r="D1336" s="1120"/>
      <c r="E1336" s="1120"/>
      <c r="F1336" s="1120"/>
      <c r="G1336" s="1121"/>
    </row>
    <row r="1337" spans="1:7" s="145" customFormat="1" ht="15.75" customHeight="1">
      <c r="A1337" s="1122"/>
      <c r="B1337" s="1120"/>
      <c r="C1337" s="1120"/>
      <c r="D1337" s="1120"/>
      <c r="E1337" s="1120"/>
      <c r="F1337" s="1120"/>
      <c r="G1337" s="157">
        <f>+G1335+G1331+G1314+G1327</f>
        <v>179658.15558640001</v>
      </c>
    </row>
    <row r="1338" spans="1:7" s="145" customFormat="1" ht="15.75" customHeight="1">
      <c r="A1338" s="158"/>
      <c r="B1338" s="159"/>
      <c r="C1338" s="159"/>
      <c r="D1338" s="159"/>
      <c r="E1338" s="159"/>
      <c r="F1338" s="159"/>
      <c r="G1338" s="160"/>
    </row>
    <row r="1339" spans="1:7" s="150" customFormat="1" ht="15.75" customHeight="1">
      <c r="A1339" s="1123" t="s">
        <v>1</v>
      </c>
      <c r="B1339" s="1120"/>
      <c r="C1339" s="953" t="s">
        <v>594</v>
      </c>
      <c r="D1339" s="1125"/>
      <c r="E1339" s="1125"/>
      <c r="F1339" s="1125"/>
      <c r="G1339" s="1126"/>
    </row>
    <row r="1340" spans="1:7" s="145" customFormat="1" ht="24.6" customHeight="1">
      <c r="A1340" s="1124"/>
      <c r="B1340" s="1120"/>
      <c r="C1340" s="1125"/>
      <c r="D1340" s="1125"/>
      <c r="E1340" s="1125"/>
      <c r="F1340" s="1125"/>
      <c r="G1340" s="1126"/>
    </row>
    <row r="1341" spans="1:7" s="145" customFormat="1" ht="15.75" customHeight="1">
      <c r="A1341" s="1124"/>
      <c r="B1341" s="1120"/>
      <c r="C1341" s="1127" t="s">
        <v>637</v>
      </c>
      <c r="D1341" s="1120"/>
      <c r="E1341" s="1120"/>
      <c r="F1341" s="1120"/>
      <c r="G1341" s="1121"/>
    </row>
    <row r="1342" spans="1:7" s="145" customFormat="1" ht="15.75" customHeight="1">
      <c r="A1342" s="1124"/>
      <c r="B1342" s="1120"/>
      <c r="C1342" s="1128" t="s">
        <v>2</v>
      </c>
      <c r="D1342" s="1120"/>
      <c r="E1342" s="1120"/>
      <c r="F1342" s="146" t="s">
        <v>3</v>
      </c>
      <c r="G1342" s="147" t="s">
        <v>4</v>
      </c>
    </row>
    <row r="1343" spans="1:7" s="145" customFormat="1" ht="107.25" customHeight="1">
      <c r="A1343" s="1073" t="s">
        <v>737</v>
      </c>
      <c r="B1343" s="1115"/>
      <c r="C1343" s="980" t="s">
        <v>648</v>
      </c>
      <c r="D1343" s="1115"/>
      <c r="E1343" s="1115"/>
      <c r="F1343" s="162" t="s">
        <v>28</v>
      </c>
      <c r="G1343" s="52">
        <v>1</v>
      </c>
    </row>
    <row r="1344" spans="1:7" s="145" customFormat="1" ht="15.75" customHeight="1">
      <c r="A1344" s="1114" t="s">
        <v>5</v>
      </c>
      <c r="B1344" s="1115"/>
      <c r="C1344" s="1115"/>
      <c r="D1344" s="1115"/>
      <c r="E1344" s="1115"/>
      <c r="F1344" s="1115"/>
      <c r="G1344" s="1116"/>
    </row>
    <row r="1345" spans="1:7" s="145" customFormat="1" ht="15.75" customHeight="1">
      <c r="A1345" s="1074" t="s">
        <v>2</v>
      </c>
      <c r="B1345" s="1115"/>
      <c r="C1345" s="53" t="s">
        <v>3</v>
      </c>
      <c r="D1345" s="53" t="s">
        <v>4</v>
      </c>
      <c r="E1345" s="53" t="s">
        <v>6</v>
      </c>
      <c r="F1345" s="53" t="s">
        <v>7</v>
      </c>
      <c r="G1345" s="1075" t="s">
        <v>8</v>
      </c>
    </row>
    <row r="1346" spans="1:7" s="150" customFormat="1" ht="15.75" customHeight="1">
      <c r="A1346" s="947" t="s">
        <v>167</v>
      </c>
      <c r="B1346" s="1115"/>
      <c r="C1346" s="51" t="s">
        <v>3</v>
      </c>
      <c r="D1346" s="51">
        <v>0.05</v>
      </c>
      <c r="E1346" s="17">
        <f>G1368</f>
        <v>20030</v>
      </c>
      <c r="F1346" s="55">
        <f>D1346*E1346</f>
        <v>1001.5</v>
      </c>
      <c r="G1346" s="1116"/>
    </row>
    <row r="1347" spans="1:7" s="150" customFormat="1" ht="15.75" customHeight="1">
      <c r="A1347" s="943"/>
      <c r="B1347" s="1115"/>
      <c r="C1347" s="51"/>
      <c r="D1347" s="51"/>
      <c r="E1347" s="51"/>
      <c r="F1347" s="55"/>
      <c r="G1347" s="57">
        <f>SUM(F1345:F1347)</f>
        <v>1001.5</v>
      </c>
    </row>
    <row r="1348" spans="1:7" s="150" customFormat="1" ht="15.75" customHeight="1">
      <c r="A1348" s="1114" t="s">
        <v>10</v>
      </c>
      <c r="B1348" s="1115"/>
      <c r="C1348" s="1115"/>
      <c r="D1348" s="1115"/>
      <c r="E1348" s="1115"/>
      <c r="F1348" s="1115"/>
      <c r="G1348" s="1116"/>
    </row>
    <row r="1349" spans="1:7" s="150" customFormat="1" ht="24" customHeight="1">
      <c r="A1349" s="1074" t="s">
        <v>2</v>
      </c>
      <c r="B1349" s="1115"/>
      <c r="C1349" s="53" t="s">
        <v>3</v>
      </c>
      <c r="D1349" s="53" t="s">
        <v>4</v>
      </c>
      <c r="E1349" s="53" t="s">
        <v>6</v>
      </c>
      <c r="F1349" s="53" t="s">
        <v>11</v>
      </c>
      <c r="G1349" s="1075" t="s">
        <v>8</v>
      </c>
    </row>
    <row r="1350" spans="1:7" s="145" customFormat="1" ht="15.75" customHeight="1">
      <c r="A1350" s="947" t="s">
        <v>612</v>
      </c>
      <c r="B1350" s="1115"/>
      <c r="C1350" s="16" t="s">
        <v>3</v>
      </c>
      <c r="D1350" s="16">
        <v>20</v>
      </c>
      <c r="E1350" s="17">
        <f>+'INSUMOS ELÉCTRICOS'!E126</f>
        <v>348.66999999999996</v>
      </c>
      <c r="F1350" s="55">
        <f t="shared" ref="F1350:F1359" si="20">D1350*E1350</f>
        <v>6973.4</v>
      </c>
      <c r="G1350" s="1075"/>
    </row>
    <row r="1351" spans="1:7" s="145" customFormat="1" ht="15.75" customHeight="1">
      <c r="A1351" s="947" t="s">
        <v>640</v>
      </c>
      <c r="B1351" s="1115"/>
      <c r="C1351" s="16" t="s">
        <v>3</v>
      </c>
      <c r="D1351" s="16">
        <v>1</v>
      </c>
      <c r="E1351" s="17">
        <f>+'INSUMOS ELÉCTRICOS'!E53</f>
        <v>20000</v>
      </c>
      <c r="F1351" s="55">
        <f t="shared" si="20"/>
        <v>20000</v>
      </c>
      <c r="G1351" s="1075"/>
    </row>
    <row r="1352" spans="1:7" s="145" customFormat="1" ht="15.75" customHeight="1">
      <c r="A1352" s="947" t="s">
        <v>641</v>
      </c>
      <c r="B1352" s="1115"/>
      <c r="C1352" s="16" t="s">
        <v>45</v>
      </c>
      <c r="D1352" s="16">
        <v>4.2</v>
      </c>
      <c r="E1352" s="17">
        <f>+'INSUMOS ELÉCTRICOS'!E26</f>
        <v>16580.666666666668</v>
      </c>
      <c r="F1352" s="55">
        <f t="shared" si="20"/>
        <v>69638.8</v>
      </c>
      <c r="G1352" s="1075"/>
    </row>
    <row r="1353" spans="1:7" s="145" customFormat="1" ht="15.75" customHeight="1">
      <c r="A1353" s="947" t="s">
        <v>613</v>
      </c>
      <c r="B1353" s="1115"/>
      <c r="C1353" s="16" t="s">
        <v>3</v>
      </c>
      <c r="D1353" s="16">
        <v>3</v>
      </c>
      <c r="E1353" s="17">
        <f>+'INSUMOS ELÉCTRICOS'!E24</f>
        <v>780</v>
      </c>
      <c r="F1353" s="55">
        <f t="shared" si="20"/>
        <v>2340</v>
      </c>
      <c r="G1353" s="1075"/>
    </row>
    <row r="1354" spans="1:7" s="145" customFormat="1" ht="15.75" customHeight="1">
      <c r="A1354" s="947" t="s">
        <v>615</v>
      </c>
      <c r="B1354" s="1115"/>
      <c r="C1354" s="16" t="s">
        <v>3</v>
      </c>
      <c r="D1354" s="16">
        <v>1</v>
      </c>
      <c r="E1354" s="17">
        <f>+'INSUMOS ELÉCTRICOS'!E28</f>
        <v>2946.44</v>
      </c>
      <c r="F1354" s="55">
        <f t="shared" si="20"/>
        <v>2946.44</v>
      </c>
      <c r="G1354" s="1075"/>
    </row>
    <row r="1355" spans="1:7" s="2" customFormat="1" ht="15.75" customHeight="1">
      <c r="A1355" s="947" t="s">
        <v>616</v>
      </c>
      <c r="B1355" s="1115"/>
      <c r="C1355" s="16" t="s">
        <v>3</v>
      </c>
      <c r="D1355" s="16">
        <v>1</v>
      </c>
      <c r="E1355" s="17">
        <f>+'INSUMOS ELÉCTRICOS'!E29</f>
        <v>4190</v>
      </c>
      <c r="F1355" s="55">
        <f t="shared" si="20"/>
        <v>4190</v>
      </c>
      <c r="G1355" s="1075"/>
    </row>
    <row r="1356" spans="1:7" s="145" customFormat="1" ht="15.75" customHeight="1">
      <c r="A1356" s="947" t="s">
        <v>614</v>
      </c>
      <c r="B1356" s="1115"/>
      <c r="C1356" s="16" t="s">
        <v>3</v>
      </c>
      <c r="D1356" s="16">
        <v>0.5</v>
      </c>
      <c r="E1356" s="17">
        <f>+'INSUMOS ELÉCTRICOS'!E25</f>
        <v>11900</v>
      </c>
      <c r="F1356" s="55">
        <f t="shared" si="20"/>
        <v>5950</v>
      </c>
      <c r="G1356" s="1075"/>
    </row>
    <row r="1357" spans="1:7" s="145" customFormat="1" ht="15.75" customHeight="1">
      <c r="A1357" s="947" t="s">
        <v>642</v>
      </c>
      <c r="B1357" s="1115"/>
      <c r="C1357" s="16" t="s">
        <v>45</v>
      </c>
      <c r="D1357" s="16">
        <v>12.6</v>
      </c>
      <c r="E1357" s="785">
        <v>2567.4964</v>
      </c>
      <c r="F1357" s="55">
        <f t="shared" si="20"/>
        <v>32350.45464</v>
      </c>
      <c r="G1357" s="1075"/>
    </row>
    <row r="1358" spans="1:7" s="145" customFormat="1" ht="15.75" customHeight="1">
      <c r="A1358" s="947" t="s">
        <v>643</v>
      </c>
      <c r="B1358" s="1115"/>
      <c r="C1358" s="16" t="s">
        <v>3</v>
      </c>
      <c r="D1358" s="16">
        <v>3</v>
      </c>
      <c r="E1358" s="17">
        <f>+'INSUMOS ELÉCTRICOS'!E121</f>
        <v>1189</v>
      </c>
      <c r="F1358" s="55">
        <f t="shared" si="20"/>
        <v>3567</v>
      </c>
      <c r="G1358" s="1075"/>
    </row>
    <row r="1359" spans="1:7" s="145" customFormat="1" ht="15" customHeight="1">
      <c r="A1359" s="947" t="s">
        <v>649</v>
      </c>
      <c r="B1359" s="1115"/>
      <c r="C1359" s="16" t="s">
        <v>3</v>
      </c>
      <c r="D1359" s="16">
        <v>1</v>
      </c>
      <c r="E1359" s="17">
        <f>+'INSUMOS ELÉCTRICOS'!E56</f>
        <v>34100</v>
      </c>
      <c r="F1359" s="55">
        <f t="shared" si="20"/>
        <v>34100</v>
      </c>
      <c r="G1359" s="1075"/>
    </row>
    <row r="1360" spans="1:7" s="145" customFormat="1" ht="15.75" customHeight="1">
      <c r="A1360" s="947"/>
      <c r="B1360" s="1115"/>
      <c r="C1360" s="16"/>
      <c r="D1360" s="58"/>
      <c r="E1360" s="17"/>
      <c r="F1360" s="55"/>
      <c r="G1360" s="57">
        <f>SUM(F1349:F1360)</f>
        <v>182056.09464000002</v>
      </c>
    </row>
    <row r="1361" spans="1:7" s="145" customFormat="1" ht="24" customHeight="1">
      <c r="A1361" s="1114" t="s">
        <v>15</v>
      </c>
      <c r="B1361" s="1115"/>
      <c r="C1361" s="1115"/>
      <c r="D1361" s="1115"/>
      <c r="E1361" s="1115"/>
      <c r="F1361" s="1115"/>
      <c r="G1361" s="1116"/>
    </row>
    <row r="1362" spans="1:7" s="145" customFormat="1" ht="15.6" customHeight="1">
      <c r="A1362" s="1074" t="s">
        <v>2</v>
      </c>
      <c r="B1362" s="1115"/>
      <c r="C1362" s="53" t="s">
        <v>3</v>
      </c>
      <c r="D1362" s="53" t="s">
        <v>4</v>
      </c>
      <c r="E1362" s="53" t="s">
        <v>6</v>
      </c>
      <c r="F1362" s="53" t="s">
        <v>11</v>
      </c>
      <c r="G1362" s="1075" t="s">
        <v>8</v>
      </c>
    </row>
    <row r="1363" spans="1:7" s="145" customFormat="1" ht="15.75" customHeight="1">
      <c r="A1363" s="943" t="s">
        <v>173</v>
      </c>
      <c r="B1363" s="1115"/>
      <c r="C1363" s="16" t="s">
        <v>3</v>
      </c>
      <c r="D1363" s="32">
        <v>0.01</v>
      </c>
      <c r="E1363" s="13">
        <f>G1360</f>
        <v>182056.09464000002</v>
      </c>
      <c r="F1363" s="55">
        <f>+D1363*E1363</f>
        <v>1820.5609464000004</v>
      </c>
      <c r="G1363" s="1116"/>
    </row>
    <row r="1364" spans="1:7" s="145" customFormat="1" ht="13.8">
      <c r="A1364" s="151"/>
      <c r="B1364" s="152"/>
      <c r="C1364" s="152"/>
      <c r="D1364" s="152"/>
      <c r="E1364" s="152"/>
      <c r="F1364" s="152"/>
      <c r="G1364" s="57">
        <f>SUM(F1363:F1364)</f>
        <v>1820.5609464000004</v>
      </c>
    </row>
    <row r="1365" spans="1:7" s="145" customFormat="1" ht="15.75" customHeight="1">
      <c r="A1365" s="1114" t="s">
        <v>19</v>
      </c>
      <c r="B1365" s="1115"/>
      <c r="C1365" s="1115"/>
      <c r="D1365" s="1115"/>
      <c r="E1365" s="1115"/>
      <c r="F1365" s="1115"/>
      <c r="G1365" s="1116"/>
    </row>
    <row r="1366" spans="1:7" s="145" customFormat="1" ht="15.75" customHeight="1">
      <c r="A1366" s="1074" t="s">
        <v>2</v>
      </c>
      <c r="B1366" s="1115"/>
      <c r="C1366" s="53" t="s">
        <v>3</v>
      </c>
      <c r="D1366" s="53" t="s">
        <v>4</v>
      </c>
      <c r="E1366" s="53" t="s">
        <v>6</v>
      </c>
      <c r="F1366" s="53" t="s">
        <v>11</v>
      </c>
      <c r="G1366" s="1075" t="s">
        <v>8</v>
      </c>
    </row>
    <row r="1367" spans="1:7" s="145" customFormat="1" ht="15.75" customHeight="1">
      <c r="A1367" s="978" t="s">
        <v>1256</v>
      </c>
      <c r="B1367" s="979"/>
      <c r="C1367" s="13" t="s">
        <v>1245</v>
      </c>
      <c r="D1367" s="32">
        <v>1</v>
      </c>
      <c r="E1367" s="13">
        <v>20030</v>
      </c>
      <c r="F1367" s="55">
        <f>+D1367*E1367</f>
        <v>20030</v>
      </c>
      <c r="G1367" s="1116"/>
    </row>
    <row r="1368" spans="1:7" s="145" customFormat="1" ht="15.75" customHeight="1">
      <c r="A1368" s="155"/>
      <c r="B1368" s="156"/>
      <c r="C1368" s="156"/>
      <c r="D1368" s="156"/>
      <c r="E1368" s="156"/>
      <c r="F1368" s="156"/>
      <c r="G1368" s="57">
        <f>SUM(F1366:F1368)</f>
        <v>20030</v>
      </c>
    </row>
    <row r="1369" spans="1:7" s="145" customFormat="1" ht="15.75" customHeight="1">
      <c r="A1369" s="1122"/>
      <c r="B1369" s="1120"/>
      <c r="C1369" s="1120"/>
      <c r="D1369" s="1120"/>
      <c r="E1369" s="1120"/>
      <c r="F1369" s="1120"/>
      <c r="G1369" s="157">
        <f>G1368+G1364+G1360+G1347</f>
        <v>204908.15558640001</v>
      </c>
    </row>
    <row r="1370" spans="1:7" s="145" customFormat="1" ht="15.75" customHeight="1">
      <c r="A1370" s="158"/>
      <c r="B1370" s="159"/>
      <c r="C1370" s="159"/>
      <c r="D1370" s="159"/>
      <c r="E1370" s="159"/>
      <c r="F1370" s="159"/>
      <c r="G1370" s="160"/>
    </row>
    <row r="1371" spans="1:7" s="150" customFormat="1" ht="15.75" customHeight="1">
      <c r="A1371" s="1123" t="s">
        <v>1</v>
      </c>
      <c r="B1371" s="1120"/>
      <c r="C1371" s="953" t="s">
        <v>594</v>
      </c>
      <c r="D1371" s="1125"/>
      <c r="E1371" s="1125"/>
      <c r="F1371" s="1125"/>
      <c r="G1371" s="1126"/>
    </row>
    <row r="1372" spans="1:7" s="145" customFormat="1" ht="24.6" customHeight="1">
      <c r="A1372" s="1124"/>
      <c r="B1372" s="1120"/>
      <c r="C1372" s="1125"/>
      <c r="D1372" s="1125"/>
      <c r="E1372" s="1125"/>
      <c r="F1372" s="1125"/>
      <c r="G1372" s="1126"/>
    </row>
    <row r="1373" spans="1:7" s="145" customFormat="1" ht="15.75" customHeight="1">
      <c r="A1373" s="1124"/>
      <c r="B1373" s="1120"/>
      <c r="C1373" s="1127" t="s">
        <v>637</v>
      </c>
      <c r="D1373" s="1120"/>
      <c r="E1373" s="1120"/>
      <c r="F1373" s="1120"/>
      <c r="G1373" s="1121"/>
    </row>
    <row r="1374" spans="1:7" s="145" customFormat="1" ht="15.75" customHeight="1">
      <c r="A1374" s="1124"/>
      <c r="B1374" s="1120"/>
      <c r="C1374" s="1128" t="s">
        <v>2</v>
      </c>
      <c r="D1374" s="1120"/>
      <c r="E1374" s="1120"/>
      <c r="F1374" s="146" t="s">
        <v>3</v>
      </c>
      <c r="G1374" s="147" t="s">
        <v>4</v>
      </c>
    </row>
    <row r="1375" spans="1:7" s="145" customFormat="1" ht="99" customHeight="1">
      <c r="A1375" s="1073" t="s">
        <v>738</v>
      </c>
      <c r="B1375" s="1115"/>
      <c r="C1375" s="980" t="s">
        <v>653</v>
      </c>
      <c r="D1375" s="1115"/>
      <c r="E1375" s="1115"/>
      <c r="F1375" s="162" t="s">
        <v>28</v>
      </c>
      <c r="G1375" s="52">
        <v>1</v>
      </c>
    </row>
    <row r="1376" spans="1:7" s="145" customFormat="1" ht="15.75" customHeight="1">
      <c r="A1376" s="1114" t="s">
        <v>5</v>
      </c>
      <c r="B1376" s="1115"/>
      <c r="C1376" s="1115"/>
      <c r="D1376" s="1115"/>
      <c r="E1376" s="1115"/>
      <c r="F1376" s="1115"/>
      <c r="G1376" s="1116"/>
    </row>
    <row r="1377" spans="1:7" s="145" customFormat="1" ht="15.75" customHeight="1">
      <c r="A1377" s="1074" t="s">
        <v>2</v>
      </c>
      <c r="B1377" s="1115"/>
      <c r="C1377" s="53" t="s">
        <v>3</v>
      </c>
      <c r="D1377" s="53" t="s">
        <v>4</v>
      </c>
      <c r="E1377" s="53" t="s">
        <v>6</v>
      </c>
      <c r="F1377" s="53" t="s">
        <v>7</v>
      </c>
      <c r="G1377" s="1075" t="s">
        <v>8</v>
      </c>
    </row>
    <row r="1378" spans="1:7" s="150" customFormat="1" ht="15.75" customHeight="1">
      <c r="A1378" s="947" t="s">
        <v>167</v>
      </c>
      <c r="B1378" s="1115"/>
      <c r="C1378" s="51" t="s">
        <v>3</v>
      </c>
      <c r="D1378" s="51">
        <v>0.05</v>
      </c>
      <c r="E1378" s="17">
        <f>G1394</f>
        <v>20030</v>
      </c>
      <c r="F1378" s="55">
        <f>D1378*E1378</f>
        <v>1001.5</v>
      </c>
      <c r="G1378" s="1116"/>
    </row>
    <row r="1379" spans="1:7" s="150" customFormat="1" ht="15.75" customHeight="1">
      <c r="A1379" s="943"/>
      <c r="B1379" s="1115"/>
      <c r="C1379" s="51"/>
      <c r="D1379" s="51"/>
      <c r="E1379" s="51"/>
      <c r="F1379" s="55"/>
      <c r="G1379" s="57">
        <f>SUM(F1377:F1379)</f>
        <v>1001.5</v>
      </c>
    </row>
    <row r="1380" spans="1:7" s="145" customFormat="1" ht="15.75" customHeight="1">
      <c r="A1380" s="1114" t="s">
        <v>10</v>
      </c>
      <c r="B1380" s="1115"/>
      <c r="C1380" s="1115"/>
      <c r="D1380" s="1115"/>
      <c r="E1380" s="1115"/>
      <c r="F1380" s="1115"/>
      <c r="G1380" s="1116"/>
    </row>
    <row r="1381" spans="1:7" s="150" customFormat="1" ht="24" customHeight="1">
      <c r="A1381" s="1074" t="s">
        <v>2</v>
      </c>
      <c r="B1381" s="1115"/>
      <c r="C1381" s="53" t="s">
        <v>3</v>
      </c>
      <c r="D1381" s="53" t="s">
        <v>4</v>
      </c>
      <c r="E1381" s="53" t="s">
        <v>6</v>
      </c>
      <c r="F1381" s="53" t="s">
        <v>11</v>
      </c>
      <c r="G1381" s="1075" t="s">
        <v>8</v>
      </c>
    </row>
    <row r="1382" spans="1:7" s="145" customFormat="1" ht="15.75" customHeight="1">
      <c r="A1382" s="947" t="s">
        <v>642</v>
      </c>
      <c r="B1382" s="1115"/>
      <c r="C1382" s="16" t="s">
        <v>622</v>
      </c>
      <c r="D1382" s="16">
        <v>12.6</v>
      </c>
      <c r="E1382" s="785">
        <v>2567.4964</v>
      </c>
      <c r="F1382" s="55">
        <f>D1382*E1382</f>
        <v>32350.45464</v>
      </c>
      <c r="G1382" s="1075"/>
    </row>
    <row r="1383" spans="1:7" s="145" customFormat="1" ht="15.75" customHeight="1">
      <c r="A1383" s="947" t="s">
        <v>644</v>
      </c>
      <c r="B1383" s="1115"/>
      <c r="C1383" s="16" t="s">
        <v>3</v>
      </c>
      <c r="D1383" s="16">
        <v>1</v>
      </c>
      <c r="E1383" s="17">
        <f>+'INSUMOS ELÉCTRICOS'!E55</f>
        <v>9100</v>
      </c>
      <c r="F1383" s="55">
        <f>D1383*E1383</f>
        <v>9100</v>
      </c>
      <c r="G1383" s="1075"/>
    </row>
    <row r="1384" spans="1:7" s="145" customFormat="1" ht="15.75" customHeight="1">
      <c r="A1384" s="947" t="s">
        <v>654</v>
      </c>
      <c r="B1384" s="1115"/>
      <c r="C1384" s="16" t="s">
        <v>3</v>
      </c>
      <c r="D1384" s="16">
        <v>3</v>
      </c>
      <c r="E1384" s="17">
        <f>+'INSUMOS ELÉCTRICOS'!E99</f>
        <v>1699</v>
      </c>
      <c r="F1384" s="55">
        <f>D1384*E1384</f>
        <v>5097</v>
      </c>
      <c r="G1384" s="1075"/>
    </row>
    <row r="1385" spans="1:7" s="145" customFormat="1" ht="15.75" customHeight="1">
      <c r="A1385" s="947" t="s">
        <v>655</v>
      </c>
      <c r="B1385" s="1115"/>
      <c r="C1385" s="16" t="s">
        <v>3</v>
      </c>
      <c r="D1385" s="16">
        <v>1</v>
      </c>
      <c r="E1385" s="17">
        <f>+'INSUMOS ELÉCTRICOS'!E58</f>
        <v>15900</v>
      </c>
      <c r="F1385" s="55">
        <f>D1385*E1385</f>
        <v>15900</v>
      </c>
      <c r="G1385" s="1075"/>
    </row>
    <row r="1386" spans="1:7" s="145" customFormat="1" ht="15.75" customHeight="1">
      <c r="A1386" s="947"/>
      <c r="B1386" s="1115"/>
      <c r="C1386" s="16"/>
      <c r="D1386" s="58"/>
      <c r="E1386" s="17"/>
      <c r="F1386" s="55"/>
      <c r="G1386" s="57">
        <f>SUM(F1381:F1386)</f>
        <v>62447.454639999996</v>
      </c>
    </row>
    <row r="1387" spans="1:7" s="145" customFormat="1" ht="15.75" customHeight="1">
      <c r="A1387" s="1114" t="s">
        <v>15</v>
      </c>
      <c r="B1387" s="1115"/>
      <c r="C1387" s="1115"/>
      <c r="D1387" s="1115"/>
      <c r="E1387" s="1115"/>
      <c r="F1387" s="1115"/>
      <c r="G1387" s="1116"/>
    </row>
    <row r="1388" spans="1:7" s="2" customFormat="1" ht="15.75" customHeight="1">
      <c r="A1388" s="1074" t="s">
        <v>2</v>
      </c>
      <c r="B1388" s="1115"/>
      <c r="C1388" s="53" t="s">
        <v>3</v>
      </c>
      <c r="D1388" s="53" t="s">
        <v>4</v>
      </c>
      <c r="E1388" s="53" t="s">
        <v>6</v>
      </c>
      <c r="F1388" s="53" t="s">
        <v>11</v>
      </c>
      <c r="G1388" s="1075" t="s">
        <v>8</v>
      </c>
    </row>
    <row r="1389" spans="1:7" s="145" customFormat="1" ht="15.75" customHeight="1">
      <c r="A1389" s="943" t="s">
        <v>173</v>
      </c>
      <c r="B1389" s="1115"/>
      <c r="C1389" s="16" t="s">
        <v>3</v>
      </c>
      <c r="D1389" s="16">
        <v>0.02</v>
      </c>
      <c r="E1389" s="17">
        <f>G1386</f>
        <v>62447.454639999996</v>
      </c>
      <c r="F1389" s="55">
        <f>D1389*E1389</f>
        <v>1248.9490928</v>
      </c>
      <c r="G1389" s="1116"/>
    </row>
    <row r="1390" spans="1:7" s="145" customFormat="1" ht="15.75" customHeight="1">
      <c r="A1390" s="151"/>
      <c r="B1390" s="152"/>
      <c r="C1390" s="152"/>
      <c r="D1390" s="152"/>
      <c r="E1390" s="152"/>
      <c r="F1390" s="152"/>
      <c r="G1390" s="57">
        <f>SUM(F1389:F1390)</f>
        <v>1248.9490928</v>
      </c>
    </row>
    <row r="1391" spans="1:7" s="145" customFormat="1" ht="15.75" customHeight="1">
      <c r="A1391" s="1114" t="s">
        <v>19</v>
      </c>
      <c r="B1391" s="1115"/>
      <c r="C1391" s="1115"/>
      <c r="D1391" s="1115"/>
      <c r="E1391" s="1115"/>
      <c r="F1391" s="1115"/>
      <c r="G1391" s="1116"/>
    </row>
    <row r="1392" spans="1:7" s="145" customFormat="1" ht="15" customHeight="1">
      <c r="A1392" s="1074" t="s">
        <v>2</v>
      </c>
      <c r="B1392" s="1115"/>
      <c r="C1392" s="53" t="s">
        <v>3</v>
      </c>
      <c r="D1392" s="53" t="s">
        <v>4</v>
      </c>
      <c r="E1392" s="53" t="s">
        <v>6</v>
      </c>
      <c r="F1392" s="53" t="s">
        <v>11</v>
      </c>
      <c r="G1392" s="1075" t="s">
        <v>8</v>
      </c>
    </row>
    <row r="1393" spans="1:7" s="145" customFormat="1" ht="15.75" customHeight="1">
      <c r="A1393" s="978" t="s">
        <v>1256</v>
      </c>
      <c r="B1393" s="979"/>
      <c r="C1393" s="13" t="s">
        <v>1245</v>
      </c>
      <c r="D1393" s="32">
        <v>1</v>
      </c>
      <c r="E1393" s="13">
        <v>20030</v>
      </c>
      <c r="F1393" s="55">
        <f>+D1393*E1393</f>
        <v>20030</v>
      </c>
      <c r="G1393" s="1116"/>
    </row>
    <row r="1394" spans="1:7" s="145" customFormat="1" ht="24" customHeight="1">
      <c r="A1394" s="155"/>
      <c r="B1394" s="156"/>
      <c r="C1394" s="156"/>
      <c r="D1394" s="156"/>
      <c r="E1394" s="156"/>
      <c r="F1394" s="156"/>
      <c r="G1394" s="57">
        <f>SUM(F1392:F1394)</f>
        <v>20030</v>
      </c>
    </row>
    <row r="1395" spans="1:7" s="145" customFormat="1" ht="15.6" customHeight="1">
      <c r="A1395" s="1119" t="s">
        <v>25</v>
      </c>
      <c r="B1395" s="1120"/>
      <c r="C1395" s="1120"/>
      <c r="D1395" s="1120"/>
      <c r="E1395" s="1120"/>
      <c r="F1395" s="1120"/>
      <c r="G1395" s="1121"/>
    </row>
    <row r="1396" spans="1:7" s="145" customFormat="1" ht="15.75" customHeight="1">
      <c r="A1396" s="1122"/>
      <c r="B1396" s="1120"/>
      <c r="C1396" s="1120"/>
      <c r="D1396" s="1120"/>
      <c r="E1396" s="1120"/>
      <c r="F1396" s="1120"/>
      <c r="G1396" s="157">
        <f>G1394+G1390+G1386+G1379</f>
        <v>84727.903732799998</v>
      </c>
    </row>
    <row r="1397" spans="1:7" s="145" customFormat="1" ht="13.8">
      <c r="A1397" s="158"/>
      <c r="B1397" s="159"/>
      <c r="C1397" s="159"/>
      <c r="D1397" s="159"/>
      <c r="E1397" s="159"/>
      <c r="F1397" s="159"/>
      <c r="G1397" s="160"/>
    </row>
    <row r="1398" spans="1:7" s="145" customFormat="1" ht="15.75" customHeight="1">
      <c r="A1398" s="1123" t="s">
        <v>1</v>
      </c>
      <c r="B1398" s="1120"/>
      <c r="C1398" s="953" t="s">
        <v>594</v>
      </c>
      <c r="D1398" s="1125"/>
      <c r="E1398" s="1125"/>
      <c r="F1398" s="1125"/>
      <c r="G1398" s="1126"/>
    </row>
    <row r="1399" spans="1:7" s="145" customFormat="1" ht="15.75" customHeight="1">
      <c r="A1399" s="1124"/>
      <c r="B1399" s="1120"/>
      <c r="C1399" s="1125"/>
      <c r="D1399" s="1125"/>
      <c r="E1399" s="1125"/>
      <c r="F1399" s="1125"/>
      <c r="G1399" s="1126"/>
    </row>
    <row r="1400" spans="1:7" s="145" customFormat="1" ht="15.75" customHeight="1">
      <c r="A1400" s="1124"/>
      <c r="B1400" s="1120"/>
      <c r="C1400" s="1127" t="s">
        <v>656</v>
      </c>
      <c r="D1400" s="1120"/>
      <c r="E1400" s="1120"/>
      <c r="F1400" s="1120"/>
      <c r="G1400" s="1121"/>
    </row>
    <row r="1401" spans="1:7" s="145" customFormat="1" ht="15.75" customHeight="1">
      <c r="A1401" s="1124"/>
      <c r="B1401" s="1120"/>
      <c r="C1401" s="1128" t="s">
        <v>2</v>
      </c>
      <c r="D1401" s="1120"/>
      <c r="E1401" s="1120"/>
      <c r="F1401" s="146" t="s">
        <v>3</v>
      </c>
      <c r="G1401" s="147" t="s">
        <v>4</v>
      </c>
    </row>
    <row r="1402" spans="1:7" s="145" customFormat="1" ht="80.25" customHeight="1">
      <c r="A1402" s="1073" t="s">
        <v>739</v>
      </c>
      <c r="B1402" s="1115"/>
      <c r="C1402" s="980" t="s">
        <v>658</v>
      </c>
      <c r="D1402" s="1115"/>
      <c r="E1402" s="1115"/>
      <c r="F1402" s="162" t="s">
        <v>28</v>
      </c>
      <c r="G1402" s="52">
        <v>1</v>
      </c>
    </row>
    <row r="1403" spans="1:7" s="145" customFormat="1" ht="15.75" customHeight="1">
      <c r="A1403" s="1114" t="s">
        <v>5</v>
      </c>
      <c r="B1403" s="1115"/>
      <c r="C1403" s="1115"/>
      <c r="D1403" s="1115"/>
      <c r="E1403" s="1115"/>
      <c r="F1403" s="1115"/>
      <c r="G1403" s="1116"/>
    </row>
    <row r="1404" spans="1:7" s="145" customFormat="1" ht="24.6" customHeight="1">
      <c r="A1404" s="1074" t="s">
        <v>2</v>
      </c>
      <c r="B1404" s="1115"/>
      <c r="C1404" s="53" t="s">
        <v>3</v>
      </c>
      <c r="D1404" s="53" t="s">
        <v>4</v>
      </c>
      <c r="E1404" s="53" t="s">
        <v>6</v>
      </c>
      <c r="F1404" s="53" t="s">
        <v>7</v>
      </c>
      <c r="G1404" s="1075" t="s">
        <v>8</v>
      </c>
    </row>
    <row r="1405" spans="1:7" s="145" customFormat="1" ht="15.75" customHeight="1">
      <c r="A1405" s="947" t="s">
        <v>167</v>
      </c>
      <c r="B1405" s="1115"/>
      <c r="C1405" s="51" t="s">
        <v>3</v>
      </c>
      <c r="D1405" s="51">
        <v>0.05</v>
      </c>
      <c r="E1405" s="17">
        <f>G1419</f>
        <v>20030</v>
      </c>
      <c r="F1405" s="55">
        <f>D1405*E1405</f>
        <v>1001.5</v>
      </c>
      <c r="G1405" s="1116"/>
    </row>
    <row r="1406" spans="1:7" s="145" customFormat="1" ht="15.75" customHeight="1">
      <c r="A1406" s="943"/>
      <c r="B1406" s="1115"/>
      <c r="C1406" s="51"/>
      <c r="D1406" s="51"/>
      <c r="E1406" s="51"/>
      <c r="F1406" s="55"/>
      <c r="G1406" s="57">
        <f>SUM(F1404:F1406)</f>
        <v>1001.5</v>
      </c>
    </row>
    <row r="1407" spans="1:7" s="145" customFormat="1" ht="15.75" customHeight="1">
      <c r="A1407" s="1114" t="s">
        <v>10</v>
      </c>
      <c r="B1407" s="1115"/>
      <c r="C1407" s="1115"/>
      <c r="D1407" s="1115"/>
      <c r="E1407" s="1115"/>
      <c r="F1407" s="1115"/>
      <c r="G1407" s="1116"/>
    </row>
    <row r="1408" spans="1:7" s="150" customFormat="1" ht="15.75" customHeight="1">
      <c r="A1408" s="1074" t="s">
        <v>2</v>
      </c>
      <c r="B1408" s="1115"/>
      <c r="C1408" s="53" t="s">
        <v>3</v>
      </c>
      <c r="D1408" s="53" t="s">
        <v>4</v>
      </c>
      <c r="E1408" s="53" t="s">
        <v>6</v>
      </c>
      <c r="F1408" s="53" t="s">
        <v>11</v>
      </c>
      <c r="G1408" s="1029" t="s">
        <v>8</v>
      </c>
    </row>
    <row r="1409" spans="1:7" s="150" customFormat="1" ht="95.25" customHeight="1">
      <c r="A1409" s="947" t="s">
        <v>658</v>
      </c>
      <c r="B1409" s="980"/>
      <c r="C1409" s="16" t="s">
        <v>3</v>
      </c>
      <c r="D1409" s="16">
        <v>1</v>
      </c>
      <c r="E1409" s="17">
        <f>+'INSUMOS ELÉCTRICOS'!E11</f>
        <v>340449.48</v>
      </c>
      <c r="F1409" s="55">
        <f>D1409*E1409</f>
        <v>340449.48</v>
      </c>
      <c r="G1409" s="1030"/>
    </row>
    <row r="1410" spans="1:7" s="145" customFormat="1" ht="15.75" customHeight="1">
      <c r="A1410" s="1117" t="s">
        <v>599</v>
      </c>
      <c r="B1410" s="1118"/>
      <c r="C1410" s="148" t="s">
        <v>3</v>
      </c>
      <c r="D1410" s="148">
        <v>6</v>
      </c>
      <c r="E1410" s="17">
        <f>+'INSUMOS ELÉCTRICOS'!E21</f>
        <v>5200</v>
      </c>
      <c r="F1410" s="149">
        <f>E1410*D1410</f>
        <v>31200</v>
      </c>
      <c r="G1410" s="1031"/>
    </row>
    <row r="1411" spans="1:7" s="145" customFormat="1" ht="15.75" customHeight="1">
      <c r="A1411" s="947"/>
      <c r="B1411" s="1115"/>
      <c r="C1411" s="16"/>
      <c r="D1411" s="58"/>
      <c r="E1411" s="17"/>
      <c r="F1411" s="55"/>
      <c r="G1411" s="57">
        <f>SUM(F1408:F1411)</f>
        <v>371649.48</v>
      </c>
    </row>
    <row r="1412" spans="1:7" s="145" customFormat="1" ht="15.75" customHeight="1">
      <c r="A1412" s="1114" t="s">
        <v>15</v>
      </c>
      <c r="B1412" s="1115"/>
      <c r="C1412" s="1115"/>
      <c r="D1412" s="1115"/>
      <c r="E1412" s="1115"/>
      <c r="F1412" s="1115"/>
      <c r="G1412" s="1116"/>
    </row>
    <row r="1413" spans="1:7" s="145" customFormat="1" ht="15.75" customHeight="1">
      <c r="A1413" s="1074" t="s">
        <v>2</v>
      </c>
      <c r="B1413" s="1115"/>
      <c r="C1413" s="53" t="s">
        <v>3</v>
      </c>
      <c r="D1413" s="53" t="s">
        <v>4</v>
      </c>
      <c r="E1413" s="53" t="s">
        <v>6</v>
      </c>
      <c r="F1413" s="53" t="s">
        <v>11</v>
      </c>
      <c r="G1413" s="1075" t="s">
        <v>8</v>
      </c>
    </row>
    <row r="1414" spans="1:7" s="145" customFormat="1" ht="15.75" customHeight="1">
      <c r="A1414" s="943" t="s">
        <v>173</v>
      </c>
      <c r="B1414" s="1115"/>
      <c r="C1414" s="16" t="s">
        <v>3</v>
      </c>
      <c r="D1414" s="16">
        <v>5.0000000000000001E-3</v>
      </c>
      <c r="E1414" s="17">
        <f>G1411</f>
        <v>371649.48</v>
      </c>
      <c r="F1414" s="55">
        <f>E1414*D1414</f>
        <v>1858.2474</v>
      </c>
      <c r="G1414" s="1116"/>
    </row>
    <row r="1415" spans="1:7" s="145" customFormat="1" ht="15.75" customHeight="1">
      <c r="A1415" s="151"/>
      <c r="B1415" s="152"/>
      <c r="C1415" s="152"/>
      <c r="D1415" s="152"/>
      <c r="E1415" s="152"/>
      <c r="F1415" s="152"/>
      <c r="G1415" s="57">
        <f>SUM(F1414:F1415)</f>
        <v>1858.2474</v>
      </c>
    </row>
    <row r="1416" spans="1:7" s="145" customFormat="1" ht="15.75" customHeight="1">
      <c r="A1416" s="1114" t="s">
        <v>19</v>
      </c>
      <c r="B1416" s="1115"/>
      <c r="C1416" s="1115"/>
      <c r="D1416" s="1115"/>
      <c r="E1416" s="1115"/>
      <c r="F1416" s="1115"/>
      <c r="G1416" s="1116"/>
    </row>
    <row r="1417" spans="1:7" s="2" customFormat="1" ht="15.75" customHeight="1">
      <c r="A1417" s="1074" t="s">
        <v>2</v>
      </c>
      <c r="B1417" s="1115"/>
      <c r="C1417" s="53" t="s">
        <v>3</v>
      </c>
      <c r="D1417" s="53" t="s">
        <v>4</v>
      </c>
      <c r="E1417" s="53" t="s">
        <v>6</v>
      </c>
      <c r="F1417" s="53" t="s">
        <v>11</v>
      </c>
      <c r="G1417" s="1075" t="s">
        <v>8</v>
      </c>
    </row>
    <row r="1418" spans="1:7" s="145" customFormat="1" ht="15.75" customHeight="1">
      <c r="A1418" s="978" t="s">
        <v>1256</v>
      </c>
      <c r="B1418" s="979"/>
      <c r="C1418" s="13" t="s">
        <v>1245</v>
      </c>
      <c r="D1418" s="32">
        <v>1</v>
      </c>
      <c r="E1418" s="13">
        <v>20030</v>
      </c>
      <c r="F1418" s="55">
        <f>+D1418*E1418</f>
        <v>20030</v>
      </c>
      <c r="G1418" s="1116"/>
    </row>
    <row r="1419" spans="1:7" s="145" customFormat="1" ht="15.75" customHeight="1">
      <c r="A1419" s="155"/>
      <c r="B1419" s="156"/>
      <c r="C1419" s="156"/>
      <c r="D1419" s="156"/>
      <c r="E1419" s="156"/>
      <c r="F1419" s="156"/>
      <c r="G1419" s="57">
        <f>SUM(F1417:F1419)</f>
        <v>20030</v>
      </c>
    </row>
    <row r="1420" spans="1:7" s="145" customFormat="1" ht="15.75" customHeight="1">
      <c r="A1420" s="1119" t="s">
        <v>25</v>
      </c>
      <c r="B1420" s="1120"/>
      <c r="C1420" s="1120"/>
      <c r="D1420" s="1120"/>
      <c r="E1420" s="1120"/>
      <c r="F1420" s="1120"/>
      <c r="G1420" s="1121"/>
    </row>
    <row r="1421" spans="1:7" s="145" customFormat="1" ht="15" customHeight="1">
      <c r="A1421" s="1122"/>
      <c r="B1421" s="1120"/>
      <c r="C1421" s="1120"/>
      <c r="D1421" s="1120"/>
      <c r="E1421" s="1120"/>
      <c r="F1421" s="1120"/>
      <c r="G1421" s="157">
        <f>G1419+G1415+G1411+G1406</f>
        <v>394539.22739999997</v>
      </c>
    </row>
    <row r="1422" spans="1:7" s="145" customFormat="1" ht="15.75" customHeight="1">
      <c r="A1422" s="158"/>
      <c r="B1422" s="159"/>
      <c r="C1422" s="159"/>
      <c r="D1422" s="159"/>
      <c r="E1422" s="159"/>
      <c r="F1422" s="159"/>
      <c r="G1422" s="160"/>
    </row>
    <row r="1423" spans="1:7" s="145" customFormat="1" ht="24" customHeight="1">
      <c r="A1423" s="1123" t="s">
        <v>1</v>
      </c>
      <c r="B1423" s="1120"/>
      <c r="C1423" s="953" t="s">
        <v>594</v>
      </c>
      <c r="D1423" s="1125"/>
      <c r="E1423" s="1125"/>
      <c r="F1423" s="1125"/>
      <c r="G1423" s="1126"/>
    </row>
    <row r="1424" spans="1:7" s="145" customFormat="1" ht="15.6" customHeight="1">
      <c r="A1424" s="1124"/>
      <c r="B1424" s="1120"/>
      <c r="C1424" s="1125"/>
      <c r="D1424" s="1125"/>
      <c r="E1424" s="1125"/>
      <c r="F1424" s="1125"/>
      <c r="G1424" s="1126"/>
    </row>
    <row r="1425" spans="1:7" s="145" customFormat="1" ht="15.75" customHeight="1">
      <c r="A1425" s="1124"/>
      <c r="B1425" s="1120"/>
      <c r="C1425" s="1127" t="s">
        <v>595</v>
      </c>
      <c r="D1425" s="1120"/>
      <c r="E1425" s="1120"/>
      <c r="F1425" s="1120"/>
      <c r="G1425" s="1121"/>
    </row>
    <row r="1426" spans="1:7" s="145" customFormat="1" ht="13.8">
      <c r="A1426" s="1124"/>
      <c r="B1426" s="1120"/>
      <c r="C1426" s="1128" t="s">
        <v>2</v>
      </c>
      <c r="D1426" s="1120"/>
      <c r="E1426" s="1120"/>
      <c r="F1426" s="146" t="s">
        <v>3</v>
      </c>
      <c r="G1426" s="147" t="s">
        <v>4</v>
      </c>
    </row>
    <row r="1427" spans="1:7" s="145" customFormat="1" ht="36" customHeight="1">
      <c r="A1427" s="1073" t="s">
        <v>740</v>
      </c>
      <c r="B1427" s="1115"/>
      <c r="C1427" s="980" t="s">
        <v>660</v>
      </c>
      <c r="D1427" s="1115"/>
      <c r="E1427" s="1115"/>
      <c r="F1427" s="162" t="s">
        <v>28</v>
      </c>
      <c r="G1427" s="52">
        <v>1</v>
      </c>
    </row>
    <row r="1428" spans="1:7" s="145" customFormat="1" ht="15.75" customHeight="1">
      <c r="A1428" s="1114" t="s">
        <v>5</v>
      </c>
      <c r="B1428" s="1115"/>
      <c r="C1428" s="1115"/>
      <c r="D1428" s="1115"/>
      <c r="E1428" s="1115"/>
      <c r="F1428" s="1115"/>
      <c r="G1428" s="1116"/>
    </row>
    <row r="1429" spans="1:7" s="145" customFormat="1" ht="15.75" customHeight="1">
      <c r="A1429" s="1074" t="s">
        <v>2</v>
      </c>
      <c r="B1429" s="1115"/>
      <c r="C1429" s="53" t="s">
        <v>3</v>
      </c>
      <c r="D1429" s="53" t="s">
        <v>4</v>
      </c>
      <c r="E1429" s="53" t="s">
        <v>6</v>
      </c>
      <c r="F1429" s="53" t="s">
        <v>7</v>
      </c>
      <c r="G1429" s="1075" t="s">
        <v>8</v>
      </c>
    </row>
    <row r="1430" spans="1:7" s="145" customFormat="1" ht="15.75" customHeight="1">
      <c r="A1430" s="947" t="s">
        <v>167</v>
      </c>
      <c r="B1430" s="1115"/>
      <c r="C1430" s="51" t="s">
        <v>3</v>
      </c>
      <c r="D1430" s="51">
        <v>0.05</v>
      </c>
      <c r="E1430" s="17">
        <f>G1443</f>
        <v>10015</v>
      </c>
      <c r="F1430" s="55">
        <f>D1430*E1430</f>
        <v>500.75</v>
      </c>
      <c r="G1430" s="1116"/>
    </row>
    <row r="1431" spans="1:7" s="145" customFormat="1" ht="15.75" customHeight="1">
      <c r="A1431" s="943"/>
      <c r="B1431" s="1115"/>
      <c r="C1431" s="51"/>
      <c r="D1431" s="51"/>
      <c r="E1431" s="51"/>
      <c r="F1431" s="55"/>
      <c r="G1431" s="57">
        <f>SUM(F1429:F1431)</f>
        <v>500.75</v>
      </c>
    </row>
    <row r="1432" spans="1:7" s="145" customFormat="1" ht="15.75" customHeight="1">
      <c r="A1432" s="1114" t="s">
        <v>10</v>
      </c>
      <c r="B1432" s="1115"/>
      <c r="C1432" s="1115"/>
      <c r="D1432" s="1115"/>
      <c r="E1432" s="1115"/>
      <c r="F1432" s="1115"/>
      <c r="G1432" s="1116"/>
    </row>
    <row r="1433" spans="1:7" s="145" customFormat="1" ht="75.75" customHeight="1">
      <c r="A1433" s="1074" t="s">
        <v>2</v>
      </c>
      <c r="B1433" s="1115"/>
      <c r="C1433" s="53" t="s">
        <v>3</v>
      </c>
      <c r="D1433" s="53" t="s">
        <v>4</v>
      </c>
      <c r="E1433" s="53" t="s">
        <v>6</v>
      </c>
      <c r="F1433" s="53" t="s">
        <v>11</v>
      </c>
      <c r="G1433" s="1075" t="s">
        <v>8</v>
      </c>
    </row>
    <row r="1434" spans="1:7" s="150" customFormat="1" ht="15.75" customHeight="1">
      <c r="A1434" s="947" t="s">
        <v>660</v>
      </c>
      <c r="B1434" s="980"/>
      <c r="C1434" s="16" t="s">
        <v>3</v>
      </c>
      <c r="D1434" s="16">
        <v>1</v>
      </c>
      <c r="E1434" s="17">
        <f>+'INSUMOS ELÉCTRICOS'!E15</f>
        <v>262619.90999999997</v>
      </c>
      <c r="F1434" s="55">
        <f>D1434*E1434</f>
        <v>262619.90999999997</v>
      </c>
      <c r="G1434" s="1075"/>
    </row>
    <row r="1435" spans="1:7" s="145" customFormat="1" ht="15.75" customHeight="1">
      <c r="A1435" s="947"/>
      <c r="B1435" s="1115"/>
      <c r="C1435" s="16"/>
      <c r="D1435" s="58"/>
      <c r="E1435" s="17"/>
      <c r="F1435" s="55"/>
      <c r="G1435" s="57">
        <f>SUM(F1433:F1435)</f>
        <v>262619.90999999997</v>
      </c>
    </row>
    <row r="1436" spans="1:7" s="145" customFormat="1" ht="15.75" customHeight="1">
      <c r="A1436" s="1114" t="s">
        <v>15</v>
      </c>
      <c r="B1436" s="1115"/>
      <c r="C1436" s="1115"/>
      <c r="D1436" s="1115"/>
      <c r="E1436" s="1115"/>
      <c r="F1436" s="1115"/>
      <c r="G1436" s="1116"/>
    </row>
    <row r="1437" spans="1:7" s="145" customFormat="1" ht="15.75" customHeight="1">
      <c r="A1437" s="1074" t="s">
        <v>2</v>
      </c>
      <c r="B1437" s="1115"/>
      <c r="C1437" s="53" t="s">
        <v>3</v>
      </c>
      <c r="D1437" s="53" t="s">
        <v>4</v>
      </c>
      <c r="E1437" s="53" t="s">
        <v>6</v>
      </c>
      <c r="F1437" s="53" t="s">
        <v>11</v>
      </c>
      <c r="G1437" s="1075" t="s">
        <v>8</v>
      </c>
    </row>
    <row r="1438" spans="1:7" s="145" customFormat="1" ht="15.75" customHeight="1">
      <c r="A1438" s="943" t="s">
        <v>173</v>
      </c>
      <c r="B1438" s="1115"/>
      <c r="C1438" s="16" t="s">
        <v>3</v>
      </c>
      <c r="D1438" s="54">
        <v>3.0000000000000001E-3</v>
      </c>
      <c r="E1438" s="17">
        <f>G1435</f>
        <v>262619.90999999997</v>
      </c>
      <c r="F1438" s="55">
        <f>D1438*E1438</f>
        <v>787.8597299999999</v>
      </c>
      <c r="G1438" s="1116"/>
    </row>
    <row r="1439" spans="1:7" s="145" customFormat="1" ht="15.75" customHeight="1">
      <c r="A1439" s="151"/>
      <c r="B1439" s="152"/>
      <c r="C1439" s="152"/>
      <c r="D1439" s="152"/>
      <c r="E1439" s="152"/>
      <c r="F1439" s="152"/>
      <c r="G1439" s="57">
        <f>SUM(F1438:F1439)</f>
        <v>787.8597299999999</v>
      </c>
    </row>
    <row r="1440" spans="1:7" s="145" customFormat="1" ht="15.75" customHeight="1">
      <c r="A1440" s="1114" t="s">
        <v>19</v>
      </c>
      <c r="B1440" s="1115"/>
      <c r="C1440" s="1115"/>
      <c r="D1440" s="1115"/>
      <c r="E1440" s="1115"/>
      <c r="F1440" s="1115"/>
      <c r="G1440" s="1116"/>
    </row>
    <row r="1441" spans="1:7" s="145" customFormat="1" ht="15.75" customHeight="1">
      <c r="A1441" s="1074" t="s">
        <v>2</v>
      </c>
      <c r="B1441" s="1115"/>
      <c r="C1441" s="53" t="s">
        <v>3</v>
      </c>
      <c r="D1441" s="53" t="s">
        <v>4</v>
      </c>
      <c r="E1441" s="53" t="s">
        <v>6</v>
      </c>
      <c r="F1441" s="53" t="s">
        <v>11</v>
      </c>
      <c r="G1441" s="1075" t="s">
        <v>8</v>
      </c>
    </row>
    <row r="1442" spans="1:7" s="2" customFormat="1" ht="15.75" customHeight="1">
      <c r="A1442" s="978" t="s">
        <v>1256</v>
      </c>
      <c r="B1442" s="979"/>
      <c r="C1442" s="13" t="s">
        <v>1245</v>
      </c>
      <c r="D1442" s="32">
        <v>0.5</v>
      </c>
      <c r="E1442" s="13">
        <v>20030</v>
      </c>
      <c r="F1442" s="55">
        <f>+D1442*E1442</f>
        <v>10015</v>
      </c>
      <c r="G1442" s="1116"/>
    </row>
    <row r="1443" spans="1:7" s="145" customFormat="1" ht="15.75" customHeight="1">
      <c r="A1443" s="155"/>
      <c r="B1443" s="156"/>
      <c r="C1443" s="156"/>
      <c r="D1443" s="156"/>
      <c r="E1443" s="156"/>
      <c r="F1443" s="156"/>
      <c r="G1443" s="57">
        <f>SUM(F1441:F1443)</f>
        <v>10015</v>
      </c>
    </row>
    <row r="1444" spans="1:7" s="145" customFormat="1" ht="15.75" customHeight="1">
      <c r="A1444" s="1119" t="s">
        <v>25</v>
      </c>
      <c r="B1444" s="1120"/>
      <c r="C1444" s="1120"/>
      <c r="D1444" s="1120"/>
      <c r="E1444" s="1120"/>
      <c r="F1444" s="1120"/>
      <c r="G1444" s="1121"/>
    </row>
    <row r="1445" spans="1:7" s="145" customFormat="1" ht="15.75" customHeight="1">
      <c r="A1445" s="1122"/>
      <c r="B1445" s="1120"/>
      <c r="C1445" s="1120"/>
      <c r="D1445" s="1120"/>
      <c r="E1445" s="1120"/>
      <c r="F1445" s="1120"/>
      <c r="G1445" s="157">
        <f>G1443+G1439+G1435+G1431</f>
        <v>273923.51973</v>
      </c>
    </row>
    <row r="1446" spans="1:7" s="145" customFormat="1" ht="15" customHeight="1">
      <c r="A1446" s="158"/>
      <c r="B1446" s="159"/>
      <c r="C1446" s="159"/>
      <c r="D1446" s="159"/>
      <c r="E1446" s="159"/>
      <c r="F1446" s="159"/>
      <c r="G1446" s="160"/>
    </row>
    <row r="1447" spans="1:7" s="145" customFormat="1" ht="15.75" customHeight="1">
      <c r="A1447" s="1123" t="s">
        <v>1</v>
      </c>
      <c r="B1447" s="1120"/>
      <c r="C1447" s="953" t="s">
        <v>594</v>
      </c>
      <c r="D1447" s="1125"/>
      <c r="E1447" s="1125"/>
      <c r="F1447" s="1125"/>
      <c r="G1447" s="1126"/>
    </row>
    <row r="1448" spans="1:7" s="145" customFormat="1" ht="24" customHeight="1">
      <c r="A1448" s="1124"/>
      <c r="B1448" s="1120"/>
      <c r="C1448" s="1125"/>
      <c r="D1448" s="1125"/>
      <c r="E1448" s="1125"/>
      <c r="F1448" s="1125"/>
      <c r="G1448" s="1126"/>
    </row>
    <row r="1449" spans="1:7" s="145" customFormat="1" ht="15.6" customHeight="1">
      <c r="A1449" s="1124"/>
      <c r="B1449" s="1120"/>
      <c r="C1449" s="1127" t="s">
        <v>595</v>
      </c>
      <c r="D1449" s="1120"/>
      <c r="E1449" s="1120"/>
      <c r="F1449" s="1120"/>
      <c r="G1449" s="1121"/>
    </row>
    <row r="1450" spans="1:7" s="145" customFormat="1" ht="15.75" customHeight="1">
      <c r="A1450" s="1124"/>
      <c r="B1450" s="1120"/>
      <c r="C1450" s="1128" t="s">
        <v>2</v>
      </c>
      <c r="D1450" s="1120"/>
      <c r="E1450" s="1120"/>
      <c r="F1450" s="146" t="s">
        <v>3</v>
      </c>
      <c r="G1450" s="147" t="s">
        <v>4</v>
      </c>
    </row>
    <row r="1451" spans="1:7" s="145" customFormat="1" ht="36.6" customHeight="1">
      <c r="A1451" s="1073" t="s">
        <v>741</v>
      </c>
      <c r="B1451" s="1115"/>
      <c r="C1451" s="980" t="s">
        <v>742</v>
      </c>
      <c r="D1451" s="1115"/>
      <c r="E1451" s="1115"/>
      <c r="F1451" s="162" t="s">
        <v>28</v>
      </c>
      <c r="G1451" s="52">
        <v>1</v>
      </c>
    </row>
    <row r="1452" spans="1:7" s="145" customFormat="1" ht="15.75" customHeight="1">
      <c r="A1452" s="1114" t="s">
        <v>5</v>
      </c>
      <c r="B1452" s="1115"/>
      <c r="C1452" s="1115"/>
      <c r="D1452" s="1115"/>
      <c r="E1452" s="1115"/>
      <c r="F1452" s="1115"/>
      <c r="G1452" s="1116"/>
    </row>
    <row r="1453" spans="1:7" s="145" customFormat="1" ht="15.75" customHeight="1">
      <c r="A1453" s="1074" t="s">
        <v>2</v>
      </c>
      <c r="B1453" s="1115"/>
      <c r="C1453" s="53" t="s">
        <v>3</v>
      </c>
      <c r="D1453" s="53" t="s">
        <v>4</v>
      </c>
      <c r="E1453" s="53" t="s">
        <v>6</v>
      </c>
      <c r="F1453" s="53" t="s">
        <v>7</v>
      </c>
      <c r="G1453" s="1075" t="s">
        <v>8</v>
      </c>
    </row>
    <row r="1454" spans="1:7" s="145" customFormat="1" ht="15.75" customHeight="1">
      <c r="A1454" s="947" t="s">
        <v>167</v>
      </c>
      <c r="B1454" s="1115"/>
      <c r="C1454" s="51" t="s">
        <v>3</v>
      </c>
      <c r="D1454" s="51">
        <v>0.05</v>
      </c>
      <c r="E1454" s="17">
        <f>G1467</f>
        <v>2003</v>
      </c>
      <c r="F1454" s="55">
        <f>D1454*E1454</f>
        <v>100.15</v>
      </c>
      <c r="G1454" s="1116"/>
    </row>
    <row r="1455" spans="1:7" s="145" customFormat="1" ht="15.75" customHeight="1">
      <c r="A1455" s="943"/>
      <c r="B1455" s="1115"/>
      <c r="C1455" s="51"/>
      <c r="D1455" s="51"/>
      <c r="E1455" s="51"/>
      <c r="F1455" s="55"/>
      <c r="G1455" s="57">
        <f>SUM(F1453:F1455)</f>
        <v>100.15</v>
      </c>
    </row>
    <row r="1456" spans="1:7" s="145" customFormat="1" ht="15.75" customHeight="1">
      <c r="A1456" s="1114" t="s">
        <v>10</v>
      </c>
      <c r="B1456" s="1115"/>
      <c r="C1456" s="1115"/>
      <c r="D1456" s="1115"/>
      <c r="E1456" s="1115"/>
      <c r="F1456" s="1115"/>
      <c r="G1456" s="1116"/>
    </row>
    <row r="1457" spans="1:7" s="145" customFormat="1" ht="15.75" customHeight="1">
      <c r="A1457" s="1074" t="s">
        <v>2</v>
      </c>
      <c r="B1457" s="1115"/>
      <c r="C1457" s="53" t="s">
        <v>3</v>
      </c>
      <c r="D1457" s="53" t="s">
        <v>4</v>
      </c>
      <c r="E1457" s="53" t="s">
        <v>6</v>
      </c>
      <c r="F1457" s="53" t="s">
        <v>11</v>
      </c>
      <c r="G1457" s="1075" t="s">
        <v>8</v>
      </c>
    </row>
    <row r="1458" spans="1:7" s="145" customFormat="1" ht="24.6" customHeight="1">
      <c r="A1458" s="1117" t="s">
        <v>742</v>
      </c>
      <c r="B1458" s="1118"/>
      <c r="C1458" s="148" t="s">
        <v>3</v>
      </c>
      <c r="D1458" s="148">
        <v>1</v>
      </c>
      <c r="E1458" s="17">
        <f>+'INSUMOS ELÉCTRICOS'!E23</f>
        <v>14280</v>
      </c>
      <c r="F1458" s="149">
        <f>D1458*E1458</f>
        <v>14280</v>
      </c>
      <c r="G1458" s="1075"/>
    </row>
    <row r="1459" spans="1:7" s="145" customFormat="1" ht="15.75" customHeight="1">
      <c r="A1459" s="947"/>
      <c r="B1459" s="1115"/>
      <c r="C1459" s="16"/>
      <c r="D1459" s="58"/>
      <c r="E1459" s="17"/>
      <c r="F1459" s="55"/>
      <c r="G1459" s="57">
        <f>SUM(F1457:F1459)</f>
        <v>14280</v>
      </c>
    </row>
    <row r="1460" spans="1:7" s="145" customFormat="1" ht="15.75" customHeight="1">
      <c r="A1460" s="1114" t="s">
        <v>15</v>
      </c>
      <c r="B1460" s="1115"/>
      <c r="C1460" s="1115"/>
      <c r="D1460" s="1115"/>
      <c r="E1460" s="1115"/>
      <c r="F1460" s="1115"/>
      <c r="G1460" s="1116"/>
    </row>
    <row r="1461" spans="1:7" s="145" customFormat="1" ht="15.75" customHeight="1">
      <c r="A1461" s="1074" t="s">
        <v>2</v>
      </c>
      <c r="B1461" s="1115"/>
      <c r="C1461" s="53" t="s">
        <v>3</v>
      </c>
      <c r="D1461" s="53" t="s">
        <v>4</v>
      </c>
      <c r="E1461" s="53" t="s">
        <v>6</v>
      </c>
      <c r="F1461" s="53" t="s">
        <v>11</v>
      </c>
      <c r="G1461" s="1075" t="s">
        <v>8</v>
      </c>
    </row>
    <row r="1462" spans="1:7" s="145" customFormat="1" ht="15.75" customHeight="1">
      <c r="A1462" s="943" t="s">
        <v>173</v>
      </c>
      <c r="B1462" s="1115"/>
      <c r="C1462" s="16" t="s">
        <v>3</v>
      </c>
      <c r="D1462" s="16">
        <v>0.04</v>
      </c>
      <c r="E1462" s="17">
        <f>G1459</f>
        <v>14280</v>
      </c>
      <c r="F1462" s="55">
        <f>D1462*E1462</f>
        <v>571.20000000000005</v>
      </c>
      <c r="G1462" s="1116"/>
    </row>
    <row r="1463" spans="1:7" s="145" customFormat="1" ht="15.75" customHeight="1">
      <c r="A1463" s="151"/>
      <c r="B1463" s="152"/>
      <c r="C1463" s="152"/>
      <c r="D1463" s="152"/>
      <c r="E1463" s="152"/>
      <c r="F1463" s="152"/>
      <c r="G1463" s="57">
        <f>SUM(F1462:F1463)</f>
        <v>571.20000000000005</v>
      </c>
    </row>
    <row r="1464" spans="1:7" s="145" customFormat="1" ht="15.75" customHeight="1">
      <c r="A1464" s="1114" t="s">
        <v>19</v>
      </c>
      <c r="B1464" s="1115"/>
      <c r="C1464" s="1115"/>
      <c r="D1464" s="1115"/>
      <c r="E1464" s="1115"/>
      <c r="F1464" s="1115"/>
      <c r="G1464" s="1116"/>
    </row>
    <row r="1465" spans="1:7" s="145" customFormat="1" ht="15.75" customHeight="1">
      <c r="A1465" s="1074" t="s">
        <v>2</v>
      </c>
      <c r="B1465" s="1115"/>
      <c r="C1465" s="53" t="s">
        <v>3</v>
      </c>
      <c r="D1465" s="53" t="s">
        <v>4</v>
      </c>
      <c r="E1465" s="53" t="s">
        <v>6</v>
      </c>
      <c r="F1465" s="53" t="s">
        <v>11</v>
      </c>
      <c r="G1465" s="1075" t="s">
        <v>8</v>
      </c>
    </row>
    <row r="1466" spans="1:7" s="2" customFormat="1" ht="15.75" customHeight="1">
      <c r="A1466" s="978" t="s">
        <v>1256</v>
      </c>
      <c r="B1466" s="979"/>
      <c r="C1466" s="13" t="s">
        <v>1245</v>
      </c>
      <c r="D1466" s="32">
        <v>0.1</v>
      </c>
      <c r="E1466" s="13">
        <v>20030</v>
      </c>
      <c r="F1466" s="55">
        <f>+D1466*E1466</f>
        <v>2003</v>
      </c>
      <c r="G1466" s="1116"/>
    </row>
    <row r="1467" spans="1:7" s="145" customFormat="1" ht="15.75" customHeight="1">
      <c r="A1467" s="155"/>
      <c r="B1467" s="156"/>
      <c r="C1467" s="156"/>
      <c r="D1467" s="156"/>
      <c r="E1467" s="156"/>
      <c r="F1467" s="156"/>
      <c r="G1467" s="57">
        <f>SUM(F1465:F1467)</f>
        <v>2003</v>
      </c>
    </row>
    <row r="1468" spans="1:7" s="145" customFormat="1" ht="15.75" customHeight="1">
      <c r="A1468" s="1119" t="s">
        <v>25</v>
      </c>
      <c r="B1468" s="1120"/>
      <c r="C1468" s="1120"/>
      <c r="D1468" s="1120"/>
      <c r="E1468" s="1120"/>
      <c r="F1468" s="1120"/>
      <c r="G1468" s="1121"/>
    </row>
    <row r="1469" spans="1:7" s="145" customFormat="1" ht="15.75" customHeight="1">
      <c r="A1469" s="1122"/>
      <c r="B1469" s="1120"/>
      <c r="C1469" s="1120"/>
      <c r="D1469" s="1120"/>
      <c r="E1469" s="1120"/>
      <c r="F1469" s="1120"/>
      <c r="G1469" s="157">
        <f>G1467+G1463+G1459+G1455</f>
        <v>16954.350000000002</v>
      </c>
    </row>
    <row r="1470" spans="1:7" s="145" customFormat="1" ht="15" customHeight="1">
      <c r="A1470" s="158"/>
      <c r="B1470" s="159"/>
      <c r="C1470" s="159"/>
      <c r="D1470" s="159"/>
      <c r="E1470" s="159"/>
      <c r="F1470" s="159"/>
      <c r="G1470" s="160"/>
    </row>
    <row r="1471" spans="1:7" s="145" customFormat="1" ht="15.75" customHeight="1">
      <c r="A1471" s="1123" t="s">
        <v>1</v>
      </c>
      <c r="B1471" s="1120"/>
      <c r="C1471" s="953" t="s">
        <v>594</v>
      </c>
      <c r="D1471" s="1125"/>
      <c r="E1471" s="1125"/>
      <c r="F1471" s="1125"/>
      <c r="G1471" s="1126"/>
    </row>
    <row r="1472" spans="1:7" s="145" customFormat="1" ht="24" customHeight="1">
      <c r="A1472" s="1124"/>
      <c r="B1472" s="1120"/>
      <c r="C1472" s="1125"/>
      <c r="D1472" s="1125"/>
      <c r="E1472" s="1125"/>
      <c r="F1472" s="1125"/>
      <c r="G1472" s="1126"/>
    </row>
    <row r="1473" spans="1:7" s="145" customFormat="1" ht="15.6" customHeight="1">
      <c r="A1473" s="1124"/>
      <c r="B1473" s="1120"/>
      <c r="C1473" s="1127" t="s">
        <v>606</v>
      </c>
      <c r="D1473" s="1120"/>
      <c r="E1473" s="1120"/>
      <c r="F1473" s="1120"/>
      <c r="G1473" s="1121"/>
    </row>
    <row r="1474" spans="1:7" s="145" customFormat="1" ht="15.75" customHeight="1">
      <c r="A1474" s="1124"/>
      <c r="B1474" s="1120"/>
      <c r="C1474" s="1128" t="s">
        <v>2</v>
      </c>
      <c r="D1474" s="1120"/>
      <c r="E1474" s="1120"/>
      <c r="F1474" s="146" t="s">
        <v>3</v>
      </c>
      <c r="G1474" s="147" t="s">
        <v>4</v>
      </c>
    </row>
    <row r="1475" spans="1:7" s="145" customFormat="1" ht="57.75" customHeight="1">
      <c r="A1475" s="1073" t="s">
        <v>743</v>
      </c>
      <c r="B1475" s="1115"/>
      <c r="C1475" s="980" t="s">
        <v>608</v>
      </c>
      <c r="D1475" s="1115"/>
      <c r="E1475" s="1115"/>
      <c r="F1475" s="162" t="s">
        <v>28</v>
      </c>
      <c r="G1475" s="52">
        <v>1</v>
      </c>
    </row>
    <row r="1476" spans="1:7" s="145" customFormat="1" ht="15.75" customHeight="1">
      <c r="A1476" s="1114" t="s">
        <v>5</v>
      </c>
      <c r="B1476" s="1115"/>
      <c r="C1476" s="1115"/>
      <c r="D1476" s="1115"/>
      <c r="E1476" s="1115"/>
      <c r="F1476" s="1115"/>
      <c r="G1476" s="1116"/>
    </row>
    <row r="1477" spans="1:7" s="145" customFormat="1" ht="15.75" customHeight="1">
      <c r="A1477" s="1074" t="s">
        <v>2</v>
      </c>
      <c r="B1477" s="1115"/>
      <c r="C1477" s="53" t="s">
        <v>3</v>
      </c>
      <c r="D1477" s="53" t="s">
        <v>4</v>
      </c>
      <c r="E1477" s="53" t="s">
        <v>6</v>
      </c>
      <c r="F1477" s="53" t="s">
        <v>7</v>
      </c>
      <c r="G1477" s="1075" t="s">
        <v>8</v>
      </c>
    </row>
    <row r="1478" spans="1:7" s="145" customFormat="1" ht="15.75" customHeight="1">
      <c r="A1478" s="947" t="s">
        <v>167</v>
      </c>
      <c r="B1478" s="1115"/>
      <c r="C1478" s="51" t="s">
        <v>3</v>
      </c>
      <c r="D1478" s="51">
        <v>0.05</v>
      </c>
      <c r="E1478" s="17">
        <f>G1491</f>
        <v>4006</v>
      </c>
      <c r="F1478" s="55">
        <f>D1478*E1478</f>
        <v>200.3</v>
      </c>
      <c r="G1478" s="1116"/>
    </row>
    <row r="1479" spans="1:7" s="145" customFormat="1" ht="15.75" customHeight="1">
      <c r="A1479" s="943"/>
      <c r="B1479" s="1115"/>
      <c r="C1479" s="51"/>
      <c r="D1479" s="51"/>
      <c r="E1479" s="51"/>
      <c r="F1479" s="55"/>
      <c r="G1479" s="57">
        <f>SUM(F1477:F1479)</f>
        <v>200.3</v>
      </c>
    </row>
    <row r="1480" spans="1:7" s="145" customFormat="1" ht="15.75" customHeight="1">
      <c r="A1480" s="1114" t="s">
        <v>10</v>
      </c>
      <c r="B1480" s="1115"/>
      <c r="C1480" s="1115"/>
      <c r="D1480" s="1115"/>
      <c r="E1480" s="1115"/>
      <c r="F1480" s="1115"/>
      <c r="G1480" s="1116"/>
    </row>
    <row r="1481" spans="1:7" s="145" customFormat="1" ht="15.75" customHeight="1">
      <c r="A1481" s="1074" t="s">
        <v>2</v>
      </c>
      <c r="B1481" s="1115"/>
      <c r="C1481" s="53" t="s">
        <v>3</v>
      </c>
      <c r="D1481" s="53" t="s">
        <v>4</v>
      </c>
      <c r="E1481" s="53" t="s">
        <v>6</v>
      </c>
      <c r="F1481" s="53" t="s">
        <v>11</v>
      </c>
      <c r="G1481" s="1075" t="s">
        <v>8</v>
      </c>
    </row>
    <row r="1482" spans="1:7" s="150" customFormat="1" ht="62.25" customHeight="1">
      <c r="A1482" s="1117" t="s">
        <v>608</v>
      </c>
      <c r="B1482" s="1118"/>
      <c r="C1482" s="148" t="s">
        <v>3</v>
      </c>
      <c r="D1482" s="148">
        <v>1.05</v>
      </c>
      <c r="E1482" s="17">
        <f>+'INSUMOS ELÉCTRICOS'!E17</f>
        <v>5033.7</v>
      </c>
      <c r="F1482" s="149">
        <f>D1482*E1482</f>
        <v>5285.3850000000002</v>
      </c>
      <c r="G1482" s="1075"/>
    </row>
    <row r="1483" spans="1:7" s="145" customFormat="1" ht="15.75" customHeight="1">
      <c r="A1483" s="947"/>
      <c r="B1483" s="1115"/>
      <c r="C1483" s="16"/>
      <c r="D1483" s="58"/>
      <c r="E1483" s="17"/>
      <c r="F1483" s="55"/>
      <c r="G1483" s="57">
        <f>SUM(F1481:F1483)</f>
        <v>5285.3850000000002</v>
      </c>
    </row>
    <row r="1484" spans="1:7" s="145" customFormat="1" ht="15.75" customHeight="1">
      <c r="A1484" s="1114" t="s">
        <v>15</v>
      </c>
      <c r="B1484" s="1115"/>
      <c r="C1484" s="1115"/>
      <c r="D1484" s="1115"/>
      <c r="E1484" s="1115"/>
      <c r="F1484" s="1115"/>
      <c r="G1484" s="1116"/>
    </row>
    <row r="1485" spans="1:7" s="145" customFormat="1" ht="15.75" customHeight="1">
      <c r="A1485" s="1074" t="s">
        <v>2</v>
      </c>
      <c r="B1485" s="1115"/>
      <c r="C1485" s="53" t="s">
        <v>3</v>
      </c>
      <c r="D1485" s="53" t="s">
        <v>4</v>
      </c>
      <c r="E1485" s="53" t="s">
        <v>6</v>
      </c>
      <c r="F1485" s="53" t="s">
        <v>11</v>
      </c>
      <c r="G1485" s="1075" t="s">
        <v>8</v>
      </c>
    </row>
    <row r="1486" spans="1:7" s="145" customFormat="1" ht="15.75" customHeight="1">
      <c r="A1486" s="943" t="s">
        <v>173</v>
      </c>
      <c r="B1486" s="1115"/>
      <c r="C1486" s="16" t="s">
        <v>3</v>
      </c>
      <c r="D1486" s="16">
        <v>0.06</v>
      </c>
      <c r="E1486" s="17">
        <f>G1483</f>
        <v>5285.3850000000002</v>
      </c>
      <c r="F1486" s="55">
        <f>D1486*E1486</f>
        <v>317.12310000000002</v>
      </c>
      <c r="G1486" s="1116"/>
    </row>
    <row r="1487" spans="1:7" s="145" customFormat="1" ht="15.75" customHeight="1">
      <c r="A1487" s="151"/>
      <c r="B1487" s="152"/>
      <c r="C1487" s="152"/>
      <c r="D1487" s="152"/>
      <c r="E1487" s="152"/>
      <c r="F1487" s="152"/>
      <c r="G1487" s="57">
        <f>SUM(F1486:F1487)</f>
        <v>317.12310000000002</v>
      </c>
    </row>
    <row r="1488" spans="1:7" s="145" customFormat="1" ht="15.75" customHeight="1">
      <c r="A1488" s="1114" t="s">
        <v>19</v>
      </c>
      <c r="B1488" s="1115"/>
      <c r="C1488" s="1115"/>
      <c r="D1488" s="1115"/>
      <c r="E1488" s="1115"/>
      <c r="F1488" s="1115"/>
      <c r="G1488" s="1116"/>
    </row>
    <row r="1489" spans="1:7" s="145" customFormat="1" ht="15.75" customHeight="1">
      <c r="A1489" s="1074" t="s">
        <v>2</v>
      </c>
      <c r="B1489" s="1115"/>
      <c r="C1489" s="53" t="s">
        <v>3</v>
      </c>
      <c r="D1489" s="53" t="s">
        <v>4</v>
      </c>
      <c r="E1489" s="53" t="s">
        <v>6</v>
      </c>
      <c r="F1489" s="53" t="s">
        <v>11</v>
      </c>
      <c r="G1489" s="1075" t="s">
        <v>8</v>
      </c>
    </row>
    <row r="1490" spans="1:7" s="2" customFormat="1" ht="15.75" customHeight="1">
      <c r="A1490" s="978" t="s">
        <v>1256</v>
      </c>
      <c r="B1490" s="979"/>
      <c r="C1490" s="13" t="s">
        <v>1245</v>
      </c>
      <c r="D1490" s="32">
        <v>0.2</v>
      </c>
      <c r="E1490" s="13">
        <v>20030</v>
      </c>
      <c r="F1490" s="55">
        <f>+D1490*E1490</f>
        <v>4006</v>
      </c>
      <c r="G1490" s="1116"/>
    </row>
    <row r="1491" spans="1:7" s="145" customFormat="1" ht="15.75" customHeight="1">
      <c r="A1491" s="155"/>
      <c r="B1491" s="156"/>
      <c r="C1491" s="156"/>
      <c r="D1491" s="156"/>
      <c r="E1491" s="156"/>
      <c r="F1491" s="156"/>
      <c r="G1491" s="57">
        <f>SUM(F1489:F1491)</f>
        <v>4006</v>
      </c>
    </row>
    <row r="1492" spans="1:7" s="145" customFormat="1" ht="15.75" customHeight="1">
      <c r="A1492" s="1119" t="s">
        <v>25</v>
      </c>
      <c r="B1492" s="1120"/>
      <c r="C1492" s="1120"/>
      <c r="D1492" s="1120"/>
      <c r="E1492" s="1120"/>
      <c r="F1492" s="1120"/>
      <c r="G1492" s="1121"/>
    </row>
    <row r="1493" spans="1:7" s="145" customFormat="1" ht="15.75" customHeight="1">
      <c r="A1493" s="1122"/>
      <c r="B1493" s="1120"/>
      <c r="C1493" s="1120"/>
      <c r="D1493" s="1120"/>
      <c r="E1493" s="1120"/>
      <c r="F1493" s="1120"/>
      <c r="G1493" s="157">
        <f>G1491+G1487+G1483+G1479</f>
        <v>9808.8080999999984</v>
      </c>
    </row>
    <row r="1494" spans="1:7" s="145" customFormat="1" ht="15" customHeight="1">
      <c r="A1494" s="158"/>
      <c r="B1494" s="159"/>
      <c r="C1494" s="159"/>
      <c r="D1494" s="159"/>
      <c r="E1494" s="159"/>
      <c r="F1494" s="159"/>
      <c r="G1494" s="160"/>
    </row>
    <row r="1495" spans="1:7" s="145" customFormat="1" ht="15.75" customHeight="1">
      <c r="A1495" s="1123" t="s">
        <v>1</v>
      </c>
      <c r="B1495" s="1120"/>
      <c r="C1495" s="953" t="s">
        <v>594</v>
      </c>
      <c r="D1495" s="1125"/>
      <c r="E1495" s="1125"/>
      <c r="F1495" s="1125"/>
      <c r="G1495" s="1126"/>
    </row>
    <row r="1496" spans="1:7" s="145" customFormat="1" ht="24" customHeight="1">
      <c r="A1496" s="1124"/>
      <c r="B1496" s="1120"/>
      <c r="C1496" s="1125"/>
      <c r="D1496" s="1125"/>
      <c r="E1496" s="1125"/>
      <c r="F1496" s="1125"/>
      <c r="G1496" s="1126"/>
    </row>
    <row r="1497" spans="1:7" s="145" customFormat="1" ht="15.6" customHeight="1">
      <c r="A1497" s="1124"/>
      <c r="B1497" s="1120"/>
      <c r="C1497" s="1127" t="s">
        <v>609</v>
      </c>
      <c r="D1497" s="1120"/>
      <c r="E1497" s="1120"/>
      <c r="F1497" s="1120"/>
      <c r="G1497" s="1121"/>
    </row>
    <row r="1498" spans="1:7" s="145" customFormat="1" ht="15.75" customHeight="1">
      <c r="A1498" s="1124"/>
      <c r="B1498" s="1120"/>
      <c r="C1498" s="1128" t="s">
        <v>2</v>
      </c>
      <c r="D1498" s="1120"/>
      <c r="E1498" s="1120"/>
      <c r="F1498" s="146" t="s">
        <v>3</v>
      </c>
      <c r="G1498" s="147" t="s">
        <v>4</v>
      </c>
    </row>
    <row r="1499" spans="1:7" s="145" customFormat="1" ht="80.25" customHeight="1">
      <c r="A1499" s="1073" t="s">
        <v>744</v>
      </c>
      <c r="B1499" s="1115"/>
      <c r="C1499" s="980" t="s">
        <v>2766</v>
      </c>
      <c r="D1499" s="1115"/>
      <c r="E1499" s="1115"/>
      <c r="F1499" s="162" t="s">
        <v>45</v>
      </c>
      <c r="G1499" s="52">
        <v>1</v>
      </c>
    </row>
    <row r="1500" spans="1:7" s="145" customFormat="1" ht="15.75" customHeight="1">
      <c r="A1500" s="1114" t="s">
        <v>5</v>
      </c>
      <c r="B1500" s="1115"/>
      <c r="C1500" s="1115"/>
      <c r="D1500" s="1115"/>
      <c r="E1500" s="1115"/>
      <c r="F1500" s="1115"/>
      <c r="G1500" s="1116"/>
    </row>
    <row r="1501" spans="1:7" s="145" customFormat="1" ht="15.75" customHeight="1">
      <c r="A1501" s="1074" t="s">
        <v>2</v>
      </c>
      <c r="B1501" s="1115"/>
      <c r="C1501" s="53" t="s">
        <v>3</v>
      </c>
      <c r="D1501" s="53" t="s">
        <v>4</v>
      </c>
      <c r="E1501" s="53" t="s">
        <v>6</v>
      </c>
      <c r="F1501" s="53" t="s">
        <v>7</v>
      </c>
      <c r="G1501" s="1075" t="s">
        <v>8</v>
      </c>
    </row>
    <row r="1502" spans="1:7" s="145" customFormat="1" ht="15.75" customHeight="1">
      <c r="A1502" s="947" t="s">
        <v>167</v>
      </c>
      <c r="B1502" s="1115"/>
      <c r="C1502" s="51" t="s">
        <v>3</v>
      </c>
      <c r="D1502" s="51">
        <v>0.05</v>
      </c>
      <c r="E1502" s="17">
        <v>6719</v>
      </c>
      <c r="F1502" s="55">
        <f>D1502*E1502</f>
        <v>335.95000000000005</v>
      </c>
      <c r="G1502" s="1116"/>
    </row>
    <row r="1503" spans="1:7" s="145" customFormat="1" ht="15.75" customHeight="1">
      <c r="A1503" s="943"/>
      <c r="B1503" s="1115"/>
      <c r="C1503" s="51"/>
      <c r="D1503" s="51"/>
      <c r="E1503" s="51"/>
      <c r="F1503" s="55"/>
      <c r="G1503" s="57">
        <f>SUM(F1501:F1503)</f>
        <v>335.95000000000005</v>
      </c>
    </row>
    <row r="1504" spans="1:7" s="145" customFormat="1" ht="15.75" customHeight="1">
      <c r="A1504" s="1114" t="s">
        <v>10</v>
      </c>
      <c r="B1504" s="1115"/>
      <c r="C1504" s="1115"/>
      <c r="D1504" s="1115"/>
      <c r="E1504" s="1115"/>
      <c r="F1504" s="1115"/>
      <c r="G1504" s="1116"/>
    </row>
    <row r="1505" spans="1:7" s="145" customFormat="1" ht="15.75" customHeight="1">
      <c r="A1505" s="1074" t="s">
        <v>2</v>
      </c>
      <c r="B1505" s="1115"/>
      <c r="C1505" s="53" t="s">
        <v>3</v>
      </c>
      <c r="D1505" s="53" t="s">
        <v>4</v>
      </c>
      <c r="E1505" s="53" t="s">
        <v>6</v>
      </c>
      <c r="F1505" s="53" t="s">
        <v>11</v>
      </c>
      <c r="G1505" s="1075" t="s">
        <v>8</v>
      </c>
    </row>
    <row r="1506" spans="1:7" s="150" customFormat="1" ht="43.95" customHeight="1">
      <c r="A1506" s="947" t="s">
        <v>612</v>
      </c>
      <c r="B1506" s="1115"/>
      <c r="C1506" s="51" t="s">
        <v>3</v>
      </c>
      <c r="D1506" s="148">
        <v>10</v>
      </c>
      <c r="E1506" s="17">
        <f>+'INSUMOS ELÉCTRICOS'!E126</f>
        <v>348.66999999999996</v>
      </c>
      <c r="F1506" s="55">
        <f t="shared" ref="F1506:F1511" si="21">D1506*E1506</f>
        <v>3486.7</v>
      </c>
      <c r="G1506" s="1075"/>
    </row>
    <row r="1507" spans="1:7" s="145" customFormat="1" ht="15.75" customHeight="1">
      <c r="A1507" s="947" t="s">
        <v>613</v>
      </c>
      <c r="B1507" s="1115"/>
      <c r="C1507" s="51" t="s">
        <v>3</v>
      </c>
      <c r="D1507" s="148">
        <v>0.67</v>
      </c>
      <c r="E1507" s="17">
        <f>+'INSUMOS ELÉCTRICOS'!E24</f>
        <v>780</v>
      </c>
      <c r="F1507" s="55">
        <f t="shared" si="21"/>
        <v>522.6</v>
      </c>
      <c r="G1507" s="1075"/>
    </row>
    <row r="1508" spans="1:7" s="145" customFormat="1" ht="15.75" customHeight="1">
      <c r="A1508" s="947" t="s">
        <v>614</v>
      </c>
      <c r="B1508" s="1115"/>
      <c r="C1508" s="51" t="s">
        <v>3</v>
      </c>
      <c r="D1508" s="148">
        <v>0.17</v>
      </c>
      <c r="E1508" s="17">
        <f>+'INSUMOS ELÉCTRICOS'!E25</f>
        <v>11900</v>
      </c>
      <c r="F1508" s="55">
        <f t="shared" si="21"/>
        <v>2023.0000000000002</v>
      </c>
      <c r="G1508" s="1075"/>
    </row>
    <row r="1509" spans="1:7" s="145" customFormat="1" ht="15.75" customHeight="1">
      <c r="A1509" s="947" t="s">
        <v>2477</v>
      </c>
      <c r="B1509" s="1115"/>
      <c r="C1509" s="51" t="s">
        <v>3</v>
      </c>
      <c r="D1509" s="148">
        <v>1</v>
      </c>
      <c r="E1509" s="17">
        <f>+'INSUMOS ELÉCTRICOS'!E26</f>
        <v>16580.666666666668</v>
      </c>
      <c r="F1509" s="55">
        <f t="shared" si="21"/>
        <v>16580.666666666668</v>
      </c>
      <c r="G1509" s="1075"/>
    </row>
    <row r="1510" spans="1:7" s="145" customFormat="1" ht="15.75" customHeight="1">
      <c r="A1510" s="947" t="s">
        <v>615</v>
      </c>
      <c r="B1510" s="1115"/>
      <c r="C1510" s="51" t="s">
        <v>3</v>
      </c>
      <c r="D1510" s="148">
        <v>0.33</v>
      </c>
      <c r="E1510" s="17">
        <f>+'INSUMOS ELÉCTRICOS'!E28</f>
        <v>2946.44</v>
      </c>
      <c r="F1510" s="55">
        <f t="shared" si="21"/>
        <v>972.32520000000011</v>
      </c>
      <c r="G1510" s="1075"/>
    </row>
    <row r="1511" spans="1:7" s="145" customFormat="1" ht="15.75" customHeight="1">
      <c r="A1511" s="947" t="s">
        <v>616</v>
      </c>
      <c r="B1511" s="1115"/>
      <c r="C1511" s="51" t="s">
        <v>3</v>
      </c>
      <c r="D1511" s="148">
        <v>0.32929999999999998</v>
      </c>
      <c r="E1511" s="17">
        <f>+'INSUMOS ELÉCTRICOS'!E29</f>
        <v>4190</v>
      </c>
      <c r="F1511" s="55">
        <f t="shared" si="21"/>
        <v>1379.7669999999998</v>
      </c>
      <c r="G1511" s="1075"/>
    </row>
    <row r="1512" spans="1:7" s="145" customFormat="1" ht="15.75" customHeight="1">
      <c r="A1512" s="947"/>
      <c r="B1512" s="1115"/>
      <c r="C1512" s="16"/>
      <c r="D1512" s="58"/>
      <c r="E1512" s="17"/>
      <c r="F1512" s="55"/>
      <c r="G1512" s="57">
        <f>SUM(F1505:F1512)</f>
        <v>24965.058866666666</v>
      </c>
    </row>
    <row r="1513" spans="1:7" s="145" customFormat="1" ht="15.75" customHeight="1">
      <c r="A1513" s="1114" t="s">
        <v>15</v>
      </c>
      <c r="B1513" s="1115"/>
      <c r="C1513" s="1115"/>
      <c r="D1513" s="1115"/>
      <c r="E1513" s="1115"/>
      <c r="F1513" s="1115"/>
      <c r="G1513" s="1116"/>
    </row>
    <row r="1514" spans="1:7" s="2" customFormat="1" ht="15.75" customHeight="1">
      <c r="A1514" s="1074" t="s">
        <v>2</v>
      </c>
      <c r="B1514" s="1115"/>
      <c r="C1514" s="53" t="s">
        <v>3</v>
      </c>
      <c r="D1514" s="53" t="s">
        <v>4</v>
      </c>
      <c r="E1514" s="53" t="s">
        <v>6</v>
      </c>
      <c r="F1514" s="53" t="s">
        <v>11</v>
      </c>
      <c r="G1514" s="1075" t="s">
        <v>8</v>
      </c>
    </row>
    <row r="1515" spans="1:7" s="145" customFormat="1" ht="15.75" customHeight="1">
      <c r="A1515" s="943" t="s">
        <v>173</v>
      </c>
      <c r="B1515" s="1115"/>
      <c r="C1515" s="16" t="s">
        <v>3</v>
      </c>
      <c r="D1515" s="16">
        <v>0.1</v>
      </c>
      <c r="E1515" s="17">
        <f>G1512</f>
        <v>24965.058866666666</v>
      </c>
      <c r="F1515" s="55">
        <f>D1515*E1515</f>
        <v>2496.5058866666668</v>
      </c>
      <c r="G1515" s="1116"/>
    </row>
    <row r="1516" spans="1:7" s="145" customFormat="1" ht="15.75" customHeight="1">
      <c r="A1516" s="151"/>
      <c r="B1516" s="152"/>
      <c r="C1516" s="152"/>
      <c r="D1516" s="152"/>
      <c r="E1516" s="152"/>
      <c r="F1516" s="152"/>
      <c r="G1516" s="57">
        <f>SUM(F1515:F1516)</f>
        <v>2496.5058866666668</v>
      </c>
    </row>
    <row r="1517" spans="1:7" s="145" customFormat="1" ht="15.75" customHeight="1">
      <c r="A1517" s="1114" t="s">
        <v>19</v>
      </c>
      <c r="B1517" s="1115"/>
      <c r="C1517" s="1115"/>
      <c r="D1517" s="1115"/>
      <c r="E1517" s="1115"/>
      <c r="F1517" s="1115"/>
      <c r="G1517" s="1116"/>
    </row>
    <row r="1518" spans="1:7" s="145" customFormat="1" ht="15" customHeight="1">
      <c r="A1518" s="1074" t="s">
        <v>2</v>
      </c>
      <c r="B1518" s="1115"/>
      <c r="C1518" s="53" t="s">
        <v>3</v>
      </c>
      <c r="D1518" s="53" t="s">
        <v>4</v>
      </c>
      <c r="E1518" s="53" t="s">
        <v>6</v>
      </c>
      <c r="F1518" s="53" t="s">
        <v>11</v>
      </c>
      <c r="G1518" s="1075" t="s">
        <v>8</v>
      </c>
    </row>
    <row r="1519" spans="1:7" s="145" customFormat="1" ht="15.75" customHeight="1">
      <c r="A1519" s="978" t="s">
        <v>1256</v>
      </c>
      <c r="B1519" s="979"/>
      <c r="C1519" s="13" t="s">
        <v>1245</v>
      </c>
      <c r="D1519" s="32">
        <v>0.2</v>
      </c>
      <c r="E1519" s="13">
        <v>18041</v>
      </c>
      <c r="F1519" s="55">
        <f>+D1519*E1519</f>
        <v>3608.2000000000003</v>
      </c>
      <c r="G1519" s="1116"/>
    </row>
    <row r="1520" spans="1:7" s="145" customFormat="1" ht="24" customHeight="1">
      <c r="A1520" s="155"/>
      <c r="B1520" s="156"/>
      <c r="C1520" s="156"/>
      <c r="D1520" s="156"/>
      <c r="E1520" s="156"/>
      <c r="F1520" s="156"/>
      <c r="G1520" s="57">
        <f>SUM(F1518:F1520)</f>
        <v>3608.2000000000003</v>
      </c>
    </row>
    <row r="1521" spans="1:7" s="145" customFormat="1" ht="15.6" customHeight="1">
      <c r="A1521" s="1119" t="s">
        <v>25</v>
      </c>
      <c r="B1521" s="1120"/>
      <c r="C1521" s="1120"/>
      <c r="D1521" s="1120"/>
      <c r="E1521" s="1120"/>
      <c r="F1521" s="1120"/>
      <c r="G1521" s="1121"/>
    </row>
    <row r="1522" spans="1:7" s="145" customFormat="1" ht="15.75" customHeight="1">
      <c r="A1522" s="1122"/>
      <c r="B1522" s="1120"/>
      <c r="C1522" s="1120"/>
      <c r="D1522" s="1120"/>
      <c r="E1522" s="1120"/>
      <c r="F1522" s="1120"/>
      <c r="G1522" s="157">
        <f>G1520+G1516+G1512+G1503</f>
        <v>31405.714753333334</v>
      </c>
    </row>
    <row r="1523" spans="1:7" s="145" customFormat="1" ht="13.8">
      <c r="A1523" s="158"/>
      <c r="B1523" s="159"/>
      <c r="C1523" s="159"/>
      <c r="D1523" s="159"/>
      <c r="E1523" s="159"/>
      <c r="F1523" s="159"/>
      <c r="G1523" s="160"/>
    </row>
    <row r="1524" spans="1:7" s="145" customFormat="1" ht="15.75" customHeight="1">
      <c r="A1524" s="1123" t="s">
        <v>1</v>
      </c>
      <c r="B1524" s="1120"/>
      <c r="C1524" s="953" t="s">
        <v>594</v>
      </c>
      <c r="D1524" s="1125"/>
      <c r="E1524" s="1125"/>
      <c r="F1524" s="1125"/>
      <c r="G1524" s="1126"/>
    </row>
    <row r="1525" spans="1:7" s="145" customFormat="1" ht="15.75" customHeight="1">
      <c r="A1525" s="1124"/>
      <c r="B1525" s="1120"/>
      <c r="C1525" s="1125"/>
      <c r="D1525" s="1125"/>
      <c r="E1525" s="1125"/>
      <c r="F1525" s="1125"/>
      <c r="G1525" s="1126"/>
    </row>
    <row r="1526" spans="1:7" s="145" customFormat="1" ht="15.75" customHeight="1">
      <c r="A1526" s="1124"/>
      <c r="B1526" s="1120"/>
      <c r="C1526" s="1127" t="s">
        <v>665</v>
      </c>
      <c r="D1526" s="1120"/>
      <c r="E1526" s="1120"/>
      <c r="F1526" s="1120"/>
      <c r="G1526" s="1121"/>
    </row>
    <row r="1527" spans="1:7" s="145" customFormat="1" ht="15.75" customHeight="1">
      <c r="A1527" s="1124"/>
      <c r="B1527" s="1120"/>
      <c r="C1527" s="1128" t="s">
        <v>2</v>
      </c>
      <c r="D1527" s="1120"/>
      <c r="E1527" s="1120"/>
      <c r="F1527" s="146" t="s">
        <v>3</v>
      </c>
      <c r="G1527" s="147" t="s">
        <v>4</v>
      </c>
    </row>
    <row r="1528" spans="1:7" s="145" customFormat="1" ht="78.75" customHeight="1">
      <c r="A1528" s="1073" t="s">
        <v>745</v>
      </c>
      <c r="B1528" s="1115"/>
      <c r="C1528" s="980" t="s">
        <v>666</v>
      </c>
      <c r="D1528" s="1115"/>
      <c r="E1528" s="1115"/>
      <c r="F1528" s="162" t="s">
        <v>45</v>
      </c>
      <c r="G1528" s="52">
        <v>1</v>
      </c>
    </row>
    <row r="1529" spans="1:7" s="145" customFormat="1" ht="15.75" customHeight="1">
      <c r="A1529" s="1114" t="s">
        <v>5</v>
      </c>
      <c r="B1529" s="1115"/>
      <c r="C1529" s="1115"/>
      <c r="D1529" s="1115"/>
      <c r="E1529" s="1115"/>
      <c r="F1529" s="1115"/>
      <c r="G1529" s="1116"/>
    </row>
    <row r="1530" spans="1:7" s="150" customFormat="1" ht="15.75" customHeight="1">
      <c r="A1530" s="1074" t="s">
        <v>2</v>
      </c>
      <c r="B1530" s="1115"/>
      <c r="C1530" s="53" t="s">
        <v>3</v>
      </c>
      <c r="D1530" s="53" t="s">
        <v>4</v>
      </c>
      <c r="E1530" s="53" t="s">
        <v>6</v>
      </c>
      <c r="F1530" s="53" t="s">
        <v>7</v>
      </c>
      <c r="G1530" s="1075" t="s">
        <v>8</v>
      </c>
    </row>
    <row r="1531" spans="1:7" s="145" customFormat="1" ht="15.75" customHeight="1">
      <c r="A1531" s="947" t="s">
        <v>167</v>
      </c>
      <c r="B1531" s="1115"/>
      <c r="C1531" s="51" t="s">
        <v>3</v>
      </c>
      <c r="D1531" s="51">
        <v>0.05</v>
      </c>
      <c r="E1531" s="17">
        <f>G1551</f>
        <v>14021</v>
      </c>
      <c r="F1531" s="55">
        <f>D1531*E1531</f>
        <v>701.05000000000007</v>
      </c>
      <c r="G1531" s="1116"/>
    </row>
    <row r="1532" spans="1:7" s="145" customFormat="1" ht="15.75" customHeight="1">
      <c r="A1532" s="943"/>
      <c r="B1532" s="1115"/>
      <c r="C1532" s="51"/>
      <c r="D1532" s="51"/>
      <c r="E1532" s="51"/>
      <c r="F1532" s="55"/>
      <c r="G1532" s="57">
        <f>SUM(F1530:F1532)</f>
        <v>701.05000000000007</v>
      </c>
    </row>
    <row r="1533" spans="1:7" s="145" customFormat="1" ht="15.75" customHeight="1">
      <c r="A1533" s="1114" t="s">
        <v>10</v>
      </c>
      <c r="B1533" s="1115"/>
      <c r="C1533" s="1115"/>
      <c r="D1533" s="1115"/>
      <c r="E1533" s="1115"/>
      <c r="F1533" s="1115"/>
      <c r="G1533" s="1116"/>
    </row>
    <row r="1534" spans="1:7" s="145" customFormat="1" ht="15.75" customHeight="1">
      <c r="A1534" s="1074" t="s">
        <v>2</v>
      </c>
      <c r="B1534" s="1115"/>
      <c r="C1534" s="53" t="s">
        <v>3</v>
      </c>
      <c r="D1534" s="53" t="s">
        <v>4</v>
      </c>
      <c r="E1534" s="53" t="s">
        <v>6</v>
      </c>
      <c r="F1534" s="53" t="s">
        <v>11</v>
      </c>
      <c r="G1534" s="1075" t="s">
        <v>8</v>
      </c>
    </row>
    <row r="1535" spans="1:7" s="145" customFormat="1" ht="15.75" customHeight="1">
      <c r="A1535" s="947" t="s">
        <v>612</v>
      </c>
      <c r="B1535" s="980"/>
      <c r="C1535" s="148" t="s">
        <v>3</v>
      </c>
      <c r="D1535" s="148">
        <v>20</v>
      </c>
      <c r="E1535" s="17">
        <f>+'INSUMOS ELÉCTRICOS'!E126</f>
        <v>348.66999999999996</v>
      </c>
      <c r="F1535" s="149">
        <f t="shared" ref="F1535:F1542" si="22">D1535*E1535</f>
        <v>6973.4</v>
      </c>
      <c r="G1535" s="1075"/>
    </row>
    <row r="1536" spans="1:7" s="145" customFormat="1" ht="15.75" customHeight="1">
      <c r="A1536" s="947" t="s">
        <v>640</v>
      </c>
      <c r="B1536" s="980"/>
      <c r="C1536" s="148" t="s">
        <v>3</v>
      </c>
      <c r="D1536" s="148">
        <v>1</v>
      </c>
      <c r="E1536" s="17">
        <f>+'INSUMOS ELÉCTRICOS'!E53</f>
        <v>20000</v>
      </c>
      <c r="F1536" s="149">
        <f t="shared" si="22"/>
        <v>20000</v>
      </c>
      <c r="G1536" s="1075"/>
    </row>
    <row r="1537" spans="1:7" s="145" customFormat="1" ht="15.75" customHeight="1">
      <c r="A1537" s="947" t="s">
        <v>641</v>
      </c>
      <c r="B1537" s="980"/>
      <c r="C1537" s="148" t="s">
        <v>3</v>
      </c>
      <c r="D1537" s="16">
        <v>4.2</v>
      </c>
      <c r="E1537" s="17">
        <f>+'INSUMOS ELÉCTRICOS'!E26</f>
        <v>16580.666666666668</v>
      </c>
      <c r="F1537" s="149">
        <f t="shared" si="22"/>
        <v>69638.8</v>
      </c>
      <c r="G1537" s="1075"/>
    </row>
    <row r="1538" spans="1:7" s="145" customFormat="1" ht="15.75" customHeight="1">
      <c r="A1538" s="947" t="s">
        <v>613</v>
      </c>
      <c r="B1538" s="980"/>
      <c r="C1538" s="148" t="s">
        <v>3</v>
      </c>
      <c r="D1538" s="16">
        <v>3</v>
      </c>
      <c r="E1538" s="17">
        <f>+'INSUMOS ELÉCTRICOS'!E24</f>
        <v>780</v>
      </c>
      <c r="F1538" s="149">
        <f t="shared" si="22"/>
        <v>2340</v>
      </c>
      <c r="G1538" s="1075"/>
    </row>
    <row r="1539" spans="1:7" s="145" customFormat="1" ht="15.75" customHeight="1">
      <c r="A1539" s="947" t="s">
        <v>615</v>
      </c>
      <c r="B1539" s="980"/>
      <c r="C1539" s="148" t="s">
        <v>3</v>
      </c>
      <c r="D1539" s="16">
        <v>0</v>
      </c>
      <c r="E1539" s="17">
        <f>+'INSUMOS ELÉCTRICOS'!E28</f>
        <v>2946.44</v>
      </c>
      <c r="F1539" s="149">
        <f t="shared" si="22"/>
        <v>0</v>
      </c>
      <c r="G1539" s="1075"/>
    </row>
    <row r="1540" spans="1:7" s="145" customFormat="1" ht="15.75" customHeight="1">
      <c r="A1540" s="947" t="s">
        <v>616</v>
      </c>
      <c r="B1540" s="980"/>
      <c r="C1540" s="148" t="s">
        <v>3</v>
      </c>
      <c r="D1540" s="16">
        <v>1</v>
      </c>
      <c r="E1540" s="17">
        <f>+'INSUMOS ELÉCTRICOS'!E29</f>
        <v>4190</v>
      </c>
      <c r="F1540" s="149">
        <f t="shared" si="22"/>
        <v>4190</v>
      </c>
      <c r="G1540" s="1075"/>
    </row>
    <row r="1541" spans="1:7" s="145" customFormat="1" ht="15.75" customHeight="1">
      <c r="A1541" s="947" t="s">
        <v>614</v>
      </c>
      <c r="B1541" s="980"/>
      <c r="C1541" s="148" t="s">
        <v>3</v>
      </c>
      <c r="D1541" s="16">
        <v>0.5</v>
      </c>
      <c r="E1541" s="17">
        <f>+'INSUMOS ELÉCTRICOS'!E25</f>
        <v>11900</v>
      </c>
      <c r="F1541" s="149">
        <f t="shared" si="22"/>
        <v>5950</v>
      </c>
      <c r="G1541" s="1075"/>
    </row>
    <row r="1542" spans="1:7" s="145" customFormat="1" ht="15.75" customHeight="1">
      <c r="A1542" s="947" t="s">
        <v>642</v>
      </c>
      <c r="B1542" s="980"/>
      <c r="C1542" s="148" t="s">
        <v>3</v>
      </c>
      <c r="D1542" s="16">
        <v>12.6</v>
      </c>
      <c r="E1542" s="785">
        <v>2567.4964</v>
      </c>
      <c r="F1542" s="149">
        <f t="shared" si="22"/>
        <v>32350.45464</v>
      </c>
      <c r="G1542" s="1075"/>
    </row>
    <row r="1543" spans="1:7" s="2" customFormat="1" ht="15.75" customHeight="1">
      <c r="A1543" s="947"/>
      <c r="B1543" s="1115"/>
      <c r="C1543" s="16"/>
      <c r="D1543" s="58"/>
      <c r="E1543" s="17"/>
      <c r="F1543" s="55"/>
      <c r="G1543" s="57">
        <f>SUM(F1534:F1543)</f>
        <v>141442.65464000002</v>
      </c>
    </row>
    <row r="1544" spans="1:7" s="145" customFormat="1" ht="15.75" customHeight="1">
      <c r="A1544" s="1114" t="s">
        <v>15</v>
      </c>
      <c r="B1544" s="1115"/>
      <c r="C1544" s="1115"/>
      <c r="D1544" s="1115"/>
      <c r="E1544" s="1115"/>
      <c r="F1544" s="1115"/>
      <c r="G1544" s="1116"/>
    </row>
    <row r="1545" spans="1:7" s="145" customFormat="1" ht="15.75" customHeight="1">
      <c r="A1545" s="1074" t="s">
        <v>2</v>
      </c>
      <c r="B1545" s="1115"/>
      <c r="C1545" s="53" t="s">
        <v>3</v>
      </c>
      <c r="D1545" s="53" t="s">
        <v>4</v>
      </c>
      <c r="E1545" s="53" t="s">
        <v>6</v>
      </c>
      <c r="F1545" s="53" t="s">
        <v>11</v>
      </c>
      <c r="G1545" s="1075" t="s">
        <v>8</v>
      </c>
    </row>
    <row r="1546" spans="1:7" s="145" customFormat="1" ht="15.75" customHeight="1">
      <c r="A1546" s="943" t="s">
        <v>173</v>
      </c>
      <c r="B1546" s="1115"/>
      <c r="C1546" s="16" t="s">
        <v>3</v>
      </c>
      <c r="D1546" s="16">
        <v>1.4E-2</v>
      </c>
      <c r="E1546" s="17">
        <f>G1543</f>
        <v>141442.65464000002</v>
      </c>
      <c r="F1546" s="55">
        <f>D1546*E1546</f>
        <v>1980.1971649600005</v>
      </c>
      <c r="G1546" s="1116"/>
    </row>
    <row r="1547" spans="1:7" s="145" customFormat="1" ht="15" customHeight="1">
      <c r="A1547" s="151"/>
      <c r="B1547" s="152"/>
      <c r="C1547" s="152"/>
      <c r="D1547" s="152"/>
      <c r="E1547" s="152"/>
      <c r="F1547" s="152"/>
      <c r="G1547" s="57">
        <f>SUM(F1546:F1547)</f>
        <v>1980.1971649600005</v>
      </c>
    </row>
    <row r="1548" spans="1:7" s="145" customFormat="1" ht="15.75" customHeight="1">
      <c r="A1548" s="1114" t="s">
        <v>19</v>
      </c>
      <c r="B1548" s="1115"/>
      <c r="C1548" s="1115"/>
      <c r="D1548" s="1115"/>
      <c r="E1548" s="1115"/>
      <c r="F1548" s="1115"/>
      <c r="G1548" s="1116"/>
    </row>
    <row r="1549" spans="1:7" s="145" customFormat="1" ht="24" customHeight="1">
      <c r="A1549" s="1074" t="s">
        <v>2</v>
      </c>
      <c r="B1549" s="1115"/>
      <c r="C1549" s="53" t="s">
        <v>3</v>
      </c>
      <c r="D1549" s="53" t="s">
        <v>4</v>
      </c>
      <c r="E1549" s="53" t="s">
        <v>6</v>
      </c>
      <c r="F1549" s="53" t="s">
        <v>11</v>
      </c>
      <c r="G1549" s="1075" t="s">
        <v>8</v>
      </c>
    </row>
    <row r="1550" spans="1:7" s="145" customFormat="1" ht="15.6" customHeight="1">
      <c r="A1550" s="978" t="s">
        <v>1256</v>
      </c>
      <c r="B1550" s="979"/>
      <c r="C1550" s="13" t="s">
        <v>1245</v>
      </c>
      <c r="D1550" s="32">
        <v>0.7</v>
      </c>
      <c r="E1550" s="13">
        <v>20030</v>
      </c>
      <c r="F1550" s="55">
        <f>+D1550*E1550</f>
        <v>14021</v>
      </c>
      <c r="G1550" s="1116"/>
    </row>
    <row r="1551" spans="1:7" s="145" customFormat="1" ht="15.75" customHeight="1">
      <c r="A1551" s="155"/>
      <c r="B1551" s="156"/>
      <c r="C1551" s="156"/>
      <c r="D1551" s="156"/>
      <c r="E1551" s="156"/>
      <c r="F1551" s="156"/>
      <c r="G1551" s="57">
        <f>SUM(F1549:F1551)</f>
        <v>14021</v>
      </c>
    </row>
    <row r="1552" spans="1:7" s="145" customFormat="1" ht="15" customHeight="1">
      <c r="A1552" s="1119" t="s">
        <v>25</v>
      </c>
      <c r="B1552" s="1120"/>
      <c r="C1552" s="1120"/>
      <c r="D1552" s="1120"/>
      <c r="E1552" s="1120"/>
      <c r="F1552" s="1120"/>
      <c r="G1552" s="1121"/>
    </row>
    <row r="1553" spans="1:7" s="145" customFormat="1" ht="15" customHeight="1">
      <c r="A1553" s="1122"/>
      <c r="B1553" s="1120"/>
      <c r="C1553" s="1120"/>
      <c r="D1553" s="1120"/>
      <c r="E1553" s="1120"/>
      <c r="F1553" s="1120"/>
      <c r="G1553" s="157">
        <f>G1532+G1551+G1547+G1543</f>
        <v>158144.90180496001</v>
      </c>
    </row>
    <row r="1554" spans="1:7" s="145" customFormat="1" ht="15" customHeight="1">
      <c r="A1554" s="158"/>
      <c r="B1554" s="159"/>
      <c r="C1554" s="159"/>
      <c r="D1554" s="159"/>
      <c r="E1554" s="159"/>
      <c r="F1554" s="159"/>
      <c r="G1554" s="160"/>
    </row>
    <row r="1555" spans="1:7" s="145" customFormat="1" ht="15" customHeight="1">
      <c r="A1555" s="1123" t="s">
        <v>1</v>
      </c>
      <c r="B1555" s="1120"/>
      <c r="C1555" s="953" t="s">
        <v>594</v>
      </c>
      <c r="D1555" s="1125"/>
      <c r="E1555" s="1125"/>
      <c r="F1555" s="1125"/>
      <c r="G1555" s="1126"/>
    </row>
    <row r="1556" spans="1:7" s="145" customFormat="1" ht="15" customHeight="1">
      <c r="A1556" s="1124"/>
      <c r="B1556" s="1120"/>
      <c r="C1556" s="1125"/>
      <c r="D1556" s="1125"/>
      <c r="E1556" s="1125"/>
      <c r="F1556" s="1125"/>
      <c r="G1556" s="1126"/>
    </row>
    <row r="1557" spans="1:7" s="145" customFormat="1" ht="15" customHeight="1">
      <c r="A1557" s="1124"/>
      <c r="B1557" s="1120"/>
      <c r="C1557" s="1127" t="s">
        <v>665</v>
      </c>
      <c r="D1557" s="1120"/>
      <c r="E1557" s="1120"/>
      <c r="F1557" s="1120"/>
      <c r="G1557" s="1121"/>
    </row>
    <row r="1558" spans="1:7" s="145" customFormat="1" ht="15" customHeight="1">
      <c r="A1558" s="1124"/>
      <c r="B1558" s="1120"/>
      <c r="C1558" s="1128" t="s">
        <v>2</v>
      </c>
      <c r="D1558" s="1120"/>
      <c r="E1558" s="1120"/>
      <c r="F1558" s="146" t="s">
        <v>3</v>
      </c>
      <c r="G1558" s="147" t="s">
        <v>4</v>
      </c>
    </row>
    <row r="1559" spans="1:7" s="145" customFormat="1" ht="85.5" customHeight="1">
      <c r="A1559" s="1073" t="s">
        <v>746</v>
      </c>
      <c r="B1559" s="1115"/>
      <c r="C1559" s="980" t="s">
        <v>672</v>
      </c>
      <c r="D1559" s="1115"/>
      <c r="E1559" s="1115"/>
      <c r="F1559" s="162" t="s">
        <v>28</v>
      </c>
      <c r="G1559" s="52">
        <v>1</v>
      </c>
    </row>
    <row r="1560" spans="1:7" s="145" customFormat="1" ht="15" customHeight="1">
      <c r="A1560" s="1130" t="s">
        <v>5</v>
      </c>
      <c r="B1560" s="1131"/>
      <c r="C1560" s="1131"/>
      <c r="D1560" s="1131"/>
      <c r="E1560" s="1131"/>
      <c r="F1560" s="1131"/>
      <c r="G1560" s="1132"/>
    </row>
    <row r="1561" spans="1:7" s="145" customFormat="1" ht="15" customHeight="1">
      <c r="A1561" s="1027" t="s">
        <v>2</v>
      </c>
      <c r="B1561" s="1028"/>
      <c r="C1561" s="53" t="s">
        <v>3</v>
      </c>
      <c r="D1561" s="53" t="s">
        <v>4</v>
      </c>
      <c r="E1561" s="53" t="s">
        <v>6</v>
      </c>
      <c r="F1561" s="53" t="s">
        <v>7</v>
      </c>
      <c r="G1561" s="1029" t="s">
        <v>8</v>
      </c>
    </row>
    <row r="1562" spans="1:7" s="145" customFormat="1" ht="15" customHeight="1">
      <c r="A1562" s="1015" t="s">
        <v>167</v>
      </c>
      <c r="B1562" s="1016"/>
      <c r="C1562" s="51" t="s">
        <v>3</v>
      </c>
      <c r="D1562" s="51">
        <v>0.05</v>
      </c>
      <c r="E1562" s="17">
        <f>G1580</f>
        <v>20030</v>
      </c>
      <c r="F1562" s="55">
        <f>D1562*E1562</f>
        <v>1001.5</v>
      </c>
      <c r="G1562" s="1031"/>
    </row>
    <row r="1563" spans="1:7" s="145" customFormat="1" ht="15" customHeight="1">
      <c r="A1563" s="1019"/>
      <c r="B1563" s="1020"/>
      <c r="C1563" s="51"/>
      <c r="D1563" s="51"/>
      <c r="E1563" s="51"/>
      <c r="F1563" s="55"/>
      <c r="G1563" s="57">
        <f>SUM(F1561:F1563)</f>
        <v>1001.5</v>
      </c>
    </row>
    <row r="1564" spans="1:7" s="145" customFormat="1" ht="15" customHeight="1">
      <c r="A1564" s="1130" t="s">
        <v>10</v>
      </c>
      <c r="B1564" s="1131"/>
      <c r="C1564" s="1131"/>
      <c r="D1564" s="1131"/>
      <c r="E1564" s="1131"/>
      <c r="F1564" s="1131"/>
      <c r="G1564" s="1132"/>
    </row>
    <row r="1565" spans="1:7" s="145" customFormat="1" ht="15" customHeight="1">
      <c r="A1565" s="1027" t="s">
        <v>2</v>
      </c>
      <c r="B1565" s="1028"/>
      <c r="C1565" s="53" t="s">
        <v>3</v>
      </c>
      <c r="D1565" s="53" t="s">
        <v>4</v>
      </c>
      <c r="E1565" s="53" t="s">
        <v>6</v>
      </c>
      <c r="F1565" s="53" t="s">
        <v>11</v>
      </c>
      <c r="G1565" s="1029" t="s">
        <v>8</v>
      </c>
    </row>
    <row r="1566" spans="1:7" s="145" customFormat="1" ht="15" customHeight="1">
      <c r="A1566" s="1015" t="s">
        <v>615</v>
      </c>
      <c r="B1566" s="1016"/>
      <c r="C1566" s="148" t="s">
        <v>3</v>
      </c>
      <c r="D1566" s="148">
        <v>1</v>
      </c>
      <c r="E1566" s="785">
        <f>+'INSUMOS ELÉCTRICOS'!E28</f>
        <v>2946.44</v>
      </c>
      <c r="F1566" s="149">
        <f t="shared" ref="F1566:F1571" si="23">D1566*E1566</f>
        <v>2946.44</v>
      </c>
      <c r="G1566" s="1030"/>
    </row>
    <row r="1567" spans="1:7" s="145" customFormat="1" ht="15" customHeight="1">
      <c r="A1567" s="1015" t="s">
        <v>642</v>
      </c>
      <c r="B1567" s="1016"/>
      <c r="C1567" s="148" t="s">
        <v>622</v>
      </c>
      <c r="D1567" s="16">
        <v>12.6</v>
      </c>
      <c r="E1567" s="785">
        <v>2567.4964</v>
      </c>
      <c r="F1567" s="149">
        <f t="shared" si="23"/>
        <v>32350.45464</v>
      </c>
      <c r="G1567" s="1030"/>
    </row>
    <row r="1568" spans="1:7" s="145" customFormat="1" ht="15" customHeight="1">
      <c r="A1568" s="1015" t="s">
        <v>643</v>
      </c>
      <c r="B1568" s="1016"/>
      <c r="C1568" s="148" t="s">
        <v>3</v>
      </c>
      <c r="D1568" s="148">
        <v>4</v>
      </c>
      <c r="E1568" s="785">
        <f>+'INSUMOS ELÉCTRICOS'!E121</f>
        <v>1189</v>
      </c>
      <c r="F1568" s="149">
        <f t="shared" si="23"/>
        <v>4756</v>
      </c>
      <c r="G1568" s="1030"/>
    </row>
    <row r="1569" spans="1:7" s="145" customFormat="1" ht="15.75" customHeight="1">
      <c r="A1569" s="1015" t="s">
        <v>645</v>
      </c>
      <c r="B1569" s="1016"/>
      <c r="C1569" s="148" t="s">
        <v>3</v>
      </c>
      <c r="D1569" s="148">
        <v>0.02</v>
      </c>
      <c r="E1569" s="785">
        <v>5598.95</v>
      </c>
      <c r="F1569" s="149">
        <f t="shared" si="23"/>
        <v>111.979</v>
      </c>
      <c r="G1569" s="1030"/>
    </row>
    <row r="1570" spans="1:7" s="145" customFormat="1" ht="15" customHeight="1">
      <c r="A1570" s="1015" t="s">
        <v>646</v>
      </c>
      <c r="B1570" s="1016"/>
      <c r="C1570" s="148" t="s">
        <v>3</v>
      </c>
      <c r="D1570" s="148">
        <v>0.02</v>
      </c>
      <c r="E1570" s="785">
        <f>+'INSUMOS ELÉCTRICOS'!E120</f>
        <v>25000</v>
      </c>
      <c r="F1570" s="149">
        <f t="shared" si="23"/>
        <v>500</v>
      </c>
      <c r="G1570" s="1030"/>
    </row>
    <row r="1571" spans="1:7" s="145" customFormat="1" ht="15" customHeight="1">
      <c r="A1571" s="1133" t="s">
        <v>674</v>
      </c>
      <c r="B1571" s="1134"/>
      <c r="C1571" s="148" t="s">
        <v>3</v>
      </c>
      <c r="D1571" s="148">
        <v>1</v>
      </c>
      <c r="E1571" s="17">
        <f>+'INSUMOS ELÉCTRICOS'!E12</f>
        <v>14000</v>
      </c>
      <c r="F1571" s="149">
        <f t="shared" si="23"/>
        <v>14000</v>
      </c>
      <c r="G1571" s="1031"/>
    </row>
    <row r="1572" spans="1:7" s="145" customFormat="1" ht="15" customHeight="1">
      <c r="A1572" s="1015"/>
      <c r="B1572" s="1016"/>
      <c r="C1572" s="16"/>
      <c r="D1572" s="58"/>
      <c r="E1572" s="17"/>
      <c r="F1572" s="55"/>
      <c r="G1572" s="57">
        <f>SUM(F1565:F1572)</f>
        <v>54664.873639999998</v>
      </c>
    </row>
    <row r="1573" spans="1:7" s="145" customFormat="1" ht="15.75" customHeight="1">
      <c r="A1573" s="1130" t="s">
        <v>15</v>
      </c>
      <c r="B1573" s="1131"/>
      <c r="C1573" s="1131"/>
      <c r="D1573" s="1131"/>
      <c r="E1573" s="1131"/>
      <c r="F1573" s="1131"/>
      <c r="G1573" s="1132"/>
    </row>
    <row r="1574" spans="1:7" s="2" customFormat="1" ht="15.75" customHeight="1">
      <c r="A1574" s="1027" t="s">
        <v>2</v>
      </c>
      <c r="B1574" s="1028"/>
      <c r="C1574" s="53" t="s">
        <v>3</v>
      </c>
      <c r="D1574" s="53" t="s">
        <v>4</v>
      </c>
      <c r="E1574" s="53" t="s">
        <v>6</v>
      </c>
      <c r="F1574" s="53" t="s">
        <v>11</v>
      </c>
      <c r="G1574" s="1029" t="s">
        <v>8</v>
      </c>
    </row>
    <row r="1575" spans="1:7" s="145" customFormat="1" ht="15" customHeight="1">
      <c r="A1575" s="1019" t="s">
        <v>173</v>
      </c>
      <c r="B1575" s="1020"/>
      <c r="C1575" s="16" t="s">
        <v>3</v>
      </c>
      <c r="D1575" s="16">
        <v>0.05</v>
      </c>
      <c r="E1575" s="17">
        <f>G1572</f>
        <v>54664.873639999998</v>
      </c>
      <c r="F1575" s="55">
        <f>D1575*E1575</f>
        <v>2733.2436820000003</v>
      </c>
      <c r="G1575" s="1031"/>
    </row>
    <row r="1576" spans="1:7" s="145" customFormat="1" ht="15.75" customHeight="1">
      <c r="A1576" s="151"/>
      <c r="B1576" s="152"/>
      <c r="C1576" s="152"/>
      <c r="D1576" s="152"/>
      <c r="E1576" s="152"/>
      <c r="F1576" s="152"/>
      <c r="G1576" s="57">
        <f>SUM(F1575:F1576)</f>
        <v>2733.2436820000003</v>
      </c>
    </row>
    <row r="1577" spans="1:7" s="145" customFormat="1" ht="15.75" customHeight="1">
      <c r="A1577" s="1130" t="s">
        <v>19</v>
      </c>
      <c r="B1577" s="1131"/>
      <c r="C1577" s="1131"/>
      <c r="D1577" s="1131"/>
      <c r="E1577" s="1131"/>
      <c r="F1577" s="1131"/>
      <c r="G1577" s="1132"/>
    </row>
    <row r="1578" spans="1:7" s="145" customFormat="1" ht="15" customHeight="1">
      <c r="A1578" s="1027" t="s">
        <v>2</v>
      </c>
      <c r="B1578" s="1028"/>
      <c r="C1578" s="53" t="s">
        <v>3</v>
      </c>
      <c r="D1578" s="53" t="s">
        <v>4</v>
      </c>
      <c r="E1578" s="53" t="s">
        <v>6</v>
      </c>
      <c r="F1578" s="53" t="s">
        <v>11</v>
      </c>
      <c r="G1578" s="1029" t="s">
        <v>8</v>
      </c>
    </row>
    <row r="1579" spans="1:7" s="145" customFormat="1" ht="15.75" customHeight="1">
      <c r="A1579" s="978" t="s">
        <v>1256</v>
      </c>
      <c r="B1579" s="979"/>
      <c r="C1579" s="13" t="s">
        <v>1245</v>
      </c>
      <c r="D1579" s="32">
        <v>1</v>
      </c>
      <c r="E1579" s="13">
        <v>20030</v>
      </c>
      <c r="F1579" s="55">
        <f>+D1579*E1579</f>
        <v>20030</v>
      </c>
      <c r="G1579" s="1031"/>
    </row>
    <row r="1580" spans="1:7" s="145" customFormat="1" ht="24" customHeight="1">
      <c r="A1580" s="155"/>
      <c r="B1580" s="156"/>
      <c r="C1580" s="156"/>
      <c r="D1580" s="156"/>
      <c r="E1580" s="156"/>
      <c r="F1580" s="156"/>
      <c r="G1580" s="57">
        <f>SUM(F1578:F1580)</f>
        <v>20030</v>
      </c>
    </row>
    <row r="1581" spans="1:7" s="145" customFormat="1" ht="15" customHeight="1">
      <c r="A1581" s="1119" t="s">
        <v>25</v>
      </c>
      <c r="B1581" s="1120"/>
      <c r="C1581" s="1120"/>
      <c r="D1581" s="1120"/>
      <c r="E1581" s="1120"/>
      <c r="F1581" s="1120"/>
      <c r="G1581" s="1121"/>
    </row>
    <row r="1582" spans="1:7" s="145" customFormat="1" ht="15" customHeight="1">
      <c r="A1582" s="1122"/>
      <c r="B1582" s="1120"/>
      <c r="C1582" s="1120"/>
      <c r="D1582" s="1120"/>
      <c r="E1582" s="1120"/>
      <c r="F1582" s="1120"/>
      <c r="G1582" s="157">
        <f>G1576+G1580+G1563+G1572</f>
        <v>78429.617322000006</v>
      </c>
    </row>
    <row r="1583" spans="1:7" s="145" customFormat="1" ht="15" customHeight="1">
      <c r="A1583" s="158"/>
      <c r="B1583" s="159"/>
      <c r="C1583" s="159"/>
      <c r="D1583" s="159"/>
      <c r="E1583" s="159"/>
      <c r="F1583" s="159"/>
      <c r="G1583" s="160"/>
    </row>
    <row r="1584" spans="1:7" s="145" customFormat="1" ht="15" customHeight="1">
      <c r="A1584" s="1123" t="s">
        <v>1</v>
      </c>
      <c r="B1584" s="1120"/>
      <c r="C1584" s="953" t="s">
        <v>594</v>
      </c>
      <c r="D1584" s="1125"/>
      <c r="E1584" s="1125"/>
      <c r="F1584" s="1125"/>
      <c r="G1584" s="1126"/>
    </row>
    <row r="1585" spans="1:7" s="145" customFormat="1" ht="15" customHeight="1">
      <c r="A1585" s="1124"/>
      <c r="B1585" s="1120"/>
      <c r="C1585" s="1125"/>
      <c r="D1585" s="1125"/>
      <c r="E1585" s="1125"/>
      <c r="F1585" s="1125"/>
      <c r="G1585" s="1126"/>
    </row>
    <row r="1586" spans="1:7" s="145" customFormat="1" ht="15" customHeight="1">
      <c r="A1586" s="1124"/>
      <c r="B1586" s="1120"/>
      <c r="C1586" s="1127" t="s">
        <v>665</v>
      </c>
      <c r="D1586" s="1120"/>
      <c r="E1586" s="1120"/>
      <c r="F1586" s="1120"/>
      <c r="G1586" s="1121"/>
    </row>
    <row r="1587" spans="1:7" s="145" customFormat="1" ht="15" customHeight="1">
      <c r="A1587" s="1124"/>
      <c r="B1587" s="1120"/>
      <c r="C1587" s="1128" t="s">
        <v>2</v>
      </c>
      <c r="D1587" s="1120"/>
      <c r="E1587" s="1120"/>
      <c r="F1587" s="146" t="s">
        <v>3</v>
      </c>
      <c r="G1587" s="147" t="s">
        <v>4</v>
      </c>
    </row>
    <row r="1588" spans="1:7" s="145" customFormat="1" ht="76.5" customHeight="1">
      <c r="A1588" s="1073" t="s">
        <v>2479</v>
      </c>
      <c r="B1588" s="1115"/>
      <c r="C1588" s="980" t="s">
        <v>683</v>
      </c>
      <c r="D1588" s="1115"/>
      <c r="E1588" s="1115"/>
      <c r="F1588" s="162" t="s">
        <v>28</v>
      </c>
      <c r="G1588" s="52">
        <v>1</v>
      </c>
    </row>
    <row r="1589" spans="1:7" s="145" customFormat="1" ht="15" customHeight="1">
      <c r="A1589" s="1114" t="s">
        <v>5</v>
      </c>
      <c r="B1589" s="1115"/>
      <c r="C1589" s="1115"/>
      <c r="D1589" s="1115"/>
      <c r="E1589" s="1115"/>
      <c r="F1589" s="1115"/>
      <c r="G1589" s="1116"/>
    </row>
    <row r="1590" spans="1:7" s="145" customFormat="1" ht="15" customHeight="1">
      <c r="A1590" s="1074" t="s">
        <v>2</v>
      </c>
      <c r="B1590" s="1115"/>
      <c r="C1590" s="53" t="s">
        <v>3</v>
      </c>
      <c r="D1590" s="53" t="s">
        <v>4</v>
      </c>
      <c r="E1590" s="53" t="s">
        <v>6</v>
      </c>
      <c r="F1590" s="53" t="s">
        <v>7</v>
      </c>
      <c r="G1590" s="1075" t="s">
        <v>8</v>
      </c>
    </row>
    <row r="1591" spans="1:7" s="145" customFormat="1" ht="15" customHeight="1">
      <c r="A1591" s="947" t="s">
        <v>167</v>
      </c>
      <c r="B1591" s="1115"/>
      <c r="C1591" s="51" t="s">
        <v>3</v>
      </c>
      <c r="D1591" s="51">
        <v>0.05</v>
      </c>
      <c r="E1591" s="17">
        <f>G1609</f>
        <v>20030</v>
      </c>
      <c r="F1591" s="55">
        <f>D1591*E1591</f>
        <v>1001.5</v>
      </c>
      <c r="G1591" s="1116"/>
    </row>
    <row r="1592" spans="1:7" s="145" customFormat="1" ht="15" customHeight="1">
      <c r="A1592" s="943"/>
      <c r="B1592" s="1115"/>
      <c r="C1592" s="51"/>
      <c r="D1592" s="51"/>
      <c r="E1592" s="51"/>
      <c r="F1592" s="55"/>
      <c r="G1592" s="57">
        <f>SUM(F1590:F1592)</f>
        <v>1001.5</v>
      </c>
    </row>
    <row r="1593" spans="1:7" s="145" customFormat="1" ht="15" customHeight="1">
      <c r="A1593" s="1114" t="s">
        <v>10</v>
      </c>
      <c r="B1593" s="1115"/>
      <c r="C1593" s="1115"/>
      <c r="D1593" s="1115"/>
      <c r="E1593" s="1115"/>
      <c r="F1593" s="1115"/>
      <c r="G1593" s="1116"/>
    </row>
    <row r="1594" spans="1:7" s="145" customFormat="1" ht="15" customHeight="1">
      <c r="A1594" s="1074" t="s">
        <v>2</v>
      </c>
      <c r="B1594" s="1115"/>
      <c r="C1594" s="53" t="s">
        <v>3</v>
      </c>
      <c r="D1594" s="53" t="s">
        <v>4</v>
      </c>
      <c r="E1594" s="53" t="s">
        <v>6</v>
      </c>
      <c r="F1594" s="53" t="s">
        <v>11</v>
      </c>
      <c r="G1594" s="1075" t="s">
        <v>8</v>
      </c>
    </row>
    <row r="1595" spans="1:7" s="145" customFormat="1" ht="15" customHeight="1">
      <c r="A1595" s="947" t="s">
        <v>615</v>
      </c>
      <c r="B1595" s="980"/>
      <c r="C1595" s="148" t="s">
        <v>3</v>
      </c>
      <c r="D1595" s="148">
        <v>1</v>
      </c>
      <c r="E1595" s="17">
        <f>+'INSUMOS ELÉCTRICOS'!E28</f>
        <v>2946.44</v>
      </c>
      <c r="F1595" s="149">
        <f t="shared" ref="F1595:F1600" si="24">D1595*E1595</f>
        <v>2946.44</v>
      </c>
      <c r="G1595" s="1075"/>
    </row>
    <row r="1596" spans="1:7" s="145" customFormat="1" ht="15" customHeight="1">
      <c r="A1596" s="947" t="s">
        <v>642</v>
      </c>
      <c r="B1596" s="980"/>
      <c r="C1596" s="148" t="s">
        <v>622</v>
      </c>
      <c r="D1596" s="16">
        <v>12.6</v>
      </c>
      <c r="E1596" s="785">
        <v>2567.4964</v>
      </c>
      <c r="F1596" s="149">
        <f t="shared" si="24"/>
        <v>32350.45464</v>
      </c>
      <c r="G1596" s="1075"/>
    </row>
    <row r="1597" spans="1:7" s="145" customFormat="1" ht="15" customHeight="1">
      <c r="A1597" s="947" t="s">
        <v>643</v>
      </c>
      <c r="B1597" s="980"/>
      <c r="C1597" s="148" t="s">
        <v>3</v>
      </c>
      <c r="D1597" s="148">
        <v>4</v>
      </c>
      <c r="E1597" s="785">
        <f>+'INSUMOS ELÉCTRICOS'!E121</f>
        <v>1189</v>
      </c>
      <c r="F1597" s="149">
        <f t="shared" si="24"/>
        <v>4756</v>
      </c>
      <c r="G1597" s="1075"/>
    </row>
    <row r="1598" spans="1:7" s="145" customFormat="1" ht="15.75" customHeight="1">
      <c r="A1598" s="947" t="s">
        <v>645</v>
      </c>
      <c r="B1598" s="980"/>
      <c r="C1598" s="148" t="s">
        <v>3</v>
      </c>
      <c r="D1598" s="148">
        <v>0.02</v>
      </c>
      <c r="E1598" s="785">
        <v>5598.95</v>
      </c>
      <c r="F1598" s="149">
        <f t="shared" si="24"/>
        <v>111.979</v>
      </c>
      <c r="G1598" s="1075"/>
    </row>
    <row r="1599" spans="1:7" s="145" customFormat="1" ht="15" customHeight="1">
      <c r="A1599" s="947" t="s">
        <v>646</v>
      </c>
      <c r="B1599" s="980"/>
      <c r="C1599" s="148" t="s">
        <v>3</v>
      </c>
      <c r="D1599" s="148">
        <v>0.02</v>
      </c>
      <c r="E1599" s="17">
        <f>+'INSUMOS ELÉCTRICOS'!E120</f>
        <v>25000</v>
      </c>
      <c r="F1599" s="149">
        <f t="shared" si="24"/>
        <v>500</v>
      </c>
      <c r="G1599" s="1075"/>
    </row>
    <row r="1600" spans="1:7" s="145" customFormat="1" ht="15" customHeight="1">
      <c r="A1600" s="1117" t="s">
        <v>684</v>
      </c>
      <c r="B1600" s="1118"/>
      <c r="C1600" s="148" t="s">
        <v>3</v>
      </c>
      <c r="D1600" s="148">
        <v>1</v>
      </c>
      <c r="E1600" s="17">
        <f>+'INSUMOS ELÉCTRICOS'!E61</f>
        <v>21900</v>
      </c>
      <c r="F1600" s="149">
        <f t="shared" si="24"/>
        <v>21900</v>
      </c>
      <c r="G1600" s="1075"/>
    </row>
    <row r="1601" spans="1:7" s="145" customFormat="1" ht="15" customHeight="1">
      <c r="A1601" s="947"/>
      <c r="B1601" s="1115"/>
      <c r="C1601" s="16"/>
      <c r="D1601" s="58"/>
      <c r="E1601" s="17"/>
      <c r="F1601" s="55"/>
      <c r="G1601" s="57">
        <f>SUM(F1594:F1601)</f>
        <v>62564.873639999998</v>
      </c>
    </row>
    <row r="1602" spans="1:7" s="145" customFormat="1" ht="15.75" customHeight="1">
      <c r="A1602" s="1114" t="s">
        <v>15</v>
      </c>
      <c r="B1602" s="1115"/>
      <c r="C1602" s="1115"/>
      <c r="D1602" s="1115"/>
      <c r="E1602" s="1115"/>
      <c r="F1602" s="1115"/>
      <c r="G1602" s="1116"/>
    </row>
    <row r="1603" spans="1:7" s="2" customFormat="1" ht="15.75" customHeight="1">
      <c r="A1603" s="1074" t="s">
        <v>2</v>
      </c>
      <c r="B1603" s="1115"/>
      <c r="C1603" s="53" t="s">
        <v>3</v>
      </c>
      <c r="D1603" s="53" t="s">
        <v>4</v>
      </c>
      <c r="E1603" s="53" t="s">
        <v>6</v>
      </c>
      <c r="F1603" s="53" t="s">
        <v>11</v>
      </c>
      <c r="G1603" s="1075" t="s">
        <v>8</v>
      </c>
    </row>
    <row r="1604" spans="1:7" s="145" customFormat="1" ht="15" customHeight="1">
      <c r="A1604" s="943" t="s">
        <v>173</v>
      </c>
      <c r="B1604" s="1115"/>
      <c r="C1604" s="16" t="s">
        <v>3</v>
      </c>
      <c r="D1604" s="16">
        <v>0.05</v>
      </c>
      <c r="E1604" s="17">
        <f>G1601</f>
        <v>62564.873639999998</v>
      </c>
      <c r="F1604" s="55">
        <f>D1604*E1604</f>
        <v>3128.2436820000003</v>
      </c>
      <c r="G1604" s="1116"/>
    </row>
    <row r="1605" spans="1:7" s="145" customFormat="1" ht="15.75" customHeight="1">
      <c r="A1605" s="151"/>
      <c r="B1605" s="152"/>
      <c r="C1605" s="152"/>
      <c r="D1605" s="152"/>
      <c r="E1605" s="152"/>
      <c r="F1605" s="152"/>
      <c r="G1605" s="57">
        <f>SUM(F1604:F1605)</f>
        <v>3128.2436820000003</v>
      </c>
    </row>
    <row r="1606" spans="1:7" s="145" customFormat="1" ht="15.75" customHeight="1">
      <c r="A1606" s="1114" t="s">
        <v>19</v>
      </c>
      <c r="B1606" s="1115"/>
      <c r="C1606" s="1115"/>
      <c r="D1606" s="1115"/>
      <c r="E1606" s="1115"/>
      <c r="F1606" s="1115"/>
      <c r="G1606" s="1116"/>
    </row>
    <row r="1607" spans="1:7" s="145" customFormat="1" ht="66.75" customHeight="1">
      <c r="A1607" s="1074" t="s">
        <v>2</v>
      </c>
      <c r="B1607" s="1115"/>
      <c r="C1607" s="53" t="s">
        <v>3</v>
      </c>
      <c r="D1607" s="53" t="s">
        <v>4</v>
      </c>
      <c r="E1607" s="53" t="s">
        <v>6</v>
      </c>
      <c r="F1607" s="53" t="s">
        <v>11</v>
      </c>
      <c r="G1607" s="1075" t="s">
        <v>8</v>
      </c>
    </row>
    <row r="1608" spans="1:7" s="145" customFormat="1" ht="15" customHeight="1">
      <c r="A1608" s="978" t="s">
        <v>1256</v>
      </c>
      <c r="B1608" s="979"/>
      <c r="C1608" s="13" t="s">
        <v>1245</v>
      </c>
      <c r="D1608" s="32">
        <v>1</v>
      </c>
      <c r="E1608" s="13">
        <v>20030</v>
      </c>
      <c r="F1608" s="55">
        <f>+D1608*E1608</f>
        <v>20030</v>
      </c>
      <c r="G1608" s="1116"/>
    </row>
    <row r="1609" spans="1:7" s="145" customFormat="1" ht="15" customHeight="1">
      <c r="A1609" s="155"/>
      <c r="B1609" s="156"/>
      <c r="C1609" s="156"/>
      <c r="D1609" s="156"/>
      <c r="E1609" s="156"/>
      <c r="F1609" s="156"/>
      <c r="G1609" s="57">
        <f>SUM(F1607:F1609)</f>
        <v>20030</v>
      </c>
    </row>
    <row r="1610" spans="1:7" s="145" customFormat="1" ht="15" customHeight="1">
      <c r="A1610" s="1119" t="s">
        <v>25</v>
      </c>
      <c r="B1610" s="1120"/>
      <c r="C1610" s="1120"/>
      <c r="D1610" s="1120"/>
      <c r="E1610" s="1120"/>
      <c r="F1610" s="1120"/>
      <c r="G1610" s="1121"/>
    </row>
    <row r="1611" spans="1:7" s="145" customFormat="1" ht="15" customHeight="1">
      <c r="A1611" s="1122"/>
      <c r="B1611" s="1120"/>
      <c r="C1611" s="1120"/>
      <c r="D1611" s="1120"/>
      <c r="E1611" s="1120"/>
      <c r="F1611" s="1120"/>
      <c r="G1611" s="157">
        <f>G1609+G1605+G1601+G1592</f>
        <v>86724.617322000006</v>
      </c>
    </row>
    <row r="1612" spans="1:7" s="145" customFormat="1" ht="15" customHeight="1">
      <c r="A1612" s="158"/>
      <c r="B1612" s="159"/>
      <c r="C1612" s="159"/>
      <c r="D1612" s="159"/>
      <c r="E1612" s="159"/>
      <c r="F1612" s="159"/>
      <c r="G1612" s="160"/>
    </row>
    <row r="1613" spans="1:7" s="145" customFormat="1" ht="15" customHeight="1">
      <c r="A1613" s="1123" t="s">
        <v>1</v>
      </c>
      <c r="B1613" s="1120"/>
      <c r="C1613" s="953" t="s">
        <v>594</v>
      </c>
      <c r="D1613" s="1125"/>
      <c r="E1613" s="1125"/>
      <c r="F1613" s="1125"/>
      <c r="G1613" s="1126"/>
    </row>
    <row r="1614" spans="1:7" s="145" customFormat="1" ht="15" customHeight="1">
      <c r="A1614" s="1124"/>
      <c r="B1614" s="1120"/>
      <c r="C1614" s="1125"/>
      <c r="D1614" s="1125"/>
      <c r="E1614" s="1125"/>
      <c r="F1614" s="1125"/>
      <c r="G1614" s="1126"/>
    </row>
    <row r="1615" spans="1:7" s="145" customFormat="1" ht="15" customHeight="1">
      <c r="A1615" s="1124"/>
      <c r="B1615" s="1120"/>
      <c r="C1615" s="1127" t="s">
        <v>689</v>
      </c>
      <c r="D1615" s="1120"/>
      <c r="E1615" s="1120"/>
      <c r="F1615" s="1120"/>
      <c r="G1615" s="1121"/>
    </row>
    <row r="1616" spans="1:7" s="145" customFormat="1" ht="15" customHeight="1">
      <c r="A1616" s="1124"/>
      <c r="B1616" s="1120"/>
      <c r="C1616" s="1128" t="s">
        <v>2</v>
      </c>
      <c r="D1616" s="1120"/>
      <c r="E1616" s="1120"/>
      <c r="F1616" s="146" t="s">
        <v>3</v>
      </c>
      <c r="G1616" s="147" t="s">
        <v>4</v>
      </c>
    </row>
    <row r="1617" spans="1:7" s="145" customFormat="1" ht="32.25" customHeight="1">
      <c r="A1617" s="1073" t="s">
        <v>747</v>
      </c>
      <c r="B1617" s="1115"/>
      <c r="C1617" s="980" t="s">
        <v>2780</v>
      </c>
      <c r="D1617" s="1115"/>
      <c r="E1617" s="1115"/>
      <c r="F1617" s="162" t="s">
        <v>28</v>
      </c>
      <c r="G1617" s="52">
        <v>1</v>
      </c>
    </row>
    <row r="1618" spans="1:7" s="145" customFormat="1" ht="15" customHeight="1">
      <c r="A1618" s="1114" t="s">
        <v>5</v>
      </c>
      <c r="B1618" s="1115"/>
      <c r="C1618" s="1115"/>
      <c r="D1618" s="1115"/>
      <c r="E1618" s="1115"/>
      <c r="F1618" s="1115"/>
      <c r="G1618" s="1116"/>
    </row>
    <row r="1619" spans="1:7" s="145" customFormat="1" ht="15" customHeight="1">
      <c r="A1619" s="1074" t="s">
        <v>2</v>
      </c>
      <c r="B1619" s="1115"/>
      <c r="C1619" s="53" t="s">
        <v>3</v>
      </c>
      <c r="D1619" s="53" t="s">
        <v>4</v>
      </c>
      <c r="E1619" s="53" t="s">
        <v>6</v>
      </c>
      <c r="F1619" s="53" t="s">
        <v>7</v>
      </c>
      <c r="G1619" s="1075" t="s">
        <v>8</v>
      </c>
    </row>
    <row r="1620" spans="1:7" s="145" customFormat="1" ht="15" customHeight="1">
      <c r="A1620" s="947" t="s">
        <v>167</v>
      </c>
      <c r="B1620" s="1115"/>
      <c r="C1620" s="51" t="s">
        <v>3</v>
      </c>
      <c r="D1620" s="51">
        <v>0.05</v>
      </c>
      <c r="E1620" s="17">
        <f>G1637</f>
        <v>9020.5</v>
      </c>
      <c r="F1620" s="55">
        <f>D1620*E1620</f>
        <v>451.02500000000003</v>
      </c>
      <c r="G1620" s="1116"/>
    </row>
    <row r="1621" spans="1:7" s="145" customFormat="1" ht="15" customHeight="1">
      <c r="A1621" s="943"/>
      <c r="B1621" s="1115"/>
      <c r="C1621" s="51"/>
      <c r="D1621" s="51"/>
      <c r="E1621" s="51"/>
      <c r="F1621" s="55"/>
      <c r="G1621" s="57">
        <f>SUM(F1619:F1621)</f>
        <v>451.02500000000003</v>
      </c>
    </row>
    <row r="1622" spans="1:7" s="145" customFormat="1" ht="15" customHeight="1">
      <c r="A1622" s="1114" t="s">
        <v>10</v>
      </c>
      <c r="B1622" s="1115"/>
      <c r="C1622" s="1115"/>
      <c r="D1622" s="1115"/>
      <c r="E1622" s="1115"/>
      <c r="F1622" s="1115"/>
      <c r="G1622" s="1116"/>
    </row>
    <row r="1623" spans="1:7" s="145" customFormat="1" ht="15" customHeight="1">
      <c r="A1623" s="1074" t="s">
        <v>2</v>
      </c>
      <c r="B1623" s="1115"/>
      <c r="C1623" s="53" t="s">
        <v>3</v>
      </c>
      <c r="D1623" s="53" t="s">
        <v>4</v>
      </c>
      <c r="E1623" s="53" t="s">
        <v>6</v>
      </c>
      <c r="F1623" s="53" t="s">
        <v>11</v>
      </c>
      <c r="G1623" s="1075" t="s">
        <v>8</v>
      </c>
    </row>
    <row r="1624" spans="1:7" s="145" customFormat="1" ht="15" customHeight="1">
      <c r="A1624" s="1117" t="s">
        <v>643</v>
      </c>
      <c r="B1624" s="1118"/>
      <c r="C1624" s="148" t="s">
        <v>3</v>
      </c>
      <c r="D1624" s="148">
        <v>2</v>
      </c>
      <c r="E1624" s="17">
        <f>+'INSUMOS ELÉCTRICOS'!E121</f>
        <v>1189</v>
      </c>
      <c r="F1624" s="149">
        <f>D1624*E1624</f>
        <v>2378</v>
      </c>
      <c r="G1624" s="1075"/>
    </row>
    <row r="1625" spans="1:7" s="145" customFormat="1" ht="15" customHeight="1">
      <c r="A1625" s="1117" t="s">
        <v>692</v>
      </c>
      <c r="B1625" s="1118"/>
      <c r="C1625" s="148" t="s">
        <v>3</v>
      </c>
      <c r="D1625" s="148">
        <v>1</v>
      </c>
      <c r="E1625" s="17">
        <f>+'INSUMOS ELÉCTRICOS'!E73</f>
        <v>6679.4699999999993</v>
      </c>
      <c r="F1625" s="149">
        <f>D1625*E1625</f>
        <v>6679.4699999999993</v>
      </c>
      <c r="G1625" s="1075"/>
    </row>
    <row r="1626" spans="1:7" s="145" customFormat="1" ht="15" customHeight="1">
      <c r="A1626" s="1117" t="s">
        <v>693</v>
      </c>
      <c r="B1626" s="1118"/>
      <c r="C1626" s="148" t="s">
        <v>3</v>
      </c>
      <c r="D1626" s="148">
        <v>1</v>
      </c>
      <c r="E1626" s="17">
        <f>+'INSUMOS ELÉCTRICOS'!E181</f>
        <v>47900</v>
      </c>
      <c r="F1626" s="149">
        <f>D1626*E1626</f>
        <v>47900</v>
      </c>
      <c r="G1626" s="1075"/>
    </row>
    <row r="1627" spans="1:7" s="145" customFormat="1" ht="15.75" customHeight="1">
      <c r="A1627" s="1117" t="s">
        <v>694</v>
      </c>
      <c r="B1627" s="1118"/>
      <c r="C1627" s="148" t="s">
        <v>3</v>
      </c>
      <c r="D1627" s="148">
        <v>1</v>
      </c>
      <c r="E1627" s="17">
        <f>+'INSUMOS ELÉCTRICOS'!E124</f>
        <v>6399.82</v>
      </c>
      <c r="F1627" s="149">
        <f>D1627*E1627</f>
        <v>6399.82</v>
      </c>
      <c r="G1627" s="1075"/>
    </row>
    <row r="1628" spans="1:7" s="145" customFormat="1" ht="15" customHeight="1">
      <c r="A1628" s="1117" t="s">
        <v>612</v>
      </c>
      <c r="B1628" s="1118"/>
      <c r="C1628" s="148" t="s">
        <v>3</v>
      </c>
      <c r="D1628" s="148">
        <v>10</v>
      </c>
      <c r="E1628" s="17">
        <f>+'INSUMOS ELÉCTRICOS'!E126</f>
        <v>348.66999999999996</v>
      </c>
      <c r="F1628" s="149">
        <f>D1628*E1628</f>
        <v>3486.7</v>
      </c>
      <c r="G1628" s="1075"/>
    </row>
    <row r="1629" spans="1:7" s="145" customFormat="1" ht="15" customHeight="1">
      <c r="A1629" s="947"/>
      <c r="B1629" s="1115"/>
      <c r="C1629" s="16"/>
      <c r="D1629" s="58"/>
      <c r="E1629" s="17"/>
      <c r="F1629" s="55"/>
      <c r="G1629" s="57">
        <f>SUM(F1623:F1629)</f>
        <v>66843.990000000005</v>
      </c>
    </row>
    <row r="1630" spans="1:7" s="145" customFormat="1" ht="15" customHeight="1">
      <c r="A1630" s="1114" t="s">
        <v>15</v>
      </c>
      <c r="B1630" s="1115"/>
      <c r="C1630" s="1115"/>
      <c r="D1630" s="1115"/>
      <c r="E1630" s="1115"/>
      <c r="F1630" s="1115"/>
      <c r="G1630" s="1116"/>
    </row>
    <row r="1631" spans="1:7" s="145" customFormat="1" ht="15.75" customHeight="1">
      <c r="A1631" s="1074" t="s">
        <v>2</v>
      </c>
      <c r="B1631" s="1115"/>
      <c r="C1631" s="53" t="s">
        <v>3</v>
      </c>
      <c r="D1631" s="53" t="s">
        <v>4</v>
      </c>
      <c r="E1631" s="53" t="s">
        <v>6</v>
      </c>
      <c r="F1631" s="53" t="s">
        <v>11</v>
      </c>
      <c r="G1631" s="1075" t="s">
        <v>8</v>
      </c>
    </row>
    <row r="1632" spans="1:7" s="2" customFormat="1" ht="15.75" customHeight="1">
      <c r="A1632" s="943" t="s">
        <v>173</v>
      </c>
      <c r="B1632" s="1115"/>
      <c r="C1632" s="16" t="s">
        <v>3</v>
      </c>
      <c r="D1632" s="16">
        <v>0.01</v>
      </c>
      <c r="E1632" s="17">
        <f>G1629</f>
        <v>66843.990000000005</v>
      </c>
      <c r="F1632" s="55">
        <f>D1632*E1632</f>
        <v>668.43990000000008</v>
      </c>
      <c r="G1632" s="1116"/>
    </row>
    <row r="1633" spans="1:7" s="145" customFormat="1" ht="15" customHeight="1">
      <c r="A1633" s="151"/>
      <c r="B1633" s="152"/>
      <c r="C1633" s="152"/>
      <c r="D1633" s="152"/>
      <c r="E1633" s="152"/>
      <c r="F1633" s="152"/>
      <c r="G1633" s="57">
        <f>SUM(F1632:F1633)</f>
        <v>668.43990000000008</v>
      </c>
    </row>
    <row r="1634" spans="1:7" s="145" customFormat="1" ht="15.75" customHeight="1">
      <c r="A1634" s="1114" t="s">
        <v>19</v>
      </c>
      <c r="B1634" s="1115"/>
      <c r="C1634" s="1115"/>
      <c r="D1634" s="1115"/>
      <c r="E1634" s="1115"/>
      <c r="F1634" s="1115"/>
      <c r="G1634" s="1116"/>
    </row>
    <row r="1635" spans="1:7" s="145" customFormat="1" ht="15.75" customHeight="1">
      <c r="A1635" s="1074" t="s">
        <v>2</v>
      </c>
      <c r="B1635" s="1115"/>
      <c r="C1635" s="53" t="s">
        <v>3</v>
      </c>
      <c r="D1635" s="53" t="s">
        <v>4</v>
      </c>
      <c r="E1635" s="53" t="s">
        <v>6</v>
      </c>
      <c r="F1635" s="53" t="s">
        <v>11</v>
      </c>
      <c r="G1635" s="1075" t="s">
        <v>8</v>
      </c>
    </row>
    <row r="1636" spans="1:7" s="145" customFormat="1" ht="15" customHeight="1">
      <c r="A1636" s="978" t="s">
        <v>1256</v>
      </c>
      <c r="B1636" s="979"/>
      <c r="C1636" s="13" t="s">
        <v>1245</v>
      </c>
      <c r="D1636" s="32">
        <v>0.5</v>
      </c>
      <c r="E1636" s="13">
        <v>18041</v>
      </c>
      <c r="F1636" s="55">
        <f>+D1636*E1636</f>
        <v>9020.5</v>
      </c>
      <c r="G1636" s="1116"/>
    </row>
    <row r="1637" spans="1:7" s="145" customFormat="1" ht="15.75" customHeight="1">
      <c r="A1637" s="155"/>
      <c r="B1637" s="156"/>
      <c r="C1637" s="156"/>
      <c r="D1637" s="156"/>
      <c r="E1637" s="156"/>
      <c r="F1637" s="156"/>
      <c r="G1637" s="57">
        <f>SUM(F1635:F1637)</f>
        <v>9020.5</v>
      </c>
    </row>
    <row r="1638" spans="1:7" s="145" customFormat="1" ht="13.8">
      <c r="A1638" s="1119" t="s">
        <v>25</v>
      </c>
      <c r="B1638" s="1120"/>
      <c r="C1638" s="1120"/>
      <c r="D1638" s="1120"/>
      <c r="E1638" s="1120"/>
      <c r="F1638" s="1120"/>
      <c r="G1638" s="1121"/>
    </row>
    <row r="1639" spans="1:7" s="145" customFormat="1" ht="15.6" customHeight="1">
      <c r="A1639" s="1122"/>
      <c r="B1639" s="1120"/>
      <c r="C1639" s="1120"/>
      <c r="D1639" s="1120"/>
      <c r="E1639" s="1120"/>
      <c r="F1639" s="1120"/>
      <c r="G1639" s="157">
        <f>G1637+G1633+G1629+G1621</f>
        <v>76983.954899999997</v>
      </c>
    </row>
    <row r="1640" spans="1:7" s="145" customFormat="1" ht="15.75" customHeight="1">
      <c r="A1640" s="158"/>
      <c r="B1640" s="159"/>
      <c r="C1640" s="159"/>
      <c r="D1640" s="159"/>
      <c r="E1640" s="159"/>
      <c r="F1640" s="159"/>
      <c r="G1640" s="160"/>
    </row>
    <row r="1641" spans="1:7" s="145" customFormat="1" ht="40.950000000000003" customHeight="1">
      <c r="A1641" s="1123" t="s">
        <v>1</v>
      </c>
      <c r="B1641" s="1120"/>
      <c r="C1641" s="953" t="s">
        <v>594</v>
      </c>
      <c r="D1641" s="1125"/>
      <c r="E1641" s="1125"/>
      <c r="F1641" s="1125"/>
      <c r="G1641" s="1126"/>
    </row>
    <row r="1642" spans="1:7" s="145" customFormat="1" ht="15.75" customHeight="1">
      <c r="A1642" s="1124"/>
      <c r="B1642" s="1120"/>
      <c r="C1642" s="1125"/>
      <c r="D1642" s="1125"/>
      <c r="E1642" s="1125"/>
      <c r="F1642" s="1125"/>
      <c r="G1642" s="1126"/>
    </row>
    <row r="1643" spans="1:7" s="145" customFormat="1" ht="15.75" customHeight="1">
      <c r="A1643" s="1124"/>
      <c r="B1643" s="1120"/>
      <c r="C1643" s="1127" t="s">
        <v>689</v>
      </c>
      <c r="D1643" s="1120"/>
      <c r="E1643" s="1120"/>
      <c r="F1643" s="1120"/>
      <c r="G1643" s="1121"/>
    </row>
    <row r="1644" spans="1:7" s="145" customFormat="1" ht="15.75" customHeight="1">
      <c r="A1644" s="1124"/>
      <c r="B1644" s="1120"/>
      <c r="C1644" s="1128" t="s">
        <v>2</v>
      </c>
      <c r="D1644" s="1120"/>
      <c r="E1644" s="1120"/>
      <c r="F1644" s="146" t="s">
        <v>3</v>
      </c>
      <c r="G1644" s="147" t="s">
        <v>4</v>
      </c>
    </row>
    <row r="1645" spans="1:7" s="145" customFormat="1" ht="34.5" customHeight="1">
      <c r="A1645" s="1073" t="s">
        <v>748</v>
      </c>
      <c r="B1645" s="1115"/>
      <c r="C1645" s="980" t="s">
        <v>2781</v>
      </c>
      <c r="D1645" s="1115"/>
      <c r="E1645" s="1115"/>
      <c r="F1645" s="162" t="s">
        <v>28</v>
      </c>
      <c r="G1645" s="52">
        <v>1</v>
      </c>
    </row>
    <row r="1646" spans="1:7" s="145" customFormat="1" ht="15.75" customHeight="1">
      <c r="A1646" s="1114" t="s">
        <v>5</v>
      </c>
      <c r="B1646" s="1115"/>
      <c r="C1646" s="1115"/>
      <c r="D1646" s="1115"/>
      <c r="E1646" s="1115"/>
      <c r="F1646" s="1115"/>
      <c r="G1646" s="1116"/>
    </row>
    <row r="1647" spans="1:7" s="145" customFormat="1" ht="15.75" customHeight="1">
      <c r="A1647" s="1074" t="s">
        <v>2</v>
      </c>
      <c r="B1647" s="1115"/>
      <c r="C1647" s="53" t="s">
        <v>3</v>
      </c>
      <c r="D1647" s="53" t="s">
        <v>4</v>
      </c>
      <c r="E1647" s="53" t="s">
        <v>6</v>
      </c>
      <c r="F1647" s="53" t="s">
        <v>7</v>
      </c>
      <c r="G1647" s="1075" t="s">
        <v>8</v>
      </c>
    </row>
    <row r="1648" spans="1:7" s="145" customFormat="1" ht="16.2" customHeight="1">
      <c r="A1648" s="947" t="s">
        <v>167</v>
      </c>
      <c r="B1648" s="1115"/>
      <c r="C1648" s="51" t="s">
        <v>3</v>
      </c>
      <c r="D1648" s="51">
        <v>0.05</v>
      </c>
      <c r="E1648" s="17">
        <f>G1665</f>
        <v>10015</v>
      </c>
      <c r="F1648" s="55">
        <f>D1648*E1648</f>
        <v>500.75</v>
      </c>
      <c r="G1648" s="1116"/>
    </row>
    <row r="1649" spans="1:7" s="145" customFormat="1" ht="16.2" customHeight="1">
      <c r="A1649" s="943"/>
      <c r="B1649" s="1115"/>
      <c r="C1649" s="51"/>
      <c r="D1649" s="51"/>
      <c r="E1649" s="51"/>
      <c r="F1649" s="55"/>
      <c r="G1649" s="57">
        <f>SUM(F1647:F1649)</f>
        <v>500.75</v>
      </c>
    </row>
    <row r="1650" spans="1:7" s="150" customFormat="1" ht="16.2" customHeight="1">
      <c r="A1650" s="1114" t="s">
        <v>10</v>
      </c>
      <c r="B1650" s="1115"/>
      <c r="C1650" s="1115"/>
      <c r="D1650" s="1115"/>
      <c r="E1650" s="1115"/>
      <c r="F1650" s="1115"/>
      <c r="G1650" s="1116"/>
    </row>
    <row r="1651" spans="1:7" s="150" customFormat="1" ht="16.2" customHeight="1">
      <c r="A1651" s="1074" t="s">
        <v>2</v>
      </c>
      <c r="B1651" s="1115"/>
      <c r="C1651" s="53" t="s">
        <v>3</v>
      </c>
      <c r="D1651" s="53" t="s">
        <v>4</v>
      </c>
      <c r="E1651" s="53" t="s">
        <v>6</v>
      </c>
      <c r="F1651" s="53" t="s">
        <v>11</v>
      </c>
      <c r="G1651" s="1075" t="s">
        <v>8</v>
      </c>
    </row>
    <row r="1652" spans="1:7" s="150" customFormat="1" ht="16.2" customHeight="1">
      <c r="A1652" s="1117" t="s">
        <v>643</v>
      </c>
      <c r="B1652" s="1118"/>
      <c r="C1652" s="148" t="s">
        <v>3</v>
      </c>
      <c r="D1652" s="148">
        <v>2</v>
      </c>
      <c r="E1652" s="17">
        <f>+'INSUMOS ELÉCTRICOS'!E121</f>
        <v>1189</v>
      </c>
      <c r="F1652" s="149">
        <f>D1652*E1652</f>
        <v>2378</v>
      </c>
      <c r="G1652" s="1075"/>
    </row>
    <row r="1653" spans="1:7" s="145" customFormat="1" ht="15.75" customHeight="1">
      <c r="A1653" s="1117" t="s">
        <v>692</v>
      </c>
      <c r="B1653" s="1118"/>
      <c r="C1653" s="148" t="s">
        <v>3</v>
      </c>
      <c r="D1653" s="148">
        <v>1</v>
      </c>
      <c r="E1653" s="17">
        <f>+'INSUMOS ELÉCTRICOS'!E73</f>
        <v>6679.4699999999993</v>
      </c>
      <c r="F1653" s="149">
        <f>D1653*E1653</f>
        <v>6679.4699999999993</v>
      </c>
      <c r="G1653" s="1075"/>
    </row>
    <row r="1654" spans="1:7" s="145" customFormat="1" ht="15.75" customHeight="1">
      <c r="A1654" s="1117" t="s">
        <v>697</v>
      </c>
      <c r="B1654" s="1118"/>
      <c r="C1654" s="148" t="s">
        <v>3</v>
      </c>
      <c r="D1654" s="148">
        <v>1</v>
      </c>
      <c r="E1654" s="17">
        <f>+'INSUMOS ELÉCTRICOS'!E69</f>
        <v>69900</v>
      </c>
      <c r="F1654" s="149">
        <f>D1654*E1654</f>
        <v>69900</v>
      </c>
      <c r="G1654" s="1075"/>
    </row>
    <row r="1655" spans="1:7" s="145" customFormat="1" ht="15.75" customHeight="1">
      <c r="A1655" s="1117" t="s">
        <v>694</v>
      </c>
      <c r="B1655" s="1118"/>
      <c r="C1655" s="148" t="s">
        <v>3</v>
      </c>
      <c r="D1655" s="148">
        <v>1</v>
      </c>
      <c r="E1655" s="17">
        <f>+'INSUMOS ELÉCTRICOS'!E124</f>
        <v>6399.82</v>
      </c>
      <c r="F1655" s="149">
        <f>D1655*E1655</f>
        <v>6399.82</v>
      </c>
      <c r="G1655" s="1075"/>
    </row>
    <row r="1656" spans="1:7" s="145" customFormat="1" ht="15.75" customHeight="1">
      <c r="A1656" s="1117" t="s">
        <v>612</v>
      </c>
      <c r="B1656" s="1118"/>
      <c r="C1656" s="148" t="s">
        <v>3</v>
      </c>
      <c r="D1656" s="148">
        <v>10</v>
      </c>
      <c r="E1656" s="17">
        <f>+'INSUMOS ELÉCTRICOS'!E126</f>
        <v>348.66999999999996</v>
      </c>
      <c r="F1656" s="149">
        <f>D1656*E1656</f>
        <v>3486.7</v>
      </c>
      <c r="G1656" s="1075"/>
    </row>
    <row r="1657" spans="1:7" s="145" customFormat="1" ht="15.75" customHeight="1">
      <c r="A1657" s="947"/>
      <c r="B1657" s="1115"/>
      <c r="C1657" s="16"/>
      <c r="D1657" s="58"/>
      <c r="E1657" s="17"/>
      <c r="F1657" s="55"/>
      <c r="G1657" s="57">
        <f>SUM(F1651:F1657)</f>
        <v>88843.99</v>
      </c>
    </row>
    <row r="1658" spans="1:7" s="145" customFormat="1" ht="15.75" customHeight="1">
      <c r="A1658" s="1114" t="s">
        <v>15</v>
      </c>
      <c r="B1658" s="1115"/>
      <c r="C1658" s="1115"/>
      <c r="D1658" s="1115"/>
      <c r="E1658" s="1115"/>
      <c r="F1658" s="1115"/>
      <c r="G1658" s="1116"/>
    </row>
    <row r="1659" spans="1:7" s="145" customFormat="1" ht="15.75" customHeight="1">
      <c r="A1659" s="1074" t="s">
        <v>2</v>
      </c>
      <c r="B1659" s="1115"/>
      <c r="C1659" s="53" t="s">
        <v>3</v>
      </c>
      <c r="D1659" s="53" t="s">
        <v>4</v>
      </c>
      <c r="E1659" s="53" t="s">
        <v>6</v>
      </c>
      <c r="F1659" s="53" t="s">
        <v>11</v>
      </c>
      <c r="G1659" s="1075" t="s">
        <v>8</v>
      </c>
    </row>
    <row r="1660" spans="1:7" s="2" customFormat="1" ht="15.75" customHeight="1">
      <c r="A1660" s="943" t="s">
        <v>173</v>
      </c>
      <c r="B1660" s="1115"/>
      <c r="C1660" s="16" t="s">
        <v>3</v>
      </c>
      <c r="D1660" s="16">
        <v>0.02</v>
      </c>
      <c r="E1660" s="17">
        <f>G1657</f>
        <v>88843.99</v>
      </c>
      <c r="F1660" s="55">
        <f>D1660*E1660</f>
        <v>1776.8798000000002</v>
      </c>
      <c r="G1660" s="1116"/>
    </row>
    <row r="1661" spans="1:7" s="145" customFormat="1" ht="15.75" customHeight="1">
      <c r="A1661" s="151"/>
      <c r="B1661" s="152"/>
      <c r="C1661" s="152"/>
      <c r="D1661" s="152"/>
      <c r="E1661" s="152"/>
      <c r="F1661" s="152"/>
      <c r="G1661" s="57">
        <f>SUM(F1660:F1661)</f>
        <v>1776.8798000000002</v>
      </c>
    </row>
    <row r="1662" spans="1:7" s="145" customFormat="1" ht="15.75" customHeight="1">
      <c r="A1662" s="1114" t="s">
        <v>19</v>
      </c>
      <c r="B1662" s="1115"/>
      <c r="C1662" s="1115"/>
      <c r="D1662" s="1115"/>
      <c r="E1662" s="1115"/>
      <c r="F1662" s="1115"/>
      <c r="G1662" s="1116"/>
    </row>
    <row r="1663" spans="1:7" s="145" customFormat="1" ht="15.75" customHeight="1">
      <c r="A1663" s="1074" t="s">
        <v>2</v>
      </c>
      <c r="B1663" s="1115"/>
      <c r="C1663" s="53" t="s">
        <v>3</v>
      </c>
      <c r="D1663" s="53" t="s">
        <v>4</v>
      </c>
      <c r="E1663" s="53" t="s">
        <v>6</v>
      </c>
      <c r="F1663" s="53" t="s">
        <v>11</v>
      </c>
      <c r="G1663" s="1075" t="s">
        <v>8</v>
      </c>
    </row>
    <row r="1664" spans="1:7" s="145" customFormat="1" ht="15" customHeight="1">
      <c r="A1664" s="978" t="s">
        <v>1256</v>
      </c>
      <c r="B1664" s="979"/>
      <c r="C1664" s="13" t="s">
        <v>1245</v>
      </c>
      <c r="D1664" s="32">
        <v>0.5</v>
      </c>
      <c r="E1664" s="13">
        <v>20030</v>
      </c>
      <c r="F1664" s="55">
        <f>+D1664*E1664</f>
        <v>10015</v>
      </c>
      <c r="G1664" s="1116"/>
    </row>
    <row r="1665" spans="1:7" s="145" customFormat="1" ht="15.75" customHeight="1">
      <c r="A1665" s="155"/>
      <c r="B1665" s="156"/>
      <c r="C1665" s="156"/>
      <c r="D1665" s="156"/>
      <c r="E1665" s="156"/>
      <c r="F1665" s="156"/>
      <c r="G1665" s="57">
        <f>SUM(F1663:F1665)</f>
        <v>10015</v>
      </c>
    </row>
    <row r="1666" spans="1:7" s="145" customFormat="1" ht="13.8">
      <c r="A1666" s="1119" t="s">
        <v>25</v>
      </c>
      <c r="B1666" s="1120"/>
      <c r="C1666" s="1120"/>
      <c r="D1666" s="1120"/>
      <c r="E1666" s="1120"/>
      <c r="F1666" s="1120"/>
      <c r="G1666" s="1121"/>
    </row>
    <row r="1667" spans="1:7" s="145" customFormat="1" ht="15.6" customHeight="1">
      <c r="A1667" s="1122"/>
      <c r="B1667" s="1120"/>
      <c r="C1667" s="1120"/>
      <c r="D1667" s="1120"/>
      <c r="E1667" s="1120"/>
      <c r="F1667" s="1120"/>
      <c r="G1667" s="157">
        <f>G1665+G1661+G1657+G1649</f>
        <v>101136.6198</v>
      </c>
    </row>
    <row r="1668" spans="1:7" s="145" customFormat="1" ht="15.75" customHeight="1">
      <c r="A1668" s="158"/>
      <c r="B1668" s="159"/>
      <c r="C1668" s="159"/>
      <c r="D1668" s="159"/>
      <c r="E1668" s="159"/>
      <c r="F1668" s="159"/>
      <c r="G1668" s="160"/>
    </row>
    <row r="1669" spans="1:7" s="145" customFormat="1" ht="40.950000000000003" customHeight="1">
      <c r="A1669" s="1123" t="s">
        <v>1</v>
      </c>
      <c r="B1669" s="1120"/>
      <c r="C1669" s="953" t="s">
        <v>594</v>
      </c>
      <c r="D1669" s="1125"/>
      <c r="E1669" s="1125"/>
      <c r="F1669" s="1125"/>
      <c r="G1669" s="1126"/>
    </row>
    <row r="1670" spans="1:7" s="145" customFormat="1" ht="15.75" customHeight="1">
      <c r="A1670" s="1124"/>
      <c r="B1670" s="1120"/>
      <c r="C1670" s="1125"/>
      <c r="D1670" s="1125"/>
      <c r="E1670" s="1125"/>
      <c r="F1670" s="1125"/>
      <c r="G1670" s="1126"/>
    </row>
    <row r="1671" spans="1:7" s="145" customFormat="1" ht="15.75" customHeight="1">
      <c r="A1671" s="1124"/>
      <c r="B1671" s="1120"/>
      <c r="C1671" s="1127" t="s">
        <v>689</v>
      </c>
      <c r="D1671" s="1120"/>
      <c r="E1671" s="1120"/>
      <c r="F1671" s="1120"/>
      <c r="G1671" s="1121"/>
    </row>
    <row r="1672" spans="1:7" s="145" customFormat="1" ht="15.75" customHeight="1">
      <c r="A1672" s="1124"/>
      <c r="B1672" s="1120"/>
      <c r="C1672" s="1128" t="s">
        <v>2</v>
      </c>
      <c r="D1672" s="1120"/>
      <c r="E1672" s="1120"/>
      <c r="F1672" s="146" t="s">
        <v>3</v>
      </c>
      <c r="G1672" s="147" t="s">
        <v>4</v>
      </c>
    </row>
    <row r="1673" spans="1:7" s="145" customFormat="1" ht="38.25" customHeight="1">
      <c r="A1673" s="1073" t="s">
        <v>749</v>
      </c>
      <c r="B1673" s="1115"/>
      <c r="C1673" s="980" t="s">
        <v>2782</v>
      </c>
      <c r="D1673" s="1115"/>
      <c r="E1673" s="1115"/>
      <c r="F1673" s="162" t="s">
        <v>28</v>
      </c>
      <c r="G1673" s="52">
        <v>1</v>
      </c>
    </row>
    <row r="1674" spans="1:7" s="145" customFormat="1" ht="15.75" customHeight="1">
      <c r="A1674" s="1114" t="s">
        <v>5</v>
      </c>
      <c r="B1674" s="1115"/>
      <c r="C1674" s="1115"/>
      <c r="D1674" s="1115"/>
      <c r="E1674" s="1115"/>
      <c r="F1674" s="1115"/>
      <c r="G1674" s="1116"/>
    </row>
    <row r="1675" spans="1:7" s="145" customFormat="1" ht="15.75" customHeight="1">
      <c r="A1675" s="1074" t="s">
        <v>2</v>
      </c>
      <c r="B1675" s="1115"/>
      <c r="C1675" s="53" t="s">
        <v>3</v>
      </c>
      <c r="D1675" s="53" t="s">
        <v>4</v>
      </c>
      <c r="E1675" s="53" t="s">
        <v>6</v>
      </c>
      <c r="F1675" s="53" t="s">
        <v>7</v>
      </c>
      <c r="G1675" s="1075" t="s">
        <v>8</v>
      </c>
    </row>
    <row r="1676" spans="1:7" s="145" customFormat="1" ht="16.2" customHeight="1">
      <c r="A1676" s="947" t="s">
        <v>167</v>
      </c>
      <c r="B1676" s="1115"/>
      <c r="C1676" s="51" t="s">
        <v>3</v>
      </c>
      <c r="D1676" s="51">
        <v>0.05</v>
      </c>
      <c r="E1676" s="17">
        <f>G1693</f>
        <v>30045</v>
      </c>
      <c r="F1676" s="55">
        <f>D1676*E1676</f>
        <v>1502.25</v>
      </c>
      <c r="G1676" s="1116"/>
    </row>
    <row r="1677" spans="1:7" s="145" customFormat="1" ht="16.2" customHeight="1">
      <c r="A1677" s="943"/>
      <c r="B1677" s="1115"/>
      <c r="C1677" s="51"/>
      <c r="D1677" s="51"/>
      <c r="E1677" s="51"/>
      <c r="F1677" s="55"/>
      <c r="G1677" s="57">
        <f>SUM(F1675:F1677)</f>
        <v>1502.25</v>
      </c>
    </row>
    <row r="1678" spans="1:7" s="150" customFormat="1" ht="16.2" customHeight="1">
      <c r="A1678" s="1114" t="s">
        <v>10</v>
      </c>
      <c r="B1678" s="1115"/>
      <c r="C1678" s="1115"/>
      <c r="D1678" s="1115"/>
      <c r="E1678" s="1115"/>
      <c r="F1678" s="1115"/>
      <c r="G1678" s="1116"/>
    </row>
    <row r="1679" spans="1:7" s="150" customFormat="1" ht="16.2" customHeight="1">
      <c r="A1679" s="1074" t="s">
        <v>2</v>
      </c>
      <c r="B1679" s="1115"/>
      <c r="C1679" s="53" t="s">
        <v>3</v>
      </c>
      <c r="D1679" s="53" t="s">
        <v>4</v>
      </c>
      <c r="E1679" s="53" t="s">
        <v>6</v>
      </c>
      <c r="F1679" s="53" t="s">
        <v>11</v>
      </c>
      <c r="G1679" s="1075" t="s">
        <v>8</v>
      </c>
    </row>
    <row r="1680" spans="1:7" s="150" customFormat="1" ht="16.2" customHeight="1">
      <c r="A1680" s="1117" t="s">
        <v>643</v>
      </c>
      <c r="B1680" s="1118"/>
      <c r="C1680" s="148" t="s">
        <v>3</v>
      </c>
      <c r="D1680" s="148">
        <v>2</v>
      </c>
      <c r="E1680" s="17">
        <f>+'INSUMOS ELÉCTRICOS'!E121</f>
        <v>1189</v>
      </c>
      <c r="F1680" s="149">
        <f>D1680*E1680</f>
        <v>2378</v>
      </c>
      <c r="G1680" s="1075"/>
    </row>
    <row r="1681" spans="1:7" s="145" customFormat="1" ht="15.75" customHeight="1">
      <c r="A1681" s="1117" t="s">
        <v>692</v>
      </c>
      <c r="B1681" s="1118"/>
      <c r="C1681" s="148" t="s">
        <v>3</v>
      </c>
      <c r="D1681" s="148">
        <v>1</v>
      </c>
      <c r="E1681" s="17">
        <f>+'INSUMOS ELÉCTRICOS'!E122</f>
        <v>6679</v>
      </c>
      <c r="F1681" s="149">
        <f>D1681*E1681</f>
        <v>6679</v>
      </c>
      <c r="G1681" s="1075"/>
    </row>
    <row r="1682" spans="1:7" s="145" customFormat="1" ht="15.75" customHeight="1">
      <c r="A1682" s="1117" t="s">
        <v>2487</v>
      </c>
      <c r="B1682" s="1118"/>
      <c r="C1682" s="148" t="s">
        <v>3</v>
      </c>
      <c r="D1682" s="148">
        <v>1</v>
      </c>
      <c r="E1682" s="17">
        <f>+'INSUMOS ELÉCTRICOS'!E69</f>
        <v>69900</v>
      </c>
      <c r="F1682" s="149">
        <f>D1682*E1682</f>
        <v>69900</v>
      </c>
      <c r="G1682" s="1075"/>
    </row>
    <row r="1683" spans="1:7" s="145" customFormat="1" ht="15.75" customHeight="1">
      <c r="A1683" s="1117" t="s">
        <v>694</v>
      </c>
      <c r="B1683" s="1118"/>
      <c r="C1683" s="148" t="s">
        <v>3</v>
      </c>
      <c r="D1683" s="148">
        <v>1</v>
      </c>
      <c r="E1683" s="17">
        <f>+'INSUMOS ELÉCTRICOS'!E124</f>
        <v>6399.82</v>
      </c>
      <c r="F1683" s="149">
        <f>D1683*E1683</f>
        <v>6399.82</v>
      </c>
      <c r="G1683" s="1075"/>
    </row>
    <row r="1684" spans="1:7" s="145" customFormat="1" ht="15.75" customHeight="1">
      <c r="A1684" s="1117" t="s">
        <v>612</v>
      </c>
      <c r="B1684" s="1118"/>
      <c r="C1684" s="148" t="s">
        <v>3</v>
      </c>
      <c r="D1684" s="148">
        <v>10</v>
      </c>
      <c r="E1684" s="17">
        <f>+'INSUMOS ELÉCTRICOS'!E126</f>
        <v>348.66999999999996</v>
      </c>
      <c r="F1684" s="149">
        <f>D1684*E1684</f>
        <v>3486.7</v>
      </c>
      <c r="G1684" s="1075"/>
    </row>
    <row r="1685" spans="1:7" s="145" customFormat="1" ht="15.75" customHeight="1">
      <c r="A1685" s="947"/>
      <c r="B1685" s="1115"/>
      <c r="C1685" s="16"/>
      <c r="D1685" s="58"/>
      <c r="E1685" s="17"/>
      <c r="F1685" s="55"/>
      <c r="G1685" s="57">
        <f>SUM(F1679:F1685)</f>
        <v>88843.520000000004</v>
      </c>
    </row>
    <row r="1686" spans="1:7" s="145" customFormat="1" ht="15.75" customHeight="1">
      <c r="A1686" s="1114" t="s">
        <v>15</v>
      </c>
      <c r="B1686" s="1115"/>
      <c r="C1686" s="1115"/>
      <c r="D1686" s="1115"/>
      <c r="E1686" s="1115"/>
      <c r="F1686" s="1115"/>
      <c r="G1686" s="1116"/>
    </row>
    <row r="1687" spans="1:7" s="145" customFormat="1" ht="15.75" customHeight="1">
      <c r="A1687" s="1074" t="s">
        <v>2</v>
      </c>
      <c r="B1687" s="1115"/>
      <c r="C1687" s="53" t="s">
        <v>3</v>
      </c>
      <c r="D1687" s="53" t="s">
        <v>4</v>
      </c>
      <c r="E1687" s="53" t="s">
        <v>6</v>
      </c>
      <c r="F1687" s="53" t="s">
        <v>11</v>
      </c>
      <c r="G1687" s="1075" t="s">
        <v>8</v>
      </c>
    </row>
    <row r="1688" spans="1:7" s="2" customFormat="1" ht="15.75" customHeight="1">
      <c r="A1688" s="943" t="s">
        <v>173</v>
      </c>
      <c r="B1688" s="1115"/>
      <c r="C1688" s="16" t="s">
        <v>3</v>
      </c>
      <c r="D1688" s="16">
        <v>0.1</v>
      </c>
      <c r="E1688" s="17">
        <f>G1685</f>
        <v>88843.520000000004</v>
      </c>
      <c r="F1688" s="55">
        <f>D1688*E1688</f>
        <v>8884.3520000000008</v>
      </c>
      <c r="G1688" s="1116"/>
    </row>
    <row r="1689" spans="1:7" s="145" customFormat="1" ht="15.75" customHeight="1">
      <c r="A1689" s="151"/>
      <c r="B1689" s="152"/>
      <c r="C1689" s="152"/>
      <c r="D1689" s="152"/>
      <c r="E1689" s="152"/>
      <c r="F1689" s="152"/>
      <c r="G1689" s="57">
        <f>SUM(F1688:F1689)</f>
        <v>8884.3520000000008</v>
      </c>
    </row>
    <row r="1690" spans="1:7" s="145" customFormat="1" ht="15.75" customHeight="1">
      <c r="A1690" s="1114" t="s">
        <v>19</v>
      </c>
      <c r="B1690" s="1115"/>
      <c r="C1690" s="1115"/>
      <c r="D1690" s="1115"/>
      <c r="E1690" s="1115"/>
      <c r="F1690" s="1115"/>
      <c r="G1690" s="1116"/>
    </row>
    <row r="1691" spans="1:7" s="145" customFormat="1" ht="15.75" customHeight="1">
      <c r="A1691" s="1074" t="s">
        <v>2</v>
      </c>
      <c r="B1691" s="1115"/>
      <c r="C1691" s="53" t="s">
        <v>3</v>
      </c>
      <c r="D1691" s="53" t="s">
        <v>4</v>
      </c>
      <c r="E1691" s="53" t="s">
        <v>6</v>
      </c>
      <c r="F1691" s="53" t="s">
        <v>11</v>
      </c>
      <c r="G1691" s="1075" t="s">
        <v>8</v>
      </c>
    </row>
    <row r="1692" spans="1:7" s="145" customFormat="1" ht="15" customHeight="1">
      <c r="A1692" s="978" t="s">
        <v>1256</v>
      </c>
      <c r="B1692" s="979"/>
      <c r="C1692" s="13" t="s">
        <v>1245</v>
      </c>
      <c r="D1692" s="32">
        <v>1.5</v>
      </c>
      <c r="E1692" s="13">
        <v>20030</v>
      </c>
      <c r="F1692" s="55">
        <f>+D1692*E1692</f>
        <v>30045</v>
      </c>
      <c r="G1692" s="1116"/>
    </row>
    <row r="1693" spans="1:7" s="145" customFormat="1" ht="15.75" customHeight="1">
      <c r="A1693" s="155"/>
      <c r="B1693" s="156"/>
      <c r="C1693" s="156"/>
      <c r="D1693" s="156"/>
      <c r="E1693" s="156"/>
      <c r="F1693" s="156"/>
      <c r="G1693" s="57">
        <f>SUM(F1691:F1693)</f>
        <v>30045</v>
      </c>
    </row>
    <row r="1694" spans="1:7" s="145" customFormat="1" ht="24" customHeight="1">
      <c r="A1694" s="1119" t="s">
        <v>25</v>
      </c>
      <c r="B1694" s="1120"/>
      <c r="C1694" s="1120"/>
      <c r="D1694" s="1120"/>
      <c r="E1694" s="1120"/>
      <c r="F1694" s="1120"/>
      <c r="G1694" s="1121"/>
    </row>
    <row r="1695" spans="1:7" s="145" customFormat="1" ht="15.6" customHeight="1">
      <c r="A1695" s="1122"/>
      <c r="B1695" s="1120"/>
      <c r="C1695" s="1120"/>
      <c r="D1695" s="1120"/>
      <c r="E1695" s="1120"/>
      <c r="F1695" s="1120"/>
      <c r="G1695" s="157">
        <f>G1693+G1689+G1685+G1677</f>
        <v>129275.122</v>
      </c>
    </row>
    <row r="1696" spans="1:7" s="145" customFormat="1" ht="15.75" customHeight="1">
      <c r="A1696" s="158"/>
      <c r="B1696" s="159"/>
      <c r="C1696" s="159"/>
      <c r="D1696" s="159"/>
      <c r="E1696" s="159"/>
      <c r="F1696" s="159"/>
      <c r="G1696" s="160"/>
    </row>
    <row r="1697" spans="1:7" s="145" customFormat="1" ht="40.950000000000003" customHeight="1">
      <c r="A1697" s="1123" t="s">
        <v>1</v>
      </c>
      <c r="B1697" s="1120"/>
      <c r="C1697" s="953" t="s">
        <v>594</v>
      </c>
      <c r="D1697" s="1125"/>
      <c r="E1697" s="1125"/>
      <c r="F1697" s="1125"/>
      <c r="G1697" s="1126"/>
    </row>
    <row r="1698" spans="1:7" s="145" customFormat="1" ht="15.75" customHeight="1">
      <c r="A1698" s="1124"/>
      <c r="B1698" s="1120"/>
      <c r="C1698" s="1125"/>
      <c r="D1698" s="1125"/>
      <c r="E1698" s="1125"/>
      <c r="F1698" s="1125"/>
      <c r="G1698" s="1126"/>
    </row>
    <row r="1699" spans="1:7" s="145" customFormat="1" ht="15.75" customHeight="1">
      <c r="A1699" s="1124"/>
      <c r="B1699" s="1120"/>
      <c r="C1699" s="1127" t="s">
        <v>609</v>
      </c>
      <c r="D1699" s="1120"/>
      <c r="E1699" s="1120"/>
      <c r="F1699" s="1120"/>
      <c r="G1699" s="1121"/>
    </row>
    <row r="1700" spans="1:7" s="145" customFormat="1" ht="15.75" customHeight="1">
      <c r="A1700" s="1124"/>
      <c r="B1700" s="1120"/>
      <c r="C1700" s="1128" t="s">
        <v>2</v>
      </c>
      <c r="D1700" s="1120"/>
      <c r="E1700" s="1120"/>
      <c r="F1700" s="146" t="s">
        <v>3</v>
      </c>
      <c r="G1700" s="147" t="s">
        <v>4</v>
      </c>
    </row>
    <row r="1701" spans="1:7" s="145" customFormat="1" ht="33" customHeight="1">
      <c r="A1701" s="1073" t="s">
        <v>751</v>
      </c>
      <c r="B1701" s="1115"/>
      <c r="C1701" s="980" t="s">
        <v>618</v>
      </c>
      <c r="D1701" s="1115"/>
      <c r="E1701" s="1115"/>
      <c r="F1701" s="162" t="s">
        <v>28</v>
      </c>
      <c r="G1701" s="52">
        <v>1</v>
      </c>
    </row>
    <row r="1702" spans="1:7" s="145" customFormat="1" ht="15.75" customHeight="1">
      <c r="A1702" s="1114" t="s">
        <v>5</v>
      </c>
      <c r="B1702" s="1115"/>
      <c r="C1702" s="1115"/>
      <c r="D1702" s="1115"/>
      <c r="E1702" s="1115"/>
      <c r="F1702" s="1115"/>
      <c r="G1702" s="1116"/>
    </row>
    <row r="1703" spans="1:7" s="145" customFormat="1" ht="15.75" customHeight="1">
      <c r="A1703" s="1074" t="s">
        <v>2</v>
      </c>
      <c r="B1703" s="1115"/>
      <c r="C1703" s="53" t="s">
        <v>3</v>
      </c>
      <c r="D1703" s="53" t="s">
        <v>4</v>
      </c>
      <c r="E1703" s="53" t="s">
        <v>6</v>
      </c>
      <c r="F1703" s="53" t="s">
        <v>7</v>
      </c>
      <c r="G1703" s="1075" t="s">
        <v>8</v>
      </c>
    </row>
    <row r="1704" spans="1:7" s="145" customFormat="1" ht="16.2" customHeight="1">
      <c r="A1704" s="947" t="s">
        <v>167</v>
      </c>
      <c r="B1704" s="1115"/>
      <c r="C1704" s="51" t="s">
        <v>3</v>
      </c>
      <c r="D1704" s="51">
        <v>0.05</v>
      </c>
      <c r="E1704" s="17">
        <f>G1722</f>
        <v>4006</v>
      </c>
      <c r="F1704" s="55">
        <f>D1704*E1704</f>
        <v>200.3</v>
      </c>
      <c r="G1704" s="1116"/>
    </row>
    <row r="1705" spans="1:7" s="145" customFormat="1" ht="16.2" customHeight="1">
      <c r="A1705" s="943"/>
      <c r="B1705" s="1115"/>
      <c r="C1705" s="51"/>
      <c r="D1705" s="51"/>
      <c r="E1705" s="51"/>
      <c r="F1705" s="55"/>
      <c r="G1705" s="57">
        <f>SUM(F1703:F1705)</f>
        <v>200.3</v>
      </c>
    </row>
    <row r="1706" spans="1:7" s="150" customFormat="1" ht="16.2" customHeight="1">
      <c r="A1706" s="1114" t="s">
        <v>10</v>
      </c>
      <c r="B1706" s="1115"/>
      <c r="C1706" s="1115"/>
      <c r="D1706" s="1115"/>
      <c r="E1706" s="1115"/>
      <c r="F1706" s="1115"/>
      <c r="G1706" s="1116"/>
    </row>
    <row r="1707" spans="1:7" s="150" customFormat="1" ht="16.2" customHeight="1">
      <c r="A1707" s="1074" t="s">
        <v>2</v>
      </c>
      <c r="B1707" s="1115"/>
      <c r="C1707" s="53" t="s">
        <v>3</v>
      </c>
      <c r="D1707" s="53" t="s">
        <v>4</v>
      </c>
      <c r="E1707" s="53" t="s">
        <v>6</v>
      </c>
      <c r="F1707" s="53" t="s">
        <v>11</v>
      </c>
      <c r="G1707" s="1075" t="s">
        <v>8</v>
      </c>
    </row>
    <row r="1708" spans="1:7" s="150" customFormat="1" ht="16.2" customHeight="1">
      <c r="A1708" s="947" t="s">
        <v>612</v>
      </c>
      <c r="B1708" s="1115"/>
      <c r="C1708" s="51" t="s">
        <v>3</v>
      </c>
      <c r="D1708" s="148">
        <v>10</v>
      </c>
      <c r="E1708" s="17">
        <f>+'INSUMOS ELÉCTRICOS'!E126</f>
        <v>348.66999999999996</v>
      </c>
      <c r="F1708" s="55">
        <f t="shared" ref="F1708:F1713" si="25">D1708*E1708</f>
        <v>3486.7</v>
      </c>
      <c r="G1708" s="1075"/>
    </row>
    <row r="1709" spans="1:7" s="145" customFormat="1" ht="15.75" customHeight="1">
      <c r="A1709" s="947" t="s">
        <v>619</v>
      </c>
      <c r="B1709" s="1115"/>
      <c r="C1709" s="51" t="s">
        <v>3</v>
      </c>
      <c r="D1709" s="148">
        <v>0.67</v>
      </c>
      <c r="E1709" s="17">
        <f>+'INSUMOS ELÉCTRICOS'!E115</f>
        <v>990</v>
      </c>
      <c r="F1709" s="55">
        <f t="shared" si="25"/>
        <v>663.30000000000007</v>
      </c>
      <c r="G1709" s="1075"/>
    </row>
    <row r="1710" spans="1:7" s="145" customFormat="1" ht="15.75" customHeight="1">
      <c r="A1710" s="947" t="s">
        <v>620</v>
      </c>
      <c r="B1710" s="1115"/>
      <c r="C1710" s="51" t="s">
        <v>3</v>
      </c>
      <c r="D1710" s="148">
        <v>0.17</v>
      </c>
      <c r="E1710" s="17">
        <f>+'INSUMOS ELÉCTRICOS'!E30</f>
        <v>21900</v>
      </c>
      <c r="F1710" s="55">
        <f t="shared" si="25"/>
        <v>3723.0000000000005</v>
      </c>
      <c r="G1710" s="1075"/>
    </row>
    <row r="1711" spans="1:7" s="145" customFormat="1" ht="15.75" customHeight="1">
      <c r="A1711" s="947" t="s">
        <v>621</v>
      </c>
      <c r="B1711" s="1115"/>
      <c r="C1711" s="51" t="s">
        <v>622</v>
      </c>
      <c r="D1711" s="148">
        <v>1</v>
      </c>
      <c r="E1711" s="17">
        <f>+'INSUMOS ELÉCTRICOS'!E31</f>
        <v>27300</v>
      </c>
      <c r="F1711" s="55">
        <f t="shared" si="25"/>
        <v>27300</v>
      </c>
      <c r="G1711" s="1075"/>
    </row>
    <row r="1712" spans="1:7" s="145" customFormat="1" ht="15.75" customHeight="1">
      <c r="A1712" s="947" t="s">
        <v>623</v>
      </c>
      <c r="B1712" s="1115"/>
      <c r="C1712" s="51" t="s">
        <v>3</v>
      </c>
      <c r="D1712" s="148">
        <v>0.33</v>
      </c>
      <c r="E1712" s="17">
        <f>+'INSUMOS ELÉCTRICOS'!E32</f>
        <v>2383.5699999999997</v>
      </c>
      <c r="F1712" s="55">
        <f t="shared" si="25"/>
        <v>786.57809999999995</v>
      </c>
      <c r="G1712" s="1075"/>
    </row>
    <row r="1713" spans="1:7" s="145" customFormat="1" ht="15.75" customHeight="1">
      <c r="A1713" s="947" t="s">
        <v>624</v>
      </c>
      <c r="B1713" s="1115"/>
      <c r="C1713" s="51" t="s">
        <v>3</v>
      </c>
      <c r="D1713" s="148">
        <v>0.32929999999999998</v>
      </c>
      <c r="E1713" s="17">
        <f>+'INSUMOS ELÉCTRICOS'!E33</f>
        <v>6890</v>
      </c>
      <c r="F1713" s="55">
        <f t="shared" si="25"/>
        <v>2268.877</v>
      </c>
      <c r="G1713" s="1075"/>
    </row>
    <row r="1714" spans="1:7" s="145" customFormat="1" ht="15.75" customHeight="1">
      <c r="A1714" s="947"/>
      <c r="B1714" s="1115"/>
      <c r="C1714" s="16"/>
      <c r="D1714" s="58"/>
      <c r="E1714" s="17"/>
      <c r="F1714" s="55"/>
      <c r="G1714" s="57">
        <f>SUM(F1707:F1714)</f>
        <v>38228.455099999999</v>
      </c>
    </row>
    <row r="1715" spans="1:7" s="145" customFormat="1" ht="15.75" customHeight="1">
      <c r="A1715" s="1114" t="s">
        <v>15</v>
      </c>
      <c r="B1715" s="1115"/>
      <c r="C1715" s="1115"/>
      <c r="D1715" s="1115"/>
      <c r="E1715" s="1115"/>
      <c r="F1715" s="1115"/>
      <c r="G1715" s="1116"/>
    </row>
    <row r="1716" spans="1:7" s="2" customFormat="1" ht="15.75" customHeight="1">
      <c r="A1716" s="1074" t="s">
        <v>2</v>
      </c>
      <c r="B1716" s="1115"/>
      <c r="C1716" s="53" t="s">
        <v>3</v>
      </c>
      <c r="D1716" s="53" t="s">
        <v>4</v>
      </c>
      <c r="E1716" s="53" t="s">
        <v>6</v>
      </c>
      <c r="F1716" s="53" t="s">
        <v>11</v>
      </c>
      <c r="G1716" s="1075" t="s">
        <v>8</v>
      </c>
    </row>
    <row r="1717" spans="1:7" s="145" customFormat="1" ht="15.75" customHeight="1">
      <c r="A1717" s="943" t="s">
        <v>173</v>
      </c>
      <c r="B1717" s="1115"/>
      <c r="C1717" s="16" t="s">
        <v>3</v>
      </c>
      <c r="D1717" s="16">
        <v>0.05</v>
      </c>
      <c r="E1717" s="17">
        <f>G1714</f>
        <v>38228.455099999999</v>
      </c>
      <c r="F1717" s="55">
        <f>D1717*E1717</f>
        <v>1911.4227550000001</v>
      </c>
      <c r="G1717" s="1116"/>
    </row>
    <row r="1718" spans="1:7" s="145" customFormat="1" ht="15.75" customHeight="1">
      <c r="A1718" s="151"/>
      <c r="B1718" s="152"/>
      <c r="C1718" s="152"/>
      <c r="D1718" s="152"/>
      <c r="E1718" s="152"/>
      <c r="F1718" s="152"/>
      <c r="G1718" s="57">
        <f>SUM(F1717:F1718)</f>
        <v>1911.4227550000001</v>
      </c>
    </row>
    <row r="1719" spans="1:7" s="145" customFormat="1" ht="15.75" customHeight="1">
      <c r="A1719" s="1114" t="s">
        <v>19</v>
      </c>
      <c r="B1719" s="1115"/>
      <c r="C1719" s="1115"/>
      <c r="D1719" s="1115"/>
      <c r="E1719" s="1115"/>
      <c r="F1719" s="1115"/>
      <c r="G1719" s="1116"/>
    </row>
    <row r="1720" spans="1:7" s="145" customFormat="1" ht="15" customHeight="1">
      <c r="A1720" s="1074" t="s">
        <v>2</v>
      </c>
      <c r="B1720" s="1115"/>
      <c r="C1720" s="53" t="s">
        <v>3</v>
      </c>
      <c r="D1720" s="53" t="s">
        <v>4</v>
      </c>
      <c r="E1720" s="53" t="s">
        <v>6</v>
      </c>
      <c r="F1720" s="53" t="s">
        <v>11</v>
      </c>
      <c r="G1720" s="1075" t="s">
        <v>8</v>
      </c>
    </row>
    <row r="1721" spans="1:7" s="145" customFormat="1" ht="15.75" customHeight="1">
      <c r="A1721" s="978" t="s">
        <v>1256</v>
      </c>
      <c r="B1721" s="979"/>
      <c r="C1721" s="13" t="s">
        <v>1245</v>
      </c>
      <c r="D1721" s="32">
        <v>0.2</v>
      </c>
      <c r="E1721" s="13">
        <v>20030</v>
      </c>
      <c r="F1721" s="55">
        <f>+D1721*E1721</f>
        <v>4006</v>
      </c>
      <c r="G1721" s="1116"/>
    </row>
    <row r="1722" spans="1:7" s="145" customFormat="1" ht="24" customHeight="1">
      <c r="A1722" s="155"/>
      <c r="B1722" s="156"/>
      <c r="C1722" s="156"/>
      <c r="D1722" s="156"/>
      <c r="E1722" s="156"/>
      <c r="F1722" s="156"/>
      <c r="G1722" s="57">
        <f>SUM(F1720:F1722)</f>
        <v>4006</v>
      </c>
    </row>
    <row r="1723" spans="1:7" s="145" customFormat="1" ht="15.6" customHeight="1">
      <c r="A1723" s="1119" t="s">
        <v>25</v>
      </c>
      <c r="B1723" s="1120"/>
      <c r="C1723" s="1120"/>
      <c r="D1723" s="1120"/>
      <c r="E1723" s="1120"/>
      <c r="F1723" s="1120"/>
      <c r="G1723" s="1121"/>
    </row>
    <row r="1724" spans="1:7" s="145" customFormat="1" ht="15.75" customHeight="1">
      <c r="A1724" s="1122"/>
      <c r="B1724" s="1120"/>
      <c r="C1724" s="1120"/>
      <c r="D1724" s="1120"/>
      <c r="E1724" s="1120"/>
      <c r="F1724" s="1120"/>
      <c r="G1724" s="157">
        <f>G1722+G1718+G1714+G1705</f>
        <v>44346.177855000002</v>
      </c>
    </row>
    <row r="1725" spans="1:7" s="145" customFormat="1" ht="57.75" customHeight="1">
      <c r="A1725" s="158"/>
      <c r="B1725" s="159"/>
      <c r="C1725" s="159"/>
      <c r="D1725" s="159"/>
      <c r="E1725" s="159"/>
      <c r="F1725" s="159"/>
      <c r="G1725" s="160"/>
    </row>
    <row r="1726" spans="1:7" s="145" customFormat="1" ht="15.75" customHeight="1">
      <c r="A1726" s="1123" t="s">
        <v>1</v>
      </c>
      <c r="B1726" s="1120"/>
      <c r="C1726" s="953" t="s">
        <v>594</v>
      </c>
      <c r="D1726" s="1125"/>
      <c r="E1726" s="1125"/>
      <c r="F1726" s="1125"/>
      <c r="G1726" s="1126"/>
    </row>
    <row r="1727" spans="1:7" s="145" customFormat="1" ht="15.75" customHeight="1">
      <c r="A1727" s="1124"/>
      <c r="B1727" s="1120"/>
      <c r="C1727" s="1125"/>
      <c r="D1727" s="1125"/>
      <c r="E1727" s="1125"/>
      <c r="F1727" s="1125"/>
      <c r="G1727" s="1126"/>
    </row>
    <row r="1728" spans="1:7" s="145" customFormat="1" ht="15.75" customHeight="1">
      <c r="A1728" s="1124"/>
      <c r="B1728" s="1120"/>
      <c r="C1728" s="1127" t="s">
        <v>609</v>
      </c>
      <c r="D1728" s="1120"/>
      <c r="E1728" s="1120"/>
      <c r="F1728" s="1120"/>
      <c r="G1728" s="1121"/>
    </row>
    <row r="1729" spans="1:7" s="145" customFormat="1" ht="15.75" customHeight="1">
      <c r="A1729" s="1124"/>
      <c r="B1729" s="1120"/>
      <c r="C1729" s="1128" t="s">
        <v>2</v>
      </c>
      <c r="D1729" s="1120"/>
      <c r="E1729" s="1120"/>
      <c r="F1729" s="146" t="s">
        <v>3</v>
      </c>
      <c r="G1729" s="147" t="s">
        <v>4</v>
      </c>
    </row>
    <row r="1730" spans="1:7" s="145" customFormat="1" ht="34.799999999999997">
      <c r="A1730" s="1073" t="s">
        <v>752</v>
      </c>
      <c r="B1730" s="1115"/>
      <c r="C1730" s="980" t="s">
        <v>2761</v>
      </c>
      <c r="D1730" s="1115"/>
      <c r="E1730" s="1115"/>
      <c r="F1730" s="162" t="s">
        <v>28</v>
      </c>
      <c r="G1730" s="52">
        <v>1</v>
      </c>
    </row>
    <row r="1731" spans="1:7" s="145" customFormat="1" ht="15.75" customHeight="1">
      <c r="A1731" s="1114" t="s">
        <v>5</v>
      </c>
      <c r="B1731" s="1115"/>
      <c r="C1731" s="1115"/>
      <c r="D1731" s="1115"/>
      <c r="E1731" s="1115"/>
      <c r="F1731" s="1115"/>
      <c r="G1731" s="1116"/>
    </row>
    <row r="1732" spans="1:7" s="150" customFormat="1" ht="15.75" customHeight="1">
      <c r="A1732" s="1074" t="s">
        <v>2</v>
      </c>
      <c r="B1732" s="1115"/>
      <c r="C1732" s="53" t="s">
        <v>3</v>
      </c>
      <c r="D1732" s="53" t="s">
        <v>4</v>
      </c>
      <c r="E1732" s="53" t="s">
        <v>6</v>
      </c>
      <c r="F1732" s="53" t="s">
        <v>7</v>
      </c>
      <c r="G1732" s="1075" t="s">
        <v>8</v>
      </c>
    </row>
    <row r="1733" spans="1:7" s="150" customFormat="1" ht="15.75" customHeight="1">
      <c r="A1733" s="947" t="s">
        <v>167</v>
      </c>
      <c r="B1733" s="1115"/>
      <c r="C1733" s="51" t="s">
        <v>3</v>
      </c>
      <c r="D1733" s="51">
        <v>0.05</v>
      </c>
      <c r="E1733" s="17">
        <f>G1747</f>
        <v>10015</v>
      </c>
      <c r="F1733" s="55">
        <f>D1733*E1733</f>
        <v>500.75</v>
      </c>
      <c r="G1733" s="1116"/>
    </row>
    <row r="1734" spans="1:7" s="145" customFormat="1" ht="15.75" customHeight="1">
      <c r="A1734" s="943"/>
      <c r="B1734" s="1115"/>
      <c r="C1734" s="51"/>
      <c r="D1734" s="51"/>
      <c r="E1734" s="51"/>
      <c r="F1734" s="55"/>
      <c r="G1734" s="57">
        <f>SUM(F1732:F1734)</f>
        <v>500.75</v>
      </c>
    </row>
    <row r="1735" spans="1:7" s="145" customFormat="1" ht="15.75" customHeight="1">
      <c r="A1735" s="1114" t="s">
        <v>10</v>
      </c>
      <c r="B1735" s="1115"/>
      <c r="C1735" s="1115"/>
      <c r="D1735" s="1115"/>
      <c r="E1735" s="1115"/>
      <c r="F1735" s="1115"/>
      <c r="G1735" s="1116"/>
    </row>
    <row r="1736" spans="1:7" s="145" customFormat="1" ht="15.75" customHeight="1">
      <c r="A1736" s="1074" t="s">
        <v>2</v>
      </c>
      <c r="B1736" s="1115"/>
      <c r="C1736" s="53" t="s">
        <v>3</v>
      </c>
      <c r="D1736" s="53" t="s">
        <v>4</v>
      </c>
      <c r="E1736" s="53" t="s">
        <v>6</v>
      </c>
      <c r="F1736" s="53" t="s">
        <v>11</v>
      </c>
      <c r="G1736" s="1075" t="s">
        <v>8</v>
      </c>
    </row>
    <row r="1737" spans="1:7" s="145" customFormat="1" ht="15.75" customHeight="1">
      <c r="A1737" s="947" t="s">
        <v>612</v>
      </c>
      <c r="B1737" s="1115"/>
      <c r="C1737" s="51" t="s">
        <v>3</v>
      </c>
      <c r="D1737" s="148">
        <v>10</v>
      </c>
      <c r="E1737" s="17">
        <f>+'INSUMOS ELÉCTRICOS'!E126</f>
        <v>348.66999999999996</v>
      </c>
      <c r="F1737" s="55">
        <f>D1737*E1737</f>
        <v>3486.7</v>
      </c>
      <c r="G1737" s="1075"/>
    </row>
    <row r="1738" spans="1:7" s="145" customFormat="1" ht="15.75" customHeight="1">
      <c r="A1738" s="947" t="s">
        <v>635</v>
      </c>
      <c r="B1738" s="1115"/>
      <c r="C1738" s="51" t="s">
        <v>3</v>
      </c>
      <c r="D1738" s="148">
        <v>1</v>
      </c>
      <c r="E1738" s="17">
        <f>+'INSUMOS ELÉCTRICOS'!E54</f>
        <v>67400.41</v>
      </c>
      <c r="F1738" s="55">
        <f>D1738*E1738</f>
        <v>67400.41</v>
      </c>
      <c r="G1738" s="1075"/>
    </row>
    <row r="1739" spans="1:7" s="145" customFormat="1" ht="15.75" customHeight="1">
      <c r="A1739" s="947"/>
      <c r="B1739" s="1115"/>
      <c r="C1739" s="16"/>
      <c r="D1739" s="58"/>
      <c r="E1739" s="17"/>
      <c r="F1739" s="55"/>
      <c r="G1739" s="57">
        <f>SUM(F1736:F1739)</f>
        <v>70887.11</v>
      </c>
    </row>
    <row r="1740" spans="1:7" s="145" customFormat="1" ht="15.75" customHeight="1">
      <c r="A1740" s="1114" t="s">
        <v>15</v>
      </c>
      <c r="B1740" s="1115"/>
      <c r="C1740" s="1115"/>
      <c r="D1740" s="1115"/>
      <c r="E1740" s="1115"/>
      <c r="F1740" s="1115"/>
      <c r="G1740" s="1116"/>
    </row>
    <row r="1741" spans="1:7" s="145" customFormat="1" ht="15.75" customHeight="1">
      <c r="A1741" s="1074" t="s">
        <v>2</v>
      </c>
      <c r="B1741" s="1115"/>
      <c r="C1741" s="53" t="s">
        <v>3</v>
      </c>
      <c r="D1741" s="53" t="s">
        <v>4</v>
      </c>
      <c r="E1741" s="53" t="s">
        <v>6</v>
      </c>
      <c r="F1741" s="53" t="s">
        <v>11</v>
      </c>
      <c r="G1741" s="1075" t="s">
        <v>8</v>
      </c>
    </row>
    <row r="1742" spans="1:7" s="145" customFormat="1" ht="15.75" customHeight="1">
      <c r="A1742" s="943" t="s">
        <v>173</v>
      </c>
      <c r="B1742" s="1115"/>
      <c r="C1742" s="16" t="s">
        <v>3</v>
      </c>
      <c r="D1742" s="16">
        <v>0.01</v>
      </c>
      <c r="E1742" s="17">
        <f>G1739</f>
        <v>70887.11</v>
      </c>
      <c r="F1742" s="55">
        <f>D1742*E1742</f>
        <v>708.87110000000007</v>
      </c>
      <c r="G1742" s="1116"/>
    </row>
    <row r="1743" spans="1:7" s="145" customFormat="1" ht="15.75" customHeight="1">
      <c r="A1743" s="151"/>
      <c r="B1743" s="152"/>
      <c r="C1743" s="152"/>
      <c r="D1743" s="152"/>
      <c r="E1743" s="152"/>
      <c r="F1743" s="152"/>
      <c r="G1743" s="57">
        <f>SUM(F1742:F1743)</f>
        <v>708.87110000000007</v>
      </c>
    </row>
    <row r="1744" spans="1:7" s="145" customFormat="1" ht="15.75" customHeight="1">
      <c r="A1744" s="1114" t="s">
        <v>19</v>
      </c>
      <c r="B1744" s="1115"/>
      <c r="C1744" s="1115"/>
      <c r="D1744" s="1115"/>
      <c r="E1744" s="1115"/>
      <c r="F1744" s="1115"/>
      <c r="G1744" s="1116"/>
    </row>
    <row r="1745" spans="1:7" s="2" customFormat="1" ht="15.75" customHeight="1">
      <c r="A1745" s="1074" t="s">
        <v>2</v>
      </c>
      <c r="B1745" s="1115"/>
      <c r="C1745" s="53" t="s">
        <v>3</v>
      </c>
      <c r="D1745" s="53" t="s">
        <v>4</v>
      </c>
      <c r="E1745" s="53" t="s">
        <v>6</v>
      </c>
      <c r="F1745" s="53" t="s">
        <v>11</v>
      </c>
      <c r="G1745" s="1075" t="s">
        <v>8</v>
      </c>
    </row>
    <row r="1746" spans="1:7" s="145" customFormat="1" ht="15.75" customHeight="1">
      <c r="A1746" s="978" t="s">
        <v>1256</v>
      </c>
      <c r="B1746" s="979"/>
      <c r="C1746" s="13" t="s">
        <v>1245</v>
      </c>
      <c r="D1746" s="32">
        <v>0.5</v>
      </c>
      <c r="E1746" s="13">
        <v>20030</v>
      </c>
      <c r="F1746" s="55">
        <f>+D1746*E1746</f>
        <v>10015</v>
      </c>
      <c r="G1746" s="1116"/>
    </row>
    <row r="1747" spans="1:7" s="145" customFormat="1" ht="15.75" customHeight="1">
      <c r="A1747" s="155"/>
      <c r="B1747" s="156"/>
      <c r="C1747" s="156"/>
      <c r="D1747" s="156"/>
      <c r="E1747" s="156"/>
      <c r="F1747" s="156"/>
      <c r="G1747" s="57">
        <f>SUM(F1745:F1747)</f>
        <v>10015</v>
      </c>
    </row>
    <row r="1748" spans="1:7" s="145" customFormat="1" ht="15.75" customHeight="1">
      <c r="A1748" s="1119" t="s">
        <v>25</v>
      </c>
      <c r="B1748" s="1120"/>
      <c r="C1748" s="1120"/>
      <c r="D1748" s="1120"/>
      <c r="E1748" s="1120"/>
      <c r="F1748" s="1120"/>
      <c r="G1748" s="1121"/>
    </row>
    <row r="1749" spans="1:7" s="145" customFormat="1" ht="15" customHeight="1">
      <c r="A1749" s="1122"/>
      <c r="B1749" s="1120"/>
      <c r="C1749" s="1120"/>
      <c r="D1749" s="1120"/>
      <c r="E1749" s="1120"/>
      <c r="F1749" s="1120"/>
      <c r="G1749" s="157">
        <f>G1747+G1743+G1739+G1734</f>
        <v>82111.731100000005</v>
      </c>
    </row>
    <row r="1750" spans="1:7" s="145" customFormat="1" ht="15.75" customHeight="1">
      <c r="A1750" s="158"/>
      <c r="B1750" s="159"/>
      <c r="C1750" s="159"/>
      <c r="D1750" s="159"/>
      <c r="E1750" s="159"/>
      <c r="F1750" s="159"/>
      <c r="G1750" s="160"/>
    </row>
    <row r="1751" spans="1:7" s="145" customFormat="1" ht="24" customHeight="1">
      <c r="A1751" s="1123" t="s">
        <v>1</v>
      </c>
      <c r="B1751" s="1120"/>
      <c r="C1751" s="953" t="s">
        <v>594</v>
      </c>
      <c r="D1751" s="1125"/>
      <c r="E1751" s="1125"/>
      <c r="F1751" s="1125"/>
      <c r="G1751" s="1126"/>
    </row>
    <row r="1752" spans="1:7" s="145" customFormat="1" ht="15.6" customHeight="1">
      <c r="A1752" s="1124"/>
      <c r="B1752" s="1120"/>
      <c r="C1752" s="1125"/>
      <c r="D1752" s="1125"/>
      <c r="E1752" s="1125"/>
      <c r="F1752" s="1125"/>
      <c r="G1752" s="1126"/>
    </row>
    <row r="1753" spans="1:7" s="145" customFormat="1" ht="15.75" customHeight="1">
      <c r="A1753" s="1124"/>
      <c r="B1753" s="1120"/>
      <c r="C1753" s="1127" t="s">
        <v>609</v>
      </c>
      <c r="D1753" s="1120"/>
      <c r="E1753" s="1120"/>
      <c r="F1753" s="1120"/>
      <c r="G1753" s="1121"/>
    </row>
    <row r="1754" spans="1:7" s="145" customFormat="1" ht="43.95" customHeight="1">
      <c r="A1754" s="1124"/>
      <c r="B1754" s="1120"/>
      <c r="C1754" s="1128" t="s">
        <v>2</v>
      </c>
      <c r="D1754" s="1120"/>
      <c r="E1754" s="1120"/>
      <c r="F1754" s="146" t="s">
        <v>3</v>
      </c>
      <c r="G1754" s="147" t="s">
        <v>4</v>
      </c>
    </row>
    <row r="1755" spans="1:7" s="145" customFormat="1" ht="15.75" customHeight="1">
      <c r="A1755" s="1073" t="s">
        <v>753</v>
      </c>
      <c r="B1755" s="1115"/>
      <c r="C1755" s="980" t="s">
        <v>636</v>
      </c>
      <c r="D1755" s="1115"/>
      <c r="E1755" s="1115"/>
      <c r="F1755" s="162" t="s">
        <v>28</v>
      </c>
      <c r="G1755" s="52">
        <v>1</v>
      </c>
    </row>
    <row r="1756" spans="1:7" s="145" customFormat="1" ht="15.75" customHeight="1">
      <c r="A1756" s="1114" t="s">
        <v>5</v>
      </c>
      <c r="B1756" s="1115"/>
      <c r="C1756" s="1115"/>
      <c r="D1756" s="1115"/>
      <c r="E1756" s="1115"/>
      <c r="F1756" s="1115"/>
      <c r="G1756" s="1116"/>
    </row>
    <row r="1757" spans="1:7" s="145" customFormat="1" ht="15.75" customHeight="1">
      <c r="A1757" s="1074" t="s">
        <v>2</v>
      </c>
      <c r="B1757" s="1115"/>
      <c r="C1757" s="53" t="s">
        <v>3</v>
      </c>
      <c r="D1757" s="53" t="s">
        <v>4</v>
      </c>
      <c r="E1757" s="53" t="s">
        <v>6</v>
      </c>
      <c r="F1757" s="53" t="s">
        <v>7</v>
      </c>
      <c r="G1757" s="1075" t="s">
        <v>8</v>
      </c>
    </row>
    <row r="1758" spans="1:7" s="145" customFormat="1" ht="15.75" customHeight="1">
      <c r="A1758" s="947" t="s">
        <v>167</v>
      </c>
      <c r="B1758" s="1115"/>
      <c r="C1758" s="51" t="s">
        <v>3</v>
      </c>
      <c r="D1758" s="51">
        <v>0.05</v>
      </c>
      <c r="E1758" s="17">
        <f>G1772</f>
        <v>10015</v>
      </c>
      <c r="F1758" s="55">
        <f>D1758*E1758</f>
        <v>500.75</v>
      </c>
      <c r="G1758" s="1116"/>
    </row>
    <row r="1759" spans="1:7" s="145" customFormat="1" ht="15.75" customHeight="1">
      <c r="A1759" s="943"/>
      <c r="B1759" s="1115"/>
      <c r="C1759" s="51"/>
      <c r="D1759" s="51"/>
      <c r="E1759" s="51"/>
      <c r="F1759" s="55"/>
      <c r="G1759" s="57">
        <f>SUM(F1757:F1759)</f>
        <v>500.75</v>
      </c>
    </row>
    <row r="1760" spans="1:7" s="145" customFormat="1" ht="15.75" customHeight="1">
      <c r="A1760" s="1114" t="s">
        <v>10</v>
      </c>
      <c r="B1760" s="1115"/>
      <c r="C1760" s="1115"/>
      <c r="D1760" s="1115"/>
      <c r="E1760" s="1115"/>
      <c r="F1760" s="1115"/>
      <c r="G1760" s="1116"/>
    </row>
    <row r="1761" spans="1:7" s="150" customFormat="1" ht="15.75" customHeight="1">
      <c r="A1761" s="1156" t="s">
        <v>2</v>
      </c>
      <c r="B1761" s="1129"/>
      <c r="C1761" s="163" t="s">
        <v>3</v>
      </c>
      <c r="D1761" s="163" t="s">
        <v>4</v>
      </c>
      <c r="E1761" s="53" t="s">
        <v>6</v>
      </c>
      <c r="F1761" s="163" t="s">
        <v>11</v>
      </c>
      <c r="G1761" s="1075" t="s">
        <v>8</v>
      </c>
    </row>
    <row r="1762" spans="1:7" s="145" customFormat="1" ht="15.75" customHeight="1">
      <c r="A1762" s="1117" t="s">
        <v>612</v>
      </c>
      <c r="B1762" s="1118"/>
      <c r="C1762" s="148" t="s">
        <v>3</v>
      </c>
      <c r="D1762" s="148">
        <v>2</v>
      </c>
      <c r="E1762" s="17">
        <f>+'INSUMOS ELÉCTRICOS'!E126</f>
        <v>348.66999999999996</v>
      </c>
      <c r="F1762" s="149">
        <f>D1762*E1762</f>
        <v>697.33999999999992</v>
      </c>
      <c r="G1762" s="1075"/>
    </row>
    <row r="1763" spans="1:7" s="145" customFormat="1" ht="15.75" customHeight="1">
      <c r="A1763" s="1117" t="s">
        <v>636</v>
      </c>
      <c r="B1763" s="1118"/>
      <c r="C1763" s="148" t="s">
        <v>622</v>
      </c>
      <c r="D1763" s="148">
        <v>1</v>
      </c>
      <c r="E1763" s="17">
        <f>+'INSUMOS ELÉCTRICOS'!E53</f>
        <v>20000</v>
      </c>
      <c r="F1763" s="149">
        <f>D1763*E1763</f>
        <v>20000</v>
      </c>
      <c r="G1763" s="1075"/>
    </row>
    <row r="1764" spans="1:7" s="145" customFormat="1" ht="15.75" customHeight="1">
      <c r="A1764" s="947"/>
      <c r="B1764" s="1115"/>
      <c r="C1764" s="16"/>
      <c r="D1764" s="58"/>
      <c r="E1764" s="17"/>
      <c r="F1764" s="55"/>
      <c r="G1764" s="57">
        <f>SUM(F1761:F1764)</f>
        <v>20697.34</v>
      </c>
    </row>
    <row r="1765" spans="1:7" s="145" customFormat="1" ht="15.75" customHeight="1">
      <c r="A1765" s="1114" t="s">
        <v>15</v>
      </c>
      <c r="B1765" s="1115"/>
      <c r="C1765" s="1115"/>
      <c r="D1765" s="1115"/>
      <c r="E1765" s="1115"/>
      <c r="F1765" s="1115"/>
      <c r="G1765" s="1116"/>
    </row>
    <row r="1766" spans="1:7" s="145" customFormat="1" ht="15.75" customHeight="1">
      <c r="A1766" s="1074" t="s">
        <v>2</v>
      </c>
      <c r="B1766" s="1115"/>
      <c r="C1766" s="53" t="s">
        <v>3</v>
      </c>
      <c r="D1766" s="53" t="s">
        <v>4</v>
      </c>
      <c r="E1766" s="53" t="s">
        <v>16</v>
      </c>
      <c r="F1766" s="53" t="s">
        <v>11</v>
      </c>
      <c r="G1766" s="1075" t="s">
        <v>8</v>
      </c>
    </row>
    <row r="1767" spans="1:7" s="145" customFormat="1" ht="15.75" customHeight="1">
      <c r="A1767" s="943" t="s">
        <v>173</v>
      </c>
      <c r="B1767" s="1115"/>
      <c r="C1767" s="16" t="s">
        <v>3</v>
      </c>
      <c r="D1767" s="16">
        <v>0.1</v>
      </c>
      <c r="E1767" s="17">
        <f>G1764</f>
        <v>20697.34</v>
      </c>
      <c r="F1767" s="55">
        <f>D1767*E1767</f>
        <v>2069.7339999999999</v>
      </c>
      <c r="G1767" s="1116"/>
    </row>
    <row r="1768" spans="1:7" s="145" customFormat="1" ht="15.75" customHeight="1">
      <c r="A1768" s="151"/>
      <c r="B1768" s="152"/>
      <c r="C1768" s="152"/>
      <c r="D1768" s="152"/>
      <c r="E1768" s="152"/>
      <c r="F1768" s="152"/>
      <c r="G1768" s="57">
        <f>SUM(F1767:F1768)</f>
        <v>2069.7339999999999</v>
      </c>
    </row>
    <row r="1769" spans="1:7" s="145" customFormat="1" ht="15.75" customHeight="1">
      <c r="A1769" s="1114" t="s">
        <v>19</v>
      </c>
      <c r="B1769" s="1115"/>
      <c r="C1769" s="1115"/>
      <c r="D1769" s="1115"/>
      <c r="E1769" s="1115"/>
      <c r="F1769" s="1115"/>
      <c r="G1769" s="1116"/>
    </row>
    <row r="1770" spans="1:7" s="2" customFormat="1" ht="15.75" customHeight="1">
      <c r="A1770" s="469" t="s">
        <v>20</v>
      </c>
      <c r="B1770" s="53" t="s">
        <v>21</v>
      </c>
      <c r="C1770" s="53" t="s">
        <v>22</v>
      </c>
      <c r="D1770" s="53" t="s">
        <v>23</v>
      </c>
      <c r="E1770" s="53" t="s">
        <v>24</v>
      </c>
      <c r="F1770" s="53" t="s">
        <v>11</v>
      </c>
      <c r="G1770" s="1075" t="s">
        <v>8</v>
      </c>
    </row>
    <row r="1771" spans="1:7" s="145" customFormat="1" ht="15.75" customHeight="1">
      <c r="A1771" s="978" t="s">
        <v>1256</v>
      </c>
      <c r="B1771" s="979"/>
      <c r="C1771" s="13" t="s">
        <v>1245</v>
      </c>
      <c r="D1771" s="32">
        <v>0.5</v>
      </c>
      <c r="E1771" s="13">
        <v>20030</v>
      </c>
      <c r="F1771" s="55">
        <f>+D1771*E1771</f>
        <v>10015</v>
      </c>
      <c r="G1771" s="1116"/>
    </row>
    <row r="1772" spans="1:7" s="145" customFormat="1" ht="15.75" customHeight="1">
      <c r="A1772" s="155"/>
      <c r="B1772" s="156"/>
      <c r="C1772" s="156"/>
      <c r="D1772" s="156"/>
      <c r="E1772" s="156"/>
      <c r="F1772" s="156"/>
      <c r="G1772" s="57">
        <f>SUM(F1770:F1772)</f>
        <v>10015</v>
      </c>
    </row>
    <row r="1773" spans="1:7" s="145" customFormat="1" ht="15.75" customHeight="1">
      <c r="A1773" s="1119" t="s">
        <v>25</v>
      </c>
      <c r="B1773" s="1120"/>
      <c r="C1773" s="1120"/>
      <c r="D1773" s="1120"/>
      <c r="E1773" s="1120"/>
      <c r="F1773" s="1120"/>
      <c r="G1773" s="1121"/>
    </row>
    <row r="1774" spans="1:7" s="145" customFormat="1" ht="15" customHeight="1">
      <c r="A1774" s="1122"/>
      <c r="B1774" s="1120"/>
      <c r="C1774" s="1120"/>
      <c r="D1774" s="1120"/>
      <c r="E1774" s="1120"/>
      <c r="F1774" s="1120"/>
      <c r="G1774" s="157">
        <f>G1772+G1768+G1764+G1759</f>
        <v>33282.824000000001</v>
      </c>
    </row>
    <row r="1775" spans="1:7" s="145" customFormat="1" ht="15.75" customHeight="1">
      <c r="A1775" s="158"/>
      <c r="B1775" s="159"/>
      <c r="C1775" s="159"/>
      <c r="D1775" s="159"/>
      <c r="E1775" s="159"/>
      <c r="F1775" s="159"/>
      <c r="G1775" s="160"/>
    </row>
    <row r="1776" spans="1:7" s="145" customFormat="1" ht="24" customHeight="1">
      <c r="A1776" s="1123" t="s">
        <v>1</v>
      </c>
      <c r="B1776" s="1120"/>
      <c r="C1776" s="953" t="s">
        <v>594</v>
      </c>
      <c r="D1776" s="1125"/>
      <c r="E1776" s="1125"/>
      <c r="F1776" s="1125"/>
      <c r="G1776" s="1126"/>
    </row>
    <row r="1777" spans="1:7" s="145" customFormat="1" ht="15.6" customHeight="1">
      <c r="A1777" s="1124"/>
      <c r="B1777" s="1120"/>
      <c r="C1777" s="1125"/>
      <c r="D1777" s="1125"/>
      <c r="E1777" s="1125"/>
      <c r="F1777" s="1125"/>
      <c r="G1777" s="1126"/>
    </row>
    <row r="1778" spans="1:7" s="145" customFormat="1" ht="15.75" customHeight="1">
      <c r="A1778" s="1124"/>
      <c r="B1778" s="1120"/>
      <c r="C1778" s="1127" t="s">
        <v>703</v>
      </c>
      <c r="D1778" s="1120"/>
      <c r="E1778" s="1120"/>
      <c r="F1778" s="1120"/>
      <c r="G1778" s="1121"/>
    </row>
    <row r="1779" spans="1:7" s="145" customFormat="1" ht="57.75" customHeight="1">
      <c r="A1779" s="1124"/>
      <c r="B1779" s="1120"/>
      <c r="C1779" s="1128" t="s">
        <v>2</v>
      </c>
      <c r="D1779" s="1120"/>
      <c r="E1779" s="1120"/>
      <c r="F1779" s="146" t="s">
        <v>3</v>
      </c>
      <c r="G1779" s="147" t="s">
        <v>4</v>
      </c>
    </row>
    <row r="1780" spans="1:7" s="145" customFormat="1" ht="51" customHeight="1">
      <c r="A1780" s="1073" t="s">
        <v>754</v>
      </c>
      <c r="B1780" s="1115"/>
      <c r="C1780" s="980" t="s">
        <v>705</v>
      </c>
      <c r="D1780" s="980"/>
      <c r="E1780" s="980"/>
      <c r="F1780" s="162" t="s">
        <v>45</v>
      </c>
      <c r="G1780" s="52">
        <v>1</v>
      </c>
    </row>
    <row r="1781" spans="1:7" s="145" customFormat="1" ht="15.75" customHeight="1">
      <c r="A1781" s="1114" t="s">
        <v>5</v>
      </c>
      <c r="B1781" s="1115"/>
      <c r="C1781" s="1115"/>
      <c r="D1781" s="1115"/>
      <c r="E1781" s="1115"/>
      <c r="F1781" s="1115"/>
      <c r="G1781" s="1116"/>
    </row>
    <row r="1782" spans="1:7" s="145" customFormat="1" ht="15.75" customHeight="1">
      <c r="A1782" s="1074" t="s">
        <v>2</v>
      </c>
      <c r="B1782" s="1115"/>
      <c r="C1782" s="53" t="s">
        <v>3</v>
      </c>
      <c r="D1782" s="53" t="s">
        <v>4</v>
      </c>
      <c r="E1782" s="53" t="s">
        <v>6</v>
      </c>
      <c r="F1782" s="53" t="s">
        <v>7</v>
      </c>
      <c r="G1782" s="1075" t="s">
        <v>8</v>
      </c>
    </row>
    <row r="1783" spans="1:7" s="145" customFormat="1" ht="15.75" customHeight="1">
      <c r="A1783" s="947" t="s">
        <v>167</v>
      </c>
      <c r="B1783" s="1115"/>
      <c r="C1783" s="51" t="s">
        <v>3</v>
      </c>
      <c r="D1783" s="51">
        <v>0.05</v>
      </c>
      <c r="E1783" s="17">
        <f>G1797</f>
        <v>2003</v>
      </c>
      <c r="F1783" s="55">
        <f>D1783*E1783</f>
        <v>100.15</v>
      </c>
      <c r="G1783" s="1116"/>
    </row>
    <row r="1784" spans="1:7" s="145" customFormat="1" ht="15.75" customHeight="1">
      <c r="A1784" s="943"/>
      <c r="B1784" s="1115"/>
      <c r="C1784" s="51"/>
      <c r="D1784" s="51"/>
      <c r="E1784" s="51"/>
      <c r="F1784" s="55"/>
      <c r="G1784" s="57">
        <f>SUM(F1782:F1784)</f>
        <v>100.15</v>
      </c>
    </row>
    <row r="1785" spans="1:7" s="150" customFormat="1" ht="15.75" customHeight="1">
      <c r="A1785" s="1114" t="s">
        <v>10</v>
      </c>
      <c r="B1785" s="1115"/>
      <c r="C1785" s="1115"/>
      <c r="D1785" s="1115"/>
      <c r="E1785" s="1115"/>
      <c r="F1785" s="1115"/>
      <c r="G1785" s="1116"/>
    </row>
    <row r="1786" spans="1:7" s="150" customFormat="1" ht="15.75" customHeight="1">
      <c r="A1786" s="1074" t="s">
        <v>2</v>
      </c>
      <c r="B1786" s="1115"/>
      <c r="C1786" s="53" t="s">
        <v>3</v>
      </c>
      <c r="D1786" s="53" t="s">
        <v>4</v>
      </c>
      <c r="E1786" s="53" t="s">
        <v>6</v>
      </c>
      <c r="F1786" s="53" t="s">
        <v>11</v>
      </c>
      <c r="G1786" s="1075" t="s">
        <v>8</v>
      </c>
    </row>
    <row r="1787" spans="1:7" s="145" customFormat="1" ht="15.75" customHeight="1">
      <c r="A1787" s="1117" t="s">
        <v>706</v>
      </c>
      <c r="B1787" s="1118"/>
      <c r="C1787" s="148" t="s">
        <v>3</v>
      </c>
      <c r="D1787" s="148">
        <v>1</v>
      </c>
      <c r="E1787" s="631">
        <f>+'INSUMOS ELÉCTRICOS'!E90</f>
        <v>4736.2</v>
      </c>
      <c r="F1787" s="55">
        <f>D1787*E1787</f>
        <v>4736.2</v>
      </c>
      <c r="G1787" s="1075"/>
    </row>
    <row r="1788" spans="1:7" s="145" customFormat="1" ht="15.75" customHeight="1">
      <c r="A1788" s="1117" t="s">
        <v>707</v>
      </c>
      <c r="B1788" s="1118"/>
      <c r="C1788" s="148" t="s">
        <v>622</v>
      </c>
      <c r="D1788" s="148">
        <v>0.01</v>
      </c>
      <c r="E1788" s="17">
        <f>+'INSUMOS ELÉCTRICOS'!E91</f>
        <v>6000</v>
      </c>
      <c r="F1788" s="55">
        <f>D1788*E1788</f>
        <v>60</v>
      </c>
      <c r="G1788" s="1075"/>
    </row>
    <row r="1789" spans="1:7" s="145" customFormat="1" ht="15.75" customHeight="1">
      <c r="A1789" s="947"/>
      <c r="B1789" s="1115"/>
      <c r="C1789" s="16"/>
      <c r="D1789" s="58"/>
      <c r="E1789" s="17"/>
      <c r="F1789" s="55"/>
      <c r="G1789" s="57">
        <f>SUM(F1786:F1789)</f>
        <v>4796.2</v>
      </c>
    </row>
    <row r="1790" spans="1:7" s="145" customFormat="1" ht="15.75" customHeight="1">
      <c r="A1790" s="1114" t="s">
        <v>15</v>
      </c>
      <c r="B1790" s="1115"/>
      <c r="C1790" s="1115"/>
      <c r="D1790" s="1115"/>
      <c r="E1790" s="1115"/>
      <c r="F1790" s="1115"/>
      <c r="G1790" s="1116"/>
    </row>
    <row r="1791" spans="1:7" s="145" customFormat="1" ht="15.75" customHeight="1">
      <c r="A1791" s="1074" t="s">
        <v>2</v>
      </c>
      <c r="B1791" s="1115"/>
      <c r="C1791" s="53" t="s">
        <v>3</v>
      </c>
      <c r="D1791" s="53" t="s">
        <v>4</v>
      </c>
      <c r="E1791" s="53" t="s">
        <v>6</v>
      </c>
      <c r="F1791" s="53" t="s">
        <v>11</v>
      </c>
      <c r="G1791" s="1075" t="s">
        <v>8</v>
      </c>
    </row>
    <row r="1792" spans="1:7" s="145" customFormat="1" ht="15.75" customHeight="1">
      <c r="A1792" s="943" t="s">
        <v>173</v>
      </c>
      <c r="B1792" s="1115"/>
      <c r="C1792" s="16" t="s">
        <v>3</v>
      </c>
      <c r="D1792" s="16">
        <v>0.05</v>
      </c>
      <c r="E1792" s="631">
        <f>G1789</f>
        <v>4796.2</v>
      </c>
      <c r="F1792" s="55">
        <f>D1792*E1792</f>
        <v>239.81</v>
      </c>
      <c r="G1792" s="1116"/>
    </row>
    <row r="1793" spans="1:7" s="145" customFormat="1" ht="15.75" customHeight="1">
      <c r="A1793" s="151"/>
      <c r="B1793" s="152"/>
      <c r="C1793" s="152"/>
      <c r="D1793" s="152"/>
      <c r="E1793" s="152"/>
      <c r="F1793" s="152"/>
      <c r="G1793" s="57">
        <f>SUM(F1792:F1793)</f>
        <v>239.81</v>
      </c>
    </row>
    <row r="1794" spans="1:7" s="145" customFormat="1" ht="15.75" customHeight="1">
      <c r="A1794" s="1114" t="s">
        <v>19</v>
      </c>
      <c r="B1794" s="1115"/>
      <c r="C1794" s="1115"/>
      <c r="D1794" s="1115"/>
      <c r="E1794" s="1115"/>
      <c r="F1794" s="1115"/>
      <c r="G1794" s="1116"/>
    </row>
    <row r="1795" spans="1:7" s="2" customFormat="1" ht="15.75" customHeight="1">
      <c r="A1795" s="1074" t="s">
        <v>2</v>
      </c>
      <c r="B1795" s="1115"/>
      <c r="C1795" s="53" t="s">
        <v>3</v>
      </c>
      <c r="D1795" s="53" t="s">
        <v>4</v>
      </c>
      <c r="E1795" s="53" t="s">
        <v>6</v>
      </c>
      <c r="F1795" s="53" t="s">
        <v>11</v>
      </c>
      <c r="G1795" s="1075" t="s">
        <v>8</v>
      </c>
    </row>
    <row r="1796" spans="1:7" s="145" customFormat="1" ht="15.75" customHeight="1">
      <c r="A1796" s="978" t="s">
        <v>1256</v>
      </c>
      <c r="B1796" s="979"/>
      <c r="C1796" s="13" t="s">
        <v>1245</v>
      </c>
      <c r="D1796" s="32">
        <v>0.1</v>
      </c>
      <c r="E1796" s="13">
        <v>20030</v>
      </c>
      <c r="F1796" s="55">
        <f>+D1796*E1796</f>
        <v>2003</v>
      </c>
      <c r="G1796" s="1116"/>
    </row>
    <row r="1797" spans="1:7" s="145" customFormat="1" ht="15.75" customHeight="1">
      <c r="A1797" s="155"/>
      <c r="B1797" s="156"/>
      <c r="C1797" s="156"/>
      <c r="D1797" s="156"/>
      <c r="E1797" s="156"/>
      <c r="F1797" s="156"/>
      <c r="G1797" s="57">
        <f>SUM(F1795:F1797)</f>
        <v>2003</v>
      </c>
    </row>
    <row r="1798" spans="1:7" s="145" customFormat="1" ht="15.75" customHeight="1">
      <c r="A1798" s="1119" t="s">
        <v>25</v>
      </c>
      <c r="B1798" s="1120"/>
      <c r="C1798" s="1120"/>
      <c r="D1798" s="1120"/>
      <c r="E1798" s="1120"/>
      <c r="F1798" s="1120"/>
      <c r="G1798" s="1121"/>
    </row>
    <row r="1799" spans="1:7" s="145" customFormat="1" ht="15" customHeight="1">
      <c r="A1799" s="1122"/>
      <c r="B1799" s="1120"/>
      <c r="C1799" s="1120"/>
      <c r="D1799" s="1120"/>
      <c r="E1799" s="1120"/>
      <c r="F1799" s="1120"/>
      <c r="G1799" s="157">
        <f>G1797+G1793+G1789+G1784</f>
        <v>7139.16</v>
      </c>
    </row>
    <row r="1800" spans="1:7" s="145" customFormat="1" ht="15.75" customHeight="1">
      <c r="A1800" s="158"/>
      <c r="B1800" s="159"/>
      <c r="C1800" s="159"/>
      <c r="D1800" s="159"/>
      <c r="E1800" s="159"/>
      <c r="F1800" s="159"/>
      <c r="G1800" s="160"/>
    </row>
    <row r="1801" spans="1:7" s="145" customFormat="1" ht="24" customHeight="1">
      <c r="A1801" s="1123" t="s">
        <v>1</v>
      </c>
      <c r="B1801" s="1120"/>
      <c r="C1801" s="953" t="s">
        <v>594</v>
      </c>
      <c r="D1801" s="1125"/>
      <c r="E1801" s="1125"/>
      <c r="F1801" s="1125"/>
      <c r="G1801" s="1126"/>
    </row>
    <row r="1802" spans="1:7" s="145" customFormat="1" ht="15.6" customHeight="1">
      <c r="A1802" s="1124"/>
      <c r="B1802" s="1120"/>
      <c r="C1802" s="1125"/>
      <c r="D1802" s="1125"/>
      <c r="E1802" s="1125"/>
      <c r="F1802" s="1125"/>
      <c r="G1802" s="1126"/>
    </row>
    <row r="1803" spans="1:7" s="145" customFormat="1" ht="15.75" customHeight="1">
      <c r="A1803" s="1124"/>
      <c r="B1803" s="1120"/>
      <c r="C1803" s="1127" t="s">
        <v>703</v>
      </c>
      <c r="D1803" s="1120"/>
      <c r="E1803" s="1120"/>
      <c r="F1803" s="1120"/>
      <c r="G1803" s="1121"/>
    </row>
    <row r="1804" spans="1:7" s="145" customFormat="1" ht="29.4" customHeight="1">
      <c r="A1804" s="1124"/>
      <c r="B1804" s="1120"/>
      <c r="C1804" s="1128" t="s">
        <v>2</v>
      </c>
      <c r="D1804" s="1120"/>
      <c r="E1804" s="1120"/>
      <c r="F1804" s="146" t="s">
        <v>3</v>
      </c>
      <c r="G1804" s="147" t="s">
        <v>4</v>
      </c>
    </row>
    <row r="1805" spans="1:7" s="145" customFormat="1" ht="57" customHeight="1">
      <c r="A1805" s="1073" t="s">
        <v>755</v>
      </c>
      <c r="B1805" s="1115"/>
      <c r="C1805" s="980" t="s">
        <v>709</v>
      </c>
      <c r="D1805" s="980"/>
      <c r="E1805" s="980"/>
      <c r="F1805" s="162" t="s">
        <v>28</v>
      </c>
      <c r="G1805" s="52">
        <v>1</v>
      </c>
    </row>
    <row r="1806" spans="1:7" s="145" customFormat="1" ht="15.75" customHeight="1">
      <c r="A1806" s="1114" t="s">
        <v>5</v>
      </c>
      <c r="B1806" s="1115"/>
      <c r="C1806" s="1115"/>
      <c r="D1806" s="1115"/>
      <c r="E1806" s="1115"/>
      <c r="F1806" s="1115"/>
      <c r="G1806" s="1116"/>
    </row>
    <row r="1807" spans="1:7" s="145" customFormat="1" ht="15.75" customHeight="1">
      <c r="A1807" s="1074" t="s">
        <v>2</v>
      </c>
      <c r="B1807" s="1115"/>
      <c r="C1807" s="53" t="s">
        <v>3</v>
      </c>
      <c r="D1807" s="53" t="s">
        <v>4</v>
      </c>
      <c r="E1807" s="53" t="s">
        <v>6</v>
      </c>
      <c r="F1807" s="53" t="s">
        <v>7</v>
      </c>
      <c r="G1807" s="1075" t="s">
        <v>8</v>
      </c>
    </row>
    <row r="1808" spans="1:7" s="145" customFormat="1" ht="15.75" customHeight="1">
      <c r="A1808" s="947" t="s">
        <v>167</v>
      </c>
      <c r="B1808" s="1115"/>
      <c r="C1808" s="51" t="s">
        <v>3</v>
      </c>
      <c r="D1808" s="51">
        <v>0.05</v>
      </c>
      <c r="E1808" s="17">
        <f>G1825</f>
        <v>20030</v>
      </c>
      <c r="F1808" s="55">
        <f>D1808*E1808</f>
        <v>1001.5</v>
      </c>
      <c r="G1808" s="1116"/>
    </row>
    <row r="1809" spans="1:7" s="145" customFormat="1" ht="15.75" customHeight="1">
      <c r="A1809" s="943"/>
      <c r="B1809" s="1115"/>
      <c r="C1809" s="51"/>
      <c r="D1809" s="51"/>
      <c r="E1809" s="51"/>
      <c r="F1809" s="55"/>
      <c r="G1809" s="57">
        <f>SUM(F1807:F1809)</f>
        <v>1001.5</v>
      </c>
    </row>
    <row r="1810" spans="1:7" s="145" customFormat="1" ht="15.75" customHeight="1">
      <c r="A1810" s="1114" t="s">
        <v>10</v>
      </c>
      <c r="B1810" s="1115"/>
      <c r="C1810" s="1115"/>
      <c r="D1810" s="1115"/>
      <c r="E1810" s="1115"/>
      <c r="F1810" s="1115"/>
      <c r="G1810" s="1116"/>
    </row>
    <row r="1811" spans="1:7" s="145" customFormat="1" ht="15.75" customHeight="1">
      <c r="A1811" s="1074" t="s">
        <v>2</v>
      </c>
      <c r="B1811" s="1115"/>
      <c r="C1811" s="53" t="s">
        <v>3</v>
      </c>
      <c r="D1811" s="53" t="s">
        <v>4</v>
      </c>
      <c r="E1811" s="53" t="s">
        <v>6</v>
      </c>
      <c r="F1811" s="53" t="s">
        <v>11</v>
      </c>
      <c r="G1811" s="1075" t="s">
        <v>8</v>
      </c>
    </row>
    <row r="1812" spans="1:7" s="150" customFormat="1" ht="26.25" customHeight="1">
      <c r="A1812" s="1117" t="s">
        <v>673</v>
      </c>
      <c r="B1812" s="1118"/>
      <c r="C1812" s="148" t="s">
        <v>3</v>
      </c>
      <c r="D1812" s="148">
        <v>1</v>
      </c>
      <c r="E1812" s="17">
        <f>+'INSUMOS ELÉCTRICOS'!E53</f>
        <v>20000</v>
      </c>
      <c r="F1812" s="55">
        <f>D1812*E1812</f>
        <v>20000</v>
      </c>
      <c r="G1812" s="1075"/>
    </row>
    <row r="1813" spans="1:7" s="145" customFormat="1" ht="15.75" customHeight="1">
      <c r="A1813" s="1117" t="s">
        <v>612</v>
      </c>
      <c r="B1813" s="1118"/>
      <c r="C1813" s="148" t="s">
        <v>3</v>
      </c>
      <c r="D1813" s="148">
        <v>2</v>
      </c>
      <c r="E1813" s="17">
        <f>+'INSUMOS ELÉCTRICOS'!E126</f>
        <v>348.66999999999996</v>
      </c>
      <c r="F1813" s="55">
        <f>D1813*E1813</f>
        <v>697.33999999999992</v>
      </c>
      <c r="G1813" s="1075"/>
    </row>
    <row r="1814" spans="1:7" s="145" customFormat="1" ht="15.75" customHeight="1">
      <c r="A1814" s="1117" t="s">
        <v>710</v>
      </c>
      <c r="B1814" s="1118"/>
      <c r="C1814" s="148" t="s">
        <v>3</v>
      </c>
      <c r="D1814" s="148">
        <v>1</v>
      </c>
      <c r="E1814" s="17">
        <f>+'INSUMOS ELÉCTRICOS'!E182</f>
        <v>52700</v>
      </c>
      <c r="F1814" s="55">
        <f>D1814*E1814</f>
        <v>52700</v>
      </c>
      <c r="G1814" s="61"/>
    </row>
    <row r="1815" spans="1:7" s="145" customFormat="1" ht="15.75" customHeight="1">
      <c r="A1815" s="1117" t="s">
        <v>711</v>
      </c>
      <c r="B1815" s="1118"/>
      <c r="C1815" s="148" t="s">
        <v>3</v>
      </c>
      <c r="D1815" s="148">
        <v>1</v>
      </c>
      <c r="E1815" s="17">
        <f>+'INSUMOS ELÉCTRICOS'!E52</f>
        <v>2000</v>
      </c>
      <c r="F1815" s="55">
        <f>D1815*E1815</f>
        <v>2000</v>
      </c>
      <c r="G1815" s="164"/>
    </row>
    <row r="1816" spans="1:7" s="145" customFormat="1" ht="15.75" customHeight="1">
      <c r="A1816" s="1117" t="s">
        <v>712</v>
      </c>
      <c r="B1816" s="1118"/>
      <c r="C1816" s="148" t="s">
        <v>3</v>
      </c>
      <c r="D1816" s="148">
        <v>1</v>
      </c>
      <c r="E1816" s="17">
        <f>+'INSUMOS ELÉCTRICOS'!E94</f>
        <v>8330</v>
      </c>
      <c r="F1816" s="55">
        <f>D1816*E1816</f>
        <v>8330</v>
      </c>
      <c r="G1816" s="61"/>
    </row>
    <row r="1817" spans="1:7" s="145" customFormat="1" ht="15.75" customHeight="1">
      <c r="A1817" s="947"/>
      <c r="B1817" s="1115"/>
      <c r="C1817" s="16"/>
      <c r="D1817" s="58"/>
      <c r="E1817" s="17"/>
      <c r="F1817" s="55"/>
      <c r="G1817" s="57">
        <f>SUM(F1811:F1817)</f>
        <v>83727.34</v>
      </c>
    </row>
    <row r="1818" spans="1:7" s="145" customFormat="1" ht="15.75" customHeight="1">
      <c r="A1818" s="1114" t="s">
        <v>15</v>
      </c>
      <c r="B1818" s="1115"/>
      <c r="C1818" s="1115"/>
      <c r="D1818" s="1115"/>
      <c r="E1818" s="1115"/>
      <c r="F1818" s="1115"/>
      <c r="G1818" s="1116"/>
    </row>
    <row r="1819" spans="1:7" s="145" customFormat="1" ht="15.75" customHeight="1">
      <c r="A1819" s="1074" t="s">
        <v>2</v>
      </c>
      <c r="B1819" s="1115"/>
      <c r="C1819" s="53" t="s">
        <v>3</v>
      </c>
      <c r="D1819" s="53" t="s">
        <v>4</v>
      </c>
      <c r="E1819" s="53" t="s">
        <v>6</v>
      </c>
      <c r="F1819" s="53" t="s">
        <v>11</v>
      </c>
      <c r="G1819" s="1075" t="s">
        <v>8</v>
      </c>
    </row>
    <row r="1820" spans="1:7" s="2" customFormat="1" ht="15.75" customHeight="1">
      <c r="A1820" s="943" t="s">
        <v>173</v>
      </c>
      <c r="B1820" s="1115"/>
      <c r="C1820" s="16" t="s">
        <v>3</v>
      </c>
      <c r="D1820" s="16">
        <v>0.01</v>
      </c>
      <c r="E1820" s="17">
        <f>G1817</f>
        <v>83727.34</v>
      </c>
      <c r="F1820" s="55">
        <f>D1820*E1820</f>
        <v>837.27340000000004</v>
      </c>
      <c r="G1820" s="1116"/>
    </row>
    <row r="1821" spans="1:7" s="145" customFormat="1" ht="15.75" customHeight="1">
      <c r="A1821" s="151"/>
      <c r="B1821" s="152"/>
      <c r="C1821" s="152"/>
      <c r="D1821" s="152"/>
      <c r="E1821" s="152"/>
      <c r="F1821" s="152"/>
      <c r="G1821" s="57">
        <f>SUM(F1820:F1821)</f>
        <v>837.27340000000004</v>
      </c>
    </row>
    <row r="1822" spans="1:7" s="145" customFormat="1" ht="15.75" customHeight="1">
      <c r="A1822" s="1114" t="s">
        <v>19</v>
      </c>
      <c r="B1822" s="1115"/>
      <c r="C1822" s="1115"/>
      <c r="D1822" s="1115"/>
      <c r="E1822" s="1115"/>
      <c r="F1822" s="1115"/>
      <c r="G1822" s="1116"/>
    </row>
    <row r="1823" spans="1:7" s="145" customFormat="1" ht="15.75" customHeight="1">
      <c r="A1823" s="1074" t="s">
        <v>2</v>
      </c>
      <c r="B1823" s="1115"/>
      <c r="C1823" s="53" t="s">
        <v>3</v>
      </c>
      <c r="D1823" s="53" t="s">
        <v>4</v>
      </c>
      <c r="E1823" s="53" t="s">
        <v>6</v>
      </c>
      <c r="F1823" s="53" t="s">
        <v>11</v>
      </c>
      <c r="G1823" s="1075" t="s">
        <v>8</v>
      </c>
    </row>
    <row r="1824" spans="1:7" s="145" customFormat="1" ht="15" customHeight="1">
      <c r="A1824" s="978" t="s">
        <v>1256</v>
      </c>
      <c r="B1824" s="979"/>
      <c r="C1824" s="13" t="s">
        <v>1245</v>
      </c>
      <c r="D1824" s="32">
        <v>1</v>
      </c>
      <c r="E1824" s="13">
        <v>20030</v>
      </c>
      <c r="F1824" s="55">
        <f>+D1824*E1824</f>
        <v>20030</v>
      </c>
      <c r="G1824" s="1116"/>
    </row>
    <row r="1825" spans="1:7" s="145" customFormat="1" ht="15.75" customHeight="1">
      <c r="A1825" s="155"/>
      <c r="B1825" s="156"/>
      <c r="C1825" s="156"/>
      <c r="D1825" s="156"/>
      <c r="E1825" s="156"/>
      <c r="F1825" s="156"/>
      <c r="G1825" s="57">
        <f>SUM(F1823:F1825)</f>
        <v>20030</v>
      </c>
    </row>
    <row r="1826" spans="1:7" s="145" customFormat="1" ht="24" customHeight="1">
      <c r="A1826" s="1119" t="s">
        <v>25</v>
      </c>
      <c r="B1826" s="1120"/>
      <c r="C1826" s="1120"/>
      <c r="D1826" s="1120"/>
      <c r="E1826" s="1120"/>
      <c r="F1826" s="1120"/>
      <c r="G1826" s="1121"/>
    </row>
    <row r="1827" spans="1:7" s="145" customFormat="1" ht="15.6" customHeight="1">
      <c r="A1827" s="1122"/>
      <c r="B1827" s="1120"/>
      <c r="C1827" s="1120"/>
      <c r="D1827" s="1120"/>
      <c r="E1827" s="1120"/>
      <c r="F1827" s="1120"/>
      <c r="G1827" s="157">
        <f>G1825+G1821+G1817+G1809</f>
        <v>105596.1134</v>
      </c>
    </row>
    <row r="1828" spans="1:7" s="145" customFormat="1" ht="15.75" customHeight="1">
      <c r="A1828" s="158"/>
      <c r="B1828" s="159"/>
      <c r="C1828" s="159"/>
      <c r="D1828" s="159"/>
      <c r="E1828" s="159"/>
      <c r="F1828" s="159"/>
      <c r="G1828" s="160"/>
    </row>
    <row r="1829" spans="1:7" s="145" customFormat="1" ht="29.4" customHeight="1">
      <c r="A1829" s="1123" t="s">
        <v>1</v>
      </c>
      <c r="B1829" s="1120"/>
      <c r="C1829" s="953" t="s">
        <v>594</v>
      </c>
      <c r="D1829" s="1125"/>
      <c r="E1829" s="1125"/>
      <c r="F1829" s="1125"/>
      <c r="G1829" s="1126"/>
    </row>
    <row r="1830" spans="1:7" s="145" customFormat="1" ht="15.75" customHeight="1">
      <c r="A1830" s="1124"/>
      <c r="B1830" s="1120"/>
      <c r="C1830" s="1125"/>
      <c r="D1830" s="1125"/>
      <c r="E1830" s="1125"/>
      <c r="F1830" s="1125"/>
      <c r="G1830" s="1126"/>
    </row>
    <row r="1831" spans="1:7" s="145" customFormat="1" ht="15.75" customHeight="1">
      <c r="A1831" s="1124"/>
      <c r="B1831" s="1120"/>
      <c r="C1831" s="1127" t="s">
        <v>703</v>
      </c>
      <c r="D1831" s="1120"/>
      <c r="E1831" s="1120"/>
      <c r="F1831" s="1120"/>
      <c r="G1831" s="1121"/>
    </row>
    <row r="1832" spans="1:7" s="145" customFormat="1" ht="15.75" customHeight="1">
      <c r="A1832" s="1124"/>
      <c r="B1832" s="1120"/>
      <c r="C1832" s="1128" t="s">
        <v>2</v>
      </c>
      <c r="D1832" s="1120"/>
      <c r="E1832" s="1120"/>
      <c r="F1832" s="146" t="s">
        <v>3</v>
      </c>
      <c r="G1832" s="147" t="s">
        <v>4</v>
      </c>
    </row>
    <row r="1833" spans="1:7" s="145" customFormat="1" ht="39" customHeight="1">
      <c r="A1833" s="1073" t="s">
        <v>756</v>
      </c>
      <c r="B1833" s="1115"/>
      <c r="C1833" s="980" t="s">
        <v>714</v>
      </c>
      <c r="D1833" s="980"/>
      <c r="E1833" s="980"/>
      <c r="F1833" s="162" t="s">
        <v>28</v>
      </c>
      <c r="G1833" s="52">
        <v>1</v>
      </c>
    </row>
    <row r="1834" spans="1:7" s="145" customFormat="1" ht="15.75" customHeight="1">
      <c r="A1834" s="1114" t="s">
        <v>5</v>
      </c>
      <c r="B1834" s="1115"/>
      <c r="C1834" s="1115"/>
      <c r="D1834" s="1115"/>
      <c r="E1834" s="1115"/>
      <c r="F1834" s="1115"/>
      <c r="G1834" s="1116"/>
    </row>
    <row r="1835" spans="1:7" s="145" customFormat="1" ht="15.75" customHeight="1">
      <c r="A1835" s="1074" t="s">
        <v>2</v>
      </c>
      <c r="B1835" s="1115"/>
      <c r="C1835" s="53" t="s">
        <v>3</v>
      </c>
      <c r="D1835" s="53" t="s">
        <v>4</v>
      </c>
      <c r="E1835" s="53" t="s">
        <v>6</v>
      </c>
      <c r="F1835" s="53" t="s">
        <v>7</v>
      </c>
      <c r="G1835" s="1075" t="s">
        <v>8</v>
      </c>
    </row>
    <row r="1836" spans="1:7" s="145" customFormat="1" ht="15.75" customHeight="1">
      <c r="A1836" s="947" t="s">
        <v>167</v>
      </c>
      <c r="B1836" s="1115"/>
      <c r="C1836" s="51" t="s">
        <v>3</v>
      </c>
      <c r="D1836" s="51">
        <v>0.05</v>
      </c>
      <c r="E1836" s="17">
        <f>G1853</f>
        <v>100150</v>
      </c>
      <c r="F1836" s="55">
        <f>D1836*E1836</f>
        <v>5007.5</v>
      </c>
      <c r="G1836" s="1116"/>
    </row>
    <row r="1837" spans="1:7" s="150" customFormat="1" ht="15.75" customHeight="1">
      <c r="A1837" s="943"/>
      <c r="B1837" s="1115"/>
      <c r="C1837" s="51"/>
      <c r="D1837" s="51"/>
      <c r="E1837" s="51"/>
      <c r="F1837" s="55"/>
      <c r="G1837" s="57">
        <f>SUM(F1835:F1837)</f>
        <v>5007.5</v>
      </c>
    </row>
    <row r="1838" spans="1:7" s="145" customFormat="1" ht="15.75" customHeight="1">
      <c r="A1838" s="1114" t="s">
        <v>10</v>
      </c>
      <c r="B1838" s="1115"/>
      <c r="C1838" s="1115"/>
      <c r="D1838" s="1115"/>
      <c r="E1838" s="1115"/>
      <c r="F1838" s="1115"/>
      <c r="G1838" s="1116"/>
    </row>
    <row r="1839" spans="1:7" s="150" customFormat="1" ht="15.75" customHeight="1">
      <c r="A1839" s="1074" t="s">
        <v>2</v>
      </c>
      <c r="B1839" s="1115"/>
      <c r="C1839" s="53" t="s">
        <v>3</v>
      </c>
      <c r="D1839" s="53" t="s">
        <v>4</v>
      </c>
      <c r="E1839" s="53" t="s">
        <v>6</v>
      </c>
      <c r="F1839" s="53" t="s">
        <v>11</v>
      </c>
      <c r="G1839" s="1075" t="s">
        <v>8</v>
      </c>
    </row>
    <row r="1840" spans="1:7" s="145" customFormat="1" ht="15.75" customHeight="1">
      <c r="A1840" s="1117" t="s">
        <v>715</v>
      </c>
      <c r="B1840" s="1118"/>
      <c r="C1840" s="148" t="s">
        <v>3</v>
      </c>
      <c r="D1840" s="148">
        <v>1</v>
      </c>
      <c r="E1840" s="17">
        <f>+'INSUMOS ELÉCTRICOS'!E18</f>
        <v>985000</v>
      </c>
      <c r="F1840" s="55">
        <f>D1840*E1840</f>
        <v>985000</v>
      </c>
      <c r="G1840" s="1075"/>
    </row>
    <row r="1841" spans="1:7" s="145" customFormat="1" ht="15.75" customHeight="1">
      <c r="A1841" s="1117" t="s">
        <v>716</v>
      </c>
      <c r="B1841" s="1118"/>
      <c r="C1841" s="148" t="s">
        <v>3</v>
      </c>
      <c r="D1841" s="148">
        <v>1</v>
      </c>
      <c r="E1841" s="17">
        <f>+'INSUMOS ELÉCTRICOS'!E19</f>
        <v>189900</v>
      </c>
      <c r="F1841" s="55">
        <f>D1841*E1841</f>
        <v>189900</v>
      </c>
      <c r="G1841" s="1075"/>
    </row>
    <row r="1842" spans="1:7" s="145" customFormat="1" ht="31.5" customHeight="1">
      <c r="A1842" s="1117" t="s">
        <v>717</v>
      </c>
      <c r="B1842" s="1118"/>
      <c r="C1842" s="148" t="s">
        <v>3</v>
      </c>
      <c r="D1842" s="148">
        <v>1</v>
      </c>
      <c r="E1842" s="17">
        <f>+'INSUMOS ELÉCTRICOS'!E20</f>
        <v>249900</v>
      </c>
      <c r="F1842" s="55">
        <f>D1842*E1842</f>
        <v>249900</v>
      </c>
      <c r="G1842" s="164"/>
    </row>
    <row r="1843" spans="1:7" s="145" customFormat="1" ht="15.75" customHeight="1">
      <c r="A1843" s="1117" t="s">
        <v>718</v>
      </c>
      <c r="B1843" s="1118"/>
      <c r="C1843" s="148" t="s">
        <v>3</v>
      </c>
      <c r="D1843" s="148">
        <v>4</v>
      </c>
      <c r="E1843" s="17">
        <f>+'INSUMOS ELÉCTRICOS'!E21</f>
        <v>5200</v>
      </c>
      <c r="F1843" s="55">
        <f>D1843*E1843</f>
        <v>20800</v>
      </c>
      <c r="G1843" s="164"/>
    </row>
    <row r="1844" spans="1:7" s="145" customFormat="1" ht="15.75" customHeight="1">
      <c r="A1844" s="1117" t="s">
        <v>719</v>
      </c>
      <c r="B1844" s="1118"/>
      <c r="C1844" s="148" t="s">
        <v>3</v>
      </c>
      <c r="D1844" s="148">
        <v>1</v>
      </c>
      <c r="E1844" s="17">
        <f>+'INSUMOS ELÉCTRICOS'!E22</f>
        <v>60900</v>
      </c>
      <c r="F1844" s="55">
        <f>D1844*E1844</f>
        <v>60900</v>
      </c>
      <c r="G1844" s="164"/>
    </row>
    <row r="1845" spans="1:7" s="145" customFormat="1" ht="15.75" customHeight="1">
      <c r="A1845" s="947"/>
      <c r="B1845" s="1115"/>
      <c r="C1845" s="16"/>
      <c r="D1845" s="58"/>
      <c r="E1845" s="17"/>
      <c r="F1845" s="55"/>
      <c r="G1845" s="57">
        <f>SUM(F1839:F1845)</f>
        <v>1506500</v>
      </c>
    </row>
    <row r="1846" spans="1:7" s="145" customFormat="1" ht="15.75" customHeight="1">
      <c r="A1846" s="1114" t="s">
        <v>15</v>
      </c>
      <c r="B1846" s="1115"/>
      <c r="C1846" s="1115"/>
      <c r="D1846" s="1115"/>
      <c r="E1846" s="1115"/>
      <c r="F1846" s="1115"/>
      <c r="G1846" s="1116"/>
    </row>
    <row r="1847" spans="1:7" s="145" customFormat="1" ht="15.75" customHeight="1">
      <c r="A1847" s="1074" t="s">
        <v>2</v>
      </c>
      <c r="B1847" s="1115"/>
      <c r="C1847" s="53" t="s">
        <v>3</v>
      </c>
      <c r="D1847" s="53" t="s">
        <v>4</v>
      </c>
      <c r="E1847" s="53" t="s">
        <v>6</v>
      </c>
      <c r="F1847" s="53" t="s">
        <v>11</v>
      </c>
      <c r="G1847" s="1075" t="s">
        <v>8</v>
      </c>
    </row>
    <row r="1848" spans="1:7" s="2" customFormat="1" ht="15.75" customHeight="1">
      <c r="A1848" s="943" t="s">
        <v>173</v>
      </c>
      <c r="B1848" s="1115"/>
      <c r="C1848" s="16" t="s">
        <v>3</v>
      </c>
      <c r="D1848" s="16">
        <v>5.0000000000000001E-3</v>
      </c>
      <c r="E1848" s="17">
        <f>G1845</f>
        <v>1506500</v>
      </c>
      <c r="F1848" s="55">
        <f>D1848*E1848</f>
        <v>7532.5</v>
      </c>
      <c r="G1848" s="1116"/>
    </row>
    <row r="1849" spans="1:7" s="145" customFormat="1" ht="15.75" customHeight="1">
      <c r="A1849" s="151"/>
      <c r="B1849" s="152"/>
      <c r="C1849" s="152"/>
      <c r="D1849" s="152"/>
      <c r="E1849" s="152"/>
      <c r="F1849" s="152"/>
      <c r="G1849" s="57">
        <f>SUM(F1848:F1849)</f>
        <v>7532.5</v>
      </c>
    </row>
    <row r="1850" spans="1:7" s="145" customFormat="1" ht="15.75" customHeight="1">
      <c r="A1850" s="1114" t="s">
        <v>19</v>
      </c>
      <c r="B1850" s="1115"/>
      <c r="C1850" s="1115"/>
      <c r="D1850" s="1115"/>
      <c r="E1850" s="1115"/>
      <c r="F1850" s="1115"/>
      <c r="G1850" s="1116"/>
    </row>
    <row r="1851" spans="1:7" s="145" customFormat="1" ht="15.75" customHeight="1">
      <c r="A1851" s="1074" t="s">
        <v>2</v>
      </c>
      <c r="B1851" s="1115"/>
      <c r="C1851" s="53" t="s">
        <v>3</v>
      </c>
      <c r="D1851" s="53" t="s">
        <v>4</v>
      </c>
      <c r="E1851" s="53" t="s">
        <v>6</v>
      </c>
      <c r="F1851" s="53" t="s">
        <v>11</v>
      </c>
      <c r="G1851" s="1075" t="s">
        <v>8</v>
      </c>
    </row>
    <row r="1852" spans="1:7" s="145" customFormat="1" ht="15" customHeight="1">
      <c r="A1852" s="978" t="s">
        <v>1256</v>
      </c>
      <c r="B1852" s="979"/>
      <c r="C1852" s="13" t="s">
        <v>1245</v>
      </c>
      <c r="D1852" s="32">
        <v>5</v>
      </c>
      <c r="E1852" s="13">
        <v>20030</v>
      </c>
      <c r="F1852" s="55">
        <f>+D1852*E1852</f>
        <v>100150</v>
      </c>
      <c r="G1852" s="1116"/>
    </row>
    <row r="1853" spans="1:7" s="145" customFormat="1" ht="15.75" customHeight="1">
      <c r="A1853" s="155"/>
      <c r="B1853" s="156"/>
      <c r="C1853" s="156"/>
      <c r="D1853" s="156"/>
      <c r="E1853" s="156"/>
      <c r="F1853" s="156"/>
      <c r="G1853" s="57">
        <f>SUM(F1851:F1853)</f>
        <v>100150</v>
      </c>
    </row>
    <row r="1854" spans="1:7" s="145" customFormat="1" ht="24" customHeight="1">
      <c r="A1854" s="1119" t="s">
        <v>25</v>
      </c>
      <c r="B1854" s="1120"/>
      <c r="C1854" s="1120"/>
      <c r="D1854" s="1120"/>
      <c r="E1854" s="1120"/>
      <c r="F1854" s="1120"/>
      <c r="G1854" s="1121"/>
    </row>
    <row r="1855" spans="1:7" s="145" customFormat="1" ht="15.6" customHeight="1">
      <c r="A1855" s="1122"/>
      <c r="B1855" s="1120"/>
      <c r="C1855" s="1120"/>
      <c r="D1855" s="1120"/>
      <c r="E1855" s="1120"/>
      <c r="F1855" s="1120"/>
      <c r="G1855" s="157">
        <f>G1853+G1849+G1845+G1837</f>
        <v>1619190</v>
      </c>
    </row>
    <row r="1856" spans="1:7" s="145" customFormat="1" ht="15.75" customHeight="1">
      <c r="A1856" s="158"/>
      <c r="B1856" s="159"/>
      <c r="C1856" s="159"/>
      <c r="D1856" s="159"/>
      <c r="E1856" s="159"/>
      <c r="F1856" s="159"/>
      <c r="G1856" s="160"/>
    </row>
    <row r="1857" spans="1:7" s="145" customFormat="1" ht="15.75" customHeight="1">
      <c r="A1857" s="1123" t="s">
        <v>1</v>
      </c>
      <c r="B1857" s="1120"/>
      <c r="C1857" s="953" t="s">
        <v>594</v>
      </c>
      <c r="D1857" s="1125"/>
      <c r="E1857" s="1125"/>
      <c r="F1857" s="1125"/>
      <c r="G1857" s="1126"/>
    </row>
    <row r="1858" spans="1:7" s="145" customFormat="1" ht="15.75" customHeight="1">
      <c r="A1858" s="1124"/>
      <c r="B1858" s="1120"/>
      <c r="C1858" s="1125"/>
      <c r="D1858" s="1125"/>
      <c r="E1858" s="1125"/>
      <c r="F1858" s="1125"/>
      <c r="G1858" s="1126"/>
    </row>
    <row r="1859" spans="1:7" s="145" customFormat="1" ht="15.75" customHeight="1">
      <c r="A1859" s="1124"/>
      <c r="B1859" s="1120"/>
      <c r="C1859" s="1127" t="s">
        <v>703</v>
      </c>
      <c r="D1859" s="1120"/>
      <c r="E1859" s="1120"/>
      <c r="F1859" s="1120"/>
      <c r="G1859" s="1121"/>
    </row>
    <row r="1860" spans="1:7" s="145" customFormat="1" ht="15.75" customHeight="1">
      <c r="A1860" s="1124"/>
      <c r="B1860" s="1120"/>
      <c r="C1860" s="1128" t="s">
        <v>2</v>
      </c>
      <c r="D1860" s="1120"/>
      <c r="E1860" s="1120"/>
      <c r="F1860" s="146" t="s">
        <v>3</v>
      </c>
      <c r="G1860" s="147" t="s">
        <v>4</v>
      </c>
    </row>
    <row r="1861" spans="1:7" s="145" customFormat="1" ht="30.75" customHeight="1">
      <c r="A1861" s="1073" t="s">
        <v>757</v>
      </c>
      <c r="B1861" s="1115"/>
      <c r="C1861" s="980" t="s">
        <v>721</v>
      </c>
      <c r="D1861" s="980"/>
      <c r="E1861" s="980"/>
      <c r="F1861" s="162" t="s">
        <v>28</v>
      </c>
      <c r="G1861" s="52">
        <v>1</v>
      </c>
    </row>
    <row r="1862" spans="1:7" s="145" customFormat="1" ht="15.75" customHeight="1">
      <c r="A1862" s="1114" t="s">
        <v>5</v>
      </c>
      <c r="B1862" s="1115"/>
      <c r="C1862" s="1115"/>
      <c r="D1862" s="1115"/>
      <c r="E1862" s="1115"/>
      <c r="F1862" s="1115"/>
      <c r="G1862" s="1116"/>
    </row>
    <row r="1863" spans="1:7" s="150" customFormat="1" ht="15.75" customHeight="1">
      <c r="A1863" s="1074" t="s">
        <v>2</v>
      </c>
      <c r="B1863" s="1115"/>
      <c r="C1863" s="53" t="s">
        <v>3</v>
      </c>
      <c r="D1863" s="53" t="s">
        <v>4</v>
      </c>
      <c r="E1863" s="53" t="s">
        <v>6</v>
      </c>
      <c r="F1863" s="53" t="s">
        <v>7</v>
      </c>
      <c r="G1863" s="1075" t="s">
        <v>8</v>
      </c>
    </row>
    <row r="1864" spans="1:7" s="150" customFormat="1" ht="15.75" customHeight="1">
      <c r="A1864" s="947" t="s">
        <v>167</v>
      </c>
      <c r="B1864" s="1115"/>
      <c r="C1864" s="51" t="s">
        <v>3</v>
      </c>
      <c r="D1864" s="51">
        <v>0.05</v>
      </c>
      <c r="E1864" s="17">
        <f>G1877</f>
        <v>100150</v>
      </c>
      <c r="F1864" s="55">
        <f>D1864*E1864</f>
        <v>5007.5</v>
      </c>
      <c r="G1864" s="1116"/>
    </row>
    <row r="1865" spans="1:7" s="150" customFormat="1" ht="15.75" customHeight="1">
      <c r="A1865" s="943"/>
      <c r="B1865" s="1115"/>
      <c r="C1865" s="51"/>
      <c r="D1865" s="51"/>
      <c r="E1865" s="51"/>
      <c r="F1865" s="55"/>
      <c r="G1865" s="57">
        <f>SUM(F1863:F1865)</f>
        <v>5007.5</v>
      </c>
    </row>
    <row r="1866" spans="1:7" s="150" customFormat="1" ht="15.75" customHeight="1">
      <c r="A1866" s="1114" t="s">
        <v>10</v>
      </c>
      <c r="B1866" s="1115"/>
      <c r="C1866" s="1115"/>
      <c r="D1866" s="1115"/>
      <c r="E1866" s="1115"/>
      <c r="F1866" s="1115"/>
      <c r="G1866" s="1116"/>
    </row>
    <row r="1867" spans="1:7" s="150" customFormat="1" ht="15.75" customHeight="1">
      <c r="A1867" s="1074" t="s">
        <v>2</v>
      </c>
      <c r="B1867" s="1115"/>
      <c r="C1867" s="53" t="s">
        <v>3</v>
      </c>
      <c r="D1867" s="53" t="s">
        <v>4</v>
      </c>
      <c r="E1867" s="53" t="s">
        <v>6</v>
      </c>
      <c r="F1867" s="53" t="s">
        <v>11</v>
      </c>
      <c r="G1867" s="1075" t="s">
        <v>8</v>
      </c>
    </row>
    <row r="1868" spans="1:7" s="145" customFormat="1" ht="30.75" customHeight="1">
      <c r="A1868" s="1117" t="s">
        <v>722</v>
      </c>
      <c r="B1868" s="1118"/>
      <c r="C1868" s="148" t="s">
        <v>3</v>
      </c>
      <c r="D1868" s="148">
        <v>1</v>
      </c>
      <c r="E1868" s="17">
        <f>+'INSUMOS ELÉCTRICOS'!E183</f>
        <v>449900</v>
      </c>
      <c r="F1868" s="55">
        <f>D1868*E1868</f>
        <v>449900</v>
      </c>
      <c r="G1868" s="1075"/>
    </row>
    <row r="1869" spans="1:7" s="145" customFormat="1" ht="15.75" customHeight="1">
      <c r="A1869" s="947"/>
      <c r="B1869" s="1115"/>
      <c r="C1869" s="16"/>
      <c r="D1869" s="58"/>
      <c r="E1869" s="17"/>
      <c r="F1869" s="55"/>
      <c r="G1869" s="57">
        <f>SUM(F1867:F1869)</f>
        <v>449900</v>
      </c>
    </row>
    <row r="1870" spans="1:7" s="145" customFormat="1" ht="15.75" customHeight="1">
      <c r="A1870" s="1114" t="s">
        <v>15</v>
      </c>
      <c r="B1870" s="1115"/>
      <c r="C1870" s="1115"/>
      <c r="D1870" s="1115"/>
      <c r="E1870" s="1115"/>
      <c r="F1870" s="1115"/>
      <c r="G1870" s="1116"/>
    </row>
    <row r="1871" spans="1:7" s="145" customFormat="1" ht="15.75" customHeight="1">
      <c r="A1871" s="1074" t="s">
        <v>2</v>
      </c>
      <c r="B1871" s="1115"/>
      <c r="C1871" s="53" t="s">
        <v>3</v>
      </c>
      <c r="D1871" s="53" t="s">
        <v>4</v>
      </c>
      <c r="E1871" s="53" t="s">
        <v>6</v>
      </c>
      <c r="F1871" s="53" t="s">
        <v>11</v>
      </c>
      <c r="G1871" s="1075" t="s">
        <v>8</v>
      </c>
    </row>
    <row r="1872" spans="1:7" s="145" customFormat="1" ht="15.75" customHeight="1">
      <c r="A1872" s="943" t="s">
        <v>173</v>
      </c>
      <c r="B1872" s="1115"/>
      <c r="C1872" s="16" t="s">
        <v>3</v>
      </c>
      <c r="D1872" s="54">
        <v>2E-3</v>
      </c>
      <c r="E1872" s="17">
        <f>G1869</f>
        <v>449900</v>
      </c>
      <c r="F1872" s="55">
        <f>D1872*E1872</f>
        <v>899.80000000000007</v>
      </c>
      <c r="G1872" s="1116"/>
    </row>
    <row r="1873" spans="1:7" s="145" customFormat="1" ht="15.75" customHeight="1">
      <c r="A1873" s="151"/>
      <c r="B1873" s="152"/>
      <c r="C1873" s="152"/>
      <c r="D1873" s="152"/>
      <c r="E1873" s="152"/>
      <c r="F1873" s="152"/>
      <c r="G1873" s="57">
        <f>SUM(F1872:F1873)</f>
        <v>899.80000000000007</v>
      </c>
    </row>
    <row r="1874" spans="1:7" s="145" customFormat="1" ht="15.75" customHeight="1">
      <c r="A1874" s="1114" t="s">
        <v>19</v>
      </c>
      <c r="B1874" s="1115"/>
      <c r="C1874" s="1115"/>
      <c r="D1874" s="1115"/>
      <c r="E1874" s="1115"/>
      <c r="F1874" s="1115"/>
      <c r="G1874" s="1116"/>
    </row>
    <row r="1875" spans="1:7" s="2" customFormat="1" ht="15.75" customHeight="1">
      <c r="A1875" s="1074" t="s">
        <v>2</v>
      </c>
      <c r="B1875" s="1115"/>
      <c r="C1875" s="53" t="s">
        <v>3</v>
      </c>
      <c r="D1875" s="53" t="s">
        <v>4</v>
      </c>
      <c r="E1875" s="53" t="s">
        <v>6</v>
      </c>
      <c r="F1875" s="53" t="s">
        <v>11</v>
      </c>
      <c r="G1875" s="1075" t="s">
        <v>8</v>
      </c>
    </row>
    <row r="1876" spans="1:7" s="145" customFormat="1" ht="15.75" customHeight="1">
      <c r="A1876" s="978" t="s">
        <v>1256</v>
      </c>
      <c r="B1876" s="979"/>
      <c r="C1876" s="13" t="s">
        <v>1245</v>
      </c>
      <c r="D1876" s="32">
        <v>5</v>
      </c>
      <c r="E1876" s="13">
        <v>20030</v>
      </c>
      <c r="F1876" s="55">
        <f>+D1876*E1876</f>
        <v>100150</v>
      </c>
      <c r="G1876" s="1116"/>
    </row>
    <row r="1877" spans="1:7" s="145" customFormat="1" ht="15.75" customHeight="1">
      <c r="A1877" s="155"/>
      <c r="B1877" s="156"/>
      <c r="C1877" s="156"/>
      <c r="D1877" s="156"/>
      <c r="E1877" s="156"/>
      <c r="F1877" s="156"/>
      <c r="G1877" s="57">
        <f>SUM(F1875:F1877)</f>
        <v>100150</v>
      </c>
    </row>
    <row r="1878" spans="1:7" s="145" customFormat="1" ht="15.75" customHeight="1">
      <c r="A1878" s="1119" t="s">
        <v>25</v>
      </c>
      <c r="B1878" s="1120"/>
      <c r="C1878" s="1120"/>
      <c r="D1878" s="1120"/>
      <c r="E1878" s="1120"/>
      <c r="F1878" s="1120"/>
      <c r="G1878" s="1121"/>
    </row>
    <row r="1879" spans="1:7" s="145" customFormat="1" ht="15" customHeight="1">
      <c r="A1879" s="1122"/>
      <c r="B1879" s="1120"/>
      <c r="C1879" s="1120"/>
      <c r="D1879" s="1120"/>
      <c r="E1879" s="1120"/>
      <c r="F1879" s="1120"/>
      <c r="G1879" s="157">
        <f>G1877+G1873+G1869+G1865</f>
        <v>555957.30000000005</v>
      </c>
    </row>
    <row r="1880" spans="1:7" s="145" customFormat="1" ht="15" customHeight="1">
      <c r="A1880" s="158"/>
      <c r="B1880" s="159"/>
      <c r="C1880" s="159"/>
      <c r="D1880" s="159"/>
      <c r="E1880" s="159"/>
      <c r="F1880" s="159"/>
      <c r="G1880" s="160"/>
    </row>
    <row r="1881" spans="1:7" s="145" customFormat="1" ht="15.75" customHeight="1">
      <c r="A1881" s="1123" t="s">
        <v>1</v>
      </c>
      <c r="B1881" s="1120"/>
      <c r="C1881" s="953" t="s">
        <v>594</v>
      </c>
      <c r="D1881" s="1125"/>
      <c r="E1881" s="1125"/>
      <c r="F1881" s="1125"/>
      <c r="G1881" s="1126"/>
    </row>
    <row r="1882" spans="1:7" s="145" customFormat="1" ht="24" customHeight="1">
      <c r="A1882" s="1124"/>
      <c r="B1882" s="1120"/>
      <c r="C1882" s="1125"/>
      <c r="D1882" s="1125"/>
      <c r="E1882" s="1125"/>
      <c r="F1882" s="1125"/>
      <c r="G1882" s="1126"/>
    </row>
    <row r="1883" spans="1:7" s="145" customFormat="1" ht="15.6" customHeight="1">
      <c r="A1883" s="1124"/>
      <c r="B1883" s="1120"/>
      <c r="C1883" s="1127" t="s">
        <v>703</v>
      </c>
      <c r="D1883" s="1120"/>
      <c r="E1883" s="1120"/>
      <c r="F1883" s="1120"/>
      <c r="G1883" s="1121"/>
    </row>
    <row r="1884" spans="1:7" s="145" customFormat="1" ht="15.75" customHeight="1">
      <c r="A1884" s="1124"/>
      <c r="B1884" s="1120"/>
      <c r="C1884" s="1128" t="s">
        <v>2</v>
      </c>
      <c r="D1884" s="1120"/>
      <c r="E1884" s="1120"/>
      <c r="F1884" s="146" t="s">
        <v>3</v>
      </c>
      <c r="G1884" s="147" t="s">
        <v>4</v>
      </c>
    </row>
    <row r="1885" spans="1:7" s="145" customFormat="1" ht="29.4" customHeight="1">
      <c r="A1885" s="1073" t="s">
        <v>758</v>
      </c>
      <c r="B1885" s="1115"/>
      <c r="C1885" s="980" t="s">
        <v>724</v>
      </c>
      <c r="D1885" s="980"/>
      <c r="E1885" s="980"/>
      <c r="F1885" s="162" t="s">
        <v>28</v>
      </c>
      <c r="G1885" s="52">
        <v>1</v>
      </c>
    </row>
    <row r="1886" spans="1:7" s="145" customFormat="1" ht="15.75" customHeight="1">
      <c r="A1886" s="1114" t="s">
        <v>5</v>
      </c>
      <c r="B1886" s="1115"/>
      <c r="C1886" s="1115"/>
      <c r="D1886" s="1115"/>
      <c r="E1886" s="1115"/>
      <c r="F1886" s="1115"/>
      <c r="G1886" s="1116"/>
    </row>
    <row r="1887" spans="1:7" s="145" customFormat="1" ht="15.75" customHeight="1">
      <c r="A1887" s="1074" t="s">
        <v>2</v>
      </c>
      <c r="B1887" s="1115"/>
      <c r="C1887" s="53" t="s">
        <v>3</v>
      </c>
      <c r="D1887" s="53" t="s">
        <v>4</v>
      </c>
      <c r="E1887" s="53" t="s">
        <v>6</v>
      </c>
      <c r="F1887" s="53" t="s">
        <v>7</v>
      </c>
      <c r="G1887" s="1075" t="s">
        <v>8</v>
      </c>
    </row>
    <row r="1888" spans="1:7" s="145" customFormat="1" ht="15.75" customHeight="1">
      <c r="A1888" s="947" t="s">
        <v>167</v>
      </c>
      <c r="B1888" s="1115"/>
      <c r="C1888" s="51" t="s">
        <v>3</v>
      </c>
      <c r="D1888" s="51">
        <v>0.05</v>
      </c>
      <c r="E1888" s="17">
        <f>G1901</f>
        <v>6009</v>
      </c>
      <c r="F1888" s="55">
        <f>D1888*E1888</f>
        <v>300.45</v>
      </c>
      <c r="G1888" s="1116"/>
    </row>
    <row r="1889" spans="1:7" s="145" customFormat="1" ht="15.75" customHeight="1">
      <c r="A1889" s="943"/>
      <c r="B1889" s="1115"/>
      <c r="C1889" s="51"/>
      <c r="D1889" s="51"/>
      <c r="E1889" s="51"/>
      <c r="F1889" s="55"/>
      <c r="G1889" s="57">
        <f>SUM(F1887:F1889)</f>
        <v>300.45</v>
      </c>
    </row>
    <row r="1890" spans="1:7" s="145" customFormat="1" ht="15.75" customHeight="1">
      <c r="A1890" s="1114" t="s">
        <v>10</v>
      </c>
      <c r="B1890" s="1115"/>
      <c r="C1890" s="1115"/>
      <c r="D1890" s="1115"/>
      <c r="E1890" s="1115"/>
      <c r="F1890" s="1115"/>
      <c r="G1890" s="1116"/>
    </row>
    <row r="1891" spans="1:7" s="145" customFormat="1" ht="15.75" customHeight="1">
      <c r="A1891" s="1074" t="s">
        <v>2</v>
      </c>
      <c r="B1891" s="1115"/>
      <c r="C1891" s="53" t="s">
        <v>3</v>
      </c>
      <c r="D1891" s="53" t="s">
        <v>4</v>
      </c>
      <c r="E1891" s="53" t="s">
        <v>6</v>
      </c>
      <c r="F1891" s="53" t="s">
        <v>11</v>
      </c>
      <c r="G1891" s="1075" t="s">
        <v>8</v>
      </c>
    </row>
    <row r="1892" spans="1:7" s="150" customFormat="1" ht="15.75" customHeight="1">
      <c r="A1892" s="1117" t="s">
        <v>725</v>
      </c>
      <c r="B1892" s="1118"/>
      <c r="C1892" s="148" t="s">
        <v>3</v>
      </c>
      <c r="D1892" s="148">
        <v>1</v>
      </c>
      <c r="E1892" s="17">
        <f>+'INSUMOS ELÉCTRICOS'!E132</f>
        <v>49499.24</v>
      </c>
      <c r="F1892" s="55">
        <f>D1892*E1892</f>
        <v>49499.24</v>
      </c>
      <c r="G1892" s="1075"/>
    </row>
    <row r="1893" spans="1:7" s="145" customFormat="1" ht="15.75" customHeight="1">
      <c r="A1893" s="947"/>
      <c r="B1893" s="1115"/>
      <c r="C1893" s="16"/>
      <c r="D1893" s="58"/>
      <c r="E1893" s="17"/>
      <c r="F1893" s="55"/>
      <c r="G1893" s="57">
        <f>SUM(F1891:F1893)</f>
        <v>49499.24</v>
      </c>
    </row>
    <row r="1894" spans="1:7" s="145" customFormat="1" ht="15.75" customHeight="1">
      <c r="A1894" s="1114" t="s">
        <v>15</v>
      </c>
      <c r="B1894" s="1115"/>
      <c r="C1894" s="1115"/>
      <c r="D1894" s="1115"/>
      <c r="E1894" s="1115"/>
      <c r="F1894" s="1115"/>
      <c r="G1894" s="1116"/>
    </row>
    <row r="1895" spans="1:7" s="145" customFormat="1" ht="15.75" customHeight="1">
      <c r="A1895" s="1074" t="s">
        <v>2</v>
      </c>
      <c r="B1895" s="1115"/>
      <c r="C1895" s="53" t="s">
        <v>3</v>
      </c>
      <c r="D1895" s="53" t="s">
        <v>4</v>
      </c>
      <c r="E1895" s="53" t="s">
        <v>6</v>
      </c>
      <c r="F1895" s="53" t="s">
        <v>11</v>
      </c>
      <c r="G1895" s="1075" t="s">
        <v>8</v>
      </c>
    </row>
    <row r="1896" spans="1:7" s="145" customFormat="1" ht="15.75" customHeight="1">
      <c r="A1896" s="943" t="s">
        <v>173</v>
      </c>
      <c r="B1896" s="1115"/>
      <c r="C1896" s="16" t="s">
        <v>3</v>
      </c>
      <c r="D1896" s="16">
        <v>0.01</v>
      </c>
      <c r="E1896" s="17">
        <f>G1893</f>
        <v>49499.24</v>
      </c>
      <c r="F1896" s="55">
        <f>D1896*E1896</f>
        <v>494.99239999999998</v>
      </c>
      <c r="G1896" s="1116"/>
    </row>
    <row r="1897" spans="1:7" s="145" customFormat="1" ht="15.75" customHeight="1">
      <c r="A1897" s="151"/>
      <c r="B1897" s="152"/>
      <c r="C1897" s="152"/>
      <c r="D1897" s="152"/>
      <c r="E1897" s="152"/>
      <c r="F1897" s="152"/>
      <c r="G1897" s="57">
        <f>SUM(F1896:F1897)</f>
        <v>494.99239999999998</v>
      </c>
    </row>
    <row r="1898" spans="1:7" s="145" customFormat="1" ht="15.75" customHeight="1">
      <c r="A1898" s="1114" t="s">
        <v>19</v>
      </c>
      <c r="B1898" s="1115"/>
      <c r="C1898" s="1115"/>
      <c r="D1898" s="1115"/>
      <c r="E1898" s="1115"/>
      <c r="F1898" s="1115"/>
      <c r="G1898" s="1116"/>
    </row>
    <row r="1899" spans="1:7" s="145" customFormat="1" ht="15.75" customHeight="1">
      <c r="A1899" s="1074" t="s">
        <v>2</v>
      </c>
      <c r="B1899" s="1115"/>
      <c r="C1899" s="53" t="s">
        <v>3</v>
      </c>
      <c r="D1899" s="53" t="s">
        <v>4</v>
      </c>
      <c r="E1899" s="53" t="s">
        <v>6</v>
      </c>
      <c r="F1899" s="53" t="s">
        <v>11</v>
      </c>
      <c r="G1899" s="1075" t="s">
        <v>8</v>
      </c>
    </row>
    <row r="1900" spans="1:7" s="2" customFormat="1" ht="15.75" customHeight="1">
      <c r="A1900" s="978" t="s">
        <v>1256</v>
      </c>
      <c r="B1900" s="979"/>
      <c r="C1900" s="13" t="s">
        <v>1245</v>
      </c>
      <c r="D1900" s="32">
        <v>0.3</v>
      </c>
      <c r="E1900" s="13">
        <v>20030</v>
      </c>
      <c r="F1900" s="55">
        <f>+D1900*E1900</f>
        <v>6009</v>
      </c>
      <c r="G1900" s="1116"/>
    </row>
    <row r="1901" spans="1:7" s="145" customFormat="1" ht="15.75" customHeight="1">
      <c r="A1901" s="155"/>
      <c r="B1901" s="156"/>
      <c r="C1901" s="156"/>
      <c r="D1901" s="156"/>
      <c r="E1901" s="156"/>
      <c r="F1901" s="156"/>
      <c r="G1901" s="57">
        <f>SUM(F1899:F1901)</f>
        <v>6009</v>
      </c>
    </row>
    <row r="1902" spans="1:7" s="145" customFormat="1" ht="15.75" customHeight="1">
      <c r="A1902" s="1119" t="s">
        <v>25</v>
      </c>
      <c r="B1902" s="1120"/>
      <c r="C1902" s="1120"/>
      <c r="D1902" s="1120"/>
      <c r="E1902" s="1120"/>
      <c r="F1902" s="1120"/>
      <c r="G1902" s="1121"/>
    </row>
    <row r="1903" spans="1:7" s="145" customFormat="1" ht="15.75" customHeight="1">
      <c r="A1903" s="1122"/>
      <c r="B1903" s="1120"/>
      <c r="C1903" s="1120"/>
      <c r="D1903" s="1120"/>
      <c r="E1903" s="1120"/>
      <c r="F1903" s="1120"/>
      <c r="G1903" s="157">
        <f>G1901+G1897+G1893+G1889</f>
        <v>56303.682399999998</v>
      </c>
    </row>
    <row r="1904" spans="1:7" s="145" customFormat="1" ht="15" customHeight="1">
      <c r="A1904" s="158"/>
      <c r="B1904" s="159"/>
      <c r="C1904" s="159"/>
      <c r="D1904" s="159"/>
      <c r="E1904" s="159"/>
      <c r="F1904" s="159"/>
      <c r="G1904" s="160"/>
    </row>
    <row r="1905" spans="1:7" s="145" customFormat="1" ht="15.75" customHeight="1">
      <c r="A1905" s="1123" t="s">
        <v>1</v>
      </c>
      <c r="B1905" s="1120"/>
      <c r="C1905" s="953" t="s">
        <v>594</v>
      </c>
      <c r="D1905" s="1125"/>
      <c r="E1905" s="1125"/>
      <c r="F1905" s="1125"/>
      <c r="G1905" s="1126"/>
    </row>
    <row r="1906" spans="1:7" s="145" customFormat="1" ht="24" customHeight="1">
      <c r="A1906" s="1124"/>
      <c r="B1906" s="1120"/>
      <c r="C1906" s="1125"/>
      <c r="D1906" s="1125"/>
      <c r="E1906" s="1125"/>
      <c r="F1906" s="1125"/>
      <c r="G1906" s="1126"/>
    </row>
    <row r="1907" spans="1:7" s="145" customFormat="1" ht="15.6" customHeight="1">
      <c r="A1907" s="1124"/>
      <c r="B1907" s="1120"/>
      <c r="C1907" s="1127" t="s">
        <v>595</v>
      </c>
      <c r="D1907" s="1120"/>
      <c r="E1907" s="1120"/>
      <c r="F1907" s="1120"/>
      <c r="G1907" s="1121"/>
    </row>
    <row r="1908" spans="1:7" s="145" customFormat="1" ht="15.75" customHeight="1">
      <c r="A1908" s="1124"/>
      <c r="B1908" s="1120"/>
      <c r="C1908" s="1128" t="s">
        <v>2</v>
      </c>
      <c r="D1908" s="1120"/>
      <c r="E1908" s="1120"/>
      <c r="F1908" s="146" t="s">
        <v>3</v>
      </c>
      <c r="G1908" s="147" t="s">
        <v>4</v>
      </c>
    </row>
    <row r="1909" spans="1:7" s="145" customFormat="1" ht="77.25" customHeight="1">
      <c r="A1909" s="1073" t="s">
        <v>759</v>
      </c>
      <c r="B1909" s="1115"/>
      <c r="C1909" s="980" t="s">
        <v>597</v>
      </c>
      <c r="D1909" s="1115"/>
      <c r="E1909" s="1115"/>
      <c r="F1909" s="162" t="s">
        <v>28</v>
      </c>
      <c r="G1909" s="52">
        <v>1</v>
      </c>
    </row>
    <row r="1910" spans="1:7" s="145" customFormat="1" ht="15.75" customHeight="1">
      <c r="A1910" s="1114" t="s">
        <v>5</v>
      </c>
      <c r="B1910" s="1115"/>
      <c r="C1910" s="1115"/>
      <c r="D1910" s="1115"/>
      <c r="E1910" s="1115"/>
      <c r="F1910" s="1115"/>
      <c r="G1910" s="1116"/>
    </row>
    <row r="1911" spans="1:7" s="145" customFormat="1" ht="15.75" customHeight="1">
      <c r="A1911" s="1074" t="s">
        <v>2</v>
      </c>
      <c r="B1911" s="1115"/>
      <c r="C1911" s="53" t="s">
        <v>3</v>
      </c>
      <c r="D1911" s="53" t="s">
        <v>4</v>
      </c>
      <c r="E1911" s="53" t="s">
        <v>6</v>
      </c>
      <c r="F1911" s="53" t="s">
        <v>7</v>
      </c>
      <c r="G1911" s="1075" t="s">
        <v>8</v>
      </c>
    </row>
    <row r="1912" spans="1:7" s="145" customFormat="1" ht="15.75" customHeight="1">
      <c r="A1912" s="947" t="s">
        <v>167</v>
      </c>
      <c r="B1912" s="1115"/>
      <c r="C1912" s="51" t="s">
        <v>3</v>
      </c>
      <c r="D1912" s="51">
        <v>0.05</v>
      </c>
      <c r="E1912" s="17">
        <f>G1926</f>
        <v>20030</v>
      </c>
      <c r="F1912" s="55">
        <f>D1912*E1912</f>
        <v>1001.5</v>
      </c>
      <c r="G1912" s="1116"/>
    </row>
    <row r="1913" spans="1:7" s="145" customFormat="1" ht="15.75" customHeight="1">
      <c r="A1913" s="943"/>
      <c r="B1913" s="1115"/>
      <c r="C1913" s="51"/>
      <c r="D1913" s="51"/>
      <c r="E1913" s="51"/>
      <c r="F1913" s="55"/>
      <c r="G1913" s="57">
        <f>SUM(F1911:F1913)</f>
        <v>1001.5</v>
      </c>
    </row>
    <row r="1914" spans="1:7" s="145" customFormat="1" ht="15.75" customHeight="1">
      <c r="A1914" s="1114" t="s">
        <v>10</v>
      </c>
      <c r="B1914" s="1115"/>
      <c r="C1914" s="1115"/>
      <c r="D1914" s="1115"/>
      <c r="E1914" s="1115"/>
      <c r="F1914" s="1115"/>
      <c r="G1914" s="1116"/>
    </row>
    <row r="1915" spans="1:7" s="145" customFormat="1" ht="15.75" customHeight="1">
      <c r="A1915" s="1074" t="s">
        <v>2</v>
      </c>
      <c r="B1915" s="1115"/>
      <c r="C1915" s="53" t="s">
        <v>3</v>
      </c>
      <c r="D1915" s="53" t="s">
        <v>4</v>
      </c>
      <c r="E1915" s="53" t="s">
        <v>6</v>
      </c>
      <c r="F1915" s="53" t="s">
        <v>11</v>
      </c>
      <c r="G1915" s="1029" t="s">
        <v>8</v>
      </c>
    </row>
    <row r="1916" spans="1:7" s="145" customFormat="1" ht="84" customHeight="1">
      <c r="A1916" s="947" t="s">
        <v>598</v>
      </c>
      <c r="B1916" s="980"/>
      <c r="C1916" s="16" t="s">
        <v>3</v>
      </c>
      <c r="D1916" s="16">
        <v>1</v>
      </c>
      <c r="E1916" s="17">
        <f>+'INSUMOS ELÉCTRICOS'!E16</f>
        <v>418285</v>
      </c>
      <c r="F1916" s="55">
        <f>D1916*E1916</f>
        <v>418285</v>
      </c>
      <c r="G1916" s="1030"/>
    </row>
    <row r="1917" spans="1:7" s="145" customFormat="1" ht="15.75" customHeight="1">
      <c r="A1917" s="1117" t="s">
        <v>599</v>
      </c>
      <c r="B1917" s="1118"/>
      <c r="C1917" s="148" t="s">
        <v>3</v>
      </c>
      <c r="D1917" s="148">
        <v>4</v>
      </c>
      <c r="E1917" s="17">
        <f>+'INSUMOS ELÉCTRICOS'!E21</f>
        <v>5200</v>
      </c>
      <c r="F1917" s="149">
        <f>E1917*D1917</f>
        <v>20800</v>
      </c>
      <c r="G1917" s="1031"/>
    </row>
    <row r="1918" spans="1:7" s="145" customFormat="1" ht="15.75" customHeight="1">
      <c r="A1918" s="947"/>
      <c r="B1918" s="1115"/>
      <c r="C1918" s="16"/>
      <c r="D1918" s="58"/>
      <c r="E1918" s="17"/>
      <c r="F1918" s="55"/>
      <c r="G1918" s="57">
        <f>SUM(F1915:F1918)</f>
        <v>439085</v>
      </c>
    </row>
    <row r="1919" spans="1:7" s="145" customFormat="1" ht="15.75" customHeight="1">
      <c r="A1919" s="1114" t="s">
        <v>15</v>
      </c>
      <c r="B1919" s="1115"/>
      <c r="C1919" s="1115"/>
      <c r="D1919" s="1115"/>
      <c r="E1919" s="1115"/>
      <c r="F1919" s="1115"/>
      <c r="G1919" s="1116"/>
    </row>
    <row r="1920" spans="1:7" s="145" customFormat="1" ht="15.75" customHeight="1">
      <c r="A1920" s="1074" t="s">
        <v>2</v>
      </c>
      <c r="B1920" s="1115"/>
      <c r="C1920" s="53" t="s">
        <v>3</v>
      </c>
      <c r="D1920" s="53" t="s">
        <v>4</v>
      </c>
      <c r="E1920" s="53" t="s">
        <v>6</v>
      </c>
      <c r="F1920" s="53" t="s">
        <v>11</v>
      </c>
      <c r="G1920" s="1075" t="s">
        <v>8</v>
      </c>
    </row>
    <row r="1921" spans="1:7" s="145" customFormat="1" ht="15.75" customHeight="1">
      <c r="A1921" s="943" t="s">
        <v>173</v>
      </c>
      <c r="B1921" s="1115"/>
      <c r="C1921" s="16" t="s">
        <v>3</v>
      </c>
      <c r="D1921" s="54">
        <v>6.0000000000000001E-3</v>
      </c>
      <c r="E1921" s="17">
        <f>G1918</f>
        <v>439085</v>
      </c>
      <c r="F1921" s="55">
        <f>E1921*D1921</f>
        <v>2634.51</v>
      </c>
      <c r="G1921" s="1116"/>
    </row>
    <row r="1922" spans="1:7" s="145" customFormat="1" ht="15.75" customHeight="1">
      <c r="A1922" s="151"/>
      <c r="B1922" s="152"/>
      <c r="C1922" s="152"/>
      <c r="D1922" s="152"/>
      <c r="E1922" s="152"/>
      <c r="F1922" s="152"/>
      <c r="G1922" s="57">
        <f>SUM(F1921:F1922)</f>
        <v>2634.51</v>
      </c>
    </row>
    <row r="1923" spans="1:7" s="145" customFormat="1" ht="15.75" customHeight="1">
      <c r="A1923" s="1114" t="s">
        <v>19</v>
      </c>
      <c r="B1923" s="1115"/>
      <c r="C1923" s="1115"/>
      <c r="D1923" s="1115"/>
      <c r="E1923" s="1115"/>
      <c r="F1923" s="1115"/>
      <c r="G1923" s="1116"/>
    </row>
    <row r="1924" spans="1:7" s="2" customFormat="1" ht="15.75" customHeight="1">
      <c r="A1924" s="1074" t="s">
        <v>2</v>
      </c>
      <c r="B1924" s="1115"/>
      <c r="C1924" s="53" t="s">
        <v>3</v>
      </c>
      <c r="D1924" s="53" t="s">
        <v>4</v>
      </c>
      <c r="E1924" s="53" t="s">
        <v>6</v>
      </c>
      <c r="F1924" s="53" t="s">
        <v>11</v>
      </c>
      <c r="G1924" s="1075" t="s">
        <v>8</v>
      </c>
    </row>
    <row r="1925" spans="1:7" s="145" customFormat="1" ht="15.75" customHeight="1">
      <c r="A1925" s="978" t="s">
        <v>1256</v>
      </c>
      <c r="B1925" s="979"/>
      <c r="C1925" s="13" t="s">
        <v>1245</v>
      </c>
      <c r="D1925" s="32">
        <v>1</v>
      </c>
      <c r="E1925" s="13">
        <v>20030</v>
      </c>
      <c r="F1925" s="55">
        <f>+D1925*E1925</f>
        <v>20030</v>
      </c>
      <c r="G1925" s="1116"/>
    </row>
    <row r="1926" spans="1:7" s="145" customFormat="1" ht="15.75" customHeight="1">
      <c r="A1926" s="155"/>
      <c r="B1926" s="156"/>
      <c r="C1926" s="156"/>
      <c r="D1926" s="156"/>
      <c r="E1926" s="156"/>
      <c r="F1926" s="156"/>
      <c r="G1926" s="57">
        <f>SUM(F1924:F1926)</f>
        <v>20030</v>
      </c>
    </row>
    <row r="1927" spans="1:7" s="145" customFormat="1" ht="15.75" customHeight="1">
      <c r="A1927" s="1119" t="s">
        <v>25</v>
      </c>
      <c r="B1927" s="1120"/>
      <c r="C1927" s="1120"/>
      <c r="D1927" s="1120"/>
      <c r="E1927" s="1120"/>
      <c r="F1927" s="1120"/>
      <c r="G1927" s="1121"/>
    </row>
    <row r="1928" spans="1:7" s="145" customFormat="1" ht="15" customHeight="1">
      <c r="A1928" s="1122"/>
      <c r="B1928" s="1120"/>
      <c r="C1928" s="1120"/>
      <c r="D1928" s="1120"/>
      <c r="E1928" s="1120"/>
      <c r="F1928" s="1120"/>
      <c r="G1928" s="157">
        <f>G1926+G1922+G1918+G1913</f>
        <v>462751.01</v>
      </c>
    </row>
    <row r="1929" spans="1:7" s="145" customFormat="1" ht="15.75" customHeight="1">
      <c r="A1929" s="158"/>
      <c r="B1929" s="159"/>
      <c r="C1929" s="159"/>
      <c r="D1929" s="159"/>
      <c r="E1929" s="159"/>
      <c r="F1929" s="159"/>
      <c r="G1929" s="160"/>
    </row>
    <row r="1930" spans="1:7" s="145" customFormat="1" ht="24" customHeight="1">
      <c r="A1930" s="1123" t="s">
        <v>1</v>
      </c>
      <c r="B1930" s="1120"/>
      <c r="C1930" s="953" t="s">
        <v>594</v>
      </c>
      <c r="D1930" s="1125"/>
      <c r="E1930" s="1125"/>
      <c r="F1930" s="1125"/>
      <c r="G1930" s="1126"/>
    </row>
    <row r="1931" spans="1:7" s="145" customFormat="1" ht="15.6" customHeight="1">
      <c r="A1931" s="1124"/>
      <c r="B1931" s="1120"/>
      <c r="C1931" s="1125"/>
      <c r="D1931" s="1125"/>
      <c r="E1931" s="1125"/>
      <c r="F1931" s="1125"/>
      <c r="G1931" s="1126"/>
    </row>
    <row r="1932" spans="1:7" s="145" customFormat="1" ht="15.75" customHeight="1">
      <c r="A1932" s="1124"/>
      <c r="B1932" s="1120"/>
      <c r="C1932" s="1127" t="s">
        <v>595</v>
      </c>
      <c r="D1932" s="1120"/>
      <c r="E1932" s="1120"/>
      <c r="F1932" s="1120"/>
      <c r="G1932" s="1121"/>
    </row>
    <row r="1933" spans="1:7" s="145" customFormat="1" ht="57.75" customHeight="1">
      <c r="A1933" s="1124"/>
      <c r="B1933" s="1120"/>
      <c r="C1933" s="1128" t="s">
        <v>2</v>
      </c>
      <c r="D1933" s="1120"/>
      <c r="E1933" s="1120"/>
      <c r="F1933" s="146" t="s">
        <v>3</v>
      </c>
      <c r="G1933" s="147" t="s">
        <v>4</v>
      </c>
    </row>
    <row r="1934" spans="1:7" s="145" customFormat="1" ht="94.5" customHeight="1">
      <c r="A1934" s="1073" t="s">
        <v>760</v>
      </c>
      <c r="B1934" s="1115"/>
      <c r="C1934" s="980" t="s">
        <v>597</v>
      </c>
      <c r="D1934" s="1115"/>
      <c r="E1934" s="1115"/>
      <c r="F1934" s="162" t="s">
        <v>28</v>
      </c>
      <c r="G1934" s="52">
        <v>1</v>
      </c>
    </row>
    <row r="1935" spans="1:7" s="145" customFormat="1" ht="15.75" customHeight="1">
      <c r="A1935" s="1114" t="s">
        <v>5</v>
      </c>
      <c r="B1935" s="1115"/>
      <c r="C1935" s="1115"/>
      <c r="D1935" s="1115"/>
      <c r="E1935" s="1115"/>
      <c r="F1935" s="1115"/>
      <c r="G1935" s="1116"/>
    </row>
    <row r="1936" spans="1:7" s="145" customFormat="1" ht="15.75" customHeight="1">
      <c r="A1936" s="1074" t="s">
        <v>2</v>
      </c>
      <c r="B1936" s="1115"/>
      <c r="C1936" s="53" t="s">
        <v>3</v>
      </c>
      <c r="D1936" s="53" t="s">
        <v>4</v>
      </c>
      <c r="E1936" s="53" t="s">
        <v>6</v>
      </c>
      <c r="F1936" s="53" t="s">
        <v>7</v>
      </c>
      <c r="G1936" s="1075" t="s">
        <v>8</v>
      </c>
    </row>
    <row r="1937" spans="1:7" s="145" customFormat="1" ht="15.75" customHeight="1">
      <c r="A1937" s="947" t="s">
        <v>167</v>
      </c>
      <c r="B1937" s="1115"/>
      <c r="C1937" s="51" t="s">
        <v>3</v>
      </c>
      <c r="D1937" s="51">
        <v>0.05</v>
      </c>
      <c r="E1937" s="17">
        <f>G1951</f>
        <v>20030</v>
      </c>
      <c r="F1937" s="55">
        <f>D1937*E1937</f>
        <v>1001.5</v>
      </c>
      <c r="G1937" s="1116"/>
    </row>
    <row r="1938" spans="1:7" s="145" customFormat="1" ht="15.75" customHeight="1">
      <c r="A1938" s="943"/>
      <c r="B1938" s="1115"/>
      <c r="C1938" s="51"/>
      <c r="D1938" s="51"/>
      <c r="E1938" s="51"/>
      <c r="F1938" s="55"/>
      <c r="G1938" s="57">
        <f>SUM(F1936:F1938)</f>
        <v>1001.5</v>
      </c>
    </row>
    <row r="1939" spans="1:7" s="145" customFormat="1" ht="15.75" customHeight="1">
      <c r="A1939" s="1114" t="s">
        <v>10</v>
      </c>
      <c r="B1939" s="1115"/>
      <c r="C1939" s="1115"/>
      <c r="D1939" s="1115"/>
      <c r="E1939" s="1115"/>
      <c r="F1939" s="1115"/>
      <c r="G1939" s="1116"/>
    </row>
    <row r="1940" spans="1:7" s="145" customFormat="1" ht="65.25" customHeight="1">
      <c r="A1940" s="1074" t="s">
        <v>2</v>
      </c>
      <c r="B1940" s="1115"/>
      <c r="C1940" s="53" t="s">
        <v>3</v>
      </c>
      <c r="D1940" s="53" t="s">
        <v>4</v>
      </c>
      <c r="E1940" s="53" t="s">
        <v>6</v>
      </c>
      <c r="F1940" s="53" t="s">
        <v>11</v>
      </c>
      <c r="G1940" s="1029" t="s">
        <v>8</v>
      </c>
    </row>
    <row r="1941" spans="1:7" s="150" customFormat="1" ht="60.75" customHeight="1">
      <c r="A1941" s="947" t="s">
        <v>598</v>
      </c>
      <c r="B1941" s="980"/>
      <c r="C1941" s="16" t="s">
        <v>3</v>
      </c>
      <c r="D1941" s="16">
        <v>1</v>
      </c>
      <c r="E1941" s="17">
        <f>+'INSUMOS ELÉCTRICOS'!E16</f>
        <v>418285</v>
      </c>
      <c r="F1941" s="55">
        <f>D1941*E1941</f>
        <v>418285</v>
      </c>
      <c r="G1941" s="1030"/>
    </row>
    <row r="1942" spans="1:7" s="145" customFormat="1" ht="15.75" customHeight="1">
      <c r="A1942" s="1117" t="s">
        <v>599</v>
      </c>
      <c r="B1942" s="1118"/>
      <c r="C1942" s="148" t="s">
        <v>3</v>
      </c>
      <c r="D1942" s="148">
        <v>4</v>
      </c>
      <c r="E1942" s="17">
        <f>+'INSUMOS ELÉCTRICOS'!E21</f>
        <v>5200</v>
      </c>
      <c r="F1942" s="149">
        <f>E1942*D1942</f>
        <v>20800</v>
      </c>
      <c r="G1942" s="1031"/>
    </row>
    <row r="1943" spans="1:7" s="145" customFormat="1" ht="15.75" customHeight="1">
      <c r="A1943" s="947"/>
      <c r="B1943" s="1115"/>
      <c r="C1943" s="16"/>
      <c r="D1943" s="58"/>
      <c r="E1943" s="17"/>
      <c r="F1943" s="55"/>
      <c r="G1943" s="57">
        <f>SUM(F1940:F1943)</f>
        <v>439085</v>
      </c>
    </row>
    <row r="1944" spans="1:7" s="145" customFormat="1" ht="15.75" customHeight="1">
      <c r="A1944" s="1114" t="s">
        <v>15</v>
      </c>
      <c r="B1944" s="1115"/>
      <c r="C1944" s="1115"/>
      <c r="D1944" s="1115"/>
      <c r="E1944" s="1115"/>
      <c r="F1944" s="1115"/>
      <c r="G1944" s="1116"/>
    </row>
    <row r="1945" spans="1:7" s="145" customFormat="1" ht="15.75" customHeight="1">
      <c r="A1945" s="1074" t="s">
        <v>2</v>
      </c>
      <c r="B1945" s="1115"/>
      <c r="C1945" s="53" t="s">
        <v>3</v>
      </c>
      <c r="D1945" s="53" t="s">
        <v>4</v>
      </c>
      <c r="E1945" s="53" t="s">
        <v>6</v>
      </c>
      <c r="F1945" s="53" t="s">
        <v>11</v>
      </c>
      <c r="G1945" s="1075" t="s">
        <v>8</v>
      </c>
    </row>
    <row r="1946" spans="1:7" s="145" customFormat="1" ht="15.75" customHeight="1">
      <c r="A1946" s="943" t="s">
        <v>173</v>
      </c>
      <c r="B1946" s="1115"/>
      <c r="C1946" s="16" t="s">
        <v>3</v>
      </c>
      <c r="D1946" s="54">
        <v>6.0000000000000001E-3</v>
      </c>
      <c r="E1946" s="17">
        <f>G1943</f>
        <v>439085</v>
      </c>
      <c r="F1946" s="55">
        <f>E1946*D1946</f>
        <v>2634.51</v>
      </c>
      <c r="G1946" s="1116"/>
    </row>
    <row r="1947" spans="1:7" s="145" customFormat="1" ht="15.75" customHeight="1">
      <c r="A1947" s="151"/>
      <c r="B1947" s="152"/>
      <c r="C1947" s="152"/>
      <c r="D1947" s="152"/>
      <c r="E1947" s="152"/>
      <c r="F1947" s="152"/>
      <c r="G1947" s="57">
        <f>SUM(F1946:F1947)</f>
        <v>2634.51</v>
      </c>
    </row>
    <row r="1948" spans="1:7" s="145" customFormat="1" ht="15.75" customHeight="1">
      <c r="A1948" s="1114" t="s">
        <v>19</v>
      </c>
      <c r="B1948" s="1115"/>
      <c r="C1948" s="1115"/>
      <c r="D1948" s="1115"/>
      <c r="E1948" s="1115"/>
      <c r="F1948" s="1115"/>
      <c r="G1948" s="1116"/>
    </row>
    <row r="1949" spans="1:7" s="2" customFormat="1" ht="15.75" customHeight="1">
      <c r="A1949" s="1074" t="s">
        <v>2</v>
      </c>
      <c r="B1949" s="1115"/>
      <c r="C1949" s="53" t="s">
        <v>3</v>
      </c>
      <c r="D1949" s="53" t="s">
        <v>4</v>
      </c>
      <c r="E1949" s="53" t="s">
        <v>6</v>
      </c>
      <c r="F1949" s="53" t="s">
        <v>11</v>
      </c>
      <c r="G1949" s="1075" t="s">
        <v>8</v>
      </c>
    </row>
    <row r="1950" spans="1:7" s="145" customFormat="1" ht="15.75" customHeight="1">
      <c r="A1950" s="978" t="s">
        <v>1256</v>
      </c>
      <c r="B1950" s="979"/>
      <c r="C1950" s="13" t="s">
        <v>1245</v>
      </c>
      <c r="D1950" s="32">
        <v>1</v>
      </c>
      <c r="E1950" s="13">
        <v>20030</v>
      </c>
      <c r="F1950" s="55">
        <f>+D1950*E1950</f>
        <v>20030</v>
      </c>
      <c r="G1950" s="1116"/>
    </row>
    <row r="1951" spans="1:7" s="145" customFormat="1" ht="15.75" customHeight="1">
      <c r="A1951" s="155"/>
      <c r="B1951" s="156"/>
      <c r="C1951" s="156"/>
      <c r="D1951" s="156"/>
      <c r="E1951" s="156"/>
      <c r="F1951" s="156"/>
      <c r="G1951" s="57">
        <f>SUM(F1949:F1951)</f>
        <v>20030</v>
      </c>
    </row>
    <row r="1952" spans="1:7" s="145" customFormat="1" ht="15.75" customHeight="1">
      <c r="A1952" s="1119" t="s">
        <v>25</v>
      </c>
      <c r="B1952" s="1120"/>
      <c r="C1952" s="1120"/>
      <c r="D1952" s="1120"/>
      <c r="E1952" s="1120"/>
      <c r="F1952" s="1120"/>
      <c r="G1952" s="1121"/>
    </row>
    <row r="1953" spans="1:7" s="145" customFormat="1" ht="15" customHeight="1">
      <c r="A1953" s="1122"/>
      <c r="B1953" s="1120"/>
      <c r="C1953" s="1120"/>
      <c r="D1953" s="1120"/>
      <c r="E1953" s="1120"/>
      <c r="F1953" s="1120"/>
      <c r="G1953" s="157">
        <f>G1951+G1947+G1943+G1938</f>
        <v>462751.01</v>
      </c>
    </row>
    <row r="1954" spans="1:7" s="145" customFormat="1" ht="15.75" customHeight="1">
      <c r="A1954" s="158"/>
      <c r="B1954" s="159"/>
      <c r="C1954" s="159"/>
      <c r="D1954" s="159"/>
      <c r="E1954" s="159"/>
      <c r="F1954" s="159"/>
      <c r="G1954" s="160"/>
    </row>
    <row r="1955" spans="1:7" s="145" customFormat="1" ht="24" customHeight="1">
      <c r="A1955" s="1123" t="s">
        <v>1</v>
      </c>
      <c r="B1955" s="1120"/>
      <c r="C1955" s="953" t="s">
        <v>594</v>
      </c>
      <c r="D1955" s="1125"/>
      <c r="E1955" s="1125"/>
      <c r="F1955" s="1125"/>
      <c r="G1955" s="1126"/>
    </row>
    <row r="1956" spans="1:7" s="145" customFormat="1" ht="15.6" customHeight="1">
      <c r="A1956" s="1124"/>
      <c r="B1956" s="1120"/>
      <c r="C1956" s="1125"/>
      <c r="D1956" s="1125"/>
      <c r="E1956" s="1125"/>
      <c r="F1956" s="1125"/>
      <c r="G1956" s="1126"/>
    </row>
    <row r="1957" spans="1:7" s="145" customFormat="1" ht="15.75" customHeight="1">
      <c r="A1957" s="1124"/>
      <c r="B1957" s="1120"/>
      <c r="C1957" s="1127" t="s">
        <v>595</v>
      </c>
      <c r="D1957" s="1120"/>
      <c r="E1957" s="1120"/>
      <c r="F1957" s="1120"/>
      <c r="G1957" s="1121"/>
    </row>
    <row r="1958" spans="1:7" s="145" customFormat="1" ht="57.75" customHeight="1">
      <c r="A1958" s="1124"/>
      <c r="B1958" s="1120"/>
      <c r="C1958" s="1128" t="s">
        <v>2</v>
      </c>
      <c r="D1958" s="1120"/>
      <c r="E1958" s="1120"/>
      <c r="F1958" s="146" t="s">
        <v>3</v>
      </c>
      <c r="G1958" s="147" t="s">
        <v>4</v>
      </c>
    </row>
    <row r="1959" spans="1:7" s="145" customFormat="1" ht="38.25" customHeight="1">
      <c r="A1959" s="1073" t="s">
        <v>761</v>
      </c>
      <c r="B1959" s="1115"/>
      <c r="C1959" s="980" t="s">
        <v>602</v>
      </c>
      <c r="D1959" s="1115"/>
      <c r="E1959" s="1115"/>
      <c r="F1959" s="162" t="s">
        <v>28</v>
      </c>
      <c r="G1959" s="52">
        <v>1</v>
      </c>
    </row>
    <row r="1960" spans="1:7" s="145" customFormat="1" ht="15.75" customHeight="1">
      <c r="A1960" s="1114" t="s">
        <v>5</v>
      </c>
      <c r="B1960" s="1115"/>
      <c r="C1960" s="1115"/>
      <c r="D1960" s="1115"/>
      <c r="E1960" s="1115"/>
      <c r="F1960" s="1115"/>
      <c r="G1960" s="1116"/>
    </row>
    <row r="1961" spans="1:7" s="145" customFormat="1" ht="15.75" customHeight="1">
      <c r="A1961" s="1074" t="s">
        <v>2</v>
      </c>
      <c r="B1961" s="1115"/>
      <c r="C1961" s="53" t="s">
        <v>3</v>
      </c>
      <c r="D1961" s="53" t="s">
        <v>4</v>
      </c>
      <c r="E1961" s="53" t="s">
        <v>6</v>
      </c>
      <c r="F1961" s="53" t="s">
        <v>7</v>
      </c>
      <c r="G1961" s="1075" t="s">
        <v>8</v>
      </c>
    </row>
    <row r="1962" spans="1:7" s="145" customFormat="1" ht="15.75" customHeight="1">
      <c r="A1962" s="947" t="s">
        <v>167</v>
      </c>
      <c r="B1962" s="1115"/>
      <c r="C1962" s="51" t="s">
        <v>3</v>
      </c>
      <c r="D1962" s="51">
        <v>0.05</v>
      </c>
      <c r="E1962" s="17">
        <f>G1975</f>
        <v>20030</v>
      </c>
      <c r="F1962" s="55">
        <f>D1962*E1962</f>
        <v>1001.5</v>
      </c>
      <c r="G1962" s="1116"/>
    </row>
    <row r="1963" spans="1:7" s="145" customFormat="1" ht="15.75" customHeight="1">
      <c r="A1963" s="943"/>
      <c r="B1963" s="1115"/>
      <c r="C1963" s="51"/>
      <c r="D1963" s="51"/>
      <c r="E1963" s="51"/>
      <c r="F1963" s="55"/>
      <c r="G1963" s="57">
        <f>SUM(F1961:F1963)</f>
        <v>1001.5</v>
      </c>
    </row>
    <row r="1964" spans="1:7" s="145" customFormat="1" ht="15.75" customHeight="1">
      <c r="A1964" s="1114" t="s">
        <v>10</v>
      </c>
      <c r="B1964" s="1115"/>
      <c r="C1964" s="1115"/>
      <c r="D1964" s="1115"/>
      <c r="E1964" s="1115"/>
      <c r="F1964" s="1115"/>
      <c r="G1964" s="1116"/>
    </row>
    <row r="1965" spans="1:7" s="145" customFormat="1" ht="13.8">
      <c r="A1965" s="1074" t="s">
        <v>2</v>
      </c>
      <c r="B1965" s="1115"/>
      <c r="C1965" s="53" t="s">
        <v>3</v>
      </c>
      <c r="D1965" s="53" t="s">
        <v>4</v>
      </c>
      <c r="E1965" s="53" t="s">
        <v>6</v>
      </c>
      <c r="F1965" s="53" t="s">
        <v>11</v>
      </c>
      <c r="G1965" s="1075" t="s">
        <v>8</v>
      </c>
    </row>
    <row r="1966" spans="1:7" s="150" customFormat="1" ht="15.75" customHeight="1">
      <c r="A1966" s="947" t="s">
        <v>602</v>
      </c>
      <c r="B1966" s="980"/>
      <c r="C1966" s="16" t="s">
        <v>3</v>
      </c>
      <c r="D1966" s="16">
        <v>1</v>
      </c>
      <c r="E1966" s="17">
        <f>+'INSUMOS ELÉCTRICOS'!E13</f>
        <v>279293</v>
      </c>
      <c r="F1966" s="55">
        <f>D1966*E1966</f>
        <v>279293</v>
      </c>
      <c r="G1966" s="1075"/>
    </row>
    <row r="1967" spans="1:7" s="145" customFormat="1" ht="15.75" customHeight="1">
      <c r="A1967" s="947"/>
      <c r="B1967" s="1115"/>
      <c r="C1967" s="16"/>
      <c r="D1967" s="58"/>
      <c r="E1967" s="17"/>
      <c r="F1967" s="55"/>
      <c r="G1967" s="57">
        <f>SUM(F1965:F1967)</f>
        <v>279293</v>
      </c>
    </row>
    <row r="1968" spans="1:7" s="145" customFormat="1" ht="15.75" customHeight="1">
      <c r="A1968" s="1114" t="s">
        <v>15</v>
      </c>
      <c r="B1968" s="1115"/>
      <c r="C1968" s="1115"/>
      <c r="D1968" s="1115"/>
      <c r="E1968" s="1115"/>
      <c r="F1968" s="1115"/>
      <c r="G1968" s="1116"/>
    </row>
    <row r="1969" spans="1:7" s="145" customFormat="1" ht="15.75" customHeight="1">
      <c r="A1969" s="1074" t="s">
        <v>2</v>
      </c>
      <c r="B1969" s="1115"/>
      <c r="C1969" s="53" t="s">
        <v>3</v>
      </c>
      <c r="D1969" s="53" t="s">
        <v>4</v>
      </c>
      <c r="E1969" s="53" t="s">
        <v>6</v>
      </c>
      <c r="F1969" s="53" t="s">
        <v>11</v>
      </c>
      <c r="G1969" s="1075" t="s">
        <v>8</v>
      </c>
    </row>
    <row r="1970" spans="1:7" s="145" customFormat="1" ht="15.75" customHeight="1">
      <c r="A1970" s="943" t="s">
        <v>173</v>
      </c>
      <c r="B1970" s="1115"/>
      <c r="C1970" s="16" t="s">
        <v>3</v>
      </c>
      <c r="D1970" s="54">
        <v>6.0000000000000001E-3</v>
      </c>
      <c r="E1970" s="17">
        <f>G1967</f>
        <v>279293</v>
      </c>
      <c r="F1970" s="55">
        <f>D1970*E1970</f>
        <v>1675.758</v>
      </c>
      <c r="G1970" s="1116"/>
    </row>
    <row r="1971" spans="1:7" s="145" customFormat="1" ht="15.75" customHeight="1">
      <c r="A1971" s="151"/>
      <c r="B1971" s="152"/>
      <c r="C1971" s="152"/>
      <c r="D1971" s="152"/>
      <c r="E1971" s="152"/>
      <c r="F1971" s="152"/>
      <c r="G1971" s="57">
        <f>SUM(F1970:F1971)</f>
        <v>1675.758</v>
      </c>
    </row>
    <row r="1972" spans="1:7" s="145" customFormat="1" ht="15.75" customHeight="1">
      <c r="A1972" s="1114" t="s">
        <v>19</v>
      </c>
      <c r="B1972" s="1115"/>
      <c r="C1972" s="1115"/>
      <c r="D1972" s="1115"/>
      <c r="E1972" s="1115"/>
      <c r="F1972" s="1115"/>
      <c r="G1972" s="1116"/>
    </row>
    <row r="1973" spans="1:7" s="145" customFormat="1" ht="15.75" customHeight="1">
      <c r="A1973" s="1074" t="s">
        <v>2</v>
      </c>
      <c r="B1973" s="1115"/>
      <c r="C1973" s="53" t="s">
        <v>3</v>
      </c>
      <c r="D1973" s="53" t="s">
        <v>4</v>
      </c>
      <c r="E1973" s="53" t="s">
        <v>6</v>
      </c>
      <c r="F1973" s="53" t="s">
        <v>11</v>
      </c>
      <c r="G1973" s="1075" t="s">
        <v>8</v>
      </c>
    </row>
    <row r="1974" spans="1:7" s="2" customFormat="1" ht="15.75" customHeight="1">
      <c r="A1974" s="978" t="s">
        <v>1256</v>
      </c>
      <c r="B1974" s="979"/>
      <c r="C1974" s="13" t="s">
        <v>1245</v>
      </c>
      <c r="D1974" s="32">
        <v>1</v>
      </c>
      <c r="E1974" s="13">
        <v>20030</v>
      </c>
      <c r="F1974" s="55">
        <f>+D1974*E1974</f>
        <v>20030</v>
      </c>
      <c r="G1974" s="1116"/>
    </row>
    <row r="1975" spans="1:7" s="145" customFormat="1" ht="15.75" customHeight="1">
      <c r="A1975" s="155"/>
      <c r="B1975" s="156"/>
      <c r="C1975" s="156"/>
      <c r="D1975" s="156"/>
      <c r="E1975" s="156"/>
      <c r="F1975" s="156"/>
      <c r="G1975" s="57">
        <f>SUM(F1973:F1975)</f>
        <v>20030</v>
      </c>
    </row>
    <row r="1976" spans="1:7" s="145" customFormat="1" ht="15.75" customHeight="1">
      <c r="A1976" s="1119" t="s">
        <v>25</v>
      </c>
      <c r="B1976" s="1120"/>
      <c r="C1976" s="1120"/>
      <c r="D1976" s="1120"/>
      <c r="E1976" s="1120"/>
      <c r="F1976" s="1120"/>
      <c r="G1976" s="1121"/>
    </row>
    <row r="1977" spans="1:7" s="145" customFormat="1" ht="15.75" customHeight="1">
      <c r="A1977" s="1122"/>
      <c r="B1977" s="1120"/>
      <c r="C1977" s="1120"/>
      <c r="D1977" s="1120"/>
      <c r="E1977" s="1120"/>
      <c r="F1977" s="1120"/>
      <c r="G1977" s="157">
        <f>G1975+G1971+G1967+G1963</f>
        <v>302000.25800000003</v>
      </c>
    </row>
    <row r="1978" spans="1:7" s="145" customFormat="1" ht="15" customHeight="1">
      <c r="A1978" s="158"/>
      <c r="B1978" s="159"/>
      <c r="C1978" s="159"/>
      <c r="D1978" s="159"/>
      <c r="E1978" s="159"/>
      <c r="F1978" s="159"/>
      <c r="G1978" s="160"/>
    </row>
    <row r="1979" spans="1:7" s="145" customFormat="1" ht="15.75" customHeight="1">
      <c r="A1979" s="1123" t="s">
        <v>1</v>
      </c>
      <c r="B1979" s="1120"/>
      <c r="C1979" s="953" t="s">
        <v>594</v>
      </c>
      <c r="D1979" s="1125"/>
      <c r="E1979" s="1125"/>
      <c r="F1979" s="1125"/>
      <c r="G1979" s="1126"/>
    </row>
    <row r="1980" spans="1:7" s="145" customFormat="1" ht="24" customHeight="1">
      <c r="A1980" s="1124"/>
      <c r="B1980" s="1120"/>
      <c r="C1980" s="1125"/>
      <c r="D1980" s="1125"/>
      <c r="E1980" s="1125"/>
      <c r="F1980" s="1125"/>
      <c r="G1980" s="1126"/>
    </row>
    <row r="1981" spans="1:7" s="145" customFormat="1" ht="15.6" customHeight="1">
      <c r="A1981" s="1124"/>
      <c r="B1981" s="1120"/>
      <c r="C1981" s="1127" t="s">
        <v>595</v>
      </c>
      <c r="D1981" s="1120"/>
      <c r="E1981" s="1120"/>
      <c r="F1981" s="1120"/>
      <c r="G1981" s="1121"/>
    </row>
    <row r="1982" spans="1:7" s="145" customFormat="1" ht="15.75" customHeight="1">
      <c r="A1982" s="1124"/>
      <c r="B1982" s="1120"/>
      <c r="C1982" s="1128" t="s">
        <v>2</v>
      </c>
      <c r="D1982" s="1120"/>
      <c r="E1982" s="1120"/>
      <c r="F1982" s="146" t="s">
        <v>3</v>
      </c>
      <c r="G1982" s="147" t="s">
        <v>4</v>
      </c>
    </row>
    <row r="1983" spans="1:7" s="145" customFormat="1" ht="57.75" customHeight="1">
      <c r="A1983" s="1073" t="s">
        <v>762</v>
      </c>
      <c r="B1983" s="1115"/>
      <c r="C1983" s="980" t="s">
        <v>763</v>
      </c>
      <c r="D1983" s="1115"/>
      <c r="E1983" s="1115"/>
      <c r="F1983" s="162" t="s">
        <v>28</v>
      </c>
      <c r="G1983" s="52">
        <v>1</v>
      </c>
    </row>
    <row r="1984" spans="1:7" s="145" customFormat="1" ht="15.75" customHeight="1">
      <c r="A1984" s="1114" t="s">
        <v>5</v>
      </c>
      <c r="B1984" s="1115"/>
      <c r="C1984" s="1115"/>
      <c r="D1984" s="1115"/>
      <c r="E1984" s="1115"/>
      <c r="F1984" s="1115"/>
      <c r="G1984" s="1116"/>
    </row>
    <row r="1985" spans="1:7" s="145" customFormat="1" ht="15.75" customHeight="1">
      <c r="A1985" s="1074" t="s">
        <v>2</v>
      </c>
      <c r="B1985" s="1115"/>
      <c r="C1985" s="53" t="s">
        <v>3</v>
      </c>
      <c r="D1985" s="53" t="s">
        <v>4</v>
      </c>
      <c r="E1985" s="53" t="s">
        <v>6</v>
      </c>
      <c r="F1985" s="53" t="s">
        <v>7</v>
      </c>
      <c r="G1985" s="1075" t="s">
        <v>8</v>
      </c>
    </row>
    <row r="1986" spans="1:7" s="145" customFormat="1" ht="15.75" customHeight="1">
      <c r="A1986" s="947" t="s">
        <v>167</v>
      </c>
      <c r="B1986" s="1115"/>
      <c r="C1986" s="51" t="s">
        <v>3</v>
      </c>
      <c r="D1986" s="51">
        <v>0.05</v>
      </c>
      <c r="E1986" s="17">
        <f>G1999</f>
        <v>2003</v>
      </c>
      <c r="F1986" s="55">
        <f>D1986*E1986</f>
        <v>100.15</v>
      </c>
      <c r="G1986" s="1116"/>
    </row>
    <row r="1987" spans="1:7" s="145" customFormat="1" ht="15.75" customHeight="1">
      <c r="A1987" s="943"/>
      <c r="B1987" s="1115"/>
      <c r="C1987" s="51"/>
      <c r="D1987" s="51"/>
      <c r="E1987" s="51"/>
      <c r="F1987" s="55"/>
      <c r="G1987" s="57">
        <f>SUM(F1985:F1987)</f>
        <v>100.15</v>
      </c>
    </row>
    <row r="1988" spans="1:7" s="145" customFormat="1" ht="15.75" customHeight="1">
      <c r="A1988" s="1114" t="s">
        <v>10</v>
      </c>
      <c r="B1988" s="1115"/>
      <c r="C1988" s="1115"/>
      <c r="D1988" s="1115"/>
      <c r="E1988" s="1115"/>
      <c r="F1988" s="1115"/>
      <c r="G1988" s="1116"/>
    </row>
    <row r="1989" spans="1:7" s="145" customFormat="1" ht="15.75" customHeight="1">
      <c r="A1989" s="1074" t="s">
        <v>2</v>
      </c>
      <c r="B1989" s="1115"/>
      <c r="C1989" s="53" t="s">
        <v>3</v>
      </c>
      <c r="D1989" s="53" t="s">
        <v>4</v>
      </c>
      <c r="E1989" s="53" t="s">
        <v>6</v>
      </c>
      <c r="F1989" s="53" t="s">
        <v>11</v>
      </c>
      <c r="G1989" s="1075" t="s">
        <v>8</v>
      </c>
    </row>
    <row r="1990" spans="1:7" s="145" customFormat="1" ht="25.2" customHeight="1">
      <c r="A1990" s="1117" t="s">
        <v>742</v>
      </c>
      <c r="B1990" s="1118"/>
      <c r="C1990" s="148" t="s">
        <v>3</v>
      </c>
      <c r="D1990" s="148">
        <v>1</v>
      </c>
      <c r="E1990" s="17">
        <f>+'INSUMOS ELÉCTRICOS'!E23</f>
        <v>14280</v>
      </c>
      <c r="F1990" s="149">
        <f>D1990*E1990</f>
        <v>14280</v>
      </c>
      <c r="G1990" s="1075"/>
    </row>
    <row r="1991" spans="1:7" s="145" customFormat="1" ht="15.75" customHeight="1">
      <c r="A1991" s="947"/>
      <c r="B1991" s="1115"/>
      <c r="C1991" s="16"/>
      <c r="D1991" s="58"/>
      <c r="E1991" s="17"/>
      <c r="F1991" s="55"/>
      <c r="G1991" s="57">
        <f>SUM(F1989:F1991)</f>
        <v>14280</v>
      </c>
    </row>
    <row r="1992" spans="1:7" s="145" customFormat="1" ht="15.75" customHeight="1">
      <c r="A1992" s="1114" t="s">
        <v>15</v>
      </c>
      <c r="B1992" s="1115"/>
      <c r="C1992" s="1115"/>
      <c r="D1992" s="1115"/>
      <c r="E1992" s="1115"/>
      <c r="F1992" s="1115"/>
      <c r="G1992" s="1116"/>
    </row>
    <row r="1993" spans="1:7" s="145" customFormat="1" ht="15.75" customHeight="1">
      <c r="A1993" s="1074" t="s">
        <v>2</v>
      </c>
      <c r="B1993" s="1115"/>
      <c r="C1993" s="53" t="s">
        <v>3</v>
      </c>
      <c r="D1993" s="53" t="s">
        <v>4</v>
      </c>
      <c r="E1993" s="53" t="s">
        <v>6</v>
      </c>
      <c r="F1993" s="53" t="s">
        <v>11</v>
      </c>
      <c r="G1993" s="1075" t="s">
        <v>8</v>
      </c>
    </row>
    <row r="1994" spans="1:7" s="145" customFormat="1" ht="15.75" customHeight="1">
      <c r="A1994" s="943" t="s">
        <v>173</v>
      </c>
      <c r="B1994" s="1115"/>
      <c r="C1994" s="16" t="s">
        <v>3</v>
      </c>
      <c r="D1994" s="16">
        <v>0.04</v>
      </c>
      <c r="E1994" s="17">
        <f>G1991</f>
        <v>14280</v>
      </c>
      <c r="F1994" s="55">
        <f>D1994*E1994</f>
        <v>571.20000000000005</v>
      </c>
      <c r="G1994" s="1116"/>
    </row>
    <row r="1995" spans="1:7" s="145" customFormat="1" ht="15.75" customHeight="1">
      <c r="A1995" s="151"/>
      <c r="B1995" s="152"/>
      <c r="C1995" s="152"/>
      <c r="D1995" s="152"/>
      <c r="E1995" s="152"/>
      <c r="F1995" s="152"/>
      <c r="G1995" s="57">
        <f>SUM(F1994:F1995)</f>
        <v>571.20000000000005</v>
      </c>
    </row>
    <row r="1996" spans="1:7" s="145" customFormat="1" ht="15.75" customHeight="1">
      <c r="A1996" s="1114" t="s">
        <v>19</v>
      </c>
      <c r="B1996" s="1115"/>
      <c r="C1996" s="1115"/>
      <c r="D1996" s="1115"/>
      <c r="E1996" s="1115"/>
      <c r="F1996" s="1115"/>
      <c r="G1996" s="1116"/>
    </row>
    <row r="1997" spans="1:7" s="145" customFormat="1" ht="15.75" customHeight="1">
      <c r="A1997" s="1074" t="s">
        <v>2</v>
      </c>
      <c r="B1997" s="1115"/>
      <c r="C1997" s="53" t="s">
        <v>3</v>
      </c>
      <c r="D1997" s="53" t="s">
        <v>4</v>
      </c>
      <c r="E1997" s="53" t="s">
        <v>6</v>
      </c>
      <c r="F1997" s="53" t="s">
        <v>11</v>
      </c>
      <c r="G1997" s="1075" t="s">
        <v>8</v>
      </c>
    </row>
    <row r="1998" spans="1:7" s="2" customFormat="1" ht="15.75" customHeight="1">
      <c r="A1998" s="978" t="s">
        <v>1256</v>
      </c>
      <c r="B1998" s="979"/>
      <c r="C1998" s="13" t="s">
        <v>1245</v>
      </c>
      <c r="D1998" s="32">
        <v>0.1</v>
      </c>
      <c r="E1998" s="13">
        <v>20030</v>
      </c>
      <c r="F1998" s="55">
        <f>+D1998*E1998</f>
        <v>2003</v>
      </c>
      <c r="G1998" s="1116"/>
    </row>
    <row r="1999" spans="1:7" s="145" customFormat="1" ht="15.75" customHeight="1">
      <c r="A1999" s="155"/>
      <c r="B1999" s="156"/>
      <c r="C1999" s="156"/>
      <c r="D1999" s="156"/>
      <c r="E1999" s="156"/>
      <c r="F1999" s="156"/>
      <c r="G1999" s="57">
        <f>SUM(F1997:F1999)</f>
        <v>2003</v>
      </c>
    </row>
    <row r="2000" spans="1:7" s="145" customFormat="1" ht="15.75" customHeight="1">
      <c r="A2000" s="1119" t="s">
        <v>25</v>
      </c>
      <c r="B2000" s="1120"/>
      <c r="C2000" s="1120"/>
      <c r="D2000" s="1120"/>
      <c r="E2000" s="1120"/>
      <c r="F2000" s="1120"/>
      <c r="G2000" s="1121"/>
    </row>
    <row r="2001" spans="1:7" s="145" customFormat="1" ht="15.75" customHeight="1">
      <c r="A2001" s="1122"/>
      <c r="B2001" s="1120"/>
      <c r="C2001" s="1120"/>
      <c r="D2001" s="1120"/>
      <c r="E2001" s="1120"/>
      <c r="F2001" s="1120"/>
      <c r="G2001" s="157">
        <f>G1999+G1995+G1991+G1987</f>
        <v>16954.350000000002</v>
      </c>
    </row>
    <row r="2002" spans="1:7" s="145" customFormat="1" ht="15" customHeight="1">
      <c r="A2002" s="158"/>
      <c r="B2002" s="159"/>
      <c r="C2002" s="159"/>
      <c r="D2002" s="159"/>
      <c r="E2002" s="159"/>
      <c r="F2002" s="159"/>
      <c r="G2002" s="160"/>
    </row>
    <row r="2003" spans="1:7" s="145" customFormat="1" ht="15.75" customHeight="1">
      <c r="A2003" s="1123" t="s">
        <v>1</v>
      </c>
      <c r="B2003" s="1120"/>
      <c r="C2003" s="953" t="s">
        <v>594</v>
      </c>
      <c r="D2003" s="1125"/>
      <c r="E2003" s="1125"/>
      <c r="F2003" s="1125"/>
      <c r="G2003" s="1126"/>
    </row>
    <row r="2004" spans="1:7" s="145" customFormat="1" ht="24" customHeight="1">
      <c r="A2004" s="1124"/>
      <c r="B2004" s="1120"/>
      <c r="C2004" s="1125"/>
      <c r="D2004" s="1125"/>
      <c r="E2004" s="1125"/>
      <c r="F2004" s="1125"/>
      <c r="G2004" s="1126"/>
    </row>
    <row r="2005" spans="1:7" s="145" customFormat="1" ht="15.6" customHeight="1">
      <c r="A2005" s="1124"/>
      <c r="B2005" s="1120"/>
      <c r="C2005" s="1127" t="s">
        <v>606</v>
      </c>
      <c r="D2005" s="1120"/>
      <c r="E2005" s="1120"/>
      <c r="F2005" s="1120"/>
      <c r="G2005" s="1121"/>
    </row>
    <row r="2006" spans="1:7" s="145" customFormat="1" ht="15.75" customHeight="1">
      <c r="A2006" s="1124"/>
      <c r="B2006" s="1120"/>
      <c r="C2006" s="1128" t="s">
        <v>2</v>
      </c>
      <c r="D2006" s="1120"/>
      <c r="E2006" s="1120"/>
      <c r="F2006" s="146" t="s">
        <v>3</v>
      </c>
      <c r="G2006" s="147" t="s">
        <v>4</v>
      </c>
    </row>
    <row r="2007" spans="1:7" s="145" customFormat="1" ht="49.5" customHeight="1">
      <c r="A2007" s="1073" t="s">
        <v>764</v>
      </c>
      <c r="B2007" s="1115"/>
      <c r="C2007" s="980" t="s">
        <v>608</v>
      </c>
      <c r="D2007" s="1115"/>
      <c r="E2007" s="1115"/>
      <c r="F2007" s="162" t="s">
        <v>45</v>
      </c>
      <c r="G2007" s="52">
        <v>1</v>
      </c>
    </row>
    <row r="2008" spans="1:7" s="145" customFormat="1" ht="15.75" customHeight="1">
      <c r="A2008" s="1114" t="s">
        <v>5</v>
      </c>
      <c r="B2008" s="1115"/>
      <c r="C2008" s="1115"/>
      <c r="D2008" s="1115"/>
      <c r="E2008" s="1115"/>
      <c r="F2008" s="1115"/>
      <c r="G2008" s="1116"/>
    </row>
    <row r="2009" spans="1:7" s="145" customFormat="1" ht="15.75" customHeight="1">
      <c r="A2009" s="1074" t="s">
        <v>2</v>
      </c>
      <c r="B2009" s="1115"/>
      <c r="C2009" s="53" t="s">
        <v>3</v>
      </c>
      <c r="D2009" s="53" t="s">
        <v>4</v>
      </c>
      <c r="E2009" s="53" t="s">
        <v>6</v>
      </c>
      <c r="F2009" s="53" t="s">
        <v>7</v>
      </c>
      <c r="G2009" s="1075" t="s">
        <v>8</v>
      </c>
    </row>
    <row r="2010" spans="1:7" s="145" customFormat="1" ht="15.75" customHeight="1">
      <c r="A2010" s="947" t="s">
        <v>167</v>
      </c>
      <c r="B2010" s="1115"/>
      <c r="C2010" s="51" t="s">
        <v>3</v>
      </c>
      <c r="D2010" s="51">
        <v>0.05</v>
      </c>
      <c r="E2010" s="17">
        <f>G2023</f>
        <v>4006</v>
      </c>
      <c r="F2010" s="55">
        <f>D2010*E2010</f>
        <v>200.3</v>
      </c>
      <c r="G2010" s="1116"/>
    </row>
    <row r="2011" spans="1:7" s="145" customFormat="1" ht="15.75" customHeight="1">
      <c r="A2011" s="943"/>
      <c r="B2011" s="1115"/>
      <c r="C2011" s="51"/>
      <c r="D2011" s="51"/>
      <c r="E2011" s="51"/>
      <c r="F2011" s="55"/>
      <c r="G2011" s="57">
        <f>SUM(F2009:F2011)</f>
        <v>200.3</v>
      </c>
    </row>
    <row r="2012" spans="1:7" s="145" customFormat="1" ht="15.75" customHeight="1">
      <c r="A2012" s="1114" t="s">
        <v>10</v>
      </c>
      <c r="B2012" s="1115"/>
      <c r="C2012" s="1115"/>
      <c r="D2012" s="1115"/>
      <c r="E2012" s="1115"/>
      <c r="F2012" s="1115"/>
      <c r="G2012" s="1116"/>
    </row>
    <row r="2013" spans="1:7" s="145" customFormat="1" ht="15.75" customHeight="1">
      <c r="A2013" s="1074" t="s">
        <v>2</v>
      </c>
      <c r="B2013" s="1115"/>
      <c r="C2013" s="53" t="s">
        <v>3</v>
      </c>
      <c r="D2013" s="53" t="s">
        <v>4</v>
      </c>
      <c r="E2013" s="53" t="s">
        <v>6</v>
      </c>
      <c r="F2013" s="53" t="s">
        <v>11</v>
      </c>
      <c r="G2013" s="1075" t="s">
        <v>8</v>
      </c>
    </row>
    <row r="2014" spans="1:7" s="150" customFormat="1" ht="32.4" customHeight="1">
      <c r="A2014" s="1117" t="s">
        <v>608</v>
      </c>
      <c r="B2014" s="1118"/>
      <c r="C2014" s="148" t="s">
        <v>3</v>
      </c>
      <c r="D2014" s="148">
        <v>1.05</v>
      </c>
      <c r="E2014" s="17">
        <f>+'INSUMOS ELÉCTRICOS'!E17</f>
        <v>5033.7</v>
      </c>
      <c r="F2014" s="149">
        <f>D2014*E2014</f>
        <v>5285.3850000000002</v>
      </c>
      <c r="G2014" s="1075"/>
    </row>
    <row r="2015" spans="1:7" s="145" customFormat="1" ht="15.75" customHeight="1">
      <c r="A2015" s="947"/>
      <c r="B2015" s="1115"/>
      <c r="C2015" s="16"/>
      <c r="D2015" s="58"/>
      <c r="E2015" s="17"/>
      <c r="F2015" s="55"/>
      <c r="G2015" s="57">
        <f>SUM(F2013:F2015)</f>
        <v>5285.3850000000002</v>
      </c>
    </row>
    <row r="2016" spans="1:7" s="145" customFormat="1" ht="15.75" customHeight="1">
      <c r="A2016" s="1114" t="s">
        <v>15</v>
      </c>
      <c r="B2016" s="1115"/>
      <c r="C2016" s="1115"/>
      <c r="D2016" s="1115"/>
      <c r="E2016" s="1115"/>
      <c r="F2016" s="1115"/>
      <c r="G2016" s="1116"/>
    </row>
    <row r="2017" spans="1:7" s="145" customFormat="1" ht="15.75" customHeight="1">
      <c r="A2017" s="1074" t="s">
        <v>2</v>
      </c>
      <c r="B2017" s="1115"/>
      <c r="C2017" s="53" t="s">
        <v>3</v>
      </c>
      <c r="D2017" s="53" t="s">
        <v>4</v>
      </c>
      <c r="E2017" s="53" t="s">
        <v>6</v>
      </c>
      <c r="F2017" s="53" t="s">
        <v>11</v>
      </c>
      <c r="G2017" s="1075" t="s">
        <v>8</v>
      </c>
    </row>
    <row r="2018" spans="1:7" s="145" customFormat="1" ht="15.75" customHeight="1">
      <c r="A2018" s="943" t="s">
        <v>173</v>
      </c>
      <c r="B2018" s="1115"/>
      <c r="C2018" s="16" t="s">
        <v>3</v>
      </c>
      <c r="D2018" s="16">
        <v>0.06</v>
      </c>
      <c r="E2018" s="17">
        <f>G2015</f>
        <v>5285.3850000000002</v>
      </c>
      <c r="F2018" s="55">
        <f>D2018*E2018</f>
        <v>317.12310000000002</v>
      </c>
      <c r="G2018" s="1116"/>
    </row>
    <row r="2019" spans="1:7" s="145" customFormat="1" ht="15.75" customHeight="1">
      <c r="A2019" s="151"/>
      <c r="B2019" s="152"/>
      <c r="C2019" s="152"/>
      <c r="D2019" s="152"/>
      <c r="E2019" s="152"/>
      <c r="F2019" s="152"/>
      <c r="G2019" s="57">
        <f>SUM(F2018:F2019)</f>
        <v>317.12310000000002</v>
      </c>
    </row>
    <row r="2020" spans="1:7" s="145" customFormat="1" ht="15.75" customHeight="1">
      <c r="A2020" s="1114" t="s">
        <v>19</v>
      </c>
      <c r="B2020" s="1115"/>
      <c r="C2020" s="1115"/>
      <c r="D2020" s="1115"/>
      <c r="E2020" s="1115"/>
      <c r="F2020" s="1115"/>
      <c r="G2020" s="1116"/>
    </row>
    <row r="2021" spans="1:7" s="145" customFormat="1" ht="15.75" customHeight="1">
      <c r="A2021" s="1074" t="s">
        <v>2</v>
      </c>
      <c r="B2021" s="1115"/>
      <c r="C2021" s="53" t="s">
        <v>3</v>
      </c>
      <c r="D2021" s="53" t="s">
        <v>4</v>
      </c>
      <c r="E2021" s="53" t="s">
        <v>6</v>
      </c>
      <c r="F2021" s="53" t="s">
        <v>11</v>
      </c>
      <c r="G2021" s="1075" t="s">
        <v>8</v>
      </c>
    </row>
    <row r="2022" spans="1:7" s="2" customFormat="1" ht="15.75" customHeight="1">
      <c r="A2022" s="978" t="s">
        <v>1256</v>
      </c>
      <c r="B2022" s="979"/>
      <c r="C2022" s="13" t="s">
        <v>1245</v>
      </c>
      <c r="D2022" s="32">
        <v>0.2</v>
      </c>
      <c r="E2022" s="13">
        <v>20030</v>
      </c>
      <c r="F2022" s="55">
        <f>+D2022*E2022</f>
        <v>4006</v>
      </c>
      <c r="G2022" s="1116"/>
    </row>
    <row r="2023" spans="1:7" s="145" customFormat="1" ht="15.75" customHeight="1">
      <c r="A2023" s="155"/>
      <c r="B2023" s="156"/>
      <c r="C2023" s="156"/>
      <c r="D2023" s="156"/>
      <c r="E2023" s="156"/>
      <c r="F2023" s="156"/>
      <c r="G2023" s="57">
        <f>SUM(F2021:F2023)</f>
        <v>4006</v>
      </c>
    </row>
    <row r="2024" spans="1:7" s="145" customFormat="1" ht="15.75" customHeight="1">
      <c r="A2024" s="1119" t="s">
        <v>25</v>
      </c>
      <c r="B2024" s="1120"/>
      <c r="C2024" s="1120"/>
      <c r="D2024" s="1120"/>
      <c r="E2024" s="1120"/>
      <c r="F2024" s="1120"/>
      <c r="G2024" s="1121"/>
    </row>
    <row r="2025" spans="1:7" s="145" customFormat="1" ht="15.75" customHeight="1">
      <c r="A2025" s="1122"/>
      <c r="B2025" s="1120"/>
      <c r="C2025" s="1120"/>
      <c r="D2025" s="1120"/>
      <c r="E2025" s="1120"/>
      <c r="F2025" s="1120"/>
      <c r="G2025" s="157">
        <f>G2023+G2019+G2015+G2011</f>
        <v>9808.8080999999984</v>
      </c>
    </row>
    <row r="2026" spans="1:7" s="145" customFormat="1" ht="15" customHeight="1">
      <c r="A2026" s="158"/>
      <c r="B2026" s="159"/>
      <c r="C2026" s="159"/>
      <c r="D2026" s="159"/>
      <c r="E2026" s="159"/>
      <c r="F2026" s="159"/>
      <c r="G2026" s="160"/>
    </row>
    <row r="2027" spans="1:7" s="145" customFormat="1" ht="15.75" customHeight="1">
      <c r="A2027" s="1123" t="s">
        <v>1</v>
      </c>
      <c r="B2027" s="1120"/>
      <c r="C2027" s="953" t="s">
        <v>594</v>
      </c>
      <c r="D2027" s="1125"/>
      <c r="E2027" s="1125"/>
      <c r="F2027" s="1125"/>
      <c r="G2027" s="1126"/>
    </row>
    <row r="2028" spans="1:7" s="145" customFormat="1" ht="15.75" customHeight="1">
      <c r="A2028" s="1124"/>
      <c r="B2028" s="1120"/>
      <c r="C2028" s="1125"/>
      <c r="D2028" s="1125"/>
      <c r="E2028" s="1125"/>
      <c r="F2028" s="1125"/>
      <c r="G2028" s="1126"/>
    </row>
    <row r="2029" spans="1:7" s="145" customFormat="1" ht="15.75" customHeight="1">
      <c r="A2029" s="1124"/>
      <c r="B2029" s="1120"/>
      <c r="C2029" s="1127" t="s">
        <v>609</v>
      </c>
      <c r="D2029" s="1120"/>
      <c r="E2029" s="1120"/>
      <c r="F2029" s="1120"/>
      <c r="G2029" s="1121"/>
    </row>
    <row r="2030" spans="1:7" s="145" customFormat="1" ht="15.75" customHeight="1">
      <c r="A2030" s="1124"/>
      <c r="B2030" s="1120"/>
      <c r="C2030" s="1128" t="s">
        <v>2</v>
      </c>
      <c r="D2030" s="1120"/>
      <c r="E2030" s="1120"/>
      <c r="F2030" s="146" t="s">
        <v>3</v>
      </c>
      <c r="G2030" s="147" t="s">
        <v>4</v>
      </c>
    </row>
    <row r="2031" spans="1:7" s="145" customFormat="1" ht="39" customHeight="1">
      <c r="A2031" s="1073" t="s">
        <v>765</v>
      </c>
      <c r="B2031" s="1115"/>
      <c r="C2031" s="980" t="s">
        <v>626</v>
      </c>
      <c r="D2031" s="1115"/>
      <c r="E2031" s="1115"/>
      <c r="F2031" s="162" t="s">
        <v>45</v>
      </c>
      <c r="G2031" s="52">
        <v>1</v>
      </c>
    </row>
    <row r="2032" spans="1:7" s="145" customFormat="1" ht="15.75" customHeight="1">
      <c r="A2032" s="1114" t="s">
        <v>5</v>
      </c>
      <c r="B2032" s="1115"/>
      <c r="C2032" s="1115"/>
      <c r="D2032" s="1115"/>
      <c r="E2032" s="1115"/>
      <c r="F2032" s="1115"/>
      <c r="G2032" s="1116"/>
    </row>
    <row r="2033" spans="1:7" s="150" customFormat="1" ht="15.75" customHeight="1">
      <c r="A2033" s="1074" t="s">
        <v>2</v>
      </c>
      <c r="B2033" s="1115"/>
      <c r="C2033" s="53" t="s">
        <v>3</v>
      </c>
      <c r="D2033" s="53" t="s">
        <v>4</v>
      </c>
      <c r="E2033" s="53" t="s">
        <v>6</v>
      </c>
      <c r="F2033" s="53" t="s">
        <v>7</v>
      </c>
      <c r="G2033" s="1075" t="s">
        <v>8</v>
      </c>
    </row>
    <row r="2034" spans="1:7" s="145" customFormat="1" ht="15.75" customHeight="1">
      <c r="A2034" s="947" t="s">
        <v>167</v>
      </c>
      <c r="B2034" s="1115"/>
      <c r="C2034" s="51" t="s">
        <v>3</v>
      </c>
      <c r="D2034" s="51">
        <v>0.05</v>
      </c>
      <c r="E2034" s="17">
        <v>6719</v>
      </c>
      <c r="F2034" s="55">
        <f>D2034*E2034</f>
        <v>335.95000000000005</v>
      </c>
      <c r="G2034" s="1116"/>
    </row>
    <row r="2035" spans="1:7" s="145" customFormat="1" ht="15.75" customHeight="1">
      <c r="A2035" s="943"/>
      <c r="B2035" s="1115"/>
      <c r="C2035" s="51"/>
      <c r="D2035" s="51"/>
      <c r="E2035" s="51"/>
      <c r="F2035" s="55"/>
      <c r="G2035" s="57">
        <f>SUM(F2033:F2035)</f>
        <v>335.95000000000005</v>
      </c>
    </row>
    <row r="2036" spans="1:7" s="145" customFormat="1" ht="15.75" customHeight="1">
      <c r="A2036" s="1114" t="s">
        <v>10</v>
      </c>
      <c r="B2036" s="1115"/>
      <c r="C2036" s="1115"/>
      <c r="D2036" s="1115"/>
      <c r="E2036" s="1115"/>
      <c r="F2036" s="1115"/>
      <c r="G2036" s="1116"/>
    </row>
    <row r="2037" spans="1:7" s="145" customFormat="1" ht="15.75" customHeight="1">
      <c r="A2037" s="1074" t="s">
        <v>2</v>
      </c>
      <c r="B2037" s="1115"/>
      <c r="C2037" s="53" t="s">
        <v>3</v>
      </c>
      <c r="D2037" s="53" t="s">
        <v>4</v>
      </c>
      <c r="E2037" s="53" t="s">
        <v>6</v>
      </c>
      <c r="F2037" s="53" t="s">
        <v>11</v>
      </c>
      <c r="G2037" s="1075" t="s">
        <v>8</v>
      </c>
    </row>
    <row r="2038" spans="1:7" s="145" customFormat="1" ht="15.75" customHeight="1">
      <c r="A2038" s="947" t="s">
        <v>612</v>
      </c>
      <c r="B2038" s="1115"/>
      <c r="C2038" s="51" t="s">
        <v>3</v>
      </c>
      <c r="D2038" s="148">
        <v>10</v>
      </c>
      <c r="E2038" s="17">
        <f>+'INSUMOS ELÉCTRICOS'!E126</f>
        <v>348.66999999999996</v>
      </c>
      <c r="F2038" s="55">
        <f t="shared" ref="F2038:F2043" si="26">D2038*E2038</f>
        <v>3486.7</v>
      </c>
      <c r="G2038" s="1075"/>
    </row>
    <row r="2039" spans="1:7" s="145" customFormat="1" ht="15.75" customHeight="1">
      <c r="A2039" s="947" t="s">
        <v>627</v>
      </c>
      <c r="B2039" s="1115"/>
      <c r="C2039" s="51" t="s">
        <v>3</v>
      </c>
      <c r="D2039" s="148">
        <v>0.67</v>
      </c>
      <c r="E2039" s="17">
        <f>+'INSUMOS ELÉCTRICOS'!E34</f>
        <v>3000</v>
      </c>
      <c r="F2039" s="55">
        <f t="shared" si="26"/>
        <v>2010.0000000000002</v>
      </c>
      <c r="G2039" s="1075"/>
    </row>
    <row r="2040" spans="1:7" s="145" customFormat="1" ht="15.75" customHeight="1">
      <c r="A2040" s="947" t="s">
        <v>628</v>
      </c>
      <c r="B2040" s="1115"/>
      <c r="C2040" s="51" t="s">
        <v>3</v>
      </c>
      <c r="D2040" s="148">
        <v>0.17</v>
      </c>
      <c r="E2040" s="17">
        <f>+'INSUMOS ELÉCTRICOS'!E35</f>
        <v>23570.329999999998</v>
      </c>
      <c r="F2040" s="55">
        <f t="shared" si="26"/>
        <v>4006.9560999999999</v>
      </c>
      <c r="G2040" s="1075"/>
    </row>
    <row r="2041" spans="1:7" s="145" customFormat="1" ht="15.75" customHeight="1">
      <c r="A2041" s="947" t="s">
        <v>629</v>
      </c>
      <c r="B2041" s="1115"/>
      <c r="C2041" s="51" t="s">
        <v>622</v>
      </c>
      <c r="D2041" s="148">
        <v>1</v>
      </c>
      <c r="E2041" s="17">
        <f>+'INSUMOS ELÉCTRICOS'!E36</f>
        <v>48597.22</v>
      </c>
      <c r="F2041" s="55">
        <f t="shared" si="26"/>
        <v>48597.22</v>
      </c>
      <c r="G2041" s="1075"/>
    </row>
    <row r="2042" spans="1:7" s="145" customFormat="1" ht="15.75" customHeight="1">
      <c r="A2042" s="947" t="s">
        <v>630</v>
      </c>
      <c r="B2042" s="1115"/>
      <c r="C2042" s="51" t="s">
        <v>3</v>
      </c>
      <c r="D2042" s="148">
        <v>0.33</v>
      </c>
      <c r="E2042" s="17">
        <f>+'INSUMOS ELÉCTRICOS'!E38</f>
        <v>9879.3799999999992</v>
      </c>
      <c r="F2042" s="55">
        <f t="shared" si="26"/>
        <v>3260.1954000000001</v>
      </c>
      <c r="G2042" s="1075"/>
    </row>
    <row r="2043" spans="1:7" s="145" customFormat="1" ht="15.75" customHeight="1">
      <c r="A2043" s="947" t="s">
        <v>631</v>
      </c>
      <c r="B2043" s="1115"/>
      <c r="C2043" s="51" t="s">
        <v>3</v>
      </c>
      <c r="D2043" s="148">
        <v>0.32929999999999998</v>
      </c>
      <c r="E2043" s="17">
        <f>+'INSUMOS ELÉCTRICOS'!E37</f>
        <v>10407.74</v>
      </c>
      <c r="F2043" s="55">
        <f t="shared" si="26"/>
        <v>3427.2687819999996</v>
      </c>
      <c r="G2043" s="1075"/>
    </row>
    <row r="2044" spans="1:7" s="145" customFormat="1" ht="15.75" customHeight="1">
      <c r="A2044" s="947"/>
      <c r="B2044" s="1115"/>
      <c r="C2044" s="51"/>
      <c r="D2044" s="58"/>
      <c r="E2044" s="17"/>
      <c r="F2044" s="55"/>
      <c r="G2044" s="57">
        <f>SUM(F2037:F2044)</f>
        <v>64788.340281999997</v>
      </c>
    </row>
    <row r="2045" spans="1:7" s="145" customFormat="1" ht="15.75" customHeight="1">
      <c r="A2045" s="1114" t="s">
        <v>15</v>
      </c>
      <c r="B2045" s="1115"/>
      <c r="C2045" s="1115"/>
      <c r="D2045" s="1115"/>
      <c r="E2045" s="1115"/>
      <c r="F2045" s="1115"/>
      <c r="G2045" s="1116"/>
    </row>
    <row r="2046" spans="1:7" s="145" customFormat="1" ht="15.75" customHeight="1">
      <c r="A2046" s="1074" t="s">
        <v>2</v>
      </c>
      <c r="B2046" s="1115"/>
      <c r="C2046" s="53" t="s">
        <v>3</v>
      </c>
      <c r="D2046" s="53" t="s">
        <v>4</v>
      </c>
      <c r="E2046" s="53" t="s">
        <v>6</v>
      </c>
      <c r="F2046" s="53" t="s">
        <v>11</v>
      </c>
      <c r="G2046" s="1075" t="s">
        <v>8</v>
      </c>
    </row>
    <row r="2047" spans="1:7" s="145" customFormat="1" ht="15.75" customHeight="1">
      <c r="A2047" s="943" t="s">
        <v>173</v>
      </c>
      <c r="B2047" s="1115"/>
      <c r="C2047" s="16" t="s">
        <v>3</v>
      </c>
      <c r="D2047" s="16">
        <v>0.02</v>
      </c>
      <c r="E2047" s="17">
        <f>G2044</f>
        <v>64788.340281999997</v>
      </c>
      <c r="F2047" s="55">
        <f>D2047*E2047</f>
        <v>1295.76680564</v>
      </c>
      <c r="G2047" s="1116"/>
    </row>
    <row r="2048" spans="1:7" s="145" customFormat="1" ht="15.75" customHeight="1">
      <c r="A2048" s="151"/>
      <c r="B2048" s="152"/>
      <c r="C2048" s="152"/>
      <c r="D2048" s="152"/>
      <c r="E2048" s="152"/>
      <c r="F2048" s="152"/>
      <c r="G2048" s="57">
        <f>SUM(F2047:F2048)</f>
        <v>1295.76680564</v>
      </c>
    </row>
    <row r="2049" spans="1:7" s="145" customFormat="1" ht="15.75" customHeight="1">
      <c r="A2049" s="1114" t="s">
        <v>19</v>
      </c>
      <c r="B2049" s="1115"/>
      <c r="C2049" s="1115"/>
      <c r="D2049" s="1115"/>
      <c r="E2049" s="1115"/>
      <c r="F2049" s="1115"/>
      <c r="G2049" s="1116"/>
    </row>
    <row r="2050" spans="1:7" s="145" customFormat="1" ht="15" customHeight="1">
      <c r="A2050" s="1074" t="s">
        <v>2</v>
      </c>
      <c r="B2050" s="1115"/>
      <c r="C2050" s="53" t="s">
        <v>3</v>
      </c>
      <c r="D2050" s="53" t="s">
        <v>4</v>
      </c>
      <c r="E2050" s="53" t="s">
        <v>6</v>
      </c>
      <c r="F2050" s="53" t="s">
        <v>11</v>
      </c>
      <c r="G2050" s="1075" t="s">
        <v>8</v>
      </c>
    </row>
    <row r="2051" spans="1:7" s="145" customFormat="1" ht="15.75" customHeight="1">
      <c r="A2051" s="978" t="s">
        <v>1256</v>
      </c>
      <c r="B2051" s="979"/>
      <c r="C2051" s="13" t="s">
        <v>1245</v>
      </c>
      <c r="D2051" s="32">
        <v>0.4</v>
      </c>
      <c r="E2051" s="13">
        <v>20030</v>
      </c>
      <c r="F2051" s="55">
        <f>+D2051*E2051</f>
        <v>8012</v>
      </c>
      <c r="G2051" s="1116"/>
    </row>
    <row r="2052" spans="1:7" s="145" customFormat="1" ht="24" customHeight="1">
      <c r="A2052" s="155"/>
      <c r="B2052" s="156"/>
      <c r="C2052" s="156"/>
      <c r="D2052" s="156"/>
      <c r="E2052" s="156"/>
      <c r="F2052" s="156"/>
      <c r="G2052" s="57">
        <f>SUM(F2050:F2052)</f>
        <v>8012</v>
      </c>
    </row>
    <row r="2053" spans="1:7" s="145" customFormat="1" ht="15.6" customHeight="1">
      <c r="A2053" s="1119" t="s">
        <v>25</v>
      </c>
      <c r="B2053" s="1120"/>
      <c r="C2053" s="1120"/>
      <c r="D2053" s="1120"/>
      <c r="E2053" s="1120"/>
      <c r="F2053" s="1120"/>
      <c r="G2053" s="1121"/>
    </row>
    <row r="2054" spans="1:7" s="145" customFormat="1" ht="15.75" customHeight="1">
      <c r="A2054" s="1122"/>
      <c r="B2054" s="1120"/>
      <c r="C2054" s="1120"/>
      <c r="D2054" s="1120"/>
      <c r="E2054" s="1120"/>
      <c r="F2054" s="1120"/>
      <c r="G2054" s="157">
        <f>G2052+G2048+G2044+G2035</f>
        <v>74432.057087640002</v>
      </c>
    </row>
    <row r="2055" spans="1:7" s="145" customFormat="1" ht="13.8">
      <c r="A2055" s="158"/>
      <c r="B2055" s="159"/>
      <c r="C2055" s="159"/>
      <c r="D2055" s="159"/>
      <c r="E2055" s="159"/>
      <c r="F2055" s="159"/>
      <c r="G2055" s="160"/>
    </row>
    <row r="2056" spans="1:7" s="145" customFormat="1" ht="15.75" customHeight="1">
      <c r="A2056" s="1123" t="s">
        <v>1</v>
      </c>
      <c r="B2056" s="1120"/>
      <c r="C2056" s="953" t="s">
        <v>594</v>
      </c>
      <c r="D2056" s="1125"/>
      <c r="E2056" s="1125"/>
      <c r="F2056" s="1125"/>
      <c r="G2056" s="1126"/>
    </row>
    <row r="2057" spans="1:7" s="145" customFormat="1" ht="15.75" customHeight="1">
      <c r="A2057" s="1124"/>
      <c r="B2057" s="1120"/>
      <c r="C2057" s="1125"/>
      <c r="D2057" s="1125"/>
      <c r="E2057" s="1125"/>
      <c r="F2057" s="1125"/>
      <c r="G2057" s="1126"/>
    </row>
    <row r="2058" spans="1:7" s="145" customFormat="1" ht="15.75" customHeight="1">
      <c r="A2058" s="1124"/>
      <c r="B2058" s="1120"/>
      <c r="C2058" s="1127" t="s">
        <v>609</v>
      </c>
      <c r="D2058" s="1120"/>
      <c r="E2058" s="1120"/>
      <c r="F2058" s="1120"/>
      <c r="G2058" s="1121"/>
    </row>
    <row r="2059" spans="1:7" s="145" customFormat="1" ht="15.75" customHeight="1">
      <c r="A2059" s="1124"/>
      <c r="B2059" s="1120"/>
      <c r="C2059" s="1128" t="s">
        <v>2</v>
      </c>
      <c r="D2059" s="1120"/>
      <c r="E2059" s="1120"/>
      <c r="F2059" s="146" t="s">
        <v>3</v>
      </c>
      <c r="G2059" s="147" t="s">
        <v>4</v>
      </c>
    </row>
    <row r="2060" spans="1:7" s="145" customFormat="1" ht="35.25" customHeight="1">
      <c r="A2060" s="1073" t="s">
        <v>766</v>
      </c>
      <c r="B2060" s="1115"/>
      <c r="C2060" s="980" t="s">
        <v>633</v>
      </c>
      <c r="D2060" s="1115"/>
      <c r="E2060" s="1115"/>
      <c r="F2060" s="162" t="s">
        <v>28</v>
      </c>
      <c r="G2060" s="52">
        <v>1</v>
      </c>
    </row>
    <row r="2061" spans="1:7" s="145" customFormat="1" ht="15.75" customHeight="1">
      <c r="A2061" s="1114" t="s">
        <v>5</v>
      </c>
      <c r="B2061" s="1115"/>
      <c r="C2061" s="1115"/>
      <c r="D2061" s="1115"/>
      <c r="E2061" s="1115"/>
      <c r="F2061" s="1115"/>
      <c r="G2061" s="1116"/>
    </row>
    <row r="2062" spans="1:7" s="150" customFormat="1" ht="15.75" customHeight="1">
      <c r="A2062" s="1074" t="s">
        <v>2</v>
      </c>
      <c r="B2062" s="1115"/>
      <c r="C2062" s="53" t="s">
        <v>3</v>
      </c>
      <c r="D2062" s="53" t="s">
        <v>4</v>
      </c>
      <c r="E2062" s="53" t="s">
        <v>6</v>
      </c>
      <c r="F2062" s="53" t="s">
        <v>7</v>
      </c>
      <c r="G2062" s="1075" t="s">
        <v>8</v>
      </c>
    </row>
    <row r="2063" spans="1:7" s="145" customFormat="1" ht="15.75" customHeight="1">
      <c r="A2063" s="947" t="s">
        <v>167</v>
      </c>
      <c r="B2063" s="1115"/>
      <c r="C2063" s="51" t="s">
        <v>3</v>
      </c>
      <c r="D2063" s="51">
        <v>0.05</v>
      </c>
      <c r="E2063" s="17">
        <f>G2077</f>
        <v>4006</v>
      </c>
      <c r="F2063" s="55">
        <f>D2063*E2063</f>
        <v>200.3</v>
      </c>
      <c r="G2063" s="1116"/>
    </row>
    <row r="2064" spans="1:7" s="145" customFormat="1" ht="15.75" customHeight="1">
      <c r="A2064" s="943"/>
      <c r="B2064" s="1115"/>
      <c r="C2064" s="51"/>
      <c r="D2064" s="51"/>
      <c r="E2064" s="51"/>
      <c r="F2064" s="55"/>
      <c r="G2064" s="57">
        <f>SUM(F2062:F2064)</f>
        <v>200.3</v>
      </c>
    </row>
    <row r="2065" spans="1:7" s="145" customFormat="1" ht="15.75" customHeight="1">
      <c r="A2065" s="1114" t="s">
        <v>10</v>
      </c>
      <c r="B2065" s="1115"/>
      <c r="C2065" s="1115"/>
      <c r="D2065" s="1115"/>
      <c r="E2065" s="1115"/>
      <c r="F2065" s="1115"/>
      <c r="G2065" s="1116"/>
    </row>
    <row r="2066" spans="1:7" s="145" customFormat="1" ht="15.75" customHeight="1">
      <c r="A2066" s="1074" t="s">
        <v>2</v>
      </c>
      <c r="B2066" s="1115"/>
      <c r="C2066" s="53" t="s">
        <v>3</v>
      </c>
      <c r="D2066" s="53" t="s">
        <v>4</v>
      </c>
      <c r="E2066" s="53" t="s">
        <v>6</v>
      </c>
      <c r="F2066" s="53" t="s">
        <v>11</v>
      </c>
      <c r="G2066" s="1075" t="s">
        <v>8</v>
      </c>
    </row>
    <row r="2067" spans="1:7" s="145" customFormat="1" ht="15.75" customHeight="1">
      <c r="A2067" s="947" t="s">
        <v>612</v>
      </c>
      <c r="B2067" s="1115"/>
      <c r="C2067" s="51" t="s">
        <v>3</v>
      </c>
      <c r="D2067" s="148">
        <v>8</v>
      </c>
      <c r="E2067" s="17">
        <f>+'INSUMOS ELÉCTRICOS'!E126</f>
        <v>348.66999999999996</v>
      </c>
      <c r="F2067" s="55">
        <f>D2067*E2067</f>
        <v>2789.3599999999997</v>
      </c>
      <c r="G2067" s="1075"/>
    </row>
    <row r="2068" spans="1:7" s="145" customFormat="1" ht="15.75" customHeight="1">
      <c r="A2068" s="947" t="s">
        <v>633</v>
      </c>
      <c r="B2068" s="1115"/>
      <c r="C2068" s="51" t="s">
        <v>45</v>
      </c>
      <c r="D2068" s="148">
        <v>1</v>
      </c>
      <c r="E2068" s="17">
        <f>+'INSUMOS ELÉCTRICOS'!E51</f>
        <v>49583.333333333336</v>
      </c>
      <c r="F2068" s="55">
        <f>D2068*E2068</f>
        <v>49583.333333333336</v>
      </c>
      <c r="G2068" s="1075"/>
    </row>
    <row r="2069" spans="1:7" s="145" customFormat="1" ht="15.75" customHeight="1">
      <c r="A2069" s="947"/>
      <c r="B2069" s="1115"/>
      <c r="C2069" s="16"/>
      <c r="D2069" s="58"/>
      <c r="E2069" s="17"/>
      <c r="F2069" s="55"/>
      <c r="G2069" s="57">
        <f>SUM(F2066:F2069)</f>
        <v>52372.693333333336</v>
      </c>
    </row>
    <row r="2070" spans="1:7" s="145" customFormat="1" ht="15.75" customHeight="1">
      <c r="A2070" s="1114" t="s">
        <v>15</v>
      </c>
      <c r="B2070" s="1115"/>
      <c r="C2070" s="1115"/>
      <c r="D2070" s="1115"/>
      <c r="E2070" s="1115"/>
      <c r="F2070" s="1115"/>
      <c r="G2070" s="1116"/>
    </row>
    <row r="2071" spans="1:7" s="145" customFormat="1" ht="15.75" customHeight="1">
      <c r="A2071" s="1074" t="s">
        <v>2</v>
      </c>
      <c r="B2071" s="1115"/>
      <c r="C2071" s="53" t="s">
        <v>3</v>
      </c>
      <c r="D2071" s="53" t="s">
        <v>4</v>
      </c>
      <c r="E2071" s="53" t="s">
        <v>6</v>
      </c>
      <c r="F2071" s="53" t="s">
        <v>11</v>
      </c>
      <c r="G2071" s="1075" t="s">
        <v>8</v>
      </c>
    </row>
    <row r="2072" spans="1:7" s="145" customFormat="1" ht="15.75" customHeight="1">
      <c r="A2072" s="943" t="s">
        <v>173</v>
      </c>
      <c r="B2072" s="1115"/>
      <c r="C2072" s="16" t="s">
        <v>3</v>
      </c>
      <c r="D2072" s="16">
        <v>0.02</v>
      </c>
      <c r="E2072" s="17">
        <f>G2069</f>
        <v>52372.693333333336</v>
      </c>
      <c r="F2072" s="55">
        <f>D2072*E2072</f>
        <v>1047.4538666666667</v>
      </c>
      <c r="G2072" s="1116"/>
    </row>
    <row r="2073" spans="1:7" s="145" customFormat="1" ht="15.75" customHeight="1">
      <c r="A2073" s="151"/>
      <c r="B2073" s="152"/>
      <c r="C2073" s="152"/>
      <c r="D2073" s="152"/>
      <c r="E2073" s="152"/>
      <c r="F2073" s="152"/>
      <c r="G2073" s="57">
        <f>SUM(F2072:F2073)</f>
        <v>1047.4538666666667</v>
      </c>
    </row>
    <row r="2074" spans="1:7" s="145" customFormat="1" ht="15.75" customHeight="1">
      <c r="A2074" s="1114" t="s">
        <v>19</v>
      </c>
      <c r="B2074" s="1115"/>
      <c r="C2074" s="1115"/>
      <c r="D2074" s="1115"/>
      <c r="E2074" s="1115"/>
      <c r="F2074" s="1115"/>
      <c r="G2074" s="1116"/>
    </row>
    <row r="2075" spans="1:7" s="2" customFormat="1" ht="15.75" customHeight="1">
      <c r="A2075" s="1074" t="s">
        <v>2</v>
      </c>
      <c r="B2075" s="1115"/>
      <c r="C2075" s="53" t="s">
        <v>3</v>
      </c>
      <c r="D2075" s="53" t="s">
        <v>4</v>
      </c>
      <c r="E2075" s="53" t="s">
        <v>6</v>
      </c>
      <c r="F2075" s="53" t="s">
        <v>11</v>
      </c>
      <c r="G2075" s="1075" t="s">
        <v>8</v>
      </c>
    </row>
    <row r="2076" spans="1:7" s="145" customFormat="1" ht="15.75" customHeight="1">
      <c r="A2076" s="978" t="s">
        <v>1256</v>
      </c>
      <c r="B2076" s="979"/>
      <c r="C2076" s="13" t="s">
        <v>1245</v>
      </c>
      <c r="D2076" s="32">
        <v>0.2</v>
      </c>
      <c r="E2076" s="13">
        <v>20030</v>
      </c>
      <c r="F2076" s="55">
        <f>+D2076*E2076</f>
        <v>4006</v>
      </c>
      <c r="G2076" s="1116"/>
    </row>
    <row r="2077" spans="1:7" s="145" customFormat="1" ht="15.75" customHeight="1">
      <c r="A2077" s="155"/>
      <c r="B2077" s="156"/>
      <c r="C2077" s="156"/>
      <c r="D2077" s="156"/>
      <c r="E2077" s="156"/>
      <c r="F2077" s="156"/>
      <c r="G2077" s="57">
        <f>SUM(F2075:F2077)</f>
        <v>4006</v>
      </c>
    </row>
    <row r="2078" spans="1:7" s="145" customFormat="1" ht="15.75" customHeight="1">
      <c r="A2078" s="1119" t="s">
        <v>25</v>
      </c>
      <c r="B2078" s="1120"/>
      <c r="C2078" s="1120"/>
      <c r="D2078" s="1120"/>
      <c r="E2078" s="1120"/>
      <c r="F2078" s="1120"/>
      <c r="G2078" s="1121"/>
    </row>
    <row r="2079" spans="1:7" s="145" customFormat="1" ht="15" customHeight="1">
      <c r="A2079" s="1122"/>
      <c r="B2079" s="1120"/>
      <c r="C2079" s="1120"/>
      <c r="D2079" s="1120"/>
      <c r="E2079" s="1120"/>
      <c r="F2079" s="1120"/>
      <c r="G2079" s="157">
        <f>G2077+G2073+G2069+G2064</f>
        <v>57626.44720000001</v>
      </c>
    </row>
    <row r="2080" spans="1:7" s="145" customFormat="1" ht="15.75" customHeight="1">
      <c r="A2080" s="158"/>
      <c r="B2080" s="159"/>
      <c r="C2080" s="159"/>
      <c r="D2080" s="159"/>
      <c r="E2080" s="159"/>
      <c r="F2080" s="159"/>
      <c r="G2080" s="160"/>
    </row>
    <row r="2081" spans="1:7" s="145" customFormat="1" ht="24" customHeight="1">
      <c r="A2081" s="1123" t="s">
        <v>1</v>
      </c>
      <c r="B2081" s="1120"/>
      <c r="C2081" s="953" t="s">
        <v>594</v>
      </c>
      <c r="D2081" s="1125"/>
      <c r="E2081" s="1125"/>
      <c r="F2081" s="1125"/>
      <c r="G2081" s="1126"/>
    </row>
    <row r="2082" spans="1:7" s="145" customFormat="1" ht="15.6" customHeight="1">
      <c r="A2082" s="1124"/>
      <c r="B2082" s="1120"/>
      <c r="C2082" s="1125"/>
      <c r="D2082" s="1125"/>
      <c r="E2082" s="1125"/>
      <c r="F2082" s="1125"/>
      <c r="G2082" s="1126"/>
    </row>
    <row r="2083" spans="1:7" s="145" customFormat="1" ht="15.75" customHeight="1">
      <c r="A2083" s="1124"/>
      <c r="B2083" s="1120"/>
      <c r="C2083" s="1127" t="s">
        <v>609</v>
      </c>
      <c r="D2083" s="1120"/>
      <c r="E2083" s="1120"/>
      <c r="F2083" s="1120"/>
      <c r="G2083" s="1121"/>
    </row>
    <row r="2084" spans="1:7" s="145" customFormat="1" ht="37.200000000000003" customHeight="1">
      <c r="A2084" s="1124"/>
      <c r="B2084" s="1120"/>
      <c r="C2084" s="1128" t="s">
        <v>2</v>
      </c>
      <c r="D2084" s="1120"/>
      <c r="E2084" s="1120"/>
      <c r="F2084" s="146" t="s">
        <v>3</v>
      </c>
      <c r="G2084" s="147" t="s">
        <v>4</v>
      </c>
    </row>
    <row r="2085" spans="1:7" s="145" customFormat="1" ht="34.799999999999997">
      <c r="A2085" s="1073" t="s">
        <v>767</v>
      </c>
      <c r="B2085" s="1115"/>
      <c r="C2085" s="980" t="s">
        <v>2761</v>
      </c>
      <c r="D2085" s="1115"/>
      <c r="E2085" s="1115"/>
      <c r="F2085" s="162" t="s">
        <v>28</v>
      </c>
      <c r="G2085" s="52">
        <v>1</v>
      </c>
    </row>
    <row r="2086" spans="1:7" s="145" customFormat="1" ht="15.75" customHeight="1">
      <c r="A2086" s="1114" t="s">
        <v>5</v>
      </c>
      <c r="B2086" s="1115"/>
      <c r="C2086" s="1115"/>
      <c r="D2086" s="1115"/>
      <c r="E2086" s="1115"/>
      <c r="F2086" s="1115"/>
      <c r="G2086" s="1116"/>
    </row>
    <row r="2087" spans="1:7" s="145" customFormat="1" ht="15.75" customHeight="1">
      <c r="A2087" s="1074" t="s">
        <v>2</v>
      </c>
      <c r="B2087" s="1115"/>
      <c r="C2087" s="53" t="s">
        <v>3</v>
      </c>
      <c r="D2087" s="53" t="s">
        <v>4</v>
      </c>
      <c r="E2087" s="53" t="s">
        <v>6</v>
      </c>
      <c r="F2087" s="53" t="s">
        <v>7</v>
      </c>
      <c r="G2087" s="1075" t="s">
        <v>8</v>
      </c>
    </row>
    <row r="2088" spans="1:7" s="145" customFormat="1" ht="15.75" customHeight="1">
      <c r="A2088" s="947" t="s">
        <v>167</v>
      </c>
      <c r="B2088" s="1115"/>
      <c r="C2088" s="51" t="s">
        <v>3</v>
      </c>
      <c r="D2088" s="51">
        <v>0.05</v>
      </c>
      <c r="E2088" s="17">
        <f>G2102</f>
        <v>10015</v>
      </c>
      <c r="F2088" s="55">
        <f>D2088*E2088</f>
        <v>500.75</v>
      </c>
      <c r="G2088" s="1116"/>
    </row>
    <row r="2089" spans="1:7" s="145" customFormat="1" ht="15.75" customHeight="1">
      <c r="A2089" s="943"/>
      <c r="B2089" s="1115"/>
      <c r="C2089" s="51"/>
      <c r="D2089" s="51"/>
      <c r="E2089" s="51"/>
      <c r="F2089" s="55"/>
      <c r="G2089" s="57">
        <f>SUM(F2087:F2089)</f>
        <v>500.75</v>
      </c>
    </row>
    <row r="2090" spans="1:7" s="145" customFormat="1" ht="15.75" customHeight="1">
      <c r="A2090" s="1114" t="s">
        <v>10</v>
      </c>
      <c r="B2090" s="1115"/>
      <c r="C2090" s="1115"/>
      <c r="D2090" s="1115"/>
      <c r="E2090" s="1115"/>
      <c r="F2090" s="1115"/>
      <c r="G2090" s="1116"/>
    </row>
    <row r="2091" spans="1:7" s="150" customFormat="1" ht="15.75" customHeight="1">
      <c r="A2091" s="1074" t="s">
        <v>2</v>
      </c>
      <c r="B2091" s="1115"/>
      <c r="C2091" s="53" t="s">
        <v>3</v>
      </c>
      <c r="D2091" s="53" t="s">
        <v>4</v>
      </c>
      <c r="E2091" s="53" t="s">
        <v>6</v>
      </c>
      <c r="F2091" s="53" t="s">
        <v>11</v>
      </c>
      <c r="G2091" s="1075" t="s">
        <v>8</v>
      </c>
    </row>
    <row r="2092" spans="1:7" s="145" customFormat="1" ht="15.75" customHeight="1">
      <c r="A2092" s="947" t="s">
        <v>612</v>
      </c>
      <c r="B2092" s="1115"/>
      <c r="C2092" s="51" t="s">
        <v>3</v>
      </c>
      <c r="D2092" s="148">
        <v>10</v>
      </c>
      <c r="E2092" s="17">
        <f>+'INSUMOS ELÉCTRICOS'!E126</f>
        <v>348.66999999999996</v>
      </c>
      <c r="F2092" s="55">
        <f>D2092*E2092</f>
        <v>3486.7</v>
      </c>
      <c r="G2092" s="1075"/>
    </row>
    <row r="2093" spans="1:7" s="145" customFormat="1" ht="15.75" customHeight="1">
      <c r="A2093" s="947" t="s">
        <v>635</v>
      </c>
      <c r="B2093" s="1115"/>
      <c r="C2093" s="51" t="s">
        <v>3</v>
      </c>
      <c r="D2093" s="148">
        <v>1</v>
      </c>
      <c r="E2093" s="17">
        <f>+'INSUMOS ELÉCTRICOS'!E54</f>
        <v>67400.41</v>
      </c>
      <c r="F2093" s="55">
        <f>D2093*E2093</f>
        <v>67400.41</v>
      </c>
      <c r="G2093" s="1075"/>
    </row>
    <row r="2094" spans="1:7" s="145" customFormat="1" ht="15.75" customHeight="1">
      <c r="A2094" s="947"/>
      <c r="B2094" s="1115"/>
      <c r="C2094" s="16"/>
      <c r="D2094" s="58"/>
      <c r="E2094" s="17"/>
      <c r="F2094" s="55"/>
      <c r="G2094" s="57">
        <f>SUM(F2091:F2094)</f>
        <v>70887.11</v>
      </c>
    </row>
    <row r="2095" spans="1:7" s="145" customFormat="1" ht="15.75" customHeight="1">
      <c r="A2095" s="1114" t="s">
        <v>15</v>
      </c>
      <c r="B2095" s="1115"/>
      <c r="C2095" s="1115"/>
      <c r="D2095" s="1115"/>
      <c r="E2095" s="1115"/>
      <c r="F2095" s="1115"/>
      <c r="G2095" s="1116"/>
    </row>
    <row r="2096" spans="1:7" s="145" customFormat="1" ht="15.75" customHeight="1">
      <c r="A2096" s="1074" t="s">
        <v>2</v>
      </c>
      <c r="B2096" s="1115"/>
      <c r="C2096" s="53" t="s">
        <v>3</v>
      </c>
      <c r="D2096" s="53" t="s">
        <v>4</v>
      </c>
      <c r="E2096" s="53" t="s">
        <v>6</v>
      </c>
      <c r="F2096" s="53" t="s">
        <v>11</v>
      </c>
      <c r="G2096" s="1075" t="s">
        <v>8</v>
      </c>
    </row>
    <row r="2097" spans="1:7" s="145" customFormat="1" ht="15.75" customHeight="1">
      <c r="A2097" s="943" t="s">
        <v>173</v>
      </c>
      <c r="B2097" s="1115"/>
      <c r="C2097" s="16" t="s">
        <v>3</v>
      </c>
      <c r="D2097" s="16">
        <v>0.01</v>
      </c>
      <c r="E2097" s="17">
        <f>G2094</f>
        <v>70887.11</v>
      </c>
      <c r="F2097" s="55">
        <f>D2097*E2097</f>
        <v>708.87110000000007</v>
      </c>
      <c r="G2097" s="1116"/>
    </row>
    <row r="2098" spans="1:7" s="145" customFormat="1" ht="15.75" customHeight="1">
      <c r="A2098" s="151"/>
      <c r="B2098" s="152"/>
      <c r="C2098" s="152"/>
      <c r="D2098" s="152"/>
      <c r="E2098" s="152"/>
      <c r="F2098" s="152"/>
      <c r="G2098" s="57">
        <f>SUM(F2097:F2098)</f>
        <v>708.87110000000007</v>
      </c>
    </row>
    <row r="2099" spans="1:7" s="145" customFormat="1" ht="15.75" customHeight="1">
      <c r="A2099" s="1114" t="s">
        <v>19</v>
      </c>
      <c r="B2099" s="1115"/>
      <c r="C2099" s="1115"/>
      <c r="D2099" s="1115"/>
      <c r="E2099" s="1115"/>
      <c r="F2099" s="1115"/>
      <c r="G2099" s="1116"/>
    </row>
    <row r="2100" spans="1:7" s="2" customFormat="1" ht="15.75" customHeight="1">
      <c r="A2100" s="1074" t="s">
        <v>2</v>
      </c>
      <c r="B2100" s="1115"/>
      <c r="C2100" s="53" t="s">
        <v>3</v>
      </c>
      <c r="D2100" s="53" t="s">
        <v>4</v>
      </c>
      <c r="E2100" s="53" t="s">
        <v>6</v>
      </c>
      <c r="F2100" s="53" t="s">
        <v>11</v>
      </c>
      <c r="G2100" s="1075" t="s">
        <v>8</v>
      </c>
    </row>
    <row r="2101" spans="1:7" s="145" customFormat="1" ht="15.75" customHeight="1">
      <c r="A2101" s="978" t="s">
        <v>1256</v>
      </c>
      <c r="B2101" s="979"/>
      <c r="C2101" s="13" t="s">
        <v>1245</v>
      </c>
      <c r="D2101" s="32">
        <v>0.5</v>
      </c>
      <c r="E2101" s="13">
        <v>20030</v>
      </c>
      <c r="F2101" s="55">
        <f>+D2101*E2101</f>
        <v>10015</v>
      </c>
      <c r="G2101" s="1116"/>
    </row>
    <row r="2102" spans="1:7" s="145" customFormat="1" ht="15.75" customHeight="1">
      <c r="A2102" s="155"/>
      <c r="B2102" s="156"/>
      <c r="C2102" s="156"/>
      <c r="D2102" s="156"/>
      <c r="E2102" s="156"/>
      <c r="F2102" s="156"/>
      <c r="G2102" s="57">
        <f>SUM(F2100:F2102)</f>
        <v>10015</v>
      </c>
    </row>
    <row r="2103" spans="1:7" s="145" customFormat="1" ht="15.75" customHeight="1">
      <c r="A2103" s="1119" t="s">
        <v>25</v>
      </c>
      <c r="B2103" s="1120"/>
      <c r="C2103" s="1120"/>
      <c r="D2103" s="1120"/>
      <c r="E2103" s="1120"/>
      <c r="F2103" s="1120"/>
      <c r="G2103" s="1121"/>
    </row>
    <row r="2104" spans="1:7" s="145" customFormat="1" ht="15" customHeight="1">
      <c r="A2104" s="1122"/>
      <c r="B2104" s="1120"/>
      <c r="C2104" s="1120"/>
      <c r="D2104" s="1120"/>
      <c r="E2104" s="1120"/>
      <c r="F2104" s="1120"/>
      <c r="G2104" s="157">
        <f>G2102+G2098+G2094+G2089</f>
        <v>82111.731100000005</v>
      </c>
    </row>
    <row r="2105" spans="1:7" s="145" customFormat="1" ht="13.8">
      <c r="A2105" s="158"/>
      <c r="B2105" s="159"/>
      <c r="C2105" s="159"/>
      <c r="D2105" s="159"/>
      <c r="E2105" s="159"/>
      <c r="F2105" s="159"/>
      <c r="G2105" s="160"/>
    </row>
    <row r="2106" spans="1:7" s="150" customFormat="1" ht="13.8">
      <c r="A2106" s="1123" t="s">
        <v>1</v>
      </c>
      <c r="B2106" s="1120"/>
      <c r="C2106" s="953" t="s">
        <v>594</v>
      </c>
      <c r="D2106" s="1125"/>
      <c r="E2106" s="1125"/>
      <c r="F2106" s="1125"/>
      <c r="G2106" s="1126"/>
    </row>
    <row r="2107" spans="1:7" s="145" customFormat="1" ht="13.8">
      <c r="A2107" s="1124"/>
      <c r="B2107" s="1120"/>
      <c r="C2107" s="1125"/>
      <c r="D2107" s="1125"/>
      <c r="E2107" s="1125"/>
      <c r="F2107" s="1125"/>
      <c r="G2107" s="1126"/>
    </row>
    <row r="2108" spans="1:7" s="145" customFormat="1" ht="17.399999999999999">
      <c r="A2108" s="1124"/>
      <c r="B2108" s="1120"/>
      <c r="C2108" s="1127" t="s">
        <v>637</v>
      </c>
      <c r="D2108" s="1120"/>
      <c r="E2108" s="1120"/>
      <c r="F2108" s="1120"/>
      <c r="G2108" s="1121"/>
    </row>
    <row r="2109" spans="1:7" s="145" customFormat="1" ht="13.8">
      <c r="A2109" s="1124"/>
      <c r="B2109" s="1120"/>
      <c r="C2109" s="1128" t="s">
        <v>2</v>
      </c>
      <c r="D2109" s="1120"/>
      <c r="E2109" s="1120"/>
      <c r="F2109" s="146" t="s">
        <v>3</v>
      </c>
      <c r="G2109" s="147" t="s">
        <v>4</v>
      </c>
    </row>
    <row r="2110" spans="1:7" s="145" customFormat="1" ht="106.95" customHeight="1">
      <c r="A2110" s="1073" t="s">
        <v>768</v>
      </c>
      <c r="B2110" s="1115"/>
      <c r="C2110" s="980" t="s">
        <v>769</v>
      </c>
      <c r="D2110" s="1115"/>
      <c r="E2110" s="1115"/>
      <c r="F2110" s="162" t="s">
        <v>28</v>
      </c>
      <c r="G2110" s="52">
        <v>1</v>
      </c>
    </row>
    <row r="2111" spans="1:7" s="145" customFormat="1" ht="13.8">
      <c r="A2111" s="1114" t="s">
        <v>5</v>
      </c>
      <c r="B2111" s="1115"/>
      <c r="C2111" s="1115"/>
      <c r="D2111" s="1115"/>
      <c r="E2111" s="1115"/>
      <c r="F2111" s="1115"/>
      <c r="G2111" s="1116"/>
    </row>
    <row r="2112" spans="1:7" s="145" customFormat="1" ht="13.8">
      <c r="A2112" s="1074" t="s">
        <v>2</v>
      </c>
      <c r="B2112" s="1115"/>
      <c r="C2112" s="53" t="s">
        <v>3</v>
      </c>
      <c r="D2112" s="53" t="s">
        <v>4</v>
      </c>
      <c r="E2112" s="53" t="s">
        <v>6</v>
      </c>
      <c r="F2112" s="53" t="s">
        <v>7</v>
      </c>
      <c r="G2112" s="1075" t="s">
        <v>8</v>
      </c>
    </row>
    <row r="2113" spans="1:7" s="145" customFormat="1" ht="13.8">
      <c r="A2113" s="947" t="s">
        <v>167</v>
      </c>
      <c r="B2113" s="1115"/>
      <c r="C2113" s="51" t="s">
        <v>3</v>
      </c>
      <c r="D2113" s="51">
        <v>0.05</v>
      </c>
      <c r="E2113" s="17">
        <f>G2135</f>
        <v>20030</v>
      </c>
      <c r="F2113" s="55">
        <f>D2113*E2113</f>
        <v>1001.5</v>
      </c>
      <c r="G2113" s="1116"/>
    </row>
    <row r="2114" spans="1:7" s="145" customFormat="1" ht="13.8">
      <c r="A2114" s="943"/>
      <c r="B2114" s="1115"/>
      <c r="C2114" s="51"/>
      <c r="D2114" s="51"/>
      <c r="E2114" s="51"/>
      <c r="F2114" s="55"/>
      <c r="G2114" s="57">
        <f>SUM(F2112:F2114)</f>
        <v>1001.5</v>
      </c>
    </row>
    <row r="2115" spans="1:7" s="145" customFormat="1" ht="13.8">
      <c r="A2115" s="1114" t="s">
        <v>10</v>
      </c>
      <c r="B2115" s="1115"/>
      <c r="C2115" s="1115"/>
      <c r="D2115" s="1115"/>
      <c r="E2115" s="1115"/>
      <c r="F2115" s="1115"/>
      <c r="G2115" s="1116"/>
    </row>
    <row r="2116" spans="1:7" s="145" customFormat="1" ht="13.8">
      <c r="A2116" s="1074" t="s">
        <v>2</v>
      </c>
      <c r="B2116" s="1115"/>
      <c r="C2116" s="53" t="s">
        <v>3</v>
      </c>
      <c r="D2116" s="53" t="s">
        <v>4</v>
      </c>
      <c r="E2116" s="53" t="s">
        <v>6</v>
      </c>
      <c r="F2116" s="53" t="s">
        <v>11</v>
      </c>
      <c r="G2116" s="1075" t="s">
        <v>8</v>
      </c>
    </row>
    <row r="2117" spans="1:7" s="145" customFormat="1" ht="13.8">
      <c r="A2117" s="947" t="s">
        <v>612</v>
      </c>
      <c r="B2117" s="1115"/>
      <c r="C2117" s="16" t="s">
        <v>3</v>
      </c>
      <c r="D2117" s="16">
        <v>20</v>
      </c>
      <c r="E2117" s="17">
        <f>+'INSUMOS ELÉCTRICOS'!E126</f>
        <v>348.66999999999996</v>
      </c>
      <c r="F2117" s="55">
        <f t="shared" ref="F2117:F2126" si="27">D2117*E2117</f>
        <v>6973.4</v>
      </c>
      <c r="G2117" s="1075"/>
    </row>
    <row r="2118" spans="1:7" s="145" customFormat="1" ht="14.25" customHeight="1">
      <c r="A2118" s="947" t="s">
        <v>640</v>
      </c>
      <c r="B2118" s="1115"/>
      <c r="C2118" s="16" t="s">
        <v>3</v>
      </c>
      <c r="D2118" s="16">
        <v>1</v>
      </c>
      <c r="E2118" s="17">
        <f>+'INSUMOS ELÉCTRICOS'!E53</f>
        <v>20000</v>
      </c>
      <c r="F2118" s="55">
        <f t="shared" si="27"/>
        <v>20000</v>
      </c>
      <c r="G2118" s="1075"/>
    </row>
    <row r="2119" spans="1:7" s="145" customFormat="1" ht="13.8">
      <c r="A2119" s="947" t="s">
        <v>641</v>
      </c>
      <c r="B2119" s="1115"/>
      <c r="C2119" s="16" t="s">
        <v>45</v>
      </c>
      <c r="D2119" s="16">
        <v>4.2</v>
      </c>
      <c r="E2119" s="17">
        <f>+'INSUMOS ELÉCTRICOS'!E26</f>
        <v>16580.666666666668</v>
      </c>
      <c r="F2119" s="55">
        <f t="shared" si="27"/>
        <v>69638.8</v>
      </c>
      <c r="G2119" s="1075"/>
    </row>
    <row r="2120" spans="1:7" s="145" customFormat="1" ht="13.8">
      <c r="A2120" s="947" t="s">
        <v>613</v>
      </c>
      <c r="B2120" s="1115"/>
      <c r="C2120" s="16" t="s">
        <v>3</v>
      </c>
      <c r="D2120" s="16">
        <v>3</v>
      </c>
      <c r="E2120" s="17">
        <f>+'INSUMOS ELÉCTRICOS'!E24</f>
        <v>780</v>
      </c>
      <c r="F2120" s="55">
        <f t="shared" si="27"/>
        <v>2340</v>
      </c>
      <c r="G2120" s="1075"/>
    </row>
    <row r="2121" spans="1:7" s="145" customFormat="1" ht="13.8">
      <c r="A2121" s="947" t="s">
        <v>615</v>
      </c>
      <c r="B2121" s="1115"/>
      <c r="C2121" s="16" t="s">
        <v>3</v>
      </c>
      <c r="D2121" s="16">
        <v>1</v>
      </c>
      <c r="E2121" s="17">
        <f>+'INSUMOS ELÉCTRICOS'!E28</f>
        <v>2946.44</v>
      </c>
      <c r="F2121" s="55">
        <f t="shared" si="27"/>
        <v>2946.44</v>
      </c>
      <c r="G2121" s="1075"/>
    </row>
    <row r="2122" spans="1:7" s="145" customFormat="1" ht="13.8">
      <c r="A2122" s="947" t="s">
        <v>616</v>
      </c>
      <c r="B2122" s="1115"/>
      <c r="C2122" s="16" t="s">
        <v>3</v>
      </c>
      <c r="D2122" s="16">
        <v>1</v>
      </c>
      <c r="E2122" s="17">
        <f>+'INSUMOS ELÉCTRICOS'!E29</f>
        <v>4190</v>
      </c>
      <c r="F2122" s="55">
        <f t="shared" si="27"/>
        <v>4190</v>
      </c>
      <c r="G2122" s="1075"/>
    </row>
    <row r="2123" spans="1:7" s="145" customFormat="1" ht="13.8">
      <c r="A2123" s="947" t="s">
        <v>614</v>
      </c>
      <c r="B2123" s="1115"/>
      <c r="C2123" s="16" t="s">
        <v>3</v>
      </c>
      <c r="D2123" s="16">
        <v>0.5</v>
      </c>
      <c r="E2123" s="17">
        <f>+'INSUMOS ELÉCTRICOS'!E25</f>
        <v>11900</v>
      </c>
      <c r="F2123" s="55">
        <f t="shared" si="27"/>
        <v>5950</v>
      </c>
      <c r="G2123" s="1075"/>
    </row>
    <row r="2124" spans="1:7" s="145" customFormat="1" ht="14.25" customHeight="1">
      <c r="A2124" s="947" t="s">
        <v>2478</v>
      </c>
      <c r="B2124" s="1115"/>
      <c r="C2124" s="16" t="s">
        <v>45</v>
      </c>
      <c r="D2124" s="16">
        <v>12.6</v>
      </c>
      <c r="E2124" s="785">
        <v>2567.4964</v>
      </c>
      <c r="F2124" s="55">
        <f t="shared" si="27"/>
        <v>32350.45464</v>
      </c>
      <c r="G2124" s="1075"/>
    </row>
    <row r="2125" spans="1:7" s="145" customFormat="1" ht="13.8">
      <c r="A2125" s="947" t="s">
        <v>643</v>
      </c>
      <c r="B2125" s="1115"/>
      <c r="C2125" s="16" t="s">
        <v>3</v>
      </c>
      <c r="D2125" s="16">
        <v>3</v>
      </c>
      <c r="E2125" s="17">
        <f>+'INSUMOS ELÉCTRICOS'!E121</f>
        <v>1189</v>
      </c>
      <c r="F2125" s="55">
        <f t="shared" si="27"/>
        <v>3567</v>
      </c>
      <c r="G2125" s="1075"/>
    </row>
    <row r="2126" spans="1:7" s="145" customFormat="1" ht="13.8">
      <c r="A2126" s="947" t="s">
        <v>644</v>
      </c>
      <c r="B2126" s="1115"/>
      <c r="C2126" s="16" t="s">
        <v>3</v>
      </c>
      <c r="D2126" s="16">
        <v>1</v>
      </c>
      <c r="E2126" s="17">
        <f>+'INSUMOS ELÉCTRICOS'!E55</f>
        <v>9100</v>
      </c>
      <c r="F2126" s="55">
        <f t="shared" si="27"/>
        <v>9100</v>
      </c>
      <c r="G2126" s="1075"/>
    </row>
    <row r="2127" spans="1:7" s="145" customFormat="1" ht="14.25" customHeight="1">
      <c r="A2127" s="947"/>
      <c r="B2127" s="1115"/>
      <c r="C2127" s="16"/>
      <c r="D2127" s="58"/>
      <c r="E2127" s="17"/>
      <c r="F2127" s="55"/>
      <c r="G2127" s="57">
        <f>SUM(F2116:F2127)</f>
        <v>157056.09464000002</v>
      </c>
    </row>
    <row r="2128" spans="1:7" s="145" customFormat="1" ht="13.8">
      <c r="A2128" s="1114" t="s">
        <v>15</v>
      </c>
      <c r="B2128" s="1115"/>
      <c r="C2128" s="1115"/>
      <c r="D2128" s="1115"/>
      <c r="E2128" s="1115"/>
      <c r="F2128" s="1115"/>
      <c r="G2128" s="1116"/>
    </row>
    <row r="2129" spans="1:7" s="145" customFormat="1" ht="13.8">
      <c r="A2129" s="1074" t="s">
        <v>2</v>
      </c>
      <c r="B2129" s="1115"/>
      <c r="C2129" s="53" t="s">
        <v>3</v>
      </c>
      <c r="D2129" s="53" t="s">
        <v>4</v>
      </c>
      <c r="E2129" s="53" t="s">
        <v>6</v>
      </c>
      <c r="F2129" s="53" t="s">
        <v>11</v>
      </c>
      <c r="G2129" s="1075" t="s">
        <v>8</v>
      </c>
    </row>
    <row r="2130" spans="1:7" s="145" customFormat="1" ht="13.8">
      <c r="A2130" s="943" t="s">
        <v>173</v>
      </c>
      <c r="B2130" s="1115"/>
      <c r="C2130" s="16" t="s">
        <v>3</v>
      </c>
      <c r="D2130" s="16">
        <v>0.01</v>
      </c>
      <c r="E2130" s="17">
        <f>G2127</f>
        <v>157056.09464000002</v>
      </c>
      <c r="F2130" s="55">
        <f>D2130*E2130</f>
        <v>1570.5609464000004</v>
      </c>
      <c r="G2130" s="1116"/>
    </row>
    <row r="2131" spans="1:7" s="145" customFormat="1" ht="13.8">
      <c r="A2131" s="151"/>
      <c r="B2131" s="152"/>
      <c r="C2131" s="152"/>
      <c r="D2131" s="152"/>
      <c r="E2131" s="152"/>
      <c r="F2131" s="152"/>
      <c r="G2131" s="57">
        <f>SUM(F2130:F2131)</f>
        <v>1570.5609464000004</v>
      </c>
    </row>
    <row r="2132" spans="1:7" s="145" customFormat="1" ht="13.8">
      <c r="A2132" s="1114" t="s">
        <v>19</v>
      </c>
      <c r="B2132" s="1115"/>
      <c r="C2132" s="1115"/>
      <c r="D2132" s="1115"/>
      <c r="E2132" s="1115"/>
      <c r="F2132" s="1115"/>
      <c r="G2132" s="1116"/>
    </row>
    <row r="2133" spans="1:7" s="145" customFormat="1" ht="13.8">
      <c r="A2133" s="469" t="s">
        <v>20</v>
      </c>
      <c r="B2133" s="53" t="s">
        <v>21</v>
      </c>
      <c r="C2133" s="53" t="s">
        <v>22</v>
      </c>
      <c r="D2133" s="53" t="s">
        <v>23</v>
      </c>
      <c r="E2133" s="53" t="s">
        <v>24</v>
      </c>
      <c r="F2133" s="53" t="s">
        <v>11</v>
      </c>
      <c r="G2133" s="1075" t="s">
        <v>8</v>
      </c>
    </row>
    <row r="2134" spans="1:7" s="145" customFormat="1" ht="13.8">
      <c r="A2134" s="978" t="s">
        <v>1256</v>
      </c>
      <c r="B2134" s="979"/>
      <c r="C2134" s="13" t="s">
        <v>1245</v>
      </c>
      <c r="D2134" s="32">
        <v>1</v>
      </c>
      <c r="E2134" s="13">
        <v>20030</v>
      </c>
      <c r="F2134" s="55">
        <f>+D2134*E2134</f>
        <v>20030</v>
      </c>
      <c r="G2134" s="1116"/>
    </row>
    <row r="2135" spans="1:7" s="145" customFormat="1" ht="13.8">
      <c r="A2135" s="155"/>
      <c r="B2135" s="156"/>
      <c r="C2135" s="156"/>
      <c r="D2135" s="156"/>
      <c r="E2135" s="156"/>
      <c r="F2135" s="156"/>
      <c r="G2135" s="57">
        <f>SUM(F2133:F2135)</f>
        <v>20030</v>
      </c>
    </row>
    <row r="2136" spans="1:7" s="145" customFormat="1" ht="13.8">
      <c r="A2136" s="1119" t="s">
        <v>25</v>
      </c>
      <c r="B2136" s="1120"/>
      <c r="C2136" s="1120"/>
      <c r="D2136" s="1120"/>
      <c r="E2136" s="1120"/>
      <c r="F2136" s="1120"/>
      <c r="G2136" s="1121"/>
    </row>
    <row r="2137" spans="1:7" s="145" customFormat="1" ht="17.399999999999999">
      <c r="A2137" s="1122"/>
      <c r="B2137" s="1120"/>
      <c r="C2137" s="1120"/>
      <c r="D2137" s="1120"/>
      <c r="E2137" s="1120"/>
      <c r="F2137" s="1120"/>
      <c r="G2137" s="157">
        <f>+G2135+G2131+G2114+G2127</f>
        <v>179658.15558640001</v>
      </c>
    </row>
    <row r="2138" spans="1:7" s="145" customFormat="1" ht="15" customHeight="1">
      <c r="A2138" s="158"/>
      <c r="B2138" s="159"/>
      <c r="C2138" s="159"/>
      <c r="D2138" s="159"/>
      <c r="E2138" s="159"/>
      <c r="F2138" s="159"/>
      <c r="G2138" s="160"/>
    </row>
    <row r="2139" spans="1:7" s="145" customFormat="1" ht="15" customHeight="1">
      <c r="A2139" s="1123" t="s">
        <v>1</v>
      </c>
      <c r="B2139" s="1120"/>
      <c r="C2139" s="953" t="s">
        <v>594</v>
      </c>
      <c r="D2139" s="1125"/>
      <c r="E2139" s="1125"/>
      <c r="F2139" s="1125"/>
      <c r="G2139" s="1126"/>
    </row>
    <row r="2140" spans="1:7" s="145" customFormat="1" ht="15" customHeight="1">
      <c r="A2140" s="1124"/>
      <c r="B2140" s="1120"/>
      <c r="C2140" s="1125"/>
      <c r="D2140" s="1125"/>
      <c r="E2140" s="1125"/>
      <c r="F2140" s="1125"/>
      <c r="G2140" s="1126"/>
    </row>
    <row r="2141" spans="1:7" s="145" customFormat="1" ht="15" customHeight="1">
      <c r="A2141" s="1124"/>
      <c r="B2141" s="1120"/>
      <c r="C2141" s="1127" t="s">
        <v>637</v>
      </c>
      <c r="D2141" s="1120"/>
      <c r="E2141" s="1120"/>
      <c r="F2141" s="1120"/>
      <c r="G2141" s="1121"/>
    </row>
    <row r="2142" spans="1:7" s="145" customFormat="1" ht="15" customHeight="1">
      <c r="A2142" s="1124"/>
      <c r="B2142" s="1120"/>
      <c r="C2142" s="1128" t="s">
        <v>2</v>
      </c>
      <c r="D2142" s="1120"/>
      <c r="E2142" s="1120"/>
      <c r="F2142" s="146" t="s">
        <v>3</v>
      </c>
      <c r="G2142" s="147" t="s">
        <v>4</v>
      </c>
    </row>
    <row r="2143" spans="1:7" s="145" customFormat="1" ht="102.75" customHeight="1">
      <c r="A2143" s="1073" t="s">
        <v>770</v>
      </c>
      <c r="B2143" s="1115"/>
      <c r="C2143" s="980" t="s">
        <v>771</v>
      </c>
      <c r="D2143" s="1115"/>
      <c r="E2143" s="1115"/>
      <c r="F2143" s="162" t="s">
        <v>28</v>
      </c>
      <c r="G2143" s="52">
        <v>1</v>
      </c>
    </row>
    <row r="2144" spans="1:7" s="145" customFormat="1" ht="15" customHeight="1">
      <c r="A2144" s="1114" t="s">
        <v>5</v>
      </c>
      <c r="B2144" s="1115"/>
      <c r="C2144" s="1115"/>
      <c r="D2144" s="1115"/>
      <c r="E2144" s="1115"/>
      <c r="F2144" s="1115"/>
      <c r="G2144" s="1116"/>
    </row>
    <row r="2145" spans="1:7" s="145" customFormat="1" ht="15" customHeight="1">
      <c r="A2145" s="1074" t="s">
        <v>2</v>
      </c>
      <c r="B2145" s="1115"/>
      <c r="C2145" s="53" t="s">
        <v>3</v>
      </c>
      <c r="D2145" s="53" t="s">
        <v>4</v>
      </c>
      <c r="E2145" s="53" t="s">
        <v>6</v>
      </c>
      <c r="F2145" s="53" t="s">
        <v>7</v>
      </c>
      <c r="G2145" s="1075" t="s">
        <v>8</v>
      </c>
    </row>
    <row r="2146" spans="1:7" s="145" customFormat="1" ht="15" customHeight="1">
      <c r="A2146" s="947" t="s">
        <v>167</v>
      </c>
      <c r="B2146" s="1115"/>
      <c r="C2146" s="51" t="s">
        <v>3</v>
      </c>
      <c r="D2146" s="51">
        <v>0.05</v>
      </c>
      <c r="E2146" s="17">
        <f>G2168</f>
        <v>20030</v>
      </c>
      <c r="F2146" s="55">
        <f>D2146*E2146</f>
        <v>1001.5</v>
      </c>
      <c r="G2146" s="1116"/>
    </row>
    <row r="2147" spans="1:7" s="145" customFormat="1" ht="15" customHeight="1">
      <c r="A2147" s="943"/>
      <c r="B2147" s="1115"/>
      <c r="C2147" s="51"/>
      <c r="D2147" s="51"/>
      <c r="E2147" s="51"/>
      <c r="F2147" s="55"/>
      <c r="G2147" s="57">
        <f>SUM(F2145:F2147)</f>
        <v>1001.5</v>
      </c>
    </row>
    <row r="2148" spans="1:7" s="145" customFormat="1" ht="15" customHeight="1">
      <c r="A2148" s="1114" t="s">
        <v>10</v>
      </c>
      <c r="B2148" s="1115"/>
      <c r="C2148" s="1115"/>
      <c r="D2148" s="1115"/>
      <c r="E2148" s="1115"/>
      <c r="F2148" s="1115"/>
      <c r="G2148" s="1116"/>
    </row>
    <row r="2149" spans="1:7" s="145" customFormat="1" ht="15" customHeight="1">
      <c r="A2149" s="1074" t="s">
        <v>2</v>
      </c>
      <c r="B2149" s="1115"/>
      <c r="C2149" s="53" t="s">
        <v>3</v>
      </c>
      <c r="D2149" s="53" t="s">
        <v>4</v>
      </c>
      <c r="E2149" s="53" t="s">
        <v>6</v>
      </c>
      <c r="F2149" s="53" t="s">
        <v>11</v>
      </c>
      <c r="G2149" s="1075" t="s">
        <v>8</v>
      </c>
    </row>
    <row r="2150" spans="1:7" s="145" customFormat="1" ht="15" customHeight="1">
      <c r="A2150" s="947" t="s">
        <v>612</v>
      </c>
      <c r="B2150" s="1115"/>
      <c r="C2150" s="16" t="s">
        <v>3</v>
      </c>
      <c r="D2150" s="16">
        <v>20</v>
      </c>
      <c r="E2150" s="17">
        <f>+'INSUMOS ELÉCTRICOS'!E126</f>
        <v>348.66999999999996</v>
      </c>
      <c r="F2150" s="55">
        <f t="shared" ref="F2150:F2159" si="28">D2150*E2150</f>
        <v>6973.4</v>
      </c>
      <c r="G2150" s="1075"/>
    </row>
    <row r="2151" spans="1:7" s="145" customFormat="1" ht="15" customHeight="1">
      <c r="A2151" s="947" t="s">
        <v>640</v>
      </c>
      <c r="B2151" s="1115"/>
      <c r="C2151" s="16" t="s">
        <v>3</v>
      </c>
      <c r="D2151" s="16">
        <v>1</v>
      </c>
      <c r="E2151" s="17">
        <f>+'INSUMOS ELÉCTRICOS'!E53</f>
        <v>20000</v>
      </c>
      <c r="F2151" s="55">
        <f t="shared" si="28"/>
        <v>20000</v>
      </c>
      <c r="G2151" s="1075"/>
    </row>
    <row r="2152" spans="1:7" s="145" customFormat="1" ht="15" customHeight="1">
      <c r="A2152" s="947" t="s">
        <v>641</v>
      </c>
      <c r="B2152" s="1115"/>
      <c r="C2152" s="16" t="s">
        <v>45</v>
      </c>
      <c r="D2152" s="16">
        <v>4.2</v>
      </c>
      <c r="E2152" s="17">
        <f>+'INSUMOS ELÉCTRICOS'!E26</f>
        <v>16580.666666666668</v>
      </c>
      <c r="F2152" s="55">
        <f t="shared" si="28"/>
        <v>69638.8</v>
      </c>
      <c r="G2152" s="1075"/>
    </row>
    <row r="2153" spans="1:7" s="145" customFormat="1" ht="15.75" customHeight="1">
      <c r="A2153" s="947" t="s">
        <v>613</v>
      </c>
      <c r="B2153" s="1115"/>
      <c r="C2153" s="16" t="s">
        <v>3</v>
      </c>
      <c r="D2153" s="16">
        <v>3</v>
      </c>
      <c r="E2153" s="17">
        <f>+'INSUMOS ELÉCTRICOS'!E24</f>
        <v>780</v>
      </c>
      <c r="F2153" s="55">
        <f t="shared" si="28"/>
        <v>2340</v>
      </c>
      <c r="G2153" s="1075"/>
    </row>
    <row r="2154" spans="1:7" s="145" customFormat="1" ht="15" customHeight="1">
      <c r="A2154" s="947" t="s">
        <v>615</v>
      </c>
      <c r="B2154" s="1115"/>
      <c r="C2154" s="16" t="s">
        <v>3</v>
      </c>
      <c r="D2154" s="16">
        <v>1</v>
      </c>
      <c r="E2154" s="17">
        <f>+'INSUMOS ELÉCTRICOS'!E28</f>
        <v>2946.44</v>
      </c>
      <c r="F2154" s="55">
        <f t="shared" si="28"/>
        <v>2946.44</v>
      </c>
      <c r="G2154" s="1075"/>
    </row>
    <row r="2155" spans="1:7" s="145" customFormat="1" ht="15" customHeight="1">
      <c r="A2155" s="947" t="s">
        <v>616</v>
      </c>
      <c r="B2155" s="1115"/>
      <c r="C2155" s="16" t="s">
        <v>3</v>
      </c>
      <c r="D2155" s="16">
        <v>1</v>
      </c>
      <c r="E2155" s="17">
        <f>+'INSUMOS ELÉCTRICOS'!E29</f>
        <v>4190</v>
      </c>
      <c r="F2155" s="55">
        <f t="shared" si="28"/>
        <v>4190</v>
      </c>
      <c r="G2155" s="1075"/>
    </row>
    <row r="2156" spans="1:7" s="145" customFormat="1" ht="15" customHeight="1">
      <c r="A2156" s="947" t="s">
        <v>614</v>
      </c>
      <c r="B2156" s="1115"/>
      <c r="C2156" s="16" t="s">
        <v>3</v>
      </c>
      <c r="D2156" s="16">
        <v>0.5</v>
      </c>
      <c r="E2156" s="17">
        <f>+'INSUMOS ELÉCTRICOS'!E25</f>
        <v>11900</v>
      </c>
      <c r="F2156" s="55">
        <f t="shared" si="28"/>
        <v>5950</v>
      </c>
      <c r="G2156" s="1075"/>
    </row>
    <row r="2157" spans="1:7" s="145" customFormat="1" ht="15.75" customHeight="1">
      <c r="A2157" s="947" t="s">
        <v>2478</v>
      </c>
      <c r="B2157" s="1115"/>
      <c r="C2157" s="16" t="s">
        <v>45</v>
      </c>
      <c r="D2157" s="16">
        <v>12.6</v>
      </c>
      <c r="E2157" s="785">
        <v>2567.4964</v>
      </c>
      <c r="F2157" s="55">
        <f t="shared" si="28"/>
        <v>32350.45464</v>
      </c>
      <c r="G2157" s="1075"/>
    </row>
    <row r="2158" spans="1:7" s="2" customFormat="1" ht="15.75" customHeight="1">
      <c r="A2158" s="947" t="s">
        <v>643</v>
      </c>
      <c r="B2158" s="1115"/>
      <c r="C2158" s="16" t="s">
        <v>3</v>
      </c>
      <c r="D2158" s="16">
        <v>3</v>
      </c>
      <c r="E2158" s="17">
        <f>+'INSUMOS ELÉCTRICOS'!E121</f>
        <v>1189</v>
      </c>
      <c r="F2158" s="55">
        <f t="shared" si="28"/>
        <v>3567</v>
      </c>
      <c r="G2158" s="1075"/>
    </row>
    <row r="2159" spans="1:7" s="145" customFormat="1" ht="15" customHeight="1">
      <c r="A2159" s="947" t="s">
        <v>644</v>
      </c>
      <c r="B2159" s="1115"/>
      <c r="C2159" s="16" t="s">
        <v>3</v>
      </c>
      <c r="D2159" s="16">
        <v>1</v>
      </c>
      <c r="E2159" s="17">
        <f>+'INSUMOS ELÉCTRICOS'!E55</f>
        <v>9100</v>
      </c>
      <c r="F2159" s="55">
        <f t="shared" si="28"/>
        <v>9100</v>
      </c>
      <c r="G2159" s="1075"/>
    </row>
    <row r="2160" spans="1:7" s="145" customFormat="1" ht="15" customHeight="1">
      <c r="A2160" s="947"/>
      <c r="B2160" s="1115"/>
      <c r="C2160" s="16"/>
      <c r="D2160" s="58"/>
      <c r="E2160" s="17"/>
      <c r="F2160" s="55"/>
      <c r="G2160" s="57">
        <f>SUM(F2149:F2160)</f>
        <v>157056.09464000002</v>
      </c>
    </row>
    <row r="2161" spans="1:7" s="145" customFormat="1" ht="15" customHeight="1">
      <c r="A2161" s="1114" t="s">
        <v>15</v>
      </c>
      <c r="B2161" s="1115"/>
      <c r="C2161" s="1115"/>
      <c r="D2161" s="1115"/>
      <c r="E2161" s="1115"/>
      <c r="F2161" s="1115"/>
      <c r="G2161" s="1116"/>
    </row>
    <row r="2162" spans="1:7" s="145" customFormat="1" ht="15" customHeight="1">
      <c r="A2162" s="1074" t="s">
        <v>2</v>
      </c>
      <c r="B2162" s="1115"/>
      <c r="C2162" s="53" t="s">
        <v>3</v>
      </c>
      <c r="D2162" s="53" t="s">
        <v>4</v>
      </c>
      <c r="E2162" s="53" t="s">
        <v>6</v>
      </c>
      <c r="F2162" s="53" t="s">
        <v>11</v>
      </c>
      <c r="G2162" s="1075" t="s">
        <v>8</v>
      </c>
    </row>
    <row r="2163" spans="1:7" s="145" customFormat="1" ht="15" customHeight="1">
      <c r="A2163" s="943" t="s">
        <v>173</v>
      </c>
      <c r="B2163" s="1115"/>
      <c r="C2163" s="16" t="s">
        <v>3</v>
      </c>
      <c r="D2163" s="16">
        <v>0.01</v>
      </c>
      <c r="E2163" s="17">
        <f>G2160</f>
        <v>157056.09464000002</v>
      </c>
      <c r="F2163" s="55">
        <f>D2163*E2163</f>
        <v>1570.5609464000004</v>
      </c>
      <c r="G2163" s="1116"/>
    </row>
    <row r="2164" spans="1:7" s="145" customFormat="1" ht="15" customHeight="1">
      <c r="A2164" s="151"/>
      <c r="B2164" s="152"/>
      <c r="C2164" s="152"/>
      <c r="D2164" s="152"/>
      <c r="E2164" s="152"/>
      <c r="F2164" s="152"/>
      <c r="G2164" s="57">
        <f>SUM(F2163:F2164)</f>
        <v>1570.5609464000004</v>
      </c>
    </row>
    <row r="2165" spans="1:7" s="145" customFormat="1" ht="15" customHeight="1">
      <c r="A2165" s="1114" t="s">
        <v>19</v>
      </c>
      <c r="B2165" s="1115"/>
      <c r="C2165" s="1115"/>
      <c r="D2165" s="1115"/>
      <c r="E2165" s="1115"/>
      <c r="F2165" s="1115"/>
      <c r="G2165" s="1116"/>
    </row>
    <row r="2166" spans="1:7" s="145" customFormat="1" ht="15" customHeight="1">
      <c r="A2166" s="469" t="s">
        <v>20</v>
      </c>
      <c r="B2166" s="53" t="s">
        <v>21</v>
      </c>
      <c r="C2166" s="53" t="s">
        <v>22</v>
      </c>
      <c r="D2166" s="53" t="s">
        <v>23</v>
      </c>
      <c r="E2166" s="53" t="s">
        <v>24</v>
      </c>
      <c r="F2166" s="53" t="s">
        <v>11</v>
      </c>
      <c r="G2166" s="1075" t="s">
        <v>8</v>
      </c>
    </row>
    <row r="2167" spans="1:7" s="145" customFormat="1" ht="13.8">
      <c r="A2167" s="978" t="s">
        <v>1256</v>
      </c>
      <c r="B2167" s="979"/>
      <c r="C2167" s="13" t="s">
        <v>1245</v>
      </c>
      <c r="D2167" s="32">
        <v>1</v>
      </c>
      <c r="E2167" s="13">
        <v>20030</v>
      </c>
      <c r="F2167" s="55">
        <f>+D2167*E2167</f>
        <v>20030</v>
      </c>
      <c r="G2167" s="1116"/>
    </row>
    <row r="2168" spans="1:7" s="145" customFormat="1" ht="15" customHeight="1">
      <c r="A2168" s="155"/>
      <c r="B2168" s="156"/>
      <c r="C2168" s="156"/>
      <c r="D2168" s="156"/>
      <c r="E2168" s="156"/>
      <c r="F2168" s="156"/>
      <c r="G2168" s="57">
        <f>SUM(F2166:F2168)</f>
        <v>20030</v>
      </c>
    </row>
    <row r="2169" spans="1:7" s="145" customFormat="1" ht="15" customHeight="1">
      <c r="A2169" s="1119" t="s">
        <v>25</v>
      </c>
      <c r="B2169" s="1120"/>
      <c r="C2169" s="1120"/>
      <c r="D2169" s="1120"/>
      <c r="E2169" s="1120"/>
      <c r="F2169" s="1120"/>
      <c r="G2169" s="1121"/>
    </row>
    <row r="2170" spans="1:7" s="145" customFormat="1" ht="15" customHeight="1">
      <c r="A2170" s="1122"/>
      <c r="B2170" s="1120"/>
      <c r="C2170" s="1120"/>
      <c r="D2170" s="1120"/>
      <c r="E2170" s="1120"/>
      <c r="F2170" s="1120"/>
      <c r="G2170" s="157">
        <f>+G2168+G2164+G2147+G2160</f>
        <v>179658.15558640001</v>
      </c>
    </row>
    <row r="2171" spans="1:7" s="145" customFormat="1" ht="15.75" customHeight="1">
      <c r="A2171" s="158"/>
      <c r="B2171" s="159"/>
      <c r="C2171" s="159"/>
      <c r="D2171" s="159"/>
      <c r="E2171" s="159"/>
      <c r="F2171" s="159"/>
      <c r="G2171" s="160"/>
    </row>
    <row r="2172" spans="1:7" s="150" customFormat="1" ht="15.75" customHeight="1">
      <c r="A2172" s="1123" t="s">
        <v>1</v>
      </c>
      <c r="B2172" s="1120"/>
      <c r="C2172" s="953" t="s">
        <v>594</v>
      </c>
      <c r="D2172" s="1125"/>
      <c r="E2172" s="1125"/>
      <c r="F2172" s="1125"/>
      <c r="G2172" s="1126"/>
    </row>
    <row r="2173" spans="1:7" s="145" customFormat="1" ht="24.6" customHeight="1">
      <c r="A2173" s="1124"/>
      <c r="B2173" s="1120"/>
      <c r="C2173" s="1125"/>
      <c r="D2173" s="1125"/>
      <c r="E2173" s="1125"/>
      <c r="F2173" s="1125"/>
      <c r="G2173" s="1126"/>
    </row>
    <row r="2174" spans="1:7" s="145" customFormat="1" ht="15.75" customHeight="1">
      <c r="A2174" s="1124"/>
      <c r="B2174" s="1120"/>
      <c r="C2174" s="1127" t="s">
        <v>637</v>
      </c>
      <c r="D2174" s="1120"/>
      <c r="E2174" s="1120"/>
      <c r="F2174" s="1120"/>
      <c r="G2174" s="1121"/>
    </row>
    <row r="2175" spans="1:7" s="145" customFormat="1" ht="15.75" customHeight="1">
      <c r="A2175" s="1124"/>
      <c r="B2175" s="1120"/>
      <c r="C2175" s="1128" t="s">
        <v>2</v>
      </c>
      <c r="D2175" s="1120"/>
      <c r="E2175" s="1120"/>
      <c r="F2175" s="146" t="s">
        <v>3</v>
      </c>
      <c r="G2175" s="147" t="s">
        <v>4</v>
      </c>
    </row>
    <row r="2176" spans="1:7" s="145" customFormat="1" ht="113.25" customHeight="1">
      <c r="A2176" s="1073" t="s">
        <v>772</v>
      </c>
      <c r="B2176" s="1115"/>
      <c r="C2176" s="980" t="s">
        <v>773</v>
      </c>
      <c r="D2176" s="1115"/>
      <c r="E2176" s="1115"/>
      <c r="F2176" s="162" t="s">
        <v>28</v>
      </c>
      <c r="G2176" s="52">
        <v>1</v>
      </c>
    </row>
    <row r="2177" spans="1:7" s="145" customFormat="1" ht="15.75" customHeight="1">
      <c r="A2177" s="1114" t="s">
        <v>5</v>
      </c>
      <c r="B2177" s="1115"/>
      <c r="C2177" s="1115"/>
      <c r="D2177" s="1115"/>
      <c r="E2177" s="1115"/>
      <c r="F2177" s="1115"/>
      <c r="G2177" s="1116"/>
    </row>
    <row r="2178" spans="1:7" s="145" customFormat="1" ht="15.75" customHeight="1">
      <c r="A2178" s="1074" t="s">
        <v>2</v>
      </c>
      <c r="B2178" s="1115"/>
      <c r="C2178" s="53" t="s">
        <v>3</v>
      </c>
      <c r="D2178" s="53" t="s">
        <v>4</v>
      </c>
      <c r="E2178" s="53" t="s">
        <v>6</v>
      </c>
      <c r="F2178" s="53" t="s">
        <v>7</v>
      </c>
      <c r="G2178" s="1075" t="s">
        <v>8</v>
      </c>
    </row>
    <row r="2179" spans="1:7" s="145" customFormat="1" ht="15.75" customHeight="1">
      <c r="A2179" s="947" t="s">
        <v>167</v>
      </c>
      <c r="B2179" s="1115"/>
      <c r="C2179" s="51" t="s">
        <v>3</v>
      </c>
      <c r="D2179" s="51">
        <v>0.05</v>
      </c>
      <c r="E2179" s="17">
        <f>G2201</f>
        <v>20030</v>
      </c>
      <c r="F2179" s="55">
        <f>D2179*E2179</f>
        <v>1001.5</v>
      </c>
      <c r="G2179" s="1116"/>
    </row>
    <row r="2180" spans="1:7" s="145" customFormat="1" ht="15.75" customHeight="1">
      <c r="A2180" s="943"/>
      <c r="B2180" s="1115"/>
      <c r="C2180" s="51"/>
      <c r="D2180" s="51"/>
      <c r="E2180" s="51"/>
      <c r="F2180" s="55"/>
      <c r="G2180" s="57">
        <f>SUM(F2178:F2180)</f>
        <v>1001.5</v>
      </c>
    </row>
    <row r="2181" spans="1:7" s="145" customFormat="1" ht="15.75" customHeight="1">
      <c r="A2181" s="1114" t="s">
        <v>10</v>
      </c>
      <c r="B2181" s="1115"/>
      <c r="C2181" s="1115"/>
      <c r="D2181" s="1115"/>
      <c r="E2181" s="1115"/>
      <c r="F2181" s="1115"/>
      <c r="G2181" s="1116"/>
    </row>
    <row r="2182" spans="1:7" s="145" customFormat="1" ht="24" customHeight="1">
      <c r="A2182" s="1074" t="s">
        <v>2</v>
      </c>
      <c r="B2182" s="1115"/>
      <c r="C2182" s="53" t="s">
        <v>3</v>
      </c>
      <c r="D2182" s="53" t="s">
        <v>4</v>
      </c>
      <c r="E2182" s="53" t="s">
        <v>6</v>
      </c>
      <c r="F2182" s="53" t="s">
        <v>11</v>
      </c>
      <c r="G2182" s="1075" t="s">
        <v>8</v>
      </c>
    </row>
    <row r="2183" spans="1:7" s="145" customFormat="1" ht="15.75" customHeight="1">
      <c r="A2183" s="947" t="s">
        <v>612</v>
      </c>
      <c r="B2183" s="1115"/>
      <c r="C2183" s="16" t="s">
        <v>3</v>
      </c>
      <c r="D2183" s="16">
        <v>20</v>
      </c>
      <c r="E2183" s="17">
        <f>+'INSUMOS ELÉCTRICOS'!E126</f>
        <v>348.66999999999996</v>
      </c>
      <c r="F2183" s="55">
        <f t="shared" ref="F2183:F2192" si="29">D2183*E2183</f>
        <v>6973.4</v>
      </c>
      <c r="G2183" s="1075"/>
    </row>
    <row r="2184" spans="1:7" s="145" customFormat="1" ht="15.75" customHeight="1">
      <c r="A2184" s="947" t="s">
        <v>640</v>
      </c>
      <c r="B2184" s="1115"/>
      <c r="C2184" s="16" t="s">
        <v>3</v>
      </c>
      <c r="D2184" s="16">
        <v>1</v>
      </c>
      <c r="E2184" s="17">
        <f>+'INSUMOS ELÉCTRICOS'!E53</f>
        <v>20000</v>
      </c>
      <c r="F2184" s="55">
        <f t="shared" si="29"/>
        <v>20000</v>
      </c>
      <c r="G2184" s="1075"/>
    </row>
    <row r="2185" spans="1:7" s="145" customFormat="1" ht="15.75" customHeight="1">
      <c r="A2185" s="947" t="s">
        <v>641</v>
      </c>
      <c r="B2185" s="1115"/>
      <c r="C2185" s="16" t="s">
        <v>45</v>
      </c>
      <c r="D2185" s="16">
        <v>4.2</v>
      </c>
      <c r="E2185" s="17">
        <f>+'INSUMOS ELÉCTRICOS'!E26</f>
        <v>16580.666666666668</v>
      </c>
      <c r="F2185" s="55">
        <f t="shared" si="29"/>
        <v>69638.8</v>
      </c>
      <c r="G2185" s="1075"/>
    </row>
    <row r="2186" spans="1:7" s="145" customFormat="1" ht="15.75" customHeight="1">
      <c r="A2186" s="947" t="s">
        <v>613</v>
      </c>
      <c r="B2186" s="1115"/>
      <c r="C2186" s="16" t="s">
        <v>3</v>
      </c>
      <c r="D2186" s="16">
        <v>3</v>
      </c>
      <c r="E2186" s="17">
        <f>+'INSUMOS ELÉCTRICOS'!E24</f>
        <v>780</v>
      </c>
      <c r="F2186" s="55">
        <f t="shared" si="29"/>
        <v>2340</v>
      </c>
      <c r="G2186" s="1075"/>
    </row>
    <row r="2187" spans="1:7" s="145" customFormat="1" ht="15.75" customHeight="1">
      <c r="A2187" s="947" t="s">
        <v>615</v>
      </c>
      <c r="B2187" s="1115"/>
      <c r="C2187" s="16" t="s">
        <v>3</v>
      </c>
      <c r="D2187" s="16">
        <v>1</v>
      </c>
      <c r="E2187" s="17">
        <f>+'INSUMOS ELÉCTRICOS'!E28</f>
        <v>2946.44</v>
      </c>
      <c r="F2187" s="55">
        <f t="shared" si="29"/>
        <v>2946.44</v>
      </c>
      <c r="G2187" s="1075"/>
    </row>
    <row r="2188" spans="1:7" s="145" customFormat="1" ht="15.75" customHeight="1">
      <c r="A2188" s="947" t="s">
        <v>616</v>
      </c>
      <c r="B2188" s="1115"/>
      <c r="C2188" s="16" t="s">
        <v>3</v>
      </c>
      <c r="D2188" s="16">
        <v>1</v>
      </c>
      <c r="E2188" s="17">
        <f>+'INSUMOS ELÉCTRICOS'!E29</f>
        <v>4190</v>
      </c>
      <c r="F2188" s="55">
        <f t="shared" si="29"/>
        <v>4190</v>
      </c>
      <c r="G2188" s="1075"/>
    </row>
    <row r="2189" spans="1:7" s="145" customFormat="1" ht="15.75" customHeight="1">
      <c r="A2189" s="947" t="s">
        <v>614</v>
      </c>
      <c r="B2189" s="1115"/>
      <c r="C2189" s="16" t="s">
        <v>3</v>
      </c>
      <c r="D2189" s="16">
        <v>0.5</v>
      </c>
      <c r="E2189" s="17">
        <f>+'INSUMOS ELÉCTRICOS'!E25</f>
        <v>11900</v>
      </c>
      <c r="F2189" s="55">
        <f t="shared" si="29"/>
        <v>5950</v>
      </c>
      <c r="G2189" s="1075"/>
    </row>
    <row r="2190" spans="1:7" s="145" customFormat="1" ht="15.75" customHeight="1">
      <c r="A2190" s="947" t="s">
        <v>642</v>
      </c>
      <c r="B2190" s="1115"/>
      <c r="C2190" s="16" t="s">
        <v>45</v>
      </c>
      <c r="D2190" s="16">
        <v>12.6</v>
      </c>
      <c r="E2190" s="785">
        <v>2567.4964</v>
      </c>
      <c r="F2190" s="55">
        <f t="shared" si="29"/>
        <v>32350.45464</v>
      </c>
      <c r="G2190" s="1075"/>
    </row>
    <row r="2191" spans="1:7" s="145" customFormat="1" ht="15.75" customHeight="1">
      <c r="A2191" s="947" t="s">
        <v>643</v>
      </c>
      <c r="B2191" s="1115"/>
      <c r="C2191" s="16" t="s">
        <v>3</v>
      </c>
      <c r="D2191" s="16">
        <v>3</v>
      </c>
      <c r="E2191" s="17">
        <f>+'INSUMOS ELÉCTRICOS'!E121</f>
        <v>1189</v>
      </c>
      <c r="F2191" s="55">
        <f t="shared" si="29"/>
        <v>3567</v>
      </c>
      <c r="G2191" s="1075"/>
    </row>
    <row r="2192" spans="1:7" s="145" customFormat="1" ht="15.75" customHeight="1">
      <c r="A2192" s="947" t="s">
        <v>649</v>
      </c>
      <c r="B2192" s="1115"/>
      <c r="C2192" s="16" t="s">
        <v>3</v>
      </c>
      <c r="D2192" s="16">
        <v>1</v>
      </c>
      <c r="E2192" s="17">
        <f>+'INSUMOS ELÉCTRICOS'!E56</f>
        <v>34100</v>
      </c>
      <c r="F2192" s="55">
        <f t="shared" si="29"/>
        <v>34100</v>
      </c>
      <c r="G2192" s="1075"/>
    </row>
    <row r="2193" spans="1:7" s="145" customFormat="1" ht="15.75" customHeight="1">
      <c r="A2193" s="947"/>
      <c r="B2193" s="1115"/>
      <c r="C2193" s="16"/>
      <c r="D2193" s="58"/>
      <c r="E2193" s="17"/>
      <c r="F2193" s="55"/>
      <c r="G2193" s="57">
        <f>SUM(F2182:F2193)</f>
        <v>182056.09464000002</v>
      </c>
    </row>
    <row r="2194" spans="1:7" s="145" customFormat="1" ht="15.75" customHeight="1">
      <c r="A2194" s="1114" t="s">
        <v>15</v>
      </c>
      <c r="B2194" s="1115"/>
      <c r="C2194" s="1115"/>
      <c r="D2194" s="1115"/>
      <c r="E2194" s="1115"/>
      <c r="F2194" s="1115"/>
      <c r="G2194" s="1116"/>
    </row>
    <row r="2195" spans="1:7" s="145" customFormat="1" ht="15" customHeight="1">
      <c r="A2195" s="1074" t="s">
        <v>2</v>
      </c>
      <c r="B2195" s="1115"/>
      <c r="C2195" s="53" t="s">
        <v>3</v>
      </c>
      <c r="D2195" s="53" t="s">
        <v>4</v>
      </c>
      <c r="E2195" s="53" t="s">
        <v>6</v>
      </c>
      <c r="F2195" s="53" t="s">
        <v>11</v>
      </c>
      <c r="G2195" s="1075" t="s">
        <v>8</v>
      </c>
    </row>
    <row r="2196" spans="1:7" s="145" customFormat="1" ht="15" customHeight="1">
      <c r="A2196" s="943" t="s">
        <v>173</v>
      </c>
      <c r="B2196" s="1115"/>
      <c r="C2196" s="16" t="s">
        <v>3</v>
      </c>
      <c r="D2196" s="32">
        <v>0.01</v>
      </c>
      <c r="E2196" s="13">
        <f>G2193</f>
        <v>182056.09464000002</v>
      </c>
      <c r="F2196" s="55">
        <f>+D2196*E2196</f>
        <v>1820.5609464000004</v>
      </c>
      <c r="G2196" s="1116"/>
    </row>
    <row r="2197" spans="1:7" s="145" customFormat="1" ht="15" customHeight="1">
      <c r="A2197" s="151"/>
      <c r="B2197" s="152"/>
      <c r="C2197" s="152"/>
      <c r="D2197" s="152"/>
      <c r="E2197" s="152"/>
      <c r="F2197" s="152"/>
      <c r="G2197" s="57">
        <f>SUM(F2196:F2197)</f>
        <v>1820.5609464000004</v>
      </c>
    </row>
    <row r="2198" spans="1:7" s="145" customFormat="1" ht="15" customHeight="1">
      <c r="A2198" s="1114" t="s">
        <v>19</v>
      </c>
      <c r="B2198" s="1115"/>
      <c r="C2198" s="1115"/>
      <c r="D2198" s="1115"/>
      <c r="E2198" s="1115"/>
      <c r="F2198" s="1115"/>
      <c r="G2198" s="1116"/>
    </row>
    <row r="2199" spans="1:7" s="145" customFormat="1" ht="15" customHeight="1">
      <c r="A2199" s="1074" t="s">
        <v>2</v>
      </c>
      <c r="B2199" s="1115"/>
      <c r="C2199" s="53" t="s">
        <v>3</v>
      </c>
      <c r="D2199" s="53" t="s">
        <v>4</v>
      </c>
      <c r="E2199" s="53" t="s">
        <v>6</v>
      </c>
      <c r="F2199" s="53" t="s">
        <v>11</v>
      </c>
      <c r="G2199" s="1075" t="s">
        <v>8</v>
      </c>
    </row>
    <row r="2200" spans="1:7" s="145" customFormat="1" ht="13.8">
      <c r="A2200" s="978" t="s">
        <v>1256</v>
      </c>
      <c r="B2200" s="979"/>
      <c r="C2200" s="13" t="s">
        <v>1245</v>
      </c>
      <c r="D2200" s="32">
        <v>1</v>
      </c>
      <c r="E2200" s="13">
        <v>20030</v>
      </c>
      <c r="F2200" s="55">
        <f>+D2200*E2200</f>
        <v>20030</v>
      </c>
      <c r="G2200" s="1116"/>
    </row>
    <row r="2201" spans="1:7" s="145" customFormat="1" ht="15.75" customHeight="1">
      <c r="A2201" s="155"/>
      <c r="B2201" s="156"/>
      <c r="C2201" s="156"/>
      <c r="D2201" s="156"/>
      <c r="E2201" s="156"/>
      <c r="F2201" s="156"/>
      <c r="G2201" s="57">
        <f>SUM(F2199:F2201)</f>
        <v>20030</v>
      </c>
    </row>
    <row r="2202" spans="1:7" s="145" customFormat="1" ht="15.75" customHeight="1">
      <c r="A2202" s="1119" t="s">
        <v>25</v>
      </c>
      <c r="B2202" s="1120"/>
      <c r="C2202" s="1120"/>
      <c r="D2202" s="1120"/>
      <c r="E2202" s="1120"/>
      <c r="F2202" s="1120"/>
      <c r="G2202" s="1121"/>
    </row>
    <row r="2203" spans="1:7" s="145" customFormat="1" ht="15.75" customHeight="1">
      <c r="A2203" s="1122"/>
      <c r="B2203" s="1120"/>
      <c r="C2203" s="1120"/>
      <c r="D2203" s="1120"/>
      <c r="E2203" s="1120"/>
      <c r="F2203" s="1120"/>
      <c r="G2203" s="157">
        <f>+G2201+G2197+G2180+G2193</f>
        <v>204908.15558640001</v>
      </c>
    </row>
    <row r="2204" spans="1:7" s="145" customFormat="1" ht="15.75" customHeight="1">
      <c r="A2204" s="48"/>
      <c r="B2204" s="49"/>
      <c r="C2204" s="49"/>
      <c r="D2204" s="49"/>
      <c r="E2204" s="49"/>
      <c r="F2204" s="49"/>
      <c r="G2204" s="50"/>
    </row>
    <row r="2205" spans="1:7" s="150" customFormat="1" ht="15.75" customHeight="1">
      <c r="A2205" s="1123" t="s">
        <v>1</v>
      </c>
      <c r="B2205" s="1120"/>
      <c r="C2205" s="953" t="s">
        <v>594</v>
      </c>
      <c r="D2205" s="1125"/>
      <c r="E2205" s="1125"/>
      <c r="F2205" s="1125"/>
      <c r="G2205" s="1126"/>
    </row>
    <row r="2206" spans="1:7" s="145" customFormat="1" ht="24.6" customHeight="1">
      <c r="A2206" s="1124"/>
      <c r="B2206" s="1120"/>
      <c r="C2206" s="1125"/>
      <c r="D2206" s="1125"/>
      <c r="E2206" s="1125"/>
      <c r="F2206" s="1125"/>
      <c r="G2206" s="1126"/>
    </row>
    <row r="2207" spans="1:7" s="145" customFormat="1" ht="15.75" customHeight="1">
      <c r="A2207" s="1124"/>
      <c r="B2207" s="1120"/>
      <c r="C2207" s="1127" t="s">
        <v>637</v>
      </c>
      <c r="D2207" s="1120"/>
      <c r="E2207" s="1120"/>
      <c r="F2207" s="1120"/>
      <c r="G2207" s="1121"/>
    </row>
    <row r="2208" spans="1:7" s="145" customFormat="1" ht="15.75" customHeight="1">
      <c r="A2208" s="1124"/>
      <c r="B2208" s="1120"/>
      <c r="C2208" s="1128" t="s">
        <v>2</v>
      </c>
      <c r="D2208" s="1120"/>
      <c r="E2208" s="1120"/>
      <c r="F2208" s="146" t="s">
        <v>3</v>
      </c>
      <c r="G2208" s="147" t="s">
        <v>4</v>
      </c>
    </row>
    <row r="2209" spans="1:7" s="145" customFormat="1" ht="108.75" customHeight="1">
      <c r="A2209" s="1073" t="s">
        <v>774</v>
      </c>
      <c r="B2209" s="1115"/>
      <c r="C2209" s="980" t="s">
        <v>775</v>
      </c>
      <c r="D2209" s="1115"/>
      <c r="E2209" s="1115"/>
      <c r="F2209" s="162" t="s">
        <v>28</v>
      </c>
      <c r="G2209" s="52">
        <v>1</v>
      </c>
    </row>
    <row r="2210" spans="1:7" s="145" customFormat="1" ht="15.75" customHeight="1">
      <c r="A2210" s="1114" t="s">
        <v>5</v>
      </c>
      <c r="B2210" s="1115"/>
      <c r="C2210" s="1115"/>
      <c r="D2210" s="1115"/>
      <c r="E2210" s="1115"/>
      <c r="F2210" s="1115"/>
      <c r="G2210" s="1116"/>
    </row>
    <row r="2211" spans="1:7" s="145" customFormat="1" ht="15.75" customHeight="1">
      <c r="A2211" s="1074" t="s">
        <v>2</v>
      </c>
      <c r="B2211" s="1115"/>
      <c r="C2211" s="53" t="s">
        <v>3</v>
      </c>
      <c r="D2211" s="53" t="s">
        <v>4</v>
      </c>
      <c r="E2211" s="53" t="s">
        <v>6</v>
      </c>
      <c r="F2211" s="53" t="s">
        <v>7</v>
      </c>
      <c r="G2211" s="1075" t="s">
        <v>8</v>
      </c>
    </row>
    <row r="2212" spans="1:7" s="150" customFormat="1" ht="15.75" customHeight="1">
      <c r="A2212" s="947" t="s">
        <v>167</v>
      </c>
      <c r="B2212" s="1115"/>
      <c r="C2212" s="51" t="s">
        <v>3</v>
      </c>
      <c r="D2212" s="51">
        <v>0.05</v>
      </c>
      <c r="E2212" s="17">
        <f>G2234</f>
        <v>20030</v>
      </c>
      <c r="F2212" s="55">
        <f>D2212*E2212</f>
        <v>1001.5</v>
      </c>
      <c r="G2212" s="1116"/>
    </row>
    <row r="2213" spans="1:7" s="150" customFormat="1" ht="15.75" customHeight="1">
      <c r="A2213" s="943"/>
      <c r="B2213" s="1115"/>
      <c r="C2213" s="51"/>
      <c r="D2213" s="51"/>
      <c r="E2213" s="51"/>
      <c r="F2213" s="55"/>
      <c r="G2213" s="57">
        <f>SUM(F2211:F2213)</f>
        <v>1001.5</v>
      </c>
    </row>
    <row r="2214" spans="1:7" s="145" customFormat="1" ht="15.75" customHeight="1">
      <c r="A2214" s="1114" t="s">
        <v>10</v>
      </c>
      <c r="B2214" s="1115"/>
      <c r="C2214" s="1115"/>
      <c r="D2214" s="1115"/>
      <c r="E2214" s="1115"/>
      <c r="F2214" s="1115"/>
      <c r="G2214" s="1116"/>
    </row>
    <row r="2215" spans="1:7" s="150" customFormat="1" ht="24" customHeight="1">
      <c r="A2215" s="1074" t="s">
        <v>2</v>
      </c>
      <c r="B2215" s="1115"/>
      <c r="C2215" s="53" t="s">
        <v>3</v>
      </c>
      <c r="D2215" s="53" t="s">
        <v>4</v>
      </c>
      <c r="E2215" s="53" t="s">
        <v>6</v>
      </c>
      <c r="F2215" s="53" t="s">
        <v>11</v>
      </c>
      <c r="G2215" s="1075" t="s">
        <v>8</v>
      </c>
    </row>
    <row r="2216" spans="1:7" s="145" customFormat="1" ht="15.75" customHeight="1">
      <c r="A2216" s="947" t="s">
        <v>612</v>
      </c>
      <c r="B2216" s="1115"/>
      <c r="C2216" s="16" t="s">
        <v>3</v>
      </c>
      <c r="D2216" s="16">
        <v>20</v>
      </c>
      <c r="E2216" s="17">
        <f>+'INSUMOS ELÉCTRICOS'!E126</f>
        <v>348.66999999999996</v>
      </c>
      <c r="F2216" s="55">
        <f t="shared" ref="F2216:F2225" si="30">D2216*E2216</f>
        <v>6973.4</v>
      </c>
      <c r="G2216" s="1075"/>
    </row>
    <row r="2217" spans="1:7" s="145" customFormat="1" ht="15.75" customHeight="1">
      <c r="A2217" s="947" t="s">
        <v>640</v>
      </c>
      <c r="B2217" s="1115"/>
      <c r="C2217" s="16" t="s">
        <v>3</v>
      </c>
      <c r="D2217" s="16">
        <v>1</v>
      </c>
      <c r="E2217" s="17">
        <f>+'INSUMOS ELÉCTRICOS'!E53</f>
        <v>20000</v>
      </c>
      <c r="F2217" s="55">
        <f t="shared" si="30"/>
        <v>20000</v>
      </c>
      <c r="G2217" s="1075"/>
    </row>
    <row r="2218" spans="1:7" s="145" customFormat="1" ht="15.75" customHeight="1">
      <c r="A2218" s="947" t="s">
        <v>641</v>
      </c>
      <c r="B2218" s="1115"/>
      <c r="C2218" s="16" t="s">
        <v>45</v>
      </c>
      <c r="D2218" s="16">
        <v>4.2</v>
      </c>
      <c r="E2218" s="17">
        <f>+'INSUMOS ELÉCTRICOS'!E26</f>
        <v>16580.666666666668</v>
      </c>
      <c r="F2218" s="55">
        <f t="shared" si="30"/>
        <v>69638.8</v>
      </c>
      <c r="G2218" s="1075"/>
    </row>
    <row r="2219" spans="1:7" s="145" customFormat="1" ht="15.75" customHeight="1">
      <c r="A2219" s="947" t="s">
        <v>613</v>
      </c>
      <c r="B2219" s="1115"/>
      <c r="C2219" s="16" t="s">
        <v>3</v>
      </c>
      <c r="D2219" s="16">
        <v>3</v>
      </c>
      <c r="E2219" s="17">
        <f>+'INSUMOS ELÉCTRICOS'!E24</f>
        <v>780</v>
      </c>
      <c r="F2219" s="55">
        <f t="shared" si="30"/>
        <v>2340</v>
      </c>
      <c r="G2219" s="1075"/>
    </row>
    <row r="2220" spans="1:7" s="2" customFormat="1" ht="15.75" customHeight="1">
      <c r="A2220" s="947" t="s">
        <v>615</v>
      </c>
      <c r="B2220" s="1115"/>
      <c r="C2220" s="16" t="s">
        <v>3</v>
      </c>
      <c r="D2220" s="16">
        <v>1</v>
      </c>
      <c r="E2220" s="17">
        <f>+'INSUMOS ELÉCTRICOS'!E28</f>
        <v>2946.44</v>
      </c>
      <c r="F2220" s="55">
        <f t="shared" si="30"/>
        <v>2946.44</v>
      </c>
      <c r="G2220" s="1075"/>
    </row>
    <row r="2221" spans="1:7" s="145" customFormat="1" ht="15.75" customHeight="1">
      <c r="A2221" s="947" t="s">
        <v>616</v>
      </c>
      <c r="B2221" s="1115"/>
      <c r="C2221" s="16" t="s">
        <v>3</v>
      </c>
      <c r="D2221" s="16">
        <v>1</v>
      </c>
      <c r="E2221" s="17">
        <f>+'INSUMOS ELÉCTRICOS'!E29</f>
        <v>4190</v>
      </c>
      <c r="F2221" s="55">
        <f t="shared" si="30"/>
        <v>4190</v>
      </c>
      <c r="G2221" s="1075"/>
    </row>
    <row r="2222" spans="1:7" s="145" customFormat="1" ht="15.75" customHeight="1">
      <c r="A2222" s="947" t="s">
        <v>614</v>
      </c>
      <c r="B2222" s="1115"/>
      <c r="C2222" s="16" t="s">
        <v>3</v>
      </c>
      <c r="D2222" s="16">
        <v>0.5</v>
      </c>
      <c r="E2222" s="17">
        <f>+'INSUMOS ELÉCTRICOS'!E25</f>
        <v>11900</v>
      </c>
      <c r="F2222" s="55">
        <f t="shared" si="30"/>
        <v>5950</v>
      </c>
      <c r="G2222" s="1075"/>
    </row>
    <row r="2223" spans="1:7" s="145" customFormat="1" ht="15.75" customHeight="1">
      <c r="A2223" s="947" t="s">
        <v>642</v>
      </c>
      <c r="B2223" s="1115"/>
      <c r="C2223" s="16" t="s">
        <v>45</v>
      </c>
      <c r="D2223" s="16">
        <v>12.6</v>
      </c>
      <c r="E2223" s="17">
        <f t="shared" ref="E2223" si="31">E2190</f>
        <v>2567.4964</v>
      </c>
      <c r="F2223" s="55">
        <f t="shared" si="30"/>
        <v>32350.45464</v>
      </c>
      <c r="G2223" s="1075"/>
    </row>
    <row r="2224" spans="1:7" s="2" customFormat="1" ht="15.75" customHeight="1">
      <c r="A2224" s="947" t="s">
        <v>643</v>
      </c>
      <c r="B2224" s="1115"/>
      <c r="C2224" s="16" t="s">
        <v>3</v>
      </c>
      <c r="D2224" s="16">
        <v>3</v>
      </c>
      <c r="E2224" s="17">
        <f>+'INSUMOS ELÉCTRICOS'!E121</f>
        <v>1189</v>
      </c>
      <c r="F2224" s="55">
        <f t="shared" si="30"/>
        <v>3567</v>
      </c>
      <c r="G2224" s="1075"/>
    </row>
    <row r="2225" spans="1:7" s="145" customFormat="1" ht="15.75" customHeight="1">
      <c r="A2225" s="947" t="s">
        <v>649</v>
      </c>
      <c r="B2225" s="1115"/>
      <c r="C2225" s="16" t="s">
        <v>3</v>
      </c>
      <c r="D2225" s="16">
        <v>1</v>
      </c>
      <c r="E2225" s="17">
        <f>+'INSUMOS ELÉCTRICOS'!E56</f>
        <v>34100</v>
      </c>
      <c r="F2225" s="55">
        <f t="shared" si="30"/>
        <v>34100</v>
      </c>
      <c r="G2225" s="1075"/>
    </row>
    <row r="2226" spans="1:7" s="145" customFormat="1" ht="15" customHeight="1">
      <c r="A2226" s="947"/>
      <c r="B2226" s="1115"/>
      <c r="C2226" s="16"/>
      <c r="D2226" s="58"/>
      <c r="E2226" s="17"/>
      <c r="F2226" s="55"/>
      <c r="G2226" s="57">
        <f>SUM(F2215:F2226)</f>
        <v>182056.09464000002</v>
      </c>
    </row>
    <row r="2227" spans="1:7" s="145" customFormat="1" ht="15" customHeight="1">
      <c r="A2227" s="1114" t="s">
        <v>15</v>
      </c>
      <c r="B2227" s="1115"/>
      <c r="C2227" s="1115"/>
      <c r="D2227" s="1115"/>
      <c r="E2227" s="1115"/>
      <c r="F2227" s="1115"/>
      <c r="G2227" s="1116"/>
    </row>
    <row r="2228" spans="1:7" s="145" customFormat="1" ht="15" customHeight="1">
      <c r="A2228" s="1074" t="s">
        <v>2</v>
      </c>
      <c r="B2228" s="1115"/>
      <c r="C2228" s="53" t="s">
        <v>3</v>
      </c>
      <c r="D2228" s="53" t="s">
        <v>4</v>
      </c>
      <c r="E2228" s="53" t="s">
        <v>6</v>
      </c>
      <c r="F2228" s="53" t="s">
        <v>11</v>
      </c>
      <c r="G2228" s="1075" t="s">
        <v>8</v>
      </c>
    </row>
    <row r="2229" spans="1:7" s="145" customFormat="1" ht="15" customHeight="1">
      <c r="A2229" s="943" t="s">
        <v>173</v>
      </c>
      <c r="B2229" s="1115"/>
      <c r="C2229" s="16" t="s">
        <v>3</v>
      </c>
      <c r="D2229" s="32">
        <v>0.01</v>
      </c>
      <c r="E2229" s="13">
        <f>G2226</f>
        <v>182056.09464000002</v>
      </c>
      <c r="F2229" s="55">
        <f>+D2229*E2229</f>
        <v>1820.5609464000004</v>
      </c>
      <c r="G2229" s="1116"/>
    </row>
    <row r="2230" spans="1:7" s="145" customFormat="1" ht="15" customHeight="1">
      <c r="A2230" s="151"/>
      <c r="B2230" s="152"/>
      <c r="C2230" s="152"/>
      <c r="D2230" s="152"/>
      <c r="E2230" s="152"/>
      <c r="F2230" s="152"/>
      <c r="G2230" s="57">
        <f>SUM(F2229:F2230)</f>
        <v>1820.5609464000004</v>
      </c>
    </row>
    <row r="2231" spans="1:7" s="145" customFormat="1" ht="15" customHeight="1">
      <c r="A2231" s="1114" t="s">
        <v>19</v>
      </c>
      <c r="B2231" s="1115"/>
      <c r="C2231" s="1115"/>
      <c r="D2231" s="1115"/>
      <c r="E2231" s="1115"/>
      <c r="F2231" s="1115"/>
      <c r="G2231" s="1116"/>
    </row>
    <row r="2232" spans="1:7" s="145" customFormat="1" ht="15" customHeight="1">
      <c r="A2232" s="1074" t="s">
        <v>2</v>
      </c>
      <c r="B2232" s="1115"/>
      <c r="C2232" s="53" t="s">
        <v>3</v>
      </c>
      <c r="D2232" s="53" t="s">
        <v>4</v>
      </c>
      <c r="E2232" s="53" t="s">
        <v>6</v>
      </c>
      <c r="F2232" s="53" t="s">
        <v>11</v>
      </c>
      <c r="G2232" s="1075" t="s">
        <v>8</v>
      </c>
    </row>
    <row r="2233" spans="1:7" s="145" customFormat="1" ht="13.8">
      <c r="A2233" s="978" t="s">
        <v>1256</v>
      </c>
      <c r="B2233" s="979"/>
      <c r="C2233" s="13" t="s">
        <v>1245</v>
      </c>
      <c r="D2233" s="32">
        <v>1</v>
      </c>
      <c r="E2233" s="13">
        <v>20030</v>
      </c>
      <c r="F2233" s="55">
        <f>+D2233*E2233</f>
        <v>20030</v>
      </c>
      <c r="G2233" s="1116"/>
    </row>
    <row r="2234" spans="1:7" s="145" customFormat="1" ht="15.75" customHeight="1">
      <c r="A2234" s="155"/>
      <c r="B2234" s="156"/>
      <c r="C2234" s="156"/>
      <c r="D2234" s="156"/>
      <c r="E2234" s="156"/>
      <c r="F2234" s="156"/>
      <c r="G2234" s="57">
        <f>SUM(F2232:F2234)</f>
        <v>20030</v>
      </c>
    </row>
    <row r="2235" spans="1:7" s="145" customFormat="1" ht="15.75" customHeight="1">
      <c r="A2235" s="1119" t="s">
        <v>25</v>
      </c>
      <c r="B2235" s="1120"/>
      <c r="C2235" s="1120"/>
      <c r="D2235" s="1120"/>
      <c r="E2235" s="1120"/>
      <c r="F2235" s="1120"/>
      <c r="G2235" s="1121"/>
    </row>
    <row r="2236" spans="1:7" s="145" customFormat="1" ht="15.75" customHeight="1">
      <c r="A2236" s="1122"/>
      <c r="B2236" s="1120"/>
      <c r="C2236" s="1120"/>
      <c r="D2236" s="1120"/>
      <c r="E2236" s="1120"/>
      <c r="F2236" s="1120"/>
      <c r="G2236" s="157">
        <f>+G2234+G2230+G2213+G2226</f>
        <v>204908.15558640001</v>
      </c>
    </row>
    <row r="2237" spans="1:7" s="145" customFormat="1" ht="15.75" customHeight="1">
      <c r="A2237" s="158"/>
      <c r="B2237" s="159"/>
      <c r="C2237" s="159"/>
      <c r="D2237" s="159"/>
      <c r="E2237" s="159"/>
      <c r="F2237" s="159"/>
      <c r="G2237" s="160"/>
    </row>
    <row r="2238" spans="1:7" s="150" customFormat="1" ht="15.75" customHeight="1">
      <c r="A2238" s="1123" t="s">
        <v>1</v>
      </c>
      <c r="B2238" s="1120"/>
      <c r="C2238" s="953" t="s">
        <v>594</v>
      </c>
      <c r="D2238" s="1125"/>
      <c r="E2238" s="1125"/>
      <c r="F2238" s="1125"/>
      <c r="G2238" s="1126"/>
    </row>
    <row r="2239" spans="1:7" s="145" customFormat="1" ht="24.6" customHeight="1">
      <c r="A2239" s="1124"/>
      <c r="B2239" s="1120"/>
      <c r="C2239" s="1125"/>
      <c r="D2239" s="1125"/>
      <c r="E2239" s="1125"/>
      <c r="F2239" s="1125"/>
      <c r="G2239" s="1126"/>
    </row>
    <row r="2240" spans="1:7" s="145" customFormat="1" ht="15.75" customHeight="1">
      <c r="A2240" s="1124"/>
      <c r="B2240" s="1120"/>
      <c r="C2240" s="1127" t="s">
        <v>637</v>
      </c>
      <c r="D2240" s="1120"/>
      <c r="E2240" s="1120"/>
      <c r="F2240" s="1120"/>
      <c r="G2240" s="1121"/>
    </row>
    <row r="2241" spans="1:7" s="145" customFormat="1" ht="15.75" customHeight="1">
      <c r="A2241" s="1124"/>
      <c r="B2241" s="1120"/>
      <c r="C2241" s="1128" t="s">
        <v>2</v>
      </c>
      <c r="D2241" s="1120"/>
      <c r="E2241" s="1120"/>
      <c r="F2241" s="146" t="s">
        <v>3</v>
      </c>
      <c r="G2241" s="147" t="s">
        <v>4</v>
      </c>
    </row>
    <row r="2242" spans="1:7" s="145" customFormat="1" ht="90" customHeight="1">
      <c r="A2242" s="1073" t="s">
        <v>776</v>
      </c>
      <c r="B2242" s="1115"/>
      <c r="C2242" s="980" t="s">
        <v>653</v>
      </c>
      <c r="D2242" s="1115"/>
      <c r="E2242" s="1115"/>
      <c r="F2242" s="162" t="s">
        <v>28</v>
      </c>
      <c r="G2242" s="52">
        <v>1</v>
      </c>
    </row>
    <row r="2243" spans="1:7" s="145" customFormat="1" ht="15.75" customHeight="1">
      <c r="A2243" s="1114" t="s">
        <v>5</v>
      </c>
      <c r="B2243" s="1115"/>
      <c r="C2243" s="1115"/>
      <c r="D2243" s="1115"/>
      <c r="E2243" s="1115"/>
      <c r="F2243" s="1115"/>
      <c r="G2243" s="1116"/>
    </row>
    <row r="2244" spans="1:7" s="145" customFormat="1" ht="15.75" customHeight="1">
      <c r="A2244" s="1074" t="s">
        <v>2</v>
      </c>
      <c r="B2244" s="1115"/>
      <c r="C2244" s="53" t="s">
        <v>3</v>
      </c>
      <c r="D2244" s="53" t="s">
        <v>4</v>
      </c>
      <c r="E2244" s="53" t="s">
        <v>6</v>
      </c>
      <c r="F2244" s="53" t="s">
        <v>7</v>
      </c>
      <c r="G2244" s="1075" t="s">
        <v>8</v>
      </c>
    </row>
    <row r="2245" spans="1:7" s="150" customFormat="1" ht="15.75" customHeight="1">
      <c r="A2245" s="947" t="s">
        <v>167</v>
      </c>
      <c r="B2245" s="1115"/>
      <c r="C2245" s="51" t="s">
        <v>3</v>
      </c>
      <c r="D2245" s="51">
        <v>0.05</v>
      </c>
      <c r="E2245" s="17">
        <f>G2261</f>
        <v>20030</v>
      </c>
      <c r="F2245" s="55">
        <f>D2245*E2245</f>
        <v>1001.5</v>
      </c>
      <c r="G2245" s="1116"/>
    </row>
    <row r="2246" spans="1:7" s="150" customFormat="1" ht="15.75" customHeight="1">
      <c r="A2246" s="943"/>
      <c r="B2246" s="1115"/>
      <c r="C2246" s="51"/>
      <c r="D2246" s="51"/>
      <c r="E2246" s="51"/>
      <c r="F2246" s="55"/>
      <c r="G2246" s="57">
        <f>SUM(F2244:F2246)</f>
        <v>1001.5</v>
      </c>
    </row>
    <row r="2247" spans="1:7" s="145" customFormat="1" ht="15.75" customHeight="1">
      <c r="A2247" s="1114" t="s">
        <v>10</v>
      </c>
      <c r="B2247" s="1115"/>
      <c r="C2247" s="1115"/>
      <c r="D2247" s="1115"/>
      <c r="E2247" s="1115"/>
      <c r="F2247" s="1115"/>
      <c r="G2247" s="1116"/>
    </row>
    <row r="2248" spans="1:7" s="150" customFormat="1" ht="24" customHeight="1">
      <c r="A2248" s="1074" t="s">
        <v>2</v>
      </c>
      <c r="B2248" s="1115"/>
      <c r="C2248" s="53" t="s">
        <v>3</v>
      </c>
      <c r="D2248" s="53" t="s">
        <v>4</v>
      </c>
      <c r="E2248" s="53" t="s">
        <v>6</v>
      </c>
      <c r="F2248" s="53" t="s">
        <v>11</v>
      </c>
      <c r="G2248" s="1075" t="s">
        <v>8</v>
      </c>
    </row>
    <row r="2249" spans="1:7" s="145" customFormat="1" ht="15.75" customHeight="1">
      <c r="A2249" s="947" t="s">
        <v>642</v>
      </c>
      <c r="B2249" s="1115"/>
      <c r="C2249" s="16" t="s">
        <v>622</v>
      </c>
      <c r="D2249" s="16">
        <v>12.6</v>
      </c>
      <c r="E2249" s="785">
        <v>2567.4964</v>
      </c>
      <c r="F2249" s="55">
        <f>D2249*E2249</f>
        <v>32350.45464</v>
      </c>
      <c r="G2249" s="1075"/>
    </row>
    <row r="2250" spans="1:7" s="145" customFormat="1" ht="15.75" customHeight="1">
      <c r="A2250" s="947" t="s">
        <v>644</v>
      </c>
      <c r="B2250" s="1115"/>
      <c r="C2250" s="16" t="s">
        <v>3</v>
      </c>
      <c r="D2250" s="16">
        <v>1</v>
      </c>
      <c r="E2250" s="17">
        <f>+'INSUMOS ELÉCTRICOS'!E55</f>
        <v>9100</v>
      </c>
      <c r="F2250" s="55">
        <f>D2250*E2250</f>
        <v>9100</v>
      </c>
      <c r="G2250" s="1075"/>
    </row>
    <row r="2251" spans="1:7" s="145" customFormat="1" ht="15.75" customHeight="1">
      <c r="A2251" s="947" t="s">
        <v>654</v>
      </c>
      <c r="B2251" s="1115"/>
      <c r="C2251" s="16" t="s">
        <v>3</v>
      </c>
      <c r="D2251" s="16">
        <v>3</v>
      </c>
      <c r="E2251" s="17">
        <f>+'INSUMOS ELÉCTRICOS'!E99</f>
        <v>1699</v>
      </c>
      <c r="F2251" s="55">
        <f>D2251*E2251</f>
        <v>5097</v>
      </c>
      <c r="G2251" s="1075"/>
    </row>
    <row r="2252" spans="1:7" s="145" customFormat="1" ht="15.75" customHeight="1">
      <c r="A2252" s="947" t="s">
        <v>655</v>
      </c>
      <c r="B2252" s="1115"/>
      <c r="C2252" s="16" t="s">
        <v>3</v>
      </c>
      <c r="D2252" s="16">
        <v>1</v>
      </c>
      <c r="E2252" s="17">
        <f>+'INSUMOS ELÉCTRICOS'!E58</f>
        <v>15900</v>
      </c>
      <c r="F2252" s="55">
        <f>D2252*E2252</f>
        <v>15900</v>
      </c>
      <c r="G2252" s="1075"/>
    </row>
    <row r="2253" spans="1:7" s="145" customFormat="1" ht="15.75" customHeight="1">
      <c r="A2253" s="947"/>
      <c r="B2253" s="1115"/>
      <c r="C2253" s="16"/>
      <c r="D2253" s="58"/>
      <c r="E2253" s="17"/>
      <c r="F2253" s="55"/>
      <c r="G2253" s="57">
        <f>SUM(F2248:F2253)</f>
        <v>62447.454639999996</v>
      </c>
    </row>
    <row r="2254" spans="1:7" s="145" customFormat="1" ht="15.75" customHeight="1">
      <c r="A2254" s="1114" t="s">
        <v>15</v>
      </c>
      <c r="B2254" s="1115"/>
      <c r="C2254" s="1115"/>
      <c r="D2254" s="1115"/>
      <c r="E2254" s="1115"/>
      <c r="F2254" s="1115"/>
      <c r="G2254" s="1116"/>
    </row>
    <row r="2255" spans="1:7" s="2" customFormat="1" ht="15.75" customHeight="1">
      <c r="A2255" s="1074" t="s">
        <v>2</v>
      </c>
      <c r="B2255" s="1115"/>
      <c r="C2255" s="53" t="s">
        <v>3</v>
      </c>
      <c r="D2255" s="53" t="s">
        <v>4</v>
      </c>
      <c r="E2255" s="53" t="s">
        <v>6</v>
      </c>
      <c r="F2255" s="53" t="s">
        <v>11</v>
      </c>
      <c r="G2255" s="1075" t="s">
        <v>8</v>
      </c>
    </row>
    <row r="2256" spans="1:7" s="145" customFormat="1" ht="15.75" customHeight="1">
      <c r="A2256" s="943" t="s">
        <v>173</v>
      </c>
      <c r="B2256" s="1115"/>
      <c r="C2256" s="16" t="s">
        <v>3</v>
      </c>
      <c r="D2256" s="16">
        <v>0.02</v>
      </c>
      <c r="E2256" s="17">
        <f>G2253</f>
        <v>62447.454639999996</v>
      </c>
      <c r="F2256" s="55">
        <f>D2256*E2256</f>
        <v>1248.9490928</v>
      </c>
      <c r="G2256" s="1116"/>
    </row>
    <row r="2257" spans="1:7" s="145" customFormat="1" ht="15" customHeight="1">
      <c r="A2257" s="151"/>
      <c r="B2257" s="152"/>
      <c r="C2257" s="152"/>
      <c r="D2257" s="152"/>
      <c r="E2257" s="152"/>
      <c r="F2257" s="152"/>
      <c r="G2257" s="57">
        <f>SUM(F2256:F2257)</f>
        <v>1248.9490928</v>
      </c>
    </row>
    <row r="2258" spans="1:7" s="145" customFormat="1" ht="15" customHeight="1">
      <c r="A2258" s="1114" t="s">
        <v>19</v>
      </c>
      <c r="B2258" s="1115"/>
      <c r="C2258" s="1115"/>
      <c r="D2258" s="1115"/>
      <c r="E2258" s="1115"/>
      <c r="F2258" s="1115"/>
      <c r="G2258" s="1116"/>
    </row>
    <row r="2259" spans="1:7" s="145" customFormat="1" ht="15" customHeight="1">
      <c r="A2259" s="1074" t="s">
        <v>2</v>
      </c>
      <c r="B2259" s="1115"/>
      <c r="C2259" s="53" t="s">
        <v>3</v>
      </c>
      <c r="D2259" s="53" t="s">
        <v>4</v>
      </c>
      <c r="E2259" s="53" t="s">
        <v>6</v>
      </c>
      <c r="F2259" s="53" t="s">
        <v>11</v>
      </c>
      <c r="G2259" s="1075" t="s">
        <v>8</v>
      </c>
    </row>
    <row r="2260" spans="1:7" s="145" customFormat="1" ht="15.75" customHeight="1">
      <c r="A2260" s="978" t="s">
        <v>1256</v>
      </c>
      <c r="B2260" s="979"/>
      <c r="C2260" s="13" t="s">
        <v>1245</v>
      </c>
      <c r="D2260" s="32">
        <v>1</v>
      </c>
      <c r="E2260" s="13">
        <v>20030</v>
      </c>
      <c r="F2260" s="55">
        <f>+D2260*E2260</f>
        <v>20030</v>
      </c>
      <c r="G2260" s="1116"/>
    </row>
    <row r="2261" spans="1:7" s="145" customFormat="1" ht="24" customHeight="1">
      <c r="A2261" s="155"/>
      <c r="B2261" s="156"/>
      <c r="C2261" s="156"/>
      <c r="D2261" s="156"/>
      <c r="E2261" s="156"/>
      <c r="F2261" s="156"/>
      <c r="G2261" s="57">
        <f>SUM(F2259:F2261)</f>
        <v>20030</v>
      </c>
    </row>
    <row r="2262" spans="1:7" s="145" customFormat="1" ht="15.6" customHeight="1">
      <c r="A2262" s="1119" t="s">
        <v>25</v>
      </c>
      <c r="B2262" s="1120"/>
      <c r="C2262" s="1120"/>
      <c r="D2262" s="1120"/>
      <c r="E2262" s="1120"/>
      <c r="F2262" s="1120"/>
      <c r="G2262" s="1121"/>
    </row>
    <row r="2263" spans="1:7" s="145" customFormat="1" ht="15.75" customHeight="1">
      <c r="A2263" s="1122"/>
      <c r="B2263" s="1120"/>
      <c r="C2263" s="1120"/>
      <c r="D2263" s="1120"/>
      <c r="E2263" s="1120"/>
      <c r="F2263" s="1120"/>
      <c r="G2263" s="157">
        <f>G2261+G2257+G2253+G2246</f>
        <v>84727.903732799998</v>
      </c>
    </row>
    <row r="2264" spans="1:7" s="145" customFormat="1" ht="13.8">
      <c r="A2264" s="158"/>
      <c r="B2264" s="159"/>
      <c r="C2264" s="159"/>
      <c r="D2264" s="159"/>
      <c r="E2264" s="159"/>
      <c r="F2264" s="159"/>
      <c r="G2264" s="160"/>
    </row>
    <row r="2265" spans="1:7" s="145" customFormat="1" ht="15.75" customHeight="1">
      <c r="A2265" s="1123" t="s">
        <v>1</v>
      </c>
      <c r="B2265" s="1120"/>
      <c r="C2265" s="953" t="s">
        <v>594</v>
      </c>
      <c r="D2265" s="1125"/>
      <c r="E2265" s="1125"/>
      <c r="F2265" s="1125"/>
      <c r="G2265" s="1126"/>
    </row>
    <row r="2266" spans="1:7" s="145" customFormat="1" ht="15.75" customHeight="1">
      <c r="A2266" s="1124"/>
      <c r="B2266" s="1120"/>
      <c r="C2266" s="1125"/>
      <c r="D2266" s="1125"/>
      <c r="E2266" s="1125"/>
      <c r="F2266" s="1125"/>
      <c r="G2266" s="1126"/>
    </row>
    <row r="2267" spans="1:7" s="145" customFormat="1" ht="15.75" customHeight="1">
      <c r="A2267" s="1124"/>
      <c r="B2267" s="1120"/>
      <c r="C2267" s="1127" t="s">
        <v>595</v>
      </c>
      <c r="D2267" s="1120"/>
      <c r="E2267" s="1120"/>
      <c r="F2267" s="1120"/>
      <c r="G2267" s="1121"/>
    </row>
    <row r="2268" spans="1:7" s="145" customFormat="1" ht="15.75" customHeight="1">
      <c r="A2268" s="1124"/>
      <c r="B2268" s="1120"/>
      <c r="C2268" s="1128" t="s">
        <v>2</v>
      </c>
      <c r="D2268" s="1120"/>
      <c r="E2268" s="1120"/>
      <c r="F2268" s="146" t="s">
        <v>3</v>
      </c>
      <c r="G2268" s="147" t="s">
        <v>4</v>
      </c>
    </row>
    <row r="2269" spans="1:7" s="145" customFormat="1" ht="89.25" customHeight="1">
      <c r="A2269" s="1073" t="s">
        <v>777</v>
      </c>
      <c r="B2269" s="1115"/>
      <c r="C2269" s="980" t="s">
        <v>597</v>
      </c>
      <c r="D2269" s="1115"/>
      <c r="E2269" s="1115"/>
      <c r="F2269" s="162" t="s">
        <v>28</v>
      </c>
      <c r="G2269" s="52">
        <v>1</v>
      </c>
    </row>
    <row r="2270" spans="1:7" s="145" customFormat="1" ht="15.75" customHeight="1">
      <c r="A2270" s="1114" t="s">
        <v>5</v>
      </c>
      <c r="B2270" s="1115"/>
      <c r="C2270" s="1115"/>
      <c r="D2270" s="1115"/>
      <c r="E2270" s="1115"/>
      <c r="F2270" s="1115"/>
      <c r="G2270" s="1116"/>
    </row>
    <row r="2271" spans="1:7" s="145" customFormat="1" ht="24.6" customHeight="1">
      <c r="A2271" s="1074" t="s">
        <v>2</v>
      </c>
      <c r="B2271" s="1115"/>
      <c r="C2271" s="53" t="s">
        <v>3</v>
      </c>
      <c r="D2271" s="53" t="s">
        <v>4</v>
      </c>
      <c r="E2271" s="53" t="s">
        <v>6</v>
      </c>
      <c r="F2271" s="53" t="s">
        <v>7</v>
      </c>
      <c r="G2271" s="1075" t="s">
        <v>8</v>
      </c>
    </row>
    <row r="2272" spans="1:7" s="145" customFormat="1" ht="15.75" customHeight="1">
      <c r="A2272" s="947" t="s">
        <v>167</v>
      </c>
      <c r="B2272" s="1115"/>
      <c r="C2272" s="51" t="s">
        <v>3</v>
      </c>
      <c r="D2272" s="51">
        <v>0.05</v>
      </c>
      <c r="E2272" s="17">
        <f>G2286</f>
        <v>20030</v>
      </c>
      <c r="F2272" s="55">
        <f>D2272*E2272</f>
        <v>1001.5</v>
      </c>
      <c r="G2272" s="1116"/>
    </row>
    <row r="2273" spans="1:7" s="145" customFormat="1" ht="15.75" customHeight="1">
      <c r="A2273" s="943"/>
      <c r="B2273" s="1115"/>
      <c r="C2273" s="51"/>
      <c r="D2273" s="51"/>
      <c r="E2273" s="51"/>
      <c r="F2273" s="55"/>
      <c r="G2273" s="57">
        <f>SUM(F2271:F2273)</f>
        <v>1001.5</v>
      </c>
    </row>
    <row r="2274" spans="1:7" s="145" customFormat="1" ht="15.75" customHeight="1">
      <c r="A2274" s="1114" t="s">
        <v>10</v>
      </c>
      <c r="B2274" s="1115"/>
      <c r="C2274" s="1115"/>
      <c r="D2274" s="1115"/>
      <c r="E2274" s="1115"/>
      <c r="F2274" s="1115"/>
      <c r="G2274" s="1116"/>
    </row>
    <row r="2275" spans="1:7" s="150" customFormat="1" ht="15.75" customHeight="1">
      <c r="A2275" s="1074" t="s">
        <v>2</v>
      </c>
      <c r="B2275" s="1115"/>
      <c r="C2275" s="53" t="s">
        <v>3</v>
      </c>
      <c r="D2275" s="53" t="s">
        <v>4</v>
      </c>
      <c r="E2275" s="53" t="s">
        <v>6</v>
      </c>
      <c r="F2275" s="53" t="s">
        <v>11</v>
      </c>
      <c r="G2275" s="1029" t="s">
        <v>8</v>
      </c>
    </row>
    <row r="2276" spans="1:7" s="150" customFormat="1" ht="51" customHeight="1">
      <c r="A2276" s="947" t="s">
        <v>598</v>
      </c>
      <c r="B2276" s="980"/>
      <c r="C2276" s="16" t="s">
        <v>3</v>
      </c>
      <c r="D2276" s="16">
        <v>1</v>
      </c>
      <c r="E2276" s="17">
        <f>+'INSUMOS ELÉCTRICOS'!E16</f>
        <v>418285</v>
      </c>
      <c r="F2276" s="55">
        <f>D2276*E2276</f>
        <v>418285</v>
      </c>
      <c r="G2276" s="1030"/>
    </row>
    <row r="2277" spans="1:7" s="145" customFormat="1" ht="15.75" customHeight="1">
      <c r="A2277" s="1117" t="s">
        <v>599</v>
      </c>
      <c r="B2277" s="1118"/>
      <c r="C2277" s="148" t="s">
        <v>3</v>
      </c>
      <c r="D2277" s="148">
        <v>4</v>
      </c>
      <c r="E2277" s="17">
        <f>+'INSUMOS ELÉCTRICOS'!E21</f>
        <v>5200</v>
      </c>
      <c r="F2277" s="149">
        <f>E2277*D2277</f>
        <v>20800</v>
      </c>
      <c r="G2277" s="1031"/>
    </row>
    <row r="2278" spans="1:7" s="145" customFormat="1" ht="15.75" customHeight="1">
      <c r="A2278" s="947"/>
      <c r="B2278" s="1115"/>
      <c r="C2278" s="16"/>
      <c r="D2278" s="58"/>
      <c r="E2278" s="17"/>
      <c r="F2278" s="55"/>
      <c r="G2278" s="57">
        <f>SUM(F2275:F2278)</f>
        <v>439085</v>
      </c>
    </row>
    <row r="2279" spans="1:7" s="145" customFormat="1" ht="15.75" customHeight="1">
      <c r="A2279" s="1114" t="s">
        <v>15</v>
      </c>
      <c r="B2279" s="1115"/>
      <c r="C2279" s="1115"/>
      <c r="D2279" s="1115"/>
      <c r="E2279" s="1115"/>
      <c r="F2279" s="1115"/>
      <c r="G2279" s="1116"/>
    </row>
    <row r="2280" spans="1:7" s="145" customFormat="1" ht="15.75" customHeight="1">
      <c r="A2280" s="1074" t="s">
        <v>2</v>
      </c>
      <c r="B2280" s="1115"/>
      <c r="C2280" s="53" t="s">
        <v>3</v>
      </c>
      <c r="D2280" s="53" t="s">
        <v>4</v>
      </c>
      <c r="E2280" s="53" t="s">
        <v>6</v>
      </c>
      <c r="F2280" s="53" t="s">
        <v>11</v>
      </c>
      <c r="G2280" s="1075" t="s">
        <v>8</v>
      </c>
    </row>
    <row r="2281" spans="1:7" s="145" customFormat="1" ht="15.75" customHeight="1">
      <c r="A2281" s="943" t="s">
        <v>173</v>
      </c>
      <c r="B2281" s="1115"/>
      <c r="C2281" s="16" t="s">
        <v>3</v>
      </c>
      <c r="D2281" s="54">
        <v>6.0000000000000001E-3</v>
      </c>
      <c r="E2281" s="17">
        <f>G2278</f>
        <v>439085</v>
      </c>
      <c r="F2281" s="55">
        <f>E2281*D2281</f>
        <v>2634.51</v>
      </c>
      <c r="G2281" s="1116"/>
    </row>
    <row r="2282" spans="1:7" s="145" customFormat="1" ht="15.75" customHeight="1">
      <c r="A2282" s="151"/>
      <c r="B2282" s="152"/>
      <c r="C2282" s="152"/>
      <c r="D2282" s="152"/>
      <c r="E2282" s="152"/>
      <c r="F2282" s="152"/>
      <c r="G2282" s="57">
        <f>SUM(F2281:F2282)</f>
        <v>2634.51</v>
      </c>
    </row>
    <row r="2283" spans="1:7" s="145" customFormat="1" ht="15.75" customHeight="1">
      <c r="A2283" s="1114" t="s">
        <v>19</v>
      </c>
      <c r="B2283" s="1115"/>
      <c r="C2283" s="1115"/>
      <c r="D2283" s="1115"/>
      <c r="E2283" s="1115"/>
      <c r="F2283" s="1115"/>
      <c r="G2283" s="1116"/>
    </row>
    <row r="2284" spans="1:7" s="2" customFormat="1" ht="15.75" customHeight="1">
      <c r="A2284" s="1074" t="s">
        <v>2</v>
      </c>
      <c r="B2284" s="1115"/>
      <c r="C2284" s="53" t="s">
        <v>3</v>
      </c>
      <c r="D2284" s="53" t="s">
        <v>4</v>
      </c>
      <c r="E2284" s="53" t="s">
        <v>6</v>
      </c>
      <c r="F2284" s="53" t="s">
        <v>11</v>
      </c>
      <c r="G2284" s="1075" t="s">
        <v>8</v>
      </c>
    </row>
    <row r="2285" spans="1:7" s="145" customFormat="1" ht="15.75" customHeight="1">
      <c r="A2285" s="978" t="s">
        <v>1256</v>
      </c>
      <c r="B2285" s="979"/>
      <c r="C2285" s="13" t="s">
        <v>1245</v>
      </c>
      <c r="D2285" s="32">
        <v>1</v>
      </c>
      <c r="E2285" s="13">
        <v>20030</v>
      </c>
      <c r="F2285" s="55">
        <f>+D2285*E2285</f>
        <v>20030</v>
      </c>
      <c r="G2285" s="1116"/>
    </row>
    <row r="2286" spans="1:7" s="145" customFormat="1" ht="15.75" customHeight="1">
      <c r="A2286" s="155"/>
      <c r="B2286" s="156"/>
      <c r="C2286" s="156"/>
      <c r="D2286" s="156"/>
      <c r="E2286" s="156"/>
      <c r="F2286" s="156"/>
      <c r="G2286" s="57">
        <f>SUM(F2284:F2286)</f>
        <v>20030</v>
      </c>
    </row>
    <row r="2287" spans="1:7" s="145" customFormat="1" ht="15.75" customHeight="1">
      <c r="A2287" s="1119" t="s">
        <v>25</v>
      </c>
      <c r="B2287" s="1120"/>
      <c r="C2287" s="1120"/>
      <c r="D2287" s="1120"/>
      <c r="E2287" s="1120"/>
      <c r="F2287" s="1120"/>
      <c r="G2287" s="1121"/>
    </row>
    <row r="2288" spans="1:7" s="145" customFormat="1" ht="15" customHeight="1">
      <c r="A2288" s="1122"/>
      <c r="B2288" s="1120"/>
      <c r="C2288" s="1120"/>
      <c r="D2288" s="1120"/>
      <c r="E2288" s="1120"/>
      <c r="F2288" s="1120"/>
      <c r="G2288" s="157">
        <f>G2286+G2282+G2278+G2273</f>
        <v>462751.01</v>
      </c>
    </row>
    <row r="2289" spans="1:7" s="145" customFormat="1" ht="15.75" customHeight="1">
      <c r="A2289" s="158"/>
      <c r="B2289" s="159"/>
      <c r="C2289" s="159"/>
      <c r="D2289" s="159"/>
      <c r="E2289" s="159"/>
      <c r="F2289" s="159"/>
      <c r="G2289" s="160"/>
    </row>
    <row r="2290" spans="1:7" s="145" customFormat="1" ht="24" customHeight="1">
      <c r="A2290" s="1123" t="s">
        <v>1</v>
      </c>
      <c r="B2290" s="1120"/>
      <c r="C2290" s="953" t="s">
        <v>594</v>
      </c>
      <c r="D2290" s="1125"/>
      <c r="E2290" s="1125"/>
      <c r="F2290" s="1125"/>
      <c r="G2290" s="1126"/>
    </row>
    <row r="2291" spans="1:7" s="145" customFormat="1" ht="15.6" customHeight="1">
      <c r="A2291" s="1124"/>
      <c r="B2291" s="1120"/>
      <c r="C2291" s="1125"/>
      <c r="D2291" s="1125"/>
      <c r="E2291" s="1125"/>
      <c r="F2291" s="1125"/>
      <c r="G2291" s="1126"/>
    </row>
    <row r="2292" spans="1:7" s="145" customFormat="1" ht="15.75" customHeight="1">
      <c r="A2292" s="1124"/>
      <c r="B2292" s="1120"/>
      <c r="C2292" s="1127" t="s">
        <v>595</v>
      </c>
      <c r="D2292" s="1120"/>
      <c r="E2292" s="1120"/>
      <c r="F2292" s="1120"/>
      <c r="G2292" s="1121"/>
    </row>
    <row r="2293" spans="1:7" s="145" customFormat="1" ht="57.75" customHeight="1">
      <c r="A2293" s="1124"/>
      <c r="B2293" s="1120"/>
      <c r="C2293" s="1128" t="s">
        <v>2</v>
      </c>
      <c r="D2293" s="1120"/>
      <c r="E2293" s="1120"/>
      <c r="F2293" s="146" t="s">
        <v>3</v>
      </c>
      <c r="G2293" s="147" t="s">
        <v>4</v>
      </c>
    </row>
    <row r="2294" spans="1:7" s="145" customFormat="1" ht="49.5" customHeight="1">
      <c r="A2294" s="1073" t="s">
        <v>778</v>
      </c>
      <c r="B2294" s="1115"/>
      <c r="C2294" s="980" t="s">
        <v>2767</v>
      </c>
      <c r="D2294" s="1115"/>
      <c r="E2294" s="1115"/>
      <c r="F2294" s="162" t="s">
        <v>28</v>
      </c>
      <c r="G2294" s="52">
        <v>1</v>
      </c>
    </row>
    <row r="2295" spans="1:7" s="145" customFormat="1" ht="15.75" customHeight="1">
      <c r="A2295" s="1114" t="s">
        <v>5</v>
      </c>
      <c r="B2295" s="1115"/>
      <c r="C2295" s="1115"/>
      <c r="D2295" s="1115"/>
      <c r="E2295" s="1115"/>
      <c r="F2295" s="1115"/>
      <c r="G2295" s="1116"/>
    </row>
    <row r="2296" spans="1:7" s="145" customFormat="1" ht="15.75" customHeight="1">
      <c r="A2296" s="1074" t="s">
        <v>2</v>
      </c>
      <c r="B2296" s="1115"/>
      <c r="C2296" s="53" t="s">
        <v>3</v>
      </c>
      <c r="D2296" s="53" t="s">
        <v>4</v>
      </c>
      <c r="E2296" s="53" t="s">
        <v>6</v>
      </c>
      <c r="F2296" s="53" t="s">
        <v>7</v>
      </c>
      <c r="G2296" s="1075" t="s">
        <v>8</v>
      </c>
    </row>
    <row r="2297" spans="1:7" s="145" customFormat="1" ht="15.75" customHeight="1">
      <c r="A2297" s="947" t="s">
        <v>167</v>
      </c>
      <c r="B2297" s="1115"/>
      <c r="C2297" s="51" t="s">
        <v>3</v>
      </c>
      <c r="D2297" s="51">
        <v>0.05</v>
      </c>
      <c r="E2297" s="17">
        <f>G2310</f>
        <v>20030</v>
      </c>
      <c r="F2297" s="55">
        <f>D2297*E2297</f>
        <v>1001.5</v>
      </c>
      <c r="G2297" s="1116"/>
    </row>
    <row r="2298" spans="1:7" s="145" customFormat="1" ht="15.75" customHeight="1">
      <c r="A2298" s="943"/>
      <c r="B2298" s="1115"/>
      <c r="C2298" s="51"/>
      <c r="D2298" s="51"/>
      <c r="E2298" s="51"/>
      <c r="F2298" s="55"/>
      <c r="G2298" s="57">
        <f>SUM(F2296:F2298)</f>
        <v>1001.5</v>
      </c>
    </row>
    <row r="2299" spans="1:7" s="145" customFormat="1" ht="15.75" customHeight="1">
      <c r="A2299" s="1114" t="s">
        <v>10</v>
      </c>
      <c r="B2299" s="1115"/>
      <c r="C2299" s="1115"/>
      <c r="D2299" s="1115"/>
      <c r="E2299" s="1115"/>
      <c r="F2299" s="1115"/>
      <c r="G2299" s="1116"/>
    </row>
    <row r="2300" spans="1:7" s="145" customFormat="1" ht="13.8">
      <c r="A2300" s="1074" t="s">
        <v>2</v>
      </c>
      <c r="B2300" s="1115"/>
      <c r="C2300" s="53" t="s">
        <v>3</v>
      </c>
      <c r="D2300" s="53" t="s">
        <v>4</v>
      </c>
      <c r="E2300" s="53" t="s">
        <v>6</v>
      </c>
      <c r="F2300" s="53" t="s">
        <v>11</v>
      </c>
      <c r="G2300" s="1075" t="s">
        <v>8</v>
      </c>
    </row>
    <row r="2301" spans="1:7" s="150" customFormat="1" ht="15.75" customHeight="1">
      <c r="A2301" s="947" t="s">
        <v>779</v>
      </c>
      <c r="B2301" s="980"/>
      <c r="C2301" s="16" t="s">
        <v>3</v>
      </c>
      <c r="D2301" s="16">
        <v>1</v>
      </c>
      <c r="E2301" s="17">
        <f>+'INSUMOS ELÉCTRICOS'!E14</f>
        <v>262619.90999999997</v>
      </c>
      <c r="F2301" s="55">
        <f>D2301*E2301</f>
        <v>262619.90999999997</v>
      </c>
      <c r="G2301" s="1075"/>
    </row>
    <row r="2302" spans="1:7" s="145" customFormat="1" ht="15.75" customHeight="1">
      <c r="A2302" s="947"/>
      <c r="B2302" s="1115"/>
      <c r="C2302" s="16"/>
      <c r="D2302" s="58"/>
      <c r="E2302" s="17"/>
      <c r="F2302" s="55"/>
      <c r="G2302" s="57">
        <f>SUM(F2300:F2302)</f>
        <v>262619.90999999997</v>
      </c>
    </row>
    <row r="2303" spans="1:7" s="145" customFormat="1" ht="15.75" customHeight="1">
      <c r="A2303" s="1114" t="s">
        <v>15</v>
      </c>
      <c r="B2303" s="1115"/>
      <c r="C2303" s="1115"/>
      <c r="D2303" s="1115"/>
      <c r="E2303" s="1115"/>
      <c r="F2303" s="1115"/>
      <c r="G2303" s="1116"/>
    </row>
    <row r="2304" spans="1:7" s="145" customFormat="1" ht="15.75" customHeight="1">
      <c r="A2304" s="1074" t="s">
        <v>2</v>
      </c>
      <c r="B2304" s="1115"/>
      <c r="C2304" s="53" t="s">
        <v>3</v>
      </c>
      <c r="D2304" s="53" t="s">
        <v>4</v>
      </c>
      <c r="E2304" s="53" t="s">
        <v>6</v>
      </c>
      <c r="F2304" s="53" t="s">
        <v>11</v>
      </c>
      <c r="G2304" s="1075" t="s">
        <v>8</v>
      </c>
    </row>
    <row r="2305" spans="1:7" s="145" customFormat="1" ht="15.75" customHeight="1">
      <c r="A2305" s="943" t="s">
        <v>173</v>
      </c>
      <c r="B2305" s="1115"/>
      <c r="C2305" s="16" t="s">
        <v>3</v>
      </c>
      <c r="D2305" s="54">
        <v>4.0000000000000001E-3</v>
      </c>
      <c r="E2305" s="17">
        <f>G2302</f>
        <v>262619.90999999997</v>
      </c>
      <c r="F2305" s="55">
        <f>D2305*E2305</f>
        <v>1050.47964</v>
      </c>
      <c r="G2305" s="1116"/>
    </row>
    <row r="2306" spans="1:7" s="145" customFormat="1" ht="15.75" customHeight="1">
      <c r="A2306" s="151"/>
      <c r="B2306" s="152"/>
      <c r="C2306" s="152"/>
      <c r="D2306" s="152"/>
      <c r="E2306" s="152"/>
      <c r="F2306" s="152"/>
      <c r="G2306" s="57">
        <f>SUM(F2305:F2306)</f>
        <v>1050.47964</v>
      </c>
    </row>
    <row r="2307" spans="1:7" s="145" customFormat="1" ht="15.75" customHeight="1">
      <c r="A2307" s="1114" t="s">
        <v>19</v>
      </c>
      <c r="B2307" s="1115"/>
      <c r="C2307" s="1115"/>
      <c r="D2307" s="1115"/>
      <c r="E2307" s="1115"/>
      <c r="F2307" s="1115"/>
      <c r="G2307" s="1116"/>
    </row>
    <row r="2308" spans="1:7" s="145" customFormat="1" ht="15.75" customHeight="1">
      <c r="A2308" s="1074" t="s">
        <v>2</v>
      </c>
      <c r="B2308" s="1115"/>
      <c r="C2308" s="53" t="s">
        <v>3</v>
      </c>
      <c r="D2308" s="53" t="s">
        <v>4</v>
      </c>
      <c r="E2308" s="53" t="s">
        <v>6</v>
      </c>
      <c r="F2308" s="53" t="s">
        <v>11</v>
      </c>
      <c r="G2308" s="1075" t="s">
        <v>8</v>
      </c>
    </row>
    <row r="2309" spans="1:7" s="2" customFormat="1" ht="15.75" customHeight="1">
      <c r="A2309" s="978" t="s">
        <v>1256</v>
      </c>
      <c r="B2309" s="979"/>
      <c r="C2309" s="13" t="s">
        <v>1245</v>
      </c>
      <c r="D2309" s="32">
        <v>1</v>
      </c>
      <c r="E2309" s="13">
        <v>20030</v>
      </c>
      <c r="F2309" s="55">
        <f>+D2309*E2309</f>
        <v>20030</v>
      </c>
      <c r="G2309" s="1116"/>
    </row>
    <row r="2310" spans="1:7" s="145" customFormat="1" ht="15.75" customHeight="1">
      <c r="A2310" s="155"/>
      <c r="B2310" s="156"/>
      <c r="C2310" s="156"/>
      <c r="D2310" s="156"/>
      <c r="E2310" s="156"/>
      <c r="F2310" s="156"/>
      <c r="G2310" s="57">
        <f>SUM(F2308:F2310)</f>
        <v>20030</v>
      </c>
    </row>
    <row r="2311" spans="1:7" s="145" customFormat="1" ht="15.75" customHeight="1">
      <c r="A2311" s="1119" t="s">
        <v>25</v>
      </c>
      <c r="B2311" s="1120"/>
      <c r="C2311" s="1120"/>
      <c r="D2311" s="1120"/>
      <c r="E2311" s="1120"/>
      <c r="F2311" s="1120"/>
      <c r="G2311" s="1121"/>
    </row>
    <row r="2312" spans="1:7" s="145" customFormat="1" ht="15.75" customHeight="1">
      <c r="A2312" s="1122"/>
      <c r="B2312" s="1120"/>
      <c r="C2312" s="1120"/>
      <c r="D2312" s="1120"/>
      <c r="E2312" s="1120"/>
      <c r="F2312" s="1120"/>
      <c r="G2312" s="157">
        <f>G2310+G2306+G2302+G2298</f>
        <v>284701.88963999995</v>
      </c>
    </row>
    <row r="2313" spans="1:7" s="145" customFormat="1" ht="15" customHeight="1">
      <c r="A2313" s="158"/>
      <c r="B2313" s="159"/>
      <c r="C2313" s="159"/>
      <c r="D2313" s="159"/>
      <c r="E2313" s="159"/>
      <c r="F2313" s="159"/>
      <c r="G2313" s="160"/>
    </row>
    <row r="2314" spans="1:7" s="145" customFormat="1" ht="15.75" customHeight="1">
      <c r="A2314" s="1123" t="s">
        <v>1</v>
      </c>
      <c r="B2314" s="1120"/>
      <c r="C2314" s="953" t="s">
        <v>594</v>
      </c>
      <c r="D2314" s="1125"/>
      <c r="E2314" s="1125"/>
      <c r="F2314" s="1125"/>
      <c r="G2314" s="1126"/>
    </row>
    <row r="2315" spans="1:7" s="145" customFormat="1" ht="24" customHeight="1">
      <c r="A2315" s="1124"/>
      <c r="B2315" s="1120"/>
      <c r="C2315" s="1125"/>
      <c r="D2315" s="1125"/>
      <c r="E2315" s="1125"/>
      <c r="F2315" s="1125"/>
      <c r="G2315" s="1126"/>
    </row>
    <row r="2316" spans="1:7" s="145" customFormat="1" ht="15.6" customHeight="1">
      <c r="A2316" s="1124"/>
      <c r="B2316" s="1120"/>
      <c r="C2316" s="1127" t="s">
        <v>595</v>
      </c>
      <c r="D2316" s="1120"/>
      <c r="E2316" s="1120"/>
      <c r="F2316" s="1120"/>
      <c r="G2316" s="1121"/>
    </row>
    <row r="2317" spans="1:7" s="145" customFormat="1" ht="15.75" customHeight="1">
      <c r="A2317" s="1124"/>
      <c r="B2317" s="1120"/>
      <c r="C2317" s="1128" t="s">
        <v>2</v>
      </c>
      <c r="D2317" s="1120"/>
      <c r="E2317" s="1120"/>
      <c r="F2317" s="146" t="s">
        <v>3</v>
      </c>
      <c r="G2317" s="147" t="s">
        <v>4</v>
      </c>
    </row>
    <row r="2318" spans="1:7" s="145" customFormat="1" ht="32.4" customHeight="1">
      <c r="A2318" s="1073" t="s">
        <v>780</v>
      </c>
      <c r="B2318" s="1115"/>
      <c r="C2318" s="980" t="s">
        <v>604</v>
      </c>
      <c r="D2318" s="1115"/>
      <c r="E2318" s="1115"/>
      <c r="F2318" s="162" t="s">
        <v>28</v>
      </c>
      <c r="G2318" s="52">
        <v>1</v>
      </c>
    </row>
    <row r="2319" spans="1:7" s="145" customFormat="1" ht="15.75" customHeight="1">
      <c r="A2319" s="1114" t="s">
        <v>5</v>
      </c>
      <c r="B2319" s="1115"/>
      <c r="C2319" s="1115"/>
      <c r="D2319" s="1115"/>
      <c r="E2319" s="1115"/>
      <c r="F2319" s="1115"/>
      <c r="G2319" s="1116"/>
    </row>
    <row r="2320" spans="1:7" s="145" customFormat="1" ht="15.75" customHeight="1">
      <c r="A2320" s="1074" t="s">
        <v>2</v>
      </c>
      <c r="B2320" s="1115"/>
      <c r="C2320" s="53" t="s">
        <v>3</v>
      </c>
      <c r="D2320" s="53" t="s">
        <v>4</v>
      </c>
      <c r="E2320" s="53" t="s">
        <v>6</v>
      </c>
      <c r="F2320" s="53" t="s">
        <v>7</v>
      </c>
      <c r="G2320" s="1075" t="s">
        <v>8</v>
      </c>
    </row>
    <row r="2321" spans="1:7" s="145" customFormat="1" ht="15.75" customHeight="1">
      <c r="A2321" s="947" t="s">
        <v>167</v>
      </c>
      <c r="B2321" s="1115"/>
      <c r="C2321" s="51" t="s">
        <v>3</v>
      </c>
      <c r="D2321" s="51">
        <v>0.05</v>
      </c>
      <c r="E2321" s="17">
        <f>G2334</f>
        <v>2003</v>
      </c>
      <c r="F2321" s="55">
        <f>D2321*E2321</f>
        <v>100.15</v>
      </c>
      <c r="G2321" s="1116"/>
    </row>
    <row r="2322" spans="1:7" s="145" customFormat="1" ht="15.75" customHeight="1">
      <c r="A2322" s="943"/>
      <c r="B2322" s="1115"/>
      <c r="C2322" s="51"/>
      <c r="D2322" s="51"/>
      <c r="E2322" s="51"/>
      <c r="F2322" s="55"/>
      <c r="G2322" s="57">
        <f>SUM(F2320:F2322)</f>
        <v>100.15</v>
      </c>
    </row>
    <row r="2323" spans="1:7" s="145" customFormat="1" ht="15.75" customHeight="1">
      <c r="A2323" s="1114" t="s">
        <v>10</v>
      </c>
      <c r="B2323" s="1115"/>
      <c r="C2323" s="1115"/>
      <c r="D2323" s="1115"/>
      <c r="E2323" s="1115"/>
      <c r="F2323" s="1115"/>
      <c r="G2323" s="1116"/>
    </row>
    <row r="2324" spans="1:7" s="145" customFormat="1" ht="15.75" customHeight="1">
      <c r="A2324" s="1074" t="s">
        <v>2</v>
      </c>
      <c r="B2324" s="1115"/>
      <c r="C2324" s="53" t="s">
        <v>3</v>
      </c>
      <c r="D2324" s="53" t="s">
        <v>4</v>
      </c>
      <c r="E2324" s="53" t="s">
        <v>6</v>
      </c>
      <c r="F2324" s="53" t="s">
        <v>11</v>
      </c>
      <c r="G2324" s="1075" t="s">
        <v>8</v>
      </c>
    </row>
    <row r="2325" spans="1:7" s="145" customFormat="1" ht="21.6" customHeight="1">
      <c r="A2325" s="1117" t="s">
        <v>742</v>
      </c>
      <c r="B2325" s="1118"/>
      <c r="C2325" s="148" t="s">
        <v>3</v>
      </c>
      <c r="D2325" s="148">
        <v>1</v>
      </c>
      <c r="E2325" s="17">
        <f>+'INSUMOS ELÉCTRICOS'!E23</f>
        <v>14280</v>
      </c>
      <c r="F2325" s="149">
        <f>D2325*E2325</f>
        <v>14280</v>
      </c>
      <c r="G2325" s="1075"/>
    </row>
    <row r="2326" spans="1:7" s="145" customFormat="1" ht="15.75" customHeight="1">
      <c r="A2326" s="947"/>
      <c r="B2326" s="1115"/>
      <c r="C2326" s="16"/>
      <c r="D2326" s="58"/>
      <c r="E2326" s="17"/>
      <c r="F2326" s="55"/>
      <c r="G2326" s="57">
        <f>SUM(F2324:F2326)</f>
        <v>14280</v>
      </c>
    </row>
    <row r="2327" spans="1:7" s="145" customFormat="1" ht="15.75" customHeight="1">
      <c r="A2327" s="1114" t="s">
        <v>15</v>
      </c>
      <c r="B2327" s="1115"/>
      <c r="C2327" s="1115"/>
      <c r="D2327" s="1115"/>
      <c r="E2327" s="1115"/>
      <c r="F2327" s="1115"/>
      <c r="G2327" s="1116"/>
    </row>
    <row r="2328" spans="1:7" s="145" customFormat="1" ht="15.75" customHeight="1">
      <c r="A2328" s="1074" t="s">
        <v>2</v>
      </c>
      <c r="B2328" s="1115"/>
      <c r="C2328" s="53" t="s">
        <v>3</v>
      </c>
      <c r="D2328" s="53" t="s">
        <v>4</v>
      </c>
      <c r="E2328" s="53" t="s">
        <v>6</v>
      </c>
      <c r="F2328" s="53" t="s">
        <v>11</v>
      </c>
      <c r="G2328" s="1075" t="s">
        <v>8</v>
      </c>
    </row>
    <row r="2329" spans="1:7" s="145" customFormat="1" ht="15.75" customHeight="1">
      <c r="A2329" s="943" t="s">
        <v>173</v>
      </c>
      <c r="B2329" s="1115"/>
      <c r="C2329" s="16" t="s">
        <v>3</v>
      </c>
      <c r="D2329" s="16">
        <v>0.04</v>
      </c>
      <c r="E2329" s="17">
        <f>G2326</f>
        <v>14280</v>
      </c>
      <c r="F2329" s="55">
        <f>D2329*E2329</f>
        <v>571.20000000000005</v>
      </c>
      <c r="G2329" s="1116"/>
    </row>
    <row r="2330" spans="1:7" s="145" customFormat="1" ht="15.75" customHeight="1">
      <c r="A2330" s="151"/>
      <c r="B2330" s="152"/>
      <c r="C2330" s="152"/>
      <c r="D2330" s="152"/>
      <c r="E2330" s="152"/>
      <c r="F2330" s="152"/>
      <c r="G2330" s="57">
        <f>SUM(F2329:F2330)</f>
        <v>571.20000000000005</v>
      </c>
    </row>
    <row r="2331" spans="1:7" s="145" customFormat="1" ht="15.75" customHeight="1">
      <c r="A2331" s="1114" t="s">
        <v>19</v>
      </c>
      <c r="B2331" s="1115"/>
      <c r="C2331" s="1115"/>
      <c r="D2331" s="1115"/>
      <c r="E2331" s="1115"/>
      <c r="F2331" s="1115"/>
      <c r="G2331" s="1116"/>
    </row>
    <row r="2332" spans="1:7" s="145" customFormat="1" ht="15.75" customHeight="1">
      <c r="A2332" s="1074" t="s">
        <v>2</v>
      </c>
      <c r="B2332" s="1115"/>
      <c r="C2332" s="53" t="s">
        <v>3</v>
      </c>
      <c r="D2332" s="53" t="s">
        <v>4</v>
      </c>
      <c r="E2332" s="53" t="s">
        <v>6</v>
      </c>
      <c r="F2332" s="53" t="s">
        <v>11</v>
      </c>
      <c r="G2332" s="1075" t="s">
        <v>8</v>
      </c>
    </row>
    <row r="2333" spans="1:7" s="2" customFormat="1" ht="15.75" customHeight="1">
      <c r="A2333" s="978" t="s">
        <v>1256</v>
      </c>
      <c r="B2333" s="979"/>
      <c r="C2333" s="13" t="s">
        <v>1245</v>
      </c>
      <c r="D2333" s="32">
        <v>0.1</v>
      </c>
      <c r="E2333" s="13">
        <v>20030</v>
      </c>
      <c r="F2333" s="55">
        <f>+D2333*E2333</f>
        <v>2003</v>
      </c>
      <c r="G2333" s="1116"/>
    </row>
    <row r="2334" spans="1:7" s="145" customFormat="1" ht="15.75" customHeight="1">
      <c r="A2334" s="155"/>
      <c r="B2334" s="156"/>
      <c r="C2334" s="156"/>
      <c r="D2334" s="156"/>
      <c r="E2334" s="156"/>
      <c r="F2334" s="156"/>
      <c r="G2334" s="57">
        <f>SUM(F2332:F2334)</f>
        <v>2003</v>
      </c>
    </row>
    <row r="2335" spans="1:7" s="145" customFormat="1" ht="15.75" customHeight="1">
      <c r="A2335" s="1119" t="s">
        <v>25</v>
      </c>
      <c r="B2335" s="1120"/>
      <c r="C2335" s="1120"/>
      <c r="D2335" s="1120"/>
      <c r="E2335" s="1120"/>
      <c r="F2335" s="1120"/>
      <c r="G2335" s="1121"/>
    </row>
    <row r="2336" spans="1:7" s="145" customFormat="1" ht="15.75" customHeight="1">
      <c r="A2336" s="1122"/>
      <c r="B2336" s="1120"/>
      <c r="C2336" s="1120"/>
      <c r="D2336" s="1120"/>
      <c r="E2336" s="1120"/>
      <c r="F2336" s="1120"/>
      <c r="G2336" s="157">
        <f>G2334+G2330+G2326+G2322</f>
        <v>16954.350000000002</v>
      </c>
    </row>
    <row r="2337" spans="1:7" s="145" customFormat="1" ht="15" customHeight="1">
      <c r="A2337" s="158"/>
      <c r="B2337" s="159"/>
      <c r="C2337" s="159"/>
      <c r="D2337" s="159"/>
      <c r="E2337" s="159"/>
      <c r="F2337" s="159"/>
      <c r="G2337" s="160"/>
    </row>
    <row r="2338" spans="1:7" s="145" customFormat="1" ht="15.75" customHeight="1">
      <c r="A2338" s="1123" t="s">
        <v>1</v>
      </c>
      <c r="B2338" s="1120"/>
      <c r="C2338" s="953" t="s">
        <v>594</v>
      </c>
      <c r="D2338" s="1125"/>
      <c r="E2338" s="1125"/>
      <c r="F2338" s="1125"/>
      <c r="G2338" s="1126"/>
    </row>
    <row r="2339" spans="1:7" s="145" customFormat="1" ht="24" customHeight="1">
      <c r="A2339" s="1124"/>
      <c r="B2339" s="1120"/>
      <c r="C2339" s="1125"/>
      <c r="D2339" s="1125"/>
      <c r="E2339" s="1125"/>
      <c r="F2339" s="1125"/>
      <c r="G2339" s="1126"/>
    </row>
    <row r="2340" spans="1:7" s="145" customFormat="1" ht="15.6" customHeight="1">
      <c r="A2340" s="1124"/>
      <c r="B2340" s="1120"/>
      <c r="C2340" s="1127" t="s">
        <v>606</v>
      </c>
      <c r="D2340" s="1120"/>
      <c r="E2340" s="1120"/>
      <c r="F2340" s="1120"/>
      <c r="G2340" s="1121"/>
    </row>
    <row r="2341" spans="1:7" s="145" customFormat="1" ht="15.75" customHeight="1">
      <c r="A2341" s="1124"/>
      <c r="B2341" s="1120"/>
      <c r="C2341" s="1128" t="s">
        <v>2</v>
      </c>
      <c r="D2341" s="1120"/>
      <c r="E2341" s="1120"/>
      <c r="F2341" s="146" t="s">
        <v>3</v>
      </c>
      <c r="G2341" s="147" t="s">
        <v>4</v>
      </c>
    </row>
    <row r="2342" spans="1:7" s="145" customFormat="1" ht="57.75" customHeight="1">
      <c r="A2342" s="1073" t="s">
        <v>781</v>
      </c>
      <c r="B2342" s="1115"/>
      <c r="C2342" s="980" t="s">
        <v>608</v>
      </c>
      <c r="D2342" s="1115"/>
      <c r="E2342" s="1115"/>
      <c r="F2342" s="162" t="s">
        <v>45</v>
      </c>
      <c r="G2342" s="52">
        <v>1</v>
      </c>
    </row>
    <row r="2343" spans="1:7" s="145" customFormat="1" ht="15.75" customHeight="1">
      <c r="A2343" s="1114" t="s">
        <v>5</v>
      </c>
      <c r="B2343" s="1115"/>
      <c r="C2343" s="1115"/>
      <c r="D2343" s="1115"/>
      <c r="E2343" s="1115"/>
      <c r="F2343" s="1115"/>
      <c r="G2343" s="1116"/>
    </row>
    <row r="2344" spans="1:7" s="145" customFormat="1" ht="15.75" customHeight="1">
      <c r="A2344" s="1074" t="s">
        <v>2</v>
      </c>
      <c r="B2344" s="1115"/>
      <c r="C2344" s="53" t="s">
        <v>3</v>
      </c>
      <c r="D2344" s="53" t="s">
        <v>4</v>
      </c>
      <c r="E2344" s="53" t="s">
        <v>6</v>
      </c>
      <c r="F2344" s="53" t="s">
        <v>7</v>
      </c>
      <c r="G2344" s="1075" t="s">
        <v>8</v>
      </c>
    </row>
    <row r="2345" spans="1:7" s="145" customFormat="1" ht="15.75" customHeight="1">
      <c r="A2345" s="947" t="s">
        <v>167</v>
      </c>
      <c r="B2345" s="1115"/>
      <c r="C2345" s="51" t="s">
        <v>3</v>
      </c>
      <c r="D2345" s="51">
        <v>0.05</v>
      </c>
      <c r="E2345" s="17">
        <f>G2358</f>
        <v>4006</v>
      </c>
      <c r="F2345" s="55">
        <f>D2345*E2345</f>
        <v>200.3</v>
      </c>
      <c r="G2345" s="1116"/>
    </row>
    <row r="2346" spans="1:7" s="145" customFormat="1" ht="15.75" customHeight="1">
      <c r="A2346" s="943"/>
      <c r="B2346" s="1115"/>
      <c r="C2346" s="51"/>
      <c r="D2346" s="51"/>
      <c r="E2346" s="51"/>
      <c r="F2346" s="55"/>
      <c r="G2346" s="57">
        <f>SUM(F2344:F2346)</f>
        <v>200.3</v>
      </c>
    </row>
    <row r="2347" spans="1:7" s="145" customFormat="1" ht="15.75" customHeight="1">
      <c r="A2347" s="1114" t="s">
        <v>10</v>
      </c>
      <c r="B2347" s="1115"/>
      <c r="C2347" s="1115"/>
      <c r="D2347" s="1115"/>
      <c r="E2347" s="1115"/>
      <c r="F2347" s="1115"/>
      <c r="G2347" s="1116"/>
    </row>
    <row r="2348" spans="1:7" s="145" customFormat="1" ht="15.75" customHeight="1">
      <c r="A2348" s="1074" t="s">
        <v>2</v>
      </c>
      <c r="B2348" s="1115"/>
      <c r="C2348" s="53" t="s">
        <v>3</v>
      </c>
      <c r="D2348" s="53" t="s">
        <v>4</v>
      </c>
      <c r="E2348" s="53" t="s">
        <v>6</v>
      </c>
      <c r="F2348" s="53" t="s">
        <v>11</v>
      </c>
      <c r="G2348" s="1075" t="s">
        <v>8</v>
      </c>
    </row>
    <row r="2349" spans="1:7" s="150" customFormat="1" ht="32.4" customHeight="1">
      <c r="A2349" s="1117" t="s">
        <v>608</v>
      </c>
      <c r="B2349" s="1118"/>
      <c r="C2349" s="148" t="s">
        <v>3</v>
      </c>
      <c r="D2349" s="148">
        <v>1.05</v>
      </c>
      <c r="E2349" s="17">
        <f>+'INSUMOS ELÉCTRICOS'!E17</f>
        <v>5033.7</v>
      </c>
      <c r="F2349" s="149">
        <f>D2349*E2349</f>
        <v>5285.3850000000002</v>
      </c>
      <c r="G2349" s="1075"/>
    </row>
    <row r="2350" spans="1:7" s="145" customFormat="1" ht="15.75" customHeight="1">
      <c r="A2350" s="947"/>
      <c r="B2350" s="1115"/>
      <c r="C2350" s="16"/>
      <c r="D2350" s="58"/>
      <c r="E2350" s="17"/>
      <c r="F2350" s="55"/>
      <c r="G2350" s="57">
        <f>SUM(F2348:F2350)</f>
        <v>5285.3850000000002</v>
      </c>
    </row>
    <row r="2351" spans="1:7" s="145" customFormat="1" ht="15.75" customHeight="1">
      <c r="A2351" s="1114" t="s">
        <v>15</v>
      </c>
      <c r="B2351" s="1115"/>
      <c r="C2351" s="1115"/>
      <c r="D2351" s="1115"/>
      <c r="E2351" s="1115"/>
      <c r="F2351" s="1115"/>
      <c r="G2351" s="1116"/>
    </row>
    <row r="2352" spans="1:7" s="145" customFormat="1" ht="15.75" customHeight="1">
      <c r="A2352" s="1074" t="s">
        <v>2</v>
      </c>
      <c r="B2352" s="1115"/>
      <c r="C2352" s="53" t="s">
        <v>3</v>
      </c>
      <c r="D2352" s="53" t="s">
        <v>4</v>
      </c>
      <c r="E2352" s="53" t="s">
        <v>6</v>
      </c>
      <c r="F2352" s="53" t="s">
        <v>11</v>
      </c>
      <c r="G2352" s="1075" t="s">
        <v>8</v>
      </c>
    </row>
    <row r="2353" spans="1:7" s="145" customFormat="1" ht="15.75" customHeight="1">
      <c r="A2353" s="943" t="s">
        <v>173</v>
      </c>
      <c r="B2353" s="1115"/>
      <c r="C2353" s="16" t="s">
        <v>3</v>
      </c>
      <c r="D2353" s="16">
        <v>0.06</v>
      </c>
      <c r="E2353" s="17">
        <f>G2350</f>
        <v>5285.3850000000002</v>
      </c>
      <c r="F2353" s="55">
        <f>D2353*E2353</f>
        <v>317.12310000000002</v>
      </c>
      <c r="G2353" s="1116"/>
    </row>
    <row r="2354" spans="1:7" s="145" customFormat="1" ht="15.75" customHeight="1">
      <c r="A2354" s="151"/>
      <c r="B2354" s="152"/>
      <c r="C2354" s="152"/>
      <c r="D2354" s="152"/>
      <c r="E2354" s="152"/>
      <c r="F2354" s="152"/>
      <c r="G2354" s="57">
        <f>SUM(F2353:F2354)</f>
        <v>317.12310000000002</v>
      </c>
    </row>
    <row r="2355" spans="1:7" s="145" customFormat="1" ht="15.75" customHeight="1">
      <c r="A2355" s="1114" t="s">
        <v>19</v>
      </c>
      <c r="B2355" s="1115"/>
      <c r="C2355" s="1115"/>
      <c r="D2355" s="1115"/>
      <c r="E2355" s="1115"/>
      <c r="F2355" s="1115"/>
      <c r="G2355" s="1116"/>
    </row>
    <row r="2356" spans="1:7" s="145" customFormat="1" ht="15.75" customHeight="1">
      <c r="A2356" s="1074" t="s">
        <v>2</v>
      </c>
      <c r="B2356" s="1115"/>
      <c r="C2356" s="53" t="s">
        <v>3</v>
      </c>
      <c r="D2356" s="53" t="s">
        <v>4</v>
      </c>
      <c r="E2356" s="53" t="s">
        <v>6</v>
      </c>
      <c r="F2356" s="53" t="s">
        <v>11</v>
      </c>
      <c r="G2356" s="1075" t="s">
        <v>8</v>
      </c>
    </row>
    <row r="2357" spans="1:7" s="2" customFormat="1" ht="15.75" customHeight="1">
      <c r="A2357" s="978" t="s">
        <v>1256</v>
      </c>
      <c r="B2357" s="979"/>
      <c r="C2357" s="13" t="s">
        <v>1245</v>
      </c>
      <c r="D2357" s="32">
        <v>0.2</v>
      </c>
      <c r="E2357" s="13">
        <v>20030</v>
      </c>
      <c r="F2357" s="55">
        <f>+D2357*E2357</f>
        <v>4006</v>
      </c>
      <c r="G2357" s="1116"/>
    </row>
    <row r="2358" spans="1:7" s="145" customFormat="1" ht="15.75" customHeight="1">
      <c r="A2358" s="155"/>
      <c r="B2358" s="156"/>
      <c r="C2358" s="156"/>
      <c r="D2358" s="156"/>
      <c r="E2358" s="156"/>
      <c r="F2358" s="156"/>
      <c r="G2358" s="57">
        <f>SUM(F2356:F2358)</f>
        <v>4006</v>
      </c>
    </row>
    <row r="2359" spans="1:7" s="145" customFormat="1" ht="15.75" customHeight="1">
      <c r="A2359" s="1119" t="s">
        <v>25</v>
      </c>
      <c r="B2359" s="1120"/>
      <c r="C2359" s="1120"/>
      <c r="D2359" s="1120"/>
      <c r="E2359" s="1120"/>
      <c r="F2359" s="1120"/>
      <c r="G2359" s="1121"/>
    </row>
    <row r="2360" spans="1:7" s="145" customFormat="1" ht="15.75" customHeight="1">
      <c r="A2360" s="1122"/>
      <c r="B2360" s="1120"/>
      <c r="C2360" s="1120"/>
      <c r="D2360" s="1120"/>
      <c r="E2360" s="1120"/>
      <c r="F2360" s="1120"/>
      <c r="G2360" s="157">
        <f>G2358+G2354+G2350+G2346</f>
        <v>9808.8080999999984</v>
      </c>
    </row>
    <row r="2361" spans="1:7" s="145" customFormat="1" ht="15" customHeight="1">
      <c r="A2361" s="158"/>
      <c r="B2361" s="159"/>
      <c r="C2361" s="159"/>
      <c r="D2361" s="159"/>
      <c r="E2361" s="159"/>
      <c r="F2361" s="159"/>
      <c r="G2361" s="160"/>
    </row>
    <row r="2362" spans="1:7" s="145" customFormat="1" ht="15.75" customHeight="1">
      <c r="A2362" s="1123" t="s">
        <v>1</v>
      </c>
      <c r="B2362" s="1120"/>
      <c r="C2362" s="953" t="s">
        <v>594</v>
      </c>
      <c r="D2362" s="1125"/>
      <c r="E2362" s="1125"/>
      <c r="F2362" s="1125"/>
      <c r="G2362" s="1126"/>
    </row>
    <row r="2363" spans="1:7" s="145" customFormat="1" ht="24" customHeight="1">
      <c r="A2363" s="1124"/>
      <c r="B2363" s="1120"/>
      <c r="C2363" s="1125"/>
      <c r="D2363" s="1125"/>
      <c r="E2363" s="1125"/>
      <c r="F2363" s="1125"/>
      <c r="G2363" s="1126"/>
    </row>
    <row r="2364" spans="1:7" s="145" customFormat="1" ht="15.6" customHeight="1">
      <c r="A2364" s="1124"/>
      <c r="B2364" s="1120"/>
      <c r="C2364" s="1127" t="s">
        <v>609</v>
      </c>
      <c r="D2364" s="1120"/>
      <c r="E2364" s="1120"/>
      <c r="F2364" s="1120"/>
      <c r="G2364" s="1121"/>
    </row>
    <row r="2365" spans="1:7" s="145" customFormat="1" ht="15.75" customHeight="1">
      <c r="A2365" s="1124"/>
      <c r="B2365" s="1120"/>
      <c r="C2365" s="1128" t="s">
        <v>2</v>
      </c>
      <c r="D2365" s="1120"/>
      <c r="E2365" s="1120"/>
      <c r="F2365" s="146" t="s">
        <v>3</v>
      </c>
      <c r="G2365" s="147" t="s">
        <v>4</v>
      </c>
    </row>
    <row r="2366" spans="1:7" s="145" customFormat="1" ht="34.799999999999997">
      <c r="A2366" s="1073" t="s">
        <v>782</v>
      </c>
      <c r="B2366" s="1115"/>
      <c r="C2366" s="980" t="s">
        <v>611</v>
      </c>
      <c r="D2366" s="1115"/>
      <c r="E2366" s="1115"/>
      <c r="F2366" s="162" t="s">
        <v>45</v>
      </c>
      <c r="G2366" s="52">
        <v>1</v>
      </c>
    </row>
    <row r="2367" spans="1:7" s="145" customFormat="1" ht="15.75" customHeight="1">
      <c r="A2367" s="1114" t="s">
        <v>5</v>
      </c>
      <c r="B2367" s="1115"/>
      <c r="C2367" s="1115"/>
      <c r="D2367" s="1115"/>
      <c r="E2367" s="1115"/>
      <c r="F2367" s="1115"/>
      <c r="G2367" s="1116"/>
    </row>
    <row r="2368" spans="1:7" s="145" customFormat="1" ht="15.75" customHeight="1">
      <c r="A2368" s="1074" t="s">
        <v>2</v>
      </c>
      <c r="B2368" s="1115"/>
      <c r="C2368" s="53" t="s">
        <v>3</v>
      </c>
      <c r="D2368" s="53" t="s">
        <v>4</v>
      </c>
      <c r="E2368" s="53" t="s">
        <v>6</v>
      </c>
      <c r="F2368" s="53" t="s">
        <v>7</v>
      </c>
      <c r="G2368" s="1075" t="s">
        <v>8</v>
      </c>
    </row>
    <row r="2369" spans="1:7" s="145" customFormat="1" ht="15.75" customHeight="1">
      <c r="A2369" s="947" t="s">
        <v>167</v>
      </c>
      <c r="B2369" s="1115"/>
      <c r="C2369" s="51" t="s">
        <v>3</v>
      </c>
      <c r="D2369" s="51">
        <v>0.05</v>
      </c>
      <c r="E2369" s="17">
        <v>6719</v>
      </c>
      <c r="F2369" s="55">
        <f>D2369*E2369</f>
        <v>335.95000000000005</v>
      </c>
      <c r="G2369" s="1116"/>
    </row>
    <row r="2370" spans="1:7" s="145" customFormat="1" ht="15.75" customHeight="1">
      <c r="A2370" s="943"/>
      <c r="B2370" s="1115"/>
      <c r="C2370" s="51"/>
      <c r="D2370" s="51"/>
      <c r="E2370" s="51"/>
      <c r="F2370" s="55"/>
      <c r="G2370" s="57">
        <f>SUM(F2368:F2370)</f>
        <v>335.95000000000005</v>
      </c>
    </row>
    <row r="2371" spans="1:7" s="145" customFormat="1" ht="15.75" customHeight="1">
      <c r="A2371" s="1114" t="s">
        <v>10</v>
      </c>
      <c r="B2371" s="1115"/>
      <c r="C2371" s="1115"/>
      <c r="D2371" s="1115"/>
      <c r="E2371" s="1115"/>
      <c r="F2371" s="1115"/>
      <c r="G2371" s="1116"/>
    </row>
    <row r="2372" spans="1:7" s="145" customFormat="1" ht="15.75" customHeight="1">
      <c r="A2372" s="1074" t="s">
        <v>2</v>
      </c>
      <c r="B2372" s="1115"/>
      <c r="C2372" s="53" t="s">
        <v>3</v>
      </c>
      <c r="D2372" s="53" t="s">
        <v>4</v>
      </c>
      <c r="E2372" s="53" t="s">
        <v>6</v>
      </c>
      <c r="F2372" s="53" t="s">
        <v>11</v>
      </c>
      <c r="G2372" s="1075" t="s">
        <v>8</v>
      </c>
    </row>
    <row r="2373" spans="1:7" s="150" customFormat="1" ht="13.8">
      <c r="A2373" s="947" t="s">
        <v>612</v>
      </c>
      <c r="B2373" s="1115"/>
      <c r="C2373" s="51" t="s">
        <v>3</v>
      </c>
      <c r="D2373" s="148">
        <v>10</v>
      </c>
      <c r="E2373" s="17">
        <f>+'INSUMOS ELÉCTRICOS'!E126</f>
        <v>348.66999999999996</v>
      </c>
      <c r="F2373" s="55">
        <f t="shared" ref="F2373:F2378" si="32">D2373*E2373</f>
        <v>3486.7</v>
      </c>
      <c r="G2373" s="1075"/>
    </row>
    <row r="2374" spans="1:7" s="145" customFormat="1" ht="15.75" customHeight="1">
      <c r="A2374" s="947" t="s">
        <v>613</v>
      </c>
      <c r="B2374" s="1115"/>
      <c r="C2374" s="51" t="s">
        <v>3</v>
      </c>
      <c r="D2374" s="148">
        <v>0.67</v>
      </c>
      <c r="E2374" s="17">
        <f>+'INSUMOS ELÉCTRICOS'!E24</f>
        <v>780</v>
      </c>
      <c r="F2374" s="55">
        <f t="shared" si="32"/>
        <v>522.6</v>
      </c>
      <c r="G2374" s="1075"/>
    </row>
    <row r="2375" spans="1:7" s="145" customFormat="1" ht="15.75" customHeight="1">
      <c r="A2375" s="947" t="s">
        <v>614</v>
      </c>
      <c r="B2375" s="1115"/>
      <c r="C2375" s="51" t="s">
        <v>3</v>
      </c>
      <c r="D2375" s="148">
        <v>0.17</v>
      </c>
      <c r="E2375" s="17">
        <f>+'INSUMOS ELÉCTRICOS'!E25</f>
        <v>11900</v>
      </c>
      <c r="F2375" s="55">
        <f t="shared" si="32"/>
        <v>2023.0000000000002</v>
      </c>
      <c r="G2375" s="1075"/>
    </row>
    <row r="2376" spans="1:7" s="145" customFormat="1" ht="15.75" customHeight="1">
      <c r="A2376" s="947" t="s">
        <v>2477</v>
      </c>
      <c r="B2376" s="1115"/>
      <c r="C2376" s="51" t="s">
        <v>3</v>
      </c>
      <c r="D2376" s="148">
        <v>1</v>
      </c>
      <c r="E2376" s="17">
        <f>+'INSUMOS ELÉCTRICOS'!E26</f>
        <v>16580.666666666668</v>
      </c>
      <c r="F2376" s="55">
        <f t="shared" si="32"/>
        <v>16580.666666666668</v>
      </c>
      <c r="G2376" s="1075"/>
    </row>
    <row r="2377" spans="1:7" s="145" customFormat="1" ht="15.75" customHeight="1">
      <c r="A2377" s="947" t="s">
        <v>615</v>
      </c>
      <c r="B2377" s="1115"/>
      <c r="C2377" s="51" t="s">
        <v>3</v>
      </c>
      <c r="D2377" s="148">
        <v>0.33</v>
      </c>
      <c r="E2377" s="17">
        <f>+'INSUMOS ELÉCTRICOS'!E28</f>
        <v>2946.44</v>
      </c>
      <c r="F2377" s="55">
        <f t="shared" si="32"/>
        <v>972.32520000000011</v>
      </c>
      <c r="G2377" s="1075"/>
    </row>
    <row r="2378" spans="1:7" s="145" customFormat="1" ht="15.75" customHeight="1">
      <c r="A2378" s="947" t="s">
        <v>616</v>
      </c>
      <c r="B2378" s="1115"/>
      <c r="C2378" s="51" t="s">
        <v>3</v>
      </c>
      <c r="D2378" s="148">
        <v>0.32929999999999998</v>
      </c>
      <c r="E2378" s="17">
        <f>+'INSUMOS ELÉCTRICOS'!E29</f>
        <v>4190</v>
      </c>
      <c r="F2378" s="55">
        <f t="shared" si="32"/>
        <v>1379.7669999999998</v>
      </c>
      <c r="G2378" s="1075"/>
    </row>
    <row r="2379" spans="1:7" s="145" customFormat="1" ht="15.75" customHeight="1">
      <c r="A2379" s="947"/>
      <c r="B2379" s="1115"/>
      <c r="C2379" s="16"/>
      <c r="D2379" s="58"/>
      <c r="E2379" s="17"/>
      <c r="F2379" s="55"/>
      <c r="G2379" s="57">
        <f>SUM(F2372:F2379)</f>
        <v>24965.058866666666</v>
      </c>
    </row>
    <row r="2380" spans="1:7" s="145" customFormat="1" ht="15.75" customHeight="1">
      <c r="A2380" s="1114" t="s">
        <v>15</v>
      </c>
      <c r="B2380" s="1115"/>
      <c r="C2380" s="1115"/>
      <c r="D2380" s="1115"/>
      <c r="E2380" s="1115"/>
      <c r="F2380" s="1115"/>
      <c r="G2380" s="1116"/>
    </row>
    <row r="2381" spans="1:7" s="2" customFormat="1" ht="15.75" customHeight="1">
      <c r="A2381" s="1074" t="s">
        <v>2</v>
      </c>
      <c r="B2381" s="1115"/>
      <c r="C2381" s="53" t="s">
        <v>3</v>
      </c>
      <c r="D2381" s="53" t="s">
        <v>4</v>
      </c>
      <c r="E2381" s="53" t="s">
        <v>6</v>
      </c>
      <c r="F2381" s="53" t="s">
        <v>11</v>
      </c>
      <c r="G2381" s="1075" t="s">
        <v>8</v>
      </c>
    </row>
    <row r="2382" spans="1:7" s="145" customFormat="1" ht="15.75" customHeight="1">
      <c r="A2382" s="943" t="s">
        <v>173</v>
      </c>
      <c r="B2382" s="1115"/>
      <c r="C2382" s="16" t="s">
        <v>3</v>
      </c>
      <c r="D2382" s="16">
        <v>0.1</v>
      </c>
      <c r="E2382" s="17">
        <f>G2379</f>
        <v>24965.058866666666</v>
      </c>
      <c r="F2382" s="55">
        <f>D2382*E2382</f>
        <v>2496.5058866666668</v>
      </c>
      <c r="G2382" s="1116"/>
    </row>
    <row r="2383" spans="1:7" s="145" customFormat="1" ht="15.75" customHeight="1">
      <c r="A2383" s="151"/>
      <c r="B2383" s="152"/>
      <c r="C2383" s="152"/>
      <c r="D2383" s="152"/>
      <c r="E2383" s="152"/>
      <c r="F2383" s="152"/>
      <c r="G2383" s="57">
        <f>SUM(F2382:F2383)</f>
        <v>2496.5058866666668</v>
      </c>
    </row>
    <row r="2384" spans="1:7" s="145" customFormat="1" ht="15.75" customHeight="1">
      <c r="A2384" s="1114" t="s">
        <v>19</v>
      </c>
      <c r="B2384" s="1115"/>
      <c r="C2384" s="1115"/>
      <c r="D2384" s="1115"/>
      <c r="E2384" s="1115"/>
      <c r="F2384" s="1115"/>
      <c r="G2384" s="1116"/>
    </row>
    <row r="2385" spans="1:7" s="145" customFormat="1" ht="15" customHeight="1">
      <c r="A2385" s="1074" t="s">
        <v>2</v>
      </c>
      <c r="B2385" s="1115"/>
      <c r="C2385" s="53" t="s">
        <v>3</v>
      </c>
      <c r="D2385" s="53" t="s">
        <v>4</v>
      </c>
      <c r="E2385" s="53" t="s">
        <v>6</v>
      </c>
      <c r="F2385" s="53" t="s">
        <v>11</v>
      </c>
      <c r="G2385" s="1075" t="s">
        <v>8</v>
      </c>
    </row>
    <row r="2386" spans="1:7" s="145" customFormat="1" ht="15.75" customHeight="1">
      <c r="A2386" s="978" t="s">
        <v>1256</v>
      </c>
      <c r="B2386" s="979"/>
      <c r="C2386" s="13" t="s">
        <v>1245</v>
      </c>
      <c r="D2386" s="32">
        <v>0.2</v>
      </c>
      <c r="E2386" s="13">
        <v>18041</v>
      </c>
      <c r="F2386" s="55">
        <f>+D2386*E2386</f>
        <v>3608.2000000000003</v>
      </c>
      <c r="G2386" s="1116"/>
    </row>
    <row r="2387" spans="1:7" s="145" customFormat="1" ht="24" customHeight="1">
      <c r="A2387" s="155"/>
      <c r="B2387" s="156"/>
      <c r="C2387" s="156"/>
      <c r="D2387" s="156"/>
      <c r="E2387" s="156"/>
      <c r="F2387" s="156"/>
      <c r="G2387" s="57">
        <f>SUM(F2385:F2387)</f>
        <v>3608.2000000000003</v>
      </c>
    </row>
    <row r="2388" spans="1:7" s="145" customFormat="1" ht="15.6" customHeight="1">
      <c r="A2388" s="1119" t="s">
        <v>25</v>
      </c>
      <c r="B2388" s="1120"/>
      <c r="C2388" s="1120"/>
      <c r="D2388" s="1120"/>
      <c r="E2388" s="1120"/>
      <c r="F2388" s="1120"/>
      <c r="G2388" s="1121"/>
    </row>
    <row r="2389" spans="1:7" s="145" customFormat="1" ht="15.75" customHeight="1">
      <c r="A2389" s="1122"/>
      <c r="B2389" s="1120"/>
      <c r="C2389" s="1120"/>
      <c r="D2389" s="1120"/>
      <c r="E2389" s="1120"/>
      <c r="F2389" s="1120"/>
      <c r="G2389" s="157">
        <f>G2387+G2383+G2379+G2370</f>
        <v>31405.714753333334</v>
      </c>
    </row>
    <row r="2390" spans="1:7" s="145" customFormat="1" ht="13.8">
      <c r="A2390" s="158"/>
      <c r="B2390" s="159"/>
      <c r="C2390" s="159"/>
      <c r="D2390" s="159"/>
      <c r="E2390" s="159"/>
      <c r="F2390" s="159"/>
      <c r="G2390" s="160"/>
    </row>
    <row r="2391" spans="1:7" s="145" customFormat="1" ht="15" customHeight="1">
      <c r="A2391" s="1123" t="s">
        <v>1</v>
      </c>
      <c r="B2391" s="1120"/>
      <c r="C2391" s="953" t="s">
        <v>594</v>
      </c>
      <c r="D2391" s="1125"/>
      <c r="E2391" s="1125"/>
      <c r="F2391" s="1125"/>
      <c r="G2391" s="1126"/>
    </row>
    <row r="2392" spans="1:7" s="145" customFormat="1" ht="15" customHeight="1">
      <c r="A2392" s="1124"/>
      <c r="B2392" s="1120"/>
      <c r="C2392" s="1125"/>
      <c r="D2392" s="1125"/>
      <c r="E2392" s="1125"/>
      <c r="F2392" s="1125"/>
      <c r="G2392" s="1126"/>
    </row>
    <row r="2393" spans="1:7" s="145" customFormat="1" ht="15" customHeight="1">
      <c r="A2393" s="1124"/>
      <c r="B2393" s="1120"/>
      <c r="C2393" s="1127" t="s">
        <v>665</v>
      </c>
      <c r="D2393" s="1120"/>
      <c r="E2393" s="1120"/>
      <c r="F2393" s="1120"/>
      <c r="G2393" s="1121"/>
    </row>
    <row r="2394" spans="1:7" s="145" customFormat="1" ht="15" customHeight="1">
      <c r="A2394" s="1124"/>
      <c r="B2394" s="1120"/>
      <c r="C2394" s="1128" t="s">
        <v>2</v>
      </c>
      <c r="D2394" s="1120"/>
      <c r="E2394" s="1120"/>
      <c r="F2394" s="146" t="s">
        <v>3</v>
      </c>
      <c r="G2394" s="147" t="s">
        <v>4</v>
      </c>
    </row>
    <row r="2395" spans="1:7" s="145" customFormat="1" ht="78" customHeight="1">
      <c r="A2395" s="1073" t="s">
        <v>783</v>
      </c>
      <c r="B2395" s="1115"/>
      <c r="C2395" s="980" t="s">
        <v>670</v>
      </c>
      <c r="D2395" s="1115"/>
      <c r="E2395" s="1115"/>
      <c r="F2395" s="162" t="s">
        <v>28</v>
      </c>
      <c r="G2395" s="52">
        <v>1</v>
      </c>
    </row>
    <row r="2396" spans="1:7" s="145" customFormat="1" ht="15" customHeight="1">
      <c r="A2396" s="1114" t="s">
        <v>5</v>
      </c>
      <c r="B2396" s="1115"/>
      <c r="C2396" s="1115"/>
      <c r="D2396" s="1115"/>
      <c r="E2396" s="1115"/>
      <c r="F2396" s="1115"/>
      <c r="G2396" s="1116"/>
    </row>
    <row r="2397" spans="1:7" s="145" customFormat="1" ht="15" customHeight="1">
      <c r="A2397" s="1074" t="s">
        <v>2</v>
      </c>
      <c r="B2397" s="1115"/>
      <c r="C2397" s="53" t="s">
        <v>3</v>
      </c>
      <c r="D2397" s="53" t="s">
        <v>4</v>
      </c>
      <c r="E2397" s="53" t="s">
        <v>6</v>
      </c>
      <c r="F2397" s="53" t="s">
        <v>7</v>
      </c>
      <c r="G2397" s="1075" t="s">
        <v>8</v>
      </c>
    </row>
    <row r="2398" spans="1:7" s="145" customFormat="1" ht="15" customHeight="1">
      <c r="A2398" s="947" t="s">
        <v>167</v>
      </c>
      <c r="B2398" s="1115"/>
      <c r="C2398" s="51" t="s">
        <v>3</v>
      </c>
      <c r="D2398" s="51">
        <v>0.05</v>
      </c>
      <c r="E2398" s="17">
        <f>G2418</f>
        <v>14021</v>
      </c>
      <c r="F2398" s="55">
        <f>D2398*E2398</f>
        <v>701.05000000000007</v>
      </c>
      <c r="G2398" s="1116"/>
    </row>
    <row r="2399" spans="1:7" s="145" customFormat="1" ht="15" customHeight="1">
      <c r="A2399" s="943"/>
      <c r="B2399" s="1115"/>
      <c r="C2399" s="51"/>
      <c r="D2399" s="51"/>
      <c r="E2399" s="51"/>
      <c r="F2399" s="55"/>
      <c r="G2399" s="57">
        <f>SUM(F2397:F2399)</f>
        <v>701.05000000000007</v>
      </c>
    </row>
    <row r="2400" spans="1:7" s="145" customFormat="1" ht="15" customHeight="1">
      <c r="A2400" s="1114" t="s">
        <v>10</v>
      </c>
      <c r="B2400" s="1115"/>
      <c r="C2400" s="1115"/>
      <c r="D2400" s="1115"/>
      <c r="E2400" s="1115"/>
      <c r="F2400" s="1115"/>
      <c r="G2400" s="1116"/>
    </row>
    <row r="2401" spans="1:7" s="145" customFormat="1" ht="15" customHeight="1">
      <c r="A2401" s="1074" t="s">
        <v>2</v>
      </c>
      <c r="B2401" s="1115"/>
      <c r="C2401" s="53" t="s">
        <v>3</v>
      </c>
      <c r="D2401" s="53" t="s">
        <v>4</v>
      </c>
      <c r="E2401" s="53" t="s">
        <v>6</v>
      </c>
      <c r="F2401" s="53" t="s">
        <v>11</v>
      </c>
      <c r="G2401" s="1075" t="s">
        <v>8</v>
      </c>
    </row>
    <row r="2402" spans="1:7" s="145" customFormat="1" ht="15" customHeight="1">
      <c r="A2402" s="947" t="s">
        <v>612</v>
      </c>
      <c r="B2402" s="980"/>
      <c r="C2402" s="148" t="s">
        <v>3</v>
      </c>
      <c r="D2402" s="148">
        <v>20</v>
      </c>
      <c r="E2402" s="17">
        <f>+'INSUMOS ELÉCTRICOS'!E126</f>
        <v>348.66999999999996</v>
      </c>
      <c r="F2402" s="149">
        <f t="shared" ref="F2402:F2409" si="33">D2402*E2402</f>
        <v>6973.4</v>
      </c>
      <c r="G2402" s="1075"/>
    </row>
    <row r="2403" spans="1:7" s="145" customFormat="1" ht="15" customHeight="1">
      <c r="A2403" s="947" t="s">
        <v>640</v>
      </c>
      <c r="B2403" s="980"/>
      <c r="C2403" s="148" t="s">
        <v>3</v>
      </c>
      <c r="D2403" s="148">
        <v>1</v>
      </c>
      <c r="E2403" s="17">
        <f>+'INSUMOS ELÉCTRICOS'!E53</f>
        <v>20000</v>
      </c>
      <c r="F2403" s="149">
        <f t="shared" si="33"/>
        <v>20000</v>
      </c>
      <c r="G2403" s="1075"/>
    </row>
    <row r="2404" spans="1:7" s="145" customFormat="1" ht="15" customHeight="1">
      <c r="A2404" s="947" t="s">
        <v>641</v>
      </c>
      <c r="B2404" s="980"/>
      <c r="C2404" s="148" t="s">
        <v>3</v>
      </c>
      <c r="D2404" s="16">
        <v>4.2</v>
      </c>
      <c r="E2404" s="17">
        <f>+'INSUMOS ELÉCTRICOS'!E26</f>
        <v>16580.666666666668</v>
      </c>
      <c r="F2404" s="149">
        <f t="shared" si="33"/>
        <v>69638.8</v>
      </c>
      <c r="G2404" s="1075"/>
    </row>
    <row r="2405" spans="1:7" s="145" customFormat="1" ht="15.75" customHeight="1">
      <c r="A2405" s="947" t="s">
        <v>613</v>
      </c>
      <c r="B2405" s="980"/>
      <c r="C2405" s="148" t="s">
        <v>3</v>
      </c>
      <c r="D2405" s="16">
        <v>3</v>
      </c>
      <c r="E2405" s="17">
        <f>+'INSUMOS ELÉCTRICOS'!E24</f>
        <v>780</v>
      </c>
      <c r="F2405" s="149">
        <f t="shared" si="33"/>
        <v>2340</v>
      </c>
      <c r="G2405" s="1075"/>
    </row>
    <row r="2406" spans="1:7" s="145" customFormat="1" ht="15" customHeight="1">
      <c r="A2406" s="947" t="s">
        <v>615</v>
      </c>
      <c r="B2406" s="980"/>
      <c r="C2406" s="148" t="s">
        <v>3</v>
      </c>
      <c r="D2406" s="16">
        <v>0</v>
      </c>
      <c r="E2406" s="17">
        <f>+'INSUMOS ELÉCTRICOS'!E28</f>
        <v>2946.44</v>
      </c>
      <c r="F2406" s="149">
        <f t="shared" si="33"/>
        <v>0</v>
      </c>
      <c r="G2406" s="1075"/>
    </row>
    <row r="2407" spans="1:7" s="145" customFormat="1" ht="15" customHeight="1">
      <c r="A2407" s="947" t="s">
        <v>616</v>
      </c>
      <c r="B2407" s="980"/>
      <c r="C2407" s="148" t="s">
        <v>3</v>
      </c>
      <c r="D2407" s="16">
        <v>1</v>
      </c>
      <c r="E2407" s="17">
        <f>+'INSUMOS ELÉCTRICOS'!E29</f>
        <v>4190</v>
      </c>
      <c r="F2407" s="149">
        <f t="shared" si="33"/>
        <v>4190</v>
      </c>
      <c r="G2407" s="1075"/>
    </row>
    <row r="2408" spans="1:7" s="145" customFormat="1" ht="15" customHeight="1">
      <c r="A2408" s="947" t="s">
        <v>614</v>
      </c>
      <c r="B2408" s="980"/>
      <c r="C2408" s="148" t="s">
        <v>3</v>
      </c>
      <c r="D2408" s="16">
        <v>0.5</v>
      </c>
      <c r="E2408" s="17">
        <f>+'INSUMOS ELÉCTRICOS'!E25</f>
        <v>11900</v>
      </c>
      <c r="F2408" s="149">
        <f t="shared" si="33"/>
        <v>5950</v>
      </c>
      <c r="G2408" s="1075"/>
    </row>
    <row r="2409" spans="1:7" s="145" customFormat="1" ht="15" customHeight="1">
      <c r="A2409" s="947" t="s">
        <v>642</v>
      </c>
      <c r="B2409" s="980"/>
      <c r="C2409" s="148" t="s">
        <v>3</v>
      </c>
      <c r="D2409" s="16">
        <v>12.6</v>
      </c>
      <c r="E2409" s="785">
        <v>2567.4964</v>
      </c>
      <c r="F2409" s="149">
        <f t="shared" si="33"/>
        <v>32350.45464</v>
      </c>
      <c r="G2409" s="1075"/>
    </row>
    <row r="2410" spans="1:7" s="145" customFormat="1" ht="15" customHeight="1">
      <c r="A2410" s="947"/>
      <c r="B2410" s="1115"/>
      <c r="C2410" s="16"/>
      <c r="D2410" s="58"/>
      <c r="E2410" s="17"/>
      <c r="F2410" s="55"/>
      <c r="G2410" s="57">
        <f>SUM(F2401:F2410)</f>
        <v>141442.65464000002</v>
      </c>
    </row>
    <row r="2411" spans="1:7" s="145" customFormat="1" ht="15" customHeight="1">
      <c r="A2411" s="1114" t="s">
        <v>15</v>
      </c>
      <c r="B2411" s="1115"/>
      <c r="C2411" s="1115"/>
      <c r="D2411" s="1115"/>
      <c r="E2411" s="1115"/>
      <c r="F2411" s="1115"/>
      <c r="G2411" s="1116"/>
    </row>
    <row r="2412" spans="1:7" s="145" customFormat="1" ht="15" customHeight="1">
      <c r="A2412" s="1074" t="s">
        <v>2</v>
      </c>
      <c r="B2412" s="1115"/>
      <c r="C2412" s="53" t="s">
        <v>3</v>
      </c>
      <c r="D2412" s="53" t="s">
        <v>4</v>
      </c>
      <c r="E2412" s="53" t="s">
        <v>6</v>
      </c>
      <c r="F2412" s="53" t="s">
        <v>11</v>
      </c>
      <c r="G2412" s="1075" t="s">
        <v>8</v>
      </c>
    </row>
    <row r="2413" spans="1:7" s="145" customFormat="1" ht="15" customHeight="1">
      <c r="A2413" s="943" t="s">
        <v>173</v>
      </c>
      <c r="B2413" s="1115"/>
      <c r="C2413" s="16" t="s">
        <v>3</v>
      </c>
      <c r="D2413" s="16">
        <v>1.4E-2</v>
      </c>
      <c r="E2413" s="17">
        <f>G2410</f>
        <v>141442.65464000002</v>
      </c>
      <c r="F2413" s="55">
        <f>D2413*E2413</f>
        <v>1980.1971649600005</v>
      </c>
      <c r="G2413" s="1116"/>
    </row>
    <row r="2414" spans="1:7" s="145" customFormat="1" ht="13.8">
      <c r="A2414" s="151"/>
      <c r="B2414" s="152"/>
      <c r="C2414" s="152"/>
      <c r="D2414" s="152"/>
      <c r="E2414" s="152"/>
      <c r="F2414" s="152"/>
      <c r="G2414" s="57">
        <f>SUM(F2413:F2414)</f>
        <v>1980.1971649600005</v>
      </c>
    </row>
    <row r="2415" spans="1:7" s="145" customFormat="1" ht="15" customHeight="1">
      <c r="A2415" s="1114" t="s">
        <v>19</v>
      </c>
      <c r="B2415" s="1115"/>
      <c r="C2415" s="1115"/>
      <c r="D2415" s="1115"/>
      <c r="E2415" s="1115"/>
      <c r="F2415" s="1115"/>
      <c r="G2415" s="1116"/>
    </row>
    <row r="2416" spans="1:7" s="145" customFormat="1" ht="15" customHeight="1">
      <c r="A2416" s="1074" t="s">
        <v>2</v>
      </c>
      <c r="B2416" s="1115"/>
      <c r="C2416" s="53" t="s">
        <v>3</v>
      </c>
      <c r="D2416" s="53" t="s">
        <v>4</v>
      </c>
      <c r="E2416" s="53" t="s">
        <v>6</v>
      </c>
      <c r="F2416" s="53" t="s">
        <v>11</v>
      </c>
      <c r="G2416" s="1075" t="s">
        <v>8</v>
      </c>
    </row>
    <row r="2417" spans="1:7" s="145" customFormat="1" ht="15" customHeight="1">
      <c r="A2417" s="978" t="s">
        <v>1256</v>
      </c>
      <c r="B2417" s="979"/>
      <c r="C2417" s="13" t="s">
        <v>1245</v>
      </c>
      <c r="D2417" s="32">
        <v>0.7</v>
      </c>
      <c r="E2417" s="13">
        <v>20030</v>
      </c>
      <c r="F2417" s="55">
        <f>+D2417*E2417</f>
        <v>14021</v>
      </c>
      <c r="G2417" s="1116"/>
    </row>
    <row r="2418" spans="1:7" s="145" customFormat="1" ht="15" customHeight="1">
      <c r="A2418" s="155"/>
      <c r="B2418" s="156"/>
      <c r="C2418" s="156"/>
      <c r="D2418" s="156"/>
      <c r="E2418" s="156"/>
      <c r="F2418" s="156"/>
      <c r="G2418" s="57">
        <f>SUM(F2416:F2418)</f>
        <v>14021</v>
      </c>
    </row>
    <row r="2419" spans="1:7" s="145" customFormat="1" ht="15" customHeight="1">
      <c r="A2419" s="1119" t="s">
        <v>25</v>
      </c>
      <c r="B2419" s="1120"/>
      <c r="C2419" s="1120"/>
      <c r="D2419" s="1120"/>
      <c r="E2419" s="1120"/>
      <c r="F2419" s="1120"/>
      <c r="G2419" s="1121"/>
    </row>
    <row r="2420" spans="1:7" s="145" customFormat="1" ht="15" customHeight="1">
      <c r="A2420" s="1122"/>
      <c r="B2420" s="1120"/>
      <c r="C2420" s="1120"/>
      <c r="D2420" s="1120"/>
      <c r="E2420" s="1120"/>
      <c r="F2420" s="1120"/>
      <c r="G2420" s="157">
        <f>G2418+G2414+G2410+G2399</f>
        <v>158144.90180496001</v>
      </c>
    </row>
    <row r="2421" spans="1:7" s="145" customFormat="1" ht="15" customHeight="1">
      <c r="A2421" s="158"/>
      <c r="B2421" s="159"/>
      <c r="C2421" s="159"/>
      <c r="D2421" s="159"/>
      <c r="E2421" s="159"/>
      <c r="F2421" s="159"/>
      <c r="G2421" s="160"/>
    </row>
    <row r="2422" spans="1:7" s="150" customFormat="1" ht="16.2" customHeight="1">
      <c r="A2422" s="1123" t="s">
        <v>1</v>
      </c>
      <c r="B2422" s="1120"/>
      <c r="C2422" s="953" t="s">
        <v>594</v>
      </c>
      <c r="D2422" s="1125"/>
      <c r="E2422" s="1125"/>
      <c r="F2422" s="1125"/>
      <c r="G2422" s="1126"/>
    </row>
    <row r="2423" spans="1:7" s="145" customFormat="1" ht="16.2" customHeight="1">
      <c r="A2423" s="1124"/>
      <c r="B2423" s="1120"/>
      <c r="C2423" s="1125"/>
      <c r="D2423" s="1125"/>
      <c r="E2423" s="1125"/>
      <c r="F2423" s="1125"/>
      <c r="G2423" s="1126"/>
    </row>
    <row r="2424" spans="1:7" s="145" customFormat="1" ht="16.2" customHeight="1">
      <c r="A2424" s="1124"/>
      <c r="B2424" s="1120"/>
      <c r="C2424" s="1127" t="s">
        <v>665</v>
      </c>
      <c r="D2424" s="1120"/>
      <c r="E2424" s="1120"/>
      <c r="F2424" s="1120"/>
      <c r="G2424" s="1121"/>
    </row>
    <row r="2425" spans="1:7" s="145" customFormat="1" ht="16.2" customHeight="1">
      <c r="A2425" s="1124"/>
      <c r="B2425" s="1120"/>
      <c r="C2425" s="1128" t="s">
        <v>2</v>
      </c>
      <c r="D2425" s="1120"/>
      <c r="E2425" s="1120"/>
      <c r="F2425" s="146" t="s">
        <v>3</v>
      </c>
      <c r="G2425" s="147" t="s">
        <v>4</v>
      </c>
    </row>
    <row r="2426" spans="1:7" s="145" customFormat="1" ht="95.4" customHeight="1">
      <c r="A2426" s="1073" t="s">
        <v>784</v>
      </c>
      <c r="B2426" s="1115"/>
      <c r="C2426" s="980" t="s">
        <v>676</v>
      </c>
      <c r="D2426" s="1115"/>
      <c r="E2426" s="1115"/>
      <c r="F2426" s="162" t="s">
        <v>28</v>
      </c>
      <c r="G2426" s="52">
        <v>1</v>
      </c>
    </row>
    <row r="2427" spans="1:7" s="145" customFormat="1" ht="16.2" customHeight="1">
      <c r="A2427" s="1130" t="s">
        <v>5</v>
      </c>
      <c r="B2427" s="1131"/>
      <c r="C2427" s="1131"/>
      <c r="D2427" s="1131"/>
      <c r="E2427" s="1131"/>
      <c r="F2427" s="1131"/>
      <c r="G2427" s="1132"/>
    </row>
    <row r="2428" spans="1:7" s="145" customFormat="1" ht="16.2" customHeight="1">
      <c r="A2428" s="1027" t="s">
        <v>2</v>
      </c>
      <c r="B2428" s="1028"/>
      <c r="C2428" s="53" t="s">
        <v>3</v>
      </c>
      <c r="D2428" s="53" t="s">
        <v>4</v>
      </c>
      <c r="E2428" s="53" t="s">
        <v>6</v>
      </c>
      <c r="F2428" s="53" t="s">
        <v>7</v>
      </c>
      <c r="G2428" s="1029" t="s">
        <v>8</v>
      </c>
    </row>
    <row r="2429" spans="1:7" s="145" customFormat="1" ht="16.2" customHeight="1">
      <c r="A2429" s="1015" t="s">
        <v>167</v>
      </c>
      <c r="B2429" s="1016"/>
      <c r="C2429" s="51" t="s">
        <v>3</v>
      </c>
      <c r="D2429" s="51">
        <v>0.05</v>
      </c>
      <c r="E2429" s="17">
        <f>G2447</f>
        <v>20030</v>
      </c>
      <c r="F2429" s="55">
        <f>D2429*E2429</f>
        <v>1001.5</v>
      </c>
      <c r="G2429" s="1031"/>
    </row>
    <row r="2430" spans="1:7" s="145" customFormat="1" ht="16.2" customHeight="1">
      <c r="A2430" s="1019"/>
      <c r="B2430" s="1020"/>
      <c r="C2430" s="51"/>
      <c r="D2430" s="51"/>
      <c r="E2430" s="51"/>
      <c r="F2430" s="55"/>
      <c r="G2430" s="57">
        <f>SUM(F2428:F2430)</f>
        <v>1001.5</v>
      </c>
    </row>
    <row r="2431" spans="1:7" s="145" customFormat="1" ht="16.2" customHeight="1">
      <c r="A2431" s="1130" t="s">
        <v>10</v>
      </c>
      <c r="B2431" s="1131"/>
      <c r="C2431" s="1131"/>
      <c r="D2431" s="1131"/>
      <c r="E2431" s="1131"/>
      <c r="F2431" s="1131"/>
      <c r="G2431" s="1132"/>
    </row>
    <row r="2432" spans="1:7" s="145" customFormat="1" ht="16.2" customHeight="1">
      <c r="A2432" s="1027" t="s">
        <v>2</v>
      </c>
      <c r="B2432" s="1028"/>
      <c r="C2432" s="53" t="s">
        <v>3</v>
      </c>
      <c r="D2432" s="53" t="s">
        <v>4</v>
      </c>
      <c r="E2432" s="53" t="s">
        <v>6</v>
      </c>
      <c r="F2432" s="53" t="s">
        <v>11</v>
      </c>
      <c r="G2432" s="1029" t="s">
        <v>8</v>
      </c>
    </row>
    <row r="2433" spans="1:7" s="145" customFormat="1" ht="15.75" customHeight="1">
      <c r="A2433" s="1015" t="s">
        <v>615</v>
      </c>
      <c r="B2433" s="1016"/>
      <c r="C2433" s="148" t="s">
        <v>3</v>
      </c>
      <c r="D2433" s="148">
        <v>1</v>
      </c>
      <c r="E2433" s="17">
        <f>+'INSUMOS ELÉCTRICOS'!E28</f>
        <v>2946.44</v>
      </c>
      <c r="F2433" s="149">
        <f t="shared" ref="F2433:F2438" si="34">D2433*E2433</f>
        <v>2946.44</v>
      </c>
      <c r="G2433" s="1030"/>
    </row>
    <row r="2434" spans="1:7" s="145" customFormat="1" ht="15.75" customHeight="1">
      <c r="A2434" s="1015" t="s">
        <v>642</v>
      </c>
      <c r="B2434" s="1016"/>
      <c r="C2434" s="148" t="s">
        <v>622</v>
      </c>
      <c r="D2434" s="16">
        <v>12.6</v>
      </c>
      <c r="E2434" s="785">
        <v>2567.4964</v>
      </c>
      <c r="F2434" s="149">
        <f t="shared" si="34"/>
        <v>32350.45464</v>
      </c>
      <c r="G2434" s="1030"/>
    </row>
    <row r="2435" spans="1:7" s="145" customFormat="1" ht="15.75" customHeight="1">
      <c r="A2435" s="1015" t="s">
        <v>643</v>
      </c>
      <c r="B2435" s="1016"/>
      <c r="C2435" s="148" t="s">
        <v>3</v>
      </c>
      <c r="D2435" s="148">
        <v>4</v>
      </c>
      <c r="E2435" s="785">
        <f>+'INSUMOS ELÉCTRICOS'!E121</f>
        <v>1189</v>
      </c>
      <c r="F2435" s="149">
        <f t="shared" si="34"/>
        <v>4756</v>
      </c>
      <c r="G2435" s="1030"/>
    </row>
    <row r="2436" spans="1:7" s="145" customFormat="1" ht="15.75" customHeight="1">
      <c r="A2436" s="1015" t="s">
        <v>645</v>
      </c>
      <c r="B2436" s="1016"/>
      <c r="C2436" s="148" t="s">
        <v>3</v>
      </c>
      <c r="D2436" s="148">
        <v>0.02</v>
      </c>
      <c r="E2436" s="785">
        <v>5598.95</v>
      </c>
      <c r="F2436" s="149">
        <f t="shared" si="34"/>
        <v>111.979</v>
      </c>
      <c r="G2436" s="1030"/>
    </row>
    <row r="2437" spans="1:7" s="145" customFormat="1" ht="15.75" customHeight="1">
      <c r="A2437" s="1015" t="s">
        <v>646</v>
      </c>
      <c r="B2437" s="1016"/>
      <c r="C2437" s="148" t="s">
        <v>3</v>
      </c>
      <c r="D2437" s="148">
        <v>0.02</v>
      </c>
      <c r="E2437" s="17">
        <f>+'INSUMOS ELÉCTRICOS'!E120</f>
        <v>25000</v>
      </c>
      <c r="F2437" s="149">
        <f t="shared" si="34"/>
        <v>500</v>
      </c>
      <c r="G2437" s="1030"/>
    </row>
    <row r="2438" spans="1:7" s="145" customFormat="1" ht="15.75" customHeight="1">
      <c r="A2438" s="1133" t="s">
        <v>674</v>
      </c>
      <c r="B2438" s="1134"/>
      <c r="C2438" s="148" t="s">
        <v>3</v>
      </c>
      <c r="D2438" s="148">
        <v>1</v>
      </c>
      <c r="E2438" s="17">
        <v>6299.86</v>
      </c>
      <c r="F2438" s="149">
        <f t="shared" si="34"/>
        <v>6299.86</v>
      </c>
      <c r="G2438" s="1031"/>
    </row>
    <row r="2439" spans="1:7" s="145" customFormat="1" ht="15.75" customHeight="1">
      <c r="A2439" s="1015"/>
      <c r="B2439" s="1016"/>
      <c r="C2439" s="16"/>
      <c r="D2439" s="58"/>
      <c r="E2439" s="17"/>
      <c r="F2439" s="55"/>
      <c r="G2439" s="57">
        <f>SUM(F2432:F2439)</f>
        <v>46964.733639999999</v>
      </c>
    </row>
    <row r="2440" spans="1:7" s="145" customFormat="1" ht="15" customHeight="1">
      <c r="A2440" s="1130" t="s">
        <v>15</v>
      </c>
      <c r="B2440" s="1131"/>
      <c r="C2440" s="1131"/>
      <c r="D2440" s="1131"/>
      <c r="E2440" s="1131"/>
      <c r="F2440" s="1131"/>
      <c r="G2440" s="1132"/>
    </row>
    <row r="2441" spans="1:7" s="145" customFormat="1" ht="15" customHeight="1">
      <c r="A2441" s="1027" t="s">
        <v>2</v>
      </c>
      <c r="B2441" s="1028"/>
      <c r="C2441" s="53" t="s">
        <v>3</v>
      </c>
      <c r="D2441" s="53" t="s">
        <v>4</v>
      </c>
      <c r="E2441" s="53" t="s">
        <v>6</v>
      </c>
      <c r="F2441" s="53" t="s">
        <v>11</v>
      </c>
      <c r="G2441" s="1029" t="s">
        <v>8</v>
      </c>
    </row>
    <row r="2442" spans="1:7" s="145" customFormat="1" ht="15" customHeight="1">
      <c r="A2442" s="1019" t="s">
        <v>173</v>
      </c>
      <c r="B2442" s="1020"/>
      <c r="C2442" s="16" t="s">
        <v>3</v>
      </c>
      <c r="D2442" s="16">
        <v>0.05</v>
      </c>
      <c r="E2442" s="17">
        <f>G2439</f>
        <v>46964.733639999999</v>
      </c>
      <c r="F2442" s="55">
        <f>D2442*E2442</f>
        <v>2348.2366820000002</v>
      </c>
      <c r="G2442" s="1031"/>
    </row>
    <row r="2443" spans="1:7" s="145" customFormat="1" ht="15" customHeight="1">
      <c r="A2443" s="151"/>
      <c r="B2443" s="152"/>
      <c r="C2443" s="152"/>
      <c r="D2443" s="152"/>
      <c r="E2443" s="152"/>
      <c r="F2443" s="152"/>
      <c r="G2443" s="57">
        <f>SUM(F2442:F2443)</f>
        <v>2348.2366820000002</v>
      </c>
    </row>
    <row r="2444" spans="1:7" s="145" customFormat="1" ht="15" customHeight="1">
      <c r="A2444" s="1130" t="s">
        <v>19</v>
      </c>
      <c r="B2444" s="1131"/>
      <c r="C2444" s="1131"/>
      <c r="D2444" s="1131"/>
      <c r="E2444" s="1131"/>
      <c r="F2444" s="1131"/>
      <c r="G2444" s="1132"/>
    </row>
    <row r="2445" spans="1:7" s="145" customFormat="1" ht="13.8">
      <c r="A2445" s="1027" t="s">
        <v>2</v>
      </c>
      <c r="B2445" s="1028"/>
      <c r="C2445" s="53" t="s">
        <v>3</v>
      </c>
      <c r="D2445" s="53" t="s">
        <v>4</v>
      </c>
      <c r="E2445" s="53" t="s">
        <v>6</v>
      </c>
      <c r="F2445" s="53" t="s">
        <v>11</v>
      </c>
      <c r="G2445" s="1029" t="s">
        <v>8</v>
      </c>
    </row>
    <row r="2446" spans="1:7" s="145" customFormat="1" ht="15" customHeight="1">
      <c r="A2446" s="978" t="s">
        <v>1256</v>
      </c>
      <c r="B2446" s="979"/>
      <c r="C2446" s="13" t="s">
        <v>1245</v>
      </c>
      <c r="D2446" s="32">
        <v>1</v>
      </c>
      <c r="E2446" s="13">
        <v>20030</v>
      </c>
      <c r="F2446" s="55">
        <f>+D2446*E2446</f>
        <v>20030</v>
      </c>
      <c r="G2446" s="1031"/>
    </row>
    <row r="2447" spans="1:7" s="145" customFormat="1" ht="15" customHeight="1">
      <c r="A2447" s="155"/>
      <c r="B2447" s="156"/>
      <c r="C2447" s="156"/>
      <c r="D2447" s="156"/>
      <c r="E2447" s="156"/>
      <c r="F2447" s="156"/>
      <c r="G2447" s="57">
        <f>SUM(F2445:F2447)</f>
        <v>20030</v>
      </c>
    </row>
    <row r="2448" spans="1:7" s="145" customFormat="1" ht="15" customHeight="1">
      <c r="A2448" s="1119" t="s">
        <v>25</v>
      </c>
      <c r="B2448" s="1120"/>
      <c r="C2448" s="1120"/>
      <c r="D2448" s="1120"/>
      <c r="E2448" s="1120"/>
      <c r="F2448" s="1120"/>
      <c r="G2448" s="1121"/>
    </row>
    <row r="2449" spans="1:7" s="145" customFormat="1" ht="15" customHeight="1">
      <c r="A2449" s="1122"/>
      <c r="B2449" s="1120"/>
      <c r="C2449" s="1120"/>
      <c r="D2449" s="1120"/>
      <c r="E2449" s="1120"/>
      <c r="F2449" s="1120"/>
      <c r="G2449" s="157">
        <f>G2447+G2443+G2439+G2430</f>
        <v>70344.470321999994</v>
      </c>
    </row>
    <row r="2450" spans="1:7" s="145" customFormat="1" ht="15" customHeight="1">
      <c r="A2450" s="158"/>
      <c r="B2450" s="159"/>
      <c r="C2450" s="159"/>
      <c r="D2450" s="159"/>
      <c r="E2450" s="159"/>
      <c r="F2450" s="159"/>
      <c r="G2450" s="160"/>
    </row>
    <row r="2451" spans="1:7" s="145" customFormat="1" ht="15" customHeight="1">
      <c r="A2451" s="1123" t="s">
        <v>1</v>
      </c>
      <c r="B2451" s="1120"/>
      <c r="C2451" s="953" t="s">
        <v>594</v>
      </c>
      <c r="D2451" s="1125"/>
      <c r="E2451" s="1125"/>
      <c r="F2451" s="1125"/>
      <c r="G2451" s="1126"/>
    </row>
    <row r="2452" spans="1:7" s="145" customFormat="1" ht="15" customHeight="1">
      <c r="A2452" s="1124"/>
      <c r="B2452" s="1120"/>
      <c r="C2452" s="1125"/>
      <c r="D2452" s="1125"/>
      <c r="E2452" s="1125"/>
      <c r="F2452" s="1125"/>
      <c r="G2452" s="1126"/>
    </row>
    <row r="2453" spans="1:7" s="145" customFormat="1" ht="15" customHeight="1">
      <c r="A2453" s="1124"/>
      <c r="B2453" s="1120"/>
      <c r="C2453" s="1127" t="s">
        <v>665</v>
      </c>
      <c r="D2453" s="1120"/>
      <c r="E2453" s="1120"/>
      <c r="F2453" s="1120"/>
      <c r="G2453" s="1121"/>
    </row>
    <row r="2454" spans="1:7" s="145" customFormat="1" ht="15" customHeight="1">
      <c r="A2454" s="1124"/>
      <c r="B2454" s="1120"/>
      <c r="C2454" s="1128" t="s">
        <v>2</v>
      </c>
      <c r="D2454" s="1120"/>
      <c r="E2454" s="1120"/>
      <c r="F2454" s="146" t="s">
        <v>3</v>
      </c>
      <c r="G2454" s="147" t="s">
        <v>4</v>
      </c>
    </row>
    <row r="2455" spans="1:7" s="145" customFormat="1" ht="97.95" customHeight="1">
      <c r="A2455" s="1073" t="s">
        <v>785</v>
      </c>
      <c r="B2455" s="1115"/>
      <c r="C2455" s="980" t="s">
        <v>678</v>
      </c>
      <c r="D2455" s="1115"/>
      <c r="E2455" s="1115"/>
      <c r="F2455" s="162" t="s">
        <v>28</v>
      </c>
      <c r="G2455" s="52">
        <v>1</v>
      </c>
    </row>
    <row r="2456" spans="1:7" s="145" customFormat="1" ht="15" customHeight="1">
      <c r="A2456" s="1130" t="s">
        <v>5</v>
      </c>
      <c r="B2456" s="1131"/>
      <c r="C2456" s="1131"/>
      <c r="D2456" s="1131"/>
      <c r="E2456" s="1131"/>
      <c r="F2456" s="1131"/>
      <c r="G2456" s="1132"/>
    </row>
    <row r="2457" spans="1:7" s="145" customFormat="1" ht="15" customHeight="1">
      <c r="A2457" s="1027" t="s">
        <v>2</v>
      </c>
      <c r="B2457" s="1028"/>
      <c r="C2457" s="53" t="s">
        <v>3</v>
      </c>
      <c r="D2457" s="53" t="s">
        <v>4</v>
      </c>
      <c r="E2457" s="53" t="s">
        <v>6</v>
      </c>
      <c r="F2457" s="53" t="s">
        <v>7</v>
      </c>
      <c r="G2457" s="1029" t="s">
        <v>8</v>
      </c>
    </row>
    <row r="2458" spans="1:7" s="145" customFormat="1" ht="15" customHeight="1">
      <c r="A2458" s="1015" t="s">
        <v>167</v>
      </c>
      <c r="B2458" s="1016"/>
      <c r="C2458" s="51" t="s">
        <v>3</v>
      </c>
      <c r="D2458" s="51">
        <v>0.05</v>
      </c>
      <c r="E2458" s="17">
        <f>G2476</f>
        <v>20030</v>
      </c>
      <c r="F2458" s="55">
        <f>D2458*E2458</f>
        <v>1001.5</v>
      </c>
      <c r="G2458" s="1031"/>
    </row>
    <row r="2459" spans="1:7" s="145" customFormat="1" ht="15" customHeight="1">
      <c r="A2459" s="1019"/>
      <c r="B2459" s="1020"/>
      <c r="C2459" s="51"/>
      <c r="D2459" s="51"/>
      <c r="E2459" s="51"/>
      <c r="F2459" s="55"/>
      <c r="G2459" s="57">
        <f>SUM(F2457:F2459)</f>
        <v>1001.5</v>
      </c>
    </row>
    <row r="2460" spans="1:7" s="145" customFormat="1" ht="15" customHeight="1">
      <c r="A2460" s="1130" t="s">
        <v>10</v>
      </c>
      <c r="B2460" s="1131"/>
      <c r="C2460" s="1131"/>
      <c r="D2460" s="1131"/>
      <c r="E2460" s="1131"/>
      <c r="F2460" s="1131"/>
      <c r="G2460" s="1132"/>
    </row>
    <row r="2461" spans="1:7" s="145" customFormat="1" ht="15" customHeight="1">
      <c r="A2461" s="1027" t="s">
        <v>2</v>
      </c>
      <c r="B2461" s="1028"/>
      <c r="C2461" s="53" t="s">
        <v>3</v>
      </c>
      <c r="D2461" s="53" t="s">
        <v>4</v>
      </c>
      <c r="E2461" s="53" t="s">
        <v>6</v>
      </c>
      <c r="F2461" s="53" t="s">
        <v>11</v>
      </c>
      <c r="G2461" s="1029" t="s">
        <v>8</v>
      </c>
    </row>
    <row r="2462" spans="1:7" s="145" customFormat="1" ht="15.75" customHeight="1">
      <c r="A2462" s="1015" t="s">
        <v>615</v>
      </c>
      <c r="B2462" s="1016"/>
      <c r="C2462" s="148" t="s">
        <v>3</v>
      </c>
      <c r="D2462" s="148">
        <v>1</v>
      </c>
      <c r="E2462" s="17">
        <f>+'INSUMOS ELÉCTRICOS'!E29</f>
        <v>4190</v>
      </c>
      <c r="F2462" s="149">
        <f t="shared" ref="F2462:F2467" si="35">D2462*E2462</f>
        <v>4190</v>
      </c>
      <c r="G2462" s="1030"/>
    </row>
    <row r="2463" spans="1:7" s="145" customFormat="1" ht="15" customHeight="1">
      <c r="A2463" s="1015" t="s">
        <v>642</v>
      </c>
      <c r="B2463" s="1016"/>
      <c r="C2463" s="148" t="s">
        <v>622</v>
      </c>
      <c r="D2463" s="16">
        <v>12.6</v>
      </c>
      <c r="E2463" s="785">
        <v>2567.4964</v>
      </c>
      <c r="F2463" s="149">
        <f t="shared" si="35"/>
        <v>32350.45464</v>
      </c>
      <c r="G2463" s="1030"/>
    </row>
    <row r="2464" spans="1:7" s="145" customFormat="1" ht="15.75" customHeight="1">
      <c r="A2464" s="1015" t="s">
        <v>643</v>
      </c>
      <c r="B2464" s="1016"/>
      <c r="C2464" s="148" t="s">
        <v>3</v>
      </c>
      <c r="D2464" s="148">
        <v>4</v>
      </c>
      <c r="E2464" s="785">
        <f>+'INSUMOS ELÉCTRICOS'!E121</f>
        <v>1189</v>
      </c>
      <c r="F2464" s="149">
        <f t="shared" si="35"/>
        <v>4756</v>
      </c>
      <c r="G2464" s="1030"/>
    </row>
    <row r="2465" spans="1:7" s="2" customFormat="1" ht="15.75" customHeight="1">
      <c r="A2465" s="1015" t="s">
        <v>645</v>
      </c>
      <c r="B2465" s="1016"/>
      <c r="C2465" s="148" t="s">
        <v>3</v>
      </c>
      <c r="D2465" s="148">
        <v>0.02</v>
      </c>
      <c r="E2465" s="785">
        <v>5598.95</v>
      </c>
      <c r="F2465" s="149">
        <f t="shared" si="35"/>
        <v>111.979</v>
      </c>
      <c r="G2465" s="1030"/>
    </row>
    <row r="2466" spans="1:7" s="145" customFormat="1" ht="15" customHeight="1">
      <c r="A2466" s="1015" t="s">
        <v>646</v>
      </c>
      <c r="B2466" s="1016"/>
      <c r="C2466" s="148" t="s">
        <v>3</v>
      </c>
      <c r="D2466" s="148">
        <v>0.02</v>
      </c>
      <c r="E2466" s="17">
        <f>+'INSUMOS ELÉCTRICOS'!E120</f>
        <v>25000</v>
      </c>
      <c r="F2466" s="149">
        <f t="shared" si="35"/>
        <v>500</v>
      </c>
      <c r="G2466" s="1030"/>
    </row>
    <row r="2467" spans="1:7" s="145" customFormat="1" ht="15" customHeight="1">
      <c r="A2467" s="1133" t="s">
        <v>674</v>
      </c>
      <c r="B2467" s="1134"/>
      <c r="C2467" s="148" t="s">
        <v>3</v>
      </c>
      <c r="D2467" s="148">
        <v>1</v>
      </c>
      <c r="E2467" s="17">
        <f>+'INSUMOS ELÉCTRICOS'!E12</f>
        <v>14000</v>
      </c>
      <c r="F2467" s="149">
        <f t="shared" si="35"/>
        <v>14000</v>
      </c>
      <c r="G2467" s="1031"/>
    </row>
    <row r="2468" spans="1:7" s="145" customFormat="1" ht="15" customHeight="1">
      <c r="A2468" s="1015"/>
      <c r="B2468" s="1016"/>
      <c r="C2468" s="16"/>
      <c r="D2468" s="58"/>
      <c r="E2468" s="17"/>
      <c r="F2468" s="55"/>
      <c r="G2468" s="57">
        <f>SUM(F2461:F2468)</f>
        <v>55908.433639999996</v>
      </c>
    </row>
    <row r="2469" spans="1:7" s="145" customFormat="1" ht="15" customHeight="1">
      <c r="A2469" s="1130" t="s">
        <v>15</v>
      </c>
      <c r="B2469" s="1131"/>
      <c r="C2469" s="1131"/>
      <c r="D2469" s="1131"/>
      <c r="E2469" s="1131"/>
      <c r="F2469" s="1131"/>
      <c r="G2469" s="1132"/>
    </row>
    <row r="2470" spans="1:7" s="145" customFormat="1" ht="15" customHeight="1">
      <c r="A2470" s="1027" t="s">
        <v>2</v>
      </c>
      <c r="B2470" s="1028"/>
      <c r="C2470" s="53" t="s">
        <v>3</v>
      </c>
      <c r="D2470" s="53" t="s">
        <v>4</v>
      </c>
      <c r="E2470" s="53" t="s">
        <v>6</v>
      </c>
      <c r="F2470" s="53" t="s">
        <v>11</v>
      </c>
      <c r="G2470" s="1029" t="s">
        <v>8</v>
      </c>
    </row>
    <row r="2471" spans="1:7" s="145" customFormat="1" ht="15" customHeight="1">
      <c r="A2471" s="1019" t="s">
        <v>173</v>
      </c>
      <c r="B2471" s="1020"/>
      <c r="C2471" s="16" t="s">
        <v>3</v>
      </c>
      <c r="D2471" s="16">
        <v>0.05</v>
      </c>
      <c r="E2471" s="17">
        <f>G2468</f>
        <v>55908.433639999996</v>
      </c>
      <c r="F2471" s="55">
        <f>D2471*E2471</f>
        <v>2795.4216820000001</v>
      </c>
      <c r="G2471" s="1031"/>
    </row>
    <row r="2472" spans="1:7" s="145" customFormat="1" ht="15" customHeight="1">
      <c r="A2472" s="151"/>
      <c r="B2472" s="152"/>
      <c r="C2472" s="152"/>
      <c r="D2472" s="152"/>
      <c r="E2472" s="152"/>
      <c r="F2472" s="152"/>
      <c r="G2472" s="57">
        <f>SUM(F2471:F2472)</f>
        <v>2795.4216820000001</v>
      </c>
    </row>
    <row r="2473" spans="1:7" s="145" customFormat="1" ht="13.8">
      <c r="A2473" s="1130" t="s">
        <v>19</v>
      </c>
      <c r="B2473" s="1131"/>
      <c r="C2473" s="1131"/>
      <c r="D2473" s="1131"/>
      <c r="E2473" s="1131"/>
      <c r="F2473" s="1131"/>
      <c r="G2473" s="1132"/>
    </row>
    <row r="2474" spans="1:7" s="145" customFormat="1" ht="15" customHeight="1">
      <c r="A2474" s="1027" t="s">
        <v>2</v>
      </c>
      <c r="B2474" s="1028"/>
      <c r="C2474" s="53" t="s">
        <v>3</v>
      </c>
      <c r="D2474" s="53" t="s">
        <v>4</v>
      </c>
      <c r="E2474" s="53" t="s">
        <v>6</v>
      </c>
      <c r="F2474" s="53" t="s">
        <v>11</v>
      </c>
      <c r="G2474" s="1029" t="s">
        <v>8</v>
      </c>
    </row>
    <row r="2475" spans="1:7" s="145" customFormat="1" ht="15" customHeight="1">
      <c r="A2475" s="978" t="s">
        <v>1256</v>
      </c>
      <c r="B2475" s="979"/>
      <c r="C2475" s="13" t="s">
        <v>1245</v>
      </c>
      <c r="D2475" s="32">
        <v>1</v>
      </c>
      <c r="E2475" s="13">
        <v>20030</v>
      </c>
      <c r="F2475" s="55">
        <f>+D2475*E2475</f>
        <v>20030</v>
      </c>
      <c r="G2475" s="1031"/>
    </row>
    <row r="2476" spans="1:7" s="145" customFormat="1" ht="15" customHeight="1">
      <c r="A2476" s="155"/>
      <c r="B2476" s="156"/>
      <c r="C2476" s="156"/>
      <c r="D2476" s="156"/>
      <c r="E2476" s="156"/>
      <c r="F2476" s="156"/>
      <c r="G2476" s="57">
        <f>SUM(F2474:F2476)</f>
        <v>20030</v>
      </c>
    </row>
    <row r="2477" spans="1:7" s="145" customFormat="1" ht="15" customHeight="1">
      <c r="A2477" s="1119" t="s">
        <v>25</v>
      </c>
      <c r="B2477" s="1120"/>
      <c r="C2477" s="1120"/>
      <c r="D2477" s="1120"/>
      <c r="E2477" s="1120"/>
      <c r="F2477" s="1120"/>
      <c r="G2477" s="1121"/>
    </row>
    <row r="2478" spans="1:7" s="145" customFormat="1" ht="15" customHeight="1">
      <c r="A2478" s="1122"/>
      <c r="B2478" s="1120"/>
      <c r="C2478" s="1120"/>
      <c r="D2478" s="1120"/>
      <c r="E2478" s="1120"/>
      <c r="F2478" s="1120"/>
      <c r="G2478" s="157">
        <f>G2476+G2472+G2468+G2459</f>
        <v>79735.355321999989</v>
      </c>
    </row>
    <row r="2479" spans="1:7" s="145" customFormat="1" ht="15" customHeight="1">
      <c r="A2479" s="158"/>
      <c r="B2479" s="159"/>
      <c r="C2479" s="159"/>
      <c r="D2479" s="159"/>
      <c r="E2479" s="159"/>
      <c r="F2479" s="159"/>
      <c r="G2479" s="160"/>
    </row>
    <row r="2480" spans="1:7" s="145" customFormat="1" ht="15" customHeight="1">
      <c r="A2480" s="1123" t="s">
        <v>1</v>
      </c>
      <c r="B2480" s="1120"/>
      <c r="C2480" s="953" t="s">
        <v>594</v>
      </c>
      <c r="D2480" s="1125"/>
      <c r="E2480" s="1125"/>
      <c r="F2480" s="1125"/>
      <c r="G2480" s="1126"/>
    </row>
    <row r="2481" spans="1:7" s="145" customFormat="1" ht="15" customHeight="1">
      <c r="A2481" s="1124"/>
      <c r="B2481" s="1120"/>
      <c r="C2481" s="1125"/>
      <c r="D2481" s="1125"/>
      <c r="E2481" s="1125"/>
      <c r="F2481" s="1125"/>
      <c r="G2481" s="1126"/>
    </row>
    <row r="2482" spans="1:7" s="145" customFormat="1" ht="15" customHeight="1">
      <c r="A2482" s="1124"/>
      <c r="B2482" s="1120"/>
      <c r="C2482" s="1127" t="s">
        <v>665</v>
      </c>
      <c r="D2482" s="1120"/>
      <c r="E2482" s="1120"/>
      <c r="F2482" s="1120"/>
      <c r="G2482" s="1121"/>
    </row>
    <row r="2483" spans="1:7" s="145" customFormat="1" ht="15" customHeight="1">
      <c r="A2483" s="1124"/>
      <c r="B2483" s="1120"/>
      <c r="C2483" s="1128" t="s">
        <v>2</v>
      </c>
      <c r="D2483" s="1120"/>
      <c r="E2483" s="1120"/>
      <c r="F2483" s="146" t="s">
        <v>3</v>
      </c>
      <c r="G2483" s="147" t="s">
        <v>4</v>
      </c>
    </row>
    <row r="2484" spans="1:7" s="145" customFormat="1" ht="84.6" customHeight="1">
      <c r="A2484" s="1073" t="s">
        <v>786</v>
      </c>
      <c r="B2484" s="1115"/>
      <c r="C2484" s="980" t="s">
        <v>681</v>
      </c>
      <c r="D2484" s="1115"/>
      <c r="E2484" s="1115"/>
      <c r="F2484" s="162" t="s">
        <v>28</v>
      </c>
      <c r="G2484" s="52">
        <v>1</v>
      </c>
    </row>
    <row r="2485" spans="1:7" s="145" customFormat="1" ht="15" customHeight="1">
      <c r="A2485" s="1130" t="s">
        <v>5</v>
      </c>
      <c r="B2485" s="1131"/>
      <c r="C2485" s="1131"/>
      <c r="D2485" s="1131"/>
      <c r="E2485" s="1131"/>
      <c r="F2485" s="1131"/>
      <c r="G2485" s="1132"/>
    </row>
    <row r="2486" spans="1:7" s="145" customFormat="1" ht="15" customHeight="1">
      <c r="A2486" s="1027" t="s">
        <v>2</v>
      </c>
      <c r="B2486" s="1028"/>
      <c r="C2486" s="53" t="s">
        <v>3</v>
      </c>
      <c r="D2486" s="53" t="s">
        <v>4</v>
      </c>
      <c r="E2486" s="53" t="s">
        <v>6</v>
      </c>
      <c r="F2486" s="53" t="s">
        <v>7</v>
      </c>
      <c r="G2486" s="1029" t="s">
        <v>8</v>
      </c>
    </row>
    <row r="2487" spans="1:7" s="145" customFormat="1" ht="15" customHeight="1">
      <c r="A2487" s="1015" t="s">
        <v>167</v>
      </c>
      <c r="B2487" s="1016"/>
      <c r="C2487" s="51" t="s">
        <v>3</v>
      </c>
      <c r="D2487" s="51">
        <v>0.05</v>
      </c>
      <c r="E2487" s="17">
        <f>G2505</f>
        <v>20030</v>
      </c>
      <c r="F2487" s="55">
        <f>D2487*E2487</f>
        <v>1001.5</v>
      </c>
      <c r="G2487" s="1031"/>
    </row>
    <row r="2488" spans="1:7" s="145" customFormat="1" ht="15" customHeight="1">
      <c r="A2488" s="1019"/>
      <c r="B2488" s="1020"/>
      <c r="C2488" s="51"/>
      <c r="D2488" s="51"/>
      <c r="E2488" s="51"/>
      <c r="F2488" s="55"/>
      <c r="G2488" s="57">
        <f>SUM(F2486:F2488)</f>
        <v>1001.5</v>
      </c>
    </row>
    <row r="2489" spans="1:7" s="145" customFormat="1" ht="15" customHeight="1">
      <c r="A2489" s="1130" t="s">
        <v>10</v>
      </c>
      <c r="B2489" s="1131"/>
      <c r="C2489" s="1131"/>
      <c r="D2489" s="1131"/>
      <c r="E2489" s="1131"/>
      <c r="F2489" s="1131"/>
      <c r="G2489" s="1132"/>
    </row>
    <row r="2490" spans="1:7" s="145" customFormat="1" ht="15" customHeight="1">
      <c r="A2490" s="1027" t="s">
        <v>2</v>
      </c>
      <c r="B2490" s="1028"/>
      <c r="C2490" s="53" t="s">
        <v>3</v>
      </c>
      <c r="D2490" s="53" t="s">
        <v>4</v>
      </c>
      <c r="E2490" s="53" t="s">
        <v>6</v>
      </c>
      <c r="F2490" s="53" t="s">
        <v>11</v>
      </c>
      <c r="G2490" s="1029" t="s">
        <v>8</v>
      </c>
    </row>
    <row r="2491" spans="1:7" s="145" customFormat="1" ht="15.75" customHeight="1">
      <c r="A2491" s="1015" t="s">
        <v>615</v>
      </c>
      <c r="B2491" s="1016"/>
      <c r="C2491" s="148" t="s">
        <v>3</v>
      </c>
      <c r="D2491" s="148">
        <v>1</v>
      </c>
      <c r="E2491" s="17">
        <f>+'INSUMOS ELÉCTRICOS'!E28</f>
        <v>2946.44</v>
      </c>
      <c r="F2491" s="149">
        <f t="shared" ref="F2491:F2496" si="36">D2491*E2491</f>
        <v>2946.44</v>
      </c>
      <c r="G2491" s="1030"/>
    </row>
    <row r="2492" spans="1:7" s="145" customFormat="1" ht="15" customHeight="1">
      <c r="A2492" s="1015" t="s">
        <v>642</v>
      </c>
      <c r="B2492" s="1016"/>
      <c r="C2492" s="148" t="s">
        <v>622</v>
      </c>
      <c r="D2492" s="16">
        <v>12.6</v>
      </c>
      <c r="E2492" s="785">
        <v>2567.4964</v>
      </c>
      <c r="F2492" s="149">
        <f t="shared" si="36"/>
        <v>32350.45464</v>
      </c>
      <c r="G2492" s="1030"/>
    </row>
    <row r="2493" spans="1:7" s="145" customFormat="1" ht="15.75" customHeight="1">
      <c r="A2493" s="1015" t="s">
        <v>643</v>
      </c>
      <c r="B2493" s="1016"/>
      <c r="C2493" s="148" t="s">
        <v>3</v>
      </c>
      <c r="D2493" s="148">
        <v>4</v>
      </c>
      <c r="E2493" s="17">
        <f>+'INSUMOS ELÉCTRICOS'!E121</f>
        <v>1189</v>
      </c>
      <c r="F2493" s="149">
        <f t="shared" si="36"/>
        <v>4756</v>
      </c>
      <c r="G2493" s="1030"/>
    </row>
    <row r="2494" spans="1:7" s="145" customFormat="1" ht="15" customHeight="1">
      <c r="A2494" s="1015" t="s">
        <v>645</v>
      </c>
      <c r="B2494" s="1016"/>
      <c r="C2494" s="148" t="s">
        <v>3</v>
      </c>
      <c r="D2494" s="148">
        <v>0.02</v>
      </c>
      <c r="E2494" s="17">
        <v>5598.95</v>
      </c>
      <c r="F2494" s="149">
        <f t="shared" si="36"/>
        <v>111.979</v>
      </c>
      <c r="G2494" s="1030"/>
    </row>
    <row r="2495" spans="1:7" s="145" customFormat="1" ht="15" customHeight="1">
      <c r="A2495" s="1015" t="s">
        <v>646</v>
      </c>
      <c r="B2495" s="1016"/>
      <c r="C2495" s="148" t="s">
        <v>3</v>
      </c>
      <c r="D2495" s="148">
        <v>0.02</v>
      </c>
      <c r="E2495" s="17">
        <f>+'INSUMOS ELÉCTRICOS'!E120</f>
        <v>25000</v>
      </c>
      <c r="F2495" s="149">
        <f t="shared" si="36"/>
        <v>500</v>
      </c>
      <c r="G2495" s="1030"/>
    </row>
    <row r="2496" spans="1:7" s="145" customFormat="1" ht="15" customHeight="1">
      <c r="A2496" s="1133" t="s">
        <v>679</v>
      </c>
      <c r="B2496" s="1134"/>
      <c r="C2496" s="148" t="s">
        <v>3</v>
      </c>
      <c r="D2496" s="148">
        <v>1</v>
      </c>
      <c r="E2496" s="17">
        <f>+'INSUMOS ELÉCTRICOS'!E55</f>
        <v>9100</v>
      </c>
      <c r="F2496" s="149">
        <f t="shared" si="36"/>
        <v>9100</v>
      </c>
      <c r="G2496" s="1031"/>
    </row>
    <row r="2497" spans="1:7" s="145" customFormat="1" ht="15" customHeight="1">
      <c r="A2497" s="1015"/>
      <c r="B2497" s="1016"/>
      <c r="C2497" s="16"/>
      <c r="D2497" s="58"/>
      <c r="E2497" s="17"/>
      <c r="F2497" s="55"/>
      <c r="G2497" s="57">
        <f>SUM(F2490:F2497)</f>
        <v>49764.873639999998</v>
      </c>
    </row>
    <row r="2498" spans="1:7" s="145" customFormat="1" ht="15" customHeight="1">
      <c r="A2498" s="1130" t="s">
        <v>15</v>
      </c>
      <c r="B2498" s="1131"/>
      <c r="C2498" s="1131"/>
      <c r="D2498" s="1131"/>
      <c r="E2498" s="1131"/>
      <c r="F2498" s="1131"/>
      <c r="G2498" s="1132"/>
    </row>
    <row r="2499" spans="1:7" s="145" customFormat="1" ht="15" customHeight="1">
      <c r="A2499" s="1027" t="s">
        <v>2</v>
      </c>
      <c r="B2499" s="1028"/>
      <c r="C2499" s="53" t="s">
        <v>3</v>
      </c>
      <c r="D2499" s="53" t="s">
        <v>4</v>
      </c>
      <c r="E2499" s="53" t="s">
        <v>6</v>
      </c>
      <c r="F2499" s="53" t="s">
        <v>11</v>
      </c>
      <c r="G2499" s="1029" t="s">
        <v>8</v>
      </c>
    </row>
    <row r="2500" spans="1:7" s="145" customFormat="1" ht="15" customHeight="1">
      <c r="A2500" s="1019" t="s">
        <v>173</v>
      </c>
      <c r="B2500" s="1020"/>
      <c r="C2500" s="16" t="s">
        <v>3</v>
      </c>
      <c r="D2500" s="16">
        <v>0.05</v>
      </c>
      <c r="E2500" s="17">
        <f>G2497</f>
        <v>49764.873639999998</v>
      </c>
      <c r="F2500" s="55">
        <f>D2500*E2500</f>
        <v>2488.2436820000003</v>
      </c>
      <c r="G2500" s="1031"/>
    </row>
    <row r="2501" spans="1:7" s="145" customFormat="1" ht="13.8">
      <c r="A2501" s="151"/>
      <c r="B2501" s="152"/>
      <c r="C2501" s="152"/>
      <c r="D2501" s="152"/>
      <c r="E2501" s="152"/>
      <c r="F2501" s="152"/>
      <c r="G2501" s="57">
        <f>SUM(F2500:F2501)</f>
        <v>2488.2436820000003</v>
      </c>
    </row>
    <row r="2502" spans="1:7" s="145" customFormat="1" ht="15" customHeight="1">
      <c r="A2502" s="1130" t="s">
        <v>19</v>
      </c>
      <c r="B2502" s="1131"/>
      <c r="C2502" s="1131"/>
      <c r="D2502" s="1131"/>
      <c r="E2502" s="1131"/>
      <c r="F2502" s="1131"/>
      <c r="G2502" s="1132"/>
    </row>
    <row r="2503" spans="1:7" s="145" customFormat="1" ht="15" customHeight="1">
      <c r="A2503" s="1027" t="s">
        <v>2</v>
      </c>
      <c r="B2503" s="1028"/>
      <c r="C2503" s="53" t="s">
        <v>3</v>
      </c>
      <c r="D2503" s="53" t="s">
        <v>4</v>
      </c>
      <c r="E2503" s="53" t="s">
        <v>6</v>
      </c>
      <c r="F2503" s="53" t="s">
        <v>11</v>
      </c>
      <c r="G2503" s="1029" t="s">
        <v>8</v>
      </c>
    </row>
    <row r="2504" spans="1:7" s="145" customFormat="1" ht="15" customHeight="1">
      <c r="A2504" s="978" t="s">
        <v>1256</v>
      </c>
      <c r="B2504" s="979"/>
      <c r="C2504" s="13" t="s">
        <v>1245</v>
      </c>
      <c r="D2504" s="32">
        <v>1</v>
      </c>
      <c r="E2504" s="13">
        <v>20030</v>
      </c>
      <c r="F2504" s="55">
        <f>+D2504*E2504</f>
        <v>20030</v>
      </c>
      <c r="G2504" s="1031"/>
    </row>
    <row r="2505" spans="1:7" s="145" customFormat="1" ht="15" customHeight="1">
      <c r="A2505" s="155"/>
      <c r="B2505" s="156"/>
      <c r="C2505" s="156"/>
      <c r="D2505" s="156"/>
      <c r="E2505" s="156"/>
      <c r="F2505" s="156"/>
      <c r="G2505" s="57">
        <f>SUM(F2503:F2505)</f>
        <v>20030</v>
      </c>
    </row>
    <row r="2506" spans="1:7" s="145" customFormat="1" ht="15" customHeight="1">
      <c r="A2506" s="1119" t="s">
        <v>25</v>
      </c>
      <c r="B2506" s="1120"/>
      <c r="C2506" s="1120"/>
      <c r="D2506" s="1120"/>
      <c r="E2506" s="1120"/>
      <c r="F2506" s="1120"/>
      <c r="G2506" s="1121"/>
    </row>
    <row r="2507" spans="1:7" s="145" customFormat="1" ht="15" customHeight="1">
      <c r="A2507" s="1122"/>
      <c r="B2507" s="1120"/>
      <c r="C2507" s="1120"/>
      <c r="D2507" s="1120"/>
      <c r="E2507" s="1120"/>
      <c r="F2507" s="1120"/>
      <c r="G2507" s="157">
        <f>G2505+G2501+G2497+G2488</f>
        <v>73284.617322000006</v>
      </c>
    </row>
    <row r="2508" spans="1:7" s="145" customFormat="1" ht="15" customHeight="1">
      <c r="A2508" s="158"/>
      <c r="B2508" s="159"/>
      <c r="C2508" s="159"/>
      <c r="D2508" s="159"/>
      <c r="E2508" s="159"/>
      <c r="F2508" s="159"/>
      <c r="G2508" s="160"/>
    </row>
    <row r="2509" spans="1:7" s="150" customFormat="1" ht="16.2" customHeight="1">
      <c r="A2509" s="1123" t="s">
        <v>1</v>
      </c>
      <c r="B2509" s="1120"/>
      <c r="C2509" s="953" t="s">
        <v>594</v>
      </c>
      <c r="D2509" s="1125"/>
      <c r="E2509" s="1125"/>
      <c r="F2509" s="1125"/>
      <c r="G2509" s="1126"/>
    </row>
    <row r="2510" spans="1:7" s="145" customFormat="1" ht="16.2" customHeight="1">
      <c r="A2510" s="1124"/>
      <c r="B2510" s="1120"/>
      <c r="C2510" s="1125"/>
      <c r="D2510" s="1125"/>
      <c r="E2510" s="1125"/>
      <c r="F2510" s="1125"/>
      <c r="G2510" s="1126"/>
    </row>
    <row r="2511" spans="1:7" s="145" customFormat="1" ht="16.2" customHeight="1">
      <c r="A2511" s="1124"/>
      <c r="B2511" s="1120"/>
      <c r="C2511" s="1127" t="s">
        <v>665</v>
      </c>
      <c r="D2511" s="1120"/>
      <c r="E2511" s="1120"/>
      <c r="F2511" s="1120"/>
      <c r="G2511" s="1121"/>
    </row>
    <row r="2512" spans="1:7" s="145" customFormat="1" ht="16.2" customHeight="1">
      <c r="A2512" s="1124"/>
      <c r="B2512" s="1120"/>
      <c r="C2512" s="1128" t="s">
        <v>2</v>
      </c>
      <c r="D2512" s="1120"/>
      <c r="E2512" s="1120"/>
      <c r="F2512" s="146" t="s">
        <v>3</v>
      </c>
      <c r="G2512" s="147" t="s">
        <v>4</v>
      </c>
    </row>
    <row r="2513" spans="1:7" s="145" customFormat="1" ht="95.4" customHeight="1">
      <c r="A2513" s="1073" t="s">
        <v>787</v>
      </c>
      <c r="B2513" s="1115"/>
      <c r="C2513" s="980" t="s">
        <v>686</v>
      </c>
      <c r="D2513" s="1115"/>
      <c r="E2513" s="1115"/>
      <c r="F2513" s="162" t="s">
        <v>28</v>
      </c>
      <c r="G2513" s="52">
        <v>1</v>
      </c>
    </row>
    <row r="2514" spans="1:7" s="145" customFormat="1" ht="16.2" customHeight="1">
      <c r="A2514" s="1114" t="s">
        <v>5</v>
      </c>
      <c r="B2514" s="1115"/>
      <c r="C2514" s="1115"/>
      <c r="D2514" s="1115"/>
      <c r="E2514" s="1115"/>
      <c r="F2514" s="1115"/>
      <c r="G2514" s="1116"/>
    </row>
    <row r="2515" spans="1:7" s="145" customFormat="1" ht="16.2" customHeight="1">
      <c r="A2515" s="1074" t="s">
        <v>2</v>
      </c>
      <c r="B2515" s="1115"/>
      <c r="C2515" s="53" t="s">
        <v>3</v>
      </c>
      <c r="D2515" s="53" t="s">
        <v>4</v>
      </c>
      <c r="E2515" s="53" t="s">
        <v>6</v>
      </c>
      <c r="F2515" s="53" t="s">
        <v>7</v>
      </c>
      <c r="G2515" s="1075" t="s">
        <v>8</v>
      </c>
    </row>
    <row r="2516" spans="1:7" s="145" customFormat="1" ht="16.2" customHeight="1">
      <c r="A2516" s="947" t="s">
        <v>167</v>
      </c>
      <c r="B2516" s="1115"/>
      <c r="C2516" s="51" t="s">
        <v>3</v>
      </c>
      <c r="D2516" s="51">
        <v>0.05</v>
      </c>
      <c r="E2516" s="17">
        <f>G2534</f>
        <v>20030</v>
      </c>
      <c r="F2516" s="55">
        <f>D2516*E2516</f>
        <v>1001.5</v>
      </c>
      <c r="G2516" s="1116"/>
    </row>
    <row r="2517" spans="1:7" s="145" customFormat="1" ht="16.2" customHeight="1">
      <c r="A2517" s="943"/>
      <c r="B2517" s="1115"/>
      <c r="C2517" s="51"/>
      <c r="D2517" s="51"/>
      <c r="E2517" s="51"/>
      <c r="F2517" s="55"/>
      <c r="G2517" s="57">
        <f>SUM(F2515:F2517)</f>
        <v>1001.5</v>
      </c>
    </row>
    <row r="2518" spans="1:7" s="145" customFormat="1" ht="16.2" customHeight="1">
      <c r="A2518" s="1114" t="s">
        <v>10</v>
      </c>
      <c r="B2518" s="1115"/>
      <c r="C2518" s="1115"/>
      <c r="D2518" s="1115"/>
      <c r="E2518" s="1115"/>
      <c r="F2518" s="1115"/>
      <c r="G2518" s="1116"/>
    </row>
    <row r="2519" spans="1:7" s="145" customFormat="1" ht="16.2" customHeight="1">
      <c r="A2519" s="1074" t="s">
        <v>2</v>
      </c>
      <c r="B2519" s="1115"/>
      <c r="C2519" s="53" t="s">
        <v>3</v>
      </c>
      <c r="D2519" s="53" t="s">
        <v>4</v>
      </c>
      <c r="E2519" s="53" t="s">
        <v>6</v>
      </c>
      <c r="F2519" s="53" t="s">
        <v>11</v>
      </c>
      <c r="G2519" s="1075" t="s">
        <v>8</v>
      </c>
    </row>
    <row r="2520" spans="1:7" s="150" customFormat="1" ht="16.2" customHeight="1">
      <c r="A2520" s="947" t="s">
        <v>615</v>
      </c>
      <c r="B2520" s="980"/>
      <c r="C2520" s="148" t="s">
        <v>3</v>
      </c>
      <c r="D2520" s="148">
        <v>1</v>
      </c>
      <c r="E2520" s="17">
        <f>+'INSUMOS ELÉCTRICOS'!E28</f>
        <v>2946.44</v>
      </c>
      <c r="F2520" s="149">
        <f t="shared" ref="F2520:F2525" si="37">D2520*E2520</f>
        <v>2946.44</v>
      </c>
      <c r="G2520" s="1075"/>
    </row>
    <row r="2521" spans="1:7" s="145" customFormat="1" ht="15.75" customHeight="1">
      <c r="A2521" s="947" t="s">
        <v>642</v>
      </c>
      <c r="B2521" s="980"/>
      <c r="C2521" s="148" t="s">
        <v>622</v>
      </c>
      <c r="D2521" s="16">
        <v>12.6</v>
      </c>
      <c r="E2521" s="785">
        <v>2567.4964</v>
      </c>
      <c r="F2521" s="149">
        <f t="shared" si="37"/>
        <v>32350.45464</v>
      </c>
      <c r="G2521" s="1075"/>
    </row>
    <row r="2522" spans="1:7" s="145" customFormat="1" ht="15.75" customHeight="1">
      <c r="A2522" s="947" t="s">
        <v>643</v>
      </c>
      <c r="B2522" s="980"/>
      <c r="C2522" s="148" t="s">
        <v>3</v>
      </c>
      <c r="D2522" s="148">
        <v>4</v>
      </c>
      <c r="E2522" s="17">
        <f>+'INSUMOS ELÉCTRICOS'!E121</f>
        <v>1189</v>
      </c>
      <c r="F2522" s="149">
        <f t="shared" si="37"/>
        <v>4756</v>
      </c>
      <c r="G2522" s="1075"/>
    </row>
    <row r="2523" spans="1:7" s="145" customFormat="1" ht="15.75" customHeight="1">
      <c r="A2523" s="947" t="s">
        <v>645</v>
      </c>
      <c r="B2523" s="980"/>
      <c r="C2523" s="148" t="s">
        <v>3</v>
      </c>
      <c r="D2523" s="148">
        <v>0.02</v>
      </c>
      <c r="E2523" s="17">
        <v>5598.95</v>
      </c>
      <c r="F2523" s="149">
        <f t="shared" si="37"/>
        <v>111.979</v>
      </c>
      <c r="G2523" s="1075"/>
    </row>
    <row r="2524" spans="1:7" s="145" customFormat="1" ht="15.75" customHeight="1">
      <c r="A2524" s="947" t="s">
        <v>646</v>
      </c>
      <c r="B2524" s="980"/>
      <c r="C2524" s="148" t="s">
        <v>3</v>
      </c>
      <c r="D2524" s="148">
        <v>0.02</v>
      </c>
      <c r="E2524" s="17">
        <f>+'INSUMOS ELÉCTRICOS'!E120</f>
        <v>25000</v>
      </c>
      <c r="F2524" s="149">
        <f t="shared" si="37"/>
        <v>500</v>
      </c>
      <c r="G2524" s="1075"/>
    </row>
    <row r="2525" spans="1:7" s="145" customFormat="1" ht="15.75" customHeight="1">
      <c r="A2525" s="1117" t="s">
        <v>684</v>
      </c>
      <c r="B2525" s="1118"/>
      <c r="C2525" s="148" t="s">
        <v>3</v>
      </c>
      <c r="D2525" s="148">
        <v>1</v>
      </c>
      <c r="E2525" s="17">
        <f>+'INSUMOS ELÉCTRICOS'!E61</f>
        <v>21900</v>
      </c>
      <c r="F2525" s="149">
        <f t="shared" si="37"/>
        <v>21900</v>
      </c>
      <c r="G2525" s="1075"/>
    </row>
    <row r="2526" spans="1:7" s="145" customFormat="1" ht="15.75" customHeight="1">
      <c r="A2526" s="947"/>
      <c r="B2526" s="1115"/>
      <c r="C2526" s="16"/>
      <c r="D2526" s="58"/>
      <c r="E2526" s="17"/>
      <c r="F2526" s="55"/>
      <c r="G2526" s="57">
        <f>SUM(F2519:F2526)</f>
        <v>62564.873639999998</v>
      </c>
    </row>
    <row r="2527" spans="1:7" s="145" customFormat="1" ht="15" customHeight="1">
      <c r="A2527" s="1114" t="s">
        <v>15</v>
      </c>
      <c r="B2527" s="1115"/>
      <c r="C2527" s="1115"/>
      <c r="D2527" s="1115"/>
      <c r="E2527" s="1115"/>
      <c r="F2527" s="1115"/>
      <c r="G2527" s="1116"/>
    </row>
    <row r="2528" spans="1:7" s="145" customFormat="1" ht="15" customHeight="1">
      <c r="A2528" s="1074" t="s">
        <v>2</v>
      </c>
      <c r="B2528" s="1115"/>
      <c r="C2528" s="53" t="s">
        <v>3</v>
      </c>
      <c r="D2528" s="53" t="s">
        <v>4</v>
      </c>
      <c r="E2528" s="53" t="s">
        <v>6</v>
      </c>
      <c r="F2528" s="53" t="s">
        <v>11</v>
      </c>
      <c r="G2528" s="1075" t="s">
        <v>8</v>
      </c>
    </row>
    <row r="2529" spans="1:7" s="145" customFormat="1" ht="15" customHeight="1">
      <c r="A2529" s="943" t="s">
        <v>173</v>
      </c>
      <c r="B2529" s="1115"/>
      <c r="C2529" s="16" t="s">
        <v>3</v>
      </c>
      <c r="D2529" s="16">
        <v>0.05</v>
      </c>
      <c r="E2529" s="17">
        <f>G2526</f>
        <v>62564.873639999998</v>
      </c>
      <c r="F2529" s="55">
        <f>D2529*E2529</f>
        <v>3128.2436820000003</v>
      </c>
      <c r="G2529" s="1116"/>
    </row>
    <row r="2530" spans="1:7" s="145" customFormat="1" ht="15" customHeight="1">
      <c r="A2530" s="151"/>
      <c r="B2530" s="152"/>
      <c r="C2530" s="152"/>
      <c r="D2530" s="152"/>
      <c r="E2530" s="152"/>
      <c r="F2530" s="152"/>
      <c r="G2530" s="57">
        <f>SUM(F2529:F2530)</f>
        <v>3128.2436820000003</v>
      </c>
    </row>
    <row r="2531" spans="1:7" s="145" customFormat="1" ht="15" customHeight="1">
      <c r="A2531" s="1114" t="s">
        <v>19</v>
      </c>
      <c r="B2531" s="1115"/>
      <c r="C2531" s="1115"/>
      <c r="D2531" s="1115"/>
      <c r="E2531" s="1115"/>
      <c r="F2531" s="1115"/>
      <c r="G2531" s="1116"/>
    </row>
    <row r="2532" spans="1:7" s="145" customFormat="1" ht="13.8">
      <c r="A2532" s="1074" t="s">
        <v>2</v>
      </c>
      <c r="B2532" s="1115"/>
      <c r="C2532" s="53" t="s">
        <v>3</v>
      </c>
      <c r="D2532" s="53" t="s">
        <v>4</v>
      </c>
      <c r="E2532" s="53" t="s">
        <v>6</v>
      </c>
      <c r="F2532" s="53" t="s">
        <v>11</v>
      </c>
      <c r="G2532" s="1075" t="s">
        <v>8</v>
      </c>
    </row>
    <row r="2533" spans="1:7" s="145" customFormat="1" ht="15" customHeight="1">
      <c r="A2533" s="978" t="s">
        <v>1256</v>
      </c>
      <c r="B2533" s="979"/>
      <c r="C2533" s="13" t="s">
        <v>1245</v>
      </c>
      <c r="D2533" s="32">
        <v>1</v>
      </c>
      <c r="E2533" s="13">
        <v>20030</v>
      </c>
      <c r="F2533" s="55">
        <f>+D2533*E2533</f>
        <v>20030</v>
      </c>
      <c r="G2533" s="1116"/>
    </row>
    <row r="2534" spans="1:7" s="145" customFormat="1" ht="15" customHeight="1">
      <c r="A2534" s="155"/>
      <c r="B2534" s="156"/>
      <c r="C2534" s="156"/>
      <c r="D2534" s="156"/>
      <c r="E2534" s="156"/>
      <c r="F2534" s="156"/>
      <c r="G2534" s="57">
        <f>SUM(F2532:F2534)</f>
        <v>20030</v>
      </c>
    </row>
    <row r="2535" spans="1:7" s="145" customFormat="1" ht="15" customHeight="1">
      <c r="A2535" s="1119" t="s">
        <v>25</v>
      </c>
      <c r="B2535" s="1120"/>
      <c r="C2535" s="1120"/>
      <c r="D2535" s="1120"/>
      <c r="E2535" s="1120"/>
      <c r="F2535" s="1120"/>
      <c r="G2535" s="1121"/>
    </row>
    <row r="2536" spans="1:7" s="145" customFormat="1" ht="15" customHeight="1">
      <c r="A2536" s="1122"/>
      <c r="B2536" s="1120"/>
      <c r="C2536" s="1120"/>
      <c r="D2536" s="1120"/>
      <c r="E2536" s="1120"/>
      <c r="F2536" s="1120"/>
      <c r="G2536" s="157">
        <f>G2534+G2530+G2526+G2517</f>
        <v>86724.617322000006</v>
      </c>
    </row>
    <row r="2537" spans="1:7" s="145" customFormat="1" ht="15" customHeight="1">
      <c r="A2537" s="48"/>
      <c r="B2537" s="49"/>
      <c r="C2537" s="49"/>
      <c r="D2537" s="49"/>
      <c r="E2537" s="49"/>
      <c r="F2537" s="49"/>
      <c r="G2537" s="50"/>
    </row>
    <row r="2538" spans="1:7" s="145" customFormat="1" ht="15" customHeight="1">
      <c r="A2538" s="1123" t="s">
        <v>1</v>
      </c>
      <c r="B2538" s="1120"/>
      <c r="C2538" s="953" t="s">
        <v>594</v>
      </c>
      <c r="D2538" s="1125"/>
      <c r="E2538" s="1125"/>
      <c r="F2538" s="1125"/>
      <c r="G2538" s="1126"/>
    </row>
    <row r="2539" spans="1:7" s="145" customFormat="1" ht="15" customHeight="1">
      <c r="A2539" s="1124"/>
      <c r="B2539" s="1120"/>
      <c r="C2539" s="1125"/>
      <c r="D2539" s="1125"/>
      <c r="E2539" s="1125"/>
      <c r="F2539" s="1125"/>
      <c r="G2539" s="1126"/>
    </row>
    <row r="2540" spans="1:7" s="145" customFormat="1" ht="15" customHeight="1">
      <c r="A2540" s="1124"/>
      <c r="B2540" s="1120"/>
      <c r="C2540" s="1127" t="s">
        <v>665</v>
      </c>
      <c r="D2540" s="1120"/>
      <c r="E2540" s="1120"/>
      <c r="F2540" s="1120"/>
      <c r="G2540" s="1121"/>
    </row>
    <row r="2541" spans="1:7" s="145" customFormat="1" ht="15" customHeight="1">
      <c r="A2541" s="1124"/>
      <c r="B2541" s="1120"/>
      <c r="C2541" s="1128" t="s">
        <v>2</v>
      </c>
      <c r="D2541" s="1120"/>
      <c r="E2541" s="1120"/>
      <c r="F2541" s="146" t="s">
        <v>3</v>
      </c>
      <c r="G2541" s="147" t="s">
        <v>4</v>
      </c>
    </row>
    <row r="2542" spans="1:7" s="145" customFormat="1" ht="82.95" customHeight="1">
      <c r="A2542" s="1073" t="s">
        <v>788</v>
      </c>
      <c r="B2542" s="1115"/>
      <c r="C2542" s="980" t="s">
        <v>688</v>
      </c>
      <c r="D2542" s="1115"/>
      <c r="E2542" s="1115"/>
      <c r="F2542" s="162" t="s">
        <v>28</v>
      </c>
      <c r="G2542" s="632">
        <v>1</v>
      </c>
    </row>
    <row r="2543" spans="1:7" s="145" customFormat="1" ht="15" customHeight="1">
      <c r="A2543" s="1114" t="s">
        <v>5</v>
      </c>
      <c r="B2543" s="1115"/>
      <c r="C2543" s="1115"/>
      <c r="D2543" s="1115"/>
      <c r="E2543" s="1115"/>
      <c r="F2543" s="1115"/>
      <c r="G2543" s="1116"/>
    </row>
    <row r="2544" spans="1:7" s="145" customFormat="1" ht="15" customHeight="1">
      <c r="A2544" s="1074" t="s">
        <v>2</v>
      </c>
      <c r="B2544" s="1115"/>
      <c r="C2544" s="53" t="s">
        <v>3</v>
      </c>
      <c r="D2544" s="53" t="s">
        <v>4</v>
      </c>
      <c r="E2544" s="53" t="s">
        <v>6</v>
      </c>
      <c r="F2544" s="53" t="s">
        <v>7</v>
      </c>
      <c r="G2544" s="1075" t="s">
        <v>8</v>
      </c>
    </row>
    <row r="2545" spans="1:7" s="145" customFormat="1" ht="15" customHeight="1">
      <c r="A2545" s="947" t="s">
        <v>167</v>
      </c>
      <c r="B2545" s="1115"/>
      <c r="C2545" s="51" t="s">
        <v>3</v>
      </c>
      <c r="D2545" s="51">
        <v>0.05</v>
      </c>
      <c r="E2545" s="17">
        <f>G2563</f>
        <v>20030</v>
      </c>
      <c r="F2545" s="55">
        <f>D2545*E2545</f>
        <v>1001.5</v>
      </c>
      <c r="G2545" s="1116"/>
    </row>
    <row r="2546" spans="1:7" s="145" customFormat="1" ht="15" customHeight="1">
      <c r="A2546" s="943"/>
      <c r="B2546" s="1115"/>
      <c r="C2546" s="51"/>
      <c r="D2546" s="51"/>
      <c r="E2546" s="51"/>
      <c r="F2546" s="55"/>
      <c r="G2546" s="57">
        <f>SUM(F2544:F2546)</f>
        <v>1001.5</v>
      </c>
    </row>
    <row r="2547" spans="1:7" s="145" customFormat="1" ht="15" customHeight="1">
      <c r="A2547" s="1114" t="s">
        <v>10</v>
      </c>
      <c r="B2547" s="1115"/>
      <c r="C2547" s="1115"/>
      <c r="D2547" s="1115"/>
      <c r="E2547" s="1115"/>
      <c r="F2547" s="1115"/>
      <c r="G2547" s="1116"/>
    </row>
    <row r="2548" spans="1:7" s="145" customFormat="1" ht="15" customHeight="1">
      <c r="A2548" s="1074" t="s">
        <v>2</v>
      </c>
      <c r="B2548" s="1115"/>
      <c r="C2548" s="53" t="s">
        <v>3</v>
      </c>
      <c r="D2548" s="53" t="s">
        <v>4</v>
      </c>
      <c r="E2548" s="53" t="s">
        <v>6</v>
      </c>
      <c r="F2548" s="53" t="s">
        <v>11</v>
      </c>
      <c r="G2548" s="1075" t="s">
        <v>8</v>
      </c>
    </row>
    <row r="2549" spans="1:7" s="145" customFormat="1" ht="15" customHeight="1">
      <c r="A2549" s="947" t="s">
        <v>615</v>
      </c>
      <c r="B2549" s="980"/>
      <c r="C2549" s="148" t="s">
        <v>3</v>
      </c>
      <c r="D2549" s="148">
        <v>1</v>
      </c>
      <c r="E2549" s="17">
        <f>+'INSUMOS ELÉCTRICOS'!E28</f>
        <v>2946.44</v>
      </c>
      <c r="F2549" s="149">
        <f t="shared" ref="F2549:F2554" si="38">D2549*E2549</f>
        <v>2946.44</v>
      </c>
      <c r="G2549" s="1075"/>
    </row>
    <row r="2550" spans="1:7" s="145" customFormat="1" ht="15" customHeight="1">
      <c r="A2550" s="947" t="s">
        <v>642</v>
      </c>
      <c r="B2550" s="980"/>
      <c r="C2550" s="148" t="s">
        <v>622</v>
      </c>
      <c r="D2550" s="16">
        <v>12.6</v>
      </c>
      <c r="E2550" s="17">
        <v>2567.4964</v>
      </c>
      <c r="F2550" s="149">
        <f t="shared" si="38"/>
        <v>32350.45464</v>
      </c>
      <c r="G2550" s="1075"/>
    </row>
    <row r="2551" spans="1:7" s="145" customFormat="1" ht="15" customHeight="1">
      <c r="A2551" s="947" t="s">
        <v>643</v>
      </c>
      <c r="B2551" s="980"/>
      <c r="C2551" s="148" t="s">
        <v>3</v>
      </c>
      <c r="D2551" s="148">
        <v>4</v>
      </c>
      <c r="E2551" s="17">
        <f>+'INSUMOS ELÉCTRICOS'!E121</f>
        <v>1189</v>
      </c>
      <c r="F2551" s="149">
        <f t="shared" si="38"/>
        <v>4756</v>
      </c>
      <c r="G2551" s="1075"/>
    </row>
    <row r="2552" spans="1:7" s="145" customFormat="1" ht="15.75" customHeight="1">
      <c r="A2552" s="947" t="s">
        <v>645</v>
      </c>
      <c r="B2552" s="980"/>
      <c r="C2552" s="148" t="s">
        <v>3</v>
      </c>
      <c r="D2552" s="148">
        <v>0.02</v>
      </c>
      <c r="E2552" s="17">
        <v>5598.95</v>
      </c>
      <c r="F2552" s="149">
        <f t="shared" si="38"/>
        <v>111.979</v>
      </c>
      <c r="G2552" s="1075"/>
    </row>
    <row r="2553" spans="1:7" s="145" customFormat="1" ht="15" customHeight="1">
      <c r="A2553" s="947" t="s">
        <v>646</v>
      </c>
      <c r="B2553" s="980"/>
      <c r="C2553" s="148" t="s">
        <v>3</v>
      </c>
      <c r="D2553" s="148">
        <v>0.02</v>
      </c>
      <c r="E2553" s="17">
        <f>+'INSUMOS ELÉCTRICOS'!E120</f>
        <v>25000</v>
      </c>
      <c r="F2553" s="149">
        <f t="shared" si="38"/>
        <v>500</v>
      </c>
      <c r="G2553" s="1075"/>
    </row>
    <row r="2554" spans="1:7" s="145" customFormat="1" ht="15" customHeight="1">
      <c r="A2554" s="1117" t="s">
        <v>684</v>
      </c>
      <c r="B2554" s="1118"/>
      <c r="C2554" s="148" t="s">
        <v>3</v>
      </c>
      <c r="D2554" s="148">
        <v>1</v>
      </c>
      <c r="E2554" s="17">
        <f>+'INSUMOS ELÉCTRICOS'!E61</f>
        <v>21900</v>
      </c>
      <c r="F2554" s="149">
        <f t="shared" si="38"/>
        <v>21900</v>
      </c>
      <c r="G2554" s="1075"/>
    </row>
    <row r="2555" spans="1:7" s="145" customFormat="1" ht="15" customHeight="1">
      <c r="A2555" s="947"/>
      <c r="B2555" s="1115"/>
      <c r="C2555" s="16"/>
      <c r="D2555" s="58"/>
      <c r="E2555" s="17"/>
      <c r="F2555" s="55"/>
      <c r="G2555" s="57">
        <f>SUM(F2548:F2555)</f>
        <v>62564.873639999998</v>
      </c>
    </row>
    <row r="2556" spans="1:7" s="145" customFormat="1" ht="15.75" customHeight="1">
      <c r="A2556" s="1114" t="s">
        <v>15</v>
      </c>
      <c r="B2556" s="1115"/>
      <c r="C2556" s="1115"/>
      <c r="D2556" s="1115"/>
      <c r="E2556" s="1115"/>
      <c r="F2556" s="1115"/>
      <c r="G2556" s="1116"/>
    </row>
    <row r="2557" spans="1:7" s="2" customFormat="1" ht="15.75" customHeight="1">
      <c r="A2557" s="1074" t="s">
        <v>2</v>
      </c>
      <c r="B2557" s="1115"/>
      <c r="C2557" s="53" t="s">
        <v>3</v>
      </c>
      <c r="D2557" s="53" t="s">
        <v>4</v>
      </c>
      <c r="E2557" s="53" t="s">
        <v>6</v>
      </c>
      <c r="F2557" s="53" t="s">
        <v>11</v>
      </c>
      <c r="G2557" s="1075" t="s">
        <v>8</v>
      </c>
    </row>
    <row r="2558" spans="1:7" s="145" customFormat="1" ht="15" customHeight="1">
      <c r="A2558" s="943" t="s">
        <v>173</v>
      </c>
      <c r="B2558" s="1115"/>
      <c r="C2558" s="16" t="s">
        <v>3</v>
      </c>
      <c r="D2558" s="16">
        <v>0.05</v>
      </c>
      <c r="E2558" s="17">
        <f>G2555</f>
        <v>62564.873639999998</v>
      </c>
      <c r="F2558" s="55">
        <f>D2558*E2558</f>
        <v>3128.2436820000003</v>
      </c>
      <c r="G2558" s="1116"/>
    </row>
    <row r="2559" spans="1:7" s="145" customFormat="1" ht="15" customHeight="1">
      <c r="A2559" s="151"/>
      <c r="B2559" s="152"/>
      <c r="C2559" s="152"/>
      <c r="D2559" s="152"/>
      <c r="E2559" s="152"/>
      <c r="F2559" s="152"/>
      <c r="G2559" s="57">
        <f>SUM(F2558:F2559)</f>
        <v>3128.2436820000003</v>
      </c>
    </row>
    <row r="2560" spans="1:7" s="145" customFormat="1" ht="15" customHeight="1">
      <c r="A2560" s="1114" t="s">
        <v>19</v>
      </c>
      <c r="B2560" s="1115"/>
      <c r="C2560" s="1115"/>
      <c r="D2560" s="1115"/>
      <c r="E2560" s="1115"/>
      <c r="F2560" s="1115"/>
      <c r="G2560" s="1116"/>
    </row>
    <row r="2561" spans="1:7" s="145" customFormat="1" ht="15" customHeight="1">
      <c r="A2561" s="1074" t="s">
        <v>2</v>
      </c>
      <c r="B2561" s="1115"/>
      <c r="C2561" s="53" t="s">
        <v>3</v>
      </c>
      <c r="D2561" s="53" t="s">
        <v>4</v>
      </c>
      <c r="E2561" s="53" t="s">
        <v>6</v>
      </c>
      <c r="F2561" s="53" t="s">
        <v>11</v>
      </c>
      <c r="G2561" s="1075" t="s">
        <v>8</v>
      </c>
    </row>
    <row r="2562" spans="1:7" s="145" customFormat="1" ht="15" customHeight="1">
      <c r="A2562" s="978" t="s">
        <v>1256</v>
      </c>
      <c r="B2562" s="979"/>
      <c r="C2562" s="13" t="s">
        <v>1245</v>
      </c>
      <c r="D2562" s="32">
        <v>1</v>
      </c>
      <c r="E2562" s="13">
        <v>20030</v>
      </c>
      <c r="F2562" s="55">
        <f>+D2562*E2562</f>
        <v>20030</v>
      </c>
      <c r="G2562" s="1116"/>
    </row>
    <row r="2563" spans="1:7" s="145" customFormat="1" ht="15" customHeight="1">
      <c r="A2563" s="155"/>
      <c r="B2563" s="156"/>
      <c r="C2563" s="156"/>
      <c r="D2563" s="156"/>
      <c r="E2563" s="156"/>
      <c r="F2563" s="156"/>
      <c r="G2563" s="57">
        <f>SUM(F2561:F2563)</f>
        <v>20030</v>
      </c>
    </row>
    <row r="2564" spans="1:7" s="145" customFormat="1" ht="15" customHeight="1">
      <c r="A2564" s="1119" t="s">
        <v>25</v>
      </c>
      <c r="B2564" s="1120"/>
      <c r="C2564" s="1120"/>
      <c r="D2564" s="1120"/>
      <c r="E2564" s="1120"/>
      <c r="F2564" s="1120"/>
      <c r="G2564" s="1121"/>
    </row>
    <row r="2565" spans="1:7" s="145" customFormat="1" ht="15" customHeight="1">
      <c r="A2565" s="1122"/>
      <c r="B2565" s="1120"/>
      <c r="C2565" s="1120"/>
      <c r="D2565" s="1120"/>
      <c r="E2565" s="1120"/>
      <c r="F2565" s="1120"/>
      <c r="G2565" s="157">
        <f>G2563+G2555+G2559+G2546</f>
        <v>86724.617322000006</v>
      </c>
    </row>
    <row r="2566" spans="1:7" s="145" customFormat="1" ht="13.8">
      <c r="A2566" s="158"/>
      <c r="B2566" s="159"/>
      <c r="C2566" s="159"/>
      <c r="D2566" s="159"/>
      <c r="E2566" s="159"/>
      <c r="F2566" s="159"/>
      <c r="G2566" s="160"/>
    </row>
    <row r="2567" spans="1:7" s="145" customFormat="1" ht="15" customHeight="1">
      <c r="A2567" s="1123" t="s">
        <v>1</v>
      </c>
      <c r="B2567" s="1120"/>
      <c r="C2567" s="953" t="s">
        <v>594</v>
      </c>
      <c r="D2567" s="1125"/>
      <c r="E2567" s="1125"/>
      <c r="F2567" s="1125"/>
      <c r="G2567" s="1126"/>
    </row>
    <row r="2568" spans="1:7" s="145" customFormat="1" ht="15" customHeight="1">
      <c r="A2568" s="1124"/>
      <c r="B2568" s="1120"/>
      <c r="C2568" s="1125"/>
      <c r="D2568" s="1125"/>
      <c r="E2568" s="1125"/>
      <c r="F2568" s="1125"/>
      <c r="G2568" s="1126"/>
    </row>
    <row r="2569" spans="1:7" s="145" customFormat="1" ht="15" customHeight="1">
      <c r="A2569" s="1124"/>
      <c r="B2569" s="1120"/>
      <c r="C2569" s="1127" t="s">
        <v>689</v>
      </c>
      <c r="D2569" s="1120"/>
      <c r="E2569" s="1120"/>
      <c r="F2569" s="1120"/>
      <c r="G2569" s="1121"/>
    </row>
    <row r="2570" spans="1:7" s="145" customFormat="1" ht="15" customHeight="1">
      <c r="A2570" s="1124"/>
      <c r="B2570" s="1120"/>
      <c r="C2570" s="1128" t="s">
        <v>2</v>
      </c>
      <c r="D2570" s="1120"/>
      <c r="E2570" s="1120"/>
      <c r="F2570" s="146" t="s">
        <v>3</v>
      </c>
      <c r="G2570" s="147" t="s">
        <v>4</v>
      </c>
    </row>
    <row r="2571" spans="1:7" s="145" customFormat="1" ht="29.4" customHeight="1">
      <c r="A2571" s="1073" t="s">
        <v>789</v>
      </c>
      <c r="B2571" s="1115"/>
      <c r="C2571" s="980" t="s">
        <v>2783</v>
      </c>
      <c r="D2571" s="1115"/>
      <c r="E2571" s="1115"/>
      <c r="F2571" s="162" t="s">
        <v>28</v>
      </c>
      <c r="G2571" s="52">
        <v>1</v>
      </c>
    </row>
    <row r="2572" spans="1:7" s="145" customFormat="1" ht="15" customHeight="1">
      <c r="A2572" s="1114" t="s">
        <v>5</v>
      </c>
      <c r="B2572" s="1115"/>
      <c r="C2572" s="1115"/>
      <c r="D2572" s="1115"/>
      <c r="E2572" s="1115"/>
      <c r="F2572" s="1115"/>
      <c r="G2572" s="1116"/>
    </row>
    <row r="2573" spans="1:7" s="145" customFormat="1" ht="15" customHeight="1">
      <c r="A2573" s="1074" t="s">
        <v>2</v>
      </c>
      <c r="B2573" s="1115"/>
      <c r="C2573" s="53" t="s">
        <v>3</v>
      </c>
      <c r="D2573" s="53" t="s">
        <v>4</v>
      </c>
      <c r="E2573" s="53" t="s">
        <v>6</v>
      </c>
      <c r="F2573" s="53" t="s">
        <v>7</v>
      </c>
      <c r="G2573" s="1075" t="s">
        <v>8</v>
      </c>
    </row>
    <row r="2574" spans="1:7" s="145" customFormat="1" ht="15" customHeight="1">
      <c r="A2574" s="947" t="s">
        <v>167</v>
      </c>
      <c r="B2574" s="1115"/>
      <c r="C2574" s="51" t="s">
        <v>3</v>
      </c>
      <c r="D2574" s="51">
        <v>0.05</v>
      </c>
      <c r="E2574" s="17">
        <f>G2591</f>
        <v>9020.5</v>
      </c>
      <c r="F2574" s="55">
        <f>D2574*E2574</f>
        <v>451.02500000000003</v>
      </c>
      <c r="G2574" s="1116"/>
    </row>
    <row r="2575" spans="1:7" s="145" customFormat="1" ht="15" customHeight="1">
      <c r="A2575" s="943"/>
      <c r="B2575" s="1115"/>
      <c r="C2575" s="51"/>
      <c r="D2575" s="51"/>
      <c r="E2575" s="51"/>
      <c r="F2575" s="55"/>
      <c r="G2575" s="57">
        <f>SUM(F2573:F2575)</f>
        <v>451.02500000000003</v>
      </c>
    </row>
    <row r="2576" spans="1:7" s="145" customFormat="1" ht="15" customHeight="1">
      <c r="A2576" s="1114" t="s">
        <v>10</v>
      </c>
      <c r="B2576" s="1115"/>
      <c r="C2576" s="1115"/>
      <c r="D2576" s="1115"/>
      <c r="E2576" s="1115"/>
      <c r="F2576" s="1115"/>
      <c r="G2576" s="1116"/>
    </row>
    <row r="2577" spans="1:7" s="145" customFormat="1" ht="15" customHeight="1">
      <c r="A2577" s="1074" t="s">
        <v>2</v>
      </c>
      <c r="B2577" s="1115"/>
      <c r="C2577" s="53" t="s">
        <v>3</v>
      </c>
      <c r="D2577" s="53" t="s">
        <v>4</v>
      </c>
      <c r="E2577" s="53" t="s">
        <v>6</v>
      </c>
      <c r="F2577" s="53" t="s">
        <v>11</v>
      </c>
      <c r="G2577" s="1075" t="s">
        <v>8</v>
      </c>
    </row>
    <row r="2578" spans="1:7" s="145" customFormat="1" ht="15" customHeight="1">
      <c r="A2578" s="1117" t="s">
        <v>643</v>
      </c>
      <c r="B2578" s="1118"/>
      <c r="C2578" s="148" t="s">
        <v>3</v>
      </c>
      <c r="D2578" s="148">
        <v>2</v>
      </c>
      <c r="E2578" s="17">
        <f>+'INSUMOS ELÉCTRICOS'!E121</f>
        <v>1189</v>
      </c>
      <c r="F2578" s="149">
        <f>D2578*E2578</f>
        <v>2378</v>
      </c>
      <c r="G2578" s="1075"/>
    </row>
    <row r="2579" spans="1:7" s="145" customFormat="1" ht="15" customHeight="1">
      <c r="A2579" s="1117" t="s">
        <v>692</v>
      </c>
      <c r="B2579" s="1118"/>
      <c r="C2579" s="148" t="s">
        <v>3</v>
      </c>
      <c r="D2579" s="148">
        <v>1</v>
      </c>
      <c r="E2579" s="17">
        <f>+'INSUMOS ELÉCTRICOS'!E122</f>
        <v>6679</v>
      </c>
      <c r="F2579" s="149">
        <f>D2579*E2579</f>
        <v>6679</v>
      </c>
      <c r="G2579" s="1075"/>
    </row>
    <row r="2580" spans="1:7" s="145" customFormat="1" ht="15" customHeight="1">
      <c r="A2580" s="1117" t="s">
        <v>693</v>
      </c>
      <c r="B2580" s="1118"/>
      <c r="C2580" s="148" t="s">
        <v>3</v>
      </c>
      <c r="D2580" s="148">
        <v>1</v>
      </c>
      <c r="E2580" s="17">
        <f>+'INSUMOS ELÉCTRICOS'!E181</f>
        <v>47900</v>
      </c>
      <c r="F2580" s="149">
        <f>D2580*E2580</f>
        <v>47900</v>
      </c>
      <c r="G2580" s="1075"/>
    </row>
    <row r="2581" spans="1:7" s="145" customFormat="1" ht="15.75" customHeight="1">
      <c r="A2581" s="1117" t="s">
        <v>694</v>
      </c>
      <c r="B2581" s="1118"/>
      <c r="C2581" s="148" t="s">
        <v>3</v>
      </c>
      <c r="D2581" s="148">
        <v>1</v>
      </c>
      <c r="E2581" s="17">
        <f>+'INSUMOS ELÉCTRICOS'!E124</f>
        <v>6399.82</v>
      </c>
      <c r="F2581" s="149">
        <f>D2581*E2581</f>
        <v>6399.82</v>
      </c>
      <c r="G2581" s="1075"/>
    </row>
    <row r="2582" spans="1:7" s="145" customFormat="1" ht="15" customHeight="1">
      <c r="A2582" s="1117" t="s">
        <v>612</v>
      </c>
      <c r="B2582" s="1118"/>
      <c r="C2582" s="148" t="s">
        <v>3</v>
      </c>
      <c r="D2582" s="148">
        <v>10</v>
      </c>
      <c r="E2582" s="17">
        <f>+'INSUMOS ELÉCTRICOS'!E126</f>
        <v>348.66999999999996</v>
      </c>
      <c r="F2582" s="149">
        <f>D2582*E2582</f>
        <v>3486.7</v>
      </c>
      <c r="G2582" s="1075"/>
    </row>
    <row r="2583" spans="1:7" s="145" customFormat="1" ht="15" customHeight="1">
      <c r="A2583" s="947"/>
      <c r="B2583" s="1115"/>
      <c r="C2583" s="16"/>
      <c r="D2583" s="58"/>
      <c r="E2583" s="17"/>
      <c r="F2583" s="55"/>
      <c r="G2583" s="57">
        <f>SUM(F2577:F2583)</f>
        <v>66843.520000000004</v>
      </c>
    </row>
    <row r="2584" spans="1:7" s="145" customFormat="1" ht="15" customHeight="1">
      <c r="A2584" s="1114" t="s">
        <v>15</v>
      </c>
      <c r="B2584" s="1115"/>
      <c r="C2584" s="1115"/>
      <c r="D2584" s="1115"/>
      <c r="E2584" s="1115"/>
      <c r="F2584" s="1115"/>
      <c r="G2584" s="1116"/>
    </row>
    <row r="2585" spans="1:7" s="145" customFormat="1" ht="15.75" customHeight="1">
      <c r="A2585" s="1074" t="s">
        <v>2</v>
      </c>
      <c r="B2585" s="1115"/>
      <c r="C2585" s="53" t="s">
        <v>3</v>
      </c>
      <c r="D2585" s="53" t="s">
        <v>4</v>
      </c>
      <c r="E2585" s="53" t="s">
        <v>6</v>
      </c>
      <c r="F2585" s="53" t="s">
        <v>11</v>
      </c>
      <c r="G2585" s="1075" t="s">
        <v>8</v>
      </c>
    </row>
    <row r="2586" spans="1:7" s="2" customFormat="1" ht="15.75" customHeight="1">
      <c r="A2586" s="943" t="s">
        <v>173</v>
      </c>
      <c r="B2586" s="1115"/>
      <c r="C2586" s="16" t="s">
        <v>3</v>
      </c>
      <c r="D2586" s="16">
        <v>0.01</v>
      </c>
      <c r="E2586" s="17">
        <f>G2583</f>
        <v>66843.520000000004</v>
      </c>
      <c r="F2586" s="55">
        <f>D2586*E2586</f>
        <v>668.43520000000001</v>
      </c>
      <c r="G2586" s="1116"/>
    </row>
    <row r="2587" spans="1:7" s="145" customFormat="1" ht="15" customHeight="1">
      <c r="A2587" s="151"/>
      <c r="B2587" s="152"/>
      <c r="C2587" s="152"/>
      <c r="D2587" s="152"/>
      <c r="E2587" s="152"/>
      <c r="F2587" s="152"/>
      <c r="G2587" s="57">
        <f>SUM(F2586:F2587)</f>
        <v>668.43520000000001</v>
      </c>
    </row>
    <row r="2588" spans="1:7" s="145" customFormat="1" ht="15" customHeight="1">
      <c r="A2588" s="1114" t="s">
        <v>19</v>
      </c>
      <c r="B2588" s="1115"/>
      <c r="C2588" s="1115"/>
      <c r="D2588" s="1115"/>
      <c r="E2588" s="1115"/>
      <c r="F2588" s="1115"/>
      <c r="G2588" s="1116"/>
    </row>
    <row r="2589" spans="1:7" s="145" customFormat="1" ht="15" customHeight="1">
      <c r="A2589" s="1074" t="s">
        <v>2</v>
      </c>
      <c r="B2589" s="1115"/>
      <c r="C2589" s="53" t="s">
        <v>3</v>
      </c>
      <c r="D2589" s="53" t="s">
        <v>4</v>
      </c>
      <c r="E2589" s="53" t="s">
        <v>6</v>
      </c>
      <c r="F2589" s="53" t="s">
        <v>11</v>
      </c>
      <c r="G2589" s="1075" t="s">
        <v>8</v>
      </c>
    </row>
    <row r="2590" spans="1:7" s="145" customFormat="1" ht="15" customHeight="1">
      <c r="A2590" s="978" t="s">
        <v>1256</v>
      </c>
      <c r="B2590" s="979"/>
      <c r="C2590" s="13" t="s">
        <v>1245</v>
      </c>
      <c r="D2590" s="32">
        <v>0.5</v>
      </c>
      <c r="E2590" s="13">
        <v>18041</v>
      </c>
      <c r="F2590" s="55">
        <f>+D2590*E2590</f>
        <v>9020.5</v>
      </c>
      <c r="G2590" s="1116"/>
    </row>
    <row r="2591" spans="1:7" s="145" customFormat="1" ht="15.75" customHeight="1">
      <c r="A2591" s="155"/>
      <c r="B2591" s="156"/>
      <c r="C2591" s="156"/>
      <c r="D2591" s="156"/>
      <c r="E2591" s="156"/>
      <c r="F2591" s="156"/>
      <c r="G2591" s="57">
        <f>SUM(F2589:F2591)</f>
        <v>9020.5</v>
      </c>
    </row>
    <row r="2592" spans="1:7" s="145" customFormat="1" ht="24" customHeight="1">
      <c r="A2592" s="1119" t="s">
        <v>25</v>
      </c>
      <c r="B2592" s="1120"/>
      <c r="C2592" s="1120"/>
      <c r="D2592" s="1120"/>
      <c r="E2592" s="1120"/>
      <c r="F2592" s="1120"/>
      <c r="G2592" s="1121"/>
    </row>
    <row r="2593" spans="1:7" s="145" customFormat="1" ht="15.6" customHeight="1">
      <c r="A2593" s="1122"/>
      <c r="B2593" s="1120"/>
      <c r="C2593" s="1120"/>
      <c r="D2593" s="1120"/>
      <c r="E2593" s="1120"/>
      <c r="F2593" s="1120"/>
      <c r="G2593" s="157">
        <f>G2591+G2587+G2583+G2575</f>
        <v>76983.480199999991</v>
      </c>
    </row>
    <row r="2594" spans="1:7" s="145" customFormat="1" ht="15.75" customHeight="1">
      <c r="A2594" s="158"/>
      <c r="B2594" s="159"/>
      <c r="C2594" s="159"/>
      <c r="D2594" s="159"/>
      <c r="E2594" s="159"/>
      <c r="F2594" s="159"/>
      <c r="G2594" s="160"/>
    </row>
    <row r="2595" spans="1:7" s="145" customFormat="1" ht="40.950000000000003" customHeight="1">
      <c r="A2595" s="1123" t="s">
        <v>1</v>
      </c>
      <c r="B2595" s="1120"/>
      <c r="C2595" s="953" t="s">
        <v>594</v>
      </c>
      <c r="D2595" s="1125"/>
      <c r="E2595" s="1125"/>
      <c r="F2595" s="1125"/>
      <c r="G2595" s="1126"/>
    </row>
    <row r="2596" spans="1:7" s="145" customFormat="1" ht="15.75" customHeight="1">
      <c r="A2596" s="1124"/>
      <c r="B2596" s="1120"/>
      <c r="C2596" s="1125"/>
      <c r="D2596" s="1125"/>
      <c r="E2596" s="1125"/>
      <c r="F2596" s="1125"/>
      <c r="G2596" s="1126"/>
    </row>
    <row r="2597" spans="1:7" s="145" customFormat="1" ht="15.75" customHeight="1">
      <c r="A2597" s="1124"/>
      <c r="B2597" s="1120"/>
      <c r="C2597" s="1127" t="s">
        <v>689</v>
      </c>
      <c r="D2597" s="1120"/>
      <c r="E2597" s="1120"/>
      <c r="F2597" s="1120"/>
      <c r="G2597" s="1121"/>
    </row>
    <row r="2598" spans="1:7" s="145" customFormat="1" ht="15.75" customHeight="1">
      <c r="A2598" s="1124"/>
      <c r="B2598" s="1120"/>
      <c r="C2598" s="1128" t="s">
        <v>2</v>
      </c>
      <c r="D2598" s="1120"/>
      <c r="E2598" s="1120"/>
      <c r="F2598" s="146" t="s">
        <v>3</v>
      </c>
      <c r="G2598" s="147" t="s">
        <v>4</v>
      </c>
    </row>
    <row r="2599" spans="1:7" s="145" customFormat="1" ht="37.200000000000003" customHeight="1">
      <c r="A2599" s="1073" t="s">
        <v>790</v>
      </c>
      <c r="B2599" s="1115"/>
      <c r="C2599" s="980" t="s">
        <v>2781</v>
      </c>
      <c r="D2599" s="1115"/>
      <c r="E2599" s="1115"/>
      <c r="F2599" s="162" t="s">
        <v>28</v>
      </c>
      <c r="G2599" s="52">
        <v>1</v>
      </c>
    </row>
    <row r="2600" spans="1:7" s="145" customFormat="1" ht="15.75" customHeight="1">
      <c r="A2600" s="1114" t="s">
        <v>5</v>
      </c>
      <c r="B2600" s="1115"/>
      <c r="C2600" s="1115"/>
      <c r="D2600" s="1115"/>
      <c r="E2600" s="1115"/>
      <c r="F2600" s="1115"/>
      <c r="G2600" s="1116"/>
    </row>
    <row r="2601" spans="1:7" s="145" customFormat="1" ht="15.75" customHeight="1">
      <c r="A2601" s="1074" t="s">
        <v>2</v>
      </c>
      <c r="B2601" s="1115"/>
      <c r="C2601" s="53" t="s">
        <v>3</v>
      </c>
      <c r="D2601" s="53" t="s">
        <v>4</v>
      </c>
      <c r="E2601" s="53" t="s">
        <v>6</v>
      </c>
      <c r="F2601" s="53" t="s">
        <v>7</v>
      </c>
      <c r="G2601" s="1075" t="s">
        <v>8</v>
      </c>
    </row>
    <row r="2602" spans="1:7" s="145" customFormat="1" ht="16.2" customHeight="1">
      <c r="A2602" s="947" t="s">
        <v>167</v>
      </c>
      <c r="B2602" s="1115"/>
      <c r="C2602" s="51" t="s">
        <v>3</v>
      </c>
      <c r="D2602" s="51">
        <v>0.05</v>
      </c>
      <c r="E2602" s="17">
        <f>G2619</f>
        <v>10015</v>
      </c>
      <c r="F2602" s="55">
        <f>D2602*E2602</f>
        <v>500.75</v>
      </c>
      <c r="G2602" s="1116"/>
    </row>
    <row r="2603" spans="1:7" s="145" customFormat="1" ht="16.2" customHeight="1">
      <c r="A2603" s="943"/>
      <c r="B2603" s="1115"/>
      <c r="C2603" s="51"/>
      <c r="D2603" s="51"/>
      <c r="E2603" s="51"/>
      <c r="F2603" s="55"/>
      <c r="G2603" s="57">
        <f>SUM(F2601:F2603)</f>
        <v>500.75</v>
      </c>
    </row>
    <row r="2604" spans="1:7" s="150" customFormat="1" ht="16.2" customHeight="1">
      <c r="A2604" s="1114" t="s">
        <v>10</v>
      </c>
      <c r="B2604" s="1115"/>
      <c r="C2604" s="1115"/>
      <c r="D2604" s="1115"/>
      <c r="E2604" s="1115"/>
      <c r="F2604" s="1115"/>
      <c r="G2604" s="1116"/>
    </row>
    <row r="2605" spans="1:7" s="150" customFormat="1" ht="16.2" customHeight="1">
      <c r="A2605" s="1074" t="s">
        <v>2</v>
      </c>
      <c r="B2605" s="1115"/>
      <c r="C2605" s="53" t="s">
        <v>3</v>
      </c>
      <c r="D2605" s="53" t="s">
        <v>4</v>
      </c>
      <c r="E2605" s="53" t="s">
        <v>6</v>
      </c>
      <c r="F2605" s="53" t="s">
        <v>11</v>
      </c>
      <c r="G2605" s="1075" t="s">
        <v>8</v>
      </c>
    </row>
    <row r="2606" spans="1:7" s="150" customFormat="1" ht="16.2" customHeight="1">
      <c r="A2606" s="1117" t="s">
        <v>643</v>
      </c>
      <c r="B2606" s="1118"/>
      <c r="C2606" s="148" t="s">
        <v>3</v>
      </c>
      <c r="D2606" s="148">
        <v>2</v>
      </c>
      <c r="E2606" s="17">
        <f>+'INSUMOS ELÉCTRICOS'!E121</f>
        <v>1189</v>
      </c>
      <c r="F2606" s="149">
        <f>D2606*E2606</f>
        <v>2378</v>
      </c>
      <c r="G2606" s="1075"/>
    </row>
    <row r="2607" spans="1:7" s="145" customFormat="1" ht="15.75" customHeight="1">
      <c r="A2607" s="1117" t="s">
        <v>692</v>
      </c>
      <c r="B2607" s="1118"/>
      <c r="C2607" s="148" t="s">
        <v>3</v>
      </c>
      <c r="D2607" s="148">
        <v>1</v>
      </c>
      <c r="E2607" s="17">
        <f>+'INSUMOS ELÉCTRICOS'!E122</f>
        <v>6679</v>
      </c>
      <c r="F2607" s="149">
        <f>D2607*E2607</f>
        <v>6679</v>
      </c>
      <c r="G2607" s="1075"/>
    </row>
    <row r="2608" spans="1:7" s="145" customFormat="1" ht="15.75" customHeight="1">
      <c r="A2608" s="1117" t="s">
        <v>697</v>
      </c>
      <c r="B2608" s="1118"/>
      <c r="C2608" s="148" t="s">
        <v>3</v>
      </c>
      <c r="D2608" s="148">
        <v>1</v>
      </c>
      <c r="E2608" s="17">
        <f>+'INSUMOS ELÉCTRICOS'!E69</f>
        <v>69900</v>
      </c>
      <c r="F2608" s="149">
        <f>D2608*E2608</f>
        <v>69900</v>
      </c>
      <c r="G2608" s="1075"/>
    </row>
    <row r="2609" spans="1:7" s="145" customFormat="1" ht="15.75" customHeight="1">
      <c r="A2609" s="1117" t="s">
        <v>694</v>
      </c>
      <c r="B2609" s="1118"/>
      <c r="C2609" s="148" t="s">
        <v>3</v>
      </c>
      <c r="D2609" s="148">
        <v>1</v>
      </c>
      <c r="E2609" s="17">
        <f>+'INSUMOS ELÉCTRICOS'!E124</f>
        <v>6399.82</v>
      </c>
      <c r="F2609" s="149">
        <f>D2609*E2609</f>
        <v>6399.82</v>
      </c>
      <c r="G2609" s="1075"/>
    </row>
    <row r="2610" spans="1:7" s="145" customFormat="1" ht="15.75" customHeight="1">
      <c r="A2610" s="1117" t="s">
        <v>612</v>
      </c>
      <c r="B2610" s="1118"/>
      <c r="C2610" s="148" t="s">
        <v>3</v>
      </c>
      <c r="D2610" s="148">
        <v>10</v>
      </c>
      <c r="E2610" s="17">
        <f>+'INSUMOS ELÉCTRICOS'!E126</f>
        <v>348.66999999999996</v>
      </c>
      <c r="F2610" s="149">
        <f>D2610*E2610</f>
        <v>3486.7</v>
      </c>
      <c r="G2610" s="1075"/>
    </row>
    <row r="2611" spans="1:7" s="145" customFormat="1" ht="15.75" customHeight="1">
      <c r="A2611" s="947"/>
      <c r="B2611" s="1115"/>
      <c r="C2611" s="16"/>
      <c r="D2611" s="58"/>
      <c r="E2611" s="17"/>
      <c r="F2611" s="55"/>
      <c r="G2611" s="57">
        <f>SUM(F2605:F2611)</f>
        <v>88843.520000000004</v>
      </c>
    </row>
    <row r="2612" spans="1:7" s="145" customFormat="1" ht="15.75" customHeight="1">
      <c r="A2612" s="1114" t="s">
        <v>15</v>
      </c>
      <c r="B2612" s="1115"/>
      <c r="C2612" s="1115"/>
      <c r="D2612" s="1115"/>
      <c r="E2612" s="1115"/>
      <c r="F2612" s="1115"/>
      <c r="G2612" s="1116"/>
    </row>
    <row r="2613" spans="1:7" s="145" customFormat="1" ht="15.75" customHeight="1">
      <c r="A2613" s="1074" t="s">
        <v>2</v>
      </c>
      <c r="B2613" s="1115"/>
      <c r="C2613" s="53" t="s">
        <v>3</v>
      </c>
      <c r="D2613" s="53" t="s">
        <v>4</v>
      </c>
      <c r="E2613" s="53" t="s">
        <v>6</v>
      </c>
      <c r="F2613" s="53" t="s">
        <v>11</v>
      </c>
      <c r="G2613" s="1075" t="s">
        <v>8</v>
      </c>
    </row>
    <row r="2614" spans="1:7" s="2" customFormat="1" ht="15.75" customHeight="1">
      <c r="A2614" s="943" t="s">
        <v>173</v>
      </c>
      <c r="B2614" s="1115"/>
      <c r="C2614" s="16" t="s">
        <v>3</v>
      </c>
      <c r="D2614" s="16">
        <v>0.02</v>
      </c>
      <c r="E2614" s="17">
        <f>G2611</f>
        <v>88843.520000000004</v>
      </c>
      <c r="F2614" s="55">
        <f>D2614*E2614</f>
        <v>1776.8704</v>
      </c>
      <c r="G2614" s="1116"/>
    </row>
    <row r="2615" spans="1:7" s="145" customFormat="1" ht="15.75" customHeight="1">
      <c r="A2615" s="151"/>
      <c r="B2615" s="152"/>
      <c r="C2615" s="152"/>
      <c r="D2615" s="152"/>
      <c r="E2615" s="152"/>
      <c r="F2615" s="152"/>
      <c r="G2615" s="57">
        <f>SUM(F2614:F2615)</f>
        <v>1776.8704</v>
      </c>
    </row>
    <row r="2616" spans="1:7" s="145" customFormat="1" ht="15.75" customHeight="1">
      <c r="A2616" s="1114" t="s">
        <v>19</v>
      </c>
      <c r="B2616" s="1115"/>
      <c r="C2616" s="1115"/>
      <c r="D2616" s="1115"/>
      <c r="E2616" s="1115"/>
      <c r="F2616" s="1115"/>
      <c r="G2616" s="1116"/>
    </row>
    <row r="2617" spans="1:7" s="145" customFormat="1" ht="15.75" customHeight="1">
      <c r="A2617" s="1074" t="s">
        <v>2</v>
      </c>
      <c r="B2617" s="1115"/>
      <c r="C2617" s="53" t="s">
        <v>3</v>
      </c>
      <c r="D2617" s="53" t="s">
        <v>4</v>
      </c>
      <c r="E2617" s="53" t="s">
        <v>6</v>
      </c>
      <c r="F2617" s="53" t="s">
        <v>11</v>
      </c>
      <c r="G2617" s="1075" t="s">
        <v>8</v>
      </c>
    </row>
    <row r="2618" spans="1:7" s="145" customFormat="1" ht="15" customHeight="1">
      <c r="A2618" s="978" t="s">
        <v>1256</v>
      </c>
      <c r="B2618" s="979"/>
      <c r="C2618" s="13" t="s">
        <v>1245</v>
      </c>
      <c r="D2618" s="32">
        <v>0.5</v>
      </c>
      <c r="E2618" s="13">
        <v>20030</v>
      </c>
      <c r="F2618" s="55">
        <f>+D2618*E2618</f>
        <v>10015</v>
      </c>
      <c r="G2618" s="1116"/>
    </row>
    <row r="2619" spans="1:7" s="145" customFormat="1" ht="15.75" customHeight="1">
      <c r="A2619" s="155"/>
      <c r="B2619" s="156"/>
      <c r="C2619" s="156"/>
      <c r="D2619" s="156"/>
      <c r="E2619" s="156"/>
      <c r="F2619" s="156"/>
      <c r="G2619" s="57">
        <f>SUM(F2617:F2619)</f>
        <v>10015</v>
      </c>
    </row>
    <row r="2620" spans="1:7" s="145" customFormat="1" ht="13.8">
      <c r="A2620" s="1119" t="s">
        <v>25</v>
      </c>
      <c r="B2620" s="1120"/>
      <c r="C2620" s="1120"/>
      <c r="D2620" s="1120"/>
      <c r="E2620" s="1120"/>
      <c r="F2620" s="1120"/>
      <c r="G2620" s="1121"/>
    </row>
    <row r="2621" spans="1:7" s="145" customFormat="1" ht="15.6" customHeight="1">
      <c r="A2621" s="1122"/>
      <c r="B2621" s="1120"/>
      <c r="C2621" s="1120"/>
      <c r="D2621" s="1120"/>
      <c r="E2621" s="1120"/>
      <c r="F2621" s="1120"/>
      <c r="G2621" s="157">
        <f>G2619+G2615+G2611+G2603</f>
        <v>101136.1404</v>
      </c>
    </row>
    <row r="2622" spans="1:7" s="145" customFormat="1" ht="15.75" customHeight="1">
      <c r="A2622" s="158"/>
      <c r="B2622" s="159"/>
      <c r="C2622" s="159"/>
      <c r="D2622" s="159"/>
      <c r="E2622" s="159"/>
      <c r="F2622" s="159"/>
      <c r="G2622" s="160"/>
    </row>
    <row r="2623" spans="1:7" s="145" customFormat="1" ht="40.950000000000003" customHeight="1">
      <c r="A2623" s="1123" t="s">
        <v>1</v>
      </c>
      <c r="B2623" s="1120"/>
      <c r="C2623" s="953" t="s">
        <v>594</v>
      </c>
      <c r="D2623" s="1125"/>
      <c r="E2623" s="1125"/>
      <c r="F2623" s="1125"/>
      <c r="G2623" s="1126"/>
    </row>
    <row r="2624" spans="1:7" s="145" customFormat="1" ht="15.75" customHeight="1">
      <c r="A2624" s="1124"/>
      <c r="B2624" s="1120"/>
      <c r="C2624" s="1125"/>
      <c r="D2624" s="1125"/>
      <c r="E2624" s="1125"/>
      <c r="F2624" s="1125"/>
      <c r="G2624" s="1126"/>
    </row>
    <row r="2625" spans="1:7" s="145" customFormat="1" ht="15.75" customHeight="1">
      <c r="A2625" s="1124"/>
      <c r="B2625" s="1120"/>
      <c r="C2625" s="1127" t="s">
        <v>689</v>
      </c>
      <c r="D2625" s="1120"/>
      <c r="E2625" s="1120"/>
      <c r="F2625" s="1120"/>
      <c r="G2625" s="1121"/>
    </row>
    <row r="2626" spans="1:7" s="145" customFormat="1" ht="15.75" customHeight="1">
      <c r="A2626" s="1124"/>
      <c r="B2626" s="1120"/>
      <c r="C2626" s="1128" t="s">
        <v>2</v>
      </c>
      <c r="D2626" s="1120"/>
      <c r="E2626" s="1120"/>
      <c r="F2626" s="146" t="s">
        <v>3</v>
      </c>
      <c r="G2626" s="147" t="s">
        <v>4</v>
      </c>
    </row>
    <row r="2627" spans="1:7" s="145" customFormat="1" ht="46.2" customHeight="1">
      <c r="A2627" s="1073" t="s">
        <v>791</v>
      </c>
      <c r="B2627" s="1115"/>
      <c r="C2627" s="980" t="s">
        <v>2779</v>
      </c>
      <c r="D2627" s="1115"/>
      <c r="E2627" s="1115"/>
      <c r="F2627" s="162" t="s">
        <v>28</v>
      </c>
      <c r="G2627" s="52">
        <v>1</v>
      </c>
    </row>
    <row r="2628" spans="1:7" s="145" customFormat="1" ht="15.75" customHeight="1">
      <c r="A2628" s="1114" t="s">
        <v>5</v>
      </c>
      <c r="B2628" s="1115"/>
      <c r="C2628" s="1115"/>
      <c r="D2628" s="1115"/>
      <c r="E2628" s="1115"/>
      <c r="F2628" s="1115"/>
      <c r="G2628" s="1116"/>
    </row>
    <row r="2629" spans="1:7" s="145" customFormat="1" ht="15.75" customHeight="1">
      <c r="A2629" s="1074" t="s">
        <v>2</v>
      </c>
      <c r="B2629" s="1115"/>
      <c r="C2629" s="53" t="s">
        <v>3</v>
      </c>
      <c r="D2629" s="53" t="s">
        <v>4</v>
      </c>
      <c r="E2629" s="53" t="s">
        <v>6</v>
      </c>
      <c r="F2629" s="53" t="s">
        <v>7</v>
      </c>
      <c r="G2629" s="1075" t="s">
        <v>8</v>
      </c>
    </row>
    <row r="2630" spans="1:7" s="145" customFormat="1" ht="16.2" customHeight="1">
      <c r="A2630" s="947" t="s">
        <v>167</v>
      </c>
      <c r="B2630" s="1115"/>
      <c r="C2630" s="51" t="s">
        <v>3</v>
      </c>
      <c r="D2630" s="51">
        <v>0.05</v>
      </c>
      <c r="E2630" s="17">
        <f>G2647</f>
        <v>10015</v>
      </c>
      <c r="F2630" s="55">
        <f>D2630*E2630</f>
        <v>500.75</v>
      </c>
      <c r="G2630" s="1116"/>
    </row>
    <row r="2631" spans="1:7" s="145" customFormat="1" ht="16.2" customHeight="1">
      <c r="A2631" s="943"/>
      <c r="B2631" s="1115"/>
      <c r="C2631" s="51"/>
      <c r="D2631" s="51"/>
      <c r="E2631" s="51"/>
      <c r="F2631" s="55"/>
      <c r="G2631" s="57">
        <f>SUM(F2629:F2631)</f>
        <v>500.75</v>
      </c>
    </row>
    <row r="2632" spans="1:7" s="150" customFormat="1" ht="16.2" customHeight="1">
      <c r="A2632" s="1114" t="s">
        <v>10</v>
      </c>
      <c r="B2632" s="1115"/>
      <c r="C2632" s="1115"/>
      <c r="D2632" s="1115"/>
      <c r="E2632" s="1115"/>
      <c r="F2632" s="1115"/>
      <c r="G2632" s="1116"/>
    </row>
    <row r="2633" spans="1:7" s="150" customFormat="1" ht="16.2" customHeight="1">
      <c r="A2633" s="1074" t="s">
        <v>2</v>
      </c>
      <c r="B2633" s="1115"/>
      <c r="C2633" s="53" t="s">
        <v>3</v>
      </c>
      <c r="D2633" s="53" t="s">
        <v>4</v>
      </c>
      <c r="E2633" s="53" t="s">
        <v>6</v>
      </c>
      <c r="F2633" s="53" t="s">
        <v>11</v>
      </c>
      <c r="G2633" s="1075" t="s">
        <v>8</v>
      </c>
    </row>
    <row r="2634" spans="1:7" s="150" customFormat="1" ht="16.2" customHeight="1">
      <c r="A2634" s="1117" t="s">
        <v>643</v>
      </c>
      <c r="B2634" s="1118"/>
      <c r="C2634" s="148" t="s">
        <v>3</v>
      </c>
      <c r="D2634" s="148">
        <v>2</v>
      </c>
      <c r="E2634" s="17">
        <f>+'INSUMOS ELÉCTRICOS'!E121</f>
        <v>1189</v>
      </c>
      <c r="F2634" s="149">
        <f>D2634*E2634</f>
        <v>2378</v>
      </c>
      <c r="G2634" s="1075"/>
    </row>
    <row r="2635" spans="1:7" s="145" customFormat="1" ht="15.75" customHeight="1">
      <c r="A2635" s="1117" t="s">
        <v>692</v>
      </c>
      <c r="B2635" s="1118"/>
      <c r="C2635" s="148" t="s">
        <v>3</v>
      </c>
      <c r="D2635" s="148">
        <v>1</v>
      </c>
      <c r="E2635" s="17">
        <f>+'INSUMOS ELÉCTRICOS'!E122</f>
        <v>6679</v>
      </c>
      <c r="F2635" s="149">
        <f>D2635*E2635</f>
        <v>6679</v>
      </c>
      <c r="G2635" s="1075"/>
    </row>
    <row r="2636" spans="1:7" s="145" customFormat="1" ht="15.75" customHeight="1">
      <c r="A2636" s="1117" t="s">
        <v>697</v>
      </c>
      <c r="B2636" s="1118"/>
      <c r="C2636" s="148" t="s">
        <v>3</v>
      </c>
      <c r="D2636" s="148">
        <v>1</v>
      </c>
      <c r="E2636" s="17">
        <f>+'INSUMOS ELÉCTRICOS'!E69</f>
        <v>69900</v>
      </c>
      <c r="F2636" s="149">
        <f>D2636*E2636</f>
        <v>69900</v>
      </c>
      <c r="G2636" s="1075"/>
    </row>
    <row r="2637" spans="1:7" s="145" customFormat="1" ht="15.75" customHeight="1">
      <c r="A2637" s="1117" t="s">
        <v>694</v>
      </c>
      <c r="B2637" s="1118"/>
      <c r="C2637" s="148" t="s">
        <v>3</v>
      </c>
      <c r="D2637" s="148">
        <v>1</v>
      </c>
      <c r="E2637" s="17">
        <f>+'INSUMOS ELÉCTRICOS'!E124</f>
        <v>6399.82</v>
      </c>
      <c r="F2637" s="149">
        <f>D2637*E2637</f>
        <v>6399.82</v>
      </c>
      <c r="G2637" s="1075"/>
    </row>
    <row r="2638" spans="1:7" s="145" customFormat="1" ht="15.75" customHeight="1">
      <c r="A2638" s="1117" t="s">
        <v>612</v>
      </c>
      <c r="B2638" s="1118"/>
      <c r="C2638" s="148" t="s">
        <v>3</v>
      </c>
      <c r="D2638" s="148">
        <v>10</v>
      </c>
      <c r="E2638" s="17">
        <f>+'INSUMOS ELÉCTRICOS'!E126</f>
        <v>348.66999999999996</v>
      </c>
      <c r="F2638" s="149">
        <f>D2638*E2638</f>
        <v>3486.7</v>
      </c>
      <c r="G2638" s="1075"/>
    </row>
    <row r="2639" spans="1:7" s="145" customFormat="1" ht="15.75" customHeight="1">
      <c r="A2639" s="947"/>
      <c r="B2639" s="1115"/>
      <c r="C2639" s="16"/>
      <c r="D2639" s="58"/>
      <c r="E2639" s="17"/>
      <c r="F2639" s="55"/>
      <c r="G2639" s="57">
        <f>SUM(F2633:F2639)</f>
        <v>88843.520000000004</v>
      </c>
    </row>
    <row r="2640" spans="1:7" s="145" customFormat="1" ht="15.75" customHeight="1">
      <c r="A2640" s="1114" t="s">
        <v>15</v>
      </c>
      <c r="B2640" s="1115"/>
      <c r="C2640" s="1115"/>
      <c r="D2640" s="1115"/>
      <c r="E2640" s="1115"/>
      <c r="F2640" s="1115"/>
      <c r="G2640" s="1116"/>
    </row>
    <row r="2641" spans="1:7" s="145" customFormat="1" ht="15.75" customHeight="1">
      <c r="A2641" s="1074" t="s">
        <v>2</v>
      </c>
      <c r="B2641" s="1115"/>
      <c r="C2641" s="53" t="s">
        <v>3</v>
      </c>
      <c r="D2641" s="53" t="s">
        <v>4</v>
      </c>
      <c r="E2641" s="53" t="s">
        <v>6</v>
      </c>
      <c r="F2641" s="53" t="s">
        <v>11</v>
      </c>
      <c r="G2641" s="1075" t="s">
        <v>8</v>
      </c>
    </row>
    <row r="2642" spans="1:7" s="2" customFormat="1" ht="15.75" customHeight="1">
      <c r="A2642" s="943" t="s">
        <v>173</v>
      </c>
      <c r="B2642" s="1115"/>
      <c r="C2642" s="16" t="s">
        <v>3</v>
      </c>
      <c r="D2642" s="16">
        <v>0.02</v>
      </c>
      <c r="E2642" s="17">
        <f>G2639</f>
        <v>88843.520000000004</v>
      </c>
      <c r="F2642" s="55">
        <f>D2642*E2642</f>
        <v>1776.8704</v>
      </c>
      <c r="G2642" s="1116"/>
    </row>
    <row r="2643" spans="1:7" s="145" customFormat="1" ht="15.75" customHeight="1">
      <c r="A2643" s="151"/>
      <c r="B2643" s="152"/>
      <c r="C2643" s="152"/>
      <c r="D2643" s="152"/>
      <c r="E2643" s="152"/>
      <c r="F2643" s="152"/>
      <c r="G2643" s="57">
        <f>SUM(F2642:F2643)</f>
        <v>1776.8704</v>
      </c>
    </row>
    <row r="2644" spans="1:7" s="145" customFormat="1" ht="15.75" customHeight="1">
      <c r="A2644" s="1114" t="s">
        <v>19</v>
      </c>
      <c r="B2644" s="1115"/>
      <c r="C2644" s="1115"/>
      <c r="D2644" s="1115"/>
      <c r="E2644" s="1115"/>
      <c r="F2644" s="1115"/>
      <c r="G2644" s="1116"/>
    </row>
    <row r="2645" spans="1:7" s="145" customFormat="1" ht="15.75" customHeight="1">
      <c r="A2645" s="1074" t="s">
        <v>2</v>
      </c>
      <c r="B2645" s="1115"/>
      <c r="C2645" s="53" t="s">
        <v>3</v>
      </c>
      <c r="D2645" s="53" t="s">
        <v>4</v>
      </c>
      <c r="E2645" s="53" t="s">
        <v>6</v>
      </c>
      <c r="F2645" s="53" t="s">
        <v>11</v>
      </c>
      <c r="G2645" s="1075" t="s">
        <v>8</v>
      </c>
    </row>
    <row r="2646" spans="1:7" s="145" customFormat="1" ht="15" customHeight="1">
      <c r="A2646" s="978" t="s">
        <v>1256</v>
      </c>
      <c r="B2646" s="979"/>
      <c r="C2646" s="13" t="s">
        <v>1245</v>
      </c>
      <c r="D2646" s="32">
        <v>0.5</v>
      </c>
      <c r="E2646" s="13">
        <v>20030</v>
      </c>
      <c r="F2646" s="55">
        <f>+D2646*E2646</f>
        <v>10015</v>
      </c>
      <c r="G2646" s="1116"/>
    </row>
    <row r="2647" spans="1:7" s="145" customFormat="1" ht="15.75" customHeight="1">
      <c r="A2647" s="155"/>
      <c r="B2647" s="156"/>
      <c r="C2647" s="156"/>
      <c r="D2647" s="156"/>
      <c r="E2647" s="156"/>
      <c r="F2647" s="156"/>
      <c r="G2647" s="57">
        <f>SUM(F2645:F2647)</f>
        <v>10015</v>
      </c>
    </row>
    <row r="2648" spans="1:7" s="145" customFormat="1" ht="13.8">
      <c r="A2648" s="1119" t="s">
        <v>25</v>
      </c>
      <c r="B2648" s="1120"/>
      <c r="C2648" s="1120"/>
      <c r="D2648" s="1120"/>
      <c r="E2648" s="1120"/>
      <c r="F2648" s="1120"/>
      <c r="G2648" s="1121"/>
    </row>
    <row r="2649" spans="1:7" s="145" customFormat="1" ht="15.6" customHeight="1">
      <c r="A2649" s="1122"/>
      <c r="B2649" s="1120"/>
      <c r="C2649" s="1120"/>
      <c r="D2649" s="1120"/>
      <c r="E2649" s="1120"/>
      <c r="F2649" s="1120"/>
      <c r="G2649" s="157">
        <f>G2647+G2643+G2639+G2631</f>
        <v>101136.1404</v>
      </c>
    </row>
    <row r="2650" spans="1:7" s="145" customFormat="1" ht="15.75" customHeight="1">
      <c r="A2650" s="158"/>
      <c r="B2650" s="159"/>
      <c r="C2650" s="159"/>
      <c r="D2650" s="159"/>
      <c r="E2650" s="159"/>
      <c r="F2650" s="159"/>
      <c r="G2650" s="160"/>
    </row>
    <row r="2651" spans="1:7" s="145" customFormat="1" ht="40.950000000000003" customHeight="1">
      <c r="A2651" s="1123" t="s">
        <v>1</v>
      </c>
      <c r="B2651" s="1120"/>
      <c r="C2651" s="953" t="s">
        <v>594</v>
      </c>
      <c r="D2651" s="1125"/>
      <c r="E2651" s="1125"/>
      <c r="F2651" s="1125"/>
      <c r="G2651" s="1126"/>
    </row>
    <row r="2652" spans="1:7" s="145" customFormat="1" ht="15.75" customHeight="1">
      <c r="A2652" s="1124"/>
      <c r="B2652" s="1120"/>
      <c r="C2652" s="1125"/>
      <c r="D2652" s="1125"/>
      <c r="E2652" s="1125"/>
      <c r="F2652" s="1125"/>
      <c r="G2652" s="1126"/>
    </row>
    <row r="2653" spans="1:7" s="145" customFormat="1" ht="15.75" customHeight="1">
      <c r="A2653" s="1124"/>
      <c r="B2653" s="1120"/>
      <c r="C2653" s="1127" t="s">
        <v>609</v>
      </c>
      <c r="D2653" s="1120"/>
      <c r="E2653" s="1120"/>
      <c r="F2653" s="1120"/>
      <c r="G2653" s="1121"/>
    </row>
    <row r="2654" spans="1:7" s="145" customFormat="1" ht="15.75" customHeight="1">
      <c r="A2654" s="1124"/>
      <c r="B2654" s="1120"/>
      <c r="C2654" s="1128" t="s">
        <v>2</v>
      </c>
      <c r="D2654" s="1120"/>
      <c r="E2654" s="1120"/>
      <c r="F2654" s="146" t="s">
        <v>3</v>
      </c>
      <c r="G2654" s="147" t="s">
        <v>4</v>
      </c>
    </row>
    <row r="2655" spans="1:7" s="145" customFormat="1" ht="42" customHeight="1">
      <c r="A2655" s="1073" t="s">
        <v>792</v>
      </c>
      <c r="B2655" s="1115"/>
      <c r="C2655" s="980" t="s">
        <v>618</v>
      </c>
      <c r="D2655" s="1115"/>
      <c r="E2655" s="1115"/>
      <c r="F2655" s="162" t="s">
        <v>28</v>
      </c>
      <c r="G2655" s="52">
        <v>1</v>
      </c>
    </row>
    <row r="2656" spans="1:7" s="145" customFormat="1" ht="15.75" customHeight="1">
      <c r="A2656" s="1114" t="s">
        <v>5</v>
      </c>
      <c r="B2656" s="1115"/>
      <c r="C2656" s="1115"/>
      <c r="D2656" s="1115"/>
      <c r="E2656" s="1115"/>
      <c r="F2656" s="1115"/>
      <c r="G2656" s="1116"/>
    </row>
    <row r="2657" spans="1:7" s="145" customFormat="1" ht="15.75" customHeight="1">
      <c r="A2657" s="1074" t="s">
        <v>2</v>
      </c>
      <c r="B2657" s="1115"/>
      <c r="C2657" s="53" t="s">
        <v>3</v>
      </c>
      <c r="D2657" s="53" t="s">
        <v>4</v>
      </c>
      <c r="E2657" s="53" t="s">
        <v>6</v>
      </c>
      <c r="F2657" s="53" t="s">
        <v>7</v>
      </c>
      <c r="G2657" s="1075" t="s">
        <v>8</v>
      </c>
    </row>
    <row r="2658" spans="1:7" s="145" customFormat="1" ht="16.2" customHeight="1">
      <c r="A2658" s="947" t="s">
        <v>167</v>
      </c>
      <c r="B2658" s="1115"/>
      <c r="C2658" s="51" t="s">
        <v>3</v>
      </c>
      <c r="D2658" s="51">
        <v>0.05</v>
      </c>
      <c r="E2658" s="17">
        <f>G2676</f>
        <v>4006</v>
      </c>
      <c r="F2658" s="55">
        <f>D2658*E2658</f>
        <v>200.3</v>
      </c>
      <c r="G2658" s="1116"/>
    </row>
    <row r="2659" spans="1:7" s="145" customFormat="1" ht="16.2" customHeight="1">
      <c r="A2659" s="943"/>
      <c r="B2659" s="1115"/>
      <c r="C2659" s="51"/>
      <c r="D2659" s="51"/>
      <c r="E2659" s="51"/>
      <c r="F2659" s="55"/>
      <c r="G2659" s="57">
        <f>SUM(F2657:F2659)</f>
        <v>200.3</v>
      </c>
    </row>
    <row r="2660" spans="1:7" s="150" customFormat="1" ht="16.2" customHeight="1">
      <c r="A2660" s="1114" t="s">
        <v>10</v>
      </c>
      <c r="B2660" s="1115"/>
      <c r="C2660" s="1115"/>
      <c r="D2660" s="1115"/>
      <c r="E2660" s="1115"/>
      <c r="F2660" s="1115"/>
      <c r="G2660" s="1116"/>
    </row>
    <row r="2661" spans="1:7" s="150" customFormat="1" ht="16.2" customHeight="1">
      <c r="A2661" s="1074" t="s">
        <v>2</v>
      </c>
      <c r="B2661" s="1115"/>
      <c r="C2661" s="53" t="s">
        <v>3</v>
      </c>
      <c r="D2661" s="53" t="s">
        <v>4</v>
      </c>
      <c r="E2661" s="53" t="s">
        <v>6</v>
      </c>
      <c r="F2661" s="53" t="s">
        <v>11</v>
      </c>
      <c r="G2661" s="1075" t="s">
        <v>8</v>
      </c>
    </row>
    <row r="2662" spans="1:7" s="150" customFormat="1" ht="16.2" customHeight="1">
      <c r="A2662" s="947" t="s">
        <v>612</v>
      </c>
      <c r="B2662" s="1115"/>
      <c r="C2662" s="51" t="s">
        <v>3</v>
      </c>
      <c r="D2662" s="148">
        <v>10</v>
      </c>
      <c r="E2662" s="17">
        <f>+'INSUMOS ELÉCTRICOS'!E126</f>
        <v>348.66999999999996</v>
      </c>
      <c r="F2662" s="55">
        <f t="shared" ref="F2662:F2667" si="39">D2662*E2662</f>
        <v>3486.7</v>
      </c>
      <c r="G2662" s="1075"/>
    </row>
    <row r="2663" spans="1:7" s="145" customFormat="1" ht="15.75" customHeight="1">
      <c r="A2663" s="947" t="s">
        <v>619</v>
      </c>
      <c r="B2663" s="1115"/>
      <c r="C2663" s="51" t="s">
        <v>3</v>
      </c>
      <c r="D2663" s="148">
        <v>0.67</v>
      </c>
      <c r="E2663" s="17">
        <f>+'INSUMOS ELÉCTRICOS'!E115</f>
        <v>990</v>
      </c>
      <c r="F2663" s="55">
        <f t="shared" si="39"/>
        <v>663.30000000000007</v>
      </c>
      <c r="G2663" s="1075"/>
    </row>
    <row r="2664" spans="1:7" s="145" customFormat="1" ht="15.75" customHeight="1">
      <c r="A2664" s="947" t="s">
        <v>620</v>
      </c>
      <c r="B2664" s="1115"/>
      <c r="C2664" s="51" t="s">
        <v>3</v>
      </c>
      <c r="D2664" s="148">
        <v>0.17</v>
      </c>
      <c r="E2664" s="17">
        <f>+'INSUMOS ELÉCTRICOS'!E30</f>
        <v>21900</v>
      </c>
      <c r="F2664" s="55">
        <f t="shared" si="39"/>
        <v>3723.0000000000005</v>
      </c>
      <c r="G2664" s="1075"/>
    </row>
    <row r="2665" spans="1:7" s="145" customFormat="1" ht="15.75" customHeight="1">
      <c r="A2665" s="947" t="s">
        <v>621</v>
      </c>
      <c r="B2665" s="1115"/>
      <c r="C2665" s="51" t="s">
        <v>622</v>
      </c>
      <c r="D2665" s="148">
        <v>1</v>
      </c>
      <c r="E2665" s="17">
        <f>+'INSUMOS ELÉCTRICOS'!E31</f>
        <v>27300</v>
      </c>
      <c r="F2665" s="55">
        <f t="shared" si="39"/>
        <v>27300</v>
      </c>
      <c r="G2665" s="1075"/>
    </row>
    <row r="2666" spans="1:7" s="145" customFormat="1" ht="15.75" customHeight="1">
      <c r="A2666" s="947" t="s">
        <v>623</v>
      </c>
      <c r="B2666" s="1115"/>
      <c r="C2666" s="51" t="s">
        <v>3</v>
      </c>
      <c r="D2666" s="148">
        <v>0.33</v>
      </c>
      <c r="E2666" s="17">
        <f>+'INSUMOS ELÉCTRICOS'!E32</f>
        <v>2383.5699999999997</v>
      </c>
      <c r="F2666" s="55">
        <f t="shared" si="39"/>
        <v>786.57809999999995</v>
      </c>
      <c r="G2666" s="1075"/>
    </row>
    <row r="2667" spans="1:7" s="145" customFormat="1" ht="15.75" customHeight="1">
      <c r="A2667" s="947" t="s">
        <v>624</v>
      </c>
      <c r="B2667" s="1115"/>
      <c r="C2667" s="51" t="s">
        <v>3</v>
      </c>
      <c r="D2667" s="148">
        <v>0.32929999999999998</v>
      </c>
      <c r="E2667" s="17">
        <f>+'INSUMOS ELÉCTRICOS'!E33</f>
        <v>6890</v>
      </c>
      <c r="F2667" s="55">
        <f t="shared" si="39"/>
        <v>2268.877</v>
      </c>
      <c r="G2667" s="1075"/>
    </row>
    <row r="2668" spans="1:7" s="145" customFormat="1" ht="15.75" customHeight="1">
      <c r="A2668" s="947"/>
      <c r="B2668" s="1115"/>
      <c r="C2668" s="16"/>
      <c r="D2668" s="58"/>
      <c r="E2668" s="17"/>
      <c r="F2668" s="55"/>
      <c r="G2668" s="57">
        <f>SUM(F2661:F2668)</f>
        <v>38228.455099999999</v>
      </c>
    </row>
    <row r="2669" spans="1:7" s="145" customFormat="1" ht="15.75" customHeight="1">
      <c r="A2669" s="1114" t="s">
        <v>15</v>
      </c>
      <c r="B2669" s="1115"/>
      <c r="C2669" s="1115"/>
      <c r="D2669" s="1115"/>
      <c r="E2669" s="1115"/>
      <c r="F2669" s="1115"/>
      <c r="G2669" s="1116"/>
    </row>
    <row r="2670" spans="1:7" s="2" customFormat="1" ht="15.75" customHeight="1">
      <c r="A2670" s="1074" t="s">
        <v>2</v>
      </c>
      <c r="B2670" s="1115"/>
      <c r="C2670" s="53" t="s">
        <v>3</v>
      </c>
      <c r="D2670" s="53" t="s">
        <v>4</v>
      </c>
      <c r="E2670" s="53" t="s">
        <v>6</v>
      </c>
      <c r="F2670" s="53" t="s">
        <v>11</v>
      </c>
      <c r="G2670" s="1075" t="s">
        <v>8</v>
      </c>
    </row>
    <row r="2671" spans="1:7" s="145" customFormat="1" ht="15.75" customHeight="1">
      <c r="A2671" s="943" t="s">
        <v>173</v>
      </c>
      <c r="B2671" s="1115"/>
      <c r="C2671" s="16" t="s">
        <v>3</v>
      </c>
      <c r="D2671" s="16">
        <v>0.05</v>
      </c>
      <c r="E2671" s="17">
        <f>G2668</f>
        <v>38228.455099999999</v>
      </c>
      <c r="F2671" s="55">
        <f>D2671*E2671</f>
        <v>1911.4227550000001</v>
      </c>
      <c r="G2671" s="1116"/>
    </row>
    <row r="2672" spans="1:7" s="145" customFormat="1" ht="15.75" customHeight="1">
      <c r="A2672" s="151"/>
      <c r="B2672" s="152"/>
      <c r="C2672" s="152"/>
      <c r="D2672" s="152"/>
      <c r="E2672" s="152"/>
      <c r="F2672" s="152"/>
      <c r="G2672" s="57">
        <f>SUM(F2671:F2672)</f>
        <v>1911.4227550000001</v>
      </c>
    </row>
    <row r="2673" spans="1:7" s="145" customFormat="1" ht="15.75" customHeight="1">
      <c r="A2673" s="1114" t="s">
        <v>19</v>
      </c>
      <c r="B2673" s="1115"/>
      <c r="C2673" s="1115"/>
      <c r="D2673" s="1115"/>
      <c r="E2673" s="1115"/>
      <c r="F2673" s="1115"/>
      <c r="G2673" s="1116"/>
    </row>
    <row r="2674" spans="1:7" s="145" customFormat="1" ht="15" customHeight="1">
      <c r="A2674" s="1074" t="s">
        <v>2</v>
      </c>
      <c r="B2674" s="1115"/>
      <c r="C2674" s="53" t="s">
        <v>3</v>
      </c>
      <c r="D2674" s="53" t="s">
        <v>4</v>
      </c>
      <c r="E2674" s="53" t="s">
        <v>6</v>
      </c>
      <c r="F2674" s="53" t="s">
        <v>11</v>
      </c>
      <c r="G2674" s="1075" t="s">
        <v>8</v>
      </c>
    </row>
    <row r="2675" spans="1:7" s="145" customFormat="1" ht="15.75" customHeight="1">
      <c r="A2675" s="978" t="s">
        <v>1256</v>
      </c>
      <c r="B2675" s="979"/>
      <c r="C2675" s="13" t="s">
        <v>1245</v>
      </c>
      <c r="D2675" s="32">
        <v>0.2</v>
      </c>
      <c r="E2675" s="13">
        <v>20030</v>
      </c>
      <c r="F2675" s="55">
        <f>+D2675*E2675</f>
        <v>4006</v>
      </c>
      <c r="G2675" s="1116"/>
    </row>
    <row r="2676" spans="1:7" s="145" customFormat="1" ht="24" customHeight="1">
      <c r="A2676" s="155"/>
      <c r="B2676" s="156"/>
      <c r="C2676" s="156"/>
      <c r="D2676" s="156"/>
      <c r="E2676" s="156"/>
      <c r="F2676" s="156"/>
      <c r="G2676" s="57">
        <f>SUM(F2674:F2676)</f>
        <v>4006</v>
      </c>
    </row>
    <row r="2677" spans="1:7" s="145" customFormat="1" ht="15.6" customHeight="1">
      <c r="A2677" s="1119" t="s">
        <v>25</v>
      </c>
      <c r="B2677" s="1120"/>
      <c r="C2677" s="1120"/>
      <c r="D2677" s="1120"/>
      <c r="E2677" s="1120"/>
      <c r="F2677" s="1120"/>
      <c r="G2677" s="1121"/>
    </row>
    <row r="2678" spans="1:7" s="145" customFormat="1" ht="15.75" customHeight="1">
      <c r="A2678" s="1122"/>
      <c r="B2678" s="1120"/>
      <c r="C2678" s="1120"/>
      <c r="D2678" s="1120"/>
      <c r="E2678" s="1120"/>
      <c r="F2678" s="1120"/>
      <c r="G2678" s="157">
        <f>G2676+G2672+G2668+G2659</f>
        <v>44346.177855000002</v>
      </c>
    </row>
    <row r="2679" spans="1:7" s="145" customFormat="1" ht="13.8">
      <c r="A2679" s="158"/>
      <c r="B2679" s="159"/>
      <c r="C2679" s="159"/>
      <c r="D2679" s="159"/>
      <c r="E2679" s="159"/>
      <c r="F2679" s="159"/>
      <c r="G2679" s="160"/>
    </row>
    <row r="2680" spans="1:7" s="145" customFormat="1" ht="15.75" customHeight="1">
      <c r="A2680" s="1123" t="s">
        <v>1</v>
      </c>
      <c r="B2680" s="1120"/>
      <c r="C2680" s="953" t="s">
        <v>594</v>
      </c>
      <c r="D2680" s="1125"/>
      <c r="E2680" s="1125"/>
      <c r="F2680" s="1125"/>
      <c r="G2680" s="1126"/>
    </row>
    <row r="2681" spans="1:7" s="145" customFormat="1" ht="15.75" customHeight="1">
      <c r="A2681" s="1124"/>
      <c r="B2681" s="1120"/>
      <c r="C2681" s="1125"/>
      <c r="D2681" s="1125"/>
      <c r="E2681" s="1125"/>
      <c r="F2681" s="1125"/>
      <c r="G2681" s="1126"/>
    </row>
    <row r="2682" spans="1:7" s="145" customFormat="1" ht="15.75" customHeight="1">
      <c r="A2682" s="1124"/>
      <c r="B2682" s="1120"/>
      <c r="C2682" s="1127" t="s">
        <v>609</v>
      </c>
      <c r="D2682" s="1120"/>
      <c r="E2682" s="1120"/>
      <c r="F2682" s="1120"/>
      <c r="G2682" s="1121"/>
    </row>
    <row r="2683" spans="1:7" s="145" customFormat="1" ht="15.75" customHeight="1">
      <c r="A2683" s="1124"/>
      <c r="B2683" s="1120"/>
      <c r="C2683" s="1128" t="s">
        <v>2</v>
      </c>
      <c r="D2683" s="1120"/>
      <c r="E2683" s="1120"/>
      <c r="F2683" s="146" t="s">
        <v>3</v>
      </c>
      <c r="G2683" s="147" t="s">
        <v>4</v>
      </c>
    </row>
    <row r="2684" spans="1:7" s="145" customFormat="1" ht="34.5" customHeight="1">
      <c r="A2684" s="1073" t="s">
        <v>793</v>
      </c>
      <c r="B2684" s="1115"/>
      <c r="C2684" s="980" t="s">
        <v>2761</v>
      </c>
      <c r="D2684" s="1115"/>
      <c r="E2684" s="1115"/>
      <c r="F2684" s="162" t="s">
        <v>28</v>
      </c>
      <c r="G2684" s="52">
        <v>1</v>
      </c>
    </row>
    <row r="2685" spans="1:7" s="145" customFormat="1" ht="15.75" customHeight="1">
      <c r="A2685" s="1114" t="s">
        <v>5</v>
      </c>
      <c r="B2685" s="1115"/>
      <c r="C2685" s="1115"/>
      <c r="D2685" s="1115"/>
      <c r="E2685" s="1115"/>
      <c r="F2685" s="1115"/>
      <c r="G2685" s="1116"/>
    </row>
    <row r="2686" spans="1:7" s="150" customFormat="1" ht="15.75" customHeight="1">
      <c r="A2686" s="1074" t="s">
        <v>2</v>
      </c>
      <c r="B2686" s="1115"/>
      <c r="C2686" s="53" t="s">
        <v>3</v>
      </c>
      <c r="D2686" s="53" t="s">
        <v>4</v>
      </c>
      <c r="E2686" s="53" t="s">
        <v>6</v>
      </c>
      <c r="F2686" s="53" t="s">
        <v>7</v>
      </c>
      <c r="G2686" s="1075" t="s">
        <v>8</v>
      </c>
    </row>
    <row r="2687" spans="1:7" s="150" customFormat="1" ht="15.75" customHeight="1">
      <c r="A2687" s="947" t="s">
        <v>167</v>
      </c>
      <c r="B2687" s="1115"/>
      <c r="C2687" s="51" t="s">
        <v>3</v>
      </c>
      <c r="D2687" s="51">
        <v>0.05</v>
      </c>
      <c r="E2687" s="17">
        <f>G2701</f>
        <v>10015</v>
      </c>
      <c r="F2687" s="55">
        <f>D2687*E2687</f>
        <v>500.75</v>
      </c>
      <c r="G2687" s="1116"/>
    </row>
    <row r="2688" spans="1:7" s="145" customFormat="1" ht="15.75" customHeight="1">
      <c r="A2688" s="943"/>
      <c r="B2688" s="1115"/>
      <c r="C2688" s="51"/>
      <c r="D2688" s="51"/>
      <c r="E2688" s="51"/>
      <c r="F2688" s="55"/>
      <c r="G2688" s="57">
        <f>SUM(F2686:F2688)</f>
        <v>500.75</v>
      </c>
    </row>
    <row r="2689" spans="1:7" s="145" customFormat="1" ht="15.75" customHeight="1">
      <c r="A2689" s="1114" t="s">
        <v>10</v>
      </c>
      <c r="B2689" s="1115"/>
      <c r="C2689" s="1115"/>
      <c r="D2689" s="1115"/>
      <c r="E2689" s="1115"/>
      <c r="F2689" s="1115"/>
      <c r="G2689" s="1116"/>
    </row>
    <row r="2690" spans="1:7" s="145" customFormat="1" ht="15.75" customHeight="1">
      <c r="A2690" s="1074" t="s">
        <v>2</v>
      </c>
      <c r="B2690" s="1115"/>
      <c r="C2690" s="53" t="s">
        <v>3</v>
      </c>
      <c r="D2690" s="53" t="s">
        <v>4</v>
      </c>
      <c r="E2690" s="53" t="s">
        <v>6</v>
      </c>
      <c r="F2690" s="53" t="s">
        <v>11</v>
      </c>
      <c r="G2690" s="1075" t="s">
        <v>8</v>
      </c>
    </row>
    <row r="2691" spans="1:7" s="145" customFormat="1" ht="15.75" customHeight="1">
      <c r="A2691" s="947" t="s">
        <v>612</v>
      </c>
      <c r="B2691" s="1115"/>
      <c r="C2691" s="51" t="s">
        <v>3</v>
      </c>
      <c r="D2691" s="148">
        <v>10</v>
      </c>
      <c r="E2691" s="17">
        <f>+'INSUMOS ELÉCTRICOS'!E126</f>
        <v>348.66999999999996</v>
      </c>
      <c r="F2691" s="55">
        <f>D2691*E2691</f>
        <v>3486.7</v>
      </c>
      <c r="G2691" s="1075"/>
    </row>
    <row r="2692" spans="1:7" s="145" customFormat="1" ht="15.75" customHeight="1">
      <c r="A2692" s="947" t="s">
        <v>635</v>
      </c>
      <c r="B2692" s="1115"/>
      <c r="C2692" s="51" t="s">
        <v>3</v>
      </c>
      <c r="D2692" s="148">
        <v>1</v>
      </c>
      <c r="E2692" s="17">
        <f>+'INSUMOS ELÉCTRICOS'!E54</f>
        <v>67400.41</v>
      </c>
      <c r="F2692" s="55">
        <f>D2692*E2692</f>
        <v>67400.41</v>
      </c>
      <c r="G2692" s="1075"/>
    </row>
    <row r="2693" spans="1:7" s="145" customFormat="1" ht="15.75" customHeight="1">
      <c r="A2693" s="947"/>
      <c r="B2693" s="1115"/>
      <c r="C2693" s="16"/>
      <c r="D2693" s="58"/>
      <c r="E2693" s="17"/>
      <c r="F2693" s="55"/>
      <c r="G2693" s="57">
        <f>SUM(F2690:F2693)</f>
        <v>70887.11</v>
      </c>
    </row>
    <row r="2694" spans="1:7" s="145" customFormat="1" ht="15.75" customHeight="1">
      <c r="A2694" s="1114" t="s">
        <v>15</v>
      </c>
      <c r="B2694" s="1115"/>
      <c r="C2694" s="1115"/>
      <c r="D2694" s="1115"/>
      <c r="E2694" s="1115"/>
      <c r="F2694" s="1115"/>
      <c r="G2694" s="1116"/>
    </row>
    <row r="2695" spans="1:7" s="145" customFormat="1" ht="15.75" customHeight="1">
      <c r="A2695" s="1074" t="s">
        <v>2</v>
      </c>
      <c r="B2695" s="1115"/>
      <c r="C2695" s="53" t="s">
        <v>3</v>
      </c>
      <c r="D2695" s="53" t="s">
        <v>4</v>
      </c>
      <c r="E2695" s="53" t="s">
        <v>6</v>
      </c>
      <c r="F2695" s="53" t="s">
        <v>11</v>
      </c>
      <c r="G2695" s="1075" t="s">
        <v>8</v>
      </c>
    </row>
    <row r="2696" spans="1:7" s="145" customFormat="1" ht="15.75" customHeight="1">
      <c r="A2696" s="943" t="s">
        <v>173</v>
      </c>
      <c r="B2696" s="1115"/>
      <c r="C2696" s="16" t="s">
        <v>3</v>
      </c>
      <c r="D2696" s="16">
        <v>0.01</v>
      </c>
      <c r="E2696" s="17">
        <f>G2693</f>
        <v>70887.11</v>
      </c>
      <c r="F2696" s="55">
        <f>D2696*E2696</f>
        <v>708.87110000000007</v>
      </c>
      <c r="G2696" s="1116"/>
    </row>
    <row r="2697" spans="1:7" s="145" customFormat="1" ht="15.75" customHeight="1">
      <c r="A2697" s="151"/>
      <c r="B2697" s="152"/>
      <c r="C2697" s="152"/>
      <c r="D2697" s="152"/>
      <c r="E2697" s="152"/>
      <c r="F2697" s="152"/>
      <c r="G2697" s="57">
        <f>SUM(F2696:F2697)</f>
        <v>708.87110000000007</v>
      </c>
    </row>
    <row r="2698" spans="1:7" s="145" customFormat="1" ht="15.75" customHeight="1">
      <c r="A2698" s="1114" t="s">
        <v>19</v>
      </c>
      <c r="B2698" s="1115"/>
      <c r="C2698" s="1115"/>
      <c r="D2698" s="1115"/>
      <c r="E2698" s="1115"/>
      <c r="F2698" s="1115"/>
      <c r="G2698" s="1116"/>
    </row>
    <row r="2699" spans="1:7" s="2" customFormat="1" ht="15.75" customHeight="1">
      <c r="A2699" s="1074" t="s">
        <v>2</v>
      </c>
      <c r="B2699" s="1115"/>
      <c r="C2699" s="53" t="s">
        <v>3</v>
      </c>
      <c r="D2699" s="53" t="s">
        <v>4</v>
      </c>
      <c r="E2699" s="53" t="s">
        <v>6</v>
      </c>
      <c r="F2699" s="53" t="s">
        <v>11</v>
      </c>
      <c r="G2699" s="1075" t="s">
        <v>8</v>
      </c>
    </row>
    <row r="2700" spans="1:7" s="145" customFormat="1" ht="15.75" customHeight="1">
      <c r="A2700" s="978" t="s">
        <v>1256</v>
      </c>
      <c r="B2700" s="979"/>
      <c r="C2700" s="13" t="s">
        <v>1245</v>
      </c>
      <c r="D2700" s="32">
        <v>0.5</v>
      </c>
      <c r="E2700" s="13">
        <v>20030</v>
      </c>
      <c r="F2700" s="55">
        <f>+D2700*E2700</f>
        <v>10015</v>
      </c>
      <c r="G2700" s="1116"/>
    </row>
    <row r="2701" spans="1:7" s="145" customFormat="1" ht="15.75" customHeight="1">
      <c r="A2701" s="155"/>
      <c r="B2701" s="156"/>
      <c r="C2701" s="156"/>
      <c r="D2701" s="156"/>
      <c r="E2701" s="156"/>
      <c r="F2701" s="156"/>
      <c r="G2701" s="57">
        <f>SUM(F2699:F2701)</f>
        <v>10015</v>
      </c>
    </row>
    <row r="2702" spans="1:7" s="145" customFormat="1" ht="15.75" customHeight="1">
      <c r="A2702" s="1119" t="s">
        <v>25</v>
      </c>
      <c r="B2702" s="1120"/>
      <c r="C2702" s="1120"/>
      <c r="D2702" s="1120"/>
      <c r="E2702" s="1120"/>
      <c r="F2702" s="1120"/>
      <c r="G2702" s="1121"/>
    </row>
    <row r="2703" spans="1:7" s="145" customFormat="1" ht="15" customHeight="1">
      <c r="A2703" s="1122"/>
      <c r="B2703" s="1120"/>
      <c r="C2703" s="1120"/>
      <c r="D2703" s="1120"/>
      <c r="E2703" s="1120"/>
      <c r="F2703" s="1120"/>
      <c r="G2703" s="157">
        <f>G2701+G2697+G2693+G2688</f>
        <v>82111.731100000005</v>
      </c>
    </row>
    <row r="2704" spans="1:7" s="145" customFormat="1" ht="15.75" customHeight="1">
      <c r="A2704" s="158"/>
      <c r="B2704" s="159"/>
      <c r="C2704" s="159"/>
      <c r="D2704" s="159"/>
      <c r="E2704" s="159"/>
      <c r="F2704" s="159"/>
      <c r="G2704" s="160"/>
    </row>
    <row r="2705" spans="1:7" s="145" customFormat="1" ht="15.6" customHeight="1">
      <c r="A2705" s="1123" t="s">
        <v>1</v>
      </c>
      <c r="B2705" s="1120"/>
      <c r="C2705" s="953" t="s">
        <v>594</v>
      </c>
      <c r="D2705" s="1125"/>
      <c r="E2705" s="1125"/>
      <c r="F2705" s="1125"/>
      <c r="G2705" s="1126"/>
    </row>
    <row r="2706" spans="1:7" s="145" customFormat="1" ht="15.75" customHeight="1">
      <c r="A2706" s="1124"/>
      <c r="B2706" s="1120"/>
      <c r="C2706" s="1125"/>
      <c r="D2706" s="1125"/>
      <c r="E2706" s="1125"/>
      <c r="F2706" s="1125"/>
      <c r="G2706" s="1126"/>
    </row>
    <row r="2707" spans="1:7" s="145" customFormat="1" ht="17.399999999999999">
      <c r="A2707" s="1124"/>
      <c r="B2707" s="1120"/>
      <c r="C2707" s="1127" t="s">
        <v>703</v>
      </c>
      <c r="D2707" s="1120"/>
      <c r="E2707" s="1120"/>
      <c r="F2707" s="1120"/>
      <c r="G2707" s="1121"/>
    </row>
    <row r="2708" spans="1:7" s="145" customFormat="1" ht="15.75" customHeight="1">
      <c r="A2708" s="1124"/>
      <c r="B2708" s="1120"/>
      <c r="C2708" s="1128" t="s">
        <v>2</v>
      </c>
      <c r="D2708" s="1120"/>
      <c r="E2708" s="1120"/>
      <c r="F2708" s="146" t="s">
        <v>3</v>
      </c>
      <c r="G2708" s="147" t="s">
        <v>4</v>
      </c>
    </row>
    <row r="2709" spans="1:7" s="145" customFormat="1" ht="54" customHeight="1">
      <c r="A2709" s="1073" t="s">
        <v>794</v>
      </c>
      <c r="B2709" s="1115"/>
      <c r="C2709" s="980" t="s">
        <v>705</v>
      </c>
      <c r="D2709" s="980"/>
      <c r="E2709" s="980"/>
      <c r="F2709" s="162" t="s">
        <v>45</v>
      </c>
      <c r="G2709" s="52">
        <v>1</v>
      </c>
    </row>
    <row r="2710" spans="1:7" s="145" customFormat="1" ht="15.75" customHeight="1">
      <c r="A2710" s="1114" t="s">
        <v>5</v>
      </c>
      <c r="B2710" s="1115"/>
      <c r="C2710" s="1115"/>
      <c r="D2710" s="1115"/>
      <c r="E2710" s="1115"/>
      <c r="F2710" s="1115"/>
      <c r="G2710" s="1116"/>
    </row>
    <row r="2711" spans="1:7" s="145" customFormat="1" ht="15.75" customHeight="1">
      <c r="A2711" s="1074" t="s">
        <v>2</v>
      </c>
      <c r="B2711" s="1115"/>
      <c r="C2711" s="53" t="s">
        <v>3</v>
      </c>
      <c r="D2711" s="53" t="s">
        <v>4</v>
      </c>
      <c r="E2711" s="53" t="s">
        <v>6</v>
      </c>
      <c r="F2711" s="53" t="s">
        <v>7</v>
      </c>
      <c r="G2711" s="1075" t="s">
        <v>8</v>
      </c>
    </row>
    <row r="2712" spans="1:7" s="145" customFormat="1" ht="15.75" customHeight="1">
      <c r="A2712" s="947" t="s">
        <v>167</v>
      </c>
      <c r="B2712" s="1115"/>
      <c r="C2712" s="51" t="s">
        <v>3</v>
      </c>
      <c r="D2712" s="51">
        <v>0.05</v>
      </c>
      <c r="E2712" s="17">
        <f>G2726</f>
        <v>2003</v>
      </c>
      <c r="F2712" s="55">
        <f>D2712*E2712</f>
        <v>100.15</v>
      </c>
      <c r="G2712" s="1116"/>
    </row>
    <row r="2713" spans="1:7" s="145" customFormat="1" ht="15.75" customHeight="1">
      <c r="A2713" s="943"/>
      <c r="B2713" s="1115"/>
      <c r="C2713" s="51"/>
      <c r="D2713" s="51"/>
      <c r="E2713" s="51"/>
      <c r="F2713" s="55"/>
      <c r="G2713" s="57">
        <f>SUM(F2711:F2713)</f>
        <v>100.15</v>
      </c>
    </row>
    <row r="2714" spans="1:7" s="150" customFormat="1" ht="15.75" customHeight="1">
      <c r="A2714" s="1114" t="s">
        <v>10</v>
      </c>
      <c r="B2714" s="1115"/>
      <c r="C2714" s="1115"/>
      <c r="D2714" s="1115"/>
      <c r="E2714" s="1115"/>
      <c r="F2714" s="1115"/>
      <c r="G2714" s="1116"/>
    </row>
    <row r="2715" spans="1:7" s="145" customFormat="1" ht="15.75" customHeight="1">
      <c r="A2715" s="1074" t="s">
        <v>2</v>
      </c>
      <c r="B2715" s="1115"/>
      <c r="C2715" s="53" t="s">
        <v>3</v>
      </c>
      <c r="D2715" s="53" t="s">
        <v>4</v>
      </c>
      <c r="E2715" s="53" t="s">
        <v>6</v>
      </c>
      <c r="F2715" s="53" t="s">
        <v>11</v>
      </c>
      <c r="G2715" s="1075" t="s">
        <v>8</v>
      </c>
    </row>
    <row r="2716" spans="1:7" s="145" customFormat="1" ht="15.75" customHeight="1">
      <c r="A2716" s="1117" t="s">
        <v>706</v>
      </c>
      <c r="B2716" s="1118"/>
      <c r="C2716" s="148" t="s">
        <v>3</v>
      </c>
      <c r="D2716" s="148">
        <v>1</v>
      </c>
      <c r="E2716" s="631">
        <f>+'INSUMOS ELÉCTRICOS'!E90</f>
        <v>4736.2</v>
      </c>
      <c r="F2716" s="55">
        <f>D2716*E2716</f>
        <v>4736.2</v>
      </c>
      <c r="G2716" s="1075"/>
    </row>
    <row r="2717" spans="1:7" s="145" customFormat="1" ht="15.75" customHeight="1">
      <c r="A2717" s="1117" t="s">
        <v>707</v>
      </c>
      <c r="B2717" s="1118"/>
      <c r="C2717" s="148" t="s">
        <v>622</v>
      </c>
      <c r="D2717" s="148">
        <v>0.01</v>
      </c>
      <c r="E2717" s="17">
        <f>+'INSUMOS ELÉCTRICOS'!E91</f>
        <v>6000</v>
      </c>
      <c r="F2717" s="55">
        <f>D2717*E2717</f>
        <v>60</v>
      </c>
      <c r="G2717" s="1075"/>
    </row>
    <row r="2718" spans="1:7" s="145" customFormat="1" ht="15.75" customHeight="1">
      <c r="A2718" s="947"/>
      <c r="B2718" s="1115"/>
      <c r="C2718" s="16"/>
      <c r="D2718" s="58"/>
      <c r="E2718" s="17"/>
      <c r="F2718" s="55"/>
      <c r="G2718" s="57">
        <f>SUM(F2715:F2718)</f>
        <v>4796.2</v>
      </c>
    </row>
    <row r="2719" spans="1:7" s="145" customFormat="1" ht="15.75" customHeight="1">
      <c r="A2719" s="1114" t="s">
        <v>15</v>
      </c>
      <c r="B2719" s="1115"/>
      <c r="C2719" s="1115"/>
      <c r="D2719" s="1115"/>
      <c r="E2719" s="1115"/>
      <c r="F2719" s="1115"/>
      <c r="G2719" s="1116"/>
    </row>
    <row r="2720" spans="1:7" s="145" customFormat="1" ht="15.75" customHeight="1">
      <c r="A2720" s="1074" t="s">
        <v>2</v>
      </c>
      <c r="B2720" s="1115"/>
      <c r="C2720" s="53" t="s">
        <v>3</v>
      </c>
      <c r="D2720" s="53" t="s">
        <v>4</v>
      </c>
      <c r="E2720" s="53" t="s">
        <v>6</v>
      </c>
      <c r="F2720" s="53" t="s">
        <v>11</v>
      </c>
      <c r="G2720" s="1075" t="s">
        <v>8</v>
      </c>
    </row>
    <row r="2721" spans="1:7" s="145" customFormat="1" ht="15.75" customHeight="1">
      <c r="A2721" s="943" t="s">
        <v>173</v>
      </c>
      <c r="B2721" s="1115"/>
      <c r="C2721" s="16" t="s">
        <v>3</v>
      </c>
      <c r="D2721" s="16">
        <v>0.05</v>
      </c>
      <c r="E2721" s="631">
        <f>G2718</f>
        <v>4796.2</v>
      </c>
      <c r="F2721" s="55">
        <f>D2721*E2721</f>
        <v>239.81</v>
      </c>
      <c r="G2721" s="1116"/>
    </row>
    <row r="2722" spans="1:7" s="145" customFormat="1" ht="15.75" customHeight="1">
      <c r="A2722" s="151"/>
      <c r="B2722" s="152"/>
      <c r="C2722" s="152"/>
      <c r="D2722" s="152"/>
      <c r="E2722" s="152"/>
      <c r="F2722" s="152"/>
      <c r="G2722" s="57">
        <f>SUM(F2721:F2722)</f>
        <v>239.81</v>
      </c>
    </row>
    <row r="2723" spans="1:7" s="145" customFormat="1" ht="15.75" customHeight="1">
      <c r="A2723" s="1114" t="s">
        <v>19</v>
      </c>
      <c r="B2723" s="1115"/>
      <c r="C2723" s="1115"/>
      <c r="D2723" s="1115"/>
      <c r="E2723" s="1115"/>
      <c r="F2723" s="1115"/>
      <c r="G2723" s="1116"/>
    </row>
    <row r="2724" spans="1:7" s="145" customFormat="1" ht="15.75" customHeight="1">
      <c r="A2724" s="1074" t="s">
        <v>2</v>
      </c>
      <c r="B2724" s="1115"/>
      <c r="C2724" s="53" t="s">
        <v>3</v>
      </c>
      <c r="D2724" s="53" t="s">
        <v>4</v>
      </c>
      <c r="E2724" s="53" t="s">
        <v>6</v>
      </c>
      <c r="F2724" s="53" t="s">
        <v>11</v>
      </c>
      <c r="G2724" s="1075" t="s">
        <v>8</v>
      </c>
    </row>
    <row r="2725" spans="1:7" s="145" customFormat="1" ht="15.75" customHeight="1">
      <c r="A2725" s="978" t="s">
        <v>1256</v>
      </c>
      <c r="B2725" s="979"/>
      <c r="C2725" s="13" t="s">
        <v>1245</v>
      </c>
      <c r="D2725" s="32">
        <v>0.1</v>
      </c>
      <c r="E2725" s="13">
        <v>20030</v>
      </c>
      <c r="F2725" s="55">
        <f>+D2725*E2725</f>
        <v>2003</v>
      </c>
      <c r="G2725" s="1116"/>
    </row>
    <row r="2726" spans="1:7" s="145" customFormat="1" ht="15.75" customHeight="1">
      <c r="A2726" s="155"/>
      <c r="B2726" s="156"/>
      <c r="C2726" s="156"/>
      <c r="D2726" s="156"/>
      <c r="E2726" s="156"/>
      <c r="F2726" s="156"/>
      <c r="G2726" s="57">
        <f>SUM(F2724:F2726)</f>
        <v>2003</v>
      </c>
    </row>
    <row r="2727" spans="1:7" s="145" customFormat="1" ht="15.75" customHeight="1">
      <c r="A2727" s="1119" t="s">
        <v>25</v>
      </c>
      <c r="B2727" s="1120"/>
      <c r="C2727" s="1120"/>
      <c r="D2727" s="1120"/>
      <c r="E2727" s="1120"/>
      <c r="F2727" s="1120"/>
      <c r="G2727" s="1121"/>
    </row>
    <row r="2728" spans="1:7" s="145" customFormat="1" ht="15" customHeight="1">
      <c r="A2728" s="1122"/>
      <c r="B2728" s="1120"/>
      <c r="C2728" s="1120"/>
      <c r="D2728" s="1120"/>
      <c r="E2728" s="1120"/>
      <c r="F2728" s="1120"/>
      <c r="G2728" s="157">
        <f>G2726+G2722+G2718+G2713</f>
        <v>7139.16</v>
      </c>
    </row>
    <row r="2729" spans="1:7" s="145" customFormat="1" ht="15" customHeight="1">
      <c r="A2729" s="48"/>
      <c r="B2729" s="49"/>
      <c r="C2729" s="49"/>
      <c r="D2729" s="49"/>
      <c r="E2729" s="49"/>
      <c r="F2729" s="49"/>
      <c r="G2729" s="50"/>
    </row>
    <row r="2730" spans="1:7" s="145" customFormat="1" ht="15" customHeight="1">
      <c r="A2730" s="1123" t="s">
        <v>1</v>
      </c>
      <c r="B2730" s="1120"/>
      <c r="C2730" s="953" t="s">
        <v>594</v>
      </c>
      <c r="D2730" s="1125"/>
      <c r="E2730" s="1125"/>
      <c r="F2730" s="1125"/>
      <c r="G2730" s="1126"/>
    </row>
    <row r="2731" spans="1:7" s="145" customFormat="1" ht="15" customHeight="1">
      <c r="A2731" s="1124"/>
      <c r="B2731" s="1120"/>
      <c r="C2731" s="1125"/>
      <c r="D2731" s="1125"/>
      <c r="E2731" s="1125"/>
      <c r="F2731" s="1125"/>
      <c r="G2731" s="1126"/>
    </row>
    <row r="2732" spans="1:7" s="145" customFormat="1" ht="15" customHeight="1">
      <c r="A2732" s="1124"/>
      <c r="B2732" s="1120"/>
      <c r="C2732" s="1127" t="s">
        <v>703</v>
      </c>
      <c r="D2732" s="1120"/>
      <c r="E2732" s="1120"/>
      <c r="F2732" s="1120"/>
      <c r="G2732" s="1121"/>
    </row>
    <row r="2733" spans="1:7" s="145" customFormat="1" ht="66" customHeight="1">
      <c r="A2733" s="1124"/>
      <c r="B2733" s="1120"/>
      <c r="C2733" s="1128" t="s">
        <v>2</v>
      </c>
      <c r="D2733" s="1120"/>
      <c r="E2733" s="1120"/>
      <c r="F2733" s="146" t="s">
        <v>3</v>
      </c>
      <c r="G2733" s="147" t="s">
        <v>4</v>
      </c>
    </row>
    <row r="2734" spans="1:7" s="145" customFormat="1" ht="66.75" customHeight="1">
      <c r="A2734" s="1073" t="s">
        <v>795</v>
      </c>
      <c r="B2734" s="1115"/>
      <c r="C2734" s="980" t="s">
        <v>796</v>
      </c>
      <c r="D2734" s="980"/>
      <c r="E2734" s="980"/>
      <c r="F2734" s="162" t="s">
        <v>28</v>
      </c>
      <c r="G2734" s="52">
        <v>1</v>
      </c>
    </row>
    <row r="2735" spans="1:7" s="145" customFormat="1" ht="15" customHeight="1">
      <c r="A2735" s="1114" t="s">
        <v>5</v>
      </c>
      <c r="B2735" s="1115"/>
      <c r="C2735" s="1115"/>
      <c r="D2735" s="1115"/>
      <c r="E2735" s="1115"/>
      <c r="F2735" s="1115"/>
      <c r="G2735" s="1116"/>
    </row>
    <row r="2736" spans="1:7" s="145" customFormat="1" ht="15" customHeight="1">
      <c r="A2736" s="1074" t="s">
        <v>2</v>
      </c>
      <c r="B2736" s="1115"/>
      <c r="C2736" s="53" t="s">
        <v>3</v>
      </c>
      <c r="D2736" s="53" t="s">
        <v>4</v>
      </c>
      <c r="E2736" s="53" t="s">
        <v>6</v>
      </c>
      <c r="F2736" s="53" t="s">
        <v>7</v>
      </c>
      <c r="G2736" s="1075" t="s">
        <v>8</v>
      </c>
    </row>
    <row r="2737" spans="1:7" s="145" customFormat="1" ht="15" customHeight="1">
      <c r="A2737" s="947" t="s">
        <v>167</v>
      </c>
      <c r="B2737" s="1115"/>
      <c r="C2737" s="51" t="s">
        <v>3</v>
      </c>
      <c r="D2737" s="51">
        <v>0.05</v>
      </c>
      <c r="E2737" s="17">
        <f>G2754</f>
        <v>20030</v>
      </c>
      <c r="F2737" s="55">
        <f>D2737*E2737</f>
        <v>1001.5</v>
      </c>
      <c r="G2737" s="1116"/>
    </row>
    <row r="2738" spans="1:7" s="145" customFormat="1" ht="15" customHeight="1">
      <c r="A2738" s="943"/>
      <c r="B2738" s="1115"/>
      <c r="C2738" s="51"/>
      <c r="D2738" s="51"/>
      <c r="E2738" s="51"/>
      <c r="F2738" s="55"/>
      <c r="G2738" s="57">
        <f>SUM(F2736:F2738)</f>
        <v>1001.5</v>
      </c>
    </row>
    <row r="2739" spans="1:7" s="145" customFormat="1" ht="15" customHeight="1">
      <c r="A2739" s="1114" t="s">
        <v>10</v>
      </c>
      <c r="B2739" s="1115"/>
      <c r="C2739" s="1115"/>
      <c r="D2739" s="1115"/>
      <c r="E2739" s="1115"/>
      <c r="F2739" s="1115"/>
      <c r="G2739" s="1116"/>
    </row>
    <row r="2740" spans="1:7" s="145" customFormat="1" ht="15" customHeight="1">
      <c r="A2740" s="1074" t="s">
        <v>2</v>
      </c>
      <c r="B2740" s="1115"/>
      <c r="C2740" s="53" t="s">
        <v>3</v>
      </c>
      <c r="D2740" s="53" t="s">
        <v>4</v>
      </c>
      <c r="E2740" s="53" t="s">
        <v>6</v>
      </c>
      <c r="F2740" s="53" t="s">
        <v>11</v>
      </c>
      <c r="G2740" s="1075" t="s">
        <v>8</v>
      </c>
    </row>
    <row r="2741" spans="1:7" s="145" customFormat="1" ht="15" customHeight="1">
      <c r="A2741" s="1117" t="s">
        <v>673</v>
      </c>
      <c r="B2741" s="1118"/>
      <c r="C2741" s="148" t="s">
        <v>3</v>
      </c>
      <c r="D2741" s="148">
        <v>1</v>
      </c>
      <c r="E2741" s="17">
        <f>+'INSUMOS ELÉCTRICOS'!E53</f>
        <v>20000</v>
      </c>
      <c r="F2741" s="55">
        <f>D2741*E2741</f>
        <v>20000</v>
      </c>
      <c r="G2741" s="1075"/>
    </row>
    <row r="2742" spans="1:7" s="145" customFormat="1" ht="15" customHeight="1">
      <c r="A2742" s="1117" t="s">
        <v>612</v>
      </c>
      <c r="B2742" s="1118"/>
      <c r="C2742" s="148" t="s">
        <v>3</v>
      </c>
      <c r="D2742" s="148">
        <v>2</v>
      </c>
      <c r="E2742" s="17">
        <f>+'INSUMOS ELÉCTRICOS'!E126</f>
        <v>348.66999999999996</v>
      </c>
      <c r="F2742" s="55">
        <f>D2742*E2742</f>
        <v>697.33999999999992</v>
      </c>
      <c r="G2742" s="1075"/>
    </row>
    <row r="2743" spans="1:7" s="145" customFormat="1" ht="15" customHeight="1">
      <c r="A2743" s="1117" t="s">
        <v>710</v>
      </c>
      <c r="B2743" s="1118"/>
      <c r="C2743" s="148" t="s">
        <v>3</v>
      </c>
      <c r="D2743" s="148">
        <v>1</v>
      </c>
      <c r="E2743" s="17">
        <f>+'INSUMOS ELÉCTRICOS'!E182</f>
        <v>52700</v>
      </c>
      <c r="F2743" s="55">
        <f>D2743*E2743</f>
        <v>52700</v>
      </c>
      <c r="G2743" s="61"/>
    </row>
    <row r="2744" spans="1:7" s="145" customFormat="1" ht="15.75" customHeight="1">
      <c r="A2744" s="1117" t="s">
        <v>711</v>
      </c>
      <c r="B2744" s="1118"/>
      <c r="C2744" s="148" t="s">
        <v>3</v>
      </c>
      <c r="D2744" s="148">
        <v>1</v>
      </c>
      <c r="E2744" s="17">
        <f>+'INSUMOS ELÉCTRICOS'!E52</f>
        <v>2000</v>
      </c>
      <c r="F2744" s="55">
        <f>D2744*E2744</f>
        <v>2000</v>
      </c>
      <c r="G2744" s="164"/>
    </row>
    <row r="2745" spans="1:7" s="145" customFormat="1" ht="15" customHeight="1">
      <c r="A2745" s="1117" t="s">
        <v>712</v>
      </c>
      <c r="B2745" s="1118"/>
      <c r="C2745" s="148" t="s">
        <v>3</v>
      </c>
      <c r="D2745" s="148">
        <v>1</v>
      </c>
      <c r="E2745" s="17">
        <f>+'INSUMOS ELÉCTRICOS'!E94</f>
        <v>8330</v>
      </c>
      <c r="F2745" s="55">
        <f>D2745*E2745</f>
        <v>8330</v>
      </c>
      <c r="G2745" s="61"/>
    </row>
    <row r="2746" spans="1:7" s="145" customFormat="1" ht="15" customHeight="1">
      <c r="A2746" s="947"/>
      <c r="B2746" s="1115"/>
      <c r="C2746" s="16"/>
      <c r="D2746" s="58"/>
      <c r="E2746" s="17"/>
      <c r="F2746" s="55"/>
      <c r="G2746" s="57">
        <f>SUM(F2740:F2746)</f>
        <v>83727.34</v>
      </c>
    </row>
    <row r="2747" spans="1:7" s="145" customFormat="1" ht="15" customHeight="1">
      <c r="A2747" s="1114" t="s">
        <v>15</v>
      </c>
      <c r="B2747" s="1115"/>
      <c r="C2747" s="1115"/>
      <c r="D2747" s="1115"/>
      <c r="E2747" s="1115"/>
      <c r="F2747" s="1115"/>
      <c r="G2747" s="1116"/>
    </row>
    <row r="2748" spans="1:7" s="145" customFormat="1" ht="15.75" customHeight="1">
      <c r="A2748" s="1074" t="s">
        <v>2</v>
      </c>
      <c r="B2748" s="1115"/>
      <c r="C2748" s="53" t="s">
        <v>3</v>
      </c>
      <c r="D2748" s="53" t="s">
        <v>4</v>
      </c>
      <c r="E2748" s="53" t="s">
        <v>6</v>
      </c>
      <c r="F2748" s="53" t="s">
        <v>11</v>
      </c>
      <c r="G2748" s="1075" t="s">
        <v>8</v>
      </c>
    </row>
    <row r="2749" spans="1:7" s="145" customFormat="1" ht="15" customHeight="1">
      <c r="A2749" s="943" t="s">
        <v>173</v>
      </c>
      <c r="B2749" s="1115"/>
      <c r="C2749" s="16" t="s">
        <v>3</v>
      </c>
      <c r="D2749" s="16">
        <v>0.01</v>
      </c>
      <c r="E2749" s="17">
        <f>G2746</f>
        <v>83727.34</v>
      </c>
      <c r="F2749" s="55">
        <f>D2749*E2749</f>
        <v>837.27340000000004</v>
      </c>
      <c r="G2749" s="1116"/>
    </row>
    <row r="2750" spans="1:7" s="145" customFormat="1" ht="15" customHeight="1">
      <c r="A2750" s="151"/>
      <c r="B2750" s="152"/>
      <c r="C2750" s="152"/>
      <c r="D2750" s="152"/>
      <c r="E2750" s="152"/>
      <c r="F2750" s="152"/>
      <c r="G2750" s="57">
        <f>SUM(F2749:F2750)</f>
        <v>837.27340000000004</v>
      </c>
    </row>
    <row r="2751" spans="1:7" s="145" customFormat="1" ht="15" customHeight="1">
      <c r="A2751" s="1114" t="s">
        <v>19</v>
      </c>
      <c r="B2751" s="1115"/>
      <c r="C2751" s="1115"/>
      <c r="D2751" s="1115"/>
      <c r="E2751" s="1115"/>
      <c r="F2751" s="1115"/>
      <c r="G2751" s="1116"/>
    </row>
    <row r="2752" spans="1:7" s="145" customFormat="1" ht="15" customHeight="1">
      <c r="A2752" s="1074" t="s">
        <v>2</v>
      </c>
      <c r="B2752" s="1115"/>
      <c r="C2752" s="53" t="s">
        <v>3</v>
      </c>
      <c r="D2752" s="53" t="s">
        <v>4</v>
      </c>
      <c r="E2752" s="53" t="s">
        <v>6</v>
      </c>
      <c r="F2752" s="53" t="s">
        <v>11</v>
      </c>
      <c r="G2752" s="1075" t="s">
        <v>8</v>
      </c>
    </row>
    <row r="2753" spans="1:7" s="145" customFormat="1" ht="15" customHeight="1">
      <c r="A2753" s="978" t="s">
        <v>1256</v>
      </c>
      <c r="B2753" s="979"/>
      <c r="C2753" s="13" t="s">
        <v>1245</v>
      </c>
      <c r="D2753" s="32">
        <v>1</v>
      </c>
      <c r="E2753" s="13">
        <v>20030</v>
      </c>
      <c r="F2753" s="55">
        <f>+D2753*E2753</f>
        <v>20030</v>
      </c>
      <c r="G2753" s="1116"/>
    </row>
    <row r="2754" spans="1:7" s="145" customFormat="1" ht="15" customHeight="1">
      <c r="A2754" s="155"/>
      <c r="B2754" s="156"/>
      <c r="C2754" s="156"/>
      <c r="D2754" s="156"/>
      <c r="E2754" s="156"/>
      <c r="F2754" s="156"/>
      <c r="G2754" s="57">
        <f>SUM(F2752:F2754)</f>
        <v>20030</v>
      </c>
    </row>
    <row r="2755" spans="1:7" s="145" customFormat="1" ht="15" customHeight="1">
      <c r="A2755" s="1150" t="s">
        <v>25</v>
      </c>
      <c r="B2755" s="1151"/>
      <c r="C2755" s="1151"/>
      <c r="D2755" s="1151"/>
      <c r="E2755" s="1151"/>
      <c r="F2755" s="1151"/>
      <c r="G2755" s="1152"/>
    </row>
    <row r="2756" spans="1:7" s="145" customFormat="1" ht="15" customHeight="1">
      <c r="A2756" s="1153"/>
      <c r="B2756" s="1154"/>
      <c r="C2756" s="1154"/>
      <c r="D2756" s="1154"/>
      <c r="E2756" s="1154"/>
      <c r="F2756" s="1155"/>
      <c r="G2756" s="157">
        <f>G2738+G2746+G2750+G2754</f>
        <v>105596.1134</v>
      </c>
    </row>
    <row r="2757" spans="1:7" s="145" customFormat="1" ht="15" customHeight="1">
      <c r="A2757" s="158"/>
      <c r="B2757" s="159"/>
      <c r="C2757" s="159"/>
      <c r="D2757" s="159"/>
      <c r="E2757" s="159"/>
      <c r="F2757" s="159"/>
      <c r="G2757" s="160"/>
    </row>
    <row r="2758" spans="1:7" s="145" customFormat="1" ht="69" customHeight="1">
      <c r="A2758" s="1123" t="s">
        <v>1</v>
      </c>
      <c r="B2758" s="1120"/>
      <c r="C2758" s="953" t="s">
        <v>594</v>
      </c>
      <c r="D2758" s="1125"/>
      <c r="E2758" s="1125"/>
      <c r="F2758" s="1125"/>
      <c r="G2758" s="1126"/>
    </row>
    <row r="2759" spans="1:7" s="145" customFormat="1" ht="15.75" customHeight="1">
      <c r="A2759" s="1124"/>
      <c r="B2759" s="1120"/>
      <c r="C2759" s="1125"/>
      <c r="D2759" s="1125"/>
      <c r="E2759" s="1125"/>
      <c r="F2759" s="1125"/>
      <c r="G2759" s="1126"/>
    </row>
    <row r="2760" spans="1:7" s="145" customFormat="1" ht="15.75" customHeight="1">
      <c r="A2760" s="1124"/>
      <c r="B2760" s="1120"/>
      <c r="C2760" s="1127" t="s">
        <v>703</v>
      </c>
      <c r="D2760" s="1120"/>
      <c r="E2760" s="1120"/>
      <c r="F2760" s="1120"/>
      <c r="G2760" s="1121"/>
    </row>
    <row r="2761" spans="1:7" s="145" customFormat="1" ht="15.75" customHeight="1">
      <c r="A2761" s="1124"/>
      <c r="B2761" s="1120"/>
      <c r="C2761" s="1128" t="s">
        <v>2</v>
      </c>
      <c r="D2761" s="1120"/>
      <c r="E2761" s="1120"/>
      <c r="F2761" s="146" t="s">
        <v>3</v>
      </c>
      <c r="G2761" s="147" t="s">
        <v>4</v>
      </c>
    </row>
    <row r="2762" spans="1:7" s="145" customFormat="1" ht="49.5" customHeight="1">
      <c r="A2762" s="1073" t="s">
        <v>797</v>
      </c>
      <c r="B2762" s="1115"/>
      <c r="C2762" s="980" t="s">
        <v>714</v>
      </c>
      <c r="D2762" s="980"/>
      <c r="E2762" s="980"/>
      <c r="F2762" s="162" t="s">
        <v>28</v>
      </c>
      <c r="G2762" s="52">
        <v>1</v>
      </c>
    </row>
    <row r="2763" spans="1:7" s="145" customFormat="1" ht="15.75" customHeight="1">
      <c r="A2763" s="1114" t="s">
        <v>5</v>
      </c>
      <c r="B2763" s="1115"/>
      <c r="C2763" s="1115"/>
      <c r="D2763" s="1115"/>
      <c r="E2763" s="1115"/>
      <c r="F2763" s="1115"/>
      <c r="G2763" s="1116"/>
    </row>
    <row r="2764" spans="1:7" s="145" customFormat="1" ht="15.75" customHeight="1">
      <c r="A2764" s="1074" t="s">
        <v>2</v>
      </c>
      <c r="B2764" s="1115"/>
      <c r="C2764" s="53" t="s">
        <v>3</v>
      </c>
      <c r="D2764" s="53" t="s">
        <v>4</v>
      </c>
      <c r="E2764" s="53" t="s">
        <v>6</v>
      </c>
      <c r="F2764" s="53" t="s">
        <v>7</v>
      </c>
      <c r="G2764" s="1075" t="s">
        <v>8</v>
      </c>
    </row>
    <row r="2765" spans="1:7" s="145" customFormat="1" ht="15.75" customHeight="1">
      <c r="A2765" s="947" t="s">
        <v>167</v>
      </c>
      <c r="B2765" s="1115"/>
      <c r="C2765" s="51" t="s">
        <v>3</v>
      </c>
      <c r="D2765" s="51">
        <v>0.05</v>
      </c>
      <c r="E2765" s="17">
        <f>G2782</f>
        <v>100150</v>
      </c>
      <c r="F2765" s="55">
        <f>D2765*E2765</f>
        <v>5007.5</v>
      </c>
      <c r="G2765" s="1116"/>
    </row>
    <row r="2766" spans="1:7" s="150" customFormat="1" ht="15.75" customHeight="1">
      <c r="A2766" s="943"/>
      <c r="B2766" s="1115"/>
      <c r="C2766" s="51"/>
      <c r="D2766" s="51"/>
      <c r="E2766" s="51"/>
      <c r="F2766" s="55"/>
      <c r="G2766" s="57">
        <f>SUM(F2764:F2766)</f>
        <v>5007.5</v>
      </c>
    </row>
    <row r="2767" spans="1:7" s="145" customFormat="1" ht="15.75" customHeight="1">
      <c r="A2767" s="1114" t="s">
        <v>10</v>
      </c>
      <c r="B2767" s="1115"/>
      <c r="C2767" s="1115"/>
      <c r="D2767" s="1115"/>
      <c r="E2767" s="1115"/>
      <c r="F2767" s="1115"/>
      <c r="G2767" s="1116"/>
    </row>
    <row r="2768" spans="1:7" s="150" customFormat="1" ht="15.75" customHeight="1">
      <c r="A2768" s="1074" t="s">
        <v>2</v>
      </c>
      <c r="B2768" s="1115"/>
      <c r="C2768" s="53" t="s">
        <v>3</v>
      </c>
      <c r="D2768" s="53" t="s">
        <v>4</v>
      </c>
      <c r="E2768" s="53" t="s">
        <v>6</v>
      </c>
      <c r="F2768" s="53" t="s">
        <v>11</v>
      </c>
      <c r="G2768" s="1075" t="s">
        <v>8</v>
      </c>
    </row>
    <row r="2769" spans="1:7" s="145" customFormat="1" ht="15.75" customHeight="1">
      <c r="A2769" s="1117" t="s">
        <v>715</v>
      </c>
      <c r="B2769" s="1118"/>
      <c r="C2769" s="148" t="s">
        <v>3</v>
      </c>
      <c r="D2769" s="148">
        <v>1</v>
      </c>
      <c r="E2769" s="17">
        <f>+'INSUMOS ELÉCTRICOS'!E18</f>
        <v>985000</v>
      </c>
      <c r="F2769" s="55">
        <f>D2769*E2769</f>
        <v>985000</v>
      </c>
      <c r="G2769" s="1075"/>
    </row>
    <row r="2770" spans="1:7" s="145" customFormat="1" ht="15.75" customHeight="1">
      <c r="A2770" s="1117" t="s">
        <v>716</v>
      </c>
      <c r="B2770" s="1118"/>
      <c r="C2770" s="148" t="s">
        <v>3</v>
      </c>
      <c r="D2770" s="148">
        <v>1</v>
      </c>
      <c r="E2770" s="17">
        <f>+'INSUMOS ELÉCTRICOS'!E19</f>
        <v>189900</v>
      </c>
      <c r="F2770" s="55">
        <f>D2770*E2770</f>
        <v>189900</v>
      </c>
      <c r="G2770" s="1075"/>
    </row>
    <row r="2771" spans="1:7" s="145" customFormat="1" ht="31.5" customHeight="1">
      <c r="A2771" s="1117" t="s">
        <v>717</v>
      </c>
      <c r="B2771" s="1118"/>
      <c r="C2771" s="148" t="s">
        <v>3</v>
      </c>
      <c r="D2771" s="148">
        <v>1</v>
      </c>
      <c r="E2771" s="17">
        <f>+'INSUMOS ELÉCTRICOS'!E20</f>
        <v>249900</v>
      </c>
      <c r="F2771" s="55">
        <f>D2771*E2771</f>
        <v>249900</v>
      </c>
      <c r="G2771" s="164"/>
    </row>
    <row r="2772" spans="1:7" s="145" customFormat="1" ht="15.75" customHeight="1">
      <c r="A2772" s="1117" t="s">
        <v>718</v>
      </c>
      <c r="B2772" s="1118"/>
      <c r="C2772" s="148" t="s">
        <v>3</v>
      </c>
      <c r="D2772" s="148">
        <v>4</v>
      </c>
      <c r="E2772" s="17">
        <f>+'INSUMOS ELÉCTRICOS'!E21</f>
        <v>5200</v>
      </c>
      <c r="F2772" s="55">
        <f>D2772*E2772</f>
        <v>20800</v>
      </c>
      <c r="G2772" s="164"/>
    </row>
    <row r="2773" spans="1:7" s="145" customFormat="1" ht="15.75" customHeight="1">
      <c r="A2773" s="1117" t="s">
        <v>719</v>
      </c>
      <c r="B2773" s="1118"/>
      <c r="C2773" s="148" t="s">
        <v>3</v>
      </c>
      <c r="D2773" s="148">
        <v>1</v>
      </c>
      <c r="E2773" s="17">
        <f>+'INSUMOS ELÉCTRICOS'!E22</f>
        <v>60900</v>
      </c>
      <c r="F2773" s="55">
        <f>D2773*E2773</f>
        <v>60900</v>
      </c>
      <c r="G2773" s="164"/>
    </row>
    <row r="2774" spans="1:7" s="145" customFormat="1" ht="15.75" customHeight="1">
      <c r="A2774" s="947"/>
      <c r="B2774" s="1115"/>
      <c r="C2774" s="16"/>
      <c r="D2774" s="58"/>
      <c r="E2774" s="17"/>
      <c r="F2774" s="55"/>
      <c r="G2774" s="57">
        <f>SUM(F2768:F2774)</f>
        <v>1506500</v>
      </c>
    </row>
    <row r="2775" spans="1:7" s="145" customFormat="1" ht="15.75" customHeight="1">
      <c r="A2775" s="1114" t="s">
        <v>15</v>
      </c>
      <c r="B2775" s="1115"/>
      <c r="C2775" s="1115"/>
      <c r="D2775" s="1115"/>
      <c r="E2775" s="1115"/>
      <c r="F2775" s="1115"/>
      <c r="G2775" s="1116"/>
    </row>
    <row r="2776" spans="1:7" s="145" customFormat="1" ht="15.75" customHeight="1">
      <c r="A2776" s="1074" t="s">
        <v>2</v>
      </c>
      <c r="B2776" s="1115"/>
      <c r="C2776" s="53" t="s">
        <v>3</v>
      </c>
      <c r="D2776" s="53" t="s">
        <v>4</v>
      </c>
      <c r="E2776" s="53" t="s">
        <v>6</v>
      </c>
      <c r="F2776" s="53" t="s">
        <v>11</v>
      </c>
      <c r="G2776" s="1075" t="s">
        <v>8</v>
      </c>
    </row>
    <row r="2777" spans="1:7" s="2" customFormat="1" ht="15.75" customHeight="1">
      <c r="A2777" s="943" t="s">
        <v>173</v>
      </c>
      <c r="B2777" s="1115"/>
      <c r="C2777" s="16" t="s">
        <v>3</v>
      </c>
      <c r="D2777" s="16">
        <v>5.0000000000000001E-3</v>
      </c>
      <c r="E2777" s="17">
        <f>G2774</f>
        <v>1506500</v>
      </c>
      <c r="F2777" s="55">
        <f>D2777*E2777</f>
        <v>7532.5</v>
      </c>
      <c r="G2777" s="1116"/>
    </row>
    <row r="2778" spans="1:7" s="145" customFormat="1" ht="15.75" customHeight="1">
      <c r="A2778" s="151"/>
      <c r="B2778" s="152"/>
      <c r="C2778" s="152"/>
      <c r="D2778" s="152"/>
      <c r="E2778" s="152"/>
      <c r="F2778" s="152"/>
      <c r="G2778" s="57">
        <f>SUM(F2777:F2778)</f>
        <v>7532.5</v>
      </c>
    </row>
    <row r="2779" spans="1:7" s="145" customFormat="1" ht="15" customHeight="1">
      <c r="A2779" s="1114" t="s">
        <v>19</v>
      </c>
      <c r="B2779" s="1115"/>
      <c r="C2779" s="1115"/>
      <c r="D2779" s="1115"/>
      <c r="E2779" s="1115"/>
      <c r="F2779" s="1115"/>
      <c r="G2779" s="1116"/>
    </row>
    <row r="2780" spans="1:7" s="145" customFormat="1" ht="15" customHeight="1">
      <c r="A2780" s="1074" t="s">
        <v>2</v>
      </c>
      <c r="B2780" s="1115"/>
      <c r="C2780" s="53" t="s">
        <v>3</v>
      </c>
      <c r="D2780" s="53" t="s">
        <v>4</v>
      </c>
      <c r="E2780" s="53" t="s">
        <v>6</v>
      </c>
      <c r="F2780" s="53" t="s">
        <v>11</v>
      </c>
      <c r="G2780" s="1075" t="s">
        <v>8</v>
      </c>
    </row>
    <row r="2781" spans="1:7" s="145" customFormat="1" ht="15" customHeight="1">
      <c r="A2781" s="978" t="s">
        <v>1256</v>
      </c>
      <c r="B2781" s="979"/>
      <c r="C2781" s="13" t="s">
        <v>1245</v>
      </c>
      <c r="D2781" s="32">
        <v>5</v>
      </c>
      <c r="E2781" s="13">
        <v>20030</v>
      </c>
      <c r="F2781" s="55">
        <f>+D2781*E2781</f>
        <v>100150</v>
      </c>
      <c r="G2781" s="1116"/>
    </row>
    <row r="2782" spans="1:7" s="145" customFormat="1" ht="15.75" customHeight="1">
      <c r="A2782" s="155"/>
      <c r="B2782" s="156"/>
      <c r="C2782" s="156"/>
      <c r="D2782" s="156"/>
      <c r="E2782" s="156"/>
      <c r="F2782" s="156"/>
      <c r="G2782" s="57">
        <f>SUM(F2780:F2782)</f>
        <v>100150</v>
      </c>
    </row>
    <row r="2783" spans="1:7" s="145" customFormat="1" ht="24" customHeight="1">
      <c r="A2783" s="1119" t="s">
        <v>25</v>
      </c>
      <c r="B2783" s="1120"/>
      <c r="C2783" s="1120"/>
      <c r="D2783" s="1120"/>
      <c r="E2783" s="1120"/>
      <c r="F2783" s="1120"/>
      <c r="G2783" s="1121"/>
    </row>
    <row r="2784" spans="1:7" s="145" customFormat="1" ht="15.6" customHeight="1">
      <c r="A2784" s="1122"/>
      <c r="B2784" s="1120"/>
      <c r="C2784" s="1120"/>
      <c r="D2784" s="1120"/>
      <c r="E2784" s="1120"/>
      <c r="F2784" s="1120"/>
      <c r="G2784" s="157">
        <f>G2782+G2778+G2774+G2766</f>
        <v>1619190</v>
      </c>
    </row>
    <row r="2785" spans="1:7" s="145" customFormat="1" ht="15.75" customHeight="1">
      <c r="A2785" s="158"/>
      <c r="B2785" s="159"/>
      <c r="C2785" s="159"/>
      <c r="D2785" s="159"/>
      <c r="E2785" s="159"/>
      <c r="F2785" s="159"/>
      <c r="G2785" s="160"/>
    </row>
    <row r="2786" spans="1:7" s="145" customFormat="1" ht="29.4" customHeight="1">
      <c r="A2786" s="1123" t="s">
        <v>1</v>
      </c>
      <c r="B2786" s="1120"/>
      <c r="C2786" s="953" t="s">
        <v>594</v>
      </c>
      <c r="D2786" s="1125"/>
      <c r="E2786" s="1125"/>
      <c r="F2786" s="1125"/>
      <c r="G2786" s="1126"/>
    </row>
    <row r="2787" spans="1:7" s="145" customFormat="1" ht="15.75" customHeight="1">
      <c r="A2787" s="1124"/>
      <c r="B2787" s="1120"/>
      <c r="C2787" s="1125"/>
      <c r="D2787" s="1125"/>
      <c r="E2787" s="1125"/>
      <c r="F2787" s="1125"/>
      <c r="G2787" s="1126"/>
    </row>
    <row r="2788" spans="1:7" s="145" customFormat="1" ht="15.75" customHeight="1">
      <c r="A2788" s="1124"/>
      <c r="B2788" s="1120"/>
      <c r="C2788" s="1127" t="s">
        <v>703</v>
      </c>
      <c r="D2788" s="1120"/>
      <c r="E2788" s="1120"/>
      <c r="F2788" s="1120"/>
      <c r="G2788" s="1121"/>
    </row>
    <row r="2789" spans="1:7" s="145" customFormat="1" ht="15.75" customHeight="1">
      <c r="A2789" s="1124"/>
      <c r="B2789" s="1120"/>
      <c r="C2789" s="1128" t="s">
        <v>2</v>
      </c>
      <c r="D2789" s="1120"/>
      <c r="E2789" s="1120"/>
      <c r="F2789" s="146" t="s">
        <v>3</v>
      </c>
      <c r="G2789" s="147" t="s">
        <v>4</v>
      </c>
    </row>
    <row r="2790" spans="1:7" s="145" customFormat="1" ht="37.5" customHeight="1">
      <c r="A2790" s="1073" t="s">
        <v>798</v>
      </c>
      <c r="B2790" s="1115"/>
      <c r="C2790" s="980" t="s">
        <v>721</v>
      </c>
      <c r="D2790" s="980"/>
      <c r="E2790" s="980"/>
      <c r="F2790" s="162" t="s">
        <v>28</v>
      </c>
      <c r="G2790" s="52">
        <v>1</v>
      </c>
    </row>
    <row r="2791" spans="1:7" s="145" customFormat="1" ht="15.75" customHeight="1">
      <c r="A2791" s="1114" t="s">
        <v>5</v>
      </c>
      <c r="B2791" s="1115"/>
      <c r="C2791" s="1115"/>
      <c r="D2791" s="1115"/>
      <c r="E2791" s="1115"/>
      <c r="F2791" s="1115"/>
      <c r="G2791" s="1116"/>
    </row>
    <row r="2792" spans="1:7" s="145" customFormat="1" ht="15.75" customHeight="1">
      <c r="A2792" s="1074" t="s">
        <v>2</v>
      </c>
      <c r="B2792" s="1115"/>
      <c r="C2792" s="53" t="s">
        <v>3</v>
      </c>
      <c r="D2792" s="53" t="s">
        <v>4</v>
      </c>
      <c r="E2792" s="53" t="s">
        <v>6</v>
      </c>
      <c r="F2792" s="53" t="s">
        <v>7</v>
      </c>
      <c r="G2792" s="1075" t="s">
        <v>8</v>
      </c>
    </row>
    <row r="2793" spans="1:7" s="150" customFormat="1" ht="15.75" customHeight="1">
      <c r="A2793" s="947" t="s">
        <v>167</v>
      </c>
      <c r="B2793" s="1115"/>
      <c r="C2793" s="51" t="s">
        <v>3</v>
      </c>
      <c r="D2793" s="51">
        <v>0.05</v>
      </c>
      <c r="E2793" s="17">
        <f>G2806</f>
        <v>100150</v>
      </c>
      <c r="F2793" s="55">
        <f>D2793*E2793</f>
        <v>5007.5</v>
      </c>
      <c r="G2793" s="1116"/>
    </row>
    <row r="2794" spans="1:7" s="150" customFormat="1" ht="15.75" customHeight="1">
      <c r="A2794" s="943"/>
      <c r="B2794" s="1115"/>
      <c r="C2794" s="51"/>
      <c r="D2794" s="51"/>
      <c r="E2794" s="51"/>
      <c r="F2794" s="55"/>
      <c r="G2794" s="57">
        <f>SUM(F2792:F2794)</f>
        <v>5007.5</v>
      </c>
    </row>
    <row r="2795" spans="1:7" s="150" customFormat="1" ht="15.75" customHeight="1">
      <c r="A2795" s="1114" t="s">
        <v>10</v>
      </c>
      <c r="B2795" s="1115"/>
      <c r="C2795" s="1115"/>
      <c r="D2795" s="1115"/>
      <c r="E2795" s="1115"/>
      <c r="F2795" s="1115"/>
      <c r="G2795" s="1116"/>
    </row>
    <row r="2796" spans="1:7" s="150" customFormat="1" ht="15.75" customHeight="1">
      <c r="A2796" s="1074" t="s">
        <v>2</v>
      </c>
      <c r="B2796" s="1115"/>
      <c r="C2796" s="53" t="s">
        <v>3</v>
      </c>
      <c r="D2796" s="53" t="s">
        <v>4</v>
      </c>
      <c r="E2796" s="53" t="s">
        <v>6</v>
      </c>
      <c r="F2796" s="53" t="s">
        <v>11</v>
      </c>
      <c r="G2796" s="1075" t="s">
        <v>8</v>
      </c>
    </row>
    <row r="2797" spans="1:7" s="150" customFormat="1" ht="30" customHeight="1">
      <c r="A2797" s="1117" t="s">
        <v>722</v>
      </c>
      <c r="B2797" s="1118"/>
      <c r="C2797" s="148" t="s">
        <v>3</v>
      </c>
      <c r="D2797" s="148">
        <v>1</v>
      </c>
      <c r="E2797" s="17">
        <f>+'INSUMOS ELÉCTRICOS'!E95</f>
        <v>449900</v>
      </c>
      <c r="F2797" s="55">
        <f>D2797*E2797</f>
        <v>449900</v>
      </c>
      <c r="G2797" s="1075"/>
    </row>
    <row r="2798" spans="1:7" s="145" customFormat="1" ht="15.75" customHeight="1">
      <c r="A2798" s="947"/>
      <c r="B2798" s="1115"/>
      <c r="C2798" s="16"/>
      <c r="D2798" s="58"/>
      <c r="E2798" s="17"/>
      <c r="F2798" s="55"/>
      <c r="G2798" s="57">
        <f>SUM(F2796:F2798)</f>
        <v>449900</v>
      </c>
    </row>
    <row r="2799" spans="1:7" s="145" customFormat="1" ht="15.75" customHeight="1">
      <c r="A2799" s="1114" t="s">
        <v>15</v>
      </c>
      <c r="B2799" s="1115"/>
      <c r="C2799" s="1115"/>
      <c r="D2799" s="1115"/>
      <c r="E2799" s="1115"/>
      <c r="F2799" s="1115"/>
      <c r="G2799" s="1116"/>
    </row>
    <row r="2800" spans="1:7" s="145" customFormat="1" ht="15.75" customHeight="1">
      <c r="A2800" s="1074" t="s">
        <v>2</v>
      </c>
      <c r="B2800" s="1115"/>
      <c r="C2800" s="53" t="s">
        <v>3</v>
      </c>
      <c r="D2800" s="53" t="s">
        <v>4</v>
      </c>
      <c r="E2800" s="53" t="s">
        <v>6</v>
      </c>
      <c r="F2800" s="53" t="s">
        <v>11</v>
      </c>
      <c r="G2800" s="1075" t="s">
        <v>8</v>
      </c>
    </row>
    <row r="2801" spans="1:7" s="145" customFormat="1" ht="15.75" customHeight="1">
      <c r="A2801" s="943" t="s">
        <v>173</v>
      </c>
      <c r="B2801" s="1115"/>
      <c r="C2801" s="16" t="s">
        <v>3</v>
      </c>
      <c r="D2801" s="54">
        <v>2E-3</v>
      </c>
      <c r="E2801" s="17">
        <f>G2798</f>
        <v>449900</v>
      </c>
      <c r="F2801" s="55">
        <f>D2801*E2801</f>
        <v>899.80000000000007</v>
      </c>
      <c r="G2801" s="1116"/>
    </row>
    <row r="2802" spans="1:7" s="145" customFormat="1" ht="15.75" customHeight="1">
      <c r="A2802" s="151"/>
      <c r="B2802" s="152"/>
      <c r="C2802" s="152"/>
      <c r="D2802" s="152"/>
      <c r="E2802" s="152"/>
      <c r="F2802" s="152"/>
      <c r="G2802" s="57">
        <f>SUM(F2801:F2802)</f>
        <v>899.80000000000007</v>
      </c>
    </row>
    <row r="2803" spans="1:7" s="145" customFormat="1" ht="15.75" customHeight="1">
      <c r="A2803" s="1114" t="s">
        <v>19</v>
      </c>
      <c r="B2803" s="1115"/>
      <c r="C2803" s="1115"/>
      <c r="D2803" s="1115"/>
      <c r="E2803" s="1115"/>
      <c r="F2803" s="1115"/>
      <c r="G2803" s="1116"/>
    </row>
    <row r="2804" spans="1:7" s="145" customFormat="1" ht="15.75" customHeight="1">
      <c r="A2804" s="1074" t="s">
        <v>2</v>
      </c>
      <c r="B2804" s="1115"/>
      <c r="C2804" s="53" t="s">
        <v>3</v>
      </c>
      <c r="D2804" s="53" t="s">
        <v>4</v>
      </c>
      <c r="E2804" s="53" t="s">
        <v>6</v>
      </c>
      <c r="F2804" s="53" t="s">
        <v>11</v>
      </c>
      <c r="G2804" s="1075" t="s">
        <v>8</v>
      </c>
    </row>
    <row r="2805" spans="1:7" s="2" customFormat="1" ht="15.75" customHeight="1">
      <c r="A2805" s="978" t="s">
        <v>1256</v>
      </c>
      <c r="B2805" s="979"/>
      <c r="C2805" s="13" t="s">
        <v>1245</v>
      </c>
      <c r="D2805" s="32">
        <v>5</v>
      </c>
      <c r="E2805" s="13">
        <v>20030</v>
      </c>
      <c r="F2805" s="55">
        <f>+D2805*E2805</f>
        <v>100150</v>
      </c>
      <c r="G2805" s="1116"/>
    </row>
    <row r="2806" spans="1:7" s="145" customFormat="1" ht="15.75" customHeight="1">
      <c r="A2806" s="155"/>
      <c r="B2806" s="156"/>
      <c r="C2806" s="156"/>
      <c r="D2806" s="156"/>
      <c r="E2806" s="156"/>
      <c r="F2806" s="156"/>
      <c r="G2806" s="57">
        <f>SUM(F2804:F2806)</f>
        <v>100150</v>
      </c>
    </row>
    <row r="2807" spans="1:7" s="145" customFormat="1" ht="15.75" customHeight="1">
      <c r="A2807" s="1119" t="s">
        <v>25</v>
      </c>
      <c r="B2807" s="1120"/>
      <c r="C2807" s="1120"/>
      <c r="D2807" s="1120"/>
      <c r="E2807" s="1120"/>
      <c r="F2807" s="1120"/>
      <c r="G2807" s="1121"/>
    </row>
    <row r="2808" spans="1:7" s="145" customFormat="1" ht="15.75" customHeight="1">
      <c r="A2808" s="1122"/>
      <c r="B2808" s="1120"/>
      <c r="C2808" s="1120"/>
      <c r="D2808" s="1120"/>
      <c r="E2808" s="1120"/>
      <c r="F2808" s="1120"/>
      <c r="G2808" s="157">
        <f>G2806+G2802+G2798+G2794</f>
        <v>555957.30000000005</v>
      </c>
    </row>
    <row r="2809" spans="1:7" s="145" customFormat="1" ht="15" customHeight="1">
      <c r="A2809" s="158"/>
      <c r="B2809" s="159"/>
      <c r="C2809" s="159"/>
      <c r="D2809" s="159"/>
      <c r="E2809" s="159"/>
      <c r="F2809" s="159"/>
      <c r="G2809" s="160"/>
    </row>
    <row r="2810" spans="1:7" s="145" customFormat="1" ht="15.75" customHeight="1">
      <c r="A2810" s="1123" t="s">
        <v>1</v>
      </c>
      <c r="B2810" s="1120"/>
      <c r="C2810" s="953" t="s">
        <v>594</v>
      </c>
      <c r="D2810" s="1125"/>
      <c r="E2810" s="1125"/>
      <c r="F2810" s="1125"/>
      <c r="G2810" s="1126"/>
    </row>
    <row r="2811" spans="1:7" s="145" customFormat="1" ht="24" customHeight="1">
      <c r="A2811" s="1124"/>
      <c r="B2811" s="1120"/>
      <c r="C2811" s="1125"/>
      <c r="D2811" s="1125"/>
      <c r="E2811" s="1125"/>
      <c r="F2811" s="1125"/>
      <c r="G2811" s="1126"/>
    </row>
    <row r="2812" spans="1:7" s="145" customFormat="1" ht="15.6" customHeight="1">
      <c r="A2812" s="1124"/>
      <c r="B2812" s="1120"/>
      <c r="C2812" s="1127" t="s">
        <v>703</v>
      </c>
      <c r="D2812" s="1120"/>
      <c r="E2812" s="1120"/>
      <c r="F2812" s="1120"/>
      <c r="G2812" s="1121"/>
    </row>
    <row r="2813" spans="1:7" s="145" customFormat="1" ht="15.75" customHeight="1">
      <c r="A2813" s="1124"/>
      <c r="B2813" s="1120"/>
      <c r="C2813" s="1128" t="s">
        <v>2</v>
      </c>
      <c r="D2813" s="1120"/>
      <c r="E2813" s="1120"/>
      <c r="F2813" s="146" t="s">
        <v>3</v>
      </c>
      <c r="G2813" s="147" t="s">
        <v>4</v>
      </c>
    </row>
    <row r="2814" spans="1:7" s="145" customFormat="1" ht="29.4" customHeight="1">
      <c r="A2814" s="1073" t="s">
        <v>799</v>
      </c>
      <c r="B2814" s="1115"/>
      <c r="C2814" s="980" t="s">
        <v>724</v>
      </c>
      <c r="D2814" s="980"/>
      <c r="E2814" s="980"/>
      <c r="F2814" s="162" t="s">
        <v>28</v>
      </c>
      <c r="G2814" s="52">
        <v>1</v>
      </c>
    </row>
    <row r="2815" spans="1:7" s="145" customFormat="1" ht="15.75" customHeight="1">
      <c r="A2815" s="1114" t="s">
        <v>5</v>
      </c>
      <c r="B2815" s="1115"/>
      <c r="C2815" s="1115"/>
      <c r="D2815" s="1115"/>
      <c r="E2815" s="1115"/>
      <c r="F2815" s="1115"/>
      <c r="G2815" s="1116"/>
    </row>
    <row r="2816" spans="1:7" s="145" customFormat="1" ht="15.75" customHeight="1">
      <c r="A2816" s="1074" t="s">
        <v>2</v>
      </c>
      <c r="B2816" s="1115"/>
      <c r="C2816" s="53" t="s">
        <v>3</v>
      </c>
      <c r="D2816" s="53" t="s">
        <v>4</v>
      </c>
      <c r="E2816" s="53" t="s">
        <v>6</v>
      </c>
      <c r="F2816" s="53" t="s">
        <v>7</v>
      </c>
      <c r="G2816" s="1075" t="s">
        <v>8</v>
      </c>
    </row>
    <row r="2817" spans="1:7" s="145" customFormat="1" ht="15.75" customHeight="1">
      <c r="A2817" s="947" t="s">
        <v>167</v>
      </c>
      <c r="B2817" s="1115"/>
      <c r="C2817" s="51" t="s">
        <v>3</v>
      </c>
      <c r="D2817" s="51">
        <v>0.05</v>
      </c>
      <c r="E2817" s="17">
        <f>G2830</f>
        <v>6009</v>
      </c>
      <c r="F2817" s="55">
        <f>D2817*E2817</f>
        <v>300.45</v>
      </c>
      <c r="G2817" s="1116"/>
    </row>
    <row r="2818" spans="1:7" s="145" customFormat="1" ht="15.75" customHeight="1">
      <c r="A2818" s="943"/>
      <c r="B2818" s="1115"/>
      <c r="C2818" s="51"/>
      <c r="D2818" s="51"/>
      <c r="E2818" s="51"/>
      <c r="F2818" s="55"/>
      <c r="G2818" s="57">
        <f>SUM(F2816:F2818)</f>
        <v>300.45</v>
      </c>
    </row>
    <row r="2819" spans="1:7" s="145" customFormat="1" ht="15.75" customHeight="1">
      <c r="A2819" s="1114" t="s">
        <v>10</v>
      </c>
      <c r="B2819" s="1115"/>
      <c r="C2819" s="1115"/>
      <c r="D2819" s="1115"/>
      <c r="E2819" s="1115"/>
      <c r="F2819" s="1115"/>
      <c r="G2819" s="1116"/>
    </row>
    <row r="2820" spans="1:7" s="145" customFormat="1" ht="15.75" customHeight="1">
      <c r="A2820" s="1074" t="s">
        <v>2</v>
      </c>
      <c r="B2820" s="1115"/>
      <c r="C2820" s="53" t="s">
        <v>3</v>
      </c>
      <c r="D2820" s="53" t="s">
        <v>4</v>
      </c>
      <c r="E2820" s="53" t="s">
        <v>6</v>
      </c>
      <c r="F2820" s="53" t="s">
        <v>11</v>
      </c>
      <c r="G2820" s="1075" t="s">
        <v>8</v>
      </c>
    </row>
    <row r="2821" spans="1:7" s="150" customFormat="1" ht="15.75" customHeight="1">
      <c r="A2821" s="1117" t="s">
        <v>725</v>
      </c>
      <c r="B2821" s="1118"/>
      <c r="C2821" s="148" t="s">
        <v>3</v>
      </c>
      <c r="D2821" s="148">
        <v>1</v>
      </c>
      <c r="E2821" s="17">
        <f>+'INSUMOS ELÉCTRICOS'!E132</f>
        <v>49499.24</v>
      </c>
      <c r="F2821" s="55">
        <f>D2821*E2821</f>
        <v>49499.24</v>
      </c>
      <c r="G2821" s="1075"/>
    </row>
    <row r="2822" spans="1:7" s="145" customFormat="1" ht="15.75" customHeight="1">
      <c r="A2822" s="947"/>
      <c r="B2822" s="1115"/>
      <c r="C2822" s="16"/>
      <c r="D2822" s="58"/>
      <c r="E2822" s="17"/>
      <c r="F2822" s="55"/>
      <c r="G2822" s="57">
        <f>SUM(F2820:F2822)</f>
        <v>49499.24</v>
      </c>
    </row>
    <row r="2823" spans="1:7" s="145" customFormat="1" ht="15.75" customHeight="1">
      <c r="A2823" s="1114" t="s">
        <v>15</v>
      </c>
      <c r="B2823" s="1115"/>
      <c r="C2823" s="1115"/>
      <c r="D2823" s="1115"/>
      <c r="E2823" s="1115"/>
      <c r="F2823" s="1115"/>
      <c r="G2823" s="1116"/>
    </row>
    <row r="2824" spans="1:7" s="145" customFormat="1" ht="15.75" customHeight="1">
      <c r="A2824" s="1074" t="s">
        <v>2</v>
      </c>
      <c r="B2824" s="1115"/>
      <c r="C2824" s="53" t="s">
        <v>3</v>
      </c>
      <c r="D2824" s="53" t="s">
        <v>4</v>
      </c>
      <c r="E2824" s="53" t="s">
        <v>6</v>
      </c>
      <c r="F2824" s="53" t="s">
        <v>11</v>
      </c>
      <c r="G2824" s="1075" t="s">
        <v>8</v>
      </c>
    </row>
    <row r="2825" spans="1:7" s="145" customFormat="1" ht="15.75" customHeight="1">
      <c r="A2825" s="943" t="s">
        <v>173</v>
      </c>
      <c r="B2825" s="1115"/>
      <c r="C2825" s="16" t="s">
        <v>3</v>
      </c>
      <c r="D2825" s="16">
        <v>0.01</v>
      </c>
      <c r="E2825" s="17">
        <f>G2822</f>
        <v>49499.24</v>
      </c>
      <c r="F2825" s="55">
        <f>D2825*E2825</f>
        <v>494.99239999999998</v>
      </c>
      <c r="G2825" s="1116"/>
    </row>
    <row r="2826" spans="1:7" s="145" customFormat="1" ht="15.75" customHeight="1">
      <c r="A2826" s="151"/>
      <c r="B2826" s="152"/>
      <c r="C2826" s="152"/>
      <c r="D2826" s="152"/>
      <c r="E2826" s="152"/>
      <c r="F2826" s="152"/>
      <c r="G2826" s="57">
        <f>SUM(F2825:F2826)</f>
        <v>494.99239999999998</v>
      </c>
    </row>
    <row r="2827" spans="1:7" s="145" customFormat="1" ht="15.75" customHeight="1">
      <c r="A2827" s="1114" t="s">
        <v>19</v>
      </c>
      <c r="B2827" s="1115"/>
      <c r="C2827" s="1115"/>
      <c r="D2827" s="1115"/>
      <c r="E2827" s="1115"/>
      <c r="F2827" s="1115"/>
      <c r="G2827" s="1116"/>
    </row>
    <row r="2828" spans="1:7" s="145" customFormat="1" ht="15.75" customHeight="1">
      <c r="A2828" s="1074" t="s">
        <v>2</v>
      </c>
      <c r="B2828" s="1115"/>
      <c r="C2828" s="53" t="s">
        <v>3</v>
      </c>
      <c r="D2828" s="53" t="s">
        <v>4</v>
      </c>
      <c r="E2828" s="53" t="s">
        <v>6</v>
      </c>
      <c r="F2828" s="53" t="s">
        <v>11</v>
      </c>
      <c r="G2828" s="1075" t="s">
        <v>8</v>
      </c>
    </row>
    <row r="2829" spans="1:7" s="2" customFormat="1" ht="15.75" customHeight="1">
      <c r="A2829" s="978" t="s">
        <v>1256</v>
      </c>
      <c r="B2829" s="979"/>
      <c r="C2829" s="13" t="s">
        <v>1245</v>
      </c>
      <c r="D2829" s="32">
        <v>0.3</v>
      </c>
      <c r="E2829" s="13">
        <v>20030</v>
      </c>
      <c r="F2829" s="55">
        <f>+D2829*E2829</f>
        <v>6009</v>
      </c>
      <c r="G2829" s="1116"/>
    </row>
    <row r="2830" spans="1:7" s="145" customFormat="1" ht="15.75" customHeight="1">
      <c r="A2830" s="155"/>
      <c r="B2830" s="156"/>
      <c r="C2830" s="156"/>
      <c r="D2830" s="156"/>
      <c r="E2830" s="156"/>
      <c r="F2830" s="156"/>
      <c r="G2830" s="57">
        <f>SUM(F2828:F2830)</f>
        <v>6009</v>
      </c>
    </row>
    <row r="2831" spans="1:7" s="145" customFormat="1" ht="15.75" customHeight="1">
      <c r="A2831" s="1119" t="s">
        <v>25</v>
      </c>
      <c r="B2831" s="1120"/>
      <c r="C2831" s="1120"/>
      <c r="D2831" s="1120"/>
      <c r="E2831" s="1120"/>
      <c r="F2831" s="1120"/>
      <c r="G2831" s="1121"/>
    </row>
    <row r="2832" spans="1:7" s="145" customFormat="1" ht="15.75" customHeight="1">
      <c r="A2832" s="1122"/>
      <c r="B2832" s="1120"/>
      <c r="C2832" s="1120"/>
      <c r="D2832" s="1120"/>
      <c r="E2832" s="1120"/>
      <c r="F2832" s="1120"/>
      <c r="G2832" s="157">
        <f>G2830+G2826+G2822+G2818</f>
        <v>56303.682399999998</v>
      </c>
    </row>
    <row r="2833" spans="1:7" s="145" customFormat="1" ht="15" customHeight="1">
      <c r="A2833" s="158"/>
      <c r="B2833" s="159"/>
      <c r="C2833" s="159"/>
      <c r="D2833" s="159"/>
      <c r="E2833" s="159"/>
      <c r="F2833" s="159"/>
      <c r="G2833" s="160"/>
    </row>
    <row r="2834" spans="1:7" s="145" customFormat="1" ht="15.75" customHeight="1">
      <c r="A2834" s="1123" t="s">
        <v>1</v>
      </c>
      <c r="B2834" s="1120"/>
      <c r="C2834" s="953" t="s">
        <v>594</v>
      </c>
      <c r="D2834" s="1125"/>
      <c r="E2834" s="1125"/>
      <c r="F2834" s="1125"/>
      <c r="G2834" s="1126"/>
    </row>
    <row r="2835" spans="1:7" s="145" customFormat="1" ht="24" customHeight="1">
      <c r="A2835" s="1124"/>
      <c r="B2835" s="1120"/>
      <c r="C2835" s="1125"/>
      <c r="D2835" s="1125"/>
      <c r="E2835" s="1125"/>
      <c r="F2835" s="1125"/>
      <c r="G2835" s="1126"/>
    </row>
    <row r="2836" spans="1:7" s="145" customFormat="1" ht="15.6" customHeight="1">
      <c r="A2836" s="1124"/>
      <c r="B2836" s="1120"/>
      <c r="C2836" s="1127" t="s">
        <v>606</v>
      </c>
      <c r="D2836" s="1120"/>
      <c r="E2836" s="1120"/>
      <c r="F2836" s="1120"/>
      <c r="G2836" s="1121"/>
    </row>
    <row r="2837" spans="1:7" s="145" customFormat="1" ht="15.75" customHeight="1">
      <c r="A2837" s="1124"/>
      <c r="B2837" s="1120"/>
      <c r="C2837" s="1128" t="s">
        <v>2</v>
      </c>
      <c r="D2837" s="1120"/>
      <c r="E2837" s="1120"/>
      <c r="F2837" s="146" t="s">
        <v>3</v>
      </c>
      <c r="G2837" s="147" t="s">
        <v>4</v>
      </c>
    </row>
    <row r="2838" spans="1:7" s="145" customFormat="1" ht="60.75" customHeight="1">
      <c r="A2838" s="1073" t="s">
        <v>800</v>
      </c>
      <c r="B2838" s="1115"/>
      <c r="C2838" s="980" t="s">
        <v>608</v>
      </c>
      <c r="D2838" s="1115"/>
      <c r="E2838" s="1115"/>
      <c r="F2838" s="162" t="s">
        <v>45</v>
      </c>
      <c r="G2838" s="52">
        <v>1</v>
      </c>
    </row>
    <row r="2839" spans="1:7" s="145" customFormat="1" ht="15.75" customHeight="1">
      <c r="A2839" s="1114" t="s">
        <v>5</v>
      </c>
      <c r="B2839" s="1115"/>
      <c r="C2839" s="1115"/>
      <c r="D2839" s="1115"/>
      <c r="E2839" s="1115"/>
      <c r="F2839" s="1115"/>
      <c r="G2839" s="1116"/>
    </row>
    <row r="2840" spans="1:7" s="145" customFormat="1" ht="15.75" customHeight="1">
      <c r="A2840" s="1074" t="s">
        <v>2</v>
      </c>
      <c r="B2840" s="1115"/>
      <c r="C2840" s="53" t="s">
        <v>3</v>
      </c>
      <c r="D2840" s="53" t="s">
        <v>4</v>
      </c>
      <c r="E2840" s="53" t="s">
        <v>6</v>
      </c>
      <c r="F2840" s="53" t="s">
        <v>7</v>
      </c>
      <c r="G2840" s="1075" t="s">
        <v>8</v>
      </c>
    </row>
    <row r="2841" spans="1:7" s="145" customFormat="1" ht="15.75" customHeight="1">
      <c r="A2841" s="947" t="s">
        <v>167</v>
      </c>
      <c r="B2841" s="1115"/>
      <c r="C2841" s="51" t="s">
        <v>3</v>
      </c>
      <c r="D2841" s="51">
        <v>0.05</v>
      </c>
      <c r="E2841" s="17">
        <f>G2854</f>
        <v>4006</v>
      </c>
      <c r="F2841" s="55">
        <f>D2841*E2841</f>
        <v>200.3</v>
      </c>
      <c r="G2841" s="1116"/>
    </row>
    <row r="2842" spans="1:7" s="145" customFormat="1" ht="15.75" customHeight="1">
      <c r="A2842" s="943"/>
      <c r="B2842" s="1115"/>
      <c r="C2842" s="51"/>
      <c r="D2842" s="51"/>
      <c r="E2842" s="51"/>
      <c r="F2842" s="55"/>
      <c r="G2842" s="57">
        <f>SUM(F2840:F2842)</f>
        <v>200.3</v>
      </c>
    </row>
    <row r="2843" spans="1:7" s="145" customFormat="1" ht="15.75" customHeight="1">
      <c r="A2843" s="1114" t="s">
        <v>10</v>
      </c>
      <c r="B2843" s="1115"/>
      <c r="C2843" s="1115"/>
      <c r="D2843" s="1115"/>
      <c r="E2843" s="1115"/>
      <c r="F2843" s="1115"/>
      <c r="G2843" s="1116"/>
    </row>
    <row r="2844" spans="1:7" s="145" customFormat="1" ht="15.75" customHeight="1">
      <c r="A2844" s="1074" t="s">
        <v>2</v>
      </c>
      <c r="B2844" s="1115"/>
      <c r="C2844" s="53" t="s">
        <v>3</v>
      </c>
      <c r="D2844" s="53" t="s">
        <v>4</v>
      </c>
      <c r="E2844" s="53" t="s">
        <v>6</v>
      </c>
      <c r="F2844" s="53" t="s">
        <v>11</v>
      </c>
      <c r="G2844" s="1075" t="s">
        <v>8</v>
      </c>
    </row>
    <row r="2845" spans="1:7" s="145" customFormat="1" ht="59.25" customHeight="1">
      <c r="A2845" s="1117" t="s">
        <v>608</v>
      </c>
      <c r="B2845" s="1118"/>
      <c r="C2845" s="148" t="s">
        <v>3</v>
      </c>
      <c r="D2845" s="148">
        <v>1.05</v>
      </c>
      <c r="E2845" s="17">
        <f>+'INSUMOS ELÉCTRICOS'!E17</f>
        <v>5033.7</v>
      </c>
      <c r="F2845" s="149">
        <f>D2845*E2845</f>
        <v>5285.3850000000002</v>
      </c>
      <c r="G2845" s="1075"/>
    </row>
    <row r="2846" spans="1:7" s="145" customFormat="1" ht="15.75" customHeight="1">
      <c r="A2846" s="947"/>
      <c r="B2846" s="1115"/>
      <c r="C2846" s="16"/>
      <c r="D2846" s="58"/>
      <c r="E2846" s="17"/>
      <c r="F2846" s="55"/>
      <c r="G2846" s="57">
        <f>SUM(F2844:F2846)</f>
        <v>5285.3850000000002</v>
      </c>
    </row>
    <row r="2847" spans="1:7" s="145" customFormat="1" ht="15.75" customHeight="1">
      <c r="A2847" s="1114" t="s">
        <v>15</v>
      </c>
      <c r="B2847" s="1115"/>
      <c r="C2847" s="1115"/>
      <c r="D2847" s="1115"/>
      <c r="E2847" s="1115"/>
      <c r="F2847" s="1115"/>
      <c r="G2847" s="1116"/>
    </row>
    <row r="2848" spans="1:7" s="145" customFormat="1" ht="15.75" customHeight="1">
      <c r="A2848" s="1074" t="s">
        <v>2</v>
      </c>
      <c r="B2848" s="1115"/>
      <c r="C2848" s="53" t="s">
        <v>3</v>
      </c>
      <c r="D2848" s="53" t="s">
        <v>4</v>
      </c>
      <c r="E2848" s="53" t="s">
        <v>6</v>
      </c>
      <c r="F2848" s="53" t="s">
        <v>11</v>
      </c>
      <c r="G2848" s="1075" t="s">
        <v>8</v>
      </c>
    </row>
    <row r="2849" spans="1:7" s="145" customFormat="1" ht="15.75" customHeight="1">
      <c r="A2849" s="943" t="s">
        <v>173</v>
      </c>
      <c r="B2849" s="1115"/>
      <c r="C2849" s="16" t="s">
        <v>3</v>
      </c>
      <c r="D2849" s="16">
        <v>0.06</v>
      </c>
      <c r="E2849" s="17">
        <f>G2846</f>
        <v>5285.3850000000002</v>
      </c>
      <c r="F2849" s="55">
        <f>D2849*E2849</f>
        <v>317.12310000000002</v>
      </c>
      <c r="G2849" s="1116"/>
    </row>
    <row r="2850" spans="1:7" s="145" customFormat="1" ht="15.75" customHeight="1">
      <c r="A2850" s="151"/>
      <c r="B2850" s="152"/>
      <c r="C2850" s="152"/>
      <c r="D2850" s="152"/>
      <c r="E2850" s="152"/>
      <c r="F2850" s="152"/>
      <c r="G2850" s="57">
        <f>SUM(F2849:F2850)</f>
        <v>317.12310000000002</v>
      </c>
    </row>
    <row r="2851" spans="1:7" s="145" customFormat="1" ht="15.75" customHeight="1">
      <c r="A2851" s="1114" t="s">
        <v>19</v>
      </c>
      <c r="B2851" s="1115"/>
      <c r="C2851" s="1115"/>
      <c r="D2851" s="1115"/>
      <c r="E2851" s="1115"/>
      <c r="F2851" s="1115"/>
      <c r="G2851" s="1116"/>
    </row>
    <row r="2852" spans="1:7" s="145" customFormat="1" ht="15.75" customHeight="1">
      <c r="A2852" s="1074" t="s">
        <v>2</v>
      </c>
      <c r="B2852" s="1115"/>
      <c r="C2852" s="53" t="s">
        <v>3</v>
      </c>
      <c r="D2852" s="53" t="s">
        <v>4</v>
      </c>
      <c r="E2852" s="53" t="s">
        <v>6</v>
      </c>
      <c r="F2852" s="53" t="s">
        <v>11</v>
      </c>
      <c r="G2852" s="1075" t="s">
        <v>8</v>
      </c>
    </row>
    <row r="2853" spans="1:7" s="2" customFormat="1" ht="15.75" customHeight="1">
      <c r="A2853" s="978" t="s">
        <v>1256</v>
      </c>
      <c r="B2853" s="979"/>
      <c r="C2853" s="13" t="s">
        <v>1245</v>
      </c>
      <c r="D2853" s="32">
        <v>0.2</v>
      </c>
      <c r="E2853" s="13">
        <v>20030</v>
      </c>
      <c r="F2853" s="55">
        <f>+D2853*E2853</f>
        <v>4006</v>
      </c>
      <c r="G2853" s="1116"/>
    </row>
    <row r="2854" spans="1:7" s="145" customFormat="1" ht="15.75" customHeight="1">
      <c r="A2854" s="155"/>
      <c r="B2854" s="156"/>
      <c r="C2854" s="156"/>
      <c r="D2854" s="156"/>
      <c r="E2854" s="156"/>
      <c r="F2854" s="156"/>
      <c r="G2854" s="57">
        <f>SUM(F2852:F2854)</f>
        <v>4006</v>
      </c>
    </row>
    <row r="2855" spans="1:7" s="145" customFormat="1" ht="15.75" customHeight="1">
      <c r="A2855" s="1119" t="s">
        <v>25</v>
      </c>
      <c r="B2855" s="1120"/>
      <c r="C2855" s="1120"/>
      <c r="D2855" s="1120"/>
      <c r="E2855" s="1120"/>
      <c r="F2855" s="1120"/>
      <c r="G2855" s="1121"/>
    </row>
    <row r="2856" spans="1:7" s="145" customFormat="1" ht="15.75" customHeight="1">
      <c r="A2856" s="1122"/>
      <c r="B2856" s="1120"/>
      <c r="C2856" s="1120"/>
      <c r="D2856" s="1120"/>
      <c r="E2856" s="1120"/>
      <c r="F2856" s="1120"/>
      <c r="G2856" s="157">
        <f>G2854+G2850+G2846+G2842</f>
        <v>9808.8080999999984</v>
      </c>
    </row>
    <row r="2857" spans="1:7" s="145" customFormat="1" ht="15" customHeight="1">
      <c r="A2857" s="158"/>
      <c r="B2857" s="159"/>
      <c r="C2857" s="159"/>
      <c r="D2857" s="159"/>
      <c r="E2857" s="159"/>
      <c r="F2857" s="159"/>
      <c r="G2857" s="160"/>
    </row>
    <row r="2858" spans="1:7" s="145" customFormat="1" ht="15.75" customHeight="1">
      <c r="A2858" s="1123" t="s">
        <v>1</v>
      </c>
      <c r="B2858" s="1120"/>
      <c r="C2858" s="953" t="s">
        <v>594</v>
      </c>
      <c r="D2858" s="1125"/>
      <c r="E2858" s="1125"/>
      <c r="F2858" s="1125"/>
      <c r="G2858" s="1126"/>
    </row>
    <row r="2859" spans="1:7" s="145" customFormat="1" ht="24" customHeight="1">
      <c r="A2859" s="1124"/>
      <c r="B2859" s="1120"/>
      <c r="C2859" s="1125"/>
      <c r="D2859" s="1125"/>
      <c r="E2859" s="1125"/>
      <c r="F2859" s="1125"/>
      <c r="G2859" s="1126"/>
    </row>
    <row r="2860" spans="1:7" s="145" customFormat="1" ht="15.6" customHeight="1">
      <c r="A2860" s="1124"/>
      <c r="B2860" s="1120"/>
      <c r="C2860" s="1127" t="s">
        <v>609</v>
      </c>
      <c r="D2860" s="1120"/>
      <c r="E2860" s="1120"/>
      <c r="F2860" s="1120"/>
      <c r="G2860" s="1121"/>
    </row>
    <row r="2861" spans="1:7" s="145" customFormat="1" ht="15.75" customHeight="1">
      <c r="A2861" s="1124"/>
      <c r="B2861" s="1120"/>
      <c r="C2861" s="1128" t="s">
        <v>2</v>
      </c>
      <c r="D2861" s="1120"/>
      <c r="E2861" s="1120"/>
      <c r="F2861" s="146" t="s">
        <v>3</v>
      </c>
      <c r="G2861" s="147" t="s">
        <v>4</v>
      </c>
    </row>
    <row r="2862" spans="1:7" s="145" customFormat="1" ht="60" customHeight="1">
      <c r="A2862" s="1073" t="s">
        <v>801</v>
      </c>
      <c r="B2862" s="1115"/>
      <c r="C2862" s="980" t="s">
        <v>611</v>
      </c>
      <c r="D2862" s="1115"/>
      <c r="E2862" s="1115"/>
      <c r="F2862" s="162" t="s">
        <v>45</v>
      </c>
      <c r="G2862" s="52">
        <v>1</v>
      </c>
    </row>
    <row r="2863" spans="1:7" s="145" customFormat="1" ht="15.75" customHeight="1">
      <c r="A2863" s="1114" t="s">
        <v>5</v>
      </c>
      <c r="B2863" s="1115"/>
      <c r="C2863" s="1115"/>
      <c r="D2863" s="1115"/>
      <c r="E2863" s="1115"/>
      <c r="F2863" s="1115"/>
      <c r="G2863" s="1116"/>
    </row>
    <row r="2864" spans="1:7" s="145" customFormat="1" ht="15.75" customHeight="1">
      <c r="A2864" s="1074" t="s">
        <v>2</v>
      </c>
      <c r="B2864" s="1115"/>
      <c r="C2864" s="53" t="s">
        <v>3</v>
      </c>
      <c r="D2864" s="53" t="s">
        <v>4</v>
      </c>
      <c r="E2864" s="53" t="s">
        <v>6</v>
      </c>
      <c r="F2864" s="53" t="s">
        <v>7</v>
      </c>
      <c r="G2864" s="1075" t="s">
        <v>8</v>
      </c>
    </row>
    <row r="2865" spans="1:7" s="145" customFormat="1" ht="15.75" customHeight="1">
      <c r="A2865" s="947" t="s">
        <v>167</v>
      </c>
      <c r="B2865" s="1115"/>
      <c r="C2865" s="51" t="s">
        <v>3</v>
      </c>
      <c r="D2865" s="51">
        <v>0.05</v>
      </c>
      <c r="E2865" s="17">
        <v>6719</v>
      </c>
      <c r="F2865" s="55">
        <f>D2865*E2865</f>
        <v>335.95000000000005</v>
      </c>
      <c r="G2865" s="1116"/>
    </row>
    <row r="2866" spans="1:7" s="145" customFormat="1" ht="15.75" customHeight="1">
      <c r="A2866" s="943"/>
      <c r="B2866" s="1115"/>
      <c r="C2866" s="51"/>
      <c r="D2866" s="51"/>
      <c r="E2866" s="51"/>
      <c r="F2866" s="55"/>
      <c r="G2866" s="57">
        <f>SUM(F2864:F2866)</f>
        <v>335.95000000000005</v>
      </c>
    </row>
    <row r="2867" spans="1:7" s="145" customFormat="1" ht="15.75" customHeight="1">
      <c r="A2867" s="1114" t="s">
        <v>10</v>
      </c>
      <c r="B2867" s="1115"/>
      <c r="C2867" s="1115"/>
      <c r="D2867" s="1115"/>
      <c r="E2867" s="1115"/>
      <c r="F2867" s="1115"/>
      <c r="G2867" s="1116"/>
    </row>
    <row r="2868" spans="1:7" s="145" customFormat="1" ht="15.75" customHeight="1">
      <c r="A2868" s="1074" t="s">
        <v>2</v>
      </c>
      <c r="B2868" s="1115"/>
      <c r="C2868" s="53" t="s">
        <v>3</v>
      </c>
      <c r="D2868" s="53" t="s">
        <v>4</v>
      </c>
      <c r="E2868" s="53" t="s">
        <v>6</v>
      </c>
      <c r="F2868" s="53" t="s">
        <v>11</v>
      </c>
      <c r="G2868" s="1075" t="s">
        <v>8</v>
      </c>
    </row>
    <row r="2869" spans="1:7" s="150" customFormat="1" ht="43.95" customHeight="1">
      <c r="A2869" s="947" t="s">
        <v>612</v>
      </c>
      <c r="B2869" s="1115"/>
      <c r="C2869" s="51" t="s">
        <v>3</v>
      </c>
      <c r="D2869" s="148">
        <v>10</v>
      </c>
      <c r="E2869" s="17">
        <f>+'INSUMOS ELÉCTRICOS'!E126</f>
        <v>348.66999999999996</v>
      </c>
      <c r="F2869" s="55">
        <f t="shared" ref="F2869:F2874" si="40">D2869*E2869</f>
        <v>3486.7</v>
      </c>
      <c r="G2869" s="1075"/>
    </row>
    <row r="2870" spans="1:7" s="145" customFormat="1" ht="15.75" customHeight="1">
      <c r="A2870" s="947" t="s">
        <v>613</v>
      </c>
      <c r="B2870" s="1115"/>
      <c r="C2870" s="51" t="s">
        <v>3</v>
      </c>
      <c r="D2870" s="148">
        <v>0.67</v>
      </c>
      <c r="E2870" s="17">
        <f>+'INSUMOS ELÉCTRICOS'!E24</f>
        <v>780</v>
      </c>
      <c r="F2870" s="55">
        <f t="shared" si="40"/>
        <v>522.6</v>
      </c>
      <c r="G2870" s="1075"/>
    </row>
    <row r="2871" spans="1:7" s="145" customFormat="1" ht="15.75" customHeight="1">
      <c r="A2871" s="947" t="s">
        <v>614</v>
      </c>
      <c r="B2871" s="1115"/>
      <c r="C2871" s="51" t="s">
        <v>3</v>
      </c>
      <c r="D2871" s="148">
        <v>0.17</v>
      </c>
      <c r="E2871" s="17">
        <f>+'INSUMOS ELÉCTRICOS'!E25</f>
        <v>11900</v>
      </c>
      <c r="F2871" s="55">
        <f t="shared" si="40"/>
        <v>2023.0000000000002</v>
      </c>
      <c r="G2871" s="1075"/>
    </row>
    <row r="2872" spans="1:7" s="145" customFormat="1" ht="15.75" customHeight="1">
      <c r="A2872" s="947" t="s">
        <v>2477</v>
      </c>
      <c r="B2872" s="1115"/>
      <c r="C2872" s="51" t="s">
        <v>3</v>
      </c>
      <c r="D2872" s="148">
        <v>1</v>
      </c>
      <c r="E2872" s="17">
        <f>+'INSUMOS ELÉCTRICOS'!E26</f>
        <v>16580.666666666668</v>
      </c>
      <c r="F2872" s="55">
        <f t="shared" si="40"/>
        <v>16580.666666666668</v>
      </c>
      <c r="G2872" s="1075"/>
    </row>
    <row r="2873" spans="1:7" s="145" customFormat="1" ht="15.75" customHeight="1">
      <c r="A2873" s="947" t="s">
        <v>615</v>
      </c>
      <c r="B2873" s="1115"/>
      <c r="C2873" s="51" t="s">
        <v>3</v>
      </c>
      <c r="D2873" s="148">
        <v>0.33</v>
      </c>
      <c r="E2873" s="17">
        <f>+'INSUMOS ELÉCTRICOS'!E28</f>
        <v>2946.44</v>
      </c>
      <c r="F2873" s="55">
        <f t="shared" si="40"/>
        <v>972.32520000000011</v>
      </c>
      <c r="G2873" s="1075"/>
    </row>
    <row r="2874" spans="1:7" s="145" customFormat="1" ht="15.75" customHeight="1">
      <c r="A2874" s="947" t="s">
        <v>616</v>
      </c>
      <c r="B2874" s="1115"/>
      <c r="C2874" s="51" t="s">
        <v>3</v>
      </c>
      <c r="D2874" s="148">
        <v>0.32929999999999998</v>
      </c>
      <c r="E2874" s="17">
        <f>+'INSUMOS ELÉCTRICOS'!E29</f>
        <v>4190</v>
      </c>
      <c r="F2874" s="55">
        <f t="shared" si="40"/>
        <v>1379.7669999999998</v>
      </c>
      <c r="G2874" s="1075"/>
    </row>
    <row r="2875" spans="1:7" s="145" customFormat="1" ht="15.75" customHeight="1">
      <c r="A2875" s="947"/>
      <c r="B2875" s="1115"/>
      <c r="C2875" s="16"/>
      <c r="D2875" s="58"/>
      <c r="E2875" s="17"/>
      <c r="F2875" s="55"/>
      <c r="G2875" s="57">
        <f>SUM(F2868:F2875)</f>
        <v>24965.058866666666</v>
      </c>
    </row>
    <row r="2876" spans="1:7" s="145" customFormat="1" ht="15.75" customHeight="1">
      <c r="A2876" s="1114" t="s">
        <v>15</v>
      </c>
      <c r="B2876" s="1115"/>
      <c r="C2876" s="1115"/>
      <c r="D2876" s="1115"/>
      <c r="E2876" s="1115"/>
      <c r="F2876" s="1115"/>
      <c r="G2876" s="1116"/>
    </row>
    <row r="2877" spans="1:7" s="2" customFormat="1" ht="15.75" customHeight="1">
      <c r="A2877" s="1074" t="s">
        <v>2</v>
      </c>
      <c r="B2877" s="1115"/>
      <c r="C2877" s="53" t="s">
        <v>3</v>
      </c>
      <c r="D2877" s="53" t="s">
        <v>4</v>
      </c>
      <c r="E2877" s="53" t="s">
        <v>6</v>
      </c>
      <c r="F2877" s="53" t="s">
        <v>11</v>
      </c>
      <c r="G2877" s="1075" t="s">
        <v>8</v>
      </c>
    </row>
    <row r="2878" spans="1:7" s="145" customFormat="1" ht="15.75" customHeight="1">
      <c r="A2878" s="943" t="s">
        <v>173</v>
      </c>
      <c r="B2878" s="1115"/>
      <c r="C2878" s="16" t="s">
        <v>3</v>
      </c>
      <c r="D2878" s="16">
        <v>0.1</v>
      </c>
      <c r="E2878" s="17">
        <f>G2875</f>
        <v>24965.058866666666</v>
      </c>
      <c r="F2878" s="55">
        <f>D2878*E2878</f>
        <v>2496.5058866666668</v>
      </c>
      <c r="G2878" s="1116"/>
    </row>
    <row r="2879" spans="1:7" s="145" customFormat="1" ht="15.75" customHeight="1">
      <c r="A2879" s="151"/>
      <c r="B2879" s="152"/>
      <c r="C2879" s="152"/>
      <c r="D2879" s="152"/>
      <c r="E2879" s="152"/>
      <c r="F2879" s="152"/>
      <c r="G2879" s="57">
        <f>SUM(F2878:F2879)</f>
        <v>2496.5058866666668</v>
      </c>
    </row>
    <row r="2880" spans="1:7" s="145" customFormat="1" ht="15.75" customHeight="1">
      <c r="A2880" s="1114" t="s">
        <v>19</v>
      </c>
      <c r="B2880" s="1115"/>
      <c r="C2880" s="1115"/>
      <c r="D2880" s="1115"/>
      <c r="E2880" s="1115"/>
      <c r="F2880" s="1115"/>
      <c r="G2880" s="1116"/>
    </row>
    <row r="2881" spans="1:7" s="145" customFormat="1" ht="15" customHeight="1">
      <c r="A2881" s="1074" t="s">
        <v>2</v>
      </c>
      <c r="B2881" s="1115"/>
      <c r="C2881" s="53" t="s">
        <v>3</v>
      </c>
      <c r="D2881" s="53" t="s">
        <v>4</v>
      </c>
      <c r="E2881" s="53" t="s">
        <v>6</v>
      </c>
      <c r="F2881" s="53" t="s">
        <v>11</v>
      </c>
      <c r="G2881" s="1075" t="s">
        <v>8</v>
      </c>
    </row>
    <row r="2882" spans="1:7" s="145" customFormat="1" ht="15.75" customHeight="1">
      <c r="A2882" s="978" t="s">
        <v>1256</v>
      </c>
      <c r="B2882" s="979"/>
      <c r="C2882" s="13" t="s">
        <v>1245</v>
      </c>
      <c r="D2882" s="32">
        <v>0.2</v>
      </c>
      <c r="E2882" s="13">
        <v>18041</v>
      </c>
      <c r="F2882" s="55">
        <f>+D2882*E2882</f>
        <v>3608.2000000000003</v>
      </c>
      <c r="G2882" s="1116"/>
    </row>
    <row r="2883" spans="1:7" s="145" customFormat="1" ht="24" customHeight="1">
      <c r="A2883" s="155"/>
      <c r="B2883" s="156"/>
      <c r="C2883" s="156"/>
      <c r="D2883" s="156"/>
      <c r="E2883" s="156"/>
      <c r="F2883" s="156"/>
      <c r="G2883" s="57">
        <f>SUM(F2881:F2883)</f>
        <v>3608.2000000000003</v>
      </c>
    </row>
    <row r="2884" spans="1:7" s="145" customFormat="1" ht="15.6" customHeight="1">
      <c r="A2884" s="1119" t="s">
        <v>25</v>
      </c>
      <c r="B2884" s="1120"/>
      <c r="C2884" s="1120"/>
      <c r="D2884" s="1120"/>
      <c r="E2884" s="1120"/>
      <c r="F2884" s="1120"/>
      <c r="G2884" s="1121"/>
    </row>
    <row r="2885" spans="1:7" s="145" customFormat="1" ht="15.75" customHeight="1">
      <c r="A2885" s="1122"/>
      <c r="B2885" s="1120"/>
      <c r="C2885" s="1120"/>
      <c r="D2885" s="1120"/>
      <c r="E2885" s="1120"/>
      <c r="F2885" s="1120"/>
      <c r="G2885" s="157">
        <f>G2883+G2879+G2875+G2866</f>
        <v>31405.714753333334</v>
      </c>
    </row>
    <row r="2886" spans="1:7" s="145" customFormat="1" ht="13.8">
      <c r="A2886" s="158"/>
      <c r="B2886" s="159"/>
      <c r="C2886" s="159"/>
      <c r="D2886" s="159"/>
      <c r="E2886" s="159"/>
      <c r="F2886" s="159"/>
      <c r="G2886" s="160"/>
    </row>
    <row r="2887" spans="1:7" s="145" customFormat="1" ht="15.75" customHeight="1">
      <c r="A2887" s="1123" t="s">
        <v>1</v>
      </c>
      <c r="B2887" s="1120"/>
      <c r="C2887" s="953" t="s">
        <v>594</v>
      </c>
      <c r="D2887" s="1125"/>
      <c r="E2887" s="1125"/>
      <c r="F2887" s="1125"/>
      <c r="G2887" s="1126"/>
    </row>
    <row r="2888" spans="1:7" s="145" customFormat="1" ht="15.75" customHeight="1">
      <c r="A2888" s="1124"/>
      <c r="B2888" s="1120"/>
      <c r="C2888" s="1125"/>
      <c r="D2888" s="1125"/>
      <c r="E2888" s="1125"/>
      <c r="F2888" s="1125"/>
      <c r="G2888" s="1126"/>
    </row>
    <row r="2889" spans="1:7" s="145" customFormat="1" ht="15.75" customHeight="1">
      <c r="A2889" s="1124"/>
      <c r="B2889" s="1120"/>
      <c r="C2889" s="1127" t="s">
        <v>665</v>
      </c>
      <c r="D2889" s="1120"/>
      <c r="E2889" s="1120"/>
      <c r="F2889" s="1120"/>
      <c r="G2889" s="1121"/>
    </row>
    <row r="2890" spans="1:7" s="145" customFormat="1" ht="15.75" customHeight="1">
      <c r="A2890" s="1124"/>
      <c r="B2890" s="1120"/>
      <c r="C2890" s="1128" t="s">
        <v>2</v>
      </c>
      <c r="D2890" s="1120"/>
      <c r="E2890" s="1120"/>
      <c r="F2890" s="146" t="s">
        <v>3</v>
      </c>
      <c r="G2890" s="147" t="s">
        <v>4</v>
      </c>
    </row>
    <row r="2891" spans="1:7" s="145" customFormat="1" ht="57" customHeight="1">
      <c r="A2891" s="1073" t="s">
        <v>802</v>
      </c>
      <c r="B2891" s="1115"/>
      <c r="C2891" s="980" t="s">
        <v>666</v>
      </c>
      <c r="D2891" s="1115"/>
      <c r="E2891" s="1115"/>
      <c r="F2891" s="162" t="s">
        <v>28</v>
      </c>
      <c r="G2891" s="52">
        <v>1</v>
      </c>
    </row>
    <row r="2892" spans="1:7" s="145" customFormat="1" ht="15.75" customHeight="1">
      <c r="A2892" s="1114" t="s">
        <v>5</v>
      </c>
      <c r="B2892" s="1115"/>
      <c r="C2892" s="1115"/>
      <c r="D2892" s="1115"/>
      <c r="E2892" s="1115"/>
      <c r="F2892" s="1115"/>
      <c r="G2892" s="1116"/>
    </row>
    <row r="2893" spans="1:7" s="150" customFormat="1" ht="15.75" customHeight="1">
      <c r="A2893" s="1074" t="s">
        <v>2</v>
      </c>
      <c r="B2893" s="1115"/>
      <c r="C2893" s="53" t="s">
        <v>3</v>
      </c>
      <c r="D2893" s="53" t="s">
        <v>4</v>
      </c>
      <c r="E2893" s="53" t="s">
        <v>6</v>
      </c>
      <c r="F2893" s="53" t="s">
        <v>7</v>
      </c>
      <c r="G2893" s="1075" t="s">
        <v>8</v>
      </c>
    </row>
    <row r="2894" spans="1:7" s="145" customFormat="1" ht="15.75" customHeight="1">
      <c r="A2894" s="947" t="s">
        <v>167</v>
      </c>
      <c r="B2894" s="1115"/>
      <c r="C2894" s="51" t="s">
        <v>3</v>
      </c>
      <c r="D2894" s="51">
        <v>0.05</v>
      </c>
      <c r="E2894" s="17">
        <f>G2914</f>
        <v>14021</v>
      </c>
      <c r="F2894" s="55">
        <f>D2894*E2894</f>
        <v>701.05000000000007</v>
      </c>
      <c r="G2894" s="1116"/>
    </row>
    <row r="2895" spans="1:7" s="145" customFormat="1" ht="15.75" customHeight="1">
      <c r="A2895" s="943"/>
      <c r="B2895" s="1115"/>
      <c r="C2895" s="51"/>
      <c r="D2895" s="51"/>
      <c r="E2895" s="51"/>
      <c r="F2895" s="55"/>
      <c r="G2895" s="57">
        <f>SUM(F2893:F2895)</f>
        <v>701.05000000000007</v>
      </c>
    </row>
    <row r="2896" spans="1:7" s="145" customFormat="1" ht="15.75" customHeight="1">
      <c r="A2896" s="1114" t="s">
        <v>10</v>
      </c>
      <c r="B2896" s="1115"/>
      <c r="C2896" s="1115"/>
      <c r="D2896" s="1115"/>
      <c r="E2896" s="1115"/>
      <c r="F2896" s="1115"/>
      <c r="G2896" s="1116"/>
    </row>
    <row r="2897" spans="1:7" s="145" customFormat="1" ht="15.75" customHeight="1">
      <c r="A2897" s="1074" t="s">
        <v>2</v>
      </c>
      <c r="B2897" s="1115"/>
      <c r="C2897" s="53" t="s">
        <v>3</v>
      </c>
      <c r="D2897" s="53" t="s">
        <v>4</v>
      </c>
      <c r="E2897" s="53" t="s">
        <v>6</v>
      </c>
      <c r="F2897" s="53" t="s">
        <v>11</v>
      </c>
      <c r="G2897" s="1075" t="s">
        <v>8</v>
      </c>
    </row>
    <row r="2898" spans="1:7" s="145" customFormat="1" ht="15.75" customHeight="1">
      <c r="A2898" s="947" t="s">
        <v>612</v>
      </c>
      <c r="B2898" s="980"/>
      <c r="C2898" s="148" t="s">
        <v>3</v>
      </c>
      <c r="D2898" s="148">
        <v>20</v>
      </c>
      <c r="E2898" s="17">
        <f>+'INSUMOS ELÉCTRICOS'!E126</f>
        <v>348.66999999999996</v>
      </c>
      <c r="F2898" s="149">
        <f t="shared" ref="F2898:F2905" si="41">D2898*E2898</f>
        <v>6973.4</v>
      </c>
      <c r="G2898" s="1075"/>
    </row>
    <row r="2899" spans="1:7" s="145" customFormat="1" ht="15.75" customHeight="1">
      <c r="A2899" s="947" t="s">
        <v>640</v>
      </c>
      <c r="B2899" s="980"/>
      <c r="C2899" s="148" t="s">
        <v>3</v>
      </c>
      <c r="D2899" s="148">
        <v>1</v>
      </c>
      <c r="E2899" s="17">
        <f>+'INSUMOS ELÉCTRICOS'!E53</f>
        <v>20000</v>
      </c>
      <c r="F2899" s="149">
        <f t="shared" si="41"/>
        <v>20000</v>
      </c>
      <c r="G2899" s="1075"/>
    </row>
    <row r="2900" spans="1:7" s="145" customFormat="1" ht="15.75" customHeight="1">
      <c r="A2900" s="947" t="s">
        <v>641</v>
      </c>
      <c r="B2900" s="980"/>
      <c r="C2900" s="148" t="s">
        <v>3</v>
      </c>
      <c r="D2900" s="16">
        <v>4.2</v>
      </c>
      <c r="E2900" s="17">
        <f>+'INSUMOS ELÉCTRICOS'!E26</f>
        <v>16580.666666666668</v>
      </c>
      <c r="F2900" s="149">
        <f t="shared" si="41"/>
        <v>69638.8</v>
      </c>
      <c r="G2900" s="1075"/>
    </row>
    <row r="2901" spans="1:7" s="145" customFormat="1" ht="15.75" customHeight="1">
      <c r="A2901" s="947" t="s">
        <v>613</v>
      </c>
      <c r="B2901" s="980"/>
      <c r="C2901" s="148" t="s">
        <v>3</v>
      </c>
      <c r="D2901" s="16">
        <v>3</v>
      </c>
      <c r="E2901" s="17">
        <f>+'INSUMOS ELÉCTRICOS'!E24</f>
        <v>780</v>
      </c>
      <c r="F2901" s="149">
        <f t="shared" si="41"/>
        <v>2340</v>
      </c>
      <c r="G2901" s="1075"/>
    </row>
    <row r="2902" spans="1:7" s="145" customFormat="1" ht="15.75" customHeight="1">
      <c r="A2902" s="947" t="s">
        <v>615</v>
      </c>
      <c r="B2902" s="980"/>
      <c r="C2902" s="148" t="s">
        <v>3</v>
      </c>
      <c r="D2902" s="16">
        <v>0</v>
      </c>
      <c r="E2902" s="17">
        <f>+'INSUMOS ELÉCTRICOS'!E28</f>
        <v>2946.44</v>
      </c>
      <c r="F2902" s="149">
        <f t="shared" si="41"/>
        <v>0</v>
      </c>
      <c r="G2902" s="1075"/>
    </row>
    <row r="2903" spans="1:7" s="145" customFormat="1" ht="15.75" customHeight="1">
      <c r="A2903" s="947" t="s">
        <v>616</v>
      </c>
      <c r="B2903" s="980"/>
      <c r="C2903" s="148" t="s">
        <v>3</v>
      </c>
      <c r="D2903" s="16">
        <v>1</v>
      </c>
      <c r="E2903" s="17">
        <f>+'INSUMOS ELÉCTRICOS'!E29</f>
        <v>4190</v>
      </c>
      <c r="F2903" s="149">
        <f t="shared" si="41"/>
        <v>4190</v>
      </c>
      <c r="G2903" s="1075"/>
    </row>
    <row r="2904" spans="1:7" s="145" customFormat="1" ht="15.75" customHeight="1">
      <c r="A2904" s="947" t="s">
        <v>614</v>
      </c>
      <c r="B2904" s="980"/>
      <c r="C2904" s="148" t="s">
        <v>3</v>
      </c>
      <c r="D2904" s="16">
        <v>0.5</v>
      </c>
      <c r="E2904" s="17">
        <f>+'INSUMOS ELÉCTRICOS'!E25</f>
        <v>11900</v>
      </c>
      <c r="F2904" s="149">
        <f t="shared" si="41"/>
        <v>5950</v>
      </c>
      <c r="G2904" s="1075"/>
    </row>
    <row r="2905" spans="1:7" s="145" customFormat="1" ht="15.75" customHeight="1">
      <c r="A2905" s="947" t="s">
        <v>642</v>
      </c>
      <c r="B2905" s="980"/>
      <c r="C2905" s="148" t="s">
        <v>3</v>
      </c>
      <c r="D2905" s="16">
        <v>12.6</v>
      </c>
      <c r="E2905" s="785">
        <v>2567.4964</v>
      </c>
      <c r="F2905" s="149">
        <f t="shared" si="41"/>
        <v>32350.45464</v>
      </c>
      <c r="G2905" s="1075"/>
    </row>
    <row r="2906" spans="1:7" s="2" customFormat="1" ht="15.75" customHeight="1">
      <c r="A2906" s="947"/>
      <c r="B2906" s="1115"/>
      <c r="C2906" s="16"/>
      <c r="D2906" s="58"/>
      <c r="E2906" s="17"/>
      <c r="F2906" s="55"/>
      <c r="G2906" s="57">
        <f>SUM(F2897:F2906)</f>
        <v>141442.65464000002</v>
      </c>
    </row>
    <row r="2907" spans="1:7" s="145" customFormat="1" ht="15.75" customHeight="1">
      <c r="A2907" s="1114" t="s">
        <v>15</v>
      </c>
      <c r="B2907" s="1115"/>
      <c r="C2907" s="1115"/>
      <c r="D2907" s="1115"/>
      <c r="E2907" s="1115"/>
      <c r="F2907" s="1115"/>
      <c r="G2907" s="1116"/>
    </row>
    <row r="2908" spans="1:7" s="145" customFormat="1" ht="15.75" customHeight="1">
      <c r="A2908" s="1074" t="s">
        <v>2</v>
      </c>
      <c r="B2908" s="1115"/>
      <c r="C2908" s="53" t="s">
        <v>3</v>
      </c>
      <c r="D2908" s="53" t="s">
        <v>4</v>
      </c>
      <c r="E2908" s="53" t="s">
        <v>6</v>
      </c>
      <c r="F2908" s="53" t="s">
        <v>11</v>
      </c>
      <c r="G2908" s="1075" t="s">
        <v>8</v>
      </c>
    </row>
    <row r="2909" spans="1:7" s="145" customFormat="1" ht="15.75" customHeight="1">
      <c r="A2909" s="943" t="s">
        <v>173</v>
      </c>
      <c r="B2909" s="1115"/>
      <c r="C2909" s="16" t="s">
        <v>3</v>
      </c>
      <c r="D2909" s="16">
        <v>1.4E-2</v>
      </c>
      <c r="E2909" s="17">
        <f>G2906</f>
        <v>141442.65464000002</v>
      </c>
      <c r="F2909" s="55">
        <f>D2909*E2909</f>
        <v>1980.1971649600005</v>
      </c>
      <c r="G2909" s="1116"/>
    </row>
    <row r="2910" spans="1:7" s="145" customFormat="1" ht="15" customHeight="1">
      <c r="A2910" s="151"/>
      <c r="B2910" s="152"/>
      <c r="C2910" s="152"/>
      <c r="D2910" s="152"/>
      <c r="E2910" s="152"/>
      <c r="F2910" s="152"/>
      <c r="G2910" s="57">
        <f>SUM(F2909:F2910)</f>
        <v>1980.1971649600005</v>
      </c>
    </row>
    <row r="2911" spans="1:7" s="145" customFormat="1" ht="15.75" customHeight="1">
      <c r="A2911" s="1114" t="s">
        <v>19</v>
      </c>
      <c r="B2911" s="1115"/>
      <c r="C2911" s="1115"/>
      <c r="D2911" s="1115"/>
      <c r="E2911" s="1115"/>
      <c r="F2911" s="1115"/>
      <c r="G2911" s="1116"/>
    </row>
    <row r="2912" spans="1:7" s="145" customFormat="1" ht="24" customHeight="1">
      <c r="A2912" s="1074" t="s">
        <v>2</v>
      </c>
      <c r="B2912" s="1115"/>
      <c r="C2912" s="53" t="s">
        <v>3</v>
      </c>
      <c r="D2912" s="53" t="s">
        <v>4</v>
      </c>
      <c r="E2912" s="53" t="s">
        <v>6</v>
      </c>
      <c r="F2912" s="53" t="s">
        <v>11</v>
      </c>
      <c r="G2912" s="1075" t="s">
        <v>8</v>
      </c>
    </row>
    <row r="2913" spans="1:7" s="145" customFormat="1" ht="15.6" customHeight="1">
      <c r="A2913" s="978" t="s">
        <v>1256</v>
      </c>
      <c r="B2913" s="979"/>
      <c r="C2913" s="13" t="s">
        <v>1245</v>
      </c>
      <c r="D2913" s="32">
        <v>0.7</v>
      </c>
      <c r="E2913" s="13">
        <v>20030</v>
      </c>
      <c r="F2913" s="55">
        <f>+D2913*E2913</f>
        <v>14021</v>
      </c>
      <c r="G2913" s="1116"/>
    </row>
    <row r="2914" spans="1:7" s="145" customFormat="1" ht="15.75" customHeight="1">
      <c r="A2914" s="155"/>
      <c r="B2914" s="156"/>
      <c r="C2914" s="156"/>
      <c r="D2914" s="156"/>
      <c r="E2914" s="156"/>
      <c r="F2914" s="156"/>
      <c r="G2914" s="57">
        <f>SUM(F2912:F2914)</f>
        <v>14021</v>
      </c>
    </row>
    <row r="2915" spans="1:7" s="145" customFormat="1" ht="15" customHeight="1">
      <c r="A2915" s="1119" t="s">
        <v>25</v>
      </c>
      <c r="B2915" s="1120"/>
      <c r="C2915" s="1120"/>
      <c r="D2915" s="1120"/>
      <c r="E2915" s="1120"/>
      <c r="F2915" s="1120"/>
      <c r="G2915" s="1121"/>
    </row>
    <row r="2916" spans="1:7" s="145" customFormat="1" ht="15" customHeight="1">
      <c r="A2916" s="1122"/>
      <c r="B2916" s="1120"/>
      <c r="C2916" s="1120"/>
      <c r="D2916" s="1120"/>
      <c r="E2916" s="1120"/>
      <c r="F2916" s="1120"/>
      <c r="G2916" s="157">
        <f>G2895+G2914+G2910+G2906</f>
        <v>158144.90180496001</v>
      </c>
    </row>
    <row r="2917" spans="1:7" s="145" customFormat="1" ht="15" customHeight="1">
      <c r="A2917" s="158"/>
      <c r="B2917" s="159"/>
      <c r="C2917" s="159"/>
      <c r="D2917" s="159"/>
      <c r="E2917" s="159"/>
      <c r="F2917" s="159"/>
      <c r="G2917" s="160"/>
    </row>
    <row r="2918" spans="1:7" s="145" customFormat="1" ht="15" customHeight="1">
      <c r="A2918" s="1123" t="s">
        <v>1</v>
      </c>
      <c r="B2918" s="1120"/>
      <c r="C2918" s="953" t="s">
        <v>594</v>
      </c>
      <c r="D2918" s="1125"/>
      <c r="E2918" s="1125"/>
      <c r="F2918" s="1125"/>
      <c r="G2918" s="1126"/>
    </row>
    <row r="2919" spans="1:7" s="145" customFormat="1" ht="15" customHeight="1">
      <c r="A2919" s="1124"/>
      <c r="B2919" s="1120"/>
      <c r="C2919" s="1125"/>
      <c r="D2919" s="1125"/>
      <c r="E2919" s="1125"/>
      <c r="F2919" s="1125"/>
      <c r="G2919" s="1126"/>
    </row>
    <row r="2920" spans="1:7" s="145" customFormat="1" ht="15" customHeight="1">
      <c r="A2920" s="1124"/>
      <c r="B2920" s="1120"/>
      <c r="C2920" s="1127" t="s">
        <v>665</v>
      </c>
      <c r="D2920" s="1120"/>
      <c r="E2920" s="1120"/>
      <c r="F2920" s="1120"/>
      <c r="G2920" s="1121"/>
    </row>
    <row r="2921" spans="1:7" s="145" customFormat="1" ht="15" customHeight="1">
      <c r="A2921" s="1124"/>
      <c r="B2921" s="1120"/>
      <c r="C2921" s="1128" t="s">
        <v>2</v>
      </c>
      <c r="D2921" s="1120"/>
      <c r="E2921" s="1120"/>
      <c r="F2921" s="146" t="s">
        <v>3</v>
      </c>
      <c r="G2921" s="147" t="s">
        <v>4</v>
      </c>
    </row>
    <row r="2922" spans="1:7" s="145" customFormat="1" ht="78.75" customHeight="1">
      <c r="A2922" s="1073" t="s">
        <v>803</v>
      </c>
      <c r="B2922" s="1115"/>
      <c r="C2922" s="980" t="s">
        <v>672</v>
      </c>
      <c r="D2922" s="1115"/>
      <c r="E2922" s="1115"/>
      <c r="F2922" s="162" t="s">
        <v>28</v>
      </c>
      <c r="G2922" s="52">
        <v>1</v>
      </c>
    </row>
    <row r="2923" spans="1:7" s="145" customFormat="1" ht="15" customHeight="1">
      <c r="A2923" s="1130" t="s">
        <v>5</v>
      </c>
      <c r="B2923" s="1131"/>
      <c r="C2923" s="1131"/>
      <c r="D2923" s="1131"/>
      <c r="E2923" s="1131"/>
      <c r="F2923" s="1131"/>
      <c r="G2923" s="1132"/>
    </row>
    <row r="2924" spans="1:7" s="145" customFormat="1" ht="15" customHeight="1">
      <c r="A2924" s="1027" t="s">
        <v>2</v>
      </c>
      <c r="B2924" s="1028"/>
      <c r="C2924" s="53" t="s">
        <v>3</v>
      </c>
      <c r="D2924" s="53" t="s">
        <v>4</v>
      </c>
      <c r="E2924" s="53" t="s">
        <v>6</v>
      </c>
      <c r="F2924" s="53" t="s">
        <v>7</v>
      </c>
      <c r="G2924" s="1029" t="s">
        <v>8</v>
      </c>
    </row>
    <row r="2925" spans="1:7" s="145" customFormat="1" ht="15" customHeight="1">
      <c r="A2925" s="1015" t="s">
        <v>167</v>
      </c>
      <c r="B2925" s="1016"/>
      <c r="C2925" s="51" t="s">
        <v>3</v>
      </c>
      <c r="D2925" s="51">
        <v>0.05</v>
      </c>
      <c r="E2925" s="17">
        <f>G2943</f>
        <v>20030</v>
      </c>
      <c r="F2925" s="55">
        <f>D2925*E2925</f>
        <v>1001.5</v>
      </c>
      <c r="G2925" s="1031"/>
    </row>
    <row r="2926" spans="1:7" s="145" customFormat="1" ht="15" customHeight="1">
      <c r="A2926" s="1019"/>
      <c r="B2926" s="1020"/>
      <c r="C2926" s="51"/>
      <c r="D2926" s="51"/>
      <c r="E2926" s="51"/>
      <c r="F2926" s="55"/>
      <c r="G2926" s="57">
        <f>SUM(F2924:F2926)</f>
        <v>1001.5</v>
      </c>
    </row>
    <row r="2927" spans="1:7" s="145" customFormat="1" ht="15" customHeight="1">
      <c r="A2927" s="1130" t="s">
        <v>10</v>
      </c>
      <c r="B2927" s="1131"/>
      <c r="C2927" s="1131"/>
      <c r="D2927" s="1131"/>
      <c r="E2927" s="1131"/>
      <c r="F2927" s="1131"/>
      <c r="G2927" s="1132"/>
    </row>
    <row r="2928" spans="1:7" s="145" customFormat="1" ht="15" customHeight="1">
      <c r="A2928" s="1027" t="s">
        <v>2</v>
      </c>
      <c r="B2928" s="1028"/>
      <c r="C2928" s="53" t="s">
        <v>3</v>
      </c>
      <c r="D2928" s="53" t="s">
        <v>4</v>
      </c>
      <c r="E2928" s="53" t="s">
        <v>6</v>
      </c>
      <c r="F2928" s="53" t="s">
        <v>11</v>
      </c>
      <c r="G2928" s="1029" t="s">
        <v>8</v>
      </c>
    </row>
    <row r="2929" spans="1:7" s="145" customFormat="1" ht="15" customHeight="1">
      <c r="A2929" s="1015" t="s">
        <v>615</v>
      </c>
      <c r="B2929" s="1016"/>
      <c r="C2929" s="148" t="s">
        <v>3</v>
      </c>
      <c r="D2929" s="148">
        <v>1</v>
      </c>
      <c r="E2929" s="17">
        <f>+'INSUMOS ELÉCTRICOS'!E28</f>
        <v>2946.44</v>
      </c>
      <c r="F2929" s="149">
        <f t="shared" ref="F2929:F2934" si="42">D2929*E2929</f>
        <v>2946.44</v>
      </c>
      <c r="G2929" s="1030"/>
    </row>
    <row r="2930" spans="1:7" s="145" customFormat="1" ht="15" customHeight="1">
      <c r="A2930" s="1015" t="s">
        <v>642</v>
      </c>
      <c r="B2930" s="1016"/>
      <c r="C2930" s="148" t="s">
        <v>622</v>
      </c>
      <c r="D2930" s="16">
        <v>12.6</v>
      </c>
      <c r="E2930" s="17">
        <v>2567.4964</v>
      </c>
      <c r="F2930" s="149">
        <f t="shared" si="42"/>
        <v>32350.45464</v>
      </c>
      <c r="G2930" s="1030"/>
    </row>
    <row r="2931" spans="1:7" s="145" customFormat="1" ht="15" customHeight="1">
      <c r="A2931" s="1015" t="s">
        <v>643</v>
      </c>
      <c r="B2931" s="1016"/>
      <c r="C2931" s="148" t="s">
        <v>3</v>
      </c>
      <c r="D2931" s="148">
        <v>4</v>
      </c>
      <c r="E2931" s="17">
        <f>+'INSUMOS ELÉCTRICOS'!E121</f>
        <v>1189</v>
      </c>
      <c r="F2931" s="149">
        <f t="shared" si="42"/>
        <v>4756</v>
      </c>
      <c r="G2931" s="1030"/>
    </row>
    <row r="2932" spans="1:7" s="145" customFormat="1" ht="15.75" customHeight="1">
      <c r="A2932" s="1015" t="s">
        <v>645</v>
      </c>
      <c r="B2932" s="1016"/>
      <c r="C2932" s="148" t="s">
        <v>3</v>
      </c>
      <c r="D2932" s="148">
        <v>0.02</v>
      </c>
      <c r="E2932" s="17">
        <v>5598.95</v>
      </c>
      <c r="F2932" s="149">
        <f t="shared" si="42"/>
        <v>111.979</v>
      </c>
      <c r="G2932" s="1030"/>
    </row>
    <row r="2933" spans="1:7" s="145" customFormat="1" ht="15" customHeight="1">
      <c r="A2933" s="1015" t="s">
        <v>646</v>
      </c>
      <c r="B2933" s="1016"/>
      <c r="C2933" s="148" t="s">
        <v>3</v>
      </c>
      <c r="D2933" s="148">
        <v>0.02</v>
      </c>
      <c r="E2933" s="17">
        <f>+'INSUMOS ELÉCTRICOS'!E120</f>
        <v>25000</v>
      </c>
      <c r="F2933" s="149">
        <f t="shared" si="42"/>
        <v>500</v>
      </c>
      <c r="G2933" s="1030"/>
    </row>
    <row r="2934" spans="1:7" s="145" customFormat="1" ht="15" customHeight="1">
      <c r="A2934" s="1133" t="s">
        <v>674</v>
      </c>
      <c r="B2934" s="1134"/>
      <c r="C2934" s="148" t="s">
        <v>3</v>
      </c>
      <c r="D2934" s="148">
        <v>1</v>
      </c>
      <c r="E2934" s="17">
        <f>+'INSUMOS ELÉCTRICOS'!E12</f>
        <v>14000</v>
      </c>
      <c r="F2934" s="149">
        <f t="shared" si="42"/>
        <v>14000</v>
      </c>
      <c r="G2934" s="1031"/>
    </row>
    <row r="2935" spans="1:7" s="145" customFormat="1" ht="15" customHeight="1">
      <c r="A2935" s="1015"/>
      <c r="B2935" s="1016"/>
      <c r="C2935" s="16"/>
      <c r="D2935" s="58"/>
      <c r="E2935" s="17"/>
      <c r="F2935" s="55"/>
      <c r="G2935" s="57">
        <f>SUM(F2928:F2935)</f>
        <v>54664.873639999998</v>
      </c>
    </row>
    <row r="2936" spans="1:7" s="145" customFormat="1" ht="15.75" customHeight="1">
      <c r="A2936" s="1130" t="s">
        <v>15</v>
      </c>
      <c r="B2936" s="1131"/>
      <c r="C2936" s="1131"/>
      <c r="D2936" s="1131"/>
      <c r="E2936" s="1131"/>
      <c r="F2936" s="1131"/>
      <c r="G2936" s="1132"/>
    </row>
    <row r="2937" spans="1:7" s="145" customFormat="1" ht="24" customHeight="1">
      <c r="A2937" s="1027" t="s">
        <v>2</v>
      </c>
      <c r="B2937" s="1028"/>
      <c r="C2937" s="53" t="s">
        <v>3</v>
      </c>
      <c r="D2937" s="53" t="s">
        <v>4</v>
      </c>
      <c r="E2937" s="53" t="s">
        <v>6</v>
      </c>
      <c r="F2937" s="53" t="s">
        <v>11</v>
      </c>
      <c r="G2937" s="1029" t="s">
        <v>8</v>
      </c>
    </row>
    <row r="2938" spans="1:7" s="145" customFormat="1" ht="15.6" customHeight="1">
      <c r="A2938" s="1019" t="s">
        <v>173</v>
      </c>
      <c r="B2938" s="1020"/>
      <c r="C2938" s="16" t="s">
        <v>3</v>
      </c>
      <c r="D2938" s="16">
        <v>0.05</v>
      </c>
      <c r="E2938" s="17">
        <f>G2935</f>
        <v>54664.873639999998</v>
      </c>
      <c r="F2938" s="55">
        <f>D2938*E2938</f>
        <v>2733.2436820000003</v>
      </c>
      <c r="G2938" s="1031"/>
    </row>
    <row r="2939" spans="1:7" s="145" customFormat="1" ht="15.75" customHeight="1">
      <c r="A2939" s="151"/>
      <c r="B2939" s="152"/>
      <c r="C2939" s="152"/>
      <c r="D2939" s="152"/>
      <c r="E2939" s="152"/>
      <c r="F2939" s="152"/>
      <c r="G2939" s="57">
        <f>SUM(F2938:F2939)</f>
        <v>2733.2436820000003</v>
      </c>
    </row>
    <row r="2940" spans="1:7" s="145" customFormat="1" ht="13.8">
      <c r="A2940" s="1130" t="s">
        <v>19</v>
      </c>
      <c r="B2940" s="1131"/>
      <c r="C2940" s="1131"/>
      <c r="D2940" s="1131"/>
      <c r="E2940" s="1131"/>
      <c r="F2940" s="1131"/>
      <c r="G2940" s="1132"/>
    </row>
    <row r="2941" spans="1:7" s="145" customFormat="1" ht="15" customHeight="1">
      <c r="A2941" s="1027" t="s">
        <v>2</v>
      </c>
      <c r="B2941" s="1028"/>
      <c r="C2941" s="53" t="s">
        <v>3</v>
      </c>
      <c r="D2941" s="53" t="s">
        <v>4</v>
      </c>
      <c r="E2941" s="53" t="s">
        <v>6</v>
      </c>
      <c r="F2941" s="53" t="s">
        <v>11</v>
      </c>
      <c r="G2941" s="1029" t="s">
        <v>8</v>
      </c>
    </row>
    <row r="2942" spans="1:7" s="145" customFormat="1" ht="15" customHeight="1">
      <c r="A2942" s="978" t="s">
        <v>1256</v>
      </c>
      <c r="B2942" s="979"/>
      <c r="C2942" s="13" t="s">
        <v>1245</v>
      </c>
      <c r="D2942" s="32">
        <v>1</v>
      </c>
      <c r="E2942" s="13">
        <v>20030</v>
      </c>
      <c r="F2942" s="55">
        <f>+D2942*E2942</f>
        <v>20030</v>
      </c>
      <c r="G2942" s="1031"/>
    </row>
    <row r="2943" spans="1:7" s="145" customFormat="1" ht="15" customHeight="1">
      <c r="A2943" s="155"/>
      <c r="B2943" s="156"/>
      <c r="C2943" s="156"/>
      <c r="D2943" s="156"/>
      <c r="E2943" s="156"/>
      <c r="F2943" s="156"/>
      <c r="G2943" s="57">
        <f>SUM(F2941:F2943)</f>
        <v>20030</v>
      </c>
    </row>
    <row r="2944" spans="1:7" s="145" customFormat="1" ht="15" customHeight="1">
      <c r="A2944" s="1119" t="s">
        <v>25</v>
      </c>
      <c r="B2944" s="1120"/>
      <c r="C2944" s="1120"/>
      <c r="D2944" s="1120"/>
      <c r="E2944" s="1120"/>
      <c r="F2944" s="1120"/>
      <c r="G2944" s="1121"/>
    </row>
    <row r="2945" spans="1:7" s="145" customFormat="1" ht="15" customHeight="1">
      <c r="A2945" s="1122"/>
      <c r="B2945" s="1120"/>
      <c r="C2945" s="1120"/>
      <c r="D2945" s="1120"/>
      <c r="E2945" s="1120"/>
      <c r="F2945" s="1120"/>
      <c r="G2945" s="157">
        <f>G2943+G2939+G2935+G2926</f>
        <v>78429.617322000006</v>
      </c>
    </row>
    <row r="2946" spans="1:7" s="145" customFormat="1" ht="15" customHeight="1">
      <c r="A2946" s="158"/>
      <c r="B2946" s="159"/>
      <c r="C2946" s="159"/>
      <c r="D2946" s="159"/>
      <c r="E2946" s="159"/>
      <c r="F2946" s="159"/>
      <c r="G2946" s="160"/>
    </row>
    <row r="2947" spans="1:7" s="145" customFormat="1" ht="15" customHeight="1">
      <c r="A2947" s="1123" t="s">
        <v>1</v>
      </c>
      <c r="B2947" s="1120"/>
      <c r="C2947" s="953" t="s">
        <v>594</v>
      </c>
      <c r="D2947" s="1125"/>
      <c r="E2947" s="1125"/>
      <c r="F2947" s="1125"/>
      <c r="G2947" s="1126"/>
    </row>
    <row r="2948" spans="1:7" s="145" customFormat="1" ht="15" customHeight="1">
      <c r="A2948" s="1124"/>
      <c r="B2948" s="1120"/>
      <c r="C2948" s="1125"/>
      <c r="D2948" s="1125"/>
      <c r="E2948" s="1125"/>
      <c r="F2948" s="1125"/>
      <c r="G2948" s="1126"/>
    </row>
    <row r="2949" spans="1:7" s="145" customFormat="1" ht="15" customHeight="1">
      <c r="A2949" s="1124"/>
      <c r="B2949" s="1120"/>
      <c r="C2949" s="1127" t="s">
        <v>665</v>
      </c>
      <c r="D2949" s="1120"/>
      <c r="E2949" s="1120"/>
      <c r="F2949" s="1120"/>
      <c r="G2949" s="1121"/>
    </row>
    <row r="2950" spans="1:7" s="145" customFormat="1" ht="15" customHeight="1">
      <c r="A2950" s="1124"/>
      <c r="B2950" s="1120"/>
      <c r="C2950" s="1128" t="s">
        <v>2</v>
      </c>
      <c r="D2950" s="1120"/>
      <c r="E2950" s="1120"/>
      <c r="F2950" s="146" t="s">
        <v>3</v>
      </c>
      <c r="G2950" s="147" t="s">
        <v>4</v>
      </c>
    </row>
    <row r="2951" spans="1:7" s="145" customFormat="1" ht="83.25" customHeight="1">
      <c r="A2951" s="1073" t="s">
        <v>804</v>
      </c>
      <c r="B2951" s="1115"/>
      <c r="C2951" s="980" t="s">
        <v>805</v>
      </c>
      <c r="D2951" s="1115"/>
      <c r="E2951" s="1115"/>
      <c r="F2951" s="162" t="s">
        <v>28</v>
      </c>
      <c r="G2951" s="52">
        <v>1</v>
      </c>
    </row>
    <row r="2952" spans="1:7" s="145" customFormat="1" ht="15" customHeight="1">
      <c r="A2952" s="1114" t="s">
        <v>5</v>
      </c>
      <c r="B2952" s="1115"/>
      <c r="C2952" s="1115"/>
      <c r="D2952" s="1115"/>
      <c r="E2952" s="1115"/>
      <c r="F2952" s="1115"/>
      <c r="G2952" s="1116"/>
    </row>
    <row r="2953" spans="1:7" s="145" customFormat="1" ht="15" customHeight="1">
      <c r="A2953" s="1074" t="s">
        <v>2</v>
      </c>
      <c r="B2953" s="1115"/>
      <c r="C2953" s="53" t="s">
        <v>3</v>
      </c>
      <c r="D2953" s="53" t="s">
        <v>4</v>
      </c>
      <c r="E2953" s="53" t="s">
        <v>6</v>
      </c>
      <c r="F2953" s="53" t="s">
        <v>7</v>
      </c>
      <c r="G2953" s="1075" t="s">
        <v>8</v>
      </c>
    </row>
    <row r="2954" spans="1:7" s="145" customFormat="1" ht="15" customHeight="1">
      <c r="A2954" s="947" t="s">
        <v>167</v>
      </c>
      <c r="B2954" s="1115"/>
      <c r="C2954" s="51" t="s">
        <v>3</v>
      </c>
      <c r="D2954" s="51">
        <v>0.05</v>
      </c>
      <c r="E2954" s="17">
        <f>G2972</f>
        <v>20030</v>
      </c>
      <c r="F2954" s="55">
        <f>D2954*E2954</f>
        <v>1001.5</v>
      </c>
      <c r="G2954" s="1116"/>
    </row>
    <row r="2955" spans="1:7" s="145" customFormat="1" ht="15" customHeight="1">
      <c r="A2955" s="943"/>
      <c r="B2955" s="1115"/>
      <c r="C2955" s="51"/>
      <c r="D2955" s="51"/>
      <c r="E2955" s="51"/>
      <c r="F2955" s="55"/>
      <c r="G2955" s="57">
        <f>SUM(F2953:F2955)</f>
        <v>1001.5</v>
      </c>
    </row>
    <row r="2956" spans="1:7" s="145" customFormat="1" ht="15" customHeight="1">
      <c r="A2956" s="1114" t="s">
        <v>10</v>
      </c>
      <c r="B2956" s="1115"/>
      <c r="C2956" s="1115"/>
      <c r="D2956" s="1115"/>
      <c r="E2956" s="1115"/>
      <c r="F2956" s="1115"/>
      <c r="G2956" s="1116"/>
    </row>
    <row r="2957" spans="1:7" s="145" customFormat="1" ht="15" customHeight="1">
      <c r="A2957" s="1074" t="s">
        <v>2</v>
      </c>
      <c r="B2957" s="1115"/>
      <c r="C2957" s="53" t="s">
        <v>3</v>
      </c>
      <c r="D2957" s="53" t="s">
        <v>4</v>
      </c>
      <c r="E2957" s="53" t="s">
        <v>6</v>
      </c>
      <c r="F2957" s="53" t="s">
        <v>11</v>
      </c>
      <c r="G2957" s="1075" t="s">
        <v>8</v>
      </c>
    </row>
    <row r="2958" spans="1:7" s="145" customFormat="1" ht="15" customHeight="1">
      <c r="A2958" s="947" t="s">
        <v>615</v>
      </c>
      <c r="B2958" s="980"/>
      <c r="C2958" s="148" t="s">
        <v>3</v>
      </c>
      <c r="D2958" s="148">
        <v>1</v>
      </c>
      <c r="E2958" s="17">
        <f>+'INSUMOS ELÉCTRICOS'!E28</f>
        <v>2946.44</v>
      </c>
      <c r="F2958" s="149">
        <f t="shared" ref="F2958:F2963" si="43">D2958*E2958</f>
        <v>2946.44</v>
      </c>
      <c r="G2958" s="1075"/>
    </row>
    <row r="2959" spans="1:7" s="145" customFormat="1" ht="15" customHeight="1">
      <c r="A2959" s="947" t="s">
        <v>642</v>
      </c>
      <c r="B2959" s="980"/>
      <c r="C2959" s="148" t="s">
        <v>622</v>
      </c>
      <c r="D2959" s="16">
        <v>12.6</v>
      </c>
      <c r="E2959" s="17">
        <v>2567.4964</v>
      </c>
      <c r="F2959" s="149">
        <f t="shared" si="43"/>
        <v>32350.45464</v>
      </c>
      <c r="G2959" s="1075"/>
    </row>
    <row r="2960" spans="1:7" s="145" customFormat="1" ht="15" customHeight="1">
      <c r="A2960" s="947" t="s">
        <v>643</v>
      </c>
      <c r="B2960" s="980"/>
      <c r="C2960" s="148" t="s">
        <v>3</v>
      </c>
      <c r="D2960" s="148">
        <v>4</v>
      </c>
      <c r="E2960" s="17">
        <f>+'INSUMOS ELÉCTRICOS'!E121</f>
        <v>1189</v>
      </c>
      <c r="F2960" s="149">
        <f t="shared" si="43"/>
        <v>4756</v>
      </c>
      <c r="G2960" s="1075"/>
    </row>
    <row r="2961" spans="1:7" s="145" customFormat="1" ht="15.75" customHeight="1">
      <c r="A2961" s="947" t="s">
        <v>645</v>
      </c>
      <c r="B2961" s="980"/>
      <c r="C2961" s="148" t="s">
        <v>3</v>
      </c>
      <c r="D2961" s="148">
        <v>0.02</v>
      </c>
      <c r="E2961" s="17">
        <v>5598.95</v>
      </c>
      <c r="F2961" s="149">
        <f t="shared" si="43"/>
        <v>111.979</v>
      </c>
      <c r="G2961" s="1075"/>
    </row>
    <row r="2962" spans="1:7" s="145" customFormat="1" ht="15" customHeight="1">
      <c r="A2962" s="947" t="s">
        <v>646</v>
      </c>
      <c r="B2962" s="980"/>
      <c r="C2962" s="148" t="s">
        <v>3</v>
      </c>
      <c r="D2962" s="148">
        <v>0.02</v>
      </c>
      <c r="E2962" s="17">
        <f>+'INSUMOS ELÉCTRICOS'!E120</f>
        <v>25000</v>
      </c>
      <c r="F2962" s="149">
        <f t="shared" si="43"/>
        <v>500</v>
      </c>
      <c r="G2962" s="1075"/>
    </row>
    <row r="2963" spans="1:7" s="145" customFormat="1" ht="15" customHeight="1">
      <c r="A2963" s="1117" t="s">
        <v>674</v>
      </c>
      <c r="B2963" s="1118"/>
      <c r="C2963" s="148" t="s">
        <v>3</v>
      </c>
      <c r="D2963" s="148">
        <v>1</v>
      </c>
      <c r="E2963" s="17">
        <f>+'INSUMOS ELÉCTRICOS'!E12</f>
        <v>14000</v>
      </c>
      <c r="F2963" s="149">
        <f t="shared" si="43"/>
        <v>14000</v>
      </c>
      <c r="G2963" s="1075"/>
    </row>
    <row r="2964" spans="1:7" s="145" customFormat="1" ht="15" customHeight="1">
      <c r="A2964" s="947"/>
      <c r="B2964" s="1115"/>
      <c r="C2964" s="16"/>
      <c r="D2964" s="58"/>
      <c r="E2964" s="17"/>
      <c r="F2964" s="55"/>
      <c r="G2964" s="57">
        <f>SUM(F2957:F2964)</f>
        <v>54664.873639999998</v>
      </c>
    </row>
    <row r="2965" spans="1:7" s="145" customFormat="1" ht="15.75" customHeight="1">
      <c r="A2965" s="1114" t="s">
        <v>15</v>
      </c>
      <c r="B2965" s="1115"/>
      <c r="C2965" s="1115"/>
      <c r="D2965" s="1115"/>
      <c r="E2965" s="1115"/>
      <c r="F2965" s="1115"/>
      <c r="G2965" s="1116"/>
    </row>
    <row r="2966" spans="1:7" s="2" customFormat="1" ht="15.75" customHeight="1">
      <c r="A2966" s="1074" t="s">
        <v>2</v>
      </c>
      <c r="B2966" s="1115"/>
      <c r="C2966" s="53" t="s">
        <v>3</v>
      </c>
      <c r="D2966" s="53" t="s">
        <v>4</v>
      </c>
      <c r="E2966" s="53" t="s">
        <v>6</v>
      </c>
      <c r="F2966" s="53" t="s">
        <v>11</v>
      </c>
      <c r="G2966" s="1075" t="s">
        <v>8</v>
      </c>
    </row>
    <row r="2967" spans="1:7" s="145" customFormat="1" ht="15" customHeight="1">
      <c r="A2967" s="943" t="s">
        <v>173</v>
      </c>
      <c r="B2967" s="1115"/>
      <c r="C2967" s="16" t="s">
        <v>3</v>
      </c>
      <c r="D2967" s="16">
        <v>0.05</v>
      </c>
      <c r="E2967" s="17">
        <f>G2964</f>
        <v>54664.873639999998</v>
      </c>
      <c r="F2967" s="55">
        <f>D2967*E2967</f>
        <v>2733.2436820000003</v>
      </c>
      <c r="G2967" s="1116"/>
    </row>
    <row r="2968" spans="1:7" s="145" customFormat="1" ht="15.75" customHeight="1">
      <c r="A2968" s="151"/>
      <c r="B2968" s="152"/>
      <c r="C2968" s="152"/>
      <c r="D2968" s="152"/>
      <c r="E2968" s="152"/>
      <c r="F2968" s="152"/>
      <c r="G2968" s="57">
        <f>SUM(F2967:F2968)</f>
        <v>2733.2436820000003</v>
      </c>
    </row>
    <row r="2969" spans="1:7" s="145" customFormat="1" ht="15.75" customHeight="1">
      <c r="A2969" s="1114" t="s">
        <v>19</v>
      </c>
      <c r="B2969" s="1115"/>
      <c r="C2969" s="1115"/>
      <c r="D2969" s="1115"/>
      <c r="E2969" s="1115"/>
      <c r="F2969" s="1115"/>
      <c r="G2969" s="1116"/>
    </row>
    <row r="2970" spans="1:7" s="145" customFormat="1" ht="15" customHeight="1">
      <c r="A2970" s="1074" t="s">
        <v>2</v>
      </c>
      <c r="B2970" s="1115"/>
      <c r="C2970" s="53" t="s">
        <v>3</v>
      </c>
      <c r="D2970" s="53" t="s">
        <v>4</v>
      </c>
      <c r="E2970" s="53" t="s">
        <v>6</v>
      </c>
      <c r="F2970" s="53" t="s">
        <v>11</v>
      </c>
      <c r="G2970" s="1075" t="s">
        <v>8</v>
      </c>
    </row>
    <row r="2971" spans="1:7" s="145" customFormat="1" ht="15.75" customHeight="1">
      <c r="A2971" s="978" t="s">
        <v>1256</v>
      </c>
      <c r="B2971" s="979"/>
      <c r="C2971" s="13" t="s">
        <v>1245</v>
      </c>
      <c r="D2971" s="32">
        <v>1</v>
      </c>
      <c r="E2971" s="13">
        <v>20030</v>
      </c>
      <c r="F2971" s="55">
        <f>+D2971*E2971</f>
        <v>20030</v>
      </c>
      <c r="G2971" s="1116"/>
    </row>
    <row r="2972" spans="1:7" s="145" customFormat="1" ht="24" customHeight="1">
      <c r="A2972" s="155"/>
      <c r="B2972" s="156"/>
      <c r="C2972" s="156"/>
      <c r="D2972" s="156"/>
      <c r="E2972" s="156"/>
      <c r="F2972" s="156"/>
      <c r="G2972" s="57">
        <f>SUM(F2970:F2972)</f>
        <v>20030</v>
      </c>
    </row>
    <row r="2973" spans="1:7" s="145" customFormat="1" ht="15.75" customHeight="1">
      <c r="A2973" s="1119" t="s">
        <v>25</v>
      </c>
      <c r="B2973" s="1120"/>
      <c r="C2973" s="1120"/>
      <c r="D2973" s="1120"/>
      <c r="E2973" s="1120"/>
      <c r="F2973" s="1120"/>
      <c r="G2973" s="1121"/>
    </row>
    <row r="2974" spans="1:7" s="145" customFormat="1" ht="15.75" customHeight="1">
      <c r="A2974" s="1122"/>
      <c r="B2974" s="1120"/>
      <c r="C2974" s="1120"/>
      <c r="D2974" s="1120"/>
      <c r="E2974" s="1120"/>
      <c r="F2974" s="1120"/>
      <c r="G2974" s="157">
        <f>G2964+G2972+G2955+G2968</f>
        <v>78429.617322000006</v>
      </c>
    </row>
    <row r="2975" spans="1:7" s="145" customFormat="1" ht="15.75" customHeight="1">
      <c r="A2975" s="158"/>
      <c r="B2975" s="159"/>
      <c r="C2975" s="159"/>
      <c r="D2975" s="159"/>
      <c r="E2975" s="159"/>
      <c r="F2975" s="159"/>
      <c r="G2975" s="160"/>
    </row>
    <row r="2976" spans="1:7" s="150" customFormat="1" ht="16.2" customHeight="1">
      <c r="A2976" s="1123" t="s">
        <v>1</v>
      </c>
      <c r="B2976" s="1120"/>
      <c r="C2976" s="953" t="s">
        <v>594</v>
      </c>
      <c r="D2976" s="1125"/>
      <c r="E2976" s="1125"/>
      <c r="F2976" s="1125"/>
      <c r="G2976" s="1126"/>
    </row>
    <row r="2977" spans="1:7" s="145" customFormat="1" ht="16.2" customHeight="1">
      <c r="A2977" s="1124"/>
      <c r="B2977" s="1120"/>
      <c r="C2977" s="1125"/>
      <c r="D2977" s="1125"/>
      <c r="E2977" s="1125"/>
      <c r="F2977" s="1125"/>
      <c r="G2977" s="1126"/>
    </row>
    <row r="2978" spans="1:7" s="145" customFormat="1" ht="16.2" customHeight="1">
      <c r="A2978" s="1124"/>
      <c r="B2978" s="1120"/>
      <c r="C2978" s="1127" t="s">
        <v>689</v>
      </c>
      <c r="D2978" s="1120"/>
      <c r="E2978" s="1120"/>
      <c r="F2978" s="1120"/>
      <c r="G2978" s="1121"/>
    </row>
    <row r="2979" spans="1:7" s="145" customFormat="1" ht="16.2" customHeight="1">
      <c r="A2979" s="1124"/>
      <c r="B2979" s="1120"/>
      <c r="C2979" s="1128" t="s">
        <v>2</v>
      </c>
      <c r="D2979" s="1120"/>
      <c r="E2979" s="1120"/>
      <c r="F2979" s="146" t="s">
        <v>3</v>
      </c>
      <c r="G2979" s="147" t="s">
        <v>4</v>
      </c>
    </row>
    <row r="2980" spans="1:7" s="145" customFormat="1" ht="42" customHeight="1">
      <c r="A2980" s="1073" t="s">
        <v>806</v>
      </c>
      <c r="B2980" s="1115"/>
      <c r="C2980" s="980" t="s">
        <v>2780</v>
      </c>
      <c r="D2980" s="1115"/>
      <c r="E2980" s="1115"/>
      <c r="F2980" s="162" t="s">
        <v>28</v>
      </c>
      <c r="G2980" s="52">
        <v>1</v>
      </c>
    </row>
    <row r="2981" spans="1:7" s="145" customFormat="1" ht="16.2" customHeight="1">
      <c r="A2981" s="1114" t="s">
        <v>5</v>
      </c>
      <c r="B2981" s="1115"/>
      <c r="C2981" s="1115"/>
      <c r="D2981" s="1115"/>
      <c r="E2981" s="1115"/>
      <c r="F2981" s="1115"/>
      <c r="G2981" s="1116"/>
    </row>
    <row r="2982" spans="1:7" s="145" customFormat="1" ht="16.2" customHeight="1">
      <c r="A2982" s="1074" t="s">
        <v>2</v>
      </c>
      <c r="B2982" s="1115"/>
      <c r="C2982" s="53" t="s">
        <v>3</v>
      </c>
      <c r="D2982" s="53" t="s">
        <v>4</v>
      </c>
      <c r="E2982" s="53" t="s">
        <v>6</v>
      </c>
      <c r="F2982" s="53" t="s">
        <v>7</v>
      </c>
      <c r="G2982" s="1075" t="s">
        <v>8</v>
      </c>
    </row>
    <row r="2983" spans="1:7" s="145" customFormat="1" ht="16.2" customHeight="1">
      <c r="A2983" s="947" t="s">
        <v>167</v>
      </c>
      <c r="B2983" s="1115"/>
      <c r="C2983" s="51" t="s">
        <v>3</v>
      </c>
      <c r="D2983" s="51">
        <v>0.05</v>
      </c>
      <c r="E2983" s="17">
        <f>G3000</f>
        <v>9020.5</v>
      </c>
      <c r="F2983" s="55">
        <f>D2983*E2983</f>
        <v>451.02500000000003</v>
      </c>
      <c r="G2983" s="1116"/>
    </row>
    <row r="2984" spans="1:7" s="145" customFormat="1" ht="16.2" customHeight="1">
      <c r="A2984" s="943"/>
      <c r="B2984" s="1115"/>
      <c r="C2984" s="51"/>
      <c r="D2984" s="51"/>
      <c r="E2984" s="51"/>
      <c r="F2984" s="55"/>
      <c r="G2984" s="57">
        <f>SUM(F2982:F2984)</f>
        <v>451.02500000000003</v>
      </c>
    </row>
    <row r="2985" spans="1:7" s="145" customFormat="1" ht="16.2" customHeight="1">
      <c r="A2985" s="1114" t="s">
        <v>10</v>
      </c>
      <c r="B2985" s="1115"/>
      <c r="C2985" s="1115"/>
      <c r="D2985" s="1115"/>
      <c r="E2985" s="1115"/>
      <c r="F2985" s="1115"/>
      <c r="G2985" s="1116"/>
    </row>
    <row r="2986" spans="1:7" s="145" customFormat="1" ht="16.2" customHeight="1">
      <c r="A2986" s="1074" t="s">
        <v>2</v>
      </c>
      <c r="B2986" s="1115"/>
      <c r="C2986" s="53" t="s">
        <v>3</v>
      </c>
      <c r="D2986" s="53" t="s">
        <v>4</v>
      </c>
      <c r="E2986" s="53" t="s">
        <v>6</v>
      </c>
      <c r="F2986" s="53" t="s">
        <v>11</v>
      </c>
      <c r="G2986" s="1075" t="s">
        <v>8</v>
      </c>
    </row>
    <row r="2987" spans="1:7" s="150" customFormat="1" ht="16.2" customHeight="1">
      <c r="A2987" s="1117" t="s">
        <v>643</v>
      </c>
      <c r="B2987" s="1118"/>
      <c r="C2987" s="148" t="s">
        <v>3</v>
      </c>
      <c r="D2987" s="148">
        <v>2</v>
      </c>
      <c r="E2987" s="17">
        <f>+'INSUMOS ELÉCTRICOS'!E121</f>
        <v>1189</v>
      </c>
      <c r="F2987" s="149">
        <f>D2987*E2987</f>
        <v>2378</v>
      </c>
      <c r="G2987" s="1075"/>
    </row>
    <row r="2988" spans="1:7" s="145" customFormat="1" ht="15.75" customHeight="1">
      <c r="A2988" s="1117" t="s">
        <v>692</v>
      </c>
      <c r="B2988" s="1118"/>
      <c r="C2988" s="148" t="s">
        <v>3</v>
      </c>
      <c r="D2988" s="148">
        <v>1</v>
      </c>
      <c r="E2988" s="17">
        <f>+'INSUMOS ELÉCTRICOS'!E122</f>
        <v>6679</v>
      </c>
      <c r="F2988" s="149">
        <f>D2988*E2988</f>
        <v>6679</v>
      </c>
      <c r="G2988" s="1075"/>
    </row>
    <row r="2989" spans="1:7" s="145" customFormat="1" ht="15.75" customHeight="1">
      <c r="A2989" s="1117" t="s">
        <v>693</v>
      </c>
      <c r="B2989" s="1118"/>
      <c r="C2989" s="148" t="s">
        <v>3</v>
      </c>
      <c r="D2989" s="148">
        <v>1</v>
      </c>
      <c r="E2989" s="17">
        <f>+'INSUMOS ELÉCTRICOS'!E181</f>
        <v>47900</v>
      </c>
      <c r="F2989" s="149">
        <f>D2989*E2989</f>
        <v>47900</v>
      </c>
      <c r="G2989" s="1075"/>
    </row>
    <row r="2990" spans="1:7" s="145" customFormat="1" ht="15.75" customHeight="1">
      <c r="A2990" s="1117" t="s">
        <v>694</v>
      </c>
      <c r="B2990" s="1118"/>
      <c r="C2990" s="148" t="s">
        <v>3</v>
      </c>
      <c r="D2990" s="148">
        <v>1</v>
      </c>
      <c r="E2990" s="17">
        <f>+'INSUMOS ELÉCTRICOS'!E124</f>
        <v>6399.82</v>
      </c>
      <c r="F2990" s="149">
        <f>D2990*E2990</f>
        <v>6399.82</v>
      </c>
      <c r="G2990" s="1075"/>
    </row>
    <row r="2991" spans="1:7" s="145" customFormat="1" ht="15" customHeight="1">
      <c r="A2991" s="1117" t="s">
        <v>612</v>
      </c>
      <c r="B2991" s="1118"/>
      <c r="C2991" s="148" t="s">
        <v>3</v>
      </c>
      <c r="D2991" s="148">
        <v>10</v>
      </c>
      <c r="E2991" s="17">
        <f>+'INSUMOS ELÉCTRICOS'!E126</f>
        <v>348.66999999999996</v>
      </c>
      <c r="F2991" s="149">
        <f>D2991*E2991</f>
        <v>3486.7</v>
      </c>
      <c r="G2991" s="1075"/>
    </row>
    <row r="2992" spans="1:7" s="145" customFormat="1" ht="15.75" customHeight="1">
      <c r="A2992" s="947"/>
      <c r="B2992" s="1115"/>
      <c r="C2992" s="16"/>
      <c r="D2992" s="58"/>
      <c r="E2992" s="17"/>
      <c r="F2992" s="55"/>
      <c r="G2992" s="57">
        <f>SUM(F2986:F2992)</f>
        <v>66843.520000000004</v>
      </c>
    </row>
    <row r="2993" spans="1:7" s="145" customFormat="1" ht="15.75" customHeight="1">
      <c r="A2993" s="1114" t="s">
        <v>15</v>
      </c>
      <c r="B2993" s="1115"/>
      <c r="C2993" s="1115"/>
      <c r="D2993" s="1115"/>
      <c r="E2993" s="1115"/>
      <c r="F2993" s="1115"/>
      <c r="G2993" s="1116"/>
    </row>
    <row r="2994" spans="1:7" s="145" customFormat="1" ht="15.75" customHeight="1">
      <c r="A2994" s="1074" t="s">
        <v>2</v>
      </c>
      <c r="B2994" s="1115"/>
      <c r="C2994" s="53" t="s">
        <v>3</v>
      </c>
      <c r="D2994" s="53" t="s">
        <v>4</v>
      </c>
      <c r="E2994" s="53" t="s">
        <v>6</v>
      </c>
      <c r="F2994" s="53" t="s">
        <v>11</v>
      </c>
      <c r="G2994" s="1075" t="s">
        <v>8</v>
      </c>
    </row>
    <row r="2995" spans="1:7" s="2" customFormat="1" ht="15.75" customHeight="1">
      <c r="A2995" s="943" t="s">
        <v>173</v>
      </c>
      <c r="B2995" s="1115"/>
      <c r="C2995" s="16" t="s">
        <v>3</v>
      </c>
      <c r="D2995" s="16">
        <v>0.01</v>
      </c>
      <c r="E2995" s="17">
        <f>G2992</f>
        <v>66843.520000000004</v>
      </c>
      <c r="F2995" s="55">
        <f>D2995*E2995</f>
        <v>668.43520000000001</v>
      </c>
      <c r="G2995" s="1116"/>
    </row>
    <row r="2996" spans="1:7" s="145" customFormat="1" ht="15.75" customHeight="1">
      <c r="A2996" s="151"/>
      <c r="B2996" s="152"/>
      <c r="C2996" s="152"/>
      <c r="D2996" s="152"/>
      <c r="E2996" s="152"/>
      <c r="F2996" s="152"/>
      <c r="G2996" s="57">
        <f>SUM(F2995:F2996)</f>
        <v>668.43520000000001</v>
      </c>
    </row>
    <row r="2997" spans="1:7" s="145" customFormat="1" ht="15.75" customHeight="1">
      <c r="A2997" s="1114" t="s">
        <v>19</v>
      </c>
      <c r="B2997" s="1115"/>
      <c r="C2997" s="1115"/>
      <c r="D2997" s="1115"/>
      <c r="E2997" s="1115"/>
      <c r="F2997" s="1115"/>
      <c r="G2997" s="1116"/>
    </row>
    <row r="2998" spans="1:7" s="145" customFormat="1" ht="15.75" customHeight="1">
      <c r="A2998" s="1074" t="s">
        <v>2</v>
      </c>
      <c r="B2998" s="1115"/>
      <c r="C2998" s="53" t="s">
        <v>3</v>
      </c>
      <c r="D2998" s="53" t="s">
        <v>4</v>
      </c>
      <c r="E2998" s="53" t="s">
        <v>6</v>
      </c>
      <c r="F2998" s="53" t="s">
        <v>11</v>
      </c>
      <c r="G2998" s="1075" t="s">
        <v>8</v>
      </c>
    </row>
    <row r="2999" spans="1:7" s="145" customFormat="1" ht="15" customHeight="1">
      <c r="A2999" s="978" t="s">
        <v>1256</v>
      </c>
      <c r="B2999" s="979"/>
      <c r="C2999" s="13" t="s">
        <v>1245</v>
      </c>
      <c r="D2999" s="32">
        <v>0.5</v>
      </c>
      <c r="E2999" s="13">
        <v>18041</v>
      </c>
      <c r="F2999" s="55">
        <f>+D2999*E2999</f>
        <v>9020.5</v>
      </c>
      <c r="G2999" s="1116"/>
    </row>
    <row r="3000" spans="1:7" s="145" customFormat="1" ht="15.75" customHeight="1">
      <c r="A3000" s="155"/>
      <c r="B3000" s="156"/>
      <c r="C3000" s="156"/>
      <c r="D3000" s="156"/>
      <c r="E3000" s="156"/>
      <c r="F3000" s="156"/>
      <c r="G3000" s="57">
        <f>SUM(F2998:F3000)</f>
        <v>9020.5</v>
      </c>
    </row>
    <row r="3001" spans="1:7" s="145" customFormat="1" ht="24" customHeight="1">
      <c r="A3001" s="1119" t="s">
        <v>25</v>
      </c>
      <c r="B3001" s="1120"/>
      <c r="C3001" s="1120"/>
      <c r="D3001" s="1120"/>
      <c r="E3001" s="1120"/>
      <c r="F3001" s="1120"/>
      <c r="G3001" s="1121"/>
    </row>
    <row r="3002" spans="1:7" s="145" customFormat="1" ht="15.6" customHeight="1">
      <c r="A3002" s="1122"/>
      <c r="B3002" s="1120"/>
      <c r="C3002" s="1120"/>
      <c r="D3002" s="1120"/>
      <c r="E3002" s="1120"/>
      <c r="F3002" s="1120"/>
      <c r="G3002" s="157">
        <f>G3000+G2996+G2992+G2984</f>
        <v>76983.480199999991</v>
      </c>
    </row>
    <row r="3003" spans="1:7" s="145" customFormat="1" ht="15.75" customHeight="1">
      <c r="A3003" s="158"/>
      <c r="B3003" s="159"/>
      <c r="C3003" s="159"/>
      <c r="D3003" s="159"/>
      <c r="E3003" s="159"/>
      <c r="F3003" s="159"/>
      <c r="G3003" s="160"/>
    </row>
    <row r="3004" spans="1:7" s="145" customFormat="1" ht="40.950000000000003" customHeight="1">
      <c r="A3004" s="1123" t="s">
        <v>1</v>
      </c>
      <c r="B3004" s="1120"/>
      <c r="C3004" s="953" t="s">
        <v>594</v>
      </c>
      <c r="D3004" s="1125"/>
      <c r="E3004" s="1125"/>
      <c r="F3004" s="1125"/>
      <c r="G3004" s="1126"/>
    </row>
    <row r="3005" spans="1:7" s="145" customFormat="1" ht="15.75" customHeight="1">
      <c r="A3005" s="1124"/>
      <c r="B3005" s="1120"/>
      <c r="C3005" s="1125"/>
      <c r="D3005" s="1125"/>
      <c r="E3005" s="1125"/>
      <c r="F3005" s="1125"/>
      <c r="G3005" s="1126"/>
    </row>
    <row r="3006" spans="1:7" s="145" customFormat="1" ht="15.75" customHeight="1">
      <c r="A3006" s="1124"/>
      <c r="B3006" s="1120"/>
      <c r="C3006" s="1127" t="s">
        <v>689</v>
      </c>
      <c r="D3006" s="1120"/>
      <c r="E3006" s="1120"/>
      <c r="F3006" s="1120"/>
      <c r="G3006" s="1121"/>
    </row>
    <row r="3007" spans="1:7" s="145" customFormat="1" ht="15.75" customHeight="1">
      <c r="A3007" s="1124"/>
      <c r="B3007" s="1120"/>
      <c r="C3007" s="1128" t="s">
        <v>2</v>
      </c>
      <c r="D3007" s="1120"/>
      <c r="E3007" s="1120"/>
      <c r="F3007" s="146" t="s">
        <v>3</v>
      </c>
      <c r="G3007" s="147" t="s">
        <v>4</v>
      </c>
    </row>
    <row r="3008" spans="1:7" s="145" customFormat="1" ht="34.5" customHeight="1">
      <c r="A3008" s="1073" t="s">
        <v>807</v>
      </c>
      <c r="B3008" s="1115"/>
      <c r="C3008" s="980" t="s">
        <v>2781</v>
      </c>
      <c r="D3008" s="1115"/>
      <c r="E3008" s="1115"/>
      <c r="F3008" s="162" t="s">
        <v>28</v>
      </c>
      <c r="G3008" s="52">
        <v>1</v>
      </c>
    </row>
    <row r="3009" spans="1:7" s="145" customFormat="1" ht="15.75" customHeight="1">
      <c r="A3009" s="1114" t="s">
        <v>5</v>
      </c>
      <c r="B3009" s="1115"/>
      <c r="C3009" s="1115"/>
      <c r="D3009" s="1115"/>
      <c r="E3009" s="1115"/>
      <c r="F3009" s="1115"/>
      <c r="G3009" s="1116"/>
    </row>
    <row r="3010" spans="1:7" s="145" customFormat="1" ht="15.75" customHeight="1">
      <c r="A3010" s="1074" t="s">
        <v>2</v>
      </c>
      <c r="B3010" s="1115"/>
      <c r="C3010" s="53" t="s">
        <v>3</v>
      </c>
      <c r="D3010" s="53" t="s">
        <v>4</v>
      </c>
      <c r="E3010" s="53" t="s">
        <v>6</v>
      </c>
      <c r="F3010" s="53" t="s">
        <v>7</v>
      </c>
      <c r="G3010" s="1075" t="s">
        <v>8</v>
      </c>
    </row>
    <row r="3011" spans="1:7" s="145" customFormat="1" ht="16.2" customHeight="1">
      <c r="A3011" s="947" t="s">
        <v>167</v>
      </c>
      <c r="B3011" s="1115"/>
      <c r="C3011" s="51" t="s">
        <v>3</v>
      </c>
      <c r="D3011" s="51">
        <v>0.05</v>
      </c>
      <c r="E3011" s="17">
        <f>G3028</f>
        <v>10015</v>
      </c>
      <c r="F3011" s="55">
        <f>D3011*E3011</f>
        <v>500.75</v>
      </c>
      <c r="G3011" s="1116"/>
    </row>
    <row r="3012" spans="1:7" s="145" customFormat="1" ht="16.2" customHeight="1">
      <c r="A3012" s="943"/>
      <c r="B3012" s="1115"/>
      <c r="C3012" s="51"/>
      <c r="D3012" s="51"/>
      <c r="E3012" s="51"/>
      <c r="F3012" s="55"/>
      <c r="G3012" s="57">
        <f>SUM(F3010:F3012)</f>
        <v>500.75</v>
      </c>
    </row>
    <row r="3013" spans="1:7" s="150" customFormat="1" ht="16.2" customHeight="1">
      <c r="A3013" s="1114" t="s">
        <v>10</v>
      </c>
      <c r="B3013" s="1115"/>
      <c r="C3013" s="1115"/>
      <c r="D3013" s="1115"/>
      <c r="E3013" s="1115"/>
      <c r="F3013" s="1115"/>
      <c r="G3013" s="1116"/>
    </row>
    <row r="3014" spans="1:7" s="150" customFormat="1" ht="16.2" customHeight="1">
      <c r="A3014" s="1074" t="s">
        <v>2</v>
      </c>
      <c r="B3014" s="1115"/>
      <c r="C3014" s="53" t="s">
        <v>3</v>
      </c>
      <c r="D3014" s="53" t="s">
        <v>4</v>
      </c>
      <c r="E3014" s="53" t="s">
        <v>6</v>
      </c>
      <c r="F3014" s="53" t="s">
        <v>11</v>
      </c>
      <c r="G3014" s="1075" t="s">
        <v>8</v>
      </c>
    </row>
    <row r="3015" spans="1:7" s="150" customFormat="1" ht="16.2" customHeight="1">
      <c r="A3015" s="1117" t="s">
        <v>643</v>
      </c>
      <c r="B3015" s="1118"/>
      <c r="C3015" s="148" t="s">
        <v>3</v>
      </c>
      <c r="D3015" s="148">
        <v>2</v>
      </c>
      <c r="E3015" s="17">
        <f>+'INSUMOS ELÉCTRICOS'!E126</f>
        <v>348.66999999999996</v>
      </c>
      <c r="F3015" s="149">
        <f>D3015*E3015</f>
        <v>697.33999999999992</v>
      </c>
      <c r="G3015" s="1075"/>
    </row>
    <row r="3016" spans="1:7" s="145" customFormat="1" ht="15.75" customHeight="1">
      <c r="A3016" s="1117" t="s">
        <v>692</v>
      </c>
      <c r="B3016" s="1118"/>
      <c r="C3016" s="148" t="s">
        <v>3</v>
      </c>
      <c r="D3016" s="148">
        <v>1</v>
      </c>
      <c r="E3016" s="17">
        <f>+'INSUMOS ELÉCTRICOS'!E122</f>
        <v>6679</v>
      </c>
      <c r="F3016" s="149">
        <f>D3016*E3016</f>
        <v>6679</v>
      </c>
      <c r="G3016" s="1075"/>
    </row>
    <row r="3017" spans="1:7" s="145" customFormat="1" ht="15.75" customHeight="1">
      <c r="A3017" s="1117" t="s">
        <v>697</v>
      </c>
      <c r="B3017" s="1118"/>
      <c r="C3017" s="148" t="s">
        <v>3</v>
      </c>
      <c r="D3017" s="148">
        <v>1</v>
      </c>
      <c r="E3017" s="17">
        <f>+'INSUMOS ELÉCTRICOS'!E69</f>
        <v>69900</v>
      </c>
      <c r="F3017" s="149">
        <f>D3017*E3017</f>
        <v>69900</v>
      </c>
      <c r="G3017" s="1075"/>
    </row>
    <row r="3018" spans="1:7" s="145" customFormat="1" ht="15.75" customHeight="1">
      <c r="A3018" s="1117" t="s">
        <v>694</v>
      </c>
      <c r="B3018" s="1118"/>
      <c r="C3018" s="148" t="s">
        <v>3</v>
      </c>
      <c r="D3018" s="148">
        <v>1</v>
      </c>
      <c r="E3018" s="17">
        <f>+'INSUMOS ELÉCTRICOS'!E124</f>
        <v>6399.82</v>
      </c>
      <c r="F3018" s="149">
        <f>D3018*E3018</f>
        <v>6399.82</v>
      </c>
      <c r="G3018" s="1075"/>
    </row>
    <row r="3019" spans="1:7" s="145" customFormat="1" ht="15.75" customHeight="1">
      <c r="A3019" s="1117" t="s">
        <v>612</v>
      </c>
      <c r="B3019" s="1118"/>
      <c r="C3019" s="148" t="s">
        <v>3</v>
      </c>
      <c r="D3019" s="148">
        <v>10</v>
      </c>
      <c r="E3019" s="17">
        <f>+'INSUMOS ELÉCTRICOS'!E126</f>
        <v>348.66999999999996</v>
      </c>
      <c r="F3019" s="149">
        <f>D3019*E3019</f>
        <v>3486.7</v>
      </c>
      <c r="G3019" s="1075"/>
    </row>
    <row r="3020" spans="1:7" s="145" customFormat="1" ht="15.75" customHeight="1">
      <c r="A3020" s="947"/>
      <c r="B3020" s="1115"/>
      <c r="C3020" s="16"/>
      <c r="D3020" s="58"/>
      <c r="E3020" s="17"/>
      <c r="F3020" s="55"/>
      <c r="G3020" s="57">
        <f>SUM(F3014:F3020)</f>
        <v>87162.86</v>
      </c>
    </row>
    <row r="3021" spans="1:7" s="145" customFormat="1" ht="15.75" customHeight="1">
      <c r="A3021" s="1114" t="s">
        <v>15</v>
      </c>
      <c r="B3021" s="1115"/>
      <c r="C3021" s="1115"/>
      <c r="D3021" s="1115"/>
      <c r="E3021" s="1115"/>
      <c r="F3021" s="1115"/>
      <c r="G3021" s="1116"/>
    </row>
    <row r="3022" spans="1:7" s="145" customFormat="1" ht="15.75" customHeight="1">
      <c r="A3022" s="1074" t="s">
        <v>2</v>
      </c>
      <c r="B3022" s="1115"/>
      <c r="C3022" s="53" t="s">
        <v>3</v>
      </c>
      <c r="D3022" s="53" t="s">
        <v>4</v>
      </c>
      <c r="E3022" s="53" t="s">
        <v>6</v>
      </c>
      <c r="F3022" s="53" t="s">
        <v>11</v>
      </c>
      <c r="G3022" s="1075" t="s">
        <v>8</v>
      </c>
    </row>
    <row r="3023" spans="1:7" s="2" customFormat="1" ht="15.75" customHeight="1">
      <c r="A3023" s="943" t="s">
        <v>173</v>
      </c>
      <c r="B3023" s="1115"/>
      <c r="C3023" s="16" t="s">
        <v>3</v>
      </c>
      <c r="D3023" s="16">
        <v>0.02</v>
      </c>
      <c r="E3023" s="17">
        <f>G3020</f>
        <v>87162.86</v>
      </c>
      <c r="F3023" s="55">
        <f>D3023*E3023</f>
        <v>1743.2572</v>
      </c>
      <c r="G3023" s="1116"/>
    </row>
    <row r="3024" spans="1:7" s="145" customFormat="1" ht="15.75" customHeight="1">
      <c r="A3024" s="151"/>
      <c r="B3024" s="152"/>
      <c r="C3024" s="152"/>
      <c r="D3024" s="152"/>
      <c r="E3024" s="152"/>
      <c r="F3024" s="152"/>
      <c r="G3024" s="57">
        <f>SUM(F3023:F3024)</f>
        <v>1743.2572</v>
      </c>
    </row>
    <row r="3025" spans="1:7" s="145" customFormat="1" ht="15.75" customHeight="1">
      <c r="A3025" s="1114" t="s">
        <v>19</v>
      </c>
      <c r="B3025" s="1115"/>
      <c r="C3025" s="1115"/>
      <c r="D3025" s="1115"/>
      <c r="E3025" s="1115"/>
      <c r="F3025" s="1115"/>
      <c r="G3025" s="1116"/>
    </row>
    <row r="3026" spans="1:7" s="145" customFormat="1" ht="15.75" customHeight="1">
      <c r="A3026" s="1074" t="s">
        <v>2</v>
      </c>
      <c r="B3026" s="1115"/>
      <c r="C3026" s="53" t="s">
        <v>3</v>
      </c>
      <c r="D3026" s="53" t="s">
        <v>4</v>
      </c>
      <c r="E3026" s="53" t="s">
        <v>6</v>
      </c>
      <c r="F3026" s="53" t="s">
        <v>11</v>
      </c>
      <c r="G3026" s="1075" t="s">
        <v>8</v>
      </c>
    </row>
    <row r="3027" spans="1:7" s="145" customFormat="1" ht="15" customHeight="1">
      <c r="A3027" s="978" t="s">
        <v>1256</v>
      </c>
      <c r="B3027" s="979"/>
      <c r="C3027" s="13" t="s">
        <v>1245</v>
      </c>
      <c r="D3027" s="32">
        <v>0.5</v>
      </c>
      <c r="E3027" s="13">
        <v>20030</v>
      </c>
      <c r="F3027" s="55">
        <f>+D3027*E3027</f>
        <v>10015</v>
      </c>
      <c r="G3027" s="1116"/>
    </row>
    <row r="3028" spans="1:7" s="145" customFormat="1" ht="15.75" customHeight="1">
      <c r="A3028" s="155"/>
      <c r="B3028" s="156"/>
      <c r="C3028" s="156"/>
      <c r="D3028" s="156"/>
      <c r="E3028" s="156"/>
      <c r="F3028" s="156"/>
      <c r="G3028" s="57">
        <f>SUM(F3026:F3028)</f>
        <v>10015</v>
      </c>
    </row>
    <row r="3029" spans="1:7" s="145" customFormat="1" ht="13.8">
      <c r="A3029" s="1119" t="s">
        <v>25</v>
      </c>
      <c r="B3029" s="1120"/>
      <c r="C3029" s="1120"/>
      <c r="D3029" s="1120"/>
      <c r="E3029" s="1120"/>
      <c r="F3029" s="1120"/>
      <c r="G3029" s="1121"/>
    </row>
    <row r="3030" spans="1:7" s="145" customFormat="1" ht="15.6" customHeight="1">
      <c r="A3030" s="1122"/>
      <c r="B3030" s="1120"/>
      <c r="C3030" s="1120"/>
      <c r="D3030" s="1120"/>
      <c r="E3030" s="1120"/>
      <c r="F3030" s="1120"/>
      <c r="G3030" s="157">
        <f>G3028+G3024+G3020+G3012</f>
        <v>99421.867200000008</v>
      </c>
    </row>
    <row r="3031" spans="1:7" s="145" customFormat="1" ht="15.75" customHeight="1">
      <c r="A3031" s="158"/>
      <c r="B3031" s="159"/>
      <c r="C3031" s="159"/>
      <c r="D3031" s="159"/>
      <c r="E3031" s="159"/>
      <c r="F3031" s="159"/>
      <c r="G3031" s="160"/>
    </row>
    <row r="3032" spans="1:7" s="145" customFormat="1" ht="13.8">
      <c r="A3032" s="1123" t="s">
        <v>1</v>
      </c>
      <c r="B3032" s="1120"/>
      <c r="C3032" s="953" t="s">
        <v>594</v>
      </c>
      <c r="D3032" s="1125"/>
      <c r="E3032" s="1125"/>
      <c r="F3032" s="1125"/>
      <c r="G3032" s="1126"/>
    </row>
    <row r="3033" spans="1:7" s="145" customFormat="1" ht="13.8">
      <c r="A3033" s="1124"/>
      <c r="B3033" s="1120"/>
      <c r="C3033" s="1125"/>
      <c r="D3033" s="1125"/>
      <c r="E3033" s="1125"/>
      <c r="F3033" s="1125"/>
      <c r="G3033" s="1126"/>
    </row>
    <row r="3034" spans="1:7" s="145" customFormat="1" ht="15.75" customHeight="1">
      <c r="A3034" s="1124"/>
      <c r="B3034" s="1120"/>
      <c r="C3034" s="1127" t="s">
        <v>689</v>
      </c>
      <c r="D3034" s="1120"/>
      <c r="E3034" s="1120"/>
      <c r="F3034" s="1120"/>
      <c r="G3034" s="1121"/>
    </row>
    <row r="3035" spans="1:7" s="145" customFormat="1" ht="15.75" customHeight="1">
      <c r="A3035" s="1124"/>
      <c r="B3035" s="1120"/>
      <c r="C3035" s="1128" t="s">
        <v>2</v>
      </c>
      <c r="D3035" s="1120"/>
      <c r="E3035" s="1120"/>
      <c r="F3035" s="146" t="s">
        <v>3</v>
      </c>
      <c r="G3035" s="147" t="s">
        <v>4</v>
      </c>
    </row>
    <row r="3036" spans="1:7" s="145" customFormat="1" ht="31.5" customHeight="1">
      <c r="A3036" s="1073" t="s">
        <v>808</v>
      </c>
      <c r="B3036" s="1115"/>
      <c r="C3036" s="980" t="s">
        <v>2779</v>
      </c>
      <c r="D3036" s="1115"/>
      <c r="E3036" s="1115"/>
      <c r="F3036" s="162" t="s">
        <v>28</v>
      </c>
      <c r="G3036" s="52">
        <v>1</v>
      </c>
    </row>
    <row r="3037" spans="1:7" s="145" customFormat="1" ht="15.75" customHeight="1">
      <c r="A3037" s="1114" t="s">
        <v>5</v>
      </c>
      <c r="B3037" s="1115"/>
      <c r="C3037" s="1115"/>
      <c r="D3037" s="1115"/>
      <c r="E3037" s="1115"/>
      <c r="F3037" s="1115"/>
      <c r="G3037" s="1116"/>
    </row>
    <row r="3038" spans="1:7" s="145" customFormat="1" ht="15.75" customHeight="1">
      <c r="A3038" s="1074" t="s">
        <v>2</v>
      </c>
      <c r="B3038" s="1115"/>
      <c r="C3038" s="53" t="s">
        <v>3</v>
      </c>
      <c r="D3038" s="53" t="s">
        <v>4</v>
      </c>
      <c r="E3038" s="53" t="s">
        <v>6</v>
      </c>
      <c r="F3038" s="53" t="s">
        <v>7</v>
      </c>
      <c r="G3038" s="1075" t="s">
        <v>8</v>
      </c>
    </row>
    <row r="3039" spans="1:7" s="145" customFormat="1" ht="16.2" customHeight="1">
      <c r="A3039" s="947" t="s">
        <v>167</v>
      </c>
      <c r="B3039" s="1115"/>
      <c r="C3039" s="51" t="s">
        <v>3</v>
      </c>
      <c r="D3039" s="51">
        <v>0.05</v>
      </c>
      <c r="E3039" s="17">
        <f>G3056</f>
        <v>10015</v>
      </c>
      <c r="F3039" s="55">
        <f>D3039*E3039</f>
        <v>500.75</v>
      </c>
      <c r="G3039" s="1116"/>
    </row>
    <row r="3040" spans="1:7" s="145" customFormat="1" ht="16.2" customHeight="1">
      <c r="A3040" s="943"/>
      <c r="B3040" s="1115"/>
      <c r="C3040" s="51"/>
      <c r="D3040" s="51"/>
      <c r="E3040" s="51"/>
      <c r="F3040" s="55"/>
      <c r="G3040" s="57">
        <f>SUM(F3038:F3040)</f>
        <v>500.75</v>
      </c>
    </row>
    <row r="3041" spans="1:7" s="150" customFormat="1" ht="16.2" customHeight="1">
      <c r="A3041" s="1114" t="s">
        <v>10</v>
      </c>
      <c r="B3041" s="1115"/>
      <c r="C3041" s="1115"/>
      <c r="D3041" s="1115"/>
      <c r="E3041" s="1115"/>
      <c r="F3041" s="1115"/>
      <c r="G3041" s="1116"/>
    </row>
    <row r="3042" spans="1:7" s="150" customFormat="1" ht="16.2" customHeight="1">
      <c r="A3042" s="1074" t="s">
        <v>2</v>
      </c>
      <c r="B3042" s="1115"/>
      <c r="C3042" s="53" t="s">
        <v>3</v>
      </c>
      <c r="D3042" s="53" t="s">
        <v>4</v>
      </c>
      <c r="E3042" s="53" t="s">
        <v>6</v>
      </c>
      <c r="F3042" s="53" t="s">
        <v>11</v>
      </c>
      <c r="G3042" s="1075" t="s">
        <v>8</v>
      </c>
    </row>
    <row r="3043" spans="1:7" s="150" customFormat="1" ht="16.2" customHeight="1">
      <c r="A3043" s="1117" t="s">
        <v>643</v>
      </c>
      <c r="B3043" s="1118"/>
      <c r="C3043" s="148" t="s">
        <v>3</v>
      </c>
      <c r="D3043" s="148">
        <v>2</v>
      </c>
      <c r="E3043" s="17">
        <f>+'INSUMOS ELÉCTRICOS'!E121</f>
        <v>1189</v>
      </c>
      <c r="F3043" s="149">
        <f>D3043*E3043</f>
        <v>2378</v>
      </c>
      <c r="G3043" s="1075"/>
    </row>
    <row r="3044" spans="1:7" s="145" customFormat="1" ht="15.75" customHeight="1">
      <c r="A3044" s="1117" t="s">
        <v>692</v>
      </c>
      <c r="B3044" s="1118"/>
      <c r="C3044" s="148" t="s">
        <v>3</v>
      </c>
      <c r="D3044" s="148">
        <v>1</v>
      </c>
      <c r="E3044" s="17">
        <f>+'INSUMOS ELÉCTRICOS'!E122</f>
        <v>6679</v>
      </c>
      <c r="F3044" s="149">
        <f>D3044*E3044</f>
        <v>6679</v>
      </c>
      <c r="G3044" s="1075"/>
    </row>
    <row r="3045" spans="1:7" s="145" customFormat="1" ht="15.75" customHeight="1">
      <c r="A3045" s="1117" t="s">
        <v>697</v>
      </c>
      <c r="B3045" s="1118"/>
      <c r="C3045" s="148" t="s">
        <v>3</v>
      </c>
      <c r="D3045" s="148">
        <v>1</v>
      </c>
      <c r="E3045" s="17">
        <f>+'INSUMOS ELÉCTRICOS'!E69</f>
        <v>69900</v>
      </c>
      <c r="F3045" s="149">
        <f>D3045*E3045</f>
        <v>69900</v>
      </c>
      <c r="G3045" s="1075"/>
    </row>
    <row r="3046" spans="1:7" s="145" customFormat="1" ht="15.75" customHeight="1">
      <c r="A3046" s="1117" t="s">
        <v>694</v>
      </c>
      <c r="B3046" s="1118"/>
      <c r="C3046" s="148" t="s">
        <v>3</v>
      </c>
      <c r="D3046" s="148">
        <v>1</v>
      </c>
      <c r="E3046" s="17">
        <f>+'INSUMOS ELÉCTRICOS'!E124</f>
        <v>6399.82</v>
      </c>
      <c r="F3046" s="149">
        <f>D3046*E3046</f>
        <v>6399.82</v>
      </c>
      <c r="G3046" s="1075"/>
    </row>
    <row r="3047" spans="1:7" s="145" customFormat="1" ht="15.75" customHeight="1">
      <c r="A3047" s="1117" t="s">
        <v>612</v>
      </c>
      <c r="B3047" s="1118"/>
      <c r="C3047" s="148" t="s">
        <v>3</v>
      </c>
      <c r="D3047" s="148">
        <v>10</v>
      </c>
      <c r="E3047" s="17">
        <f>+'INSUMOS ELÉCTRICOS'!E126</f>
        <v>348.66999999999996</v>
      </c>
      <c r="F3047" s="149">
        <f>D3047*E3047</f>
        <v>3486.7</v>
      </c>
      <c r="G3047" s="1075"/>
    </row>
    <row r="3048" spans="1:7" s="145" customFormat="1" ht="15.75" customHeight="1">
      <c r="A3048" s="947"/>
      <c r="B3048" s="1115"/>
      <c r="C3048" s="16"/>
      <c r="D3048" s="58"/>
      <c r="E3048" s="17"/>
      <c r="F3048" s="55"/>
      <c r="G3048" s="57">
        <f>SUM(F3042:F3048)</f>
        <v>88843.520000000004</v>
      </c>
    </row>
    <row r="3049" spans="1:7" s="145" customFormat="1" ht="15.75" customHeight="1">
      <c r="A3049" s="1114" t="s">
        <v>15</v>
      </c>
      <c r="B3049" s="1115"/>
      <c r="C3049" s="1115"/>
      <c r="D3049" s="1115"/>
      <c r="E3049" s="1115"/>
      <c r="F3049" s="1115"/>
      <c r="G3049" s="1116"/>
    </row>
    <row r="3050" spans="1:7" s="145" customFormat="1" ht="15.75" customHeight="1">
      <c r="A3050" s="1074" t="s">
        <v>2</v>
      </c>
      <c r="B3050" s="1115"/>
      <c r="C3050" s="53" t="s">
        <v>3</v>
      </c>
      <c r="D3050" s="53" t="s">
        <v>4</v>
      </c>
      <c r="E3050" s="53" t="s">
        <v>6</v>
      </c>
      <c r="F3050" s="53" t="s">
        <v>11</v>
      </c>
      <c r="G3050" s="1075" t="s">
        <v>8</v>
      </c>
    </row>
    <row r="3051" spans="1:7" s="2" customFormat="1" ht="15.75" customHeight="1">
      <c r="A3051" s="943" t="s">
        <v>173</v>
      </c>
      <c r="B3051" s="1115"/>
      <c r="C3051" s="16" t="s">
        <v>3</v>
      </c>
      <c r="D3051" s="16">
        <v>0.02</v>
      </c>
      <c r="E3051" s="17">
        <f>G3048</f>
        <v>88843.520000000004</v>
      </c>
      <c r="F3051" s="55">
        <f>D3051*E3051</f>
        <v>1776.8704</v>
      </c>
      <c r="G3051" s="1116"/>
    </row>
    <row r="3052" spans="1:7" s="145" customFormat="1" ht="15.75" customHeight="1">
      <c r="A3052" s="151"/>
      <c r="B3052" s="152"/>
      <c r="C3052" s="152"/>
      <c r="D3052" s="152"/>
      <c r="E3052" s="152"/>
      <c r="F3052" s="152"/>
      <c r="G3052" s="57">
        <f>SUM(F3051:F3052)</f>
        <v>1776.8704</v>
      </c>
    </row>
    <row r="3053" spans="1:7" s="145" customFormat="1" ht="15.75" customHeight="1">
      <c r="A3053" s="1114" t="s">
        <v>19</v>
      </c>
      <c r="B3053" s="1115"/>
      <c r="C3053" s="1115"/>
      <c r="D3053" s="1115"/>
      <c r="E3053" s="1115"/>
      <c r="F3053" s="1115"/>
      <c r="G3053" s="1116"/>
    </row>
    <row r="3054" spans="1:7" s="145" customFormat="1" ht="15.75" customHeight="1">
      <c r="A3054" s="1074" t="s">
        <v>2</v>
      </c>
      <c r="B3054" s="1115"/>
      <c r="C3054" s="53" t="s">
        <v>3</v>
      </c>
      <c r="D3054" s="53" t="s">
        <v>4</v>
      </c>
      <c r="E3054" s="53" t="s">
        <v>6</v>
      </c>
      <c r="F3054" s="53" t="s">
        <v>11</v>
      </c>
      <c r="G3054" s="1075" t="s">
        <v>8</v>
      </c>
    </row>
    <row r="3055" spans="1:7" s="145" customFormat="1" ht="15" customHeight="1">
      <c r="A3055" s="978" t="s">
        <v>1256</v>
      </c>
      <c r="B3055" s="979"/>
      <c r="C3055" s="13" t="s">
        <v>1245</v>
      </c>
      <c r="D3055" s="32">
        <v>0.5</v>
      </c>
      <c r="E3055" s="13">
        <v>20030</v>
      </c>
      <c r="F3055" s="55">
        <f>+D3055*E3055</f>
        <v>10015</v>
      </c>
      <c r="G3055" s="1116"/>
    </row>
    <row r="3056" spans="1:7" s="145" customFormat="1" ht="15.75" customHeight="1">
      <c r="A3056" s="155"/>
      <c r="B3056" s="156"/>
      <c r="C3056" s="156"/>
      <c r="D3056" s="156"/>
      <c r="E3056" s="156"/>
      <c r="F3056" s="156"/>
      <c r="G3056" s="57">
        <f>SUM(F3054:F3056)</f>
        <v>10015</v>
      </c>
    </row>
    <row r="3057" spans="1:7" s="145" customFormat="1" ht="13.8">
      <c r="A3057" s="1119" t="s">
        <v>25</v>
      </c>
      <c r="B3057" s="1120"/>
      <c r="C3057" s="1120"/>
      <c r="D3057" s="1120"/>
      <c r="E3057" s="1120"/>
      <c r="F3057" s="1120"/>
      <c r="G3057" s="1121"/>
    </row>
    <row r="3058" spans="1:7" s="145" customFormat="1" ht="15.6" customHeight="1">
      <c r="A3058" s="1122"/>
      <c r="B3058" s="1120"/>
      <c r="C3058" s="1120"/>
      <c r="D3058" s="1120"/>
      <c r="E3058" s="1120"/>
      <c r="F3058" s="1120"/>
      <c r="G3058" s="157">
        <f>G3056+G3052+G3048+G3040</f>
        <v>101136.1404</v>
      </c>
    </row>
    <row r="3059" spans="1:7" s="145" customFormat="1" ht="15.75" customHeight="1">
      <c r="A3059" s="158"/>
      <c r="B3059" s="159"/>
      <c r="C3059" s="159"/>
      <c r="D3059" s="159"/>
      <c r="E3059" s="159"/>
      <c r="F3059" s="159"/>
      <c r="G3059" s="160"/>
    </row>
    <row r="3060" spans="1:7" s="145" customFormat="1" ht="13.8">
      <c r="A3060" s="1123" t="s">
        <v>1</v>
      </c>
      <c r="B3060" s="1120"/>
      <c r="C3060" s="953" t="s">
        <v>594</v>
      </c>
      <c r="D3060" s="1125"/>
      <c r="E3060" s="1125"/>
      <c r="F3060" s="1125"/>
      <c r="G3060" s="1126"/>
    </row>
    <row r="3061" spans="1:7" s="145" customFormat="1" ht="15.75" customHeight="1">
      <c r="A3061" s="1124"/>
      <c r="B3061" s="1120"/>
      <c r="C3061" s="1125"/>
      <c r="D3061" s="1125"/>
      <c r="E3061" s="1125"/>
      <c r="F3061" s="1125"/>
      <c r="G3061" s="1126"/>
    </row>
    <row r="3062" spans="1:7" s="145" customFormat="1" ht="15.75" customHeight="1">
      <c r="A3062" s="1124"/>
      <c r="B3062" s="1120"/>
      <c r="C3062" s="1127" t="s">
        <v>809</v>
      </c>
      <c r="D3062" s="1120"/>
      <c r="E3062" s="1120"/>
      <c r="F3062" s="1120"/>
      <c r="G3062" s="1121"/>
    </row>
    <row r="3063" spans="1:7" s="145" customFormat="1" ht="15.75" customHeight="1">
      <c r="A3063" s="1124"/>
      <c r="B3063" s="1120"/>
      <c r="C3063" s="1128" t="s">
        <v>2</v>
      </c>
      <c r="D3063" s="1120"/>
      <c r="E3063" s="1120"/>
      <c r="F3063" s="146" t="s">
        <v>3</v>
      </c>
      <c r="G3063" s="147" t="s">
        <v>4</v>
      </c>
    </row>
    <row r="3064" spans="1:7" s="145" customFormat="1" ht="51" customHeight="1">
      <c r="A3064" s="1073" t="s">
        <v>810</v>
      </c>
      <c r="B3064" s="1115"/>
      <c r="C3064" s="1118" t="s">
        <v>811</v>
      </c>
      <c r="D3064" s="1129"/>
      <c r="E3064" s="1129"/>
      <c r="F3064" s="162" t="s">
        <v>28</v>
      </c>
      <c r="G3064" s="52">
        <v>1</v>
      </c>
    </row>
    <row r="3065" spans="1:7" s="145" customFormat="1" ht="15.75" customHeight="1">
      <c r="A3065" s="1114" t="s">
        <v>5</v>
      </c>
      <c r="B3065" s="1115"/>
      <c r="C3065" s="1115"/>
      <c r="D3065" s="1115"/>
      <c r="E3065" s="1115"/>
      <c r="F3065" s="1115"/>
      <c r="G3065" s="1116"/>
    </row>
    <row r="3066" spans="1:7" s="145" customFormat="1" ht="15.75" customHeight="1">
      <c r="A3066" s="1074" t="s">
        <v>2</v>
      </c>
      <c r="B3066" s="1115"/>
      <c r="C3066" s="53" t="s">
        <v>3</v>
      </c>
      <c r="D3066" s="53" t="s">
        <v>4</v>
      </c>
      <c r="E3066" s="53" t="s">
        <v>6</v>
      </c>
      <c r="F3066" s="53" t="s">
        <v>7</v>
      </c>
      <c r="G3066" s="1075" t="s">
        <v>8</v>
      </c>
    </row>
    <row r="3067" spans="1:7" s="145" customFormat="1" ht="16.2" customHeight="1">
      <c r="A3067" s="947" t="s">
        <v>167</v>
      </c>
      <c r="B3067" s="1115"/>
      <c r="C3067" s="51" t="s">
        <v>3</v>
      </c>
      <c r="D3067" s="51">
        <v>0.05</v>
      </c>
      <c r="E3067" s="17">
        <f>G3081</f>
        <v>10015</v>
      </c>
      <c r="F3067" s="55">
        <f>D3067*E3067</f>
        <v>500.75</v>
      </c>
      <c r="G3067" s="1116"/>
    </row>
    <row r="3068" spans="1:7" s="145" customFormat="1" ht="16.2" customHeight="1">
      <c r="A3068" s="943"/>
      <c r="B3068" s="1115"/>
      <c r="C3068" s="51"/>
      <c r="D3068" s="51"/>
      <c r="E3068" s="51"/>
      <c r="F3068" s="55"/>
      <c r="G3068" s="57">
        <f>SUM(F3066:F3068)</f>
        <v>500.75</v>
      </c>
    </row>
    <row r="3069" spans="1:7" s="150" customFormat="1" ht="16.2" customHeight="1">
      <c r="A3069" s="1114" t="s">
        <v>10</v>
      </c>
      <c r="B3069" s="1115"/>
      <c r="C3069" s="1115"/>
      <c r="D3069" s="1115"/>
      <c r="E3069" s="1115"/>
      <c r="F3069" s="1115"/>
      <c r="G3069" s="1116"/>
    </row>
    <row r="3070" spans="1:7" s="150" customFormat="1" ht="16.2" customHeight="1">
      <c r="A3070" s="1074" t="s">
        <v>2</v>
      </c>
      <c r="B3070" s="1115"/>
      <c r="C3070" s="53" t="s">
        <v>3</v>
      </c>
      <c r="D3070" s="53" t="s">
        <v>4</v>
      </c>
      <c r="E3070" s="53" t="s">
        <v>6</v>
      </c>
      <c r="F3070" s="53" t="s">
        <v>11</v>
      </c>
      <c r="G3070" s="1075" t="s">
        <v>8</v>
      </c>
    </row>
    <row r="3071" spans="1:7" s="150" customFormat="1" ht="30.75" customHeight="1">
      <c r="A3071" s="1117" t="s">
        <v>812</v>
      </c>
      <c r="B3071" s="1118"/>
      <c r="C3071" s="16" t="s">
        <v>3</v>
      </c>
      <c r="D3071" s="16">
        <v>1</v>
      </c>
      <c r="E3071" s="631">
        <f>+'INSUMOS ELÉCTRICOS'!E146</f>
        <v>259900</v>
      </c>
      <c r="F3071" s="149">
        <f>D3071*E3071</f>
        <v>259900</v>
      </c>
      <c r="G3071" s="1075"/>
    </row>
    <row r="3072" spans="1:7" s="145" customFormat="1" ht="15.75" customHeight="1">
      <c r="A3072" s="947"/>
      <c r="B3072" s="1115"/>
      <c r="C3072" s="16"/>
      <c r="D3072" s="58"/>
      <c r="E3072" s="17"/>
      <c r="F3072" s="55">
        <f>E3072*D3072</f>
        <v>0</v>
      </c>
      <c r="G3072" s="633">
        <f>SUM(F3070:F3072)</f>
        <v>259900</v>
      </c>
    </row>
    <row r="3073" spans="1:7" s="145" customFormat="1" ht="15.75" customHeight="1">
      <c r="A3073" s="1114" t="s">
        <v>15</v>
      </c>
      <c r="B3073" s="1115"/>
      <c r="C3073" s="1115"/>
      <c r="D3073" s="1115"/>
      <c r="E3073" s="1115"/>
      <c r="F3073" s="1115"/>
      <c r="G3073" s="1116"/>
    </row>
    <row r="3074" spans="1:7" s="145" customFormat="1" ht="15.75" customHeight="1">
      <c r="A3074" s="1074" t="s">
        <v>2</v>
      </c>
      <c r="B3074" s="1115"/>
      <c r="C3074" s="53" t="s">
        <v>3</v>
      </c>
      <c r="D3074" s="53" t="s">
        <v>4</v>
      </c>
      <c r="E3074" s="53" t="s">
        <v>6</v>
      </c>
      <c r="F3074" s="53" t="s">
        <v>11</v>
      </c>
      <c r="G3074" s="1075" t="s">
        <v>8</v>
      </c>
    </row>
    <row r="3075" spans="1:7" s="145" customFormat="1" ht="15.75" customHeight="1">
      <c r="A3075" s="943" t="s">
        <v>173</v>
      </c>
      <c r="B3075" s="1115"/>
      <c r="C3075" s="16" t="s">
        <v>3</v>
      </c>
      <c r="D3075" s="16">
        <v>2.3E-2</v>
      </c>
      <c r="E3075" s="17">
        <f>G3072</f>
        <v>259900</v>
      </c>
      <c r="F3075" s="55">
        <f>D3075*E3075</f>
        <v>5977.7</v>
      </c>
      <c r="G3075" s="1116"/>
    </row>
    <row r="3076" spans="1:7" s="145" customFormat="1" ht="15.75" customHeight="1">
      <c r="A3076" s="151"/>
      <c r="B3076" s="152"/>
      <c r="C3076" s="152"/>
      <c r="D3076" s="152"/>
      <c r="E3076" s="152"/>
      <c r="F3076" s="152"/>
      <c r="G3076" s="57">
        <f>SUM(F3075:F3076)</f>
        <v>5977.7</v>
      </c>
    </row>
    <row r="3077" spans="1:7" s="145" customFormat="1" ht="15.75" customHeight="1">
      <c r="A3077" s="1114" t="s">
        <v>19</v>
      </c>
      <c r="B3077" s="1115"/>
      <c r="C3077" s="1115"/>
      <c r="D3077" s="1115"/>
      <c r="E3077" s="1115"/>
      <c r="F3077" s="1115"/>
      <c r="G3077" s="1116"/>
    </row>
    <row r="3078" spans="1:7" s="145" customFormat="1" ht="15.75" customHeight="1">
      <c r="A3078" s="1074" t="s">
        <v>2</v>
      </c>
      <c r="B3078" s="1115"/>
      <c r="C3078" s="53" t="s">
        <v>3</v>
      </c>
      <c r="D3078" s="53" t="s">
        <v>4</v>
      </c>
      <c r="E3078" s="53" t="s">
        <v>6</v>
      </c>
      <c r="F3078" s="53" t="s">
        <v>11</v>
      </c>
      <c r="G3078" s="1075" t="s">
        <v>8</v>
      </c>
    </row>
    <row r="3079" spans="1:7" s="2" customFormat="1" ht="15.75" customHeight="1">
      <c r="A3079" s="978" t="s">
        <v>1256</v>
      </c>
      <c r="B3079" s="979"/>
      <c r="C3079" s="13" t="s">
        <v>1245</v>
      </c>
      <c r="D3079" s="32">
        <v>0.5</v>
      </c>
      <c r="E3079" s="13">
        <v>20030</v>
      </c>
      <c r="F3079" s="55">
        <f>+D3079*E3079</f>
        <v>10015</v>
      </c>
      <c r="G3079" s="1116"/>
    </row>
    <row r="3080" spans="1:7" s="145" customFormat="1" ht="15.75" customHeight="1">
      <c r="A3080" s="151"/>
      <c r="B3080" s="165"/>
      <c r="C3080" s="156"/>
      <c r="D3080" s="156"/>
      <c r="E3080" s="166"/>
      <c r="F3080" s="165"/>
      <c r="G3080" s="1116"/>
    </row>
    <row r="3081" spans="1:7" s="145" customFormat="1" ht="15.75" customHeight="1">
      <c r="A3081" s="155"/>
      <c r="B3081" s="156"/>
      <c r="C3081" s="156"/>
      <c r="D3081" s="156"/>
      <c r="E3081" s="156"/>
      <c r="F3081" s="156"/>
      <c r="G3081" s="57">
        <f>SUM(F3078:F3081)</f>
        <v>10015</v>
      </c>
    </row>
    <row r="3082" spans="1:7" s="145" customFormat="1" ht="15.75" customHeight="1">
      <c r="A3082" s="1119" t="s">
        <v>25</v>
      </c>
      <c r="B3082" s="1120"/>
      <c r="C3082" s="1120"/>
      <c r="D3082" s="1120"/>
      <c r="E3082" s="1120"/>
      <c r="F3082" s="1120"/>
      <c r="G3082" s="1121"/>
    </row>
    <row r="3083" spans="1:7" s="145" customFormat="1" ht="15" customHeight="1">
      <c r="A3083" s="1122"/>
      <c r="B3083" s="1120"/>
      <c r="C3083" s="1120"/>
      <c r="D3083" s="1120"/>
      <c r="E3083" s="1120"/>
      <c r="F3083" s="1120"/>
      <c r="G3083" s="157">
        <f>G3081+G3076+G3072+G3068</f>
        <v>276393.45</v>
      </c>
    </row>
    <row r="3084" spans="1:7" s="145" customFormat="1" ht="15.75" customHeight="1">
      <c r="A3084" s="158"/>
      <c r="B3084" s="159"/>
      <c r="C3084" s="159"/>
      <c r="D3084" s="159"/>
      <c r="E3084" s="159"/>
      <c r="F3084" s="159"/>
      <c r="G3084" s="160"/>
    </row>
    <row r="3085" spans="1:7" s="145" customFormat="1" ht="24" customHeight="1">
      <c r="A3085" s="1123" t="s">
        <v>1</v>
      </c>
      <c r="B3085" s="1120"/>
      <c r="C3085" s="953" t="s">
        <v>594</v>
      </c>
      <c r="D3085" s="1125"/>
      <c r="E3085" s="1125"/>
      <c r="F3085" s="1125"/>
      <c r="G3085" s="1126"/>
    </row>
    <row r="3086" spans="1:7" s="145" customFormat="1" ht="15.6" customHeight="1">
      <c r="A3086" s="1124"/>
      <c r="B3086" s="1120"/>
      <c r="C3086" s="1125"/>
      <c r="D3086" s="1125"/>
      <c r="E3086" s="1125"/>
      <c r="F3086" s="1125"/>
      <c r="G3086" s="1126"/>
    </row>
    <row r="3087" spans="1:7" s="145" customFormat="1" ht="15.75" customHeight="1">
      <c r="A3087" s="1124"/>
      <c r="B3087" s="1120"/>
      <c r="C3087" s="1127" t="s">
        <v>809</v>
      </c>
      <c r="D3087" s="1120"/>
      <c r="E3087" s="1120"/>
      <c r="F3087" s="1120"/>
      <c r="G3087" s="1121"/>
    </row>
    <row r="3088" spans="1:7" s="145" customFormat="1" ht="13.8">
      <c r="A3088" s="1124"/>
      <c r="B3088" s="1120"/>
      <c r="C3088" s="1128" t="s">
        <v>2</v>
      </c>
      <c r="D3088" s="1120"/>
      <c r="E3088" s="1120"/>
      <c r="F3088" s="146" t="s">
        <v>3</v>
      </c>
      <c r="G3088" s="147" t="s">
        <v>4</v>
      </c>
    </row>
    <row r="3089" spans="1:7" s="145" customFormat="1" ht="69" customHeight="1">
      <c r="A3089" s="1073" t="s">
        <v>813</v>
      </c>
      <c r="B3089" s="1115"/>
      <c r="C3089" s="980" t="s">
        <v>814</v>
      </c>
      <c r="D3089" s="1115"/>
      <c r="E3089" s="1115"/>
      <c r="F3089" s="162" t="s">
        <v>28</v>
      </c>
      <c r="G3089" s="52">
        <v>1</v>
      </c>
    </row>
    <row r="3090" spans="1:7" s="145" customFormat="1" ht="15.75" customHeight="1">
      <c r="A3090" s="1114" t="s">
        <v>5</v>
      </c>
      <c r="B3090" s="1115"/>
      <c r="C3090" s="1115"/>
      <c r="D3090" s="1115"/>
      <c r="E3090" s="1115"/>
      <c r="F3090" s="1115"/>
      <c r="G3090" s="1116"/>
    </row>
    <row r="3091" spans="1:7" s="145" customFormat="1" ht="15.75" customHeight="1">
      <c r="A3091" s="1074" t="s">
        <v>2</v>
      </c>
      <c r="B3091" s="1115"/>
      <c r="C3091" s="53" t="s">
        <v>3</v>
      </c>
      <c r="D3091" s="53" t="s">
        <v>4</v>
      </c>
      <c r="E3091" s="53" t="s">
        <v>6</v>
      </c>
      <c r="F3091" s="53" t="s">
        <v>7</v>
      </c>
      <c r="G3091" s="1029" t="s">
        <v>8</v>
      </c>
    </row>
    <row r="3092" spans="1:7" s="145" customFormat="1" ht="89.25" customHeight="1">
      <c r="A3092" s="1117" t="s">
        <v>814</v>
      </c>
      <c r="B3092" s="1118"/>
      <c r="C3092" s="51" t="s">
        <v>3</v>
      </c>
      <c r="D3092" s="51">
        <v>0.02</v>
      </c>
      <c r="E3092" s="17">
        <f>+'INSUMOS ELÉCTRICOS'!E84</f>
        <v>23889.25</v>
      </c>
      <c r="F3092" s="55">
        <f>D3092*E3092</f>
        <v>477.78500000000003</v>
      </c>
      <c r="G3092" s="1030"/>
    </row>
    <row r="3093" spans="1:7" s="145" customFormat="1" ht="15.75" customHeight="1">
      <c r="A3093" s="1117" t="s">
        <v>815</v>
      </c>
      <c r="B3093" s="1118"/>
      <c r="C3093" s="51" t="s">
        <v>3</v>
      </c>
      <c r="D3093" s="51">
        <v>1</v>
      </c>
      <c r="E3093" s="17">
        <v>1560</v>
      </c>
      <c r="F3093" s="55">
        <f>D3093*E3093</f>
        <v>1560</v>
      </c>
      <c r="G3093" s="1031"/>
    </row>
    <row r="3094" spans="1:7" s="145" customFormat="1" ht="15.75" customHeight="1">
      <c r="A3094" s="943"/>
      <c r="B3094" s="1115"/>
      <c r="C3094" s="51"/>
      <c r="D3094" s="51"/>
      <c r="E3094" s="51"/>
      <c r="F3094" s="55"/>
      <c r="G3094" s="57">
        <f>SUM(F3091:F3094)</f>
        <v>2037.7850000000001</v>
      </c>
    </row>
    <row r="3095" spans="1:7" s="145" customFormat="1" ht="13.8">
      <c r="A3095" s="1114" t="s">
        <v>10</v>
      </c>
      <c r="B3095" s="1115"/>
      <c r="C3095" s="1115"/>
      <c r="D3095" s="1115"/>
      <c r="E3095" s="1115"/>
      <c r="F3095" s="1115"/>
      <c r="G3095" s="1116"/>
    </row>
    <row r="3096" spans="1:7" s="145" customFormat="1" ht="15.75" customHeight="1">
      <c r="A3096" s="1074" t="s">
        <v>2</v>
      </c>
      <c r="B3096" s="1115"/>
      <c r="C3096" s="53" t="s">
        <v>3</v>
      </c>
      <c r="D3096" s="53" t="s">
        <v>4</v>
      </c>
      <c r="E3096" s="53" t="s">
        <v>6</v>
      </c>
      <c r="F3096" s="53" t="s">
        <v>11</v>
      </c>
      <c r="G3096" s="1075" t="s">
        <v>8</v>
      </c>
    </row>
    <row r="3097" spans="1:7" s="145" customFormat="1" ht="15.75" customHeight="1">
      <c r="A3097" s="1117" t="s">
        <v>816</v>
      </c>
      <c r="B3097" s="1118"/>
      <c r="C3097" s="16" t="s">
        <v>3</v>
      </c>
      <c r="D3097" s="16">
        <v>1</v>
      </c>
      <c r="E3097" s="17">
        <v>16749.25</v>
      </c>
      <c r="F3097" s="55">
        <f>D3097*E3097</f>
        <v>16749.25</v>
      </c>
      <c r="G3097" s="1075"/>
    </row>
    <row r="3098" spans="1:7" s="145" customFormat="1" ht="15.75" customHeight="1">
      <c r="A3098" s="947"/>
      <c r="B3098" s="1115"/>
      <c r="C3098" s="16"/>
      <c r="D3098" s="58"/>
      <c r="E3098" s="17"/>
      <c r="F3098" s="55"/>
      <c r="G3098" s="57">
        <f>SUM(F3096:F3098)</f>
        <v>16749.25</v>
      </c>
    </row>
    <row r="3099" spans="1:7" s="145" customFormat="1" ht="15.75" customHeight="1">
      <c r="A3099" s="1114" t="s">
        <v>15</v>
      </c>
      <c r="B3099" s="1115"/>
      <c r="C3099" s="1115"/>
      <c r="D3099" s="1115"/>
      <c r="E3099" s="1115"/>
      <c r="F3099" s="1115"/>
      <c r="G3099" s="1116"/>
    </row>
    <row r="3100" spans="1:7" s="145" customFormat="1" ht="15.75" customHeight="1">
      <c r="A3100" s="1074" t="s">
        <v>2</v>
      </c>
      <c r="B3100" s="1115"/>
      <c r="C3100" s="53" t="s">
        <v>3</v>
      </c>
      <c r="D3100" s="53" t="s">
        <v>4</v>
      </c>
      <c r="E3100" s="53" t="s">
        <v>6</v>
      </c>
      <c r="F3100" s="53" t="s">
        <v>11</v>
      </c>
      <c r="G3100" s="1075" t="s">
        <v>8</v>
      </c>
    </row>
    <row r="3101" spans="1:7" s="145" customFormat="1" ht="15.75" customHeight="1">
      <c r="A3101" s="943" t="s">
        <v>173</v>
      </c>
      <c r="B3101" s="1115"/>
      <c r="C3101" s="16" t="s">
        <v>3</v>
      </c>
      <c r="D3101" s="16">
        <v>0.1</v>
      </c>
      <c r="E3101" s="17">
        <f>G3098+G3094</f>
        <v>18787.035</v>
      </c>
      <c r="F3101" s="55">
        <f>D3101*E3101</f>
        <v>1878.7035000000001</v>
      </c>
      <c r="G3101" s="1116"/>
    </row>
    <row r="3102" spans="1:7" s="145" customFormat="1" ht="15.75" customHeight="1">
      <c r="A3102" s="151"/>
      <c r="B3102" s="152"/>
      <c r="C3102" s="152"/>
      <c r="D3102" s="152"/>
      <c r="E3102" s="152"/>
      <c r="F3102" s="152"/>
      <c r="G3102" s="57">
        <f>SUM(F3101:F3102)</f>
        <v>1878.7035000000001</v>
      </c>
    </row>
    <row r="3103" spans="1:7" s="2" customFormat="1" ht="15.75" customHeight="1">
      <c r="A3103" s="1114" t="s">
        <v>19</v>
      </c>
      <c r="B3103" s="1115"/>
      <c r="C3103" s="1115"/>
      <c r="D3103" s="1115"/>
      <c r="E3103" s="1115"/>
      <c r="F3103" s="1115"/>
      <c r="G3103" s="1116"/>
    </row>
    <row r="3104" spans="1:7" s="145" customFormat="1" ht="15.75" customHeight="1">
      <c r="A3104" s="1074" t="s">
        <v>2</v>
      </c>
      <c r="B3104" s="1115"/>
      <c r="C3104" s="53" t="s">
        <v>3</v>
      </c>
      <c r="D3104" s="53" t="s">
        <v>4</v>
      </c>
      <c r="E3104" s="53" t="s">
        <v>6</v>
      </c>
      <c r="F3104" s="53" t="s">
        <v>11</v>
      </c>
      <c r="G3104" s="1075" t="s">
        <v>8</v>
      </c>
    </row>
    <row r="3105" spans="1:7" s="145" customFormat="1" ht="15.75" customHeight="1">
      <c r="A3105" s="978" t="s">
        <v>1256</v>
      </c>
      <c r="B3105" s="979"/>
      <c r="C3105" s="13" t="s">
        <v>1245</v>
      </c>
      <c r="D3105" s="32">
        <v>1</v>
      </c>
      <c r="E3105" s="13">
        <v>20030</v>
      </c>
      <c r="F3105" s="55">
        <f>+D3105*E3105</f>
        <v>20030</v>
      </c>
      <c r="G3105" s="1116"/>
    </row>
    <row r="3106" spans="1:7" s="145" customFormat="1" ht="15.75" customHeight="1">
      <c r="A3106" s="155"/>
      <c r="B3106" s="156"/>
      <c r="C3106" s="156"/>
      <c r="D3106" s="156"/>
      <c r="E3106" s="156"/>
      <c r="F3106" s="156"/>
      <c r="G3106" s="57">
        <f>SUM(F3104:F3106)</f>
        <v>20030</v>
      </c>
    </row>
    <row r="3107" spans="1:7" s="145" customFormat="1" ht="15.75" customHeight="1">
      <c r="A3107" s="1119" t="s">
        <v>25</v>
      </c>
      <c r="B3107" s="1120"/>
      <c r="C3107" s="1120"/>
      <c r="D3107" s="1120"/>
      <c r="E3107" s="1120"/>
      <c r="F3107" s="1120"/>
      <c r="G3107" s="1121"/>
    </row>
    <row r="3108" spans="1:7" s="145" customFormat="1" ht="15" customHeight="1">
      <c r="A3108" s="1122"/>
      <c r="B3108" s="1120"/>
      <c r="C3108" s="1120"/>
      <c r="D3108" s="1120"/>
      <c r="E3108" s="1120"/>
      <c r="F3108" s="1120"/>
      <c r="G3108" s="157">
        <f>G3106+G3102+G3098+G3094</f>
        <v>40695.738500000007</v>
      </c>
    </row>
    <row r="3109" spans="1:7" s="145" customFormat="1" ht="15" customHeight="1">
      <c r="A3109" s="158"/>
      <c r="B3109" s="159"/>
      <c r="C3109" s="159"/>
      <c r="D3109" s="159"/>
      <c r="E3109" s="159"/>
      <c r="F3109" s="159"/>
      <c r="G3109" s="160"/>
    </row>
    <row r="3110" spans="1:7" s="145" customFormat="1" ht="15.75" customHeight="1">
      <c r="A3110" s="1123" t="s">
        <v>1</v>
      </c>
      <c r="B3110" s="1120"/>
      <c r="C3110" s="953" t="s">
        <v>594</v>
      </c>
      <c r="D3110" s="1125"/>
      <c r="E3110" s="1125"/>
      <c r="F3110" s="1125"/>
      <c r="G3110" s="1126"/>
    </row>
    <row r="3111" spans="1:7" s="145" customFormat="1" ht="13.8">
      <c r="A3111" s="1124"/>
      <c r="B3111" s="1120"/>
      <c r="C3111" s="1125"/>
      <c r="D3111" s="1125"/>
      <c r="E3111" s="1125"/>
      <c r="F3111" s="1125"/>
      <c r="G3111" s="1126"/>
    </row>
    <row r="3112" spans="1:7" s="145" customFormat="1" ht="15.6" customHeight="1">
      <c r="A3112" s="1124"/>
      <c r="B3112" s="1120"/>
      <c r="C3112" s="1127" t="s">
        <v>809</v>
      </c>
      <c r="D3112" s="1120"/>
      <c r="E3112" s="1120"/>
      <c r="F3112" s="1120"/>
      <c r="G3112" s="1121"/>
    </row>
    <row r="3113" spans="1:7" s="145" customFormat="1" ht="15.75" customHeight="1">
      <c r="A3113" s="1124"/>
      <c r="B3113" s="1120"/>
      <c r="C3113" s="1128" t="s">
        <v>2</v>
      </c>
      <c r="D3113" s="1120"/>
      <c r="E3113" s="1120"/>
      <c r="F3113" s="146" t="s">
        <v>3</v>
      </c>
      <c r="G3113" s="147" t="s">
        <v>4</v>
      </c>
    </row>
    <row r="3114" spans="1:7" s="145" customFormat="1" ht="62.25" customHeight="1">
      <c r="A3114" s="1073" t="s">
        <v>818</v>
      </c>
      <c r="B3114" s="1115"/>
      <c r="C3114" s="980" t="s">
        <v>819</v>
      </c>
      <c r="D3114" s="1115"/>
      <c r="E3114" s="1115"/>
      <c r="F3114" s="162" t="s">
        <v>45</v>
      </c>
      <c r="G3114" s="52">
        <v>1000</v>
      </c>
    </row>
    <row r="3115" spans="1:7" s="145" customFormat="1" ht="15.75" customHeight="1">
      <c r="A3115" s="1114" t="s">
        <v>5</v>
      </c>
      <c r="B3115" s="1115"/>
      <c r="C3115" s="1115"/>
      <c r="D3115" s="1115"/>
      <c r="E3115" s="1115"/>
      <c r="F3115" s="1115"/>
      <c r="G3115" s="1116"/>
    </row>
    <row r="3116" spans="1:7" s="145" customFormat="1" ht="15.75" customHeight="1">
      <c r="A3116" s="1074" t="s">
        <v>2</v>
      </c>
      <c r="B3116" s="1115"/>
      <c r="C3116" s="53" t="s">
        <v>3</v>
      </c>
      <c r="D3116" s="53" t="s">
        <v>4</v>
      </c>
      <c r="E3116" s="53" t="s">
        <v>6</v>
      </c>
      <c r="F3116" s="53" t="s">
        <v>7</v>
      </c>
      <c r="G3116" s="1075" t="s">
        <v>8</v>
      </c>
    </row>
    <row r="3117" spans="1:7" s="145" customFormat="1" ht="15.75" customHeight="1">
      <c r="A3117" s="947" t="s">
        <v>167</v>
      </c>
      <c r="B3117" s="1115"/>
      <c r="C3117" s="51" t="s">
        <v>3</v>
      </c>
      <c r="D3117" s="51">
        <v>0.05</v>
      </c>
      <c r="E3117" s="17">
        <f>G3130</f>
        <v>6009</v>
      </c>
      <c r="F3117" s="55">
        <f>D3117*E3117</f>
        <v>300.45</v>
      </c>
      <c r="G3117" s="1116"/>
    </row>
    <row r="3118" spans="1:7" s="145" customFormat="1" ht="15.75" customHeight="1">
      <c r="A3118" s="943"/>
      <c r="B3118" s="1115"/>
      <c r="C3118" s="51"/>
      <c r="D3118" s="51"/>
      <c r="E3118" s="51"/>
      <c r="F3118" s="55"/>
      <c r="G3118" s="57">
        <f>SUM(F3116:F3118)</f>
        <v>300.45</v>
      </c>
    </row>
    <row r="3119" spans="1:7" s="145" customFormat="1" ht="15.75" customHeight="1">
      <c r="A3119" s="1114" t="s">
        <v>10</v>
      </c>
      <c r="B3119" s="1115"/>
      <c r="C3119" s="1115"/>
      <c r="D3119" s="1115"/>
      <c r="E3119" s="1115"/>
      <c r="F3119" s="1115"/>
      <c r="G3119" s="1116"/>
    </row>
    <row r="3120" spans="1:7" s="145" customFormat="1" ht="15.75" customHeight="1">
      <c r="A3120" s="1074" t="s">
        <v>2</v>
      </c>
      <c r="B3120" s="1115"/>
      <c r="C3120" s="53" t="s">
        <v>3</v>
      </c>
      <c r="D3120" s="53" t="s">
        <v>4</v>
      </c>
      <c r="E3120" s="53" t="s">
        <v>6</v>
      </c>
      <c r="F3120" s="53" t="s">
        <v>11</v>
      </c>
      <c r="G3120" s="1075" t="s">
        <v>8</v>
      </c>
    </row>
    <row r="3121" spans="1:7" s="145" customFormat="1" ht="30.6" customHeight="1">
      <c r="A3121" s="1117" t="s">
        <v>820</v>
      </c>
      <c r="B3121" s="1118"/>
      <c r="C3121" s="16" t="s">
        <v>45</v>
      </c>
      <c r="D3121" s="16">
        <v>1</v>
      </c>
      <c r="E3121" s="17">
        <f>+'INSUMOS ELÉCTRICOS'!E86</f>
        <v>7679.07</v>
      </c>
      <c r="F3121" s="55">
        <f>D3121*E3121</f>
        <v>7679.07</v>
      </c>
      <c r="G3121" s="1075"/>
    </row>
    <row r="3122" spans="1:7" s="145" customFormat="1" ht="15.75" customHeight="1">
      <c r="A3122" s="947"/>
      <c r="B3122" s="1115"/>
      <c r="C3122" s="16"/>
      <c r="D3122" s="58"/>
      <c r="E3122" s="17"/>
      <c r="F3122" s="55"/>
      <c r="G3122" s="57">
        <f>SUM(F3120:F3122)</f>
        <v>7679.07</v>
      </c>
    </row>
    <row r="3123" spans="1:7" s="145" customFormat="1" ht="15.75" customHeight="1">
      <c r="A3123" s="1114" t="s">
        <v>15</v>
      </c>
      <c r="B3123" s="1115"/>
      <c r="C3123" s="1115"/>
      <c r="D3123" s="1115"/>
      <c r="E3123" s="1115"/>
      <c r="F3123" s="1115"/>
      <c r="G3123" s="1116"/>
    </row>
    <row r="3124" spans="1:7" s="145" customFormat="1" ht="15.75" customHeight="1">
      <c r="A3124" s="1074" t="s">
        <v>2</v>
      </c>
      <c r="B3124" s="1115"/>
      <c r="C3124" s="53" t="s">
        <v>3</v>
      </c>
      <c r="D3124" s="53" t="s">
        <v>4</v>
      </c>
      <c r="E3124" s="53" t="s">
        <v>6</v>
      </c>
      <c r="F3124" s="53" t="s">
        <v>11</v>
      </c>
      <c r="G3124" s="1075" t="s">
        <v>8</v>
      </c>
    </row>
    <row r="3125" spans="1:7" s="145" customFormat="1" ht="15.75" customHeight="1">
      <c r="A3125" s="943" t="s">
        <v>173</v>
      </c>
      <c r="B3125" s="1115"/>
      <c r="C3125" s="16" t="s">
        <v>3</v>
      </c>
      <c r="D3125" s="16">
        <v>0.1</v>
      </c>
      <c r="E3125" s="17">
        <f>G3122</f>
        <v>7679.07</v>
      </c>
      <c r="F3125" s="55">
        <f>D3125*E3125</f>
        <v>767.90700000000004</v>
      </c>
      <c r="G3125" s="1116"/>
    </row>
    <row r="3126" spans="1:7" s="145" customFormat="1" ht="15.75" customHeight="1">
      <c r="A3126" s="151"/>
      <c r="B3126" s="152"/>
      <c r="C3126" s="152"/>
      <c r="D3126" s="152"/>
      <c r="E3126" s="152"/>
      <c r="F3126" s="152"/>
      <c r="G3126" s="57">
        <f>SUM(F3125:F3126)</f>
        <v>767.90700000000004</v>
      </c>
    </row>
    <row r="3127" spans="1:7" s="145" customFormat="1" ht="15.75" customHeight="1">
      <c r="A3127" s="1114" t="s">
        <v>19</v>
      </c>
      <c r="B3127" s="1115"/>
      <c r="C3127" s="1115"/>
      <c r="D3127" s="1115"/>
      <c r="E3127" s="1115"/>
      <c r="F3127" s="1115"/>
      <c r="G3127" s="1116"/>
    </row>
    <row r="3128" spans="1:7" s="145" customFormat="1" ht="15.75" customHeight="1">
      <c r="A3128" s="1074" t="s">
        <v>2</v>
      </c>
      <c r="B3128" s="1115"/>
      <c r="C3128" s="53" t="s">
        <v>3</v>
      </c>
      <c r="D3128" s="53" t="s">
        <v>4</v>
      </c>
      <c r="E3128" s="53" t="s">
        <v>6</v>
      </c>
      <c r="F3128" s="53" t="s">
        <v>11</v>
      </c>
      <c r="G3128" s="1075" t="s">
        <v>8</v>
      </c>
    </row>
    <row r="3129" spans="1:7" s="2" customFormat="1" ht="15.75" customHeight="1">
      <c r="A3129" s="978" t="s">
        <v>1256</v>
      </c>
      <c r="B3129" s="979"/>
      <c r="C3129" s="13" t="s">
        <v>1245</v>
      </c>
      <c r="D3129" s="634">
        <v>0.3</v>
      </c>
      <c r="E3129" s="13">
        <v>20030</v>
      </c>
      <c r="F3129" s="55">
        <f>+D3129*E3129</f>
        <v>6009</v>
      </c>
      <c r="G3129" s="1116"/>
    </row>
    <row r="3130" spans="1:7" s="145" customFormat="1" ht="15.75" customHeight="1">
      <c r="A3130" s="155"/>
      <c r="B3130" s="156"/>
      <c r="C3130" s="156"/>
      <c r="D3130" s="156"/>
      <c r="E3130" s="156"/>
      <c r="F3130" s="156"/>
      <c r="G3130" s="57">
        <f>SUM(F3128:F3130)</f>
        <v>6009</v>
      </c>
    </row>
    <row r="3131" spans="1:7" s="145" customFormat="1" ht="15.75" customHeight="1">
      <c r="A3131" s="1119" t="s">
        <v>25</v>
      </c>
      <c r="B3131" s="1120"/>
      <c r="C3131" s="1120"/>
      <c r="D3131" s="1120"/>
      <c r="E3131" s="1120"/>
      <c r="F3131" s="1120"/>
      <c r="G3131" s="1121"/>
    </row>
    <row r="3132" spans="1:7" s="145" customFormat="1" ht="15.75" customHeight="1">
      <c r="A3132" s="1122"/>
      <c r="B3132" s="1120"/>
      <c r="C3132" s="1120"/>
      <c r="D3132" s="1120"/>
      <c r="E3132" s="1120"/>
      <c r="F3132" s="1120"/>
      <c r="G3132" s="157">
        <f>G3130+G3126+G3122+G3118</f>
        <v>14756.427</v>
      </c>
    </row>
    <row r="3133" spans="1:7" s="145" customFormat="1" ht="15" customHeight="1">
      <c r="A3133" s="158"/>
      <c r="B3133" s="159"/>
      <c r="C3133" s="159"/>
      <c r="D3133" s="159"/>
      <c r="E3133" s="159"/>
      <c r="F3133" s="159"/>
      <c r="G3133" s="160"/>
    </row>
    <row r="3134" spans="1:7" s="145" customFormat="1" ht="15.75" customHeight="1">
      <c r="A3134" s="1123" t="s">
        <v>1</v>
      </c>
      <c r="B3134" s="1120"/>
      <c r="C3134" s="953" t="s">
        <v>594</v>
      </c>
      <c r="D3134" s="1125"/>
      <c r="E3134" s="1125"/>
      <c r="F3134" s="1125"/>
      <c r="G3134" s="1126"/>
    </row>
    <row r="3135" spans="1:7" s="145" customFormat="1" ht="13.8">
      <c r="A3135" s="1124"/>
      <c r="B3135" s="1120"/>
      <c r="C3135" s="1125"/>
      <c r="D3135" s="1125"/>
      <c r="E3135" s="1125"/>
      <c r="F3135" s="1125"/>
      <c r="G3135" s="1126"/>
    </row>
    <row r="3136" spans="1:7" s="145" customFormat="1" ht="15.6" customHeight="1">
      <c r="A3136" s="1124"/>
      <c r="B3136" s="1120"/>
      <c r="C3136" s="1127" t="s">
        <v>809</v>
      </c>
      <c r="D3136" s="1120"/>
      <c r="E3136" s="1120"/>
      <c r="F3136" s="1120"/>
      <c r="G3136" s="1121"/>
    </row>
    <row r="3137" spans="1:7" s="145" customFormat="1" ht="15.75" customHeight="1">
      <c r="A3137" s="1124"/>
      <c r="B3137" s="1120"/>
      <c r="C3137" s="1128" t="s">
        <v>2</v>
      </c>
      <c r="D3137" s="1120"/>
      <c r="E3137" s="1120"/>
      <c r="F3137" s="146" t="s">
        <v>3</v>
      </c>
      <c r="G3137" s="147" t="s">
        <v>4</v>
      </c>
    </row>
    <row r="3138" spans="1:7" s="145" customFormat="1" ht="57.75" customHeight="1">
      <c r="A3138" s="1073" t="s">
        <v>821</v>
      </c>
      <c r="B3138" s="1115"/>
      <c r="C3138" s="980" t="s">
        <v>822</v>
      </c>
      <c r="D3138" s="1115"/>
      <c r="E3138" s="1115"/>
      <c r="F3138" s="162" t="s">
        <v>45</v>
      </c>
      <c r="G3138" s="52">
        <v>450</v>
      </c>
    </row>
    <row r="3139" spans="1:7" s="145" customFormat="1" ht="15.75" customHeight="1">
      <c r="A3139" s="1114" t="s">
        <v>5</v>
      </c>
      <c r="B3139" s="1115"/>
      <c r="C3139" s="1115"/>
      <c r="D3139" s="1115"/>
      <c r="E3139" s="1115"/>
      <c r="F3139" s="1115"/>
      <c r="G3139" s="1116"/>
    </row>
    <row r="3140" spans="1:7" s="145" customFormat="1" ht="15.75" customHeight="1">
      <c r="A3140" s="1074" t="s">
        <v>2</v>
      </c>
      <c r="B3140" s="1115"/>
      <c r="C3140" s="53" t="s">
        <v>3</v>
      </c>
      <c r="D3140" s="53" t="s">
        <v>4</v>
      </c>
      <c r="E3140" s="53" t="s">
        <v>6</v>
      </c>
      <c r="F3140" s="53" t="s">
        <v>7</v>
      </c>
      <c r="G3140" s="1075" t="s">
        <v>8</v>
      </c>
    </row>
    <row r="3141" spans="1:7" s="145" customFormat="1" ht="15.75" customHeight="1">
      <c r="A3141" s="947" t="s">
        <v>167</v>
      </c>
      <c r="B3141" s="1115"/>
      <c r="C3141" s="51" t="s">
        <v>3</v>
      </c>
      <c r="D3141" s="51">
        <v>0.05</v>
      </c>
      <c r="E3141" s="17">
        <f>G3156</f>
        <v>6009</v>
      </c>
      <c r="F3141" s="55">
        <f>D3141*E3141</f>
        <v>300.45</v>
      </c>
      <c r="G3141" s="1116"/>
    </row>
    <row r="3142" spans="1:7" s="145" customFormat="1" ht="15.75" customHeight="1">
      <c r="A3142" s="943"/>
      <c r="B3142" s="1115"/>
      <c r="C3142" s="51"/>
      <c r="D3142" s="51"/>
      <c r="E3142" s="51"/>
      <c r="F3142" s="55"/>
      <c r="G3142" s="57">
        <f>SUM(F3140:F3142)</f>
        <v>300.45</v>
      </c>
    </row>
    <row r="3143" spans="1:7" s="145" customFormat="1" ht="15.75" customHeight="1">
      <c r="A3143" s="1114" t="s">
        <v>10</v>
      </c>
      <c r="B3143" s="1115"/>
      <c r="C3143" s="1115"/>
      <c r="D3143" s="1115"/>
      <c r="E3143" s="1115"/>
      <c r="F3143" s="1115"/>
      <c r="G3143" s="1116"/>
    </row>
    <row r="3144" spans="1:7" s="145" customFormat="1" ht="15.75" customHeight="1">
      <c r="A3144" s="1074" t="s">
        <v>2</v>
      </c>
      <c r="B3144" s="1115"/>
      <c r="C3144" s="53" t="s">
        <v>3</v>
      </c>
      <c r="D3144" s="53" t="s">
        <v>4</v>
      </c>
      <c r="E3144" s="53" t="s">
        <v>6</v>
      </c>
      <c r="F3144" s="53" t="s">
        <v>11</v>
      </c>
      <c r="G3144" s="1075" t="s">
        <v>8</v>
      </c>
    </row>
    <row r="3145" spans="1:7" s="145" customFormat="1" ht="15.75" customHeight="1">
      <c r="A3145" s="1117" t="s">
        <v>824</v>
      </c>
      <c r="B3145" s="1118"/>
      <c r="C3145" s="16" t="s">
        <v>3</v>
      </c>
      <c r="D3145" s="16">
        <v>0.67</v>
      </c>
      <c r="E3145" s="17">
        <f>+'INSUMOS ELÉCTRICOS'!E115</f>
        <v>990</v>
      </c>
      <c r="F3145" s="55">
        <f>D3145*E3145</f>
        <v>663.30000000000007</v>
      </c>
      <c r="G3145" s="1075"/>
    </row>
    <row r="3146" spans="1:7" s="145" customFormat="1" ht="15.75" customHeight="1">
      <c r="A3146" s="1117" t="s">
        <v>825</v>
      </c>
      <c r="B3146" s="1118"/>
      <c r="C3146" s="16" t="s">
        <v>622</v>
      </c>
      <c r="D3146" s="16">
        <v>1</v>
      </c>
      <c r="E3146" s="785">
        <v>6500</v>
      </c>
      <c r="F3146" s="55">
        <f>D3146*E3146</f>
        <v>6500</v>
      </c>
      <c r="G3146" s="61"/>
    </row>
    <row r="3147" spans="1:7" s="145" customFormat="1" ht="15.75" customHeight="1">
      <c r="A3147" s="1117" t="s">
        <v>612</v>
      </c>
      <c r="B3147" s="1118"/>
      <c r="C3147" s="16" t="s">
        <v>3</v>
      </c>
      <c r="D3147" s="16">
        <v>1.33</v>
      </c>
      <c r="E3147" s="17">
        <f>+'INSUMOS ELÉCTRICOS'!E126</f>
        <v>348.66999999999996</v>
      </c>
      <c r="F3147" s="55">
        <f>D3147*E3147</f>
        <v>463.73109999999997</v>
      </c>
      <c r="G3147" s="164"/>
    </row>
    <row r="3148" spans="1:7" s="145" customFormat="1" ht="15.75" customHeight="1">
      <c r="A3148" s="947"/>
      <c r="B3148" s="1115"/>
      <c r="C3148" s="16"/>
      <c r="D3148" s="58"/>
      <c r="E3148" s="17"/>
      <c r="F3148" s="55">
        <f>E3148*D3148</f>
        <v>0</v>
      </c>
      <c r="G3148" s="57">
        <f>SUM(F3144:F3148)</f>
        <v>7627.0311000000002</v>
      </c>
    </row>
    <row r="3149" spans="1:7" s="145" customFormat="1" ht="15.75" customHeight="1">
      <c r="A3149" s="1114" t="s">
        <v>15</v>
      </c>
      <c r="B3149" s="1115"/>
      <c r="C3149" s="1115"/>
      <c r="D3149" s="1115"/>
      <c r="E3149" s="1115"/>
      <c r="F3149" s="1115"/>
      <c r="G3149" s="1116"/>
    </row>
    <row r="3150" spans="1:7" s="145" customFormat="1" ht="16.5" customHeight="1">
      <c r="A3150" s="1074" t="s">
        <v>2</v>
      </c>
      <c r="B3150" s="1115"/>
      <c r="C3150" s="53" t="s">
        <v>3</v>
      </c>
      <c r="D3150" s="53" t="s">
        <v>4</v>
      </c>
      <c r="E3150" s="53" t="s">
        <v>6</v>
      </c>
      <c r="F3150" s="53" t="s">
        <v>11</v>
      </c>
      <c r="G3150" s="1075" t="s">
        <v>8</v>
      </c>
    </row>
    <row r="3151" spans="1:7" s="145" customFormat="1" ht="15.75" customHeight="1">
      <c r="A3151" s="943" t="s">
        <v>173</v>
      </c>
      <c r="B3151" s="1115"/>
      <c r="C3151" s="16" t="s">
        <v>3</v>
      </c>
      <c r="D3151" s="16">
        <v>0.03</v>
      </c>
      <c r="E3151" s="17">
        <f>G3148</f>
        <v>7627.0311000000002</v>
      </c>
      <c r="F3151" s="55">
        <f>D3151*E3151</f>
        <v>228.81093300000001</v>
      </c>
      <c r="G3151" s="1116"/>
    </row>
    <row r="3152" spans="1:7" s="2" customFormat="1" ht="15.75" customHeight="1">
      <c r="A3152" s="151"/>
      <c r="B3152" s="152"/>
      <c r="C3152" s="152"/>
      <c r="D3152" s="152"/>
      <c r="E3152" s="152"/>
      <c r="F3152" s="152"/>
      <c r="G3152" s="57">
        <f>SUM(F3151:F3152)</f>
        <v>228.81093300000001</v>
      </c>
    </row>
    <row r="3153" spans="1:7" s="145" customFormat="1" ht="15.75" customHeight="1">
      <c r="A3153" s="1114" t="s">
        <v>19</v>
      </c>
      <c r="B3153" s="1115"/>
      <c r="C3153" s="1115"/>
      <c r="D3153" s="1115"/>
      <c r="E3153" s="1115"/>
      <c r="F3153" s="1115"/>
      <c r="G3153" s="1116"/>
    </row>
    <row r="3154" spans="1:7" s="145" customFormat="1" ht="15.75" customHeight="1">
      <c r="A3154" s="1074" t="s">
        <v>2</v>
      </c>
      <c r="B3154" s="1115"/>
      <c r="C3154" s="53" t="s">
        <v>3</v>
      </c>
      <c r="D3154" s="53" t="s">
        <v>4</v>
      </c>
      <c r="E3154" s="53" t="s">
        <v>6</v>
      </c>
      <c r="F3154" s="53" t="s">
        <v>11</v>
      </c>
      <c r="G3154" s="1075" t="s">
        <v>8</v>
      </c>
    </row>
    <row r="3155" spans="1:7" s="145" customFormat="1" ht="15.75" customHeight="1">
      <c r="A3155" s="978" t="s">
        <v>1256</v>
      </c>
      <c r="B3155" s="979"/>
      <c r="C3155" s="13" t="s">
        <v>1245</v>
      </c>
      <c r="D3155" s="32">
        <v>0.3</v>
      </c>
      <c r="E3155" s="13">
        <v>20030</v>
      </c>
      <c r="F3155" s="55">
        <f>+D3155*E3155</f>
        <v>6009</v>
      </c>
      <c r="G3155" s="1116"/>
    </row>
    <row r="3156" spans="1:7" s="145" customFormat="1" ht="15" customHeight="1">
      <c r="A3156" s="155"/>
      <c r="B3156" s="156"/>
      <c r="C3156" s="156"/>
      <c r="D3156" s="156"/>
      <c r="E3156" s="156"/>
      <c r="F3156" s="156"/>
      <c r="G3156" s="57">
        <f>SUM(F3154:F3156)</f>
        <v>6009</v>
      </c>
    </row>
    <row r="3157" spans="1:7" s="145" customFormat="1" ht="15.75" customHeight="1">
      <c r="A3157" s="1119" t="s">
        <v>25</v>
      </c>
      <c r="B3157" s="1120"/>
      <c r="C3157" s="1120"/>
      <c r="D3157" s="1120"/>
      <c r="E3157" s="1120"/>
      <c r="F3157" s="1120"/>
      <c r="G3157" s="1121"/>
    </row>
    <row r="3158" spans="1:7" s="145" customFormat="1" ht="17.399999999999999">
      <c r="A3158" s="1122"/>
      <c r="B3158" s="1120"/>
      <c r="C3158" s="1120"/>
      <c r="D3158" s="1120"/>
      <c r="E3158" s="1120"/>
      <c r="F3158" s="1120"/>
      <c r="G3158" s="157">
        <f>G3156+G3152+G3148+G3142</f>
        <v>14165.292033000002</v>
      </c>
    </row>
    <row r="3159" spans="1:7" s="145" customFormat="1" ht="15.6" customHeight="1">
      <c r="A3159" s="158"/>
      <c r="B3159" s="159"/>
      <c r="C3159" s="159"/>
      <c r="D3159" s="159"/>
      <c r="E3159" s="159"/>
      <c r="F3159" s="159"/>
      <c r="G3159" s="160"/>
    </row>
    <row r="3160" spans="1:7" s="145" customFormat="1" ht="15.75" customHeight="1">
      <c r="A3160" s="1123" t="s">
        <v>1</v>
      </c>
      <c r="B3160" s="1120"/>
      <c r="C3160" s="953" t="s">
        <v>594</v>
      </c>
      <c r="D3160" s="1125"/>
      <c r="E3160" s="1125"/>
      <c r="F3160" s="1125"/>
      <c r="G3160" s="1126"/>
    </row>
    <row r="3161" spans="1:7" s="145" customFormat="1" ht="13.8">
      <c r="A3161" s="1124"/>
      <c r="B3161" s="1120"/>
      <c r="C3161" s="1125"/>
      <c r="D3161" s="1125"/>
      <c r="E3161" s="1125"/>
      <c r="F3161" s="1125"/>
      <c r="G3161" s="1126"/>
    </row>
    <row r="3162" spans="1:7" s="145" customFormat="1" ht="15.75" customHeight="1">
      <c r="A3162" s="1124"/>
      <c r="B3162" s="1120"/>
      <c r="C3162" s="1127" t="s">
        <v>809</v>
      </c>
      <c r="D3162" s="1120"/>
      <c r="E3162" s="1120"/>
      <c r="F3162" s="1120"/>
      <c r="G3162" s="1121"/>
    </row>
    <row r="3163" spans="1:7" s="145" customFormat="1" ht="15.75" customHeight="1">
      <c r="A3163" s="1124"/>
      <c r="B3163" s="1120"/>
      <c r="C3163" s="1128" t="s">
        <v>2</v>
      </c>
      <c r="D3163" s="1120"/>
      <c r="E3163" s="1120"/>
      <c r="F3163" s="146" t="s">
        <v>3</v>
      </c>
      <c r="G3163" s="147" t="s">
        <v>4</v>
      </c>
    </row>
    <row r="3164" spans="1:7" s="145" customFormat="1" ht="63" customHeight="1">
      <c r="A3164" s="1073" t="s">
        <v>826</v>
      </c>
      <c r="B3164" s="1115"/>
      <c r="C3164" s="980" t="s">
        <v>827</v>
      </c>
      <c r="D3164" s="1115"/>
      <c r="E3164" s="1115"/>
      <c r="F3164" s="162" t="s">
        <v>28</v>
      </c>
      <c r="G3164" s="52">
        <v>1</v>
      </c>
    </row>
    <row r="3165" spans="1:7" s="145" customFormat="1" ht="15.75" customHeight="1">
      <c r="A3165" s="1114" t="s">
        <v>5</v>
      </c>
      <c r="B3165" s="1115"/>
      <c r="C3165" s="1115"/>
      <c r="D3165" s="1115"/>
      <c r="E3165" s="1115"/>
      <c r="F3165" s="1115"/>
      <c r="G3165" s="1116"/>
    </row>
    <row r="3166" spans="1:7" s="145" customFormat="1" ht="15.75" customHeight="1">
      <c r="A3166" s="1074" t="s">
        <v>2</v>
      </c>
      <c r="B3166" s="1115"/>
      <c r="C3166" s="53" t="s">
        <v>3</v>
      </c>
      <c r="D3166" s="53" t="s">
        <v>4</v>
      </c>
      <c r="E3166" s="53" t="s">
        <v>6</v>
      </c>
      <c r="F3166" s="53" t="s">
        <v>7</v>
      </c>
      <c r="G3166" s="1075" t="s">
        <v>8</v>
      </c>
    </row>
    <row r="3167" spans="1:7" s="145" customFormat="1" ht="15.75" customHeight="1">
      <c r="A3167" s="947" t="s">
        <v>167</v>
      </c>
      <c r="B3167" s="1115"/>
      <c r="C3167" s="51" t="s">
        <v>3</v>
      </c>
      <c r="D3167" s="51">
        <v>0.05</v>
      </c>
      <c r="E3167" s="17">
        <f>G3182</f>
        <v>40060</v>
      </c>
      <c r="F3167" s="55">
        <f>D3167*E3167</f>
        <v>2003</v>
      </c>
      <c r="G3167" s="1116"/>
    </row>
    <row r="3168" spans="1:7" s="168" customFormat="1" ht="30.6" customHeight="1">
      <c r="A3168" s="943"/>
      <c r="B3168" s="1115"/>
      <c r="C3168" s="51"/>
      <c r="D3168" s="51"/>
      <c r="E3168" s="51"/>
      <c r="F3168" s="55"/>
      <c r="G3168" s="57">
        <f>SUM(F3166:F3168)</f>
        <v>2003</v>
      </c>
    </row>
    <row r="3169" spans="1:7" s="168" customFormat="1" ht="16.2" customHeight="1">
      <c r="A3169" s="1114" t="s">
        <v>10</v>
      </c>
      <c r="B3169" s="1115"/>
      <c r="C3169" s="1115"/>
      <c r="D3169" s="1115"/>
      <c r="E3169" s="1115"/>
      <c r="F3169" s="1115"/>
      <c r="G3169" s="1116"/>
    </row>
    <row r="3170" spans="1:7" s="168" customFormat="1" ht="16.2" customHeight="1">
      <c r="A3170" s="1074" t="s">
        <v>2</v>
      </c>
      <c r="B3170" s="1115"/>
      <c r="C3170" s="53" t="s">
        <v>3</v>
      </c>
      <c r="D3170" s="53" t="s">
        <v>4</v>
      </c>
      <c r="E3170" s="53" t="s">
        <v>6</v>
      </c>
      <c r="F3170" s="53" t="s">
        <v>11</v>
      </c>
      <c r="G3170" s="1075" t="s">
        <v>8</v>
      </c>
    </row>
    <row r="3171" spans="1:7" s="145" customFormat="1" ht="15.75" customHeight="1">
      <c r="A3171" s="1117" t="s">
        <v>828</v>
      </c>
      <c r="B3171" s="1118"/>
      <c r="C3171" s="16" t="s">
        <v>3</v>
      </c>
      <c r="D3171" s="16">
        <v>1</v>
      </c>
      <c r="E3171" s="17">
        <f>+'INSUMOS ELÉCTRICOS'!E88</f>
        <v>42364</v>
      </c>
      <c r="F3171" s="55">
        <f>D3171*E3171</f>
        <v>42364</v>
      </c>
      <c r="G3171" s="1075"/>
    </row>
    <row r="3172" spans="1:7" s="145" customFormat="1" ht="15.75" customHeight="1">
      <c r="A3172" s="1117" t="s">
        <v>829</v>
      </c>
      <c r="B3172" s="1118"/>
      <c r="C3172" s="16" t="s">
        <v>3</v>
      </c>
      <c r="D3172" s="16">
        <v>1</v>
      </c>
      <c r="E3172" s="17">
        <f>+'INSUMOS ELÉCTRICOS'!E49</f>
        <v>24900</v>
      </c>
      <c r="F3172" s="55">
        <f>D3172*E3172</f>
        <v>24900</v>
      </c>
      <c r="G3172" s="61"/>
    </row>
    <row r="3173" spans="1:7" s="145" customFormat="1" ht="15.75" customHeight="1">
      <c r="A3173" s="1117" t="s">
        <v>830</v>
      </c>
      <c r="B3173" s="1118"/>
      <c r="C3173" s="16" t="s">
        <v>3</v>
      </c>
      <c r="D3173" s="16">
        <v>1</v>
      </c>
      <c r="E3173" s="17">
        <f>+'INSUMOS ELÉCTRICOS'!E29</f>
        <v>4190</v>
      </c>
      <c r="F3173" s="55">
        <f>D3173*E3173</f>
        <v>4190</v>
      </c>
      <c r="G3173" s="164"/>
    </row>
    <row r="3174" spans="1:7" s="145" customFormat="1" ht="15.75" customHeight="1">
      <c r="A3174" s="947"/>
      <c r="B3174" s="1115"/>
      <c r="C3174" s="16"/>
      <c r="D3174" s="58"/>
      <c r="E3174" s="17"/>
      <c r="F3174" s="55"/>
      <c r="G3174" s="57">
        <f>SUM(F3170:F3174)</f>
        <v>71454</v>
      </c>
    </row>
    <row r="3175" spans="1:7" s="145" customFormat="1" ht="15.75" customHeight="1">
      <c r="A3175" s="1114" t="s">
        <v>15</v>
      </c>
      <c r="B3175" s="1115"/>
      <c r="C3175" s="1115"/>
      <c r="D3175" s="1115"/>
      <c r="E3175" s="1115"/>
      <c r="F3175" s="1115"/>
      <c r="G3175" s="1116"/>
    </row>
    <row r="3176" spans="1:7" s="145" customFormat="1" ht="15.75" customHeight="1">
      <c r="A3176" s="1074" t="s">
        <v>2</v>
      </c>
      <c r="B3176" s="1115"/>
      <c r="C3176" s="53" t="s">
        <v>3</v>
      </c>
      <c r="D3176" s="53" t="s">
        <v>4</v>
      </c>
      <c r="E3176" s="53" t="s">
        <v>6</v>
      </c>
      <c r="F3176" s="53" t="s">
        <v>11</v>
      </c>
      <c r="G3176" s="1075" t="s">
        <v>8</v>
      </c>
    </row>
    <row r="3177" spans="1:7" s="145" customFormat="1" ht="15.75" customHeight="1">
      <c r="A3177" s="943" t="s">
        <v>173</v>
      </c>
      <c r="B3177" s="1115"/>
      <c r="C3177" s="16" t="s">
        <v>3</v>
      </c>
      <c r="D3177" s="16">
        <v>0.03</v>
      </c>
      <c r="E3177" s="17">
        <f>G3174</f>
        <v>71454</v>
      </c>
      <c r="F3177" s="55">
        <f>D3177*E3177</f>
        <v>2143.62</v>
      </c>
      <c r="G3177" s="1116"/>
    </row>
    <row r="3178" spans="1:7" s="2" customFormat="1" ht="15.75" customHeight="1">
      <c r="A3178" s="151"/>
      <c r="B3178" s="152"/>
      <c r="C3178" s="152"/>
      <c r="D3178" s="152"/>
      <c r="E3178" s="152"/>
      <c r="F3178" s="152"/>
      <c r="G3178" s="57">
        <f>SUM(F3177:F3178)</f>
        <v>2143.62</v>
      </c>
    </row>
    <row r="3179" spans="1:7" s="145" customFormat="1" ht="15.75" customHeight="1">
      <c r="A3179" s="1114" t="s">
        <v>19</v>
      </c>
      <c r="B3179" s="1115"/>
      <c r="C3179" s="1115"/>
      <c r="D3179" s="1115"/>
      <c r="E3179" s="1115"/>
      <c r="F3179" s="1115"/>
      <c r="G3179" s="1116"/>
    </row>
    <row r="3180" spans="1:7" s="145" customFormat="1" ht="15.75" customHeight="1">
      <c r="A3180" s="1074" t="s">
        <v>2</v>
      </c>
      <c r="B3180" s="1115"/>
      <c r="C3180" s="53" t="s">
        <v>3</v>
      </c>
      <c r="D3180" s="53" t="s">
        <v>4</v>
      </c>
      <c r="E3180" s="53" t="s">
        <v>6</v>
      </c>
      <c r="F3180" s="53" t="s">
        <v>11</v>
      </c>
      <c r="G3180" s="1075" t="s">
        <v>8</v>
      </c>
    </row>
    <row r="3181" spans="1:7" s="145" customFormat="1" ht="15.75" customHeight="1">
      <c r="A3181" s="978" t="s">
        <v>1256</v>
      </c>
      <c r="B3181" s="979"/>
      <c r="C3181" s="13" t="s">
        <v>1245</v>
      </c>
      <c r="D3181" s="32">
        <v>2</v>
      </c>
      <c r="E3181" s="13">
        <v>20030</v>
      </c>
      <c r="F3181" s="55">
        <f>+D3181*E3181</f>
        <v>40060</v>
      </c>
      <c r="G3181" s="1116"/>
    </row>
    <row r="3182" spans="1:7" s="145" customFormat="1" ht="15" customHeight="1">
      <c r="A3182" s="155"/>
      <c r="B3182" s="156"/>
      <c r="C3182" s="156"/>
      <c r="D3182" s="156"/>
      <c r="E3182" s="156"/>
      <c r="F3182" s="156"/>
      <c r="G3182" s="57">
        <f>SUM(F3180:F3182)</f>
        <v>40060</v>
      </c>
    </row>
    <row r="3183" spans="1:7" s="145" customFormat="1" ht="15.75" customHeight="1">
      <c r="A3183" s="1119" t="s">
        <v>25</v>
      </c>
      <c r="B3183" s="1120"/>
      <c r="C3183" s="1120"/>
      <c r="D3183" s="1120"/>
      <c r="E3183" s="1120"/>
      <c r="F3183" s="1120"/>
      <c r="G3183" s="1121"/>
    </row>
    <row r="3184" spans="1:7" s="145" customFormat="1" ht="17.399999999999999">
      <c r="A3184" s="1122"/>
      <c r="B3184" s="1120"/>
      <c r="C3184" s="1120"/>
      <c r="D3184" s="1120"/>
      <c r="E3184" s="1120"/>
      <c r="F3184" s="1120"/>
      <c r="G3184" s="157">
        <f>G3182+G3178+G3174+G3168</f>
        <v>115660.62</v>
      </c>
    </row>
    <row r="3185" spans="1:7" s="145" customFormat="1" ht="15.6" customHeight="1">
      <c r="A3185" s="158"/>
      <c r="B3185" s="159"/>
      <c r="C3185" s="159"/>
      <c r="D3185" s="159"/>
      <c r="E3185" s="159"/>
      <c r="F3185" s="159"/>
      <c r="G3185" s="160"/>
    </row>
    <row r="3186" spans="1:7" s="145" customFormat="1" ht="15.75" customHeight="1">
      <c r="A3186" s="1123" t="s">
        <v>1</v>
      </c>
      <c r="B3186" s="1120"/>
      <c r="C3186" s="953" t="s">
        <v>594</v>
      </c>
      <c r="D3186" s="1125"/>
      <c r="E3186" s="1125"/>
      <c r="F3186" s="1125"/>
      <c r="G3186" s="1126"/>
    </row>
    <row r="3187" spans="1:7" s="145" customFormat="1" ht="13.8">
      <c r="A3187" s="1124"/>
      <c r="B3187" s="1120"/>
      <c r="C3187" s="1125"/>
      <c r="D3187" s="1125"/>
      <c r="E3187" s="1125"/>
      <c r="F3187" s="1125"/>
      <c r="G3187" s="1126"/>
    </row>
    <row r="3188" spans="1:7" s="145" customFormat="1" ht="15.75" customHeight="1">
      <c r="A3188" s="1124"/>
      <c r="B3188" s="1120"/>
      <c r="C3188" s="1127" t="s">
        <v>809</v>
      </c>
      <c r="D3188" s="1120"/>
      <c r="E3188" s="1120"/>
      <c r="F3188" s="1120"/>
      <c r="G3188" s="1121"/>
    </row>
    <row r="3189" spans="1:7" s="145" customFormat="1" ht="15.75" customHeight="1">
      <c r="A3189" s="1124"/>
      <c r="B3189" s="1120"/>
      <c r="C3189" s="1128" t="s">
        <v>2</v>
      </c>
      <c r="D3189" s="1120"/>
      <c r="E3189" s="1120"/>
      <c r="F3189" s="146" t="s">
        <v>3</v>
      </c>
      <c r="G3189" s="147" t="s">
        <v>4</v>
      </c>
    </row>
    <row r="3190" spans="1:7" s="145" customFormat="1" ht="75" customHeight="1">
      <c r="A3190" s="1073" t="s">
        <v>831</v>
      </c>
      <c r="B3190" s="1115"/>
      <c r="C3190" s="980" t="s">
        <v>2791</v>
      </c>
      <c r="D3190" s="1115"/>
      <c r="E3190" s="1115"/>
      <c r="F3190" s="162" t="s">
        <v>28</v>
      </c>
      <c r="G3190" s="52">
        <v>1</v>
      </c>
    </row>
    <row r="3191" spans="1:7" s="145" customFormat="1" ht="15.75" customHeight="1">
      <c r="A3191" s="1114" t="s">
        <v>5</v>
      </c>
      <c r="B3191" s="1115"/>
      <c r="C3191" s="1115"/>
      <c r="D3191" s="1115"/>
      <c r="E3191" s="1115"/>
      <c r="F3191" s="1115"/>
      <c r="G3191" s="1116"/>
    </row>
    <row r="3192" spans="1:7" s="145" customFormat="1" ht="15.75" customHeight="1">
      <c r="A3192" s="1074" t="s">
        <v>2</v>
      </c>
      <c r="B3192" s="1115"/>
      <c r="C3192" s="53" t="s">
        <v>3</v>
      </c>
      <c r="D3192" s="53" t="s">
        <v>4</v>
      </c>
      <c r="E3192" s="53" t="s">
        <v>6</v>
      </c>
      <c r="F3192" s="53" t="s">
        <v>7</v>
      </c>
      <c r="G3192" s="1075" t="s">
        <v>8</v>
      </c>
    </row>
    <row r="3193" spans="1:7" s="145" customFormat="1" ht="15.75" customHeight="1">
      <c r="A3193" s="947" t="s">
        <v>167</v>
      </c>
      <c r="B3193" s="1115"/>
      <c r="C3193" s="51" t="s">
        <v>3</v>
      </c>
      <c r="D3193" s="51">
        <v>0.05</v>
      </c>
      <c r="E3193" s="17">
        <f>+G3208</f>
        <v>40060</v>
      </c>
      <c r="F3193" s="55">
        <f>D3193*E3193</f>
        <v>2003</v>
      </c>
      <c r="G3193" s="1116"/>
    </row>
    <row r="3194" spans="1:7" s="168" customFormat="1" ht="13.8">
      <c r="A3194" s="943"/>
      <c r="B3194" s="1115"/>
      <c r="C3194" s="51"/>
      <c r="D3194" s="51"/>
      <c r="E3194" s="51"/>
      <c r="F3194" s="55"/>
      <c r="G3194" s="57">
        <f>SUM(F3192:F3194)</f>
        <v>2003</v>
      </c>
    </row>
    <row r="3195" spans="1:7" s="168" customFormat="1" ht="16.2" customHeight="1">
      <c r="A3195" s="1114" t="s">
        <v>10</v>
      </c>
      <c r="B3195" s="1115"/>
      <c r="C3195" s="1115"/>
      <c r="D3195" s="1115"/>
      <c r="E3195" s="1115"/>
      <c r="F3195" s="1115"/>
      <c r="G3195" s="1116"/>
    </row>
    <row r="3196" spans="1:7" s="168" customFormat="1" ht="16.2" customHeight="1">
      <c r="A3196" s="1074" t="s">
        <v>2</v>
      </c>
      <c r="B3196" s="1115"/>
      <c r="C3196" s="53" t="s">
        <v>3</v>
      </c>
      <c r="D3196" s="53" t="s">
        <v>4</v>
      </c>
      <c r="E3196" s="53" t="s">
        <v>6</v>
      </c>
      <c r="F3196" s="53" t="s">
        <v>11</v>
      </c>
      <c r="G3196" s="1029" t="s">
        <v>8</v>
      </c>
    </row>
    <row r="3197" spans="1:7" s="145" customFormat="1" ht="15.75" customHeight="1">
      <c r="A3197" s="1117" t="s">
        <v>828</v>
      </c>
      <c r="B3197" s="1118"/>
      <c r="C3197" s="148" t="s">
        <v>3</v>
      </c>
      <c r="D3197" s="148">
        <v>1</v>
      </c>
      <c r="E3197" s="17">
        <f>+'INSUMOS ELÉCTRICOS'!E88</f>
        <v>42364</v>
      </c>
      <c r="F3197" s="149">
        <f>D3197*E3197</f>
        <v>42364</v>
      </c>
      <c r="G3197" s="1030"/>
    </row>
    <row r="3198" spans="1:7" s="145" customFormat="1" ht="15.75" customHeight="1">
      <c r="A3198" s="1117" t="s">
        <v>829</v>
      </c>
      <c r="B3198" s="1118"/>
      <c r="C3198" s="16" t="s">
        <v>3</v>
      </c>
      <c r="D3198" s="16">
        <v>1</v>
      </c>
      <c r="E3198" s="17">
        <f>+'INSUMOS ELÉCTRICOS'!E49</f>
        <v>24900</v>
      </c>
      <c r="F3198" s="55">
        <f>D3198*E3198</f>
        <v>24900</v>
      </c>
      <c r="G3198" s="1030"/>
    </row>
    <row r="3199" spans="1:7" s="145" customFormat="1" ht="15.75" customHeight="1">
      <c r="A3199" s="1117" t="s">
        <v>830</v>
      </c>
      <c r="B3199" s="1118"/>
      <c r="C3199" s="16" t="s">
        <v>3</v>
      </c>
      <c r="D3199" s="16">
        <v>1</v>
      </c>
      <c r="E3199" s="17">
        <f>+'INSUMOS ELÉCTRICOS'!E29</f>
        <v>4190</v>
      </c>
      <c r="F3199" s="55">
        <f>D3199*E3199</f>
        <v>4190</v>
      </c>
      <c r="G3199" s="1031"/>
    </row>
    <row r="3200" spans="1:7" s="145" customFormat="1" ht="15.75" customHeight="1">
      <c r="A3200" s="947"/>
      <c r="B3200" s="1115"/>
      <c r="C3200" s="16"/>
      <c r="D3200" s="58"/>
      <c r="E3200" s="17"/>
      <c r="F3200" s="55"/>
      <c r="G3200" s="57">
        <f>SUM(F3196:F3200)</f>
        <v>71454</v>
      </c>
    </row>
    <row r="3201" spans="1:7" s="145" customFormat="1" ht="15.75" customHeight="1">
      <c r="A3201" s="1114" t="s">
        <v>15</v>
      </c>
      <c r="B3201" s="1115"/>
      <c r="C3201" s="1115"/>
      <c r="D3201" s="1115"/>
      <c r="E3201" s="1115"/>
      <c r="F3201" s="1115"/>
      <c r="G3201" s="1116"/>
    </row>
    <row r="3202" spans="1:7" s="145" customFormat="1" ht="15.75" customHeight="1">
      <c r="A3202" s="1074" t="s">
        <v>2</v>
      </c>
      <c r="B3202" s="1115"/>
      <c r="C3202" s="53" t="s">
        <v>3</v>
      </c>
      <c r="D3202" s="53" t="s">
        <v>4</v>
      </c>
      <c r="E3202" s="53" t="s">
        <v>6</v>
      </c>
      <c r="F3202" s="53" t="s">
        <v>11</v>
      </c>
      <c r="G3202" s="1075" t="s">
        <v>8</v>
      </c>
    </row>
    <row r="3203" spans="1:7" s="145" customFormat="1" ht="15.75" customHeight="1">
      <c r="A3203" s="943" t="s">
        <v>173</v>
      </c>
      <c r="B3203" s="1115"/>
      <c r="C3203" s="16" t="s">
        <v>3</v>
      </c>
      <c r="D3203" s="16">
        <v>0.03</v>
      </c>
      <c r="E3203" s="17">
        <f>G3200</f>
        <v>71454</v>
      </c>
      <c r="F3203" s="55">
        <f>D3203*E3203</f>
        <v>2143.62</v>
      </c>
      <c r="G3203" s="1116"/>
    </row>
    <row r="3204" spans="1:7" s="2" customFormat="1" ht="15.75" customHeight="1">
      <c r="A3204" s="151"/>
      <c r="B3204" s="152"/>
      <c r="C3204" s="152"/>
      <c r="D3204" s="152"/>
      <c r="E3204" s="152"/>
      <c r="F3204" s="152"/>
      <c r="G3204" s="57">
        <f>SUM(F3203:F3204)</f>
        <v>2143.62</v>
      </c>
    </row>
    <row r="3205" spans="1:7" s="145" customFormat="1" ht="15.75" customHeight="1">
      <c r="A3205" s="1114" t="s">
        <v>19</v>
      </c>
      <c r="B3205" s="1115"/>
      <c r="C3205" s="1115"/>
      <c r="D3205" s="1115"/>
      <c r="E3205" s="1115"/>
      <c r="F3205" s="1115"/>
      <c r="G3205" s="1116"/>
    </row>
    <row r="3206" spans="1:7" s="145" customFormat="1" ht="15.75" customHeight="1">
      <c r="A3206" s="1074" t="s">
        <v>2</v>
      </c>
      <c r="B3206" s="1115"/>
      <c r="C3206" s="53" t="s">
        <v>3</v>
      </c>
      <c r="D3206" s="53" t="s">
        <v>4</v>
      </c>
      <c r="E3206" s="53" t="s">
        <v>6</v>
      </c>
      <c r="F3206" s="53" t="s">
        <v>11</v>
      </c>
      <c r="G3206" s="1075" t="s">
        <v>8</v>
      </c>
    </row>
    <row r="3207" spans="1:7" s="145" customFormat="1" ht="15.75" customHeight="1">
      <c r="A3207" s="978" t="s">
        <v>1256</v>
      </c>
      <c r="B3207" s="979"/>
      <c r="C3207" s="13" t="s">
        <v>1245</v>
      </c>
      <c r="D3207" s="32">
        <v>2</v>
      </c>
      <c r="E3207" s="13">
        <v>20030</v>
      </c>
      <c r="F3207" s="55">
        <f>+D3207*E3207</f>
        <v>40060</v>
      </c>
      <c r="G3207" s="1116"/>
    </row>
    <row r="3208" spans="1:7" s="145" customFormat="1" ht="15" customHeight="1">
      <c r="A3208" s="155"/>
      <c r="B3208" s="156"/>
      <c r="C3208" s="156"/>
      <c r="D3208" s="156"/>
      <c r="E3208" s="156"/>
      <c r="F3208" s="156"/>
      <c r="G3208" s="57">
        <f>SUM(F3206:F3208)</f>
        <v>40060</v>
      </c>
    </row>
    <row r="3209" spans="1:7" s="145" customFormat="1" ht="15.75" customHeight="1">
      <c r="A3209" s="1119" t="s">
        <v>25</v>
      </c>
      <c r="B3209" s="1120"/>
      <c r="C3209" s="1120"/>
      <c r="D3209" s="1120"/>
      <c r="E3209" s="1120"/>
      <c r="F3209" s="1120"/>
      <c r="G3209" s="1121"/>
    </row>
    <row r="3210" spans="1:7" s="145" customFormat="1" ht="17.399999999999999">
      <c r="A3210" s="1122"/>
      <c r="B3210" s="1120"/>
      <c r="C3210" s="1120"/>
      <c r="D3210" s="1120"/>
      <c r="E3210" s="1120"/>
      <c r="F3210" s="1120"/>
      <c r="G3210" s="157">
        <f>G3208+G3204+G3200+G3194</f>
        <v>115660.62</v>
      </c>
    </row>
    <row r="3211" spans="1:7" s="145" customFormat="1" ht="15.6" customHeight="1">
      <c r="A3211" s="158"/>
      <c r="B3211" s="159"/>
      <c r="C3211" s="159"/>
      <c r="D3211" s="159"/>
      <c r="E3211" s="159"/>
      <c r="F3211" s="159"/>
      <c r="G3211" s="160"/>
    </row>
    <row r="3212" spans="1:7" s="145" customFormat="1" ht="15.75" customHeight="1">
      <c r="A3212" s="1123" t="s">
        <v>1</v>
      </c>
      <c r="B3212" s="1120"/>
      <c r="C3212" s="953" t="s">
        <v>594</v>
      </c>
      <c r="D3212" s="1125"/>
      <c r="E3212" s="1125"/>
      <c r="F3212" s="1125"/>
      <c r="G3212" s="1126"/>
    </row>
    <row r="3213" spans="1:7" s="145" customFormat="1" ht="13.8">
      <c r="A3213" s="1124"/>
      <c r="B3213" s="1120"/>
      <c r="C3213" s="1125"/>
      <c r="D3213" s="1125"/>
      <c r="E3213" s="1125"/>
      <c r="F3213" s="1125"/>
      <c r="G3213" s="1126"/>
    </row>
    <row r="3214" spans="1:7" s="145" customFormat="1" ht="15.75" customHeight="1">
      <c r="A3214" s="1124"/>
      <c r="B3214" s="1120"/>
      <c r="C3214" s="1127" t="s">
        <v>809</v>
      </c>
      <c r="D3214" s="1120"/>
      <c r="E3214" s="1120"/>
      <c r="F3214" s="1120"/>
      <c r="G3214" s="1121"/>
    </row>
    <row r="3215" spans="1:7" s="145" customFormat="1" ht="15.75" customHeight="1">
      <c r="A3215" s="1124"/>
      <c r="B3215" s="1120"/>
      <c r="C3215" s="1128" t="s">
        <v>2</v>
      </c>
      <c r="D3215" s="1120"/>
      <c r="E3215" s="1120"/>
      <c r="F3215" s="146" t="s">
        <v>3</v>
      </c>
      <c r="G3215" s="147" t="s">
        <v>4</v>
      </c>
    </row>
    <row r="3216" spans="1:7" s="145" customFormat="1" ht="43.5" customHeight="1">
      <c r="A3216" s="1073" t="s">
        <v>832</v>
      </c>
      <c r="B3216" s="1115"/>
      <c r="C3216" s="1118" t="s">
        <v>833</v>
      </c>
      <c r="D3216" s="1129"/>
      <c r="E3216" s="1129"/>
      <c r="F3216" s="162" t="s">
        <v>28</v>
      </c>
      <c r="G3216" s="52">
        <v>1</v>
      </c>
    </row>
    <row r="3217" spans="1:7" s="145" customFormat="1" ht="15.75" customHeight="1">
      <c r="A3217" s="1114" t="s">
        <v>5</v>
      </c>
      <c r="B3217" s="1115"/>
      <c r="C3217" s="1115"/>
      <c r="D3217" s="1115"/>
      <c r="E3217" s="1115"/>
      <c r="F3217" s="1115"/>
      <c r="G3217" s="1116"/>
    </row>
    <row r="3218" spans="1:7" s="145" customFormat="1" ht="15.75" customHeight="1">
      <c r="A3218" s="1074" t="s">
        <v>2</v>
      </c>
      <c r="B3218" s="1115"/>
      <c r="C3218" s="53" t="s">
        <v>3</v>
      </c>
      <c r="D3218" s="53" t="s">
        <v>4</v>
      </c>
      <c r="E3218" s="53" t="s">
        <v>6</v>
      </c>
      <c r="F3218" s="53" t="s">
        <v>7</v>
      </c>
      <c r="G3218" s="1075" t="s">
        <v>8</v>
      </c>
    </row>
    <row r="3219" spans="1:7" s="145" customFormat="1" ht="15.75" customHeight="1">
      <c r="A3219" s="947" t="s">
        <v>167</v>
      </c>
      <c r="B3219" s="1115"/>
      <c r="C3219" s="51" t="s">
        <v>3</v>
      </c>
      <c r="D3219" s="51">
        <v>0.05</v>
      </c>
      <c r="E3219" s="17">
        <f>G3235</f>
        <v>20030</v>
      </c>
      <c r="F3219" s="55">
        <f>D3219*E3219</f>
        <v>1001.5</v>
      </c>
      <c r="G3219" s="1116"/>
    </row>
    <row r="3220" spans="1:7" s="168" customFormat="1" ht="30.6" customHeight="1">
      <c r="A3220" s="943"/>
      <c r="B3220" s="1115"/>
      <c r="C3220" s="51"/>
      <c r="D3220" s="51"/>
      <c r="E3220" s="51"/>
      <c r="F3220" s="55"/>
      <c r="G3220" s="57">
        <f>SUM(F3218:F3220)</f>
        <v>1001.5</v>
      </c>
    </row>
    <row r="3221" spans="1:7" s="168" customFormat="1" ht="16.2" customHeight="1">
      <c r="A3221" s="1114" t="s">
        <v>10</v>
      </c>
      <c r="B3221" s="1115"/>
      <c r="C3221" s="1115"/>
      <c r="D3221" s="1115"/>
      <c r="E3221" s="1115"/>
      <c r="F3221" s="1115"/>
      <c r="G3221" s="1116"/>
    </row>
    <row r="3222" spans="1:7" s="168" customFormat="1" ht="16.2" customHeight="1">
      <c r="A3222" s="1074" t="s">
        <v>2</v>
      </c>
      <c r="B3222" s="1115"/>
      <c r="C3222" s="53" t="s">
        <v>3</v>
      </c>
      <c r="D3222" s="53" t="s">
        <v>4</v>
      </c>
      <c r="E3222" s="53" t="s">
        <v>6</v>
      </c>
      <c r="F3222" s="53" t="s">
        <v>11</v>
      </c>
      <c r="G3222" s="1075" t="s">
        <v>8</v>
      </c>
    </row>
    <row r="3223" spans="1:7" s="168" customFormat="1" ht="16.2" customHeight="1">
      <c r="A3223" s="1117" t="s">
        <v>834</v>
      </c>
      <c r="B3223" s="1118"/>
      <c r="C3223" s="16" t="s">
        <v>3</v>
      </c>
      <c r="D3223" s="16">
        <v>1</v>
      </c>
      <c r="E3223" s="17">
        <f>+'INSUMOS ELÉCTRICOS'!E53</f>
        <v>20000</v>
      </c>
      <c r="F3223" s="55">
        <f>D3223*E3223</f>
        <v>20000</v>
      </c>
      <c r="G3223" s="1075"/>
    </row>
    <row r="3224" spans="1:7" s="145" customFormat="1" ht="15.75" customHeight="1">
      <c r="A3224" s="1117" t="s">
        <v>612</v>
      </c>
      <c r="B3224" s="1118"/>
      <c r="C3224" s="16" t="s">
        <v>3</v>
      </c>
      <c r="D3224" s="16">
        <v>2</v>
      </c>
      <c r="E3224" s="17">
        <f>+'INSUMOS ELÉCTRICOS'!E126</f>
        <v>348.66999999999996</v>
      </c>
      <c r="F3224" s="55">
        <f>D3224*E3224</f>
        <v>697.33999999999992</v>
      </c>
      <c r="G3224" s="1075"/>
    </row>
    <row r="3225" spans="1:7" s="145" customFormat="1" ht="15.75" customHeight="1">
      <c r="A3225" s="1117" t="s">
        <v>835</v>
      </c>
      <c r="B3225" s="1118"/>
      <c r="C3225" s="16" t="s">
        <v>3</v>
      </c>
      <c r="D3225" s="16">
        <v>1</v>
      </c>
      <c r="E3225" s="785">
        <v>4950.3999999999996</v>
      </c>
      <c r="F3225" s="55">
        <f>D3225*E3225</f>
        <v>4950.3999999999996</v>
      </c>
      <c r="G3225" s="164"/>
    </row>
    <row r="3226" spans="1:7" s="145" customFormat="1" ht="15.75" customHeight="1">
      <c r="A3226" s="947"/>
      <c r="B3226" s="1115"/>
      <c r="C3226" s="16"/>
      <c r="D3226" s="58"/>
      <c r="E3226" s="17"/>
      <c r="F3226" s="55"/>
      <c r="G3226" s="57">
        <f>SUM(F3222:F3226)</f>
        <v>25647.739999999998</v>
      </c>
    </row>
    <row r="3227" spans="1:7" s="145" customFormat="1" ht="15.75" customHeight="1">
      <c r="A3227" s="1114" t="s">
        <v>15</v>
      </c>
      <c r="B3227" s="1115"/>
      <c r="C3227" s="1115"/>
      <c r="D3227" s="1115"/>
      <c r="E3227" s="1115"/>
      <c r="F3227" s="1115"/>
      <c r="G3227" s="1116"/>
    </row>
    <row r="3228" spans="1:7" s="145" customFormat="1" ht="15.75" customHeight="1">
      <c r="A3228" s="1074" t="s">
        <v>2</v>
      </c>
      <c r="B3228" s="1115"/>
      <c r="C3228" s="53" t="s">
        <v>3</v>
      </c>
      <c r="D3228" s="53" t="s">
        <v>4</v>
      </c>
      <c r="E3228" s="53" t="s">
        <v>6</v>
      </c>
      <c r="F3228" s="53" t="s">
        <v>11</v>
      </c>
      <c r="G3228" s="1075" t="s">
        <v>8</v>
      </c>
    </row>
    <row r="3229" spans="1:7" s="145" customFormat="1" ht="15.75" customHeight="1">
      <c r="A3229" s="943" t="s">
        <v>173</v>
      </c>
      <c r="B3229" s="1115"/>
      <c r="C3229" s="16" t="s">
        <v>3</v>
      </c>
      <c r="D3229" s="16">
        <v>0.1</v>
      </c>
      <c r="E3229" s="17">
        <f>G3226</f>
        <v>25647.739999999998</v>
      </c>
      <c r="F3229" s="55">
        <f>D3229*E3229</f>
        <v>2564.7739999999999</v>
      </c>
      <c r="G3229" s="1116"/>
    </row>
    <row r="3230" spans="1:7" s="145" customFormat="1" ht="15.75" customHeight="1">
      <c r="A3230" s="151"/>
      <c r="B3230" s="152"/>
      <c r="C3230" s="152"/>
      <c r="D3230" s="152"/>
      <c r="E3230" s="152"/>
      <c r="F3230" s="152"/>
      <c r="G3230" s="57">
        <f>SUM(F3229:F3230)</f>
        <v>2564.7739999999999</v>
      </c>
    </row>
    <row r="3231" spans="1:7" s="2" customFormat="1" ht="15.75" customHeight="1">
      <c r="A3231" s="1114" t="s">
        <v>19</v>
      </c>
      <c r="B3231" s="1115"/>
      <c r="C3231" s="1115"/>
      <c r="D3231" s="1115"/>
      <c r="E3231" s="1115"/>
      <c r="F3231" s="1115"/>
      <c r="G3231" s="1116"/>
    </row>
    <row r="3232" spans="1:7" s="145" customFormat="1" ht="15.75" customHeight="1">
      <c r="A3232" s="1074" t="s">
        <v>2</v>
      </c>
      <c r="B3232" s="1115"/>
      <c r="C3232" s="53" t="s">
        <v>3</v>
      </c>
      <c r="D3232" s="53" t="s">
        <v>4</v>
      </c>
      <c r="E3232" s="53" t="s">
        <v>6</v>
      </c>
      <c r="F3232" s="53" t="s">
        <v>11</v>
      </c>
      <c r="G3232" s="1075" t="s">
        <v>8</v>
      </c>
    </row>
    <row r="3233" spans="1:7" s="145" customFormat="1" ht="15.75" customHeight="1">
      <c r="A3233" s="978" t="s">
        <v>1256</v>
      </c>
      <c r="B3233" s="979"/>
      <c r="C3233" s="13" t="s">
        <v>1245</v>
      </c>
      <c r="D3233" s="32">
        <v>1</v>
      </c>
      <c r="E3233" s="13">
        <v>20030</v>
      </c>
      <c r="F3233" s="55">
        <f>+D3233*E3233</f>
        <v>20030</v>
      </c>
      <c r="G3233" s="1116"/>
    </row>
    <row r="3234" spans="1:7" s="145" customFormat="1" ht="15.75" customHeight="1">
      <c r="A3234" s="151"/>
      <c r="B3234" s="165"/>
      <c r="C3234" s="156"/>
      <c r="D3234" s="156"/>
      <c r="E3234" s="166"/>
      <c r="F3234" s="165"/>
      <c r="G3234" s="1116"/>
    </row>
    <row r="3235" spans="1:7" s="145" customFormat="1" ht="15" customHeight="1">
      <c r="A3235" s="155"/>
      <c r="B3235" s="156"/>
      <c r="C3235" s="156"/>
      <c r="D3235" s="156"/>
      <c r="E3235" s="156"/>
      <c r="F3235" s="156"/>
      <c r="G3235" s="57">
        <f>SUM(F3232:F3235)</f>
        <v>20030</v>
      </c>
    </row>
    <row r="3236" spans="1:7" s="145" customFormat="1" ht="15.75" customHeight="1">
      <c r="A3236" s="1119" t="s">
        <v>25</v>
      </c>
      <c r="B3236" s="1120"/>
      <c r="C3236" s="1120"/>
      <c r="D3236" s="1120"/>
      <c r="E3236" s="1120"/>
      <c r="F3236" s="1120"/>
      <c r="G3236" s="1121"/>
    </row>
    <row r="3237" spans="1:7" s="145" customFormat="1" ht="17.399999999999999">
      <c r="A3237" s="1122"/>
      <c r="B3237" s="1120"/>
      <c r="C3237" s="1120"/>
      <c r="D3237" s="1120"/>
      <c r="E3237" s="1120"/>
      <c r="F3237" s="1120"/>
      <c r="G3237" s="157">
        <f>G3235+G3230+G3226+G3220</f>
        <v>49244.013999999996</v>
      </c>
    </row>
    <row r="3238" spans="1:7" s="145" customFormat="1" ht="15.6" customHeight="1">
      <c r="A3238" s="158"/>
      <c r="B3238" s="159"/>
      <c r="C3238" s="159"/>
      <c r="D3238" s="159"/>
      <c r="E3238" s="159"/>
      <c r="F3238" s="159"/>
      <c r="G3238" s="160"/>
    </row>
    <row r="3239" spans="1:7" s="145" customFormat="1" ht="15.75" customHeight="1">
      <c r="A3239" s="1123" t="s">
        <v>1</v>
      </c>
      <c r="B3239" s="1120"/>
      <c r="C3239" s="953" t="s">
        <v>594</v>
      </c>
      <c r="D3239" s="1125"/>
      <c r="E3239" s="1125"/>
      <c r="F3239" s="1125"/>
      <c r="G3239" s="1126"/>
    </row>
    <row r="3240" spans="1:7" s="145" customFormat="1" ht="13.8">
      <c r="A3240" s="1124"/>
      <c r="B3240" s="1120"/>
      <c r="C3240" s="1125"/>
      <c r="D3240" s="1125"/>
      <c r="E3240" s="1125"/>
      <c r="F3240" s="1125"/>
      <c r="G3240" s="1126"/>
    </row>
    <row r="3241" spans="1:7" s="145" customFormat="1" ht="15.75" customHeight="1">
      <c r="A3241" s="1124"/>
      <c r="B3241" s="1120"/>
      <c r="C3241" s="1127" t="s">
        <v>809</v>
      </c>
      <c r="D3241" s="1120"/>
      <c r="E3241" s="1120"/>
      <c r="F3241" s="1120"/>
      <c r="G3241" s="1121"/>
    </row>
    <row r="3242" spans="1:7" s="145" customFormat="1" ht="15.75" customHeight="1">
      <c r="A3242" s="1124"/>
      <c r="B3242" s="1120"/>
      <c r="C3242" s="1128" t="s">
        <v>2</v>
      </c>
      <c r="D3242" s="1120"/>
      <c r="E3242" s="1120"/>
      <c r="F3242" s="146" t="s">
        <v>3</v>
      </c>
      <c r="G3242" s="147" t="s">
        <v>4</v>
      </c>
    </row>
    <row r="3243" spans="1:7" s="145" customFormat="1" ht="45" customHeight="1">
      <c r="A3243" s="1073" t="s">
        <v>836</v>
      </c>
      <c r="B3243" s="1115"/>
      <c r="C3243" s="1118" t="s">
        <v>837</v>
      </c>
      <c r="D3243" s="1129"/>
      <c r="E3243" s="1129"/>
      <c r="F3243" s="162" t="s">
        <v>28</v>
      </c>
      <c r="G3243" s="52">
        <v>1</v>
      </c>
    </row>
    <row r="3244" spans="1:7" s="145" customFormat="1" ht="15.75" customHeight="1">
      <c r="A3244" s="1114" t="s">
        <v>5</v>
      </c>
      <c r="B3244" s="1115"/>
      <c r="C3244" s="1115"/>
      <c r="D3244" s="1115"/>
      <c r="E3244" s="1115"/>
      <c r="F3244" s="1115"/>
      <c r="G3244" s="1116"/>
    </row>
    <row r="3245" spans="1:7" s="145" customFormat="1" ht="15.75" customHeight="1">
      <c r="A3245" s="1074" t="s">
        <v>2</v>
      </c>
      <c r="B3245" s="1115"/>
      <c r="C3245" s="53" t="s">
        <v>3</v>
      </c>
      <c r="D3245" s="53" t="s">
        <v>4</v>
      </c>
      <c r="E3245" s="53" t="s">
        <v>6</v>
      </c>
      <c r="F3245" s="53" t="s">
        <v>7</v>
      </c>
      <c r="G3245" s="1075" t="s">
        <v>8</v>
      </c>
    </row>
    <row r="3246" spans="1:7" s="145" customFormat="1" ht="15.75" customHeight="1">
      <c r="A3246" s="947" t="s">
        <v>167</v>
      </c>
      <c r="B3246" s="1115"/>
      <c r="C3246" s="51" t="s">
        <v>3</v>
      </c>
      <c r="D3246" s="51">
        <v>0.05</v>
      </c>
      <c r="E3246" s="17">
        <f>G3263</f>
        <v>80120</v>
      </c>
      <c r="F3246" s="55">
        <f>D3246*E3246</f>
        <v>4006</v>
      </c>
      <c r="G3246" s="1116"/>
    </row>
    <row r="3247" spans="1:7" s="167" customFormat="1" ht="30.6" customHeight="1">
      <c r="A3247" s="943"/>
      <c r="B3247" s="1115"/>
      <c r="C3247" s="51"/>
      <c r="D3247" s="51"/>
      <c r="E3247" s="51"/>
      <c r="F3247" s="55"/>
      <c r="G3247" s="57">
        <f>SUM(F3245:F3247)</f>
        <v>4006</v>
      </c>
    </row>
    <row r="3248" spans="1:7" s="168" customFormat="1" ht="16.2" customHeight="1">
      <c r="A3248" s="1114" t="s">
        <v>10</v>
      </c>
      <c r="B3248" s="1115"/>
      <c r="C3248" s="1115"/>
      <c r="D3248" s="1115"/>
      <c r="E3248" s="1115"/>
      <c r="F3248" s="1115"/>
      <c r="G3248" s="1116"/>
    </row>
    <row r="3249" spans="1:7" s="168" customFormat="1" ht="16.2" customHeight="1">
      <c r="A3249" s="1074" t="s">
        <v>2</v>
      </c>
      <c r="B3249" s="1115"/>
      <c r="C3249" s="53" t="s">
        <v>3</v>
      </c>
      <c r="D3249" s="53" t="s">
        <v>4</v>
      </c>
      <c r="E3249" s="53" t="s">
        <v>6</v>
      </c>
      <c r="F3249" s="53" t="s">
        <v>11</v>
      </c>
      <c r="G3249" s="1075" t="s">
        <v>8</v>
      </c>
    </row>
    <row r="3250" spans="1:7" s="145" customFormat="1" ht="15.75" customHeight="1">
      <c r="A3250" s="1117" t="s">
        <v>838</v>
      </c>
      <c r="B3250" s="1118"/>
      <c r="C3250" s="16" t="s">
        <v>3</v>
      </c>
      <c r="D3250" s="51">
        <v>1</v>
      </c>
      <c r="E3250" s="17">
        <v>309999.76</v>
      </c>
      <c r="F3250" s="55">
        <f>D3250*E3250</f>
        <v>309999.76</v>
      </c>
      <c r="G3250" s="1075"/>
    </row>
    <row r="3251" spans="1:7" s="145" customFormat="1" ht="15.75" customHeight="1">
      <c r="A3251" s="1117" t="s">
        <v>839</v>
      </c>
      <c r="B3251" s="1118"/>
      <c r="C3251" s="16" t="s">
        <v>39</v>
      </c>
      <c r="D3251" s="51">
        <v>0.01</v>
      </c>
      <c r="E3251" s="17">
        <f>+'INSUMOS '!E513</f>
        <v>150000</v>
      </c>
      <c r="F3251" s="55">
        <f>D3251*E3251</f>
        <v>1500</v>
      </c>
      <c r="G3251" s="1075"/>
    </row>
    <row r="3252" spans="1:7" s="145" customFormat="1" ht="15.75" customHeight="1">
      <c r="A3252" s="947"/>
      <c r="B3252" s="1115"/>
      <c r="C3252" s="16"/>
      <c r="D3252" s="58"/>
      <c r="E3252" s="17"/>
      <c r="F3252" s="55">
        <f>E3252*D3252</f>
        <v>0</v>
      </c>
      <c r="G3252" s="57">
        <f>SUM(F3249:F3252)</f>
        <v>311499.76</v>
      </c>
    </row>
    <row r="3253" spans="1:7" s="145" customFormat="1" ht="15.75" customHeight="1">
      <c r="A3253" s="1114" t="s">
        <v>15</v>
      </c>
      <c r="B3253" s="1115"/>
      <c r="C3253" s="1115"/>
      <c r="D3253" s="1115"/>
      <c r="E3253" s="1115"/>
      <c r="F3253" s="1115"/>
      <c r="G3253" s="1116"/>
    </row>
    <row r="3254" spans="1:7" s="145" customFormat="1" ht="15.75" customHeight="1">
      <c r="A3254" s="1074" t="s">
        <v>2</v>
      </c>
      <c r="B3254" s="1115"/>
      <c r="C3254" s="53" t="s">
        <v>3</v>
      </c>
      <c r="D3254" s="53" t="s">
        <v>4</v>
      </c>
      <c r="E3254" s="53" t="s">
        <v>6</v>
      </c>
      <c r="F3254" s="53" t="s">
        <v>11</v>
      </c>
      <c r="G3254" s="1075" t="s">
        <v>8</v>
      </c>
    </row>
    <row r="3255" spans="1:7" s="145" customFormat="1" ht="15.75" customHeight="1">
      <c r="A3255" s="1117" t="s">
        <v>2488</v>
      </c>
      <c r="B3255" s="1118"/>
      <c r="C3255" s="16" t="s">
        <v>39</v>
      </c>
      <c r="D3255" s="51">
        <v>0.04</v>
      </c>
      <c r="E3255" s="17">
        <v>522929.73333333334</v>
      </c>
      <c r="F3255" s="55">
        <f>D3255*E3255</f>
        <v>20917.189333333336</v>
      </c>
      <c r="G3255" s="1075"/>
    </row>
    <row r="3256" spans="1:7" s="145" customFormat="1" ht="15.75" customHeight="1">
      <c r="A3256" s="1117" t="s">
        <v>841</v>
      </c>
      <c r="B3256" s="1118"/>
      <c r="C3256" s="16" t="s">
        <v>39</v>
      </c>
      <c r="D3256" s="51">
        <v>0.06</v>
      </c>
      <c r="E3256" s="17">
        <f>40000</f>
        <v>40000</v>
      </c>
      <c r="F3256" s="55">
        <f>D3256*E3256</f>
        <v>2400</v>
      </c>
      <c r="G3256" s="1075"/>
    </row>
    <row r="3257" spans="1:7" s="2" customFormat="1" ht="15.75" customHeight="1">
      <c r="A3257" s="1117" t="s">
        <v>842</v>
      </c>
      <c r="B3257" s="1118"/>
      <c r="C3257" s="16" t="s">
        <v>18</v>
      </c>
      <c r="D3257" s="51">
        <v>0.01</v>
      </c>
      <c r="E3257" s="17">
        <f>G3252</f>
        <v>311499.76</v>
      </c>
      <c r="F3257" s="55">
        <f>D3257*E3257</f>
        <v>3114.9976000000001</v>
      </c>
      <c r="G3257" s="1075"/>
    </row>
    <row r="3258" spans="1:7" s="145" customFormat="1" ht="15.75" customHeight="1">
      <c r="A3258" s="1117" t="s">
        <v>2768</v>
      </c>
      <c r="B3258" s="1118"/>
      <c r="C3258" s="16" t="s">
        <v>39</v>
      </c>
      <c r="D3258" s="51">
        <v>0.01</v>
      </c>
      <c r="E3258" s="17">
        <f>1280*85</f>
        <v>108800</v>
      </c>
      <c r="F3258" s="55">
        <f>D3258*E3258</f>
        <v>1088</v>
      </c>
      <c r="G3258" s="1075"/>
    </row>
    <row r="3259" spans="1:7" s="145" customFormat="1" ht="15.75" customHeight="1">
      <c r="A3259" s="151"/>
      <c r="B3259" s="152"/>
      <c r="C3259" s="152"/>
      <c r="D3259" s="152"/>
      <c r="E3259" s="152"/>
      <c r="F3259" s="152"/>
      <c r="G3259" s="57">
        <f>SUM(F3255:F3259)</f>
        <v>27520.186933333334</v>
      </c>
    </row>
    <row r="3260" spans="1:7" s="145" customFormat="1" ht="15.75" customHeight="1">
      <c r="A3260" s="1114" t="s">
        <v>19</v>
      </c>
      <c r="B3260" s="1115"/>
      <c r="C3260" s="1115"/>
      <c r="D3260" s="1115"/>
      <c r="E3260" s="1115"/>
      <c r="F3260" s="1115"/>
      <c r="G3260" s="1116"/>
    </row>
    <row r="3261" spans="1:7" s="145" customFormat="1" ht="15.75" customHeight="1">
      <c r="A3261" s="1074" t="s">
        <v>2</v>
      </c>
      <c r="B3261" s="1115"/>
      <c r="C3261" s="53" t="s">
        <v>3</v>
      </c>
      <c r="D3261" s="53" t="s">
        <v>4</v>
      </c>
      <c r="E3261" s="53" t="s">
        <v>6</v>
      </c>
      <c r="F3261" s="53" t="s">
        <v>11</v>
      </c>
      <c r="G3261" s="1075" t="s">
        <v>8</v>
      </c>
    </row>
    <row r="3262" spans="1:7" s="145" customFormat="1" ht="15" customHeight="1">
      <c r="A3262" s="978" t="s">
        <v>1256</v>
      </c>
      <c r="B3262" s="979"/>
      <c r="C3262" s="13" t="s">
        <v>1245</v>
      </c>
      <c r="D3262" s="32">
        <v>4</v>
      </c>
      <c r="E3262" s="13">
        <v>20030</v>
      </c>
      <c r="F3262" s="55">
        <f>+D3262*E3262</f>
        <v>80120</v>
      </c>
      <c r="G3262" s="1116"/>
    </row>
    <row r="3263" spans="1:7" s="145" customFormat="1" ht="15.75" customHeight="1">
      <c r="A3263" s="155"/>
      <c r="B3263" s="156"/>
      <c r="C3263" s="156"/>
      <c r="D3263" s="156"/>
      <c r="E3263" s="156"/>
      <c r="F3263" s="156"/>
      <c r="G3263" s="57">
        <f>SUM(F3261:F3263)</f>
        <v>80120</v>
      </c>
    </row>
    <row r="3264" spans="1:7" s="145" customFormat="1" ht="24" customHeight="1">
      <c r="A3264" s="1119" t="s">
        <v>25</v>
      </c>
      <c r="B3264" s="1120"/>
      <c r="C3264" s="1120"/>
      <c r="D3264" s="1120"/>
      <c r="E3264" s="1120"/>
      <c r="F3264" s="1120"/>
      <c r="G3264" s="1121"/>
    </row>
    <row r="3265" spans="1:7" s="145" customFormat="1" ht="15.6" customHeight="1">
      <c r="A3265" s="1122"/>
      <c r="B3265" s="1120"/>
      <c r="C3265" s="1120"/>
      <c r="D3265" s="1120"/>
      <c r="E3265" s="1120"/>
      <c r="F3265" s="1120"/>
      <c r="G3265" s="157">
        <f>G3263+G3259+G3252+G3247</f>
        <v>423145.94693333335</v>
      </c>
    </row>
    <row r="3266" spans="1:7" s="145" customFormat="1" ht="15.75" customHeight="1">
      <c r="A3266" s="158"/>
      <c r="B3266" s="159"/>
      <c r="C3266" s="159"/>
      <c r="D3266" s="159"/>
      <c r="E3266" s="159"/>
      <c r="F3266" s="159"/>
      <c r="G3266" s="160"/>
    </row>
    <row r="3267" spans="1:7" s="145" customFormat="1" ht="15.75" customHeight="1">
      <c r="A3267" s="1123" t="s">
        <v>1</v>
      </c>
      <c r="B3267" s="1120"/>
      <c r="C3267" s="953" t="s">
        <v>594</v>
      </c>
      <c r="D3267" s="1125"/>
      <c r="E3267" s="1125"/>
      <c r="F3267" s="1125"/>
      <c r="G3267" s="1126"/>
    </row>
    <row r="3268" spans="1:7" s="145" customFormat="1" ht="15.75" customHeight="1">
      <c r="A3268" s="1124"/>
      <c r="B3268" s="1120"/>
      <c r="C3268" s="1125"/>
      <c r="D3268" s="1125"/>
      <c r="E3268" s="1125"/>
      <c r="F3268" s="1125"/>
      <c r="G3268" s="1126"/>
    </row>
    <row r="3269" spans="1:7" s="145" customFormat="1" ht="15.75" customHeight="1">
      <c r="A3269" s="1124"/>
      <c r="B3269" s="1120"/>
      <c r="C3269" s="1127" t="s">
        <v>809</v>
      </c>
      <c r="D3269" s="1120"/>
      <c r="E3269" s="1120"/>
      <c r="F3269" s="1120"/>
      <c r="G3269" s="1121"/>
    </row>
    <row r="3270" spans="1:7" s="145" customFormat="1" ht="15.75" customHeight="1">
      <c r="A3270" s="1124"/>
      <c r="B3270" s="1120"/>
      <c r="C3270" s="1128" t="s">
        <v>2</v>
      </c>
      <c r="D3270" s="1120"/>
      <c r="E3270" s="1120"/>
      <c r="F3270" s="146" t="s">
        <v>3</v>
      </c>
      <c r="G3270" s="147" t="s">
        <v>4</v>
      </c>
    </row>
    <row r="3271" spans="1:7" s="145" customFormat="1" ht="50.25" customHeight="1">
      <c r="A3271" s="1073" t="s">
        <v>2794</v>
      </c>
      <c r="B3271" s="1115"/>
      <c r="C3271" s="1118" t="s">
        <v>2793</v>
      </c>
      <c r="D3271" s="1129"/>
      <c r="E3271" s="1129"/>
      <c r="F3271" s="162" t="s">
        <v>100</v>
      </c>
      <c r="G3271" s="52">
        <v>160</v>
      </c>
    </row>
    <row r="3272" spans="1:7" s="145" customFormat="1" ht="15.75" customHeight="1">
      <c r="A3272" s="1114" t="s">
        <v>5</v>
      </c>
      <c r="B3272" s="1115"/>
      <c r="C3272" s="1115"/>
      <c r="D3272" s="1115"/>
      <c r="E3272" s="1115"/>
      <c r="F3272" s="1115"/>
      <c r="G3272" s="1116"/>
    </row>
    <row r="3273" spans="1:7" s="145" customFormat="1" ht="15.75" customHeight="1">
      <c r="A3273" s="1074" t="s">
        <v>2</v>
      </c>
      <c r="B3273" s="1115"/>
      <c r="C3273" s="53" t="s">
        <v>3</v>
      </c>
      <c r="D3273" s="53" t="s">
        <v>4</v>
      </c>
      <c r="E3273" s="53" t="s">
        <v>6</v>
      </c>
      <c r="F3273" s="53" t="s">
        <v>7</v>
      </c>
      <c r="G3273" s="1075" t="s">
        <v>8</v>
      </c>
    </row>
    <row r="3274" spans="1:7" s="145" customFormat="1" ht="15.75" customHeight="1">
      <c r="A3274" s="947" t="s">
        <v>167</v>
      </c>
      <c r="B3274" s="1115"/>
      <c r="C3274" s="51" t="s">
        <v>3</v>
      </c>
      <c r="D3274" s="51">
        <v>0.05</v>
      </c>
      <c r="E3274" s="17">
        <f>G3287</f>
        <v>4006</v>
      </c>
      <c r="F3274" s="55">
        <f>D3274*E3274</f>
        <v>200.3</v>
      </c>
      <c r="G3274" s="1116"/>
    </row>
    <row r="3275" spans="1:7" s="145" customFormat="1" ht="15.75" customHeight="1">
      <c r="A3275" s="943"/>
      <c r="B3275" s="1115"/>
      <c r="C3275" s="51"/>
      <c r="D3275" s="51"/>
      <c r="E3275" s="51"/>
      <c r="F3275" s="55"/>
      <c r="G3275" s="57">
        <f>SUM(F3273:F3275)</f>
        <v>200.3</v>
      </c>
    </row>
    <row r="3276" spans="1:7" s="145" customFormat="1" ht="15.75" customHeight="1">
      <c r="A3276" s="1114" t="s">
        <v>10</v>
      </c>
      <c r="B3276" s="1115"/>
      <c r="C3276" s="1115"/>
      <c r="D3276" s="1115"/>
      <c r="E3276" s="1115"/>
      <c r="F3276" s="1115"/>
      <c r="G3276" s="1116"/>
    </row>
    <row r="3277" spans="1:7" s="145" customFormat="1" ht="15.75" customHeight="1">
      <c r="A3277" s="1074" t="s">
        <v>2</v>
      </c>
      <c r="B3277" s="1115"/>
      <c r="C3277" s="53" t="s">
        <v>3</v>
      </c>
      <c r="D3277" s="53" t="s">
        <v>4</v>
      </c>
      <c r="E3277" s="53" t="s">
        <v>6</v>
      </c>
      <c r="F3277" s="53" t="s">
        <v>11</v>
      </c>
      <c r="G3277" s="1075" t="s">
        <v>8</v>
      </c>
    </row>
    <row r="3278" spans="1:7" s="145" customFormat="1" ht="15.75" customHeight="1">
      <c r="A3278" s="947" t="s">
        <v>823</v>
      </c>
      <c r="B3278" s="980"/>
      <c r="C3278" s="16" t="s">
        <v>622</v>
      </c>
      <c r="D3278" s="16">
        <v>1</v>
      </c>
      <c r="E3278" s="17">
        <f>+'INSUMOS ELÉCTRICOS'!E45</f>
        <v>28729.773333333331</v>
      </c>
      <c r="F3278" s="55">
        <f>D3278*E3278</f>
        <v>28729.773333333331</v>
      </c>
      <c r="G3278" s="1075"/>
    </row>
    <row r="3279" spans="1:7" s="145" customFormat="1" ht="15.75" customHeight="1">
      <c r="A3279" s="947"/>
      <c r="B3279" s="1115"/>
      <c r="C3279" s="16"/>
      <c r="D3279" s="58"/>
      <c r="E3279" s="17"/>
      <c r="F3279" s="55">
        <f>E3279*D3279</f>
        <v>0</v>
      </c>
      <c r="G3279" s="57">
        <f>SUM(F3277:F3279)</f>
        <v>28729.773333333331</v>
      </c>
    </row>
    <row r="3280" spans="1:7" s="145" customFormat="1" ht="15.75" customHeight="1">
      <c r="A3280" s="1114" t="s">
        <v>15</v>
      </c>
      <c r="B3280" s="1115"/>
      <c r="C3280" s="1115"/>
      <c r="D3280" s="1115"/>
      <c r="E3280" s="1115"/>
      <c r="F3280" s="1115"/>
      <c r="G3280" s="1116"/>
    </row>
    <row r="3281" spans="1:7" s="145" customFormat="1" ht="15.75" customHeight="1">
      <c r="A3281" s="1074" t="s">
        <v>2</v>
      </c>
      <c r="B3281" s="1115"/>
      <c r="C3281" s="53" t="s">
        <v>3</v>
      </c>
      <c r="D3281" s="53" t="s">
        <v>4</v>
      </c>
      <c r="E3281" s="53" t="s">
        <v>6</v>
      </c>
      <c r="F3281" s="53" t="s">
        <v>11</v>
      </c>
      <c r="G3281" s="1075" t="s">
        <v>8</v>
      </c>
    </row>
    <row r="3282" spans="1:7" s="145" customFormat="1" ht="15.75" customHeight="1">
      <c r="A3282" s="1117" t="s">
        <v>842</v>
      </c>
      <c r="B3282" s="1118"/>
      <c r="C3282" s="16" t="s">
        <v>18</v>
      </c>
      <c r="D3282" s="51">
        <v>0.01</v>
      </c>
      <c r="E3282" s="17">
        <f>G3279</f>
        <v>28729.773333333331</v>
      </c>
      <c r="F3282" s="55">
        <f>D3282*E3282</f>
        <v>287.29773333333333</v>
      </c>
      <c r="G3282" s="1075"/>
    </row>
    <row r="3283" spans="1:7" s="145" customFormat="1" ht="15.75" customHeight="1">
      <c r="A3283" s="151"/>
      <c r="B3283" s="152"/>
      <c r="C3283" s="152"/>
      <c r="D3283" s="152"/>
      <c r="E3283" s="152"/>
      <c r="F3283" s="152"/>
      <c r="G3283" s="57">
        <f>SUM(F3282:F3283)</f>
        <v>287.29773333333333</v>
      </c>
    </row>
    <row r="3284" spans="1:7" s="145" customFormat="1" ht="15.75" customHeight="1">
      <c r="A3284" s="1114" t="s">
        <v>19</v>
      </c>
      <c r="B3284" s="1115"/>
      <c r="C3284" s="1115"/>
      <c r="D3284" s="1115"/>
      <c r="E3284" s="1115"/>
      <c r="F3284" s="1115"/>
      <c r="G3284" s="1116"/>
    </row>
    <row r="3285" spans="1:7" s="145" customFormat="1" ht="15.75" customHeight="1">
      <c r="A3285" s="1074" t="s">
        <v>2</v>
      </c>
      <c r="B3285" s="1115"/>
      <c r="C3285" s="53" t="s">
        <v>3</v>
      </c>
      <c r="D3285" s="53" t="s">
        <v>4</v>
      </c>
      <c r="E3285" s="53" t="s">
        <v>6</v>
      </c>
      <c r="F3285" s="53" t="s">
        <v>11</v>
      </c>
      <c r="G3285" s="1075" t="s">
        <v>8</v>
      </c>
    </row>
    <row r="3286" spans="1:7" s="145" customFormat="1" ht="15.75" customHeight="1">
      <c r="A3286" s="978" t="s">
        <v>1256</v>
      </c>
      <c r="B3286" s="979"/>
      <c r="C3286" s="13" t="s">
        <v>1245</v>
      </c>
      <c r="D3286" s="32">
        <v>0.2</v>
      </c>
      <c r="E3286" s="13">
        <v>20030</v>
      </c>
      <c r="F3286" s="55">
        <f>+D3286*E3286</f>
        <v>4006</v>
      </c>
      <c r="G3286" s="1116"/>
    </row>
    <row r="3287" spans="1:7" s="145" customFormat="1" ht="15.75" customHeight="1">
      <c r="A3287" s="155"/>
      <c r="B3287" s="156"/>
      <c r="C3287" s="156"/>
      <c r="D3287" s="156"/>
      <c r="E3287" s="156"/>
      <c r="F3287" s="156"/>
      <c r="G3287" s="57">
        <f>SUM(F3285:F3287)</f>
        <v>4006</v>
      </c>
    </row>
    <row r="3288" spans="1:7" s="145" customFormat="1" ht="15.75" customHeight="1">
      <c r="A3288" s="1119" t="s">
        <v>25</v>
      </c>
      <c r="B3288" s="1120"/>
      <c r="C3288" s="1120"/>
      <c r="D3288" s="1120"/>
      <c r="E3288" s="1120"/>
      <c r="F3288" s="1120"/>
      <c r="G3288" s="1121"/>
    </row>
    <row r="3289" spans="1:7" s="145" customFormat="1" ht="15.75" customHeight="1">
      <c r="A3289" s="1122"/>
      <c r="B3289" s="1120"/>
      <c r="C3289" s="1120"/>
      <c r="D3289" s="1120"/>
      <c r="E3289" s="1120"/>
      <c r="F3289" s="1120"/>
      <c r="G3289" s="157">
        <f>G3287+G3283+G3279+G3275</f>
        <v>33223.371066666667</v>
      </c>
    </row>
    <row r="3290" spans="1:7" s="145" customFormat="1" ht="15.75" customHeight="1">
      <c r="A3290" s="158"/>
      <c r="B3290" s="159"/>
      <c r="C3290" s="159"/>
      <c r="D3290" s="159"/>
      <c r="E3290" s="159"/>
      <c r="F3290" s="159"/>
      <c r="G3290" s="160"/>
    </row>
    <row r="3291" spans="1:7" s="145" customFormat="1" ht="13.8">
      <c r="A3291" s="1123" t="s">
        <v>1</v>
      </c>
      <c r="B3291" s="1120"/>
      <c r="C3291" s="953" t="s">
        <v>594</v>
      </c>
      <c r="D3291" s="1125"/>
      <c r="E3291" s="1125"/>
      <c r="F3291" s="1125"/>
      <c r="G3291" s="1126"/>
    </row>
    <row r="3292" spans="1:7" s="145" customFormat="1" ht="15.75" customHeight="1">
      <c r="A3292" s="1124"/>
      <c r="B3292" s="1120"/>
      <c r="C3292" s="1125"/>
      <c r="D3292" s="1125"/>
      <c r="E3292" s="1125"/>
      <c r="F3292" s="1125"/>
      <c r="G3292" s="1126"/>
    </row>
    <row r="3293" spans="1:7" s="145" customFormat="1" ht="15.75" customHeight="1">
      <c r="A3293" s="1124"/>
      <c r="B3293" s="1120"/>
      <c r="C3293" s="1127" t="s">
        <v>843</v>
      </c>
      <c r="D3293" s="1120"/>
      <c r="E3293" s="1120"/>
      <c r="F3293" s="1120"/>
      <c r="G3293" s="1121"/>
    </row>
    <row r="3294" spans="1:7" s="145" customFormat="1" ht="15.75" customHeight="1">
      <c r="A3294" s="1124"/>
      <c r="B3294" s="1120"/>
      <c r="C3294" s="1128" t="s">
        <v>2</v>
      </c>
      <c r="D3294" s="1120"/>
      <c r="E3294" s="1120"/>
      <c r="F3294" s="146" t="s">
        <v>3</v>
      </c>
      <c r="G3294" s="147" t="s">
        <v>4</v>
      </c>
    </row>
    <row r="3295" spans="1:7" s="145" customFormat="1" ht="34.799999999999997">
      <c r="A3295" s="1073" t="s">
        <v>844</v>
      </c>
      <c r="B3295" s="1115"/>
      <c r="C3295" s="980" t="s">
        <v>845</v>
      </c>
      <c r="D3295" s="1115"/>
      <c r="E3295" s="1115"/>
      <c r="F3295" s="162" t="s">
        <v>28</v>
      </c>
      <c r="G3295" s="52">
        <v>1</v>
      </c>
    </row>
    <row r="3296" spans="1:7" s="145" customFormat="1" ht="15.75" customHeight="1">
      <c r="A3296" s="1114" t="s">
        <v>5</v>
      </c>
      <c r="B3296" s="1115"/>
      <c r="C3296" s="1115"/>
      <c r="D3296" s="1115"/>
      <c r="E3296" s="1115"/>
      <c r="F3296" s="1115"/>
      <c r="G3296" s="1116"/>
    </row>
    <row r="3297" spans="1:7" s="145" customFormat="1" ht="15.75" customHeight="1">
      <c r="A3297" s="1074" t="s">
        <v>2</v>
      </c>
      <c r="B3297" s="1115"/>
      <c r="C3297" s="53" t="s">
        <v>3</v>
      </c>
      <c r="D3297" s="53" t="s">
        <v>4</v>
      </c>
      <c r="E3297" s="53" t="s">
        <v>6</v>
      </c>
      <c r="F3297" s="53" t="s">
        <v>7</v>
      </c>
      <c r="G3297" s="1075" t="s">
        <v>8</v>
      </c>
    </row>
    <row r="3298" spans="1:7" s="168" customFormat="1" ht="30.6" customHeight="1">
      <c r="A3298" s="947" t="s">
        <v>167</v>
      </c>
      <c r="B3298" s="1115"/>
      <c r="C3298" s="51" t="s">
        <v>3</v>
      </c>
      <c r="D3298" s="51">
        <v>0.05</v>
      </c>
      <c r="E3298" s="17">
        <f>G3311</f>
        <v>60090</v>
      </c>
      <c r="F3298" s="55">
        <f>D3298*E3298</f>
        <v>3004.5</v>
      </c>
      <c r="G3298" s="1116"/>
    </row>
    <row r="3299" spans="1:7" s="168" customFormat="1" ht="16.2" customHeight="1">
      <c r="A3299" s="943"/>
      <c r="B3299" s="1115"/>
      <c r="C3299" s="51"/>
      <c r="D3299" s="51"/>
      <c r="E3299" s="51"/>
      <c r="F3299" s="55"/>
      <c r="G3299" s="57">
        <f>SUM(F3297:F3299)</f>
        <v>3004.5</v>
      </c>
    </row>
    <row r="3300" spans="1:7" s="145" customFormat="1" ht="15.75" customHeight="1">
      <c r="A3300" s="1114" t="s">
        <v>10</v>
      </c>
      <c r="B3300" s="1115"/>
      <c r="C3300" s="1115"/>
      <c r="D3300" s="1115"/>
      <c r="E3300" s="1115"/>
      <c r="F3300" s="1115"/>
      <c r="G3300" s="1116"/>
    </row>
    <row r="3301" spans="1:7" s="145" customFormat="1" ht="15.75" customHeight="1">
      <c r="A3301" s="1074" t="s">
        <v>2</v>
      </c>
      <c r="B3301" s="1115"/>
      <c r="C3301" s="53" t="s">
        <v>3</v>
      </c>
      <c r="D3301" s="53" t="s">
        <v>4</v>
      </c>
      <c r="E3301" s="53" t="s">
        <v>6</v>
      </c>
      <c r="F3301" s="53" t="s">
        <v>11</v>
      </c>
      <c r="G3301" s="1075" t="s">
        <v>8</v>
      </c>
    </row>
    <row r="3302" spans="1:7" s="145" customFormat="1" ht="15.75" customHeight="1">
      <c r="A3302" s="1117" t="s">
        <v>846</v>
      </c>
      <c r="B3302" s="1118"/>
      <c r="C3302" s="16" t="s">
        <v>3</v>
      </c>
      <c r="D3302" s="51">
        <v>1</v>
      </c>
      <c r="E3302" s="17">
        <f>+'INSUMOS ELÉCTRICOS'!E133</f>
        <v>1011500</v>
      </c>
      <c r="F3302" s="55">
        <f>D3302*E3302</f>
        <v>1011500</v>
      </c>
      <c r="G3302" s="1075"/>
    </row>
    <row r="3303" spans="1:7" s="150" customFormat="1" ht="15.75" customHeight="1">
      <c r="A3303" s="947"/>
      <c r="B3303" s="1115"/>
      <c r="C3303" s="16"/>
      <c r="D3303" s="58"/>
      <c r="E3303" s="17"/>
      <c r="F3303" s="55">
        <f>E3303*D3303</f>
        <v>0</v>
      </c>
      <c r="G3303" s="57">
        <f>SUM(F3301:F3303)</f>
        <v>1011500</v>
      </c>
    </row>
    <row r="3304" spans="1:7" s="150" customFormat="1" ht="15.75" customHeight="1">
      <c r="A3304" s="1149" t="s">
        <v>15</v>
      </c>
      <c r="B3304" s="1115"/>
      <c r="C3304" s="1115"/>
      <c r="D3304" s="1115"/>
      <c r="E3304" s="1115"/>
      <c r="F3304" s="1115"/>
      <c r="G3304" s="1116"/>
    </row>
    <row r="3305" spans="1:7" s="150" customFormat="1" ht="15.75" customHeight="1">
      <c r="A3305" s="1074" t="s">
        <v>2</v>
      </c>
      <c r="B3305" s="1115"/>
      <c r="C3305" s="53" t="s">
        <v>3</v>
      </c>
      <c r="D3305" s="53" t="s">
        <v>4</v>
      </c>
      <c r="E3305" s="53" t="s">
        <v>6</v>
      </c>
      <c r="F3305" s="53" t="s">
        <v>11</v>
      </c>
      <c r="G3305" s="1075" t="s">
        <v>8</v>
      </c>
    </row>
    <row r="3306" spans="1:7" s="150" customFormat="1" ht="15.75" customHeight="1">
      <c r="A3306" s="947" t="s">
        <v>842</v>
      </c>
      <c r="B3306" s="980"/>
      <c r="C3306" s="16" t="s">
        <v>3</v>
      </c>
      <c r="D3306" s="51">
        <v>0.01</v>
      </c>
      <c r="E3306" s="17">
        <f>G3303</f>
        <v>1011500</v>
      </c>
      <c r="F3306" s="149">
        <f>D3306*E3306</f>
        <v>10115</v>
      </c>
      <c r="G3306" s="1075"/>
    </row>
    <row r="3307" spans="1:7" s="145" customFormat="1" ht="15.75" customHeight="1">
      <c r="A3307" s="151"/>
      <c r="B3307" s="152"/>
      <c r="C3307" s="152"/>
      <c r="D3307" s="152"/>
      <c r="E3307" s="152"/>
      <c r="F3307" s="152"/>
      <c r="G3307" s="633">
        <f>SUM(F3306:F3307)</f>
        <v>10115</v>
      </c>
    </row>
    <row r="3308" spans="1:7" s="145" customFormat="1" ht="15.75" customHeight="1">
      <c r="A3308" s="1114" t="s">
        <v>19</v>
      </c>
      <c r="B3308" s="1115"/>
      <c r="C3308" s="1115"/>
      <c r="D3308" s="1115"/>
      <c r="E3308" s="1115"/>
      <c r="F3308" s="1115"/>
      <c r="G3308" s="1116"/>
    </row>
    <row r="3309" spans="1:7" s="145" customFormat="1" ht="15.75" customHeight="1">
      <c r="A3309" s="1074" t="s">
        <v>2</v>
      </c>
      <c r="B3309" s="1115"/>
      <c r="C3309" s="53" t="s">
        <v>3</v>
      </c>
      <c r="D3309" s="53" t="s">
        <v>4</v>
      </c>
      <c r="E3309" s="53" t="s">
        <v>6</v>
      </c>
      <c r="F3309" s="53" t="s">
        <v>11</v>
      </c>
      <c r="G3309" s="1075" t="s">
        <v>8</v>
      </c>
    </row>
    <row r="3310" spans="1:7" s="2" customFormat="1" ht="15.75" customHeight="1">
      <c r="A3310" s="978" t="s">
        <v>1256</v>
      </c>
      <c r="B3310" s="979"/>
      <c r="C3310" s="13" t="s">
        <v>1245</v>
      </c>
      <c r="D3310" s="32">
        <v>3</v>
      </c>
      <c r="E3310" s="13">
        <v>20030</v>
      </c>
      <c r="F3310" s="55">
        <f>+D3310*E3310</f>
        <v>60090</v>
      </c>
      <c r="G3310" s="1116"/>
    </row>
    <row r="3311" spans="1:7" s="145" customFormat="1" ht="15.75" customHeight="1">
      <c r="A3311" s="155"/>
      <c r="B3311" s="156"/>
      <c r="C3311" s="156"/>
      <c r="D3311" s="156"/>
      <c r="E3311" s="156"/>
      <c r="F3311" s="156"/>
      <c r="G3311" s="57">
        <f>SUM(F3309:F3311)</f>
        <v>60090</v>
      </c>
    </row>
    <row r="3312" spans="1:7" s="145" customFormat="1" ht="15.75" customHeight="1">
      <c r="A3312" s="1119" t="s">
        <v>25</v>
      </c>
      <c r="B3312" s="1120"/>
      <c r="C3312" s="1120"/>
      <c r="D3312" s="1120"/>
      <c r="E3312" s="1120"/>
      <c r="F3312" s="1120"/>
      <c r="G3312" s="1121"/>
    </row>
    <row r="3313" spans="1:7" s="145" customFormat="1" ht="15.75" customHeight="1">
      <c r="A3313" s="1122"/>
      <c r="B3313" s="1120"/>
      <c r="C3313" s="1120"/>
      <c r="D3313" s="1120"/>
      <c r="E3313" s="1120"/>
      <c r="F3313" s="1120"/>
      <c r="G3313" s="157">
        <f>G3311+G3307+G3303+G3299</f>
        <v>1084709.5</v>
      </c>
    </row>
    <row r="3314" spans="1:7" s="145" customFormat="1" ht="15" customHeight="1">
      <c r="A3314" s="158"/>
      <c r="B3314" s="159"/>
      <c r="C3314" s="159"/>
      <c r="D3314" s="159"/>
      <c r="E3314" s="159"/>
      <c r="F3314" s="159"/>
      <c r="G3314" s="160"/>
    </row>
    <row r="3315" spans="1:7" s="145" customFormat="1" ht="15.75" customHeight="1">
      <c r="A3315" s="1123" t="s">
        <v>1</v>
      </c>
      <c r="B3315" s="1120"/>
      <c r="C3315" s="953" t="s">
        <v>594</v>
      </c>
      <c r="D3315" s="1125"/>
      <c r="E3315" s="1125"/>
      <c r="F3315" s="1125"/>
      <c r="G3315" s="1126"/>
    </row>
    <row r="3316" spans="1:7" s="145" customFormat="1" ht="24" customHeight="1">
      <c r="A3316" s="1124"/>
      <c r="B3316" s="1120"/>
      <c r="C3316" s="1125"/>
      <c r="D3316" s="1125"/>
      <c r="E3316" s="1125"/>
      <c r="F3316" s="1125"/>
      <c r="G3316" s="1126"/>
    </row>
    <row r="3317" spans="1:7" s="145" customFormat="1" ht="15.6" customHeight="1">
      <c r="A3317" s="1124"/>
      <c r="B3317" s="1120"/>
      <c r="C3317" s="1127" t="s">
        <v>843</v>
      </c>
      <c r="D3317" s="1120"/>
      <c r="E3317" s="1120"/>
      <c r="F3317" s="1120"/>
      <c r="G3317" s="1121"/>
    </row>
    <row r="3318" spans="1:7" s="145" customFormat="1" ht="15.75" customHeight="1">
      <c r="A3318" s="1124"/>
      <c r="B3318" s="1120"/>
      <c r="C3318" s="1128" t="s">
        <v>2</v>
      </c>
      <c r="D3318" s="1120"/>
      <c r="E3318" s="1120"/>
      <c r="F3318" s="146" t="s">
        <v>3</v>
      </c>
      <c r="G3318" s="147" t="s">
        <v>4</v>
      </c>
    </row>
    <row r="3319" spans="1:7" s="145" customFormat="1" ht="40.950000000000003" customHeight="1">
      <c r="A3319" s="1073" t="s">
        <v>847</v>
      </c>
      <c r="B3319" s="1115"/>
      <c r="C3319" s="980" t="s">
        <v>2778</v>
      </c>
      <c r="D3319" s="1115"/>
      <c r="E3319" s="1115"/>
      <c r="F3319" s="162" t="s">
        <v>28</v>
      </c>
      <c r="G3319" s="52">
        <v>1</v>
      </c>
    </row>
    <row r="3320" spans="1:7" s="145" customFormat="1" ht="15.75" customHeight="1">
      <c r="A3320" s="1114" t="s">
        <v>5</v>
      </c>
      <c r="B3320" s="1115"/>
      <c r="C3320" s="1115"/>
      <c r="D3320" s="1115"/>
      <c r="E3320" s="1115"/>
      <c r="F3320" s="1115"/>
      <c r="G3320" s="1116"/>
    </row>
    <row r="3321" spans="1:7" s="145" customFormat="1" ht="15.75" customHeight="1">
      <c r="A3321" s="1074" t="s">
        <v>2</v>
      </c>
      <c r="B3321" s="1115"/>
      <c r="C3321" s="53" t="s">
        <v>3</v>
      </c>
      <c r="D3321" s="53" t="s">
        <v>4</v>
      </c>
      <c r="E3321" s="53" t="s">
        <v>6</v>
      </c>
      <c r="F3321" s="53" t="s">
        <v>7</v>
      </c>
      <c r="G3321" s="1075" t="s">
        <v>8</v>
      </c>
    </row>
    <row r="3322" spans="1:7" s="145" customFormat="1" ht="15.75" customHeight="1">
      <c r="A3322" s="947" t="s">
        <v>167</v>
      </c>
      <c r="B3322" s="1115"/>
      <c r="C3322" s="51" t="s">
        <v>3</v>
      </c>
      <c r="D3322" s="51">
        <v>0.05</v>
      </c>
      <c r="E3322" s="17">
        <f>G3335</f>
        <v>40060</v>
      </c>
      <c r="F3322" s="55">
        <f>D3322*E3322</f>
        <v>2003</v>
      </c>
      <c r="G3322" s="1116"/>
    </row>
    <row r="3323" spans="1:7" s="145" customFormat="1" ht="15.75" customHeight="1">
      <c r="A3323" s="943"/>
      <c r="B3323" s="1115"/>
      <c r="C3323" s="51"/>
      <c r="D3323" s="51"/>
      <c r="E3323" s="51"/>
      <c r="F3323" s="55"/>
      <c r="G3323" s="57">
        <f>SUM(F3321:F3323)</f>
        <v>2003</v>
      </c>
    </row>
    <row r="3324" spans="1:7" s="145" customFormat="1" ht="15.75" customHeight="1">
      <c r="A3324" s="1114" t="s">
        <v>10</v>
      </c>
      <c r="B3324" s="1115"/>
      <c r="C3324" s="1115"/>
      <c r="D3324" s="1115"/>
      <c r="E3324" s="1115"/>
      <c r="F3324" s="1115"/>
      <c r="G3324" s="1116"/>
    </row>
    <row r="3325" spans="1:7" s="145" customFormat="1" ht="15.75" customHeight="1">
      <c r="A3325" s="1074" t="s">
        <v>2</v>
      </c>
      <c r="B3325" s="1115"/>
      <c r="C3325" s="53" t="s">
        <v>3</v>
      </c>
      <c r="D3325" s="53" t="s">
        <v>4</v>
      </c>
      <c r="E3325" s="53" t="s">
        <v>6</v>
      </c>
      <c r="F3325" s="53" t="s">
        <v>11</v>
      </c>
      <c r="G3325" s="1075" t="s">
        <v>8</v>
      </c>
    </row>
    <row r="3326" spans="1:7" s="168" customFormat="1" ht="30.6" customHeight="1">
      <c r="A3326" s="1117" t="s">
        <v>849</v>
      </c>
      <c r="B3326" s="1118"/>
      <c r="C3326" s="16" t="s">
        <v>3</v>
      </c>
      <c r="D3326" s="51">
        <v>1</v>
      </c>
      <c r="E3326" s="17">
        <f>+'INSUMOS ELÉCTRICOS'!E70</f>
        <v>198000.53</v>
      </c>
      <c r="F3326" s="55">
        <f>D3326*E3326</f>
        <v>198000.53</v>
      </c>
      <c r="G3326" s="1075"/>
    </row>
    <row r="3327" spans="1:7" s="145" customFormat="1" ht="15.75" customHeight="1">
      <c r="A3327" s="947"/>
      <c r="B3327" s="1115"/>
      <c r="C3327" s="16"/>
      <c r="D3327" s="58"/>
      <c r="E3327" s="17"/>
      <c r="F3327" s="55"/>
      <c r="G3327" s="57">
        <f>SUM(F3325:F3327)</f>
        <v>198000.53</v>
      </c>
    </row>
    <row r="3328" spans="1:7" s="145" customFormat="1" ht="15.75" customHeight="1">
      <c r="A3328" s="1114" t="s">
        <v>15</v>
      </c>
      <c r="B3328" s="1115"/>
      <c r="C3328" s="1115"/>
      <c r="D3328" s="1115"/>
      <c r="E3328" s="1115"/>
      <c r="F3328" s="1115"/>
      <c r="G3328" s="1116"/>
    </row>
    <row r="3329" spans="1:7" s="145" customFormat="1" ht="15.75" customHeight="1">
      <c r="A3329" s="1074" t="s">
        <v>2</v>
      </c>
      <c r="B3329" s="1115"/>
      <c r="C3329" s="53" t="s">
        <v>3</v>
      </c>
      <c r="D3329" s="53" t="s">
        <v>4</v>
      </c>
      <c r="E3329" s="53" t="s">
        <v>6</v>
      </c>
      <c r="F3329" s="53" t="s">
        <v>11</v>
      </c>
      <c r="G3329" s="1075" t="s">
        <v>8</v>
      </c>
    </row>
    <row r="3330" spans="1:7" s="150" customFormat="1" ht="15.75" customHeight="1">
      <c r="A3330" s="1117" t="s">
        <v>842</v>
      </c>
      <c r="B3330" s="1118"/>
      <c r="C3330" s="16" t="s">
        <v>3</v>
      </c>
      <c r="D3330" s="51">
        <v>6.0000000000000001E-3</v>
      </c>
      <c r="E3330" s="17">
        <f>G3327</f>
        <v>198000.53</v>
      </c>
      <c r="F3330" s="55">
        <f>D3330*E3330</f>
        <v>1188.0031799999999</v>
      </c>
      <c r="G3330" s="1075"/>
    </row>
    <row r="3331" spans="1:7" s="145" customFormat="1" ht="15.75" customHeight="1">
      <c r="A3331" s="151"/>
      <c r="B3331" s="152"/>
      <c r="C3331" s="152"/>
      <c r="D3331" s="152"/>
      <c r="E3331" s="152"/>
      <c r="F3331" s="152"/>
      <c r="G3331" s="57">
        <f>SUM(F3330:F3331)</f>
        <v>1188.0031799999999</v>
      </c>
    </row>
    <row r="3332" spans="1:7" s="145" customFormat="1" ht="15.75" customHeight="1">
      <c r="A3332" s="1114" t="s">
        <v>19</v>
      </c>
      <c r="B3332" s="1115"/>
      <c r="C3332" s="1115"/>
      <c r="D3332" s="1115"/>
      <c r="E3332" s="1115"/>
      <c r="F3332" s="1115"/>
      <c r="G3332" s="1116"/>
    </row>
    <row r="3333" spans="1:7" s="145" customFormat="1" ht="15.75" customHeight="1">
      <c r="A3333" s="1074" t="s">
        <v>2</v>
      </c>
      <c r="B3333" s="1115"/>
      <c r="C3333" s="53" t="s">
        <v>3</v>
      </c>
      <c r="D3333" s="53" t="s">
        <v>4</v>
      </c>
      <c r="E3333" s="53" t="s">
        <v>6</v>
      </c>
      <c r="F3333" s="53" t="s">
        <v>11</v>
      </c>
      <c r="G3333" s="1075" t="s">
        <v>8</v>
      </c>
    </row>
    <row r="3334" spans="1:7" s="2" customFormat="1" ht="15.75" customHeight="1">
      <c r="A3334" s="978" t="s">
        <v>1256</v>
      </c>
      <c r="B3334" s="979"/>
      <c r="C3334" s="13" t="s">
        <v>1245</v>
      </c>
      <c r="D3334" s="32">
        <v>2</v>
      </c>
      <c r="E3334" s="13">
        <v>20030</v>
      </c>
      <c r="F3334" s="55">
        <f>+D3334*E3334</f>
        <v>40060</v>
      </c>
      <c r="G3334" s="1116"/>
    </row>
    <row r="3335" spans="1:7" s="145" customFormat="1" ht="15.75" customHeight="1">
      <c r="A3335" s="155"/>
      <c r="B3335" s="156"/>
      <c r="C3335" s="156"/>
      <c r="D3335" s="156"/>
      <c r="E3335" s="156"/>
      <c r="F3335" s="156"/>
      <c r="G3335" s="57">
        <f>SUM(F3333:F3335)</f>
        <v>40060</v>
      </c>
    </row>
    <row r="3336" spans="1:7" s="145" customFormat="1" ht="15.75" customHeight="1">
      <c r="A3336" s="1119" t="s">
        <v>25</v>
      </c>
      <c r="B3336" s="1120"/>
      <c r="C3336" s="1120"/>
      <c r="D3336" s="1120"/>
      <c r="E3336" s="1120"/>
      <c r="F3336" s="1120"/>
      <c r="G3336" s="1121"/>
    </row>
    <row r="3337" spans="1:7" s="145" customFormat="1" ht="15.75" customHeight="1">
      <c r="A3337" s="1122"/>
      <c r="B3337" s="1120"/>
      <c r="C3337" s="1120"/>
      <c r="D3337" s="1120"/>
      <c r="E3337" s="1120"/>
      <c r="F3337" s="1120"/>
      <c r="G3337" s="157">
        <f>G3335+G3331+G3327+G3323</f>
        <v>241251.53318</v>
      </c>
    </row>
    <row r="3338" spans="1:7" s="145" customFormat="1" ht="15" customHeight="1">
      <c r="A3338" s="158"/>
      <c r="B3338" s="159"/>
      <c r="C3338" s="159"/>
      <c r="D3338" s="159"/>
      <c r="E3338" s="159"/>
      <c r="F3338" s="159"/>
      <c r="G3338" s="160"/>
    </row>
    <row r="3339" spans="1:7" s="145" customFormat="1" ht="15.75" customHeight="1">
      <c r="A3339" s="1123" t="s">
        <v>1</v>
      </c>
      <c r="B3339" s="1120"/>
      <c r="C3339" s="953" t="s">
        <v>594</v>
      </c>
      <c r="D3339" s="1125"/>
      <c r="E3339" s="1125"/>
      <c r="F3339" s="1125"/>
      <c r="G3339" s="1126"/>
    </row>
    <row r="3340" spans="1:7" s="145" customFormat="1" ht="24" customHeight="1">
      <c r="A3340" s="1124"/>
      <c r="B3340" s="1120"/>
      <c r="C3340" s="1125"/>
      <c r="D3340" s="1125"/>
      <c r="E3340" s="1125"/>
      <c r="F3340" s="1125"/>
      <c r="G3340" s="1126"/>
    </row>
    <row r="3341" spans="1:7" s="145" customFormat="1" ht="15.6" customHeight="1">
      <c r="A3341" s="1124"/>
      <c r="B3341" s="1120"/>
      <c r="C3341" s="1127" t="s">
        <v>843</v>
      </c>
      <c r="D3341" s="1120"/>
      <c r="E3341" s="1120"/>
      <c r="F3341" s="1120"/>
      <c r="G3341" s="1121"/>
    </row>
    <row r="3342" spans="1:7" s="145" customFormat="1" ht="15.75" customHeight="1">
      <c r="A3342" s="1124"/>
      <c r="B3342" s="1120"/>
      <c r="C3342" s="1128" t="s">
        <v>2</v>
      </c>
      <c r="D3342" s="1120"/>
      <c r="E3342" s="1120"/>
      <c r="F3342" s="146" t="s">
        <v>3</v>
      </c>
      <c r="G3342" s="147" t="s">
        <v>4</v>
      </c>
    </row>
    <row r="3343" spans="1:7" s="145" customFormat="1" ht="40.950000000000003" customHeight="1">
      <c r="A3343" s="1073" t="s">
        <v>850</v>
      </c>
      <c r="B3343" s="1115"/>
      <c r="C3343" s="980" t="s">
        <v>2777</v>
      </c>
      <c r="D3343" s="1115"/>
      <c r="E3343" s="1115"/>
      <c r="F3343" s="162" t="s">
        <v>28</v>
      </c>
      <c r="G3343" s="52">
        <v>1</v>
      </c>
    </row>
    <row r="3344" spans="1:7" s="145" customFormat="1" ht="15.75" customHeight="1">
      <c r="A3344" s="1114" t="s">
        <v>5</v>
      </c>
      <c r="B3344" s="1115"/>
      <c r="C3344" s="1115"/>
      <c r="D3344" s="1115"/>
      <c r="E3344" s="1115"/>
      <c r="F3344" s="1115"/>
      <c r="G3344" s="1116"/>
    </row>
    <row r="3345" spans="1:7" s="145" customFormat="1" ht="15.75" customHeight="1">
      <c r="A3345" s="1074" t="s">
        <v>2</v>
      </c>
      <c r="B3345" s="1115"/>
      <c r="C3345" s="53" t="s">
        <v>3</v>
      </c>
      <c r="D3345" s="53" t="s">
        <v>4</v>
      </c>
      <c r="E3345" s="53" t="s">
        <v>6</v>
      </c>
      <c r="F3345" s="53" t="s">
        <v>7</v>
      </c>
      <c r="G3345" s="1075" t="s">
        <v>8</v>
      </c>
    </row>
    <row r="3346" spans="1:7" s="145" customFormat="1" ht="15.75" customHeight="1">
      <c r="A3346" s="947" t="s">
        <v>167</v>
      </c>
      <c r="B3346" s="1115"/>
      <c r="C3346" s="51" t="s">
        <v>3</v>
      </c>
      <c r="D3346" s="51">
        <v>0.05</v>
      </c>
      <c r="E3346" s="17">
        <v>83985</v>
      </c>
      <c r="F3346" s="55">
        <f>D3346*E3346</f>
        <v>4199.25</v>
      </c>
      <c r="G3346" s="1116"/>
    </row>
    <row r="3347" spans="1:7" s="145" customFormat="1" ht="15.75" customHeight="1">
      <c r="A3347" s="943"/>
      <c r="B3347" s="1115"/>
      <c r="C3347" s="51"/>
      <c r="D3347" s="51"/>
      <c r="E3347" s="51"/>
      <c r="F3347" s="55"/>
      <c r="G3347" s="57">
        <f>SUM(F3345:F3347)</f>
        <v>4199.25</v>
      </c>
    </row>
    <row r="3348" spans="1:7" s="145" customFormat="1" ht="15.75" customHeight="1">
      <c r="A3348" s="1114" t="s">
        <v>10</v>
      </c>
      <c r="B3348" s="1115"/>
      <c r="C3348" s="1115"/>
      <c r="D3348" s="1115"/>
      <c r="E3348" s="1115"/>
      <c r="F3348" s="1115"/>
      <c r="G3348" s="1116"/>
    </row>
    <row r="3349" spans="1:7" s="145" customFormat="1" ht="15.75" customHeight="1">
      <c r="A3349" s="1074" t="s">
        <v>2</v>
      </c>
      <c r="B3349" s="1115"/>
      <c r="C3349" s="53" t="s">
        <v>3</v>
      </c>
      <c r="D3349" s="53" t="s">
        <v>4</v>
      </c>
      <c r="E3349" s="53" t="s">
        <v>6</v>
      </c>
      <c r="F3349" s="53" t="s">
        <v>11</v>
      </c>
      <c r="G3349" s="1075" t="s">
        <v>8</v>
      </c>
    </row>
    <row r="3350" spans="1:7" s="168" customFormat="1" ht="30.6" customHeight="1">
      <c r="A3350" s="1117" t="s">
        <v>852</v>
      </c>
      <c r="B3350" s="1118"/>
      <c r="C3350" s="16" t="s">
        <v>3</v>
      </c>
      <c r="D3350" s="51">
        <v>1</v>
      </c>
      <c r="E3350" s="17">
        <f>+'INSUMOS ELÉCTRICOS'!E187</f>
        <v>202600</v>
      </c>
      <c r="F3350" s="55">
        <f>D3350*E3350</f>
        <v>202600</v>
      </c>
      <c r="G3350" s="1075"/>
    </row>
    <row r="3351" spans="1:7" s="145" customFormat="1" ht="15.75" customHeight="1">
      <c r="A3351" s="947"/>
      <c r="B3351" s="1115"/>
      <c r="C3351" s="16"/>
      <c r="D3351" s="58"/>
      <c r="E3351" s="17"/>
      <c r="F3351" s="55"/>
      <c r="G3351" s="633">
        <f>SUM(F3349:F3351)</f>
        <v>202600</v>
      </c>
    </row>
    <row r="3352" spans="1:7" s="145" customFormat="1" ht="15.75" customHeight="1">
      <c r="A3352" s="1114" t="s">
        <v>15</v>
      </c>
      <c r="B3352" s="1115"/>
      <c r="C3352" s="1115"/>
      <c r="D3352" s="1115"/>
      <c r="E3352" s="1115"/>
      <c r="F3352" s="1115"/>
      <c r="G3352" s="1116"/>
    </row>
    <row r="3353" spans="1:7" s="145" customFormat="1" ht="15.75" customHeight="1">
      <c r="A3353" s="1074" t="s">
        <v>2</v>
      </c>
      <c r="B3353" s="1115"/>
      <c r="C3353" s="53" t="s">
        <v>3</v>
      </c>
      <c r="D3353" s="53" t="s">
        <v>4</v>
      </c>
      <c r="E3353" s="53" t="s">
        <v>6</v>
      </c>
      <c r="F3353" s="53" t="s">
        <v>11</v>
      </c>
      <c r="G3353" s="1075" t="s">
        <v>8</v>
      </c>
    </row>
    <row r="3354" spans="1:7" s="145" customFormat="1" ht="15.75" customHeight="1">
      <c r="A3354" s="1117" t="s">
        <v>842</v>
      </c>
      <c r="B3354" s="1118"/>
      <c r="C3354" s="16" t="s">
        <v>3</v>
      </c>
      <c r="D3354" s="51">
        <v>6.0000000000000001E-3</v>
      </c>
      <c r="E3354" s="17">
        <f>G3351</f>
        <v>202600</v>
      </c>
      <c r="F3354" s="55">
        <f>D3354*E3354</f>
        <v>1215.6000000000001</v>
      </c>
      <c r="G3354" s="1075"/>
    </row>
    <row r="3355" spans="1:7" s="145" customFormat="1" ht="15.75" customHeight="1">
      <c r="A3355" s="151"/>
      <c r="B3355" s="152"/>
      <c r="C3355" s="152"/>
      <c r="D3355" s="152"/>
      <c r="E3355" s="152"/>
      <c r="F3355" s="152"/>
      <c r="G3355" s="57">
        <f>SUM(F3354:F3355)</f>
        <v>1215.6000000000001</v>
      </c>
    </row>
    <row r="3356" spans="1:7" s="145" customFormat="1" ht="15.75" customHeight="1">
      <c r="A3356" s="1114" t="s">
        <v>19</v>
      </c>
      <c r="B3356" s="1115"/>
      <c r="C3356" s="1115"/>
      <c r="D3356" s="1115"/>
      <c r="E3356" s="1115"/>
      <c r="F3356" s="1115"/>
      <c r="G3356" s="1116"/>
    </row>
    <row r="3357" spans="1:7" s="145" customFormat="1" ht="15.75" customHeight="1">
      <c r="A3357" s="1074" t="s">
        <v>2</v>
      </c>
      <c r="B3357" s="1115"/>
      <c r="C3357" s="53" t="s">
        <v>3</v>
      </c>
      <c r="D3357" s="53" t="s">
        <v>4</v>
      </c>
      <c r="E3357" s="53" t="s">
        <v>6</v>
      </c>
      <c r="F3357" s="53" t="s">
        <v>11</v>
      </c>
      <c r="G3357" s="1075" t="s">
        <v>8</v>
      </c>
    </row>
    <row r="3358" spans="1:7" s="2" customFormat="1" ht="15.75" customHeight="1">
      <c r="A3358" s="978" t="s">
        <v>1256</v>
      </c>
      <c r="B3358" s="979"/>
      <c r="C3358" s="13" t="s">
        <v>1245</v>
      </c>
      <c r="D3358" s="32">
        <v>2</v>
      </c>
      <c r="E3358" s="13">
        <v>20030</v>
      </c>
      <c r="F3358" s="55">
        <f>+D3358*E3358</f>
        <v>40060</v>
      </c>
      <c r="G3358" s="1116"/>
    </row>
    <row r="3359" spans="1:7" s="145" customFormat="1" ht="15.75" customHeight="1">
      <c r="A3359" s="155"/>
      <c r="B3359" s="156"/>
      <c r="C3359" s="156"/>
      <c r="D3359" s="156"/>
      <c r="E3359" s="156"/>
      <c r="F3359" s="156"/>
      <c r="G3359" s="57">
        <f>SUM(F3357:F3359)</f>
        <v>40060</v>
      </c>
    </row>
    <row r="3360" spans="1:7" s="145" customFormat="1" ht="15.75" customHeight="1">
      <c r="A3360" s="1119" t="s">
        <v>25</v>
      </c>
      <c r="B3360" s="1120"/>
      <c r="C3360" s="1120"/>
      <c r="D3360" s="1120"/>
      <c r="E3360" s="1120"/>
      <c r="F3360" s="1120"/>
      <c r="G3360" s="1121"/>
    </row>
    <row r="3361" spans="1:7" s="145" customFormat="1" ht="15.75" customHeight="1">
      <c r="A3361" s="1122"/>
      <c r="B3361" s="1120"/>
      <c r="C3361" s="1120"/>
      <c r="D3361" s="1120"/>
      <c r="E3361" s="1120"/>
      <c r="F3361" s="1120"/>
      <c r="G3361" s="157">
        <f>G3359+G3355+G3351+G3347</f>
        <v>248074.85</v>
      </c>
    </row>
    <row r="3362" spans="1:7" s="145" customFormat="1" ht="15" customHeight="1">
      <c r="A3362" s="158"/>
      <c r="B3362" s="159"/>
      <c r="C3362" s="159"/>
      <c r="D3362" s="159"/>
      <c r="E3362" s="159"/>
      <c r="F3362" s="159"/>
      <c r="G3362" s="160"/>
    </row>
    <row r="3363" spans="1:7" s="145" customFormat="1" ht="15.75" customHeight="1">
      <c r="A3363" s="1123" t="s">
        <v>1</v>
      </c>
      <c r="B3363" s="1120"/>
      <c r="C3363" s="953" t="s">
        <v>594</v>
      </c>
      <c r="D3363" s="1125"/>
      <c r="E3363" s="1125"/>
      <c r="F3363" s="1125"/>
      <c r="G3363" s="1126"/>
    </row>
    <row r="3364" spans="1:7" s="145" customFormat="1" ht="24" customHeight="1">
      <c r="A3364" s="1124"/>
      <c r="B3364" s="1120"/>
      <c r="C3364" s="1125"/>
      <c r="D3364" s="1125"/>
      <c r="E3364" s="1125"/>
      <c r="F3364" s="1125"/>
      <c r="G3364" s="1126"/>
    </row>
    <row r="3365" spans="1:7" s="145" customFormat="1" ht="15.6" customHeight="1">
      <c r="A3365" s="1124"/>
      <c r="B3365" s="1120"/>
      <c r="C3365" s="1127" t="s">
        <v>843</v>
      </c>
      <c r="D3365" s="1120"/>
      <c r="E3365" s="1120"/>
      <c r="F3365" s="1120"/>
      <c r="G3365" s="1121"/>
    </row>
    <row r="3366" spans="1:7" s="145" customFormat="1" ht="15.75" customHeight="1">
      <c r="A3366" s="1124"/>
      <c r="B3366" s="1120"/>
      <c r="C3366" s="1128" t="s">
        <v>2</v>
      </c>
      <c r="D3366" s="1120"/>
      <c r="E3366" s="1120"/>
      <c r="F3366" s="146" t="s">
        <v>3</v>
      </c>
      <c r="G3366" s="147" t="s">
        <v>4</v>
      </c>
    </row>
    <row r="3367" spans="1:7" s="145" customFormat="1" ht="40.950000000000003" customHeight="1">
      <c r="A3367" s="1073" t="s">
        <v>853</v>
      </c>
      <c r="B3367" s="1115"/>
      <c r="C3367" s="980" t="s">
        <v>2776</v>
      </c>
      <c r="D3367" s="1115"/>
      <c r="E3367" s="1115"/>
      <c r="F3367" s="162" t="s">
        <v>28</v>
      </c>
      <c r="G3367" s="52">
        <v>1</v>
      </c>
    </row>
    <row r="3368" spans="1:7" s="145" customFormat="1" ht="15.75" customHeight="1">
      <c r="A3368" s="1114" t="s">
        <v>5</v>
      </c>
      <c r="B3368" s="1115"/>
      <c r="C3368" s="1115"/>
      <c r="D3368" s="1115"/>
      <c r="E3368" s="1115"/>
      <c r="F3368" s="1115"/>
      <c r="G3368" s="1116"/>
    </row>
    <row r="3369" spans="1:7" s="145" customFormat="1" ht="15.75" customHeight="1">
      <c r="A3369" s="1074" t="s">
        <v>2</v>
      </c>
      <c r="B3369" s="1115"/>
      <c r="C3369" s="53" t="s">
        <v>3</v>
      </c>
      <c r="D3369" s="53" t="s">
        <v>4</v>
      </c>
      <c r="E3369" s="53" t="s">
        <v>6</v>
      </c>
      <c r="F3369" s="53" t="s">
        <v>7</v>
      </c>
      <c r="G3369" s="1075" t="s">
        <v>8</v>
      </c>
    </row>
    <row r="3370" spans="1:7" s="145" customFormat="1" ht="15.75" customHeight="1">
      <c r="A3370" s="947" t="s">
        <v>167</v>
      </c>
      <c r="B3370" s="1115"/>
      <c r="C3370" s="51" t="s">
        <v>3</v>
      </c>
      <c r="D3370" s="51">
        <v>0.05</v>
      </c>
      <c r="E3370" s="17">
        <f>G3383</f>
        <v>20030</v>
      </c>
      <c r="F3370" s="55">
        <f>D3370*E3370</f>
        <v>1001.5</v>
      </c>
      <c r="G3370" s="1116"/>
    </row>
    <row r="3371" spans="1:7" s="145" customFormat="1" ht="15.75" customHeight="1">
      <c r="A3371" s="943"/>
      <c r="B3371" s="1115"/>
      <c r="C3371" s="51"/>
      <c r="D3371" s="51"/>
      <c r="E3371" s="51"/>
      <c r="F3371" s="55"/>
      <c r="G3371" s="57">
        <f>SUM(F3369:F3371)</f>
        <v>1001.5</v>
      </c>
    </row>
    <row r="3372" spans="1:7" s="145" customFormat="1" ht="15.75" customHeight="1">
      <c r="A3372" s="1114" t="s">
        <v>10</v>
      </c>
      <c r="B3372" s="1115"/>
      <c r="C3372" s="1115"/>
      <c r="D3372" s="1115"/>
      <c r="E3372" s="1115"/>
      <c r="F3372" s="1115"/>
      <c r="G3372" s="1116"/>
    </row>
    <row r="3373" spans="1:7" s="145" customFormat="1" ht="15.75" customHeight="1">
      <c r="A3373" s="1074" t="s">
        <v>2</v>
      </c>
      <c r="B3373" s="1115"/>
      <c r="C3373" s="53" t="s">
        <v>3</v>
      </c>
      <c r="D3373" s="53" t="s">
        <v>4</v>
      </c>
      <c r="E3373" s="53" t="s">
        <v>6</v>
      </c>
      <c r="F3373" s="53" t="s">
        <v>11</v>
      </c>
      <c r="G3373" s="1075" t="s">
        <v>8</v>
      </c>
    </row>
    <row r="3374" spans="1:7" s="168" customFormat="1" ht="30.6" customHeight="1">
      <c r="A3374" s="1117" t="s">
        <v>855</v>
      </c>
      <c r="B3374" s="1118"/>
      <c r="C3374" s="16" t="s">
        <v>3</v>
      </c>
      <c r="D3374" s="51">
        <v>1</v>
      </c>
      <c r="E3374" s="17">
        <f>+'INSUMOS ELÉCTRICOS'!E68</f>
        <v>84900</v>
      </c>
      <c r="F3374" s="55">
        <f>D3374*E3374</f>
        <v>84900</v>
      </c>
      <c r="G3374" s="1075"/>
    </row>
    <row r="3375" spans="1:7" s="145" customFormat="1" ht="15.75" customHeight="1">
      <c r="A3375" s="947"/>
      <c r="B3375" s="1115"/>
      <c r="C3375" s="16"/>
      <c r="D3375" s="58"/>
      <c r="E3375" s="17"/>
      <c r="F3375" s="55"/>
      <c r="G3375" s="57">
        <f>SUM(F3373:F3375)</f>
        <v>84900</v>
      </c>
    </row>
    <row r="3376" spans="1:7" s="145" customFormat="1" ht="15.75" customHeight="1">
      <c r="A3376" s="1114" t="s">
        <v>15</v>
      </c>
      <c r="B3376" s="1115"/>
      <c r="C3376" s="1115"/>
      <c r="D3376" s="1115"/>
      <c r="E3376" s="1115"/>
      <c r="F3376" s="1115"/>
      <c r="G3376" s="1116"/>
    </row>
    <row r="3377" spans="1:7" s="145" customFormat="1" ht="15.75" customHeight="1">
      <c r="A3377" s="1074" t="s">
        <v>2</v>
      </c>
      <c r="B3377" s="1115"/>
      <c r="C3377" s="53" t="s">
        <v>3</v>
      </c>
      <c r="D3377" s="53" t="s">
        <v>4</v>
      </c>
      <c r="E3377" s="53" t="s">
        <v>6</v>
      </c>
      <c r="F3377" s="53" t="s">
        <v>11</v>
      </c>
      <c r="G3377" s="1075" t="s">
        <v>8</v>
      </c>
    </row>
    <row r="3378" spans="1:7" s="145" customFormat="1" ht="15.75" customHeight="1">
      <c r="A3378" s="1117" t="s">
        <v>842</v>
      </c>
      <c r="B3378" s="1118"/>
      <c r="C3378" s="16" t="s">
        <v>3</v>
      </c>
      <c r="D3378" s="51">
        <v>1.4999999999999999E-2</v>
      </c>
      <c r="E3378" s="17">
        <f>G3375</f>
        <v>84900</v>
      </c>
      <c r="F3378" s="55">
        <f>D3378*E3378</f>
        <v>1273.5</v>
      </c>
      <c r="G3378" s="1075"/>
    </row>
    <row r="3379" spans="1:7" s="145" customFormat="1" ht="15.75" customHeight="1">
      <c r="A3379" s="151"/>
      <c r="B3379" s="152"/>
      <c r="C3379" s="152"/>
      <c r="D3379" s="152"/>
      <c r="E3379" s="152"/>
      <c r="F3379" s="152"/>
      <c r="G3379" s="57">
        <f>SUM(F3378:F3379)</f>
        <v>1273.5</v>
      </c>
    </row>
    <row r="3380" spans="1:7" s="145" customFormat="1" ht="15.75" customHeight="1">
      <c r="A3380" s="1114" t="s">
        <v>19</v>
      </c>
      <c r="B3380" s="1115"/>
      <c r="C3380" s="1115"/>
      <c r="D3380" s="1115"/>
      <c r="E3380" s="1115"/>
      <c r="F3380" s="1115"/>
      <c r="G3380" s="1116"/>
    </row>
    <row r="3381" spans="1:7" s="145" customFormat="1" ht="15.75" customHeight="1">
      <c r="A3381" s="1074" t="s">
        <v>2</v>
      </c>
      <c r="B3381" s="1115"/>
      <c r="C3381" s="53" t="s">
        <v>3</v>
      </c>
      <c r="D3381" s="53" t="s">
        <v>4</v>
      </c>
      <c r="E3381" s="53" t="s">
        <v>6</v>
      </c>
      <c r="F3381" s="53" t="s">
        <v>11</v>
      </c>
      <c r="G3381" s="1075" t="s">
        <v>8</v>
      </c>
    </row>
    <row r="3382" spans="1:7" s="2" customFormat="1" ht="15.75" customHeight="1">
      <c r="A3382" s="978" t="s">
        <v>1256</v>
      </c>
      <c r="B3382" s="979"/>
      <c r="C3382" s="13" t="s">
        <v>1245</v>
      </c>
      <c r="D3382" s="32">
        <v>1</v>
      </c>
      <c r="E3382" s="13">
        <v>20030</v>
      </c>
      <c r="F3382" s="55">
        <f>+D3382*E3382</f>
        <v>20030</v>
      </c>
      <c r="G3382" s="1116"/>
    </row>
    <row r="3383" spans="1:7" s="145" customFormat="1" ht="15.75" customHeight="1">
      <c r="A3383" s="155"/>
      <c r="B3383" s="156"/>
      <c r="C3383" s="156"/>
      <c r="D3383" s="156"/>
      <c r="E3383" s="156"/>
      <c r="F3383" s="156"/>
      <c r="G3383" s="57">
        <f>SUM(F3381:F3383)</f>
        <v>20030</v>
      </c>
    </row>
    <row r="3384" spans="1:7" s="145" customFormat="1" ht="15.75" customHeight="1">
      <c r="A3384" s="1119" t="s">
        <v>25</v>
      </c>
      <c r="B3384" s="1120"/>
      <c r="C3384" s="1120"/>
      <c r="D3384" s="1120"/>
      <c r="E3384" s="1120"/>
      <c r="F3384" s="1120"/>
      <c r="G3384" s="1121"/>
    </row>
    <row r="3385" spans="1:7" s="145" customFormat="1" ht="15.75" customHeight="1">
      <c r="A3385" s="1122"/>
      <c r="B3385" s="1120"/>
      <c r="C3385" s="1120"/>
      <c r="D3385" s="1120"/>
      <c r="E3385" s="1120"/>
      <c r="F3385" s="1120"/>
      <c r="G3385" s="157">
        <f>G3383+G3379+G3375+G3371</f>
        <v>107205</v>
      </c>
    </row>
    <row r="3386" spans="1:7" s="145" customFormat="1" ht="15" customHeight="1">
      <c r="A3386" s="158"/>
      <c r="B3386" s="159"/>
      <c r="C3386" s="159"/>
      <c r="D3386" s="159"/>
      <c r="E3386" s="159"/>
      <c r="F3386" s="159"/>
      <c r="G3386" s="160"/>
    </row>
    <row r="3387" spans="1:7" s="145" customFormat="1" ht="15.75" customHeight="1">
      <c r="A3387" s="1123" t="s">
        <v>1</v>
      </c>
      <c r="B3387" s="1120"/>
      <c r="C3387" s="953" t="s">
        <v>594</v>
      </c>
      <c r="D3387" s="1125"/>
      <c r="E3387" s="1125"/>
      <c r="F3387" s="1125"/>
      <c r="G3387" s="1126"/>
    </row>
    <row r="3388" spans="1:7" s="145" customFormat="1" ht="24" customHeight="1">
      <c r="A3388" s="1124"/>
      <c r="B3388" s="1120"/>
      <c r="C3388" s="1125"/>
      <c r="D3388" s="1125"/>
      <c r="E3388" s="1125"/>
      <c r="F3388" s="1125"/>
      <c r="G3388" s="1126"/>
    </row>
    <row r="3389" spans="1:7" s="145" customFormat="1" ht="15.6" customHeight="1">
      <c r="A3389" s="1124"/>
      <c r="B3389" s="1120"/>
      <c r="C3389" s="1127" t="s">
        <v>843</v>
      </c>
      <c r="D3389" s="1120"/>
      <c r="E3389" s="1120"/>
      <c r="F3389" s="1120"/>
      <c r="G3389" s="1121"/>
    </row>
    <row r="3390" spans="1:7" s="145" customFormat="1" ht="15.75" customHeight="1">
      <c r="A3390" s="1124"/>
      <c r="B3390" s="1120"/>
      <c r="C3390" s="1128" t="s">
        <v>2</v>
      </c>
      <c r="D3390" s="1120"/>
      <c r="E3390" s="1120"/>
      <c r="F3390" s="146" t="s">
        <v>3</v>
      </c>
      <c r="G3390" s="147" t="s">
        <v>4</v>
      </c>
    </row>
    <row r="3391" spans="1:7" s="145" customFormat="1" ht="40.950000000000003" customHeight="1">
      <c r="A3391" s="1073" t="s">
        <v>856</v>
      </c>
      <c r="B3391" s="1115"/>
      <c r="C3391" s="980" t="s">
        <v>857</v>
      </c>
      <c r="D3391" s="1115"/>
      <c r="E3391" s="1115"/>
      <c r="F3391" s="162" t="s">
        <v>28</v>
      </c>
      <c r="G3391" s="52">
        <v>1</v>
      </c>
    </row>
    <row r="3392" spans="1:7" s="145" customFormat="1" ht="15.75" customHeight="1">
      <c r="A3392" s="1114" t="s">
        <v>5</v>
      </c>
      <c r="B3392" s="1115"/>
      <c r="C3392" s="1115"/>
      <c r="D3392" s="1115"/>
      <c r="E3392" s="1115"/>
      <c r="F3392" s="1115"/>
      <c r="G3392" s="1116"/>
    </row>
    <row r="3393" spans="1:7" s="145" customFormat="1" ht="15.75" customHeight="1">
      <c r="A3393" s="1074" t="s">
        <v>2</v>
      </c>
      <c r="B3393" s="1115"/>
      <c r="C3393" s="53" t="s">
        <v>3</v>
      </c>
      <c r="D3393" s="53" t="s">
        <v>4</v>
      </c>
      <c r="E3393" s="53" t="s">
        <v>6</v>
      </c>
      <c r="F3393" s="53" t="s">
        <v>7</v>
      </c>
      <c r="G3393" s="1075" t="s">
        <v>8</v>
      </c>
    </row>
    <row r="3394" spans="1:7" s="145" customFormat="1" ht="15.75" customHeight="1">
      <c r="A3394" s="947" t="s">
        <v>167</v>
      </c>
      <c r="B3394" s="1115"/>
      <c r="C3394" s="51" t="s">
        <v>3</v>
      </c>
      <c r="D3394" s="51">
        <v>0.05</v>
      </c>
      <c r="E3394" s="17">
        <f>G3408</f>
        <v>20030</v>
      </c>
      <c r="F3394" s="55">
        <f>D3394*E3394</f>
        <v>1001.5</v>
      </c>
      <c r="G3394" s="1116"/>
    </row>
    <row r="3395" spans="1:7" s="145" customFormat="1" ht="15.75" customHeight="1">
      <c r="A3395" s="943"/>
      <c r="B3395" s="1115"/>
      <c r="C3395" s="51"/>
      <c r="D3395" s="51"/>
      <c r="E3395" s="51"/>
      <c r="F3395" s="55"/>
      <c r="G3395" s="57">
        <f>SUM(F3393:F3395)</f>
        <v>1001.5</v>
      </c>
    </row>
    <row r="3396" spans="1:7" s="145" customFormat="1" ht="15.75" customHeight="1">
      <c r="A3396" s="1114" t="s">
        <v>10</v>
      </c>
      <c r="B3396" s="1115"/>
      <c r="C3396" s="1115"/>
      <c r="D3396" s="1115"/>
      <c r="E3396" s="1115"/>
      <c r="F3396" s="1115"/>
      <c r="G3396" s="1116"/>
    </row>
    <row r="3397" spans="1:7" s="145" customFormat="1" ht="15.75" customHeight="1">
      <c r="A3397" s="1074" t="s">
        <v>2</v>
      </c>
      <c r="B3397" s="1115"/>
      <c r="C3397" s="53" t="s">
        <v>3</v>
      </c>
      <c r="D3397" s="53" t="s">
        <v>4</v>
      </c>
      <c r="E3397" s="53" t="s">
        <v>6</v>
      </c>
      <c r="F3397" s="53" t="s">
        <v>11</v>
      </c>
      <c r="G3397" s="1075" t="s">
        <v>8</v>
      </c>
    </row>
    <row r="3398" spans="1:7" s="168" customFormat="1" ht="30.6" customHeight="1">
      <c r="A3398" s="947" t="s">
        <v>858</v>
      </c>
      <c r="B3398" s="1115"/>
      <c r="C3398" s="16" t="s">
        <v>3</v>
      </c>
      <c r="D3398" s="51">
        <v>1</v>
      </c>
      <c r="E3398" s="17">
        <f>+'INSUMOS ELÉCTRICOS'!E72</f>
        <v>416813</v>
      </c>
      <c r="F3398" s="55">
        <f>D3398*E3398</f>
        <v>416813</v>
      </c>
      <c r="G3398" s="1075"/>
    </row>
    <row r="3399" spans="1:7" s="145" customFormat="1" ht="15.75" customHeight="1">
      <c r="A3399" s="947" t="s">
        <v>612</v>
      </c>
      <c r="B3399" s="1115"/>
      <c r="C3399" s="16" t="s">
        <v>3</v>
      </c>
      <c r="D3399" s="51">
        <v>2</v>
      </c>
      <c r="E3399" s="17">
        <f>+'INSUMOS ELÉCTRICOS'!E126</f>
        <v>348.66999999999996</v>
      </c>
      <c r="F3399" s="55">
        <f>D3399*E3399</f>
        <v>697.33999999999992</v>
      </c>
      <c r="G3399" s="1075"/>
    </row>
    <row r="3400" spans="1:7" s="145" customFormat="1" ht="15.75" customHeight="1">
      <c r="A3400" s="947"/>
      <c r="B3400" s="1115"/>
      <c r="C3400" s="16"/>
      <c r="D3400" s="58"/>
      <c r="E3400" s="17"/>
      <c r="F3400" s="55"/>
      <c r="G3400" s="57">
        <f>SUM(F3397:F3400)</f>
        <v>417510.34</v>
      </c>
    </row>
    <row r="3401" spans="1:7" s="145" customFormat="1" ht="15.75" customHeight="1">
      <c r="A3401" s="1114" t="s">
        <v>15</v>
      </c>
      <c r="B3401" s="1115"/>
      <c r="C3401" s="1115"/>
      <c r="D3401" s="1115"/>
      <c r="E3401" s="1115"/>
      <c r="F3401" s="1115"/>
      <c r="G3401" s="1116"/>
    </row>
    <row r="3402" spans="1:7" s="145" customFormat="1" ht="15.75" customHeight="1">
      <c r="A3402" s="1074" t="s">
        <v>2</v>
      </c>
      <c r="B3402" s="1115"/>
      <c r="C3402" s="53" t="s">
        <v>3</v>
      </c>
      <c r="D3402" s="53" t="s">
        <v>4</v>
      </c>
      <c r="E3402" s="53" t="s">
        <v>6</v>
      </c>
      <c r="F3402" s="53" t="s">
        <v>11</v>
      </c>
      <c r="G3402" s="1075" t="s">
        <v>8</v>
      </c>
    </row>
    <row r="3403" spans="1:7" s="145" customFormat="1" ht="15.75" customHeight="1">
      <c r="A3403" s="1117" t="s">
        <v>842</v>
      </c>
      <c r="B3403" s="1118"/>
      <c r="C3403" s="16" t="s">
        <v>3</v>
      </c>
      <c r="D3403" s="51">
        <v>1.2999999999999999E-2</v>
      </c>
      <c r="E3403" s="17">
        <f>G3400</f>
        <v>417510.34</v>
      </c>
      <c r="F3403" s="55">
        <f>D3403*E3403</f>
        <v>5427.6344200000003</v>
      </c>
      <c r="G3403" s="1075"/>
    </row>
    <row r="3404" spans="1:7" s="145" customFormat="1" ht="15.75" customHeight="1">
      <c r="A3404" s="151"/>
      <c r="B3404" s="152"/>
      <c r="C3404" s="152"/>
      <c r="D3404" s="152"/>
      <c r="E3404" s="152"/>
      <c r="F3404" s="152"/>
      <c r="G3404" s="57">
        <f>SUM(F3403:F3404)</f>
        <v>5427.6344200000003</v>
      </c>
    </row>
    <row r="3405" spans="1:7" s="145" customFormat="1" ht="15.75" customHeight="1">
      <c r="A3405" s="1114" t="s">
        <v>19</v>
      </c>
      <c r="B3405" s="1115"/>
      <c r="C3405" s="1115"/>
      <c r="D3405" s="1115"/>
      <c r="E3405" s="1115"/>
      <c r="F3405" s="1115"/>
      <c r="G3405" s="1116"/>
    </row>
    <row r="3406" spans="1:7" s="2" customFormat="1" ht="15.75" customHeight="1">
      <c r="A3406" s="1074" t="s">
        <v>2</v>
      </c>
      <c r="B3406" s="1115"/>
      <c r="C3406" s="53" t="s">
        <v>3</v>
      </c>
      <c r="D3406" s="53" t="s">
        <v>4</v>
      </c>
      <c r="E3406" s="53" t="s">
        <v>6</v>
      </c>
      <c r="F3406" s="53" t="s">
        <v>11</v>
      </c>
      <c r="G3406" s="1075" t="s">
        <v>8</v>
      </c>
    </row>
    <row r="3407" spans="1:7" s="145" customFormat="1" ht="15.75" customHeight="1">
      <c r="A3407" s="978" t="s">
        <v>1256</v>
      </c>
      <c r="B3407" s="979"/>
      <c r="C3407" s="13" t="s">
        <v>1245</v>
      </c>
      <c r="D3407" s="32">
        <v>1</v>
      </c>
      <c r="E3407" s="13">
        <v>20030</v>
      </c>
      <c r="F3407" s="55">
        <f>+D3407*E3407</f>
        <v>20030</v>
      </c>
      <c r="G3407" s="1116"/>
    </row>
    <row r="3408" spans="1:7" s="145" customFormat="1" ht="15.75" customHeight="1">
      <c r="A3408" s="155"/>
      <c r="B3408" s="156"/>
      <c r="C3408" s="156"/>
      <c r="D3408" s="156"/>
      <c r="E3408" s="156"/>
      <c r="F3408" s="156"/>
      <c r="G3408" s="57">
        <f>SUM(F3406:F3408)</f>
        <v>20030</v>
      </c>
    </row>
    <row r="3409" spans="1:7" s="145" customFormat="1" ht="15.75" customHeight="1">
      <c r="A3409" s="1119" t="s">
        <v>25</v>
      </c>
      <c r="B3409" s="1120"/>
      <c r="C3409" s="1120"/>
      <c r="D3409" s="1120"/>
      <c r="E3409" s="1120"/>
      <c r="F3409" s="1120"/>
      <c r="G3409" s="1121"/>
    </row>
    <row r="3410" spans="1:7" s="145" customFormat="1" ht="15" customHeight="1">
      <c r="A3410" s="1122"/>
      <c r="B3410" s="1120"/>
      <c r="C3410" s="1120"/>
      <c r="D3410" s="1120"/>
      <c r="E3410" s="1120"/>
      <c r="F3410" s="1120"/>
      <c r="G3410" s="157">
        <f>G3408+G3404+G3400+G3395</f>
        <v>443969.47442000004</v>
      </c>
    </row>
    <row r="3411" spans="1:7" s="145" customFormat="1" ht="15.75" customHeight="1">
      <c r="A3411" s="158"/>
      <c r="B3411" s="159"/>
      <c r="C3411" s="159"/>
      <c r="D3411" s="159"/>
      <c r="E3411" s="159"/>
      <c r="F3411" s="159"/>
      <c r="G3411" s="160"/>
    </row>
    <row r="3412" spans="1:7" s="145" customFormat="1" ht="13.8">
      <c r="A3412" s="1123" t="s">
        <v>1</v>
      </c>
      <c r="B3412" s="1120"/>
      <c r="C3412" s="953" t="s">
        <v>594</v>
      </c>
      <c r="D3412" s="1125"/>
      <c r="E3412" s="1125"/>
      <c r="F3412" s="1125"/>
      <c r="G3412" s="1126"/>
    </row>
    <row r="3413" spans="1:7" s="145" customFormat="1" ht="13.8">
      <c r="A3413" s="1124"/>
      <c r="B3413" s="1120"/>
      <c r="C3413" s="1125"/>
      <c r="D3413" s="1125"/>
      <c r="E3413" s="1125"/>
      <c r="F3413" s="1125"/>
      <c r="G3413" s="1126"/>
    </row>
    <row r="3414" spans="1:7" s="145" customFormat="1" ht="15.75" customHeight="1">
      <c r="A3414" s="1124"/>
      <c r="B3414" s="1120"/>
      <c r="C3414" s="1127" t="s">
        <v>859</v>
      </c>
      <c r="D3414" s="1120"/>
      <c r="E3414" s="1120"/>
      <c r="F3414" s="1120"/>
      <c r="G3414" s="1121"/>
    </row>
    <row r="3415" spans="1:7" s="145" customFormat="1" ht="15.75" customHeight="1">
      <c r="A3415" s="1124"/>
      <c r="B3415" s="1120"/>
      <c r="C3415" s="1128" t="s">
        <v>2</v>
      </c>
      <c r="D3415" s="1120"/>
      <c r="E3415" s="1120"/>
      <c r="F3415" s="146" t="s">
        <v>3</v>
      </c>
      <c r="G3415" s="147" t="s">
        <v>4</v>
      </c>
    </row>
    <row r="3416" spans="1:7" s="145" customFormat="1" ht="35.25" customHeight="1">
      <c r="A3416" s="1073" t="s">
        <v>863</v>
      </c>
      <c r="B3416" s="1115"/>
      <c r="C3416" s="980" t="s">
        <v>864</v>
      </c>
      <c r="D3416" s="1115"/>
      <c r="E3416" s="1115"/>
      <c r="F3416" s="162" t="s">
        <v>45</v>
      </c>
      <c r="G3416" s="52">
        <v>1</v>
      </c>
    </row>
    <row r="3417" spans="1:7" s="145" customFormat="1" ht="15.75" customHeight="1">
      <c r="A3417" s="1114" t="s">
        <v>5</v>
      </c>
      <c r="B3417" s="1115"/>
      <c r="C3417" s="1115"/>
      <c r="D3417" s="1115"/>
      <c r="E3417" s="1115"/>
      <c r="F3417" s="1115"/>
      <c r="G3417" s="1116"/>
    </row>
    <row r="3418" spans="1:7" s="145" customFormat="1" ht="15.75" customHeight="1">
      <c r="A3418" s="1074" t="s">
        <v>2</v>
      </c>
      <c r="B3418" s="1115"/>
      <c r="C3418" s="53" t="s">
        <v>3</v>
      </c>
      <c r="D3418" s="53" t="s">
        <v>4</v>
      </c>
      <c r="E3418" s="53" t="s">
        <v>6</v>
      </c>
      <c r="F3418" s="53" t="s">
        <v>7</v>
      </c>
      <c r="G3418" s="1075" t="s">
        <v>8</v>
      </c>
    </row>
    <row r="3419" spans="1:7" s="168" customFormat="1" ht="13.8">
      <c r="A3419" s="947" t="s">
        <v>167</v>
      </c>
      <c r="B3419" s="1115"/>
      <c r="C3419" s="51" t="s">
        <v>3</v>
      </c>
      <c r="D3419" s="51">
        <v>0.05</v>
      </c>
      <c r="E3419" s="17">
        <f>G3434</f>
        <v>4006</v>
      </c>
      <c r="F3419" s="55">
        <f>D3419*E3419</f>
        <v>200.3</v>
      </c>
      <c r="G3419" s="1116"/>
    </row>
    <row r="3420" spans="1:7" s="168" customFormat="1" ht="16.2" customHeight="1">
      <c r="A3420" s="943"/>
      <c r="B3420" s="1115"/>
      <c r="C3420" s="51"/>
      <c r="D3420" s="51"/>
      <c r="E3420" s="51"/>
      <c r="F3420" s="55"/>
      <c r="G3420" s="57">
        <f>SUM(F3418:F3420)</f>
        <v>200.3</v>
      </c>
    </row>
    <row r="3421" spans="1:7" s="168" customFormat="1" ht="13.8">
      <c r="A3421" s="1114" t="s">
        <v>10</v>
      </c>
      <c r="B3421" s="1115"/>
      <c r="C3421" s="1115"/>
      <c r="D3421" s="1115"/>
      <c r="E3421" s="1115"/>
      <c r="F3421" s="1115"/>
      <c r="G3421" s="1116"/>
    </row>
    <row r="3422" spans="1:7" s="168" customFormat="1" ht="33" customHeight="1">
      <c r="A3422" s="1074" t="s">
        <v>2</v>
      </c>
      <c r="B3422" s="1115"/>
      <c r="C3422" s="53" t="s">
        <v>3</v>
      </c>
      <c r="D3422" s="53" t="s">
        <v>4</v>
      </c>
      <c r="E3422" s="53" t="s">
        <v>6</v>
      </c>
      <c r="F3422" s="53" t="s">
        <v>11</v>
      </c>
      <c r="G3422" s="1075" t="s">
        <v>8</v>
      </c>
    </row>
    <row r="3423" spans="1:7" s="168" customFormat="1" ht="16.2" customHeight="1">
      <c r="A3423" s="947" t="s">
        <v>865</v>
      </c>
      <c r="B3423" s="1115"/>
      <c r="C3423" s="16" t="s">
        <v>3</v>
      </c>
      <c r="D3423" s="51">
        <v>3</v>
      </c>
      <c r="E3423" s="17">
        <f>+'INSUMOS ELÉCTRICOS'!E77</f>
        <v>37389.799999999996</v>
      </c>
      <c r="F3423" s="55">
        <f>D3423*E3423</f>
        <v>112169.4</v>
      </c>
      <c r="G3423" s="1075"/>
    </row>
    <row r="3424" spans="1:7" s="145" customFormat="1" ht="15.75" customHeight="1">
      <c r="A3424" s="947" t="s">
        <v>866</v>
      </c>
      <c r="B3424" s="1115"/>
      <c r="C3424" s="16" t="s">
        <v>3</v>
      </c>
      <c r="D3424" s="51">
        <v>1</v>
      </c>
      <c r="E3424" s="17">
        <f>+'INSUMOS ELÉCTRICOS'!E78</f>
        <v>21940.03</v>
      </c>
      <c r="F3424" s="55">
        <f>D3424*E3424</f>
        <v>21940.03</v>
      </c>
      <c r="G3424" s="1075"/>
    </row>
    <row r="3425" spans="1:7" s="145" customFormat="1" ht="15.75" customHeight="1">
      <c r="A3425" s="947" t="s">
        <v>867</v>
      </c>
      <c r="B3425" s="1115"/>
      <c r="C3425" s="16" t="s">
        <v>3</v>
      </c>
      <c r="D3425" s="51">
        <v>1</v>
      </c>
      <c r="E3425" s="17">
        <f>+'INSUMOS ELÉCTRICOS'!E79</f>
        <v>18683</v>
      </c>
      <c r="F3425" s="55">
        <f>D3425*E3425</f>
        <v>18683</v>
      </c>
      <c r="G3425" s="1075"/>
    </row>
    <row r="3426" spans="1:7" s="145" customFormat="1" ht="15.75" customHeight="1">
      <c r="A3426" s="947"/>
      <c r="B3426" s="1115"/>
      <c r="C3426" s="16"/>
      <c r="D3426" s="58"/>
      <c r="E3426" s="17"/>
      <c r="F3426" s="55"/>
      <c r="G3426" s="57">
        <f>SUM(F3422:F3426)</f>
        <v>152792.43</v>
      </c>
    </row>
    <row r="3427" spans="1:7" s="145" customFormat="1" ht="15.75" customHeight="1">
      <c r="A3427" s="1114" t="s">
        <v>15</v>
      </c>
      <c r="B3427" s="1115"/>
      <c r="C3427" s="1115"/>
      <c r="D3427" s="1115"/>
      <c r="E3427" s="1115"/>
      <c r="F3427" s="1115"/>
      <c r="G3427" s="1116"/>
    </row>
    <row r="3428" spans="1:7" s="145" customFormat="1" ht="15.75" customHeight="1">
      <c r="A3428" s="1074" t="s">
        <v>2</v>
      </c>
      <c r="B3428" s="1115"/>
      <c r="C3428" s="53" t="s">
        <v>3</v>
      </c>
      <c r="D3428" s="53" t="s">
        <v>4</v>
      </c>
      <c r="E3428" s="53" t="s">
        <v>6</v>
      </c>
      <c r="F3428" s="53" t="s">
        <v>11</v>
      </c>
      <c r="G3428" s="1075" t="s">
        <v>8</v>
      </c>
    </row>
    <row r="3429" spans="1:7" s="145" customFormat="1" ht="15.75" customHeight="1">
      <c r="A3429" s="947" t="s">
        <v>842</v>
      </c>
      <c r="B3429" s="1115"/>
      <c r="C3429" s="16" t="s">
        <v>3</v>
      </c>
      <c r="D3429" s="51">
        <v>8.0000000000000002E-3</v>
      </c>
      <c r="E3429" s="17">
        <f>G3426</f>
        <v>152792.43</v>
      </c>
      <c r="F3429" s="55">
        <f>D3429*E3429</f>
        <v>1222.33944</v>
      </c>
      <c r="G3429" s="1075"/>
    </row>
    <row r="3430" spans="1:7" s="145" customFormat="1" ht="15.75" customHeight="1">
      <c r="A3430" s="151"/>
      <c r="B3430" s="152"/>
      <c r="C3430" s="152"/>
      <c r="D3430" s="152"/>
      <c r="E3430" s="152"/>
      <c r="F3430" s="152"/>
      <c r="G3430" s="57">
        <f>SUM(F3429:F3430)</f>
        <v>1222.33944</v>
      </c>
    </row>
    <row r="3431" spans="1:7" s="145" customFormat="1" ht="33.75" customHeight="1">
      <c r="A3431" s="1114" t="s">
        <v>19</v>
      </c>
      <c r="B3431" s="1115"/>
      <c r="C3431" s="1115"/>
      <c r="D3431" s="1115"/>
      <c r="E3431" s="1115"/>
      <c r="F3431" s="1115"/>
      <c r="G3431" s="1116"/>
    </row>
    <row r="3432" spans="1:7" s="145" customFormat="1" ht="15.75" customHeight="1">
      <c r="A3432" s="1074" t="s">
        <v>2</v>
      </c>
      <c r="B3432" s="1115"/>
      <c r="C3432" s="53" t="s">
        <v>3</v>
      </c>
      <c r="D3432" s="53" t="s">
        <v>4</v>
      </c>
      <c r="E3432" s="53" t="s">
        <v>6</v>
      </c>
      <c r="F3432" s="53" t="s">
        <v>11</v>
      </c>
      <c r="G3432" s="1075" t="s">
        <v>8</v>
      </c>
    </row>
    <row r="3433" spans="1:7" s="145" customFormat="1" ht="15.75" customHeight="1">
      <c r="A3433" s="978" t="s">
        <v>1256</v>
      </c>
      <c r="B3433" s="979"/>
      <c r="C3433" s="13" t="s">
        <v>1245</v>
      </c>
      <c r="D3433" s="32">
        <v>0.2</v>
      </c>
      <c r="E3433" s="13">
        <v>20030</v>
      </c>
      <c r="F3433" s="55">
        <f>+D3433*E3433</f>
        <v>4006</v>
      </c>
      <c r="G3433" s="1116"/>
    </row>
    <row r="3434" spans="1:7" s="145" customFormat="1" ht="15.75" customHeight="1">
      <c r="A3434" s="155"/>
      <c r="B3434" s="156"/>
      <c r="C3434" s="156"/>
      <c r="D3434" s="156"/>
      <c r="E3434" s="156"/>
      <c r="F3434" s="156"/>
      <c r="G3434" s="57">
        <f>SUM(F3432:F3434)</f>
        <v>4006</v>
      </c>
    </row>
    <row r="3435" spans="1:7" s="145" customFormat="1" ht="24" customHeight="1">
      <c r="A3435" s="1119" t="s">
        <v>25</v>
      </c>
      <c r="B3435" s="1120"/>
      <c r="C3435" s="1120"/>
      <c r="D3435" s="1120"/>
      <c r="E3435" s="1120"/>
      <c r="F3435" s="1120"/>
      <c r="G3435" s="1121"/>
    </row>
    <row r="3436" spans="1:7" s="145" customFormat="1" ht="15.75" customHeight="1">
      <c r="A3436" s="1122"/>
      <c r="B3436" s="1120"/>
      <c r="C3436" s="1120"/>
      <c r="D3436" s="1120"/>
      <c r="E3436" s="1120"/>
      <c r="F3436" s="1120"/>
      <c r="G3436" s="157">
        <f>G3434+G3430+G3426+G3420</f>
        <v>158221.06943999999</v>
      </c>
    </row>
    <row r="3437" spans="1:7" s="145" customFormat="1" ht="24" customHeight="1">
      <c r="A3437" s="158"/>
      <c r="B3437" s="159"/>
      <c r="C3437" s="159"/>
      <c r="D3437" s="159"/>
      <c r="E3437" s="159"/>
      <c r="F3437" s="159"/>
      <c r="G3437" s="160"/>
    </row>
    <row r="3438" spans="1:7" s="145" customFormat="1" ht="15.6" customHeight="1">
      <c r="A3438" s="1123" t="s">
        <v>1</v>
      </c>
      <c r="B3438" s="1120"/>
      <c r="C3438" s="953" t="s">
        <v>594</v>
      </c>
      <c r="D3438" s="1125"/>
      <c r="E3438" s="1125"/>
      <c r="F3438" s="1125"/>
      <c r="G3438" s="1126"/>
    </row>
    <row r="3439" spans="1:7" s="145" customFormat="1" ht="15.75" customHeight="1">
      <c r="A3439" s="1124"/>
      <c r="B3439" s="1120"/>
      <c r="C3439" s="1125"/>
      <c r="D3439" s="1125"/>
      <c r="E3439" s="1125"/>
      <c r="F3439" s="1125"/>
      <c r="G3439" s="1126"/>
    </row>
    <row r="3440" spans="1:7" s="145" customFormat="1" ht="17.399999999999999">
      <c r="A3440" s="1124"/>
      <c r="B3440" s="1120"/>
      <c r="C3440" s="1127" t="s">
        <v>859</v>
      </c>
      <c r="D3440" s="1120"/>
      <c r="E3440" s="1120"/>
      <c r="F3440" s="1120"/>
      <c r="G3440" s="1121"/>
    </row>
    <row r="3441" spans="1:7" s="145" customFormat="1" ht="15.75" customHeight="1">
      <c r="A3441" s="1124"/>
      <c r="B3441" s="1120"/>
      <c r="C3441" s="1128" t="s">
        <v>2</v>
      </c>
      <c r="D3441" s="1120"/>
      <c r="E3441" s="1120"/>
      <c r="F3441" s="146" t="s">
        <v>3</v>
      </c>
      <c r="G3441" s="147" t="s">
        <v>4</v>
      </c>
    </row>
    <row r="3442" spans="1:7" s="145" customFormat="1" ht="34.799999999999997">
      <c r="A3442" s="1073" t="s">
        <v>868</v>
      </c>
      <c r="B3442" s="1115"/>
      <c r="C3442" s="980" t="s">
        <v>869</v>
      </c>
      <c r="D3442" s="1115"/>
      <c r="E3442" s="1115"/>
      <c r="F3442" s="162" t="s">
        <v>45</v>
      </c>
      <c r="G3442" s="52">
        <v>1</v>
      </c>
    </row>
    <row r="3443" spans="1:7" s="145" customFormat="1" ht="15.75" customHeight="1">
      <c r="A3443" s="1114" t="s">
        <v>5</v>
      </c>
      <c r="B3443" s="1115"/>
      <c r="C3443" s="1115"/>
      <c r="D3443" s="1115"/>
      <c r="E3443" s="1115"/>
      <c r="F3443" s="1115"/>
      <c r="G3443" s="1116"/>
    </row>
    <row r="3444" spans="1:7" s="145" customFormat="1" ht="15.75" customHeight="1">
      <c r="A3444" s="1074" t="s">
        <v>2</v>
      </c>
      <c r="B3444" s="1115"/>
      <c r="C3444" s="53" t="s">
        <v>3</v>
      </c>
      <c r="D3444" s="53" t="s">
        <v>4</v>
      </c>
      <c r="E3444" s="53" t="s">
        <v>6</v>
      </c>
      <c r="F3444" s="53" t="s">
        <v>7</v>
      </c>
      <c r="G3444" s="1075" t="s">
        <v>8</v>
      </c>
    </row>
    <row r="3445" spans="1:7" s="145" customFormat="1" ht="15.75" customHeight="1">
      <c r="A3445" s="947" t="s">
        <v>167</v>
      </c>
      <c r="B3445" s="1115"/>
      <c r="C3445" s="51" t="s">
        <v>3</v>
      </c>
      <c r="D3445" s="51">
        <v>0.05</v>
      </c>
      <c r="E3445" s="17">
        <f>G3459</f>
        <v>4006</v>
      </c>
      <c r="F3445" s="55">
        <f>D3445*E3445</f>
        <v>200.3</v>
      </c>
      <c r="G3445" s="1116"/>
    </row>
    <row r="3446" spans="1:7" s="145" customFormat="1" ht="15.75" customHeight="1">
      <c r="A3446" s="943"/>
      <c r="B3446" s="1115"/>
      <c r="C3446" s="51"/>
      <c r="D3446" s="51"/>
      <c r="E3446" s="51"/>
      <c r="F3446" s="55"/>
      <c r="G3446" s="57">
        <f>SUM(F3444:F3446)</f>
        <v>200.3</v>
      </c>
    </row>
    <row r="3447" spans="1:7" s="167" customFormat="1" ht="30.6" customHeight="1">
      <c r="A3447" s="1114" t="s">
        <v>10</v>
      </c>
      <c r="B3447" s="1115"/>
      <c r="C3447" s="1115"/>
      <c r="D3447" s="1115"/>
      <c r="E3447" s="1115"/>
      <c r="F3447" s="1115"/>
      <c r="G3447" s="1116"/>
    </row>
    <row r="3448" spans="1:7" s="167" customFormat="1" ht="16.2" customHeight="1">
      <c r="A3448" s="1074" t="s">
        <v>2</v>
      </c>
      <c r="B3448" s="1115"/>
      <c r="C3448" s="53" t="s">
        <v>3</v>
      </c>
      <c r="D3448" s="53" t="s">
        <v>4</v>
      </c>
      <c r="E3448" s="53" t="s">
        <v>6</v>
      </c>
      <c r="F3448" s="53" t="s">
        <v>11</v>
      </c>
      <c r="G3448" s="1075" t="s">
        <v>8</v>
      </c>
    </row>
    <row r="3449" spans="1:7" s="167" customFormat="1" ht="16.2" customHeight="1">
      <c r="A3449" s="947" t="s">
        <v>867</v>
      </c>
      <c r="B3449" s="1115"/>
      <c r="C3449" s="16" t="s">
        <v>3</v>
      </c>
      <c r="D3449" s="51">
        <v>4</v>
      </c>
      <c r="E3449" s="17">
        <f>+'INSUMOS ELÉCTRICOS'!E79</f>
        <v>18683</v>
      </c>
      <c r="F3449" s="55">
        <f>D3449*E3449</f>
        <v>74732</v>
      </c>
      <c r="G3449" s="1075"/>
    </row>
    <row r="3450" spans="1:7" s="145" customFormat="1" ht="15.75" customHeight="1">
      <c r="A3450" s="947" t="s">
        <v>870</v>
      </c>
      <c r="B3450" s="1115"/>
      <c r="C3450" s="16" t="s">
        <v>3</v>
      </c>
      <c r="D3450" s="51">
        <v>1</v>
      </c>
      <c r="E3450" s="17">
        <f>+'INSUMOS ELÉCTRICOS'!E80</f>
        <v>10402.98</v>
      </c>
      <c r="F3450" s="55">
        <f>D3450*E3450</f>
        <v>10402.98</v>
      </c>
      <c r="G3450" s="1075"/>
    </row>
    <row r="3451" spans="1:7" s="145" customFormat="1" ht="15.75" customHeight="1">
      <c r="A3451" s="947"/>
      <c r="B3451" s="1115"/>
      <c r="C3451" s="16"/>
      <c r="D3451" s="58"/>
      <c r="E3451" s="17"/>
      <c r="F3451" s="55"/>
      <c r="G3451" s="57">
        <f>SUM(F3448:F3451)</f>
        <v>85134.98</v>
      </c>
    </row>
    <row r="3452" spans="1:7" s="145" customFormat="1" ht="15.75" customHeight="1">
      <c r="A3452" s="1114" t="s">
        <v>15</v>
      </c>
      <c r="B3452" s="1115"/>
      <c r="C3452" s="1115"/>
      <c r="D3452" s="1115"/>
      <c r="E3452" s="1115"/>
      <c r="F3452" s="1115"/>
      <c r="G3452" s="1116"/>
    </row>
    <row r="3453" spans="1:7" s="150" customFormat="1" ht="15.75" customHeight="1">
      <c r="A3453" s="1074" t="s">
        <v>2</v>
      </c>
      <c r="B3453" s="1115"/>
      <c r="C3453" s="53" t="s">
        <v>3</v>
      </c>
      <c r="D3453" s="53" t="s">
        <v>4</v>
      </c>
      <c r="E3453" s="53" t="s">
        <v>6</v>
      </c>
      <c r="F3453" s="53" t="s">
        <v>11</v>
      </c>
      <c r="G3453" s="1075" t="s">
        <v>8</v>
      </c>
    </row>
    <row r="3454" spans="1:7" s="145" customFormat="1" ht="15.75" customHeight="1">
      <c r="A3454" s="947" t="s">
        <v>842</v>
      </c>
      <c r="B3454" s="1115"/>
      <c r="C3454" s="16" t="s">
        <v>3</v>
      </c>
      <c r="D3454" s="51">
        <v>1.7999999999999999E-2</v>
      </c>
      <c r="E3454" s="17">
        <f>G3451</f>
        <v>85134.98</v>
      </c>
      <c r="F3454" s="55">
        <f>D3454*E3454</f>
        <v>1532.4296399999998</v>
      </c>
      <c r="G3454" s="1075"/>
    </row>
    <row r="3455" spans="1:7" s="145" customFormat="1" ht="15.75" customHeight="1">
      <c r="A3455" s="151"/>
      <c r="B3455" s="152"/>
      <c r="C3455" s="152"/>
      <c r="D3455" s="152"/>
      <c r="E3455" s="152"/>
      <c r="F3455" s="152"/>
      <c r="G3455" s="57">
        <f>SUM(F3454:F3455)</f>
        <v>1532.4296399999998</v>
      </c>
    </row>
    <row r="3456" spans="1:7" s="145" customFormat="1" ht="15.75" customHeight="1">
      <c r="A3456" s="1114" t="s">
        <v>19</v>
      </c>
      <c r="B3456" s="1115"/>
      <c r="C3456" s="1115"/>
      <c r="D3456" s="1115"/>
      <c r="E3456" s="1115"/>
      <c r="F3456" s="1115"/>
      <c r="G3456" s="1116"/>
    </row>
    <row r="3457" spans="1:7" s="2" customFormat="1" ht="15.75" customHeight="1">
      <c r="A3457" s="1074" t="s">
        <v>2</v>
      </c>
      <c r="B3457" s="1115"/>
      <c r="C3457" s="53" t="s">
        <v>3</v>
      </c>
      <c r="D3457" s="53" t="s">
        <v>4</v>
      </c>
      <c r="E3457" s="53" t="s">
        <v>6</v>
      </c>
      <c r="F3457" s="53" t="s">
        <v>11</v>
      </c>
      <c r="G3457" s="1075" t="s">
        <v>8</v>
      </c>
    </row>
    <row r="3458" spans="1:7" s="145" customFormat="1" ht="15.75" customHeight="1">
      <c r="A3458" s="978" t="s">
        <v>1256</v>
      </c>
      <c r="B3458" s="979"/>
      <c r="C3458" s="13" t="s">
        <v>1245</v>
      </c>
      <c r="D3458" s="32">
        <v>0.2</v>
      </c>
      <c r="E3458" s="13">
        <v>20030</v>
      </c>
      <c r="F3458" s="55">
        <f>+D3458*E3458</f>
        <v>4006</v>
      </c>
      <c r="G3458" s="1116"/>
    </row>
    <row r="3459" spans="1:7" s="145" customFormat="1" ht="15.75" customHeight="1">
      <c r="A3459" s="155"/>
      <c r="B3459" s="156"/>
      <c r="C3459" s="156"/>
      <c r="D3459" s="156"/>
      <c r="E3459" s="156"/>
      <c r="F3459" s="156"/>
      <c r="G3459" s="57">
        <f>SUM(F3457:F3459)</f>
        <v>4006</v>
      </c>
    </row>
    <row r="3460" spans="1:7" s="145" customFormat="1" ht="15.75" customHeight="1">
      <c r="A3460" s="1119" t="s">
        <v>25</v>
      </c>
      <c r="B3460" s="1120"/>
      <c r="C3460" s="1120"/>
      <c r="D3460" s="1120"/>
      <c r="E3460" s="1120"/>
      <c r="F3460" s="1120"/>
      <c r="G3460" s="1121"/>
    </row>
    <row r="3461" spans="1:7" s="145" customFormat="1" ht="15" customHeight="1">
      <c r="A3461" s="1122"/>
      <c r="B3461" s="1120"/>
      <c r="C3461" s="1120"/>
      <c r="D3461" s="1120"/>
      <c r="E3461" s="1120"/>
      <c r="F3461" s="1120"/>
      <c r="G3461" s="157">
        <f>G3459+G3455+G3451+G3446</f>
        <v>90873.709640000001</v>
      </c>
    </row>
    <row r="3462" spans="1:7" s="145" customFormat="1" ht="15.75" customHeight="1">
      <c r="A3462" s="158"/>
      <c r="B3462" s="159"/>
      <c r="C3462" s="159"/>
      <c r="D3462" s="159"/>
      <c r="E3462" s="159"/>
      <c r="F3462" s="159"/>
      <c r="G3462" s="160"/>
    </row>
    <row r="3463" spans="1:7" s="145" customFormat="1" ht="24" customHeight="1">
      <c r="A3463" s="1123" t="s">
        <v>1</v>
      </c>
      <c r="B3463" s="1120"/>
      <c r="C3463" s="953" t="s">
        <v>594</v>
      </c>
      <c r="D3463" s="1125"/>
      <c r="E3463" s="1125"/>
      <c r="F3463" s="1125"/>
      <c r="G3463" s="1126"/>
    </row>
    <row r="3464" spans="1:7" s="145" customFormat="1" ht="15.6" customHeight="1">
      <c r="A3464" s="1124"/>
      <c r="B3464" s="1120"/>
      <c r="C3464" s="1125"/>
      <c r="D3464" s="1125"/>
      <c r="E3464" s="1125"/>
      <c r="F3464" s="1125"/>
      <c r="G3464" s="1126"/>
    </row>
    <row r="3465" spans="1:7" s="145" customFormat="1" ht="15.75" customHeight="1">
      <c r="A3465" s="1124"/>
      <c r="B3465" s="1120"/>
      <c r="C3465" s="1127" t="s">
        <v>859</v>
      </c>
      <c r="D3465" s="1120"/>
      <c r="E3465" s="1120"/>
      <c r="F3465" s="1120"/>
      <c r="G3465" s="1121"/>
    </row>
    <row r="3466" spans="1:7" s="145" customFormat="1" ht="13.8">
      <c r="A3466" s="1124"/>
      <c r="B3466" s="1120"/>
      <c r="C3466" s="1128" t="s">
        <v>2</v>
      </c>
      <c r="D3466" s="1120"/>
      <c r="E3466" s="1120"/>
      <c r="F3466" s="146" t="s">
        <v>3</v>
      </c>
      <c r="G3466" s="147" t="s">
        <v>4</v>
      </c>
    </row>
    <row r="3467" spans="1:7" s="145" customFormat="1" ht="35.25" customHeight="1">
      <c r="A3467" s="1073" t="s">
        <v>871</v>
      </c>
      <c r="B3467" s="1115"/>
      <c r="C3467" s="980" t="s">
        <v>872</v>
      </c>
      <c r="D3467" s="1115"/>
      <c r="E3467" s="1115"/>
      <c r="F3467" s="162" t="s">
        <v>45</v>
      </c>
      <c r="G3467" s="52">
        <v>1</v>
      </c>
    </row>
    <row r="3468" spans="1:7" s="145" customFormat="1" ht="15.75" customHeight="1">
      <c r="A3468" s="1114" t="s">
        <v>5</v>
      </c>
      <c r="B3468" s="1115"/>
      <c r="C3468" s="1115"/>
      <c r="D3468" s="1115"/>
      <c r="E3468" s="1115"/>
      <c r="F3468" s="1115"/>
      <c r="G3468" s="1116"/>
    </row>
    <row r="3469" spans="1:7" s="145" customFormat="1" ht="15.75" customHeight="1">
      <c r="A3469" s="1074" t="s">
        <v>2</v>
      </c>
      <c r="B3469" s="1115"/>
      <c r="C3469" s="53" t="s">
        <v>3</v>
      </c>
      <c r="D3469" s="53" t="s">
        <v>4</v>
      </c>
      <c r="E3469" s="53" t="s">
        <v>6</v>
      </c>
      <c r="F3469" s="53" t="s">
        <v>7</v>
      </c>
      <c r="G3469" s="1075" t="s">
        <v>8</v>
      </c>
    </row>
    <row r="3470" spans="1:7" s="145" customFormat="1" ht="15.75" customHeight="1">
      <c r="A3470" s="947" t="s">
        <v>167</v>
      </c>
      <c r="B3470" s="1115"/>
      <c r="C3470" s="51" t="s">
        <v>3</v>
      </c>
      <c r="D3470" s="51">
        <v>0.05</v>
      </c>
      <c r="E3470" s="17">
        <f>G3486</f>
        <v>4006</v>
      </c>
      <c r="F3470" s="55">
        <f>D3470*E3470</f>
        <v>200.3</v>
      </c>
      <c r="G3470" s="1116"/>
    </row>
    <row r="3471" spans="1:7" s="145" customFormat="1" ht="15.75" customHeight="1">
      <c r="A3471" s="943"/>
      <c r="B3471" s="1115"/>
      <c r="C3471" s="51"/>
      <c r="D3471" s="51"/>
      <c r="E3471" s="51"/>
      <c r="F3471" s="55"/>
      <c r="G3471" s="57">
        <f>SUM(F3469:F3471)</f>
        <v>200.3</v>
      </c>
    </row>
    <row r="3472" spans="1:7" s="145" customFormat="1" ht="15.75" customHeight="1">
      <c r="A3472" s="1114" t="s">
        <v>10</v>
      </c>
      <c r="B3472" s="1115"/>
      <c r="C3472" s="1115"/>
      <c r="D3472" s="1115"/>
      <c r="E3472" s="1115"/>
      <c r="F3472" s="1115"/>
      <c r="G3472" s="1116"/>
    </row>
    <row r="3473" spans="1:7" s="167" customFormat="1" ht="30.6" customHeight="1">
      <c r="A3473" s="1074" t="s">
        <v>2</v>
      </c>
      <c r="B3473" s="1115"/>
      <c r="C3473" s="53" t="s">
        <v>3</v>
      </c>
      <c r="D3473" s="53" t="s">
        <v>4</v>
      </c>
      <c r="E3473" s="53" t="s">
        <v>6</v>
      </c>
      <c r="F3473" s="53" t="s">
        <v>11</v>
      </c>
      <c r="G3473" s="1075" t="s">
        <v>8</v>
      </c>
    </row>
    <row r="3474" spans="1:7" s="167" customFormat="1" ht="16.2" customHeight="1">
      <c r="A3474" s="947" t="s">
        <v>873</v>
      </c>
      <c r="B3474" s="1115"/>
      <c r="C3474" s="16" t="s">
        <v>622</v>
      </c>
      <c r="D3474" s="51">
        <v>1</v>
      </c>
      <c r="E3474" s="17">
        <f>+'INSUMOS ELÉCTRICOS'!E76</f>
        <v>51830.45</v>
      </c>
      <c r="F3474" s="55">
        <f>D3474*E3474</f>
        <v>51830.45</v>
      </c>
      <c r="G3474" s="1075"/>
    </row>
    <row r="3475" spans="1:7" s="145" customFormat="1" ht="15.75" customHeight="1">
      <c r="A3475" s="947" t="s">
        <v>874</v>
      </c>
      <c r="B3475" s="1115"/>
      <c r="C3475" s="16" t="s">
        <v>622</v>
      </c>
      <c r="D3475" s="51">
        <v>3</v>
      </c>
      <c r="E3475" s="17">
        <f>+'INSUMOS ELÉCTRICOS'!E75</f>
        <v>54600</v>
      </c>
      <c r="F3475" s="55">
        <f>D3475*E3475</f>
        <v>163800</v>
      </c>
      <c r="G3475" s="1075"/>
    </row>
    <row r="3476" spans="1:7" s="145" customFormat="1" ht="15.75" customHeight="1">
      <c r="A3476" s="947" t="s">
        <v>875</v>
      </c>
      <c r="B3476" s="1115"/>
      <c r="C3476" s="16" t="s">
        <v>622</v>
      </c>
      <c r="D3476" s="51">
        <v>1</v>
      </c>
      <c r="E3476" s="17">
        <f>+'INSUMOS ELÉCTRICOS'!E77</f>
        <v>37389.799999999996</v>
      </c>
      <c r="F3476" s="55">
        <f>D3476*E3476</f>
        <v>37389.799999999996</v>
      </c>
      <c r="G3476" s="1075"/>
    </row>
    <row r="3477" spans="1:7" s="145" customFormat="1" ht="15.75" customHeight="1">
      <c r="A3477" s="947"/>
      <c r="B3477" s="1115"/>
      <c r="C3477" s="16"/>
      <c r="D3477" s="51"/>
      <c r="E3477" s="17"/>
      <c r="F3477" s="55"/>
      <c r="G3477" s="57">
        <f>SUM(F3473:F3477)</f>
        <v>253020.25</v>
      </c>
    </row>
    <row r="3478" spans="1:7" s="150" customFormat="1" ht="15.75" customHeight="1">
      <c r="A3478" s="1114" t="s">
        <v>15</v>
      </c>
      <c r="B3478" s="1115"/>
      <c r="C3478" s="1115"/>
      <c r="D3478" s="1115"/>
      <c r="E3478" s="1115"/>
      <c r="F3478" s="1115"/>
      <c r="G3478" s="1116"/>
    </row>
    <row r="3479" spans="1:7" s="145" customFormat="1" ht="15.75" customHeight="1">
      <c r="A3479" s="1074" t="s">
        <v>2</v>
      </c>
      <c r="B3479" s="1115"/>
      <c r="C3479" s="53" t="s">
        <v>3</v>
      </c>
      <c r="D3479" s="53" t="s">
        <v>4</v>
      </c>
      <c r="E3479" s="53" t="s">
        <v>6</v>
      </c>
      <c r="F3479" s="53" t="s">
        <v>11</v>
      </c>
      <c r="G3479" s="1075" t="s">
        <v>8</v>
      </c>
    </row>
    <row r="3480" spans="1:7" s="145" customFormat="1" ht="15.75" customHeight="1">
      <c r="A3480" s="947" t="s">
        <v>842</v>
      </c>
      <c r="B3480" s="1115"/>
      <c r="C3480" s="16" t="s">
        <v>3</v>
      </c>
      <c r="D3480" s="51">
        <v>0.01</v>
      </c>
      <c r="E3480" s="17">
        <f>G3477</f>
        <v>253020.25</v>
      </c>
      <c r="F3480" s="55">
        <f>D3480*E3480</f>
        <v>2530.2024999999999</v>
      </c>
      <c r="G3480" s="1116"/>
    </row>
    <row r="3481" spans="1:7" s="145" customFormat="1" ht="15.75" customHeight="1">
      <c r="A3481" s="151"/>
      <c r="B3481" s="152"/>
      <c r="C3481" s="152"/>
      <c r="D3481" s="152"/>
      <c r="E3481" s="152"/>
      <c r="F3481" s="152"/>
      <c r="G3481" s="57">
        <f>SUM(F3480:F3481)</f>
        <v>2530.2024999999999</v>
      </c>
    </row>
    <row r="3482" spans="1:7" s="2" customFormat="1" ht="15.75" customHeight="1">
      <c r="A3482" s="1114" t="s">
        <v>19</v>
      </c>
      <c r="B3482" s="1115"/>
      <c r="C3482" s="1115"/>
      <c r="D3482" s="1115"/>
      <c r="E3482" s="1115"/>
      <c r="F3482" s="1115"/>
      <c r="G3482" s="1116"/>
    </row>
    <row r="3483" spans="1:7" s="145" customFormat="1" ht="15.75" customHeight="1">
      <c r="A3483" s="1074" t="s">
        <v>2</v>
      </c>
      <c r="B3483" s="1115"/>
      <c r="C3483" s="53" t="s">
        <v>3</v>
      </c>
      <c r="D3483" s="53" t="s">
        <v>4</v>
      </c>
      <c r="E3483" s="53" t="s">
        <v>6</v>
      </c>
      <c r="F3483" s="53" t="s">
        <v>11</v>
      </c>
      <c r="G3483" s="1075" t="s">
        <v>8</v>
      </c>
    </row>
    <row r="3484" spans="1:7" s="145" customFormat="1" ht="15.75" customHeight="1">
      <c r="A3484" s="978" t="s">
        <v>1256</v>
      </c>
      <c r="B3484" s="979"/>
      <c r="C3484" s="13" t="s">
        <v>1245</v>
      </c>
      <c r="D3484" s="32">
        <v>0.2</v>
      </c>
      <c r="E3484" s="13">
        <v>20030</v>
      </c>
      <c r="F3484" s="55">
        <f>+D3484*E3484</f>
        <v>4006</v>
      </c>
      <c r="G3484" s="1116"/>
    </row>
    <row r="3485" spans="1:7" s="145" customFormat="1" ht="15.75" customHeight="1">
      <c r="A3485" s="151"/>
      <c r="B3485" s="165"/>
      <c r="C3485" s="156"/>
      <c r="D3485" s="156"/>
      <c r="E3485" s="166"/>
      <c r="F3485" s="165"/>
      <c r="G3485" s="1116"/>
    </row>
    <row r="3486" spans="1:7" s="145" customFormat="1" ht="15" customHeight="1">
      <c r="A3486" s="155"/>
      <c r="B3486" s="156"/>
      <c r="C3486" s="156"/>
      <c r="D3486" s="156"/>
      <c r="E3486" s="156"/>
      <c r="F3486" s="156"/>
      <c r="G3486" s="57">
        <f>SUM(F3483:F3486)</f>
        <v>4006</v>
      </c>
    </row>
    <row r="3487" spans="1:7" s="145" customFormat="1" ht="15.75" customHeight="1">
      <c r="A3487" s="1119" t="s">
        <v>25</v>
      </c>
      <c r="B3487" s="1120"/>
      <c r="C3487" s="1120"/>
      <c r="D3487" s="1120"/>
      <c r="E3487" s="1120"/>
      <c r="F3487" s="1120"/>
      <c r="G3487" s="1121"/>
    </row>
    <row r="3488" spans="1:7" s="145" customFormat="1" ht="17.399999999999999">
      <c r="A3488" s="1122"/>
      <c r="B3488" s="1120"/>
      <c r="C3488" s="1120"/>
      <c r="D3488" s="1120"/>
      <c r="E3488" s="1120"/>
      <c r="F3488" s="1120"/>
      <c r="G3488" s="157">
        <f>G3486+G3481+G3477+G3471</f>
        <v>259756.7525</v>
      </c>
    </row>
    <row r="3489" spans="1:7" s="145" customFormat="1" ht="15.6" customHeight="1">
      <c r="A3489" s="158"/>
      <c r="B3489" s="159"/>
      <c r="C3489" s="159"/>
      <c r="D3489" s="159"/>
      <c r="E3489" s="159"/>
      <c r="F3489" s="159"/>
      <c r="G3489" s="160"/>
    </row>
    <row r="3490" spans="1:7" s="145" customFormat="1" ht="15.75" customHeight="1">
      <c r="A3490" s="1123" t="s">
        <v>1</v>
      </c>
      <c r="B3490" s="1120"/>
      <c r="C3490" s="953" t="s">
        <v>594</v>
      </c>
      <c r="D3490" s="1125"/>
      <c r="E3490" s="1125"/>
      <c r="F3490" s="1125"/>
      <c r="G3490" s="1126"/>
    </row>
    <row r="3491" spans="1:7" s="145" customFormat="1" ht="36" customHeight="1">
      <c r="A3491" s="1124"/>
      <c r="B3491" s="1120"/>
      <c r="C3491" s="1125"/>
      <c r="D3491" s="1125"/>
      <c r="E3491" s="1125"/>
      <c r="F3491" s="1125"/>
      <c r="G3491" s="1126"/>
    </row>
    <row r="3492" spans="1:7" s="145" customFormat="1" ht="15.75" customHeight="1">
      <c r="A3492" s="1124"/>
      <c r="B3492" s="1120"/>
      <c r="C3492" s="1127" t="s">
        <v>859</v>
      </c>
      <c r="D3492" s="1120"/>
      <c r="E3492" s="1120"/>
      <c r="F3492" s="1120"/>
      <c r="G3492" s="1121"/>
    </row>
    <row r="3493" spans="1:7" s="145" customFormat="1" ht="15.75" customHeight="1">
      <c r="A3493" s="1124"/>
      <c r="B3493" s="1120"/>
      <c r="C3493" s="1128" t="s">
        <v>2</v>
      </c>
      <c r="D3493" s="1120"/>
      <c r="E3493" s="1120"/>
      <c r="F3493" s="146" t="s">
        <v>3</v>
      </c>
      <c r="G3493" s="147" t="s">
        <v>4</v>
      </c>
    </row>
    <row r="3494" spans="1:7" s="145" customFormat="1" ht="35.25" customHeight="1">
      <c r="A3494" s="1073" t="s">
        <v>876</v>
      </c>
      <c r="B3494" s="1115"/>
      <c r="C3494" s="980" t="s">
        <v>877</v>
      </c>
      <c r="D3494" s="1115"/>
      <c r="E3494" s="1115"/>
      <c r="F3494" s="162" t="s">
        <v>45</v>
      </c>
      <c r="G3494" s="52">
        <v>1</v>
      </c>
    </row>
    <row r="3495" spans="1:7" s="145" customFormat="1" ht="15.75" customHeight="1">
      <c r="A3495" s="1114" t="s">
        <v>5</v>
      </c>
      <c r="B3495" s="1115"/>
      <c r="C3495" s="1115"/>
      <c r="D3495" s="1115"/>
      <c r="E3495" s="1115"/>
      <c r="F3495" s="1115"/>
      <c r="G3495" s="1116"/>
    </row>
    <row r="3496" spans="1:7" s="145" customFormat="1" ht="15.75" customHeight="1">
      <c r="A3496" s="1074" t="s">
        <v>2</v>
      </c>
      <c r="B3496" s="1115"/>
      <c r="C3496" s="53" t="s">
        <v>3</v>
      </c>
      <c r="D3496" s="53" t="s">
        <v>4</v>
      </c>
      <c r="E3496" s="53" t="s">
        <v>6</v>
      </c>
      <c r="F3496" s="53" t="s">
        <v>7</v>
      </c>
      <c r="G3496" s="1075" t="s">
        <v>8</v>
      </c>
    </row>
    <row r="3497" spans="1:7" s="145" customFormat="1" ht="15.75" customHeight="1">
      <c r="A3497" s="947" t="s">
        <v>167</v>
      </c>
      <c r="B3497" s="1115"/>
      <c r="C3497" s="51" t="s">
        <v>3</v>
      </c>
      <c r="D3497" s="51">
        <v>0.05</v>
      </c>
      <c r="E3497" s="17">
        <f>G3511</f>
        <v>4006</v>
      </c>
      <c r="F3497" s="55">
        <f>D3497*E3497</f>
        <v>200.3</v>
      </c>
      <c r="G3497" s="1116"/>
    </row>
    <row r="3498" spans="1:7" s="167" customFormat="1" ht="30.6" customHeight="1">
      <c r="A3498" s="943"/>
      <c r="B3498" s="1115"/>
      <c r="C3498" s="51"/>
      <c r="D3498" s="51"/>
      <c r="E3498" s="51"/>
      <c r="F3498" s="55"/>
      <c r="G3498" s="57">
        <f>SUM(F3496:F3498)</f>
        <v>200.3</v>
      </c>
    </row>
    <row r="3499" spans="1:7" s="167" customFormat="1" ht="13.8">
      <c r="A3499" s="1114" t="s">
        <v>10</v>
      </c>
      <c r="B3499" s="1115"/>
      <c r="C3499" s="1115"/>
      <c r="D3499" s="1115"/>
      <c r="E3499" s="1115"/>
      <c r="F3499" s="1115"/>
      <c r="G3499" s="1116"/>
    </row>
    <row r="3500" spans="1:7" s="167" customFormat="1" ht="16.2" customHeight="1">
      <c r="A3500" s="1074" t="s">
        <v>2</v>
      </c>
      <c r="B3500" s="1115"/>
      <c r="C3500" s="53" t="s">
        <v>3</v>
      </c>
      <c r="D3500" s="53" t="s">
        <v>4</v>
      </c>
      <c r="E3500" s="53" t="s">
        <v>6</v>
      </c>
      <c r="F3500" s="53" t="s">
        <v>11</v>
      </c>
      <c r="G3500" s="1075" t="s">
        <v>8</v>
      </c>
    </row>
    <row r="3501" spans="1:7" s="145" customFormat="1" ht="15.75" customHeight="1">
      <c r="A3501" s="947" t="s">
        <v>866</v>
      </c>
      <c r="B3501" s="1115"/>
      <c r="C3501" s="16" t="s">
        <v>622</v>
      </c>
      <c r="D3501" s="51">
        <v>4</v>
      </c>
      <c r="E3501" s="631">
        <f>+'INSUMOS ELÉCTRICOS'!E78</f>
        <v>21940.03</v>
      </c>
      <c r="F3501" s="55">
        <f>D3501*E3501</f>
        <v>87760.12</v>
      </c>
      <c r="G3501" s="1075"/>
    </row>
    <row r="3502" spans="1:7" s="145" customFormat="1" ht="15.75" customHeight="1">
      <c r="A3502" s="947" t="s">
        <v>867</v>
      </c>
      <c r="B3502" s="1115"/>
      <c r="C3502" s="16" t="s">
        <v>622</v>
      </c>
      <c r="D3502" s="51">
        <v>1</v>
      </c>
      <c r="E3502" s="17">
        <f>+'INSUMOS ELÉCTRICOS'!E79</f>
        <v>18683</v>
      </c>
      <c r="F3502" s="55">
        <f>D3502*E3502</f>
        <v>18683</v>
      </c>
      <c r="G3502" s="1075"/>
    </row>
    <row r="3503" spans="1:7" s="145" customFormat="1" ht="15.75" customHeight="1">
      <c r="A3503" s="947"/>
      <c r="B3503" s="1115"/>
      <c r="C3503" s="16"/>
      <c r="D3503" s="58"/>
      <c r="E3503" s="17"/>
      <c r="F3503" s="55">
        <f>E3503*D3503</f>
        <v>0</v>
      </c>
      <c r="G3503" s="57">
        <f>SUM(F3500:F3503)</f>
        <v>106443.12</v>
      </c>
    </row>
    <row r="3504" spans="1:7" s="150" customFormat="1" ht="15.75" customHeight="1">
      <c r="A3504" s="1114" t="s">
        <v>15</v>
      </c>
      <c r="B3504" s="1115"/>
      <c r="C3504" s="1115"/>
      <c r="D3504" s="1115"/>
      <c r="E3504" s="1115"/>
      <c r="F3504" s="1115"/>
      <c r="G3504" s="1116"/>
    </row>
    <row r="3505" spans="1:7" s="145" customFormat="1" ht="15.75" customHeight="1">
      <c r="A3505" s="1074" t="s">
        <v>2</v>
      </c>
      <c r="B3505" s="1115"/>
      <c r="C3505" s="53" t="s">
        <v>3</v>
      </c>
      <c r="D3505" s="53" t="s">
        <v>4</v>
      </c>
      <c r="E3505" s="53" t="s">
        <v>6</v>
      </c>
      <c r="F3505" s="53" t="s">
        <v>11</v>
      </c>
      <c r="G3505" s="1075" t="s">
        <v>8</v>
      </c>
    </row>
    <row r="3506" spans="1:7" s="145" customFormat="1" ht="15.75" customHeight="1">
      <c r="A3506" s="947" t="s">
        <v>842</v>
      </c>
      <c r="B3506" s="1115"/>
      <c r="C3506" s="16" t="s">
        <v>3</v>
      </c>
      <c r="D3506" s="51">
        <v>0.01</v>
      </c>
      <c r="E3506" s="17">
        <f>G3503</f>
        <v>106443.12</v>
      </c>
      <c r="F3506" s="55">
        <f>D3506*E3506</f>
        <v>1064.4312</v>
      </c>
      <c r="G3506" s="1116"/>
    </row>
    <row r="3507" spans="1:7" s="145" customFormat="1" ht="15.75" customHeight="1">
      <c r="A3507" s="151"/>
      <c r="B3507" s="152"/>
      <c r="C3507" s="152"/>
      <c r="D3507" s="152"/>
      <c r="E3507" s="152"/>
      <c r="F3507" s="152"/>
      <c r="G3507" s="57">
        <f>SUM(F3506:F3507)</f>
        <v>1064.4312</v>
      </c>
    </row>
    <row r="3508" spans="1:7" s="2" customFormat="1" ht="15.75" customHeight="1">
      <c r="A3508" s="1114" t="s">
        <v>19</v>
      </c>
      <c r="B3508" s="1115"/>
      <c r="C3508" s="1115"/>
      <c r="D3508" s="1115"/>
      <c r="E3508" s="1115"/>
      <c r="F3508" s="1115"/>
      <c r="G3508" s="1116"/>
    </row>
    <row r="3509" spans="1:7" s="145" customFormat="1" ht="15.75" customHeight="1">
      <c r="A3509" s="1074" t="s">
        <v>2</v>
      </c>
      <c r="B3509" s="1115"/>
      <c r="C3509" s="53" t="s">
        <v>3</v>
      </c>
      <c r="D3509" s="53" t="s">
        <v>4</v>
      </c>
      <c r="E3509" s="53" t="s">
        <v>6</v>
      </c>
      <c r="F3509" s="53" t="s">
        <v>11</v>
      </c>
      <c r="G3509" s="1075" t="s">
        <v>8</v>
      </c>
    </row>
    <row r="3510" spans="1:7" s="145" customFormat="1" ht="15.75" customHeight="1">
      <c r="A3510" s="978" t="s">
        <v>1256</v>
      </c>
      <c r="B3510" s="979"/>
      <c r="C3510" s="13" t="s">
        <v>1245</v>
      </c>
      <c r="D3510" s="32">
        <v>0.2</v>
      </c>
      <c r="E3510" s="13">
        <v>20030</v>
      </c>
      <c r="F3510" s="55">
        <f>+D3510*E3510</f>
        <v>4006</v>
      </c>
      <c r="G3510" s="1116"/>
    </row>
    <row r="3511" spans="1:7" s="145" customFormat="1" ht="15.75" customHeight="1">
      <c r="A3511" s="155"/>
      <c r="B3511" s="156"/>
      <c r="C3511" s="156"/>
      <c r="D3511" s="156"/>
      <c r="E3511" s="156"/>
      <c r="F3511" s="156"/>
      <c r="G3511" s="57">
        <f>SUM(F3509:F3511)</f>
        <v>4006</v>
      </c>
    </row>
    <row r="3512" spans="1:7" s="145" customFormat="1" ht="15.75" customHeight="1">
      <c r="A3512" s="1119" t="s">
        <v>25</v>
      </c>
      <c r="B3512" s="1120"/>
      <c r="C3512" s="1120"/>
      <c r="D3512" s="1120"/>
      <c r="E3512" s="1120"/>
      <c r="F3512" s="1120"/>
      <c r="G3512" s="1121"/>
    </row>
    <row r="3513" spans="1:7" s="145" customFormat="1" ht="15" customHeight="1">
      <c r="A3513" s="1122"/>
      <c r="B3513" s="1120"/>
      <c r="C3513" s="1120"/>
      <c r="D3513" s="1120"/>
      <c r="E3513" s="1120"/>
      <c r="F3513" s="1120"/>
      <c r="G3513" s="157">
        <f>G3511+G3507+G3503+G3498</f>
        <v>111713.8512</v>
      </c>
    </row>
    <row r="3514" spans="1:7" s="145" customFormat="1" ht="15.75" customHeight="1">
      <c r="A3514" s="158"/>
      <c r="B3514" s="159"/>
      <c r="C3514" s="159"/>
      <c r="D3514" s="159"/>
      <c r="E3514" s="159"/>
      <c r="F3514" s="159"/>
      <c r="G3514" s="160"/>
    </row>
    <row r="3515" spans="1:7" s="145" customFormat="1" ht="24" customHeight="1">
      <c r="A3515" s="1123" t="s">
        <v>1</v>
      </c>
      <c r="B3515" s="1120"/>
      <c r="C3515" s="953" t="s">
        <v>594</v>
      </c>
      <c r="D3515" s="1125"/>
      <c r="E3515" s="1125"/>
      <c r="F3515" s="1125"/>
      <c r="G3515" s="1126"/>
    </row>
    <row r="3516" spans="1:7" s="145" customFormat="1" ht="15.6" customHeight="1">
      <c r="A3516" s="1124"/>
      <c r="B3516" s="1120"/>
      <c r="C3516" s="1125"/>
      <c r="D3516" s="1125"/>
      <c r="E3516" s="1125"/>
      <c r="F3516" s="1125"/>
      <c r="G3516" s="1126"/>
    </row>
    <row r="3517" spans="1:7" s="145" customFormat="1" ht="15.75" customHeight="1">
      <c r="A3517" s="1124"/>
      <c r="B3517" s="1120"/>
      <c r="C3517" s="1127" t="s">
        <v>859</v>
      </c>
      <c r="D3517" s="1120"/>
      <c r="E3517" s="1120"/>
      <c r="F3517" s="1120"/>
      <c r="G3517" s="1121"/>
    </row>
    <row r="3518" spans="1:7" s="145" customFormat="1" ht="13.8">
      <c r="A3518" s="1124"/>
      <c r="B3518" s="1120"/>
      <c r="C3518" s="1128" t="s">
        <v>2</v>
      </c>
      <c r="D3518" s="1120"/>
      <c r="E3518" s="1120"/>
      <c r="F3518" s="146" t="s">
        <v>3</v>
      </c>
      <c r="G3518" s="147" t="s">
        <v>4</v>
      </c>
    </row>
    <row r="3519" spans="1:7" s="145" customFormat="1" ht="47.25" customHeight="1">
      <c r="A3519" s="1073" t="s">
        <v>878</v>
      </c>
      <c r="B3519" s="1115"/>
      <c r="C3519" s="1118" t="s">
        <v>879</v>
      </c>
      <c r="D3519" s="1129"/>
      <c r="E3519" s="1129"/>
      <c r="F3519" s="162" t="s">
        <v>45</v>
      </c>
      <c r="G3519" s="52">
        <v>1</v>
      </c>
    </row>
    <row r="3520" spans="1:7" s="145" customFormat="1" ht="15.75" customHeight="1">
      <c r="A3520" s="1114" t="s">
        <v>5</v>
      </c>
      <c r="B3520" s="1115"/>
      <c r="C3520" s="1115"/>
      <c r="D3520" s="1115"/>
      <c r="E3520" s="1115"/>
      <c r="F3520" s="1115"/>
      <c r="G3520" s="1116"/>
    </row>
    <row r="3521" spans="1:7" s="145" customFormat="1" ht="15.75" customHeight="1">
      <c r="A3521" s="1074" t="s">
        <v>2</v>
      </c>
      <c r="B3521" s="1115"/>
      <c r="C3521" s="53" t="s">
        <v>3</v>
      </c>
      <c r="D3521" s="53" t="s">
        <v>4</v>
      </c>
      <c r="E3521" s="53" t="s">
        <v>6</v>
      </c>
      <c r="F3521" s="53" t="s">
        <v>7</v>
      </c>
      <c r="G3521" s="1075" t="s">
        <v>8</v>
      </c>
    </row>
    <row r="3522" spans="1:7" s="145" customFormat="1" ht="15.75" customHeight="1">
      <c r="A3522" s="947" t="s">
        <v>167</v>
      </c>
      <c r="B3522" s="1115"/>
      <c r="C3522" s="51" t="s">
        <v>3</v>
      </c>
      <c r="D3522" s="51">
        <v>0.05</v>
      </c>
      <c r="E3522" s="17">
        <f>G3535</f>
        <v>4006</v>
      </c>
      <c r="F3522" s="55">
        <f>D3522*E3522</f>
        <v>200.3</v>
      </c>
      <c r="G3522" s="1116"/>
    </row>
    <row r="3523" spans="1:7" s="145" customFormat="1" ht="15.75" customHeight="1">
      <c r="A3523" s="943"/>
      <c r="B3523" s="1115"/>
      <c r="C3523" s="51"/>
      <c r="D3523" s="51"/>
      <c r="E3523" s="51"/>
      <c r="F3523" s="55"/>
      <c r="G3523" s="57">
        <f>SUM(F3521:F3523)</f>
        <v>200.3</v>
      </c>
    </row>
    <row r="3524" spans="1:7" s="145" customFormat="1" ht="15.75" customHeight="1">
      <c r="A3524" s="1114" t="s">
        <v>10</v>
      </c>
      <c r="B3524" s="1115"/>
      <c r="C3524" s="1115"/>
      <c r="D3524" s="1115"/>
      <c r="E3524" s="1115"/>
      <c r="F3524" s="1115"/>
      <c r="G3524" s="1116"/>
    </row>
    <row r="3525" spans="1:7" s="167" customFormat="1" ht="30.6" customHeight="1">
      <c r="A3525" s="1074" t="s">
        <v>2</v>
      </c>
      <c r="B3525" s="1115"/>
      <c r="C3525" s="53" t="s">
        <v>3</v>
      </c>
      <c r="D3525" s="53" t="s">
        <v>4</v>
      </c>
      <c r="E3525" s="53" t="s">
        <v>6</v>
      </c>
      <c r="F3525" s="53" t="s">
        <v>11</v>
      </c>
      <c r="G3525" s="1075" t="s">
        <v>8</v>
      </c>
    </row>
    <row r="3526" spans="1:7" s="167" customFormat="1" ht="30.6" customHeight="1">
      <c r="A3526" s="947" t="s">
        <v>880</v>
      </c>
      <c r="B3526" s="1115"/>
      <c r="C3526" s="16" t="s">
        <v>622</v>
      </c>
      <c r="D3526" s="51">
        <v>3</v>
      </c>
      <c r="E3526" s="17">
        <f>+'INSUMOS ELÉCTRICOS'!E81</f>
        <v>5593</v>
      </c>
      <c r="F3526" s="55">
        <f>D3526*E3526</f>
        <v>16779</v>
      </c>
      <c r="G3526" s="1075"/>
    </row>
    <row r="3527" spans="1:7" s="145" customFormat="1" ht="15.75" customHeight="1">
      <c r="A3527" s="947"/>
      <c r="B3527" s="1115"/>
      <c r="C3527" s="16"/>
      <c r="D3527" s="58"/>
      <c r="E3527" s="17"/>
      <c r="F3527" s="55">
        <f>E3527*D3527</f>
        <v>0</v>
      </c>
      <c r="G3527" s="57">
        <f>SUM(F3525:F3527)</f>
        <v>16779</v>
      </c>
    </row>
    <row r="3528" spans="1:7" s="145" customFormat="1" ht="15.75" customHeight="1">
      <c r="A3528" s="1114" t="s">
        <v>15</v>
      </c>
      <c r="B3528" s="1115"/>
      <c r="C3528" s="1115"/>
      <c r="D3528" s="1115"/>
      <c r="E3528" s="1115"/>
      <c r="F3528" s="1115"/>
      <c r="G3528" s="1116"/>
    </row>
    <row r="3529" spans="1:7" s="145" customFormat="1" ht="15.75" customHeight="1">
      <c r="A3529" s="1074" t="s">
        <v>2</v>
      </c>
      <c r="B3529" s="1115"/>
      <c r="C3529" s="53" t="s">
        <v>3</v>
      </c>
      <c r="D3529" s="53" t="s">
        <v>4</v>
      </c>
      <c r="E3529" s="53" t="s">
        <v>6</v>
      </c>
      <c r="F3529" s="53" t="s">
        <v>11</v>
      </c>
      <c r="G3529" s="1075" t="s">
        <v>8</v>
      </c>
    </row>
    <row r="3530" spans="1:7" s="150" customFormat="1" ht="15.75" customHeight="1">
      <c r="A3530" s="947" t="s">
        <v>842</v>
      </c>
      <c r="B3530" s="1115"/>
      <c r="C3530" s="16" t="s">
        <v>3</v>
      </c>
      <c r="D3530" s="51">
        <v>0.02</v>
      </c>
      <c r="E3530" s="17">
        <f>G3527</f>
        <v>16779</v>
      </c>
      <c r="F3530" s="55">
        <f>D3530*E3530</f>
        <v>335.58</v>
      </c>
      <c r="G3530" s="1075"/>
    </row>
    <row r="3531" spans="1:7" s="145" customFormat="1" ht="15.75" customHeight="1">
      <c r="A3531" s="151"/>
      <c r="B3531" s="152"/>
      <c r="C3531" s="152"/>
      <c r="D3531" s="152"/>
      <c r="E3531" s="152"/>
      <c r="F3531" s="152"/>
      <c r="G3531" s="57">
        <f>SUM(F3530:F3531)</f>
        <v>335.58</v>
      </c>
    </row>
    <row r="3532" spans="1:7" s="145" customFormat="1" ht="15.75" customHeight="1">
      <c r="A3532" s="1114" t="s">
        <v>19</v>
      </c>
      <c r="B3532" s="1115"/>
      <c r="C3532" s="1115"/>
      <c r="D3532" s="1115"/>
      <c r="E3532" s="1115"/>
      <c r="F3532" s="1115"/>
      <c r="G3532" s="1116"/>
    </row>
    <row r="3533" spans="1:7" s="145" customFormat="1" ht="15.75" customHeight="1">
      <c r="A3533" s="1074" t="s">
        <v>2</v>
      </c>
      <c r="B3533" s="1115"/>
      <c r="C3533" s="53" t="s">
        <v>3</v>
      </c>
      <c r="D3533" s="53" t="s">
        <v>4</v>
      </c>
      <c r="E3533" s="53" t="s">
        <v>6</v>
      </c>
      <c r="F3533" s="53" t="s">
        <v>11</v>
      </c>
      <c r="G3533" s="1075" t="s">
        <v>8</v>
      </c>
    </row>
    <row r="3534" spans="1:7" s="2" customFormat="1" ht="15.75" customHeight="1">
      <c r="A3534" s="978" t="s">
        <v>1256</v>
      </c>
      <c r="B3534" s="979"/>
      <c r="C3534" s="13" t="s">
        <v>1245</v>
      </c>
      <c r="D3534" s="32">
        <v>0.2</v>
      </c>
      <c r="E3534" s="13">
        <v>20030</v>
      </c>
      <c r="F3534" s="55">
        <f>+D3534*E3534</f>
        <v>4006</v>
      </c>
      <c r="G3534" s="1116"/>
    </row>
    <row r="3535" spans="1:7" s="145" customFormat="1" ht="15.75" customHeight="1">
      <c r="A3535" s="155"/>
      <c r="B3535" s="156"/>
      <c r="C3535" s="156"/>
      <c r="D3535" s="156"/>
      <c r="E3535" s="156"/>
      <c r="F3535" s="156"/>
      <c r="G3535" s="57">
        <f>SUM(F3533:F3535)</f>
        <v>4006</v>
      </c>
    </row>
    <row r="3536" spans="1:7" s="145" customFormat="1" ht="15.75" customHeight="1">
      <c r="A3536" s="1119" t="s">
        <v>25</v>
      </c>
      <c r="B3536" s="1120"/>
      <c r="C3536" s="1120"/>
      <c r="D3536" s="1120"/>
      <c r="E3536" s="1120"/>
      <c r="F3536" s="1120"/>
      <c r="G3536" s="1121"/>
    </row>
    <row r="3537" spans="1:7" s="145" customFormat="1" ht="15.75" customHeight="1">
      <c r="A3537" s="1122"/>
      <c r="B3537" s="1120"/>
      <c r="C3537" s="1120"/>
      <c r="D3537" s="1120"/>
      <c r="E3537" s="1120"/>
      <c r="F3537" s="1120"/>
      <c r="G3537" s="157">
        <f>G3535+G3531+G3527+G3523</f>
        <v>21320.880000000001</v>
      </c>
    </row>
    <row r="3538" spans="1:7" s="145" customFormat="1" ht="15" customHeight="1">
      <c r="A3538" s="158"/>
      <c r="B3538" s="159"/>
      <c r="C3538" s="159"/>
      <c r="D3538" s="159"/>
      <c r="E3538" s="159"/>
      <c r="F3538" s="159"/>
      <c r="G3538" s="160"/>
    </row>
    <row r="3539" spans="1:7" s="145" customFormat="1" ht="15.75" customHeight="1">
      <c r="A3539" s="158"/>
      <c r="B3539" s="159"/>
      <c r="C3539" s="159"/>
      <c r="D3539" s="159"/>
      <c r="E3539" s="159"/>
      <c r="F3539" s="159"/>
      <c r="G3539" s="160"/>
    </row>
    <row r="3540" spans="1:7" s="145" customFormat="1" ht="24" customHeight="1">
      <c r="A3540" s="1123" t="s">
        <v>1</v>
      </c>
      <c r="B3540" s="1120"/>
      <c r="C3540" s="953" t="s">
        <v>594</v>
      </c>
      <c r="D3540" s="1125"/>
      <c r="E3540" s="1125"/>
      <c r="F3540" s="1125"/>
      <c r="G3540" s="1126"/>
    </row>
    <row r="3541" spans="1:7" s="145" customFormat="1" ht="15.6" customHeight="1">
      <c r="A3541" s="1124"/>
      <c r="B3541" s="1120"/>
      <c r="C3541" s="1125"/>
      <c r="D3541" s="1125"/>
      <c r="E3541" s="1125"/>
      <c r="F3541" s="1125"/>
      <c r="G3541" s="1126"/>
    </row>
    <row r="3542" spans="1:7" s="145" customFormat="1" ht="15.75" customHeight="1">
      <c r="A3542" s="1124"/>
      <c r="B3542" s="1120"/>
      <c r="C3542" s="1127" t="s">
        <v>881</v>
      </c>
      <c r="D3542" s="1120"/>
      <c r="E3542" s="1120"/>
      <c r="F3542" s="1120"/>
      <c r="G3542" s="1121"/>
    </row>
    <row r="3543" spans="1:7" s="145" customFormat="1" ht="13.8">
      <c r="A3543" s="1124"/>
      <c r="B3543" s="1120"/>
      <c r="C3543" s="1128" t="s">
        <v>2</v>
      </c>
      <c r="D3543" s="1120"/>
      <c r="E3543" s="1120"/>
      <c r="F3543" s="146" t="s">
        <v>3</v>
      </c>
      <c r="G3543" s="147" t="s">
        <v>4</v>
      </c>
    </row>
    <row r="3544" spans="1:7" s="145" customFormat="1" ht="39.75" customHeight="1">
      <c r="A3544" s="1073" t="s">
        <v>882</v>
      </c>
      <c r="B3544" s="1115"/>
      <c r="C3544" s="980" t="s">
        <v>705</v>
      </c>
      <c r="D3544" s="1115"/>
      <c r="E3544" s="1115"/>
      <c r="F3544" s="162" t="s">
        <v>45</v>
      </c>
      <c r="G3544" s="52">
        <v>1</v>
      </c>
    </row>
    <row r="3545" spans="1:7" s="145" customFormat="1" ht="15.75" customHeight="1">
      <c r="A3545" s="1114" t="s">
        <v>5</v>
      </c>
      <c r="B3545" s="1115"/>
      <c r="C3545" s="1115"/>
      <c r="D3545" s="1115"/>
      <c r="E3545" s="1115"/>
      <c r="F3545" s="1115"/>
      <c r="G3545" s="1116"/>
    </row>
    <row r="3546" spans="1:7" s="145" customFormat="1" ht="15.75" customHeight="1">
      <c r="A3546" s="1074" t="s">
        <v>2</v>
      </c>
      <c r="B3546" s="1115"/>
      <c r="C3546" s="53" t="s">
        <v>3</v>
      </c>
      <c r="D3546" s="53" t="s">
        <v>4</v>
      </c>
      <c r="E3546" s="53" t="s">
        <v>6</v>
      </c>
      <c r="F3546" s="53" t="s">
        <v>7</v>
      </c>
      <c r="G3546" s="1075" t="s">
        <v>8</v>
      </c>
    </row>
    <row r="3547" spans="1:7" s="145" customFormat="1" ht="15.75" customHeight="1">
      <c r="A3547" s="947" t="s">
        <v>167</v>
      </c>
      <c r="B3547" s="1115"/>
      <c r="C3547" s="51" t="s">
        <v>3</v>
      </c>
      <c r="D3547" s="51">
        <v>0.05</v>
      </c>
      <c r="E3547" s="17">
        <f>G3561</f>
        <v>2003</v>
      </c>
      <c r="F3547" s="55">
        <f>D3547*E3547</f>
        <v>100.15</v>
      </c>
      <c r="G3547" s="1116"/>
    </row>
    <row r="3548" spans="1:7" s="145" customFormat="1" ht="15.75" customHeight="1">
      <c r="A3548" s="943"/>
      <c r="B3548" s="1115"/>
      <c r="C3548" s="51"/>
      <c r="D3548" s="51"/>
      <c r="E3548" s="51"/>
      <c r="F3548" s="55"/>
      <c r="G3548" s="57">
        <f>SUM(F3546:F3548)</f>
        <v>100.15</v>
      </c>
    </row>
    <row r="3549" spans="1:7" s="145" customFormat="1" ht="15.75" customHeight="1">
      <c r="A3549" s="1114" t="s">
        <v>10</v>
      </c>
      <c r="B3549" s="1115"/>
      <c r="C3549" s="1115"/>
      <c r="D3549" s="1115"/>
      <c r="E3549" s="1115"/>
      <c r="F3549" s="1115"/>
      <c r="G3549" s="1116"/>
    </row>
    <row r="3550" spans="1:7" s="167" customFormat="1" ht="30.6" customHeight="1">
      <c r="A3550" s="1074" t="s">
        <v>2</v>
      </c>
      <c r="B3550" s="1115"/>
      <c r="C3550" s="53" t="s">
        <v>3</v>
      </c>
      <c r="D3550" s="53" t="s">
        <v>4</v>
      </c>
      <c r="E3550" s="53" t="s">
        <v>6</v>
      </c>
      <c r="F3550" s="53" t="s">
        <v>11</v>
      </c>
      <c r="G3550" s="1075" t="s">
        <v>8</v>
      </c>
    </row>
    <row r="3551" spans="1:7" s="145" customFormat="1" ht="15.75" customHeight="1">
      <c r="A3551" s="1117" t="s">
        <v>706</v>
      </c>
      <c r="B3551" s="1118"/>
      <c r="C3551" s="148" t="s">
        <v>3</v>
      </c>
      <c r="D3551" s="148">
        <v>1</v>
      </c>
      <c r="E3551" s="631">
        <f>+'INSUMOS ELÉCTRICOS'!E90</f>
        <v>4736.2</v>
      </c>
      <c r="F3551" s="55">
        <f>D3551*E3551</f>
        <v>4736.2</v>
      </c>
      <c r="G3551" s="1075"/>
    </row>
    <row r="3552" spans="1:7" s="145" customFormat="1" ht="15.75" customHeight="1">
      <c r="A3552" s="1117" t="s">
        <v>707</v>
      </c>
      <c r="B3552" s="1118"/>
      <c r="C3552" s="148" t="s">
        <v>622</v>
      </c>
      <c r="D3552" s="148">
        <v>0.01</v>
      </c>
      <c r="E3552" s="17">
        <f>+'INSUMOS ELÉCTRICOS'!E91</f>
        <v>6000</v>
      </c>
      <c r="F3552" s="55">
        <f>D3552*E3552</f>
        <v>60</v>
      </c>
      <c r="G3552" s="1075"/>
    </row>
    <row r="3553" spans="1:7" s="145" customFormat="1" ht="15.75" customHeight="1">
      <c r="A3553" s="947"/>
      <c r="B3553" s="1115"/>
      <c r="C3553" s="16"/>
      <c r="D3553" s="58"/>
      <c r="E3553" s="17"/>
      <c r="F3553" s="55"/>
      <c r="G3553" s="57">
        <f>SUM(F3550:F3553)</f>
        <v>4796.2</v>
      </c>
    </row>
    <row r="3554" spans="1:7" s="150" customFormat="1" ht="15.75" customHeight="1">
      <c r="A3554" s="1114" t="s">
        <v>15</v>
      </c>
      <c r="B3554" s="1115"/>
      <c r="C3554" s="1115"/>
      <c r="D3554" s="1115"/>
      <c r="E3554" s="1115"/>
      <c r="F3554" s="1115"/>
      <c r="G3554" s="1116"/>
    </row>
    <row r="3555" spans="1:7" s="145" customFormat="1" ht="15.75" customHeight="1">
      <c r="A3555" s="1074" t="s">
        <v>2</v>
      </c>
      <c r="B3555" s="1115"/>
      <c r="C3555" s="53" t="s">
        <v>3</v>
      </c>
      <c r="D3555" s="53" t="s">
        <v>4</v>
      </c>
      <c r="E3555" s="53" t="s">
        <v>6</v>
      </c>
      <c r="F3555" s="53" t="s">
        <v>11</v>
      </c>
      <c r="G3555" s="1075" t="s">
        <v>8</v>
      </c>
    </row>
    <row r="3556" spans="1:7" s="145" customFormat="1" ht="15.75" customHeight="1">
      <c r="A3556" s="943" t="s">
        <v>173</v>
      </c>
      <c r="B3556" s="1115"/>
      <c r="C3556" s="16" t="s">
        <v>3</v>
      </c>
      <c r="D3556" s="16">
        <v>0.05</v>
      </c>
      <c r="E3556" s="631">
        <f>G3553</f>
        <v>4796.2</v>
      </c>
      <c r="F3556" s="55">
        <f>D3556*E3556</f>
        <v>239.81</v>
      </c>
      <c r="G3556" s="1116"/>
    </row>
    <row r="3557" spans="1:7" s="145" customFormat="1" ht="15.75" customHeight="1">
      <c r="A3557" s="151"/>
      <c r="B3557" s="152"/>
      <c r="C3557" s="152"/>
      <c r="D3557" s="152"/>
      <c r="E3557" s="152"/>
      <c r="F3557" s="152"/>
      <c r="G3557" s="57">
        <f>SUM(F3556:F3557)</f>
        <v>239.81</v>
      </c>
    </row>
    <row r="3558" spans="1:7" s="2" customFormat="1" ht="15.75" customHeight="1">
      <c r="A3558" s="1114" t="s">
        <v>19</v>
      </c>
      <c r="B3558" s="1115"/>
      <c r="C3558" s="1115"/>
      <c r="D3558" s="1115"/>
      <c r="E3558" s="1115"/>
      <c r="F3558" s="1115"/>
      <c r="G3558" s="1116"/>
    </row>
    <row r="3559" spans="1:7" s="145" customFormat="1" ht="15.75" customHeight="1">
      <c r="A3559" s="1074" t="s">
        <v>2</v>
      </c>
      <c r="B3559" s="1115"/>
      <c r="C3559" s="53" t="s">
        <v>3</v>
      </c>
      <c r="D3559" s="53" t="s">
        <v>4</v>
      </c>
      <c r="E3559" s="53" t="s">
        <v>6</v>
      </c>
      <c r="F3559" s="53" t="s">
        <v>11</v>
      </c>
      <c r="G3559" s="1075" t="s">
        <v>8</v>
      </c>
    </row>
    <row r="3560" spans="1:7" s="145" customFormat="1" ht="15.75" customHeight="1">
      <c r="A3560" s="978" t="s">
        <v>1256</v>
      </c>
      <c r="B3560" s="979"/>
      <c r="C3560" s="13" t="s">
        <v>1245</v>
      </c>
      <c r="D3560" s="32">
        <v>0.1</v>
      </c>
      <c r="E3560" s="13">
        <v>20030</v>
      </c>
      <c r="F3560" s="55">
        <f>+D3560*E3560</f>
        <v>2003</v>
      </c>
      <c r="G3560" s="1116"/>
    </row>
    <row r="3561" spans="1:7" s="145" customFormat="1" ht="15.75" customHeight="1">
      <c r="A3561" s="155"/>
      <c r="B3561" s="156"/>
      <c r="C3561" s="156"/>
      <c r="D3561" s="156"/>
      <c r="E3561" s="156"/>
      <c r="F3561" s="156"/>
      <c r="G3561" s="57">
        <f>SUM(F3559:F3561)</f>
        <v>2003</v>
      </c>
    </row>
    <row r="3562" spans="1:7" s="145" customFormat="1" ht="15" customHeight="1">
      <c r="A3562" s="1119" t="s">
        <v>25</v>
      </c>
      <c r="B3562" s="1120"/>
      <c r="C3562" s="1120"/>
      <c r="D3562" s="1120"/>
      <c r="E3562" s="1120"/>
      <c r="F3562" s="1120"/>
      <c r="G3562" s="1121"/>
    </row>
    <row r="3563" spans="1:7" s="145" customFormat="1" ht="15" customHeight="1">
      <c r="A3563" s="1122"/>
      <c r="B3563" s="1120"/>
      <c r="C3563" s="1120"/>
      <c r="D3563" s="1120"/>
      <c r="E3563" s="1120"/>
      <c r="F3563" s="1120"/>
      <c r="G3563" s="157">
        <f>G3561+G3557+G3553+G3548</f>
        <v>7139.16</v>
      </c>
    </row>
    <row r="3564" spans="1:7" s="145" customFormat="1" ht="15.75" customHeight="1">
      <c r="A3564" s="158"/>
      <c r="B3564" s="159"/>
      <c r="C3564" s="159"/>
      <c r="D3564" s="159"/>
      <c r="E3564" s="159"/>
      <c r="F3564" s="159"/>
      <c r="G3564" s="160"/>
    </row>
    <row r="3565" spans="1:7" s="145" customFormat="1" ht="15.6" customHeight="1">
      <c r="A3565" s="1123" t="s">
        <v>1</v>
      </c>
      <c r="B3565" s="1120"/>
      <c r="C3565" s="953" t="s">
        <v>594</v>
      </c>
      <c r="D3565" s="1125"/>
      <c r="E3565" s="1125"/>
      <c r="F3565" s="1125"/>
      <c r="G3565" s="1126"/>
    </row>
    <row r="3566" spans="1:7" s="145" customFormat="1" ht="15.75" customHeight="1">
      <c r="A3566" s="1124"/>
      <c r="B3566" s="1120"/>
      <c r="C3566" s="1125"/>
      <c r="D3566" s="1125"/>
      <c r="E3566" s="1125"/>
      <c r="F3566" s="1125"/>
      <c r="G3566" s="1126"/>
    </row>
    <row r="3567" spans="1:7" s="145" customFormat="1" ht="17.399999999999999">
      <c r="A3567" s="1124"/>
      <c r="B3567" s="1120"/>
      <c r="C3567" s="1127" t="s">
        <v>881</v>
      </c>
      <c r="D3567" s="1120"/>
      <c r="E3567" s="1120"/>
      <c r="F3567" s="1120"/>
      <c r="G3567" s="1121"/>
    </row>
    <row r="3568" spans="1:7" s="145" customFormat="1" ht="15.75" customHeight="1">
      <c r="A3568" s="1124"/>
      <c r="B3568" s="1120"/>
      <c r="C3568" s="1128" t="s">
        <v>2</v>
      </c>
      <c r="D3568" s="1120"/>
      <c r="E3568" s="1120"/>
      <c r="F3568" s="146" t="s">
        <v>3</v>
      </c>
      <c r="G3568" s="147" t="s">
        <v>4</v>
      </c>
    </row>
    <row r="3569" spans="1:7" s="145" customFormat="1" ht="69" customHeight="1">
      <c r="A3569" s="1073" t="s">
        <v>883</v>
      </c>
      <c r="B3569" s="1115"/>
      <c r="C3569" s="980" t="s">
        <v>884</v>
      </c>
      <c r="D3569" s="1115"/>
      <c r="E3569" s="1115"/>
      <c r="F3569" s="162" t="s">
        <v>28</v>
      </c>
      <c r="G3569" s="52">
        <v>1</v>
      </c>
    </row>
    <row r="3570" spans="1:7" s="145" customFormat="1" ht="15.75" customHeight="1">
      <c r="A3570" s="1114" t="s">
        <v>5</v>
      </c>
      <c r="B3570" s="1115"/>
      <c r="C3570" s="1115"/>
      <c r="D3570" s="1115"/>
      <c r="E3570" s="1115"/>
      <c r="F3570" s="1115"/>
      <c r="G3570" s="1116"/>
    </row>
    <row r="3571" spans="1:7" s="145" customFormat="1" ht="15.75" customHeight="1">
      <c r="A3571" s="1074" t="s">
        <v>2</v>
      </c>
      <c r="B3571" s="1115"/>
      <c r="C3571" s="53" t="s">
        <v>3</v>
      </c>
      <c r="D3571" s="53" t="s">
        <v>4</v>
      </c>
      <c r="E3571" s="53" t="s">
        <v>6</v>
      </c>
      <c r="F3571" s="53" t="s">
        <v>7</v>
      </c>
      <c r="G3571" s="1075" t="s">
        <v>8</v>
      </c>
    </row>
    <row r="3572" spans="1:7" s="145" customFormat="1" ht="15.75" customHeight="1">
      <c r="A3572" s="947" t="s">
        <v>167</v>
      </c>
      <c r="B3572" s="1115"/>
      <c r="C3572" s="51" t="s">
        <v>3</v>
      </c>
      <c r="D3572" s="51">
        <v>0.05</v>
      </c>
      <c r="E3572" s="17">
        <f>G3585</f>
        <v>80120</v>
      </c>
      <c r="F3572" s="55">
        <f>D3572*E3572</f>
        <v>4006</v>
      </c>
      <c r="G3572" s="1116"/>
    </row>
    <row r="3573" spans="1:7" s="145" customFormat="1" ht="15.75" customHeight="1">
      <c r="A3573" s="943"/>
      <c r="B3573" s="1115"/>
      <c r="C3573" s="51"/>
      <c r="D3573" s="51"/>
      <c r="E3573" s="51"/>
      <c r="F3573" s="55"/>
      <c r="G3573" s="57">
        <f>SUM(F3571:F3573)</f>
        <v>4006</v>
      </c>
    </row>
    <row r="3574" spans="1:7" s="145" customFormat="1" ht="15.75" customHeight="1">
      <c r="A3574" s="1114" t="s">
        <v>10</v>
      </c>
      <c r="B3574" s="1115"/>
      <c r="C3574" s="1115"/>
      <c r="D3574" s="1115"/>
      <c r="E3574" s="1115"/>
      <c r="F3574" s="1115"/>
      <c r="G3574" s="1116"/>
    </row>
    <row r="3575" spans="1:7" s="150" customFormat="1" ht="15.75" customHeight="1">
      <c r="A3575" s="1074" t="s">
        <v>2</v>
      </c>
      <c r="B3575" s="1115"/>
      <c r="C3575" s="53" t="s">
        <v>3</v>
      </c>
      <c r="D3575" s="53" t="s">
        <v>4</v>
      </c>
      <c r="E3575" s="53" t="s">
        <v>6</v>
      </c>
      <c r="F3575" s="53" t="s">
        <v>11</v>
      </c>
      <c r="G3575" s="1075" t="s">
        <v>8</v>
      </c>
    </row>
    <row r="3576" spans="1:7" s="145" customFormat="1" ht="102.75" customHeight="1">
      <c r="A3576" s="947" t="s">
        <v>2490</v>
      </c>
      <c r="B3576" s="1115"/>
      <c r="C3576" s="51" t="s">
        <v>3</v>
      </c>
      <c r="D3576" s="51">
        <v>1</v>
      </c>
      <c r="E3576" s="17">
        <f>+'INSUMOS ELÉCTRICOS'!E139</f>
        <v>4119900</v>
      </c>
      <c r="F3576" s="55">
        <f>D3576*E3576</f>
        <v>4119900</v>
      </c>
      <c r="G3576" s="1075"/>
    </row>
    <row r="3577" spans="1:7" s="145" customFormat="1" ht="15.75" customHeight="1">
      <c r="A3577" s="947"/>
      <c r="B3577" s="980"/>
      <c r="C3577" s="16"/>
      <c r="D3577" s="58"/>
      <c r="E3577" s="17"/>
      <c r="F3577" s="55">
        <f>E3577*D3577</f>
        <v>0</v>
      </c>
      <c r="G3577" s="57">
        <f>SUM(F3575:F3577)</f>
        <v>4119900</v>
      </c>
    </row>
    <row r="3578" spans="1:7" s="145" customFormat="1" ht="15.75" customHeight="1">
      <c r="A3578" s="1114" t="s">
        <v>15</v>
      </c>
      <c r="B3578" s="1115"/>
      <c r="C3578" s="1115"/>
      <c r="D3578" s="1115"/>
      <c r="E3578" s="1115"/>
      <c r="F3578" s="1115"/>
      <c r="G3578" s="1116"/>
    </row>
    <row r="3579" spans="1:7" s="145" customFormat="1" ht="15.75" customHeight="1">
      <c r="A3579" s="1074" t="s">
        <v>2</v>
      </c>
      <c r="B3579" s="1115"/>
      <c r="C3579" s="53" t="s">
        <v>3</v>
      </c>
      <c r="D3579" s="53" t="s">
        <v>4</v>
      </c>
      <c r="E3579" s="53" t="s">
        <v>6</v>
      </c>
      <c r="F3579" s="53" t="s">
        <v>11</v>
      </c>
      <c r="G3579" s="1075" t="s">
        <v>8</v>
      </c>
    </row>
    <row r="3580" spans="1:7" s="145" customFormat="1" ht="15.75" customHeight="1">
      <c r="A3580" s="947" t="s">
        <v>842</v>
      </c>
      <c r="B3580" s="1115"/>
      <c r="C3580" s="16" t="s">
        <v>3</v>
      </c>
      <c r="D3580" s="51">
        <v>2.5000000000000001E-3</v>
      </c>
      <c r="E3580" s="17">
        <f>G3577</f>
        <v>4119900</v>
      </c>
      <c r="F3580" s="55">
        <f>D3580*E3580</f>
        <v>10299.75</v>
      </c>
      <c r="G3580" s="1116"/>
    </row>
    <row r="3581" spans="1:7" s="145" customFormat="1" ht="15.75" customHeight="1">
      <c r="A3581" s="151"/>
      <c r="B3581" s="152"/>
      <c r="C3581" s="152"/>
      <c r="D3581" s="152"/>
      <c r="E3581" s="152"/>
      <c r="F3581" s="152"/>
      <c r="G3581" s="57">
        <f>SUM(F3580:F3581)</f>
        <v>10299.75</v>
      </c>
    </row>
    <row r="3582" spans="1:7" s="145" customFormat="1" ht="15.75" customHeight="1">
      <c r="A3582" s="1114" t="s">
        <v>19</v>
      </c>
      <c r="B3582" s="1115"/>
      <c r="C3582" s="1115"/>
      <c r="D3582" s="1115"/>
      <c r="E3582" s="1115"/>
      <c r="F3582" s="1115"/>
      <c r="G3582" s="1116"/>
    </row>
    <row r="3583" spans="1:7" s="2" customFormat="1" ht="15.75" customHeight="1">
      <c r="A3583" s="1074" t="s">
        <v>2</v>
      </c>
      <c r="B3583" s="1115"/>
      <c r="C3583" s="53" t="s">
        <v>3</v>
      </c>
      <c r="D3583" s="53" t="s">
        <v>4</v>
      </c>
      <c r="E3583" s="53" t="s">
        <v>6</v>
      </c>
      <c r="F3583" s="53" t="s">
        <v>11</v>
      </c>
      <c r="G3583" s="1075" t="s">
        <v>8</v>
      </c>
    </row>
    <row r="3584" spans="1:7" s="145" customFormat="1" ht="15.75" customHeight="1">
      <c r="A3584" s="978" t="s">
        <v>1256</v>
      </c>
      <c r="B3584" s="979"/>
      <c r="C3584" s="13" t="s">
        <v>1245</v>
      </c>
      <c r="D3584" s="32">
        <v>4</v>
      </c>
      <c r="E3584" s="13">
        <v>20030</v>
      </c>
      <c r="F3584" s="55">
        <f>+D3584*E3584</f>
        <v>80120</v>
      </c>
      <c r="G3584" s="1116"/>
    </row>
    <row r="3585" spans="1:7" s="145" customFormat="1" ht="15.75" customHeight="1">
      <c r="A3585" s="155"/>
      <c r="B3585" s="156"/>
      <c r="C3585" s="156"/>
      <c r="D3585" s="156"/>
      <c r="E3585" s="156"/>
      <c r="F3585" s="156"/>
      <c r="G3585" s="57">
        <f>SUM(F3583:F3585)</f>
        <v>80120</v>
      </c>
    </row>
    <row r="3586" spans="1:7" s="145" customFormat="1" ht="15.75" customHeight="1">
      <c r="A3586" s="1119" t="s">
        <v>25</v>
      </c>
      <c r="B3586" s="1120"/>
      <c r="C3586" s="1120"/>
      <c r="D3586" s="1120"/>
      <c r="E3586" s="1120"/>
      <c r="F3586" s="1120"/>
      <c r="G3586" s="1121"/>
    </row>
    <row r="3587" spans="1:7" s="145" customFormat="1" ht="15" customHeight="1">
      <c r="A3587" s="1122"/>
      <c r="B3587" s="1120"/>
      <c r="C3587" s="1120"/>
      <c r="D3587" s="1120"/>
      <c r="E3587" s="1120"/>
      <c r="F3587" s="1120"/>
      <c r="G3587" s="157">
        <f>G3585+G3581+G3577+G3573</f>
        <v>4214325.75</v>
      </c>
    </row>
    <row r="3588" spans="1:7" s="145" customFormat="1" ht="15" customHeight="1">
      <c r="A3588" s="158"/>
      <c r="B3588" s="159"/>
      <c r="C3588" s="159"/>
      <c r="D3588" s="159"/>
      <c r="E3588" s="159"/>
      <c r="F3588" s="159"/>
      <c r="G3588" s="160"/>
    </row>
    <row r="3589" spans="1:7" s="145" customFormat="1" ht="15.75" customHeight="1">
      <c r="A3589" s="158"/>
      <c r="B3589" s="159"/>
      <c r="C3589" s="159"/>
      <c r="D3589" s="159"/>
      <c r="E3589" s="159"/>
      <c r="F3589" s="159"/>
      <c r="G3589" s="160"/>
    </row>
    <row r="3590" spans="1:7" s="145" customFormat="1" ht="24" customHeight="1">
      <c r="A3590" s="1123" t="s">
        <v>1</v>
      </c>
      <c r="B3590" s="1120"/>
      <c r="C3590" s="953" t="s">
        <v>594</v>
      </c>
      <c r="D3590" s="1125"/>
      <c r="E3590" s="1125"/>
      <c r="F3590" s="1125"/>
      <c r="G3590" s="1126"/>
    </row>
    <row r="3591" spans="1:7" s="145" customFormat="1" ht="15.6" customHeight="1">
      <c r="A3591" s="1124"/>
      <c r="B3591" s="1120"/>
      <c r="C3591" s="1125"/>
      <c r="D3591" s="1125"/>
      <c r="E3591" s="1125"/>
      <c r="F3591" s="1125"/>
      <c r="G3591" s="1126"/>
    </row>
    <row r="3592" spans="1:7" s="145" customFormat="1" ht="15.75" customHeight="1">
      <c r="A3592" s="1124"/>
      <c r="B3592" s="1120"/>
      <c r="C3592" s="1127" t="s">
        <v>881</v>
      </c>
      <c r="D3592" s="1120"/>
      <c r="E3592" s="1120"/>
      <c r="F3592" s="1120"/>
      <c r="G3592" s="1121"/>
    </row>
    <row r="3593" spans="1:7" s="145" customFormat="1" ht="13.8">
      <c r="A3593" s="1124"/>
      <c r="B3593" s="1120"/>
      <c r="C3593" s="1128" t="s">
        <v>2</v>
      </c>
      <c r="D3593" s="1120"/>
      <c r="E3593" s="1120"/>
      <c r="F3593" s="146" t="s">
        <v>3</v>
      </c>
      <c r="G3593" s="147" t="s">
        <v>4</v>
      </c>
    </row>
    <row r="3594" spans="1:7" s="145" customFormat="1" ht="48.75" customHeight="1">
      <c r="A3594" s="1073" t="s">
        <v>885</v>
      </c>
      <c r="B3594" s="1115"/>
      <c r="C3594" s="980" t="s">
        <v>886</v>
      </c>
      <c r="D3594" s="1115"/>
      <c r="E3594" s="1115"/>
      <c r="F3594" s="162" t="s">
        <v>28</v>
      </c>
      <c r="G3594" s="52">
        <v>1</v>
      </c>
    </row>
    <row r="3595" spans="1:7" s="145" customFormat="1" ht="15.75" customHeight="1">
      <c r="A3595" s="1114" t="s">
        <v>5</v>
      </c>
      <c r="B3595" s="1115"/>
      <c r="C3595" s="1115"/>
      <c r="D3595" s="1115"/>
      <c r="E3595" s="1115"/>
      <c r="F3595" s="1115"/>
      <c r="G3595" s="1116"/>
    </row>
    <row r="3596" spans="1:7" s="145" customFormat="1" ht="15.75" customHeight="1">
      <c r="A3596" s="1074" t="s">
        <v>2</v>
      </c>
      <c r="B3596" s="1115"/>
      <c r="C3596" s="53" t="s">
        <v>3</v>
      </c>
      <c r="D3596" s="53" t="s">
        <v>4</v>
      </c>
      <c r="E3596" s="53" t="s">
        <v>6</v>
      </c>
      <c r="F3596" s="53" t="s">
        <v>7</v>
      </c>
      <c r="G3596" s="1075" t="s">
        <v>8</v>
      </c>
    </row>
    <row r="3597" spans="1:7" s="145" customFormat="1" ht="15.75" customHeight="1">
      <c r="A3597" s="947" t="s">
        <v>167</v>
      </c>
      <c r="B3597" s="1115"/>
      <c r="C3597" s="51" t="s">
        <v>3</v>
      </c>
      <c r="D3597" s="51">
        <v>0.05</v>
      </c>
      <c r="E3597" s="17">
        <f>G3610</f>
        <v>40060</v>
      </c>
      <c r="F3597" s="55">
        <f>D3597*E3597</f>
        <v>2003</v>
      </c>
      <c r="G3597" s="1116"/>
    </row>
    <row r="3598" spans="1:7" s="145" customFormat="1" ht="15.75" customHeight="1">
      <c r="A3598" s="943"/>
      <c r="B3598" s="1115"/>
      <c r="C3598" s="51"/>
      <c r="D3598" s="51"/>
      <c r="E3598" s="51"/>
      <c r="F3598" s="55"/>
      <c r="G3598" s="57">
        <f>SUM(F3596:F3598)</f>
        <v>2003</v>
      </c>
    </row>
    <row r="3599" spans="1:7" s="145" customFormat="1" ht="15.75" customHeight="1">
      <c r="A3599" s="1114" t="s">
        <v>10</v>
      </c>
      <c r="B3599" s="1115"/>
      <c r="C3599" s="1115"/>
      <c r="D3599" s="1115"/>
      <c r="E3599" s="1115"/>
      <c r="F3599" s="1115"/>
      <c r="G3599" s="1116"/>
    </row>
    <row r="3600" spans="1:7" s="168" customFormat="1" ht="13.8">
      <c r="A3600" s="1074" t="s">
        <v>2</v>
      </c>
      <c r="B3600" s="1115"/>
      <c r="C3600" s="53" t="s">
        <v>3</v>
      </c>
      <c r="D3600" s="53" t="s">
        <v>4</v>
      </c>
      <c r="E3600" s="53" t="s">
        <v>6</v>
      </c>
      <c r="F3600" s="53" t="s">
        <v>11</v>
      </c>
      <c r="G3600" s="1075" t="s">
        <v>8</v>
      </c>
    </row>
    <row r="3601" spans="1:7" s="145" customFormat="1" ht="48" customHeight="1">
      <c r="A3601" s="947" t="s">
        <v>2489</v>
      </c>
      <c r="B3601" s="1115"/>
      <c r="C3601" s="51" t="s">
        <v>3</v>
      </c>
      <c r="D3601" s="51">
        <v>1</v>
      </c>
      <c r="E3601" s="17">
        <f>+'INSUMOS ELÉCTRICOS'!E140</f>
        <v>297500</v>
      </c>
      <c r="F3601" s="55">
        <f>D3601*E3601</f>
        <v>297500</v>
      </c>
      <c r="G3601" s="1075"/>
    </row>
    <row r="3602" spans="1:7" s="145" customFormat="1" ht="15.75" customHeight="1">
      <c r="A3602" s="947"/>
      <c r="B3602" s="980"/>
      <c r="C3602" s="16"/>
      <c r="D3602" s="58"/>
      <c r="E3602" s="17"/>
      <c r="F3602" s="55">
        <f>E3602*D3602</f>
        <v>0</v>
      </c>
      <c r="G3602" s="57">
        <f>SUM(F3600:F3602)</f>
        <v>297500</v>
      </c>
    </row>
    <row r="3603" spans="1:7" s="145" customFormat="1" ht="15.75" customHeight="1">
      <c r="A3603" s="1114" t="s">
        <v>15</v>
      </c>
      <c r="B3603" s="1115"/>
      <c r="C3603" s="1115"/>
      <c r="D3603" s="1115"/>
      <c r="E3603" s="1115"/>
      <c r="F3603" s="1115"/>
      <c r="G3603" s="1116"/>
    </row>
    <row r="3604" spans="1:7" s="150" customFormat="1" ht="15.75" customHeight="1">
      <c r="A3604" s="1074" t="s">
        <v>2</v>
      </c>
      <c r="B3604" s="1115"/>
      <c r="C3604" s="53" t="s">
        <v>3</v>
      </c>
      <c r="D3604" s="53" t="s">
        <v>4</v>
      </c>
      <c r="E3604" s="53" t="s">
        <v>6</v>
      </c>
      <c r="F3604" s="53" t="s">
        <v>11</v>
      </c>
      <c r="G3604" s="1075" t="s">
        <v>8</v>
      </c>
    </row>
    <row r="3605" spans="1:7" s="145" customFormat="1" ht="15.75" customHeight="1">
      <c r="A3605" s="947" t="s">
        <v>842</v>
      </c>
      <c r="B3605" s="1115"/>
      <c r="C3605" s="51" t="s">
        <v>3</v>
      </c>
      <c r="D3605" s="51">
        <v>7.0000000000000001E-3</v>
      </c>
      <c r="E3605" s="17">
        <f>G3602</f>
        <v>297500</v>
      </c>
      <c r="F3605" s="55">
        <f>D3605*E3605</f>
        <v>2082.5</v>
      </c>
      <c r="G3605" s="1116"/>
    </row>
    <row r="3606" spans="1:7" s="145" customFormat="1" ht="15.75" customHeight="1">
      <c r="A3606" s="151"/>
      <c r="B3606" s="152"/>
      <c r="C3606" s="152"/>
      <c r="D3606" s="152"/>
      <c r="E3606" s="152"/>
      <c r="F3606" s="152"/>
      <c r="G3606" s="57">
        <f>SUM(F3605:F3606)</f>
        <v>2082.5</v>
      </c>
    </row>
    <row r="3607" spans="1:7" s="145" customFormat="1" ht="15.75" customHeight="1">
      <c r="A3607" s="1114" t="s">
        <v>19</v>
      </c>
      <c r="B3607" s="1115"/>
      <c r="C3607" s="1115"/>
      <c r="D3607" s="1115"/>
      <c r="E3607" s="1115"/>
      <c r="F3607" s="1115"/>
      <c r="G3607" s="1116"/>
    </row>
    <row r="3608" spans="1:7" s="2" customFormat="1" ht="15.75" customHeight="1">
      <c r="A3608" s="1074" t="s">
        <v>2</v>
      </c>
      <c r="B3608" s="1115"/>
      <c r="C3608" s="53" t="s">
        <v>3</v>
      </c>
      <c r="D3608" s="53" t="s">
        <v>4</v>
      </c>
      <c r="E3608" s="53" t="s">
        <v>6</v>
      </c>
      <c r="F3608" s="53" t="s">
        <v>11</v>
      </c>
      <c r="G3608" s="1075" t="s">
        <v>8</v>
      </c>
    </row>
    <row r="3609" spans="1:7" s="145" customFormat="1" ht="15.75" customHeight="1">
      <c r="A3609" s="978" t="s">
        <v>1256</v>
      </c>
      <c r="B3609" s="979"/>
      <c r="C3609" s="13" t="s">
        <v>1245</v>
      </c>
      <c r="D3609" s="32">
        <v>2</v>
      </c>
      <c r="E3609" s="13">
        <v>20030</v>
      </c>
      <c r="F3609" s="55">
        <f>+D3609*E3609</f>
        <v>40060</v>
      </c>
      <c r="G3609" s="1116"/>
    </row>
    <row r="3610" spans="1:7" s="145" customFormat="1" ht="15.75" customHeight="1">
      <c r="A3610" s="155"/>
      <c r="B3610" s="156"/>
      <c r="C3610" s="156"/>
      <c r="D3610" s="156"/>
      <c r="E3610" s="156"/>
      <c r="F3610" s="156"/>
      <c r="G3610" s="57">
        <f>SUM(F3608:F3610)</f>
        <v>40060</v>
      </c>
    </row>
    <row r="3611" spans="1:7" s="145" customFormat="1" ht="15.75" customHeight="1">
      <c r="A3611" s="1119" t="s">
        <v>25</v>
      </c>
      <c r="B3611" s="1120"/>
      <c r="C3611" s="1120"/>
      <c r="D3611" s="1120"/>
      <c r="E3611" s="1120"/>
      <c r="F3611" s="1120"/>
      <c r="G3611" s="1121"/>
    </row>
    <row r="3612" spans="1:7" s="145" customFormat="1" ht="15" customHeight="1">
      <c r="A3612" s="1122"/>
      <c r="B3612" s="1120"/>
      <c r="C3612" s="1120"/>
      <c r="D3612" s="1120"/>
      <c r="E3612" s="1120"/>
      <c r="F3612" s="1120"/>
      <c r="G3612" s="157">
        <f>G3610+G3606+G3602+G3598</f>
        <v>341645.5</v>
      </c>
    </row>
    <row r="3613" spans="1:7" s="145" customFormat="1" ht="15" customHeight="1">
      <c r="A3613" s="158"/>
      <c r="B3613" s="159"/>
      <c r="C3613" s="159"/>
      <c r="D3613" s="159"/>
      <c r="E3613" s="159"/>
      <c r="F3613" s="159"/>
      <c r="G3613" s="160"/>
    </row>
    <row r="3614" spans="1:7" s="145" customFormat="1" ht="15.75" customHeight="1">
      <c r="A3614" s="1123" t="s">
        <v>1</v>
      </c>
      <c r="B3614" s="1120"/>
      <c r="C3614" s="953" t="s">
        <v>594</v>
      </c>
      <c r="D3614" s="1125"/>
      <c r="E3614" s="1125"/>
      <c r="F3614" s="1125"/>
      <c r="G3614" s="1126"/>
    </row>
    <row r="3615" spans="1:7" s="145" customFormat="1" ht="24" customHeight="1">
      <c r="A3615" s="1124"/>
      <c r="B3615" s="1120"/>
      <c r="C3615" s="1125"/>
      <c r="D3615" s="1125"/>
      <c r="E3615" s="1125"/>
      <c r="F3615" s="1125"/>
      <c r="G3615" s="1126"/>
    </row>
    <row r="3616" spans="1:7" s="145" customFormat="1" ht="15.6" customHeight="1">
      <c r="A3616" s="1124"/>
      <c r="B3616" s="1120"/>
      <c r="C3616" s="1127" t="s">
        <v>881</v>
      </c>
      <c r="D3616" s="1120"/>
      <c r="E3616" s="1120"/>
      <c r="F3616" s="1120"/>
      <c r="G3616" s="1121"/>
    </row>
    <row r="3617" spans="1:7" s="145" customFormat="1" ht="15.75" customHeight="1">
      <c r="A3617" s="1124"/>
      <c r="B3617" s="1120"/>
      <c r="C3617" s="1128" t="s">
        <v>2</v>
      </c>
      <c r="D3617" s="1120"/>
      <c r="E3617" s="1120"/>
      <c r="F3617" s="146" t="s">
        <v>3</v>
      </c>
      <c r="G3617" s="147" t="s">
        <v>4</v>
      </c>
    </row>
    <row r="3618" spans="1:7" s="145" customFormat="1" ht="65.25" customHeight="1">
      <c r="A3618" s="1073" t="s">
        <v>887</v>
      </c>
      <c r="B3618" s="1115"/>
      <c r="C3618" s="980" t="s">
        <v>888</v>
      </c>
      <c r="D3618" s="1115"/>
      <c r="E3618" s="1115"/>
      <c r="F3618" s="162" t="s">
        <v>28</v>
      </c>
      <c r="G3618" s="52">
        <v>1</v>
      </c>
    </row>
    <row r="3619" spans="1:7" s="145" customFormat="1" ht="15.75" customHeight="1">
      <c r="A3619" s="1114" t="s">
        <v>5</v>
      </c>
      <c r="B3619" s="1115"/>
      <c r="C3619" s="1115"/>
      <c r="D3619" s="1115"/>
      <c r="E3619" s="1115"/>
      <c r="F3619" s="1115"/>
      <c r="G3619" s="1116"/>
    </row>
    <row r="3620" spans="1:7" s="145" customFormat="1" ht="15.75" customHeight="1">
      <c r="A3620" s="1074" t="s">
        <v>2</v>
      </c>
      <c r="B3620" s="1115"/>
      <c r="C3620" s="53" t="s">
        <v>3</v>
      </c>
      <c r="D3620" s="53" t="s">
        <v>4</v>
      </c>
      <c r="E3620" s="53" t="s">
        <v>6</v>
      </c>
      <c r="F3620" s="53" t="s">
        <v>7</v>
      </c>
      <c r="G3620" s="1075" t="s">
        <v>8</v>
      </c>
    </row>
    <row r="3621" spans="1:7" s="145" customFormat="1" ht="15.75" customHeight="1">
      <c r="A3621" s="947" t="s">
        <v>167</v>
      </c>
      <c r="B3621" s="1115"/>
      <c r="C3621" s="51" t="s">
        <v>3</v>
      </c>
      <c r="D3621" s="51">
        <v>0.05</v>
      </c>
      <c r="E3621" s="17">
        <v>167970</v>
      </c>
      <c r="F3621" s="55">
        <f>D3621*E3621</f>
        <v>8398.5</v>
      </c>
      <c r="G3621" s="1116"/>
    </row>
    <row r="3622" spans="1:7" s="145" customFormat="1" ht="15.75" customHeight="1">
      <c r="A3622" s="943"/>
      <c r="B3622" s="1115"/>
      <c r="C3622" s="51"/>
      <c r="D3622" s="51"/>
      <c r="E3622" s="51"/>
      <c r="F3622" s="55"/>
      <c r="G3622" s="57">
        <f>SUM(F3620:F3622)</f>
        <v>8398.5</v>
      </c>
    </row>
    <row r="3623" spans="1:7" s="145" customFormat="1" ht="15.75" customHeight="1">
      <c r="A3623" s="1114" t="s">
        <v>10</v>
      </c>
      <c r="B3623" s="1115"/>
      <c r="C3623" s="1115"/>
      <c r="D3623" s="1115"/>
      <c r="E3623" s="1115"/>
      <c r="F3623" s="1115"/>
      <c r="G3623" s="1116"/>
    </row>
    <row r="3624" spans="1:7" s="145" customFormat="1" ht="15.75" customHeight="1">
      <c r="A3624" s="1074" t="s">
        <v>2</v>
      </c>
      <c r="B3624" s="1115"/>
      <c r="C3624" s="53" t="s">
        <v>3</v>
      </c>
      <c r="D3624" s="53" t="s">
        <v>4</v>
      </c>
      <c r="E3624" s="53" t="s">
        <v>6</v>
      </c>
      <c r="F3624" s="53" t="s">
        <v>11</v>
      </c>
      <c r="G3624" s="1075" t="s">
        <v>8</v>
      </c>
    </row>
    <row r="3625" spans="1:7" s="168" customFormat="1" ht="72" customHeight="1">
      <c r="A3625" s="947" t="s">
        <v>2491</v>
      </c>
      <c r="B3625" s="1115"/>
      <c r="C3625" s="51" t="s">
        <v>3</v>
      </c>
      <c r="D3625" s="51">
        <v>1</v>
      </c>
      <c r="E3625" s="17">
        <f>+'INSUMOS ELÉCTRICOS'!E141</f>
        <v>13259900</v>
      </c>
      <c r="F3625" s="55">
        <f>D3625*E3625</f>
        <v>13259900</v>
      </c>
      <c r="G3625" s="1075"/>
    </row>
    <row r="3626" spans="1:7" s="145" customFormat="1" ht="15.75" customHeight="1">
      <c r="A3626" s="947"/>
      <c r="B3626" s="980"/>
      <c r="C3626" s="16"/>
      <c r="D3626" s="58"/>
      <c r="E3626" s="17"/>
      <c r="F3626" s="55">
        <f>E3626*D3626</f>
        <v>0</v>
      </c>
      <c r="G3626" s="57">
        <f>SUM(F3624:F3626)</f>
        <v>13259900</v>
      </c>
    </row>
    <row r="3627" spans="1:7" s="145" customFormat="1" ht="15.75" customHeight="1">
      <c r="A3627" s="1114" t="s">
        <v>15</v>
      </c>
      <c r="B3627" s="1115"/>
      <c r="C3627" s="1115"/>
      <c r="D3627" s="1115"/>
      <c r="E3627" s="1115"/>
      <c r="F3627" s="1115"/>
      <c r="G3627" s="1116"/>
    </row>
    <row r="3628" spans="1:7" s="145" customFormat="1" ht="15.75" customHeight="1">
      <c r="A3628" s="1074" t="s">
        <v>2</v>
      </c>
      <c r="B3628" s="1115"/>
      <c r="C3628" s="53" t="s">
        <v>3</v>
      </c>
      <c r="D3628" s="53" t="s">
        <v>4</v>
      </c>
      <c r="E3628" s="53" t="s">
        <v>6</v>
      </c>
      <c r="F3628" s="53" t="s">
        <v>11</v>
      </c>
      <c r="G3628" s="1075" t="s">
        <v>8</v>
      </c>
    </row>
    <row r="3629" spans="1:7" s="150" customFormat="1" ht="15.75" customHeight="1">
      <c r="A3629" s="947" t="s">
        <v>842</v>
      </c>
      <c r="B3629" s="1115"/>
      <c r="C3629" s="51" t="s">
        <v>3</v>
      </c>
      <c r="D3629" s="51">
        <v>1E-3</v>
      </c>
      <c r="E3629" s="17">
        <f>G3626</f>
        <v>13259900</v>
      </c>
      <c r="F3629" s="55">
        <f>D3629*E3629</f>
        <v>13259.9</v>
      </c>
      <c r="G3629" s="1116"/>
    </row>
    <row r="3630" spans="1:7" s="145" customFormat="1" ht="15.75" customHeight="1">
      <c r="A3630" s="151"/>
      <c r="B3630" s="152"/>
      <c r="C3630" s="152"/>
      <c r="D3630" s="152"/>
      <c r="E3630" s="152"/>
      <c r="F3630" s="152"/>
      <c r="G3630" s="57">
        <f>SUM(F3629:F3630)</f>
        <v>13259.9</v>
      </c>
    </row>
    <row r="3631" spans="1:7" s="145" customFormat="1" ht="15.75" customHeight="1">
      <c r="A3631" s="1114" t="s">
        <v>19</v>
      </c>
      <c r="B3631" s="1115"/>
      <c r="C3631" s="1115"/>
      <c r="D3631" s="1115"/>
      <c r="E3631" s="1115"/>
      <c r="F3631" s="1115"/>
      <c r="G3631" s="1116"/>
    </row>
    <row r="3632" spans="1:7" s="145" customFormat="1" ht="15.75" customHeight="1">
      <c r="A3632" s="1074" t="s">
        <v>2</v>
      </c>
      <c r="B3632" s="1115"/>
      <c r="C3632" s="53" t="s">
        <v>3</v>
      </c>
      <c r="D3632" s="53" t="s">
        <v>4</v>
      </c>
      <c r="E3632" s="53" t="s">
        <v>6</v>
      </c>
      <c r="F3632" s="53" t="s">
        <v>11</v>
      </c>
      <c r="G3632" s="1075" t="s">
        <v>8</v>
      </c>
    </row>
    <row r="3633" spans="1:7" s="2" customFormat="1" ht="15.75" customHeight="1">
      <c r="A3633" s="978" t="s">
        <v>1256</v>
      </c>
      <c r="B3633" s="979"/>
      <c r="C3633" s="13" t="s">
        <v>1245</v>
      </c>
      <c r="D3633" s="32">
        <v>3</v>
      </c>
      <c r="E3633" s="13">
        <v>20030</v>
      </c>
      <c r="F3633" s="55">
        <f>+D3633*E3633</f>
        <v>60090</v>
      </c>
      <c r="G3633" s="1116"/>
    </row>
    <row r="3634" spans="1:7" s="145" customFormat="1" ht="15.75" customHeight="1">
      <c r="A3634" s="155"/>
      <c r="B3634" s="156"/>
      <c r="C3634" s="156"/>
      <c r="D3634" s="156"/>
      <c r="E3634" s="156"/>
      <c r="F3634" s="156"/>
      <c r="G3634" s="57">
        <f>SUM(F3632:F3634)</f>
        <v>60090</v>
      </c>
    </row>
    <row r="3635" spans="1:7" s="145" customFormat="1" ht="15.75" customHeight="1">
      <c r="A3635" s="1119" t="s">
        <v>25</v>
      </c>
      <c r="B3635" s="1120"/>
      <c r="C3635" s="1120"/>
      <c r="D3635" s="1120"/>
      <c r="E3635" s="1120"/>
      <c r="F3635" s="1120"/>
      <c r="G3635" s="1121"/>
    </row>
    <row r="3636" spans="1:7" s="145" customFormat="1" ht="15.75" customHeight="1">
      <c r="A3636" s="1122"/>
      <c r="B3636" s="1120"/>
      <c r="C3636" s="1120"/>
      <c r="D3636" s="1120"/>
      <c r="E3636" s="1120"/>
      <c r="F3636" s="1120"/>
      <c r="G3636" s="157">
        <f>G3634+G3630+G3626+G3622</f>
        <v>13341648.4</v>
      </c>
    </row>
    <row r="3637" spans="1:7" s="145" customFormat="1" ht="15" customHeight="1">
      <c r="A3637" s="158"/>
      <c r="B3637" s="159"/>
      <c r="C3637" s="159"/>
      <c r="D3637" s="159"/>
      <c r="E3637" s="159"/>
      <c r="F3637" s="159"/>
      <c r="G3637" s="160"/>
    </row>
    <row r="3638" spans="1:7" s="145" customFormat="1" ht="15.75" customHeight="1">
      <c r="A3638" s="1123" t="s">
        <v>1</v>
      </c>
      <c r="B3638" s="1120"/>
      <c r="C3638" s="953" t="s">
        <v>594</v>
      </c>
      <c r="D3638" s="1125"/>
      <c r="E3638" s="1125"/>
      <c r="F3638" s="1125"/>
      <c r="G3638" s="1126"/>
    </row>
    <row r="3639" spans="1:7" s="145" customFormat="1" ht="24" customHeight="1">
      <c r="A3639" s="1124"/>
      <c r="B3639" s="1120"/>
      <c r="C3639" s="1125"/>
      <c r="D3639" s="1125"/>
      <c r="E3639" s="1125"/>
      <c r="F3639" s="1125"/>
      <c r="G3639" s="1126"/>
    </row>
    <row r="3640" spans="1:7" s="145" customFormat="1" ht="15.6" customHeight="1">
      <c r="A3640" s="1124"/>
      <c r="B3640" s="1120"/>
      <c r="C3640" s="1127" t="s">
        <v>881</v>
      </c>
      <c r="D3640" s="1120"/>
      <c r="E3640" s="1120"/>
      <c r="F3640" s="1120"/>
      <c r="G3640" s="1121"/>
    </row>
    <row r="3641" spans="1:7" s="145" customFormat="1" ht="15.75" customHeight="1">
      <c r="A3641" s="1124"/>
      <c r="B3641" s="1120"/>
      <c r="C3641" s="1128" t="s">
        <v>2</v>
      </c>
      <c r="D3641" s="1120"/>
      <c r="E3641" s="1120"/>
      <c r="F3641" s="146" t="s">
        <v>3</v>
      </c>
      <c r="G3641" s="147" t="s">
        <v>4</v>
      </c>
    </row>
    <row r="3642" spans="1:7" s="145" customFormat="1" ht="34.799999999999997">
      <c r="A3642" s="1073" t="s">
        <v>889</v>
      </c>
      <c r="B3642" s="1115"/>
      <c r="C3642" s="980" t="s">
        <v>890</v>
      </c>
      <c r="D3642" s="1115"/>
      <c r="E3642" s="1115"/>
      <c r="F3642" s="162" t="s">
        <v>28</v>
      </c>
      <c r="G3642" s="52">
        <v>1</v>
      </c>
    </row>
    <row r="3643" spans="1:7" s="145" customFormat="1" ht="15.75" customHeight="1">
      <c r="A3643" s="1114" t="s">
        <v>5</v>
      </c>
      <c r="B3643" s="1115"/>
      <c r="C3643" s="1115"/>
      <c r="D3643" s="1115"/>
      <c r="E3643" s="1115"/>
      <c r="F3643" s="1115"/>
      <c r="G3643" s="1116"/>
    </row>
    <row r="3644" spans="1:7" s="145" customFormat="1" ht="15.75" customHeight="1">
      <c r="A3644" s="1074" t="s">
        <v>2</v>
      </c>
      <c r="B3644" s="1115"/>
      <c r="C3644" s="53" t="s">
        <v>3</v>
      </c>
      <c r="D3644" s="53" t="s">
        <v>4</v>
      </c>
      <c r="E3644" s="53" t="s">
        <v>6</v>
      </c>
      <c r="F3644" s="53" t="s">
        <v>7</v>
      </c>
      <c r="G3644" s="1075" t="s">
        <v>8</v>
      </c>
    </row>
    <row r="3645" spans="1:7" s="145" customFormat="1" ht="15.75" customHeight="1">
      <c r="A3645" s="947" t="s">
        <v>167</v>
      </c>
      <c r="B3645" s="1115"/>
      <c r="C3645" s="51" t="s">
        <v>3</v>
      </c>
      <c r="D3645" s="51">
        <v>0.05</v>
      </c>
      <c r="E3645" s="17">
        <f>G3658</f>
        <v>40060</v>
      </c>
      <c r="F3645" s="55">
        <f>D3645*E3645</f>
        <v>2003</v>
      </c>
      <c r="G3645" s="1116"/>
    </row>
    <row r="3646" spans="1:7" s="145" customFormat="1" ht="15.75" customHeight="1">
      <c r="A3646" s="943"/>
      <c r="B3646" s="1115"/>
      <c r="C3646" s="51"/>
      <c r="D3646" s="51"/>
      <c r="E3646" s="51"/>
      <c r="F3646" s="55"/>
      <c r="G3646" s="57">
        <f>SUM(F3644:F3646)</f>
        <v>2003</v>
      </c>
    </row>
    <row r="3647" spans="1:7" s="145" customFormat="1" ht="15.75" customHeight="1">
      <c r="A3647" s="1114" t="s">
        <v>10</v>
      </c>
      <c r="B3647" s="1115"/>
      <c r="C3647" s="1115"/>
      <c r="D3647" s="1115"/>
      <c r="E3647" s="1115"/>
      <c r="F3647" s="1115"/>
      <c r="G3647" s="1116"/>
    </row>
    <row r="3648" spans="1:7" s="145" customFormat="1" ht="15.75" customHeight="1">
      <c r="A3648" s="1074" t="s">
        <v>2</v>
      </c>
      <c r="B3648" s="1115"/>
      <c r="C3648" s="53" t="s">
        <v>3</v>
      </c>
      <c r="D3648" s="53" t="s">
        <v>4</v>
      </c>
      <c r="E3648" s="53" t="s">
        <v>6</v>
      </c>
      <c r="F3648" s="53" t="s">
        <v>11</v>
      </c>
      <c r="G3648" s="1075" t="s">
        <v>8</v>
      </c>
    </row>
    <row r="3649" spans="1:7" s="168" customFormat="1" ht="13.8">
      <c r="A3649" s="947" t="s">
        <v>891</v>
      </c>
      <c r="B3649" s="1115"/>
      <c r="C3649" s="51" t="s">
        <v>3</v>
      </c>
      <c r="D3649" s="51">
        <v>1</v>
      </c>
      <c r="E3649" s="17">
        <f>+'INSUMOS ELÉCTRICOS'!E142</f>
        <v>2856000</v>
      </c>
      <c r="F3649" s="55">
        <f>D3649*E3649</f>
        <v>2856000</v>
      </c>
      <c r="G3649" s="1075"/>
    </row>
    <row r="3650" spans="1:7" s="145" customFormat="1" ht="15.75" customHeight="1">
      <c r="A3650" s="947"/>
      <c r="B3650" s="980"/>
      <c r="C3650" s="16"/>
      <c r="D3650" s="58"/>
      <c r="E3650" s="17"/>
      <c r="F3650" s="55">
        <f>E3650*D3650</f>
        <v>0</v>
      </c>
      <c r="G3650" s="57">
        <f>SUM(F3648:F3650)</f>
        <v>2856000</v>
      </c>
    </row>
    <row r="3651" spans="1:7" s="145" customFormat="1" ht="15.75" customHeight="1">
      <c r="A3651" s="1114" t="s">
        <v>15</v>
      </c>
      <c r="B3651" s="1115"/>
      <c r="C3651" s="1115"/>
      <c r="D3651" s="1115"/>
      <c r="E3651" s="1115"/>
      <c r="F3651" s="1115"/>
      <c r="G3651" s="1116"/>
    </row>
    <row r="3652" spans="1:7" s="145" customFormat="1" ht="15.75" customHeight="1">
      <c r="A3652" s="1074" t="s">
        <v>2</v>
      </c>
      <c r="B3652" s="1115"/>
      <c r="C3652" s="53" t="s">
        <v>3</v>
      </c>
      <c r="D3652" s="53" t="s">
        <v>4</v>
      </c>
      <c r="E3652" s="53" t="s">
        <v>6</v>
      </c>
      <c r="F3652" s="53" t="s">
        <v>11</v>
      </c>
      <c r="G3652" s="1075" t="s">
        <v>8</v>
      </c>
    </row>
    <row r="3653" spans="1:7" s="150" customFormat="1" ht="15.75" customHeight="1">
      <c r="A3653" s="947" t="s">
        <v>842</v>
      </c>
      <c r="B3653" s="1115"/>
      <c r="C3653" s="51" t="s">
        <v>3</v>
      </c>
      <c r="D3653" s="51">
        <v>3.0000000000000001E-3</v>
      </c>
      <c r="E3653" s="17">
        <f>G3650</f>
        <v>2856000</v>
      </c>
      <c r="F3653" s="55">
        <f>D3653*E3653</f>
        <v>8568</v>
      </c>
      <c r="G3653" s="1116"/>
    </row>
    <row r="3654" spans="1:7" s="145" customFormat="1" ht="15.75" customHeight="1">
      <c r="A3654" s="151"/>
      <c r="B3654" s="152"/>
      <c r="C3654" s="152"/>
      <c r="D3654" s="152"/>
      <c r="E3654" s="152"/>
      <c r="F3654" s="152"/>
      <c r="G3654" s="57">
        <f>SUM(F3653:F3654)</f>
        <v>8568</v>
      </c>
    </row>
    <row r="3655" spans="1:7" s="145" customFormat="1" ht="15.75" customHeight="1">
      <c r="A3655" s="1114" t="s">
        <v>19</v>
      </c>
      <c r="B3655" s="1115"/>
      <c r="C3655" s="1115"/>
      <c r="D3655" s="1115"/>
      <c r="E3655" s="1115"/>
      <c r="F3655" s="1115"/>
      <c r="G3655" s="1116"/>
    </row>
    <row r="3656" spans="1:7" s="145" customFormat="1" ht="15.75" customHeight="1">
      <c r="A3656" s="1074" t="s">
        <v>2</v>
      </c>
      <c r="B3656" s="1115"/>
      <c r="C3656" s="53" t="s">
        <v>3</v>
      </c>
      <c r="D3656" s="53" t="s">
        <v>4</v>
      </c>
      <c r="E3656" s="53" t="s">
        <v>6</v>
      </c>
      <c r="F3656" s="53" t="s">
        <v>11</v>
      </c>
      <c r="G3656" s="1075" t="s">
        <v>8</v>
      </c>
    </row>
    <row r="3657" spans="1:7" s="2" customFormat="1" ht="15.75" customHeight="1">
      <c r="A3657" s="978" t="s">
        <v>1256</v>
      </c>
      <c r="B3657" s="979"/>
      <c r="C3657" s="13" t="s">
        <v>1245</v>
      </c>
      <c r="D3657" s="32">
        <v>2</v>
      </c>
      <c r="E3657" s="13">
        <v>20030</v>
      </c>
      <c r="F3657" s="55">
        <f>+D3657*E3657</f>
        <v>40060</v>
      </c>
      <c r="G3657" s="1116"/>
    </row>
    <row r="3658" spans="1:7" s="145" customFormat="1" ht="15.75" customHeight="1">
      <c r="A3658" s="155"/>
      <c r="B3658" s="156"/>
      <c r="C3658" s="156"/>
      <c r="D3658" s="156"/>
      <c r="E3658" s="156"/>
      <c r="F3658" s="156"/>
      <c r="G3658" s="57">
        <f>SUM(F3656:F3658)</f>
        <v>40060</v>
      </c>
    </row>
    <row r="3659" spans="1:7" s="145" customFormat="1" ht="15.75" customHeight="1">
      <c r="A3659" s="1119" t="s">
        <v>25</v>
      </c>
      <c r="B3659" s="1120"/>
      <c r="C3659" s="1120"/>
      <c r="D3659" s="1120"/>
      <c r="E3659" s="1120"/>
      <c r="F3659" s="1120"/>
      <c r="G3659" s="1121"/>
    </row>
    <row r="3660" spans="1:7" s="145" customFormat="1" ht="15.75" customHeight="1">
      <c r="A3660" s="1122"/>
      <c r="B3660" s="1120"/>
      <c r="C3660" s="1120"/>
      <c r="D3660" s="1120"/>
      <c r="E3660" s="1120"/>
      <c r="F3660" s="1120"/>
      <c r="G3660" s="157">
        <f>G3658+G3654+G3650+G3646</f>
        <v>2906631</v>
      </c>
    </row>
    <row r="3661" spans="1:7" s="145" customFormat="1" ht="15" customHeight="1">
      <c r="A3661" s="158"/>
      <c r="B3661" s="159"/>
      <c r="C3661" s="159"/>
      <c r="D3661" s="159"/>
      <c r="E3661" s="159"/>
      <c r="F3661" s="159"/>
      <c r="G3661" s="160"/>
    </row>
    <row r="3662" spans="1:7" s="145" customFormat="1" ht="15.75" customHeight="1">
      <c r="A3662" s="1123" t="s">
        <v>1</v>
      </c>
      <c r="B3662" s="1120"/>
      <c r="C3662" s="953" t="s">
        <v>594</v>
      </c>
      <c r="D3662" s="1125"/>
      <c r="E3662" s="1125"/>
      <c r="F3662" s="1125"/>
      <c r="G3662" s="1126"/>
    </row>
    <row r="3663" spans="1:7" s="145" customFormat="1" ht="24" customHeight="1">
      <c r="A3663" s="1124"/>
      <c r="B3663" s="1120"/>
      <c r="C3663" s="1125"/>
      <c r="D3663" s="1125"/>
      <c r="E3663" s="1125"/>
      <c r="F3663" s="1125"/>
      <c r="G3663" s="1126"/>
    </row>
    <row r="3664" spans="1:7" s="145" customFormat="1" ht="15.6" customHeight="1">
      <c r="A3664" s="1124"/>
      <c r="B3664" s="1120"/>
      <c r="C3664" s="1127" t="s">
        <v>881</v>
      </c>
      <c r="D3664" s="1120"/>
      <c r="E3664" s="1120"/>
      <c r="F3664" s="1120"/>
      <c r="G3664" s="1121"/>
    </row>
    <row r="3665" spans="1:7" s="145" customFormat="1" ht="15.75" customHeight="1">
      <c r="A3665" s="1124"/>
      <c r="B3665" s="1120"/>
      <c r="C3665" s="1128" t="s">
        <v>2</v>
      </c>
      <c r="D3665" s="1120"/>
      <c r="E3665" s="1120"/>
      <c r="F3665" s="146" t="s">
        <v>3</v>
      </c>
      <c r="G3665" s="147" t="s">
        <v>4</v>
      </c>
    </row>
    <row r="3666" spans="1:7" s="145" customFormat="1" ht="76.5" customHeight="1">
      <c r="A3666" s="1073" t="s">
        <v>892</v>
      </c>
      <c r="B3666" s="1115"/>
      <c r="C3666" s="980" t="s">
        <v>893</v>
      </c>
      <c r="D3666" s="1115"/>
      <c r="E3666" s="1115"/>
      <c r="F3666" s="162" t="s">
        <v>28</v>
      </c>
      <c r="G3666" s="52">
        <v>1</v>
      </c>
    </row>
    <row r="3667" spans="1:7" s="145" customFormat="1" ht="15.75" customHeight="1">
      <c r="A3667" s="1114" t="s">
        <v>5</v>
      </c>
      <c r="B3667" s="1115"/>
      <c r="C3667" s="1115"/>
      <c r="D3667" s="1115"/>
      <c r="E3667" s="1115"/>
      <c r="F3667" s="1115"/>
      <c r="G3667" s="1116"/>
    </row>
    <row r="3668" spans="1:7" s="145" customFormat="1" ht="15.75" customHeight="1">
      <c r="A3668" s="1074" t="s">
        <v>2</v>
      </c>
      <c r="B3668" s="1115"/>
      <c r="C3668" s="53" t="s">
        <v>3</v>
      </c>
      <c r="D3668" s="53" t="s">
        <v>4</v>
      </c>
      <c r="E3668" s="53" t="s">
        <v>6</v>
      </c>
      <c r="F3668" s="53" t="s">
        <v>7</v>
      </c>
      <c r="G3668" s="1075" t="s">
        <v>8</v>
      </c>
    </row>
    <row r="3669" spans="1:7" s="145" customFormat="1" ht="15.75" customHeight="1">
      <c r="A3669" s="947" t="s">
        <v>167</v>
      </c>
      <c r="B3669" s="1115"/>
      <c r="C3669" s="51" t="s">
        <v>3</v>
      </c>
      <c r="D3669" s="51">
        <v>0.05</v>
      </c>
      <c r="E3669" s="17">
        <f>G3682</f>
        <v>320480</v>
      </c>
      <c r="F3669" s="55">
        <f>D3669*E3669</f>
        <v>16024</v>
      </c>
      <c r="G3669" s="1116"/>
    </row>
    <row r="3670" spans="1:7" s="145" customFormat="1" ht="15.75" customHeight="1">
      <c r="A3670" s="943"/>
      <c r="B3670" s="1115"/>
      <c r="C3670" s="51"/>
      <c r="D3670" s="51"/>
      <c r="E3670" s="51"/>
      <c r="F3670" s="55"/>
      <c r="G3670" s="57">
        <f>SUM(F3668:F3670)</f>
        <v>16024</v>
      </c>
    </row>
    <row r="3671" spans="1:7" s="145" customFormat="1" ht="15.75" customHeight="1">
      <c r="A3671" s="1114" t="s">
        <v>10</v>
      </c>
      <c r="B3671" s="1115"/>
      <c r="C3671" s="1115"/>
      <c r="D3671" s="1115"/>
      <c r="E3671" s="1115"/>
      <c r="F3671" s="1115"/>
      <c r="G3671" s="1116"/>
    </row>
    <row r="3672" spans="1:7" s="145" customFormat="1" ht="15.75" customHeight="1">
      <c r="A3672" s="1074" t="s">
        <v>2</v>
      </c>
      <c r="B3672" s="1115"/>
      <c r="C3672" s="53" t="s">
        <v>3</v>
      </c>
      <c r="D3672" s="53" t="s">
        <v>4</v>
      </c>
      <c r="E3672" s="53" t="s">
        <v>6</v>
      </c>
      <c r="F3672" s="53" t="s">
        <v>11</v>
      </c>
      <c r="G3672" s="1075" t="s">
        <v>8</v>
      </c>
    </row>
    <row r="3673" spans="1:7" s="168" customFormat="1" ht="52.2" customHeight="1">
      <c r="A3673" s="947" t="s">
        <v>894</v>
      </c>
      <c r="B3673" s="1115"/>
      <c r="C3673" s="51" t="s">
        <v>3</v>
      </c>
      <c r="D3673" s="51">
        <v>1</v>
      </c>
      <c r="E3673" s="17">
        <f>+'INSUMOS ELÉCTRICOS'!E143</f>
        <v>31500000</v>
      </c>
      <c r="F3673" s="55">
        <f>D3673*E3673</f>
        <v>31500000</v>
      </c>
      <c r="G3673" s="1075"/>
    </row>
    <row r="3674" spans="1:7" s="145" customFormat="1" ht="15.75" customHeight="1">
      <c r="A3674" s="947"/>
      <c r="B3674" s="980"/>
      <c r="C3674" s="16"/>
      <c r="D3674" s="58"/>
      <c r="E3674" s="17"/>
      <c r="F3674" s="55">
        <f>E3674*D3674</f>
        <v>0</v>
      </c>
      <c r="G3674" s="57">
        <f>SUM(F3672:F3674)</f>
        <v>31500000</v>
      </c>
    </row>
    <row r="3675" spans="1:7" s="145" customFormat="1" ht="15.75" customHeight="1">
      <c r="A3675" s="1114" t="s">
        <v>15</v>
      </c>
      <c r="B3675" s="1115"/>
      <c r="C3675" s="1115"/>
      <c r="D3675" s="1115"/>
      <c r="E3675" s="1115"/>
      <c r="F3675" s="1115"/>
      <c r="G3675" s="1116"/>
    </row>
    <row r="3676" spans="1:7" s="145" customFormat="1" ht="15.75" customHeight="1">
      <c r="A3676" s="1074" t="s">
        <v>2</v>
      </c>
      <c r="B3676" s="1115"/>
      <c r="C3676" s="53" t="s">
        <v>3</v>
      </c>
      <c r="D3676" s="53" t="s">
        <v>4</v>
      </c>
      <c r="E3676" s="53" t="s">
        <v>6</v>
      </c>
      <c r="F3676" s="53" t="s">
        <v>11</v>
      </c>
      <c r="G3676" s="1075" t="s">
        <v>8</v>
      </c>
    </row>
    <row r="3677" spans="1:7" s="150" customFormat="1" ht="15.75" customHeight="1">
      <c r="A3677" s="947" t="s">
        <v>842</v>
      </c>
      <c r="B3677" s="1115"/>
      <c r="C3677" s="51" t="s">
        <v>3</v>
      </c>
      <c r="D3677" s="51">
        <v>8.0000000000000004E-4</v>
      </c>
      <c r="E3677" s="17">
        <f>G3674</f>
        <v>31500000</v>
      </c>
      <c r="F3677" s="55">
        <f>D3677*E3677</f>
        <v>25200</v>
      </c>
      <c r="G3677" s="1116"/>
    </row>
    <row r="3678" spans="1:7" s="145" customFormat="1" ht="15.75" customHeight="1">
      <c r="A3678" s="151"/>
      <c r="B3678" s="152"/>
      <c r="C3678" s="152"/>
      <c r="D3678" s="152"/>
      <c r="E3678" s="152"/>
      <c r="F3678" s="152"/>
      <c r="G3678" s="57">
        <f>SUM(F3677:F3678)</f>
        <v>25200</v>
      </c>
    </row>
    <row r="3679" spans="1:7" s="145" customFormat="1" ht="15.75" customHeight="1">
      <c r="A3679" s="1114" t="s">
        <v>19</v>
      </c>
      <c r="B3679" s="1115"/>
      <c r="C3679" s="1115"/>
      <c r="D3679" s="1115"/>
      <c r="E3679" s="1115"/>
      <c r="F3679" s="1115"/>
      <c r="G3679" s="1116"/>
    </row>
    <row r="3680" spans="1:7" s="145" customFormat="1" ht="15.75" customHeight="1">
      <c r="A3680" s="1074" t="s">
        <v>2</v>
      </c>
      <c r="B3680" s="1115"/>
      <c r="C3680" s="53" t="s">
        <v>3</v>
      </c>
      <c r="D3680" s="53" t="s">
        <v>4</v>
      </c>
      <c r="E3680" s="53" t="s">
        <v>6</v>
      </c>
      <c r="F3680" s="53" t="s">
        <v>11</v>
      </c>
      <c r="G3680" s="1075" t="s">
        <v>8</v>
      </c>
    </row>
    <row r="3681" spans="1:7" s="2" customFormat="1" ht="15.75" customHeight="1">
      <c r="A3681" s="978" t="s">
        <v>1256</v>
      </c>
      <c r="B3681" s="979"/>
      <c r="C3681" s="13" t="s">
        <v>1245</v>
      </c>
      <c r="D3681" s="32">
        <v>16</v>
      </c>
      <c r="E3681" s="13">
        <v>20030</v>
      </c>
      <c r="F3681" s="55">
        <f>+D3681*E3681</f>
        <v>320480</v>
      </c>
      <c r="G3681" s="1116"/>
    </row>
    <row r="3682" spans="1:7" s="145" customFormat="1" ht="15.75" customHeight="1">
      <c r="A3682" s="155"/>
      <c r="B3682" s="156"/>
      <c r="C3682" s="156"/>
      <c r="D3682" s="156"/>
      <c r="E3682" s="156"/>
      <c r="F3682" s="156"/>
      <c r="G3682" s="57">
        <f>SUM(F3680:F3682)</f>
        <v>320480</v>
      </c>
    </row>
    <row r="3683" spans="1:7" s="145" customFormat="1" ht="15.75" customHeight="1">
      <c r="A3683" s="1119" t="s">
        <v>25</v>
      </c>
      <c r="B3683" s="1120"/>
      <c r="C3683" s="1120"/>
      <c r="D3683" s="1120"/>
      <c r="E3683" s="1120"/>
      <c r="F3683" s="1120"/>
      <c r="G3683" s="1121"/>
    </row>
    <row r="3684" spans="1:7" s="145" customFormat="1" ht="15.75" customHeight="1">
      <c r="A3684" s="1122"/>
      <c r="B3684" s="1120"/>
      <c r="C3684" s="1120"/>
      <c r="D3684" s="1120"/>
      <c r="E3684" s="1120"/>
      <c r="F3684" s="1120"/>
      <c r="G3684" s="157">
        <f>G3682+G3678+G3674+G3670</f>
        <v>31861704</v>
      </c>
    </row>
    <row r="3685" spans="1:7" s="145" customFormat="1" ht="15" customHeight="1">
      <c r="A3685" s="158"/>
      <c r="B3685" s="159"/>
      <c r="C3685" s="159"/>
      <c r="D3685" s="159"/>
      <c r="E3685" s="159"/>
      <c r="F3685" s="159"/>
      <c r="G3685" s="160"/>
    </row>
    <row r="3686" spans="1:7" s="145" customFormat="1" ht="15.75" customHeight="1">
      <c r="A3686" s="158"/>
      <c r="B3686" s="159"/>
      <c r="C3686" s="159"/>
      <c r="D3686" s="159"/>
      <c r="E3686" s="159"/>
      <c r="F3686" s="159"/>
      <c r="G3686" s="160"/>
    </row>
    <row r="3687" spans="1:7" s="145" customFormat="1" ht="24" customHeight="1">
      <c r="A3687" s="1123" t="s">
        <v>1</v>
      </c>
      <c r="B3687" s="1147"/>
      <c r="C3687" s="953" t="s">
        <v>594</v>
      </c>
      <c r="D3687" s="953"/>
      <c r="E3687" s="953"/>
      <c r="F3687" s="953"/>
      <c r="G3687" s="1103"/>
    </row>
    <row r="3688" spans="1:7" s="145" customFormat="1" ht="15.6" customHeight="1">
      <c r="A3688" s="1123"/>
      <c r="B3688" s="1147"/>
      <c r="C3688" s="953"/>
      <c r="D3688" s="953"/>
      <c r="E3688" s="953"/>
      <c r="F3688" s="953"/>
      <c r="G3688" s="1103"/>
    </row>
    <row r="3689" spans="1:7" s="145" customFormat="1" ht="15.75" customHeight="1">
      <c r="A3689" s="1123"/>
      <c r="B3689" s="1147"/>
      <c r="C3689" s="1127" t="s">
        <v>896</v>
      </c>
      <c r="D3689" s="1127"/>
      <c r="E3689" s="1127"/>
      <c r="F3689" s="1127"/>
      <c r="G3689" s="1148"/>
    </row>
    <row r="3690" spans="1:7" s="145" customFormat="1" ht="13.8">
      <c r="A3690" s="1123"/>
      <c r="B3690" s="1147"/>
      <c r="C3690" s="1128" t="s">
        <v>2</v>
      </c>
      <c r="D3690" s="1128"/>
      <c r="E3690" s="1128"/>
      <c r="F3690" s="146" t="s">
        <v>3</v>
      </c>
      <c r="G3690" s="147" t="s">
        <v>4</v>
      </c>
    </row>
    <row r="3691" spans="1:7" s="145" customFormat="1" ht="42.75" customHeight="1">
      <c r="A3691" s="1073" t="s">
        <v>897</v>
      </c>
      <c r="B3691" s="1104"/>
      <c r="C3691" s="980" t="s">
        <v>898</v>
      </c>
      <c r="D3691" s="980"/>
      <c r="E3691" s="980"/>
      <c r="F3691" s="162" t="s">
        <v>28</v>
      </c>
      <c r="G3691" s="52">
        <v>1</v>
      </c>
    </row>
    <row r="3692" spans="1:7" s="145" customFormat="1" ht="15.75" customHeight="1">
      <c r="A3692" s="1114" t="s">
        <v>5</v>
      </c>
      <c r="B3692" s="1141"/>
      <c r="C3692" s="1141"/>
      <c r="D3692" s="1141"/>
      <c r="E3692" s="1141"/>
      <c r="F3692" s="1141"/>
      <c r="G3692" s="1142"/>
    </row>
    <row r="3693" spans="1:7" s="145" customFormat="1" ht="15.75" customHeight="1">
      <c r="A3693" s="1074" t="s">
        <v>2</v>
      </c>
      <c r="B3693" s="1092"/>
      <c r="C3693" s="53" t="s">
        <v>3</v>
      </c>
      <c r="D3693" s="53" t="s">
        <v>4</v>
      </c>
      <c r="E3693" s="53" t="s">
        <v>6</v>
      </c>
      <c r="F3693" s="53" t="s">
        <v>7</v>
      </c>
      <c r="G3693" s="61" t="s">
        <v>8</v>
      </c>
    </row>
    <row r="3694" spans="1:7" s="145" customFormat="1" ht="15.75" customHeight="1">
      <c r="A3694" s="947" t="s">
        <v>899</v>
      </c>
      <c r="B3694" s="980"/>
      <c r="C3694" s="51" t="s">
        <v>900</v>
      </c>
      <c r="D3694" s="51">
        <v>0.05</v>
      </c>
      <c r="E3694" s="17">
        <f>G3721</f>
        <v>60090</v>
      </c>
      <c r="F3694" s="55">
        <f>D3694*E3694</f>
        <v>3004.5</v>
      </c>
      <c r="G3694" s="169"/>
    </row>
    <row r="3695" spans="1:7" s="168" customFormat="1" ht="13.8">
      <c r="A3695" s="943"/>
      <c r="B3695" s="1078"/>
      <c r="C3695" s="51"/>
      <c r="D3695" s="51"/>
      <c r="E3695" s="51"/>
      <c r="F3695" s="55"/>
      <c r="G3695" s="57">
        <f>SUM(F3693:F3695)</f>
        <v>3004.5</v>
      </c>
    </row>
    <row r="3696" spans="1:7" s="145" customFormat="1" ht="15.75" customHeight="1">
      <c r="A3696" s="1114" t="s">
        <v>10</v>
      </c>
      <c r="B3696" s="1141"/>
      <c r="C3696" s="1141"/>
      <c r="D3696" s="1141"/>
      <c r="E3696" s="1141"/>
      <c r="F3696" s="1141"/>
      <c r="G3696" s="1142"/>
    </row>
    <row r="3697" spans="1:7" s="145" customFormat="1" ht="15.75" customHeight="1">
      <c r="A3697" s="1015" t="s">
        <v>2</v>
      </c>
      <c r="B3697" s="1016"/>
      <c r="C3697" s="53" t="s">
        <v>3</v>
      </c>
      <c r="D3697" s="53" t="s">
        <v>4</v>
      </c>
      <c r="E3697" s="53" t="s">
        <v>6</v>
      </c>
      <c r="F3697" s="53" t="s">
        <v>11</v>
      </c>
      <c r="G3697" s="1029" t="s">
        <v>8</v>
      </c>
    </row>
    <row r="3698" spans="1:7" s="145" customFormat="1" ht="15.75" customHeight="1">
      <c r="A3698" s="1015" t="s">
        <v>903</v>
      </c>
      <c r="B3698" s="1016"/>
      <c r="C3698" s="51" t="s">
        <v>3</v>
      </c>
      <c r="D3698" s="51">
        <v>2.83</v>
      </c>
      <c r="E3698" s="17">
        <f>+'INSUMOS ELÉCTRICOS'!E84</f>
        <v>23889.25</v>
      </c>
      <c r="F3698" s="55">
        <f t="shared" ref="F3698:F3712" si="44">D3698*E3698</f>
        <v>67606.577499999999</v>
      </c>
      <c r="G3698" s="1030"/>
    </row>
    <row r="3699" spans="1:7" s="145" customFormat="1" ht="15.75" customHeight="1">
      <c r="A3699" s="1015" t="s">
        <v>904</v>
      </c>
      <c r="B3699" s="1016"/>
      <c r="C3699" s="51" t="s">
        <v>3</v>
      </c>
      <c r="D3699" s="51">
        <v>6</v>
      </c>
      <c r="E3699" s="17">
        <f>+'INSUMOS ELÉCTRICOS'!E145</f>
        <v>3332</v>
      </c>
      <c r="F3699" s="55">
        <f t="shared" si="44"/>
        <v>19992</v>
      </c>
      <c r="G3699" s="1030"/>
    </row>
    <row r="3700" spans="1:7" s="145" customFormat="1" ht="15.75" customHeight="1">
      <c r="A3700" s="1015" t="s">
        <v>905</v>
      </c>
      <c r="B3700" s="1016"/>
      <c r="C3700" s="51" t="s">
        <v>3</v>
      </c>
      <c r="D3700" s="51">
        <v>5</v>
      </c>
      <c r="E3700" s="17">
        <f>+'INSUMOS ELÉCTRICOS'!E97</f>
        <v>10710</v>
      </c>
      <c r="F3700" s="55">
        <f t="shared" si="44"/>
        <v>53550</v>
      </c>
      <c r="G3700" s="1030"/>
    </row>
    <row r="3701" spans="1:7" s="145" customFormat="1" ht="15.75" customHeight="1">
      <c r="A3701" s="1015" t="s">
        <v>906</v>
      </c>
      <c r="B3701" s="1016"/>
      <c r="C3701" s="51" t="s">
        <v>3</v>
      </c>
      <c r="D3701" s="51">
        <v>4</v>
      </c>
      <c r="E3701" s="17">
        <f>+'INSUMOS ELÉCTRICOS'!E98</f>
        <v>6426</v>
      </c>
      <c r="F3701" s="55">
        <f t="shared" si="44"/>
        <v>25704</v>
      </c>
      <c r="G3701" s="1030"/>
    </row>
    <row r="3702" spans="1:7" s="145" customFormat="1" ht="15.75" customHeight="1">
      <c r="A3702" s="1015" t="s">
        <v>907</v>
      </c>
      <c r="B3702" s="1016"/>
      <c r="C3702" s="51" t="s">
        <v>3</v>
      </c>
      <c r="D3702" s="51">
        <v>3</v>
      </c>
      <c r="E3702" s="17">
        <f>+'INSUMOS ELÉCTRICOS'!E101</f>
        <v>28880.109999999997</v>
      </c>
      <c r="F3702" s="55">
        <f t="shared" si="44"/>
        <v>86640.329999999987</v>
      </c>
      <c r="G3702" s="1030"/>
    </row>
    <row r="3703" spans="1:7" s="2" customFormat="1" ht="15.75" customHeight="1">
      <c r="A3703" s="1015" t="s">
        <v>908</v>
      </c>
      <c r="B3703" s="1016"/>
      <c r="C3703" s="51" t="s">
        <v>3</v>
      </c>
      <c r="D3703" s="51">
        <v>4</v>
      </c>
      <c r="E3703" s="17">
        <f>+'INSUMOS ELÉCTRICOS'!E102</f>
        <v>7140</v>
      </c>
      <c r="F3703" s="55">
        <f t="shared" si="44"/>
        <v>28560</v>
      </c>
      <c r="G3703" s="1030"/>
    </row>
    <row r="3704" spans="1:7" s="145" customFormat="1" ht="15.75" customHeight="1">
      <c r="A3704" s="1015" t="s">
        <v>909</v>
      </c>
      <c r="B3704" s="1016"/>
      <c r="C3704" s="51" t="s">
        <v>3</v>
      </c>
      <c r="D3704" s="51">
        <v>6</v>
      </c>
      <c r="E3704" s="17">
        <f>+'INSUMOS ELÉCTRICOS'!E103</f>
        <v>19623.099999999999</v>
      </c>
      <c r="F3704" s="55">
        <f t="shared" si="44"/>
        <v>117738.59999999999</v>
      </c>
      <c r="G3704" s="1030"/>
    </row>
    <row r="3705" spans="1:7" s="145" customFormat="1" ht="27.75" customHeight="1">
      <c r="A3705" s="1015" t="s">
        <v>910</v>
      </c>
      <c r="B3705" s="1016"/>
      <c r="C3705" s="51" t="s">
        <v>3</v>
      </c>
      <c r="D3705" s="51">
        <v>1</v>
      </c>
      <c r="E3705" s="17">
        <f>+'INSUMOS ELÉCTRICOS'!E146</f>
        <v>259900</v>
      </c>
      <c r="F3705" s="55">
        <f t="shared" si="44"/>
        <v>259900</v>
      </c>
      <c r="G3705" s="1030"/>
    </row>
    <row r="3706" spans="1:7" s="145" customFormat="1" ht="15.75" customHeight="1">
      <c r="A3706" s="1015" t="s">
        <v>911</v>
      </c>
      <c r="B3706" s="1016"/>
      <c r="C3706" s="51" t="s">
        <v>3</v>
      </c>
      <c r="D3706" s="51">
        <v>3</v>
      </c>
      <c r="E3706" s="17">
        <v>309999.76</v>
      </c>
      <c r="F3706" s="55">
        <f t="shared" si="44"/>
        <v>929999.28</v>
      </c>
      <c r="G3706" s="1030"/>
    </row>
    <row r="3707" spans="1:7" s="145" customFormat="1" ht="15" customHeight="1">
      <c r="A3707" s="1015" t="s">
        <v>912</v>
      </c>
      <c r="B3707" s="1016"/>
      <c r="C3707" s="51" t="s">
        <v>3</v>
      </c>
      <c r="D3707" s="51">
        <v>3</v>
      </c>
      <c r="E3707" s="17">
        <f>+'INSUMOS ELÉCTRICOS'!E147</f>
        <v>158499.66999999998</v>
      </c>
      <c r="F3707" s="55">
        <f t="shared" si="44"/>
        <v>475499.00999999995</v>
      </c>
      <c r="G3707" s="1030"/>
    </row>
    <row r="3708" spans="1:7" s="145" customFormat="1" ht="15" customHeight="1">
      <c r="A3708" s="1015" t="s">
        <v>913</v>
      </c>
      <c r="B3708" s="1016"/>
      <c r="C3708" s="51" t="s">
        <v>3</v>
      </c>
      <c r="D3708" s="51">
        <v>3</v>
      </c>
      <c r="E3708" s="17">
        <f>+'INSUMOS ELÉCTRICOS'!E148</f>
        <v>8600.1299999999992</v>
      </c>
      <c r="F3708" s="55">
        <f t="shared" si="44"/>
        <v>25800.39</v>
      </c>
      <c r="G3708" s="1030"/>
    </row>
    <row r="3709" spans="1:7" s="145" customFormat="1" ht="15" customHeight="1">
      <c r="A3709" s="947" t="s">
        <v>901</v>
      </c>
      <c r="B3709" s="980"/>
      <c r="C3709" s="51" t="s">
        <v>3</v>
      </c>
      <c r="D3709" s="51">
        <v>2</v>
      </c>
      <c r="E3709" s="17">
        <f>'MAQUINARIA Y EQUIPOS'!$F$38</f>
        <v>202998.59999999998</v>
      </c>
      <c r="F3709" s="55">
        <f>D3709*E3709</f>
        <v>405997.19999999995</v>
      </c>
      <c r="G3709" s="1030"/>
    </row>
    <row r="3710" spans="1:7" s="145" customFormat="1" ht="15" customHeight="1">
      <c r="A3710" s="947" t="s">
        <v>902</v>
      </c>
      <c r="B3710" s="980"/>
      <c r="C3710" s="51" t="s">
        <v>3</v>
      </c>
      <c r="D3710" s="51">
        <v>2</v>
      </c>
      <c r="E3710" s="17">
        <f>'MAQUINARIA Y EQUIPOS'!$F$40</f>
        <v>47600</v>
      </c>
      <c r="F3710" s="55">
        <f>D3710*E3710</f>
        <v>95200</v>
      </c>
      <c r="G3710" s="1030"/>
    </row>
    <row r="3711" spans="1:7" s="145" customFormat="1" ht="15.75" customHeight="1">
      <c r="A3711" s="1015" t="s">
        <v>914</v>
      </c>
      <c r="B3711" s="1016"/>
      <c r="C3711" s="51" t="s">
        <v>3</v>
      </c>
      <c r="D3711" s="51">
        <v>2</v>
      </c>
      <c r="E3711" s="17">
        <f>+'INSUMOS ELÉCTRICOS'!E108</f>
        <v>6330.7999999999993</v>
      </c>
      <c r="F3711" s="55">
        <f t="shared" si="44"/>
        <v>12661.599999999999</v>
      </c>
      <c r="G3711" s="1030"/>
    </row>
    <row r="3712" spans="1:7" s="145" customFormat="1" ht="24" customHeight="1">
      <c r="A3712" s="1015" t="s">
        <v>915</v>
      </c>
      <c r="B3712" s="1016"/>
      <c r="C3712" s="51" t="s">
        <v>3</v>
      </c>
      <c r="D3712" s="51">
        <v>1</v>
      </c>
      <c r="E3712" s="17">
        <f>+'INSUMOS ELÉCTRICOS'!E149</f>
        <v>22610</v>
      </c>
      <c r="F3712" s="55">
        <f t="shared" si="44"/>
        <v>22610</v>
      </c>
      <c r="G3712" s="1031"/>
    </row>
    <row r="3713" spans="1:7" s="145" customFormat="1" ht="15.6" customHeight="1">
      <c r="A3713" s="947"/>
      <c r="B3713" s="980"/>
      <c r="C3713" s="16"/>
      <c r="D3713" s="58"/>
      <c r="E3713" s="17"/>
      <c r="F3713" s="55">
        <f>E3713*D3713</f>
        <v>0</v>
      </c>
      <c r="G3713" s="57">
        <f>SUM(F3697:F3713)</f>
        <v>2627458.9875000003</v>
      </c>
    </row>
    <row r="3714" spans="1:7" s="145" customFormat="1" ht="15.75" customHeight="1">
      <c r="A3714" s="1114" t="s">
        <v>15</v>
      </c>
      <c r="B3714" s="1141"/>
      <c r="C3714" s="1141"/>
      <c r="D3714" s="1141"/>
      <c r="E3714" s="1141"/>
      <c r="F3714" s="1141"/>
      <c r="G3714" s="1142"/>
    </row>
    <row r="3715" spans="1:7" s="145" customFormat="1" ht="13.8">
      <c r="A3715" s="1074" t="s">
        <v>2</v>
      </c>
      <c r="B3715" s="1115"/>
      <c r="C3715" s="53" t="s">
        <v>3</v>
      </c>
      <c r="D3715" s="53" t="s">
        <v>4</v>
      </c>
      <c r="E3715" s="53" t="s">
        <v>6</v>
      </c>
      <c r="F3715" s="53" t="s">
        <v>11</v>
      </c>
      <c r="G3715" s="1075" t="s">
        <v>8</v>
      </c>
    </row>
    <row r="3716" spans="1:7" s="145" customFormat="1" ht="15.75" customHeight="1">
      <c r="A3716" s="947" t="s">
        <v>842</v>
      </c>
      <c r="B3716" s="980"/>
      <c r="C3716" s="51" t="s">
        <v>3</v>
      </c>
      <c r="D3716" s="51">
        <v>2.5000000000000001E-3</v>
      </c>
      <c r="E3716" s="17">
        <f>G3713</f>
        <v>2627458.9875000003</v>
      </c>
      <c r="F3716" s="55">
        <f>D3716*E3716</f>
        <v>6568.6474687500013</v>
      </c>
      <c r="G3716" s="1075"/>
    </row>
    <row r="3717" spans="1:7" s="145" customFormat="1" ht="15.75" customHeight="1">
      <c r="A3717" s="151"/>
      <c r="B3717" s="152"/>
      <c r="C3717" s="152"/>
      <c r="D3717" s="152"/>
      <c r="E3717" s="152"/>
      <c r="F3717" s="152"/>
      <c r="G3717" s="57">
        <f>SUM(F3716:F3717)</f>
        <v>6568.6474687500013</v>
      </c>
    </row>
    <row r="3718" spans="1:7" s="150" customFormat="1" ht="13.8">
      <c r="A3718" s="1114" t="s">
        <v>19</v>
      </c>
      <c r="B3718" s="1141"/>
      <c r="C3718" s="1141"/>
      <c r="D3718" s="1141"/>
      <c r="E3718" s="1141"/>
      <c r="F3718" s="1141"/>
      <c r="G3718" s="1142"/>
    </row>
    <row r="3719" spans="1:7" s="145" customFormat="1" ht="24.6" customHeight="1">
      <c r="A3719" s="1074" t="s">
        <v>2</v>
      </c>
      <c r="B3719" s="1115"/>
      <c r="C3719" s="53" t="s">
        <v>3</v>
      </c>
      <c r="D3719" s="53" t="s">
        <v>4</v>
      </c>
      <c r="E3719" s="53" t="s">
        <v>6</v>
      </c>
      <c r="F3719" s="53" t="s">
        <v>11</v>
      </c>
      <c r="G3719" s="1075" t="s">
        <v>8</v>
      </c>
    </row>
    <row r="3720" spans="1:7" s="150" customFormat="1" ht="13.8">
      <c r="A3720" s="978" t="s">
        <v>1256</v>
      </c>
      <c r="B3720" s="979"/>
      <c r="C3720" s="13" t="s">
        <v>1245</v>
      </c>
      <c r="D3720" s="32">
        <v>3</v>
      </c>
      <c r="E3720" s="13">
        <v>20030</v>
      </c>
      <c r="F3720" s="55">
        <f>+D3720*E3720</f>
        <v>60090</v>
      </c>
      <c r="G3720" s="1075"/>
    </row>
    <row r="3721" spans="1:7" s="145" customFormat="1" ht="15.75" customHeight="1">
      <c r="A3721" s="155"/>
      <c r="B3721" s="156"/>
      <c r="C3721" s="156"/>
      <c r="D3721" s="156"/>
      <c r="E3721" s="156"/>
      <c r="F3721" s="156"/>
      <c r="G3721" s="57">
        <f>SUM(F3719:F3721)</f>
        <v>60090</v>
      </c>
    </row>
    <row r="3722" spans="1:7" s="145" customFormat="1" ht="15.75" customHeight="1">
      <c r="A3722" s="1119" t="s">
        <v>25</v>
      </c>
      <c r="B3722" s="1144"/>
      <c r="C3722" s="1144"/>
      <c r="D3722" s="1144"/>
      <c r="E3722" s="1144"/>
      <c r="F3722" s="1144"/>
      <c r="G3722" s="1145"/>
    </row>
    <row r="3723" spans="1:7" s="145" customFormat="1" ht="15.75" customHeight="1">
      <c r="A3723" s="1122"/>
      <c r="B3723" s="1146"/>
      <c r="C3723" s="1146"/>
      <c r="D3723" s="1146"/>
      <c r="E3723" s="1146"/>
      <c r="F3723" s="1146"/>
      <c r="G3723" s="157">
        <f>G3721+G3717+G3713+G3695</f>
        <v>2697122.1349687502</v>
      </c>
    </row>
    <row r="3724" spans="1:7" s="145" customFormat="1" ht="15.75" customHeight="1">
      <c r="A3724" s="158"/>
      <c r="B3724" s="159"/>
      <c r="C3724" s="159"/>
      <c r="D3724" s="159"/>
      <c r="E3724" s="159"/>
      <c r="F3724" s="159"/>
      <c r="G3724" s="160"/>
    </row>
    <row r="3725" spans="1:7" s="150" customFormat="1" ht="15.75" customHeight="1">
      <c r="A3725" s="1123" t="s">
        <v>1</v>
      </c>
      <c r="B3725" s="1120"/>
      <c r="C3725" s="953" t="s">
        <v>594</v>
      </c>
      <c r="D3725" s="1125"/>
      <c r="E3725" s="1125"/>
      <c r="F3725" s="1125"/>
      <c r="G3725" s="1126"/>
    </row>
    <row r="3726" spans="1:7" s="150" customFormat="1" ht="15.75" customHeight="1">
      <c r="A3726" s="1124"/>
      <c r="B3726" s="1120"/>
      <c r="C3726" s="1125"/>
      <c r="D3726" s="1125"/>
      <c r="E3726" s="1125"/>
      <c r="F3726" s="1125"/>
      <c r="G3726" s="1126"/>
    </row>
    <row r="3727" spans="1:7" s="150" customFormat="1" ht="15.75" customHeight="1">
      <c r="A3727" s="1124"/>
      <c r="B3727" s="1120"/>
      <c r="C3727" s="1127" t="s">
        <v>896</v>
      </c>
      <c r="D3727" s="1120"/>
      <c r="E3727" s="1120"/>
      <c r="F3727" s="1120"/>
      <c r="G3727" s="1121"/>
    </row>
    <row r="3728" spans="1:7" s="150" customFormat="1" ht="15.75" customHeight="1">
      <c r="A3728" s="1124"/>
      <c r="B3728" s="1120"/>
      <c r="C3728" s="1128" t="s">
        <v>2</v>
      </c>
      <c r="D3728" s="1120"/>
      <c r="E3728" s="1120"/>
      <c r="F3728" s="146" t="s">
        <v>3</v>
      </c>
      <c r="G3728" s="147" t="s">
        <v>4</v>
      </c>
    </row>
    <row r="3729" spans="1:7" s="150" customFormat="1" ht="60.75" customHeight="1">
      <c r="A3729" s="1073" t="s">
        <v>916</v>
      </c>
      <c r="B3729" s="1115"/>
      <c r="C3729" s="980" t="s">
        <v>917</v>
      </c>
      <c r="D3729" s="1115"/>
      <c r="E3729" s="1115"/>
      <c r="F3729" s="162" t="s">
        <v>28</v>
      </c>
      <c r="G3729" s="52">
        <v>1</v>
      </c>
    </row>
    <row r="3730" spans="1:7" s="150" customFormat="1" ht="13.8">
      <c r="A3730" s="1114" t="s">
        <v>5</v>
      </c>
      <c r="B3730" s="1115"/>
      <c r="C3730" s="1115"/>
      <c r="D3730" s="1115"/>
      <c r="E3730" s="1115"/>
      <c r="F3730" s="1115"/>
      <c r="G3730" s="1116"/>
    </row>
    <row r="3731" spans="1:7" s="150" customFormat="1" ht="19.95" customHeight="1">
      <c r="A3731" s="1074" t="s">
        <v>2</v>
      </c>
      <c r="B3731" s="1115"/>
      <c r="C3731" s="53" t="s">
        <v>3</v>
      </c>
      <c r="D3731" s="53" t="s">
        <v>4</v>
      </c>
      <c r="E3731" s="53" t="s">
        <v>6</v>
      </c>
      <c r="F3731" s="53" t="s">
        <v>7</v>
      </c>
      <c r="G3731" s="61" t="s">
        <v>8</v>
      </c>
    </row>
    <row r="3732" spans="1:7" s="168" customFormat="1" ht="19.95" customHeight="1">
      <c r="A3732" s="947" t="s">
        <v>899</v>
      </c>
      <c r="B3732" s="1115"/>
      <c r="C3732" s="51" t="s">
        <v>900</v>
      </c>
      <c r="D3732" s="51">
        <v>0.05</v>
      </c>
      <c r="E3732" s="17">
        <f>G3748</f>
        <v>160240</v>
      </c>
      <c r="F3732" s="55">
        <f>D3732*E3732</f>
        <v>8012</v>
      </c>
      <c r="G3732" s="169"/>
    </row>
    <row r="3733" spans="1:7" s="168" customFormat="1" ht="19.95" customHeight="1">
      <c r="A3733" s="943"/>
      <c r="B3733" s="1115"/>
      <c r="C3733" s="51"/>
      <c r="D3733" s="51"/>
      <c r="E3733" s="17"/>
      <c r="F3733" s="55"/>
      <c r="G3733" s="57">
        <f>SUM(F3731:F3733)</f>
        <v>8012</v>
      </c>
    </row>
    <row r="3734" spans="1:7" s="168" customFormat="1" ht="13.8">
      <c r="A3734" s="1114" t="s">
        <v>10</v>
      </c>
      <c r="B3734" s="1115"/>
      <c r="C3734" s="1115"/>
      <c r="D3734" s="1115"/>
      <c r="E3734" s="1115"/>
      <c r="F3734" s="1115"/>
      <c r="G3734" s="1116"/>
    </row>
    <row r="3735" spans="1:7" s="168" customFormat="1" ht="19.95" customHeight="1">
      <c r="A3735" s="1074" t="s">
        <v>2</v>
      </c>
      <c r="B3735" s="1115"/>
      <c r="C3735" s="53" t="s">
        <v>3</v>
      </c>
      <c r="D3735" s="53" t="s">
        <v>4</v>
      </c>
      <c r="E3735" s="53" t="s">
        <v>6</v>
      </c>
      <c r="F3735" s="53" t="s">
        <v>11</v>
      </c>
      <c r="G3735" s="1075" t="s">
        <v>8</v>
      </c>
    </row>
    <row r="3736" spans="1:7" s="168" customFormat="1" ht="25.5" customHeight="1">
      <c r="A3736" s="947" t="s">
        <v>918</v>
      </c>
      <c r="B3736" s="1115"/>
      <c r="C3736" s="51" t="s">
        <v>3</v>
      </c>
      <c r="D3736" s="51">
        <v>2</v>
      </c>
      <c r="E3736" s="17">
        <f>+'INSUMOS ELÉCTRICOS'!E146</f>
        <v>259900</v>
      </c>
      <c r="F3736" s="55">
        <f>D3736*E3736</f>
        <v>519800</v>
      </c>
      <c r="G3736" s="1075"/>
    </row>
    <row r="3737" spans="1:7" s="145" customFormat="1" ht="15.75" customHeight="1">
      <c r="A3737" s="947" t="s">
        <v>919</v>
      </c>
      <c r="B3737" s="1115"/>
      <c r="C3737" s="51" t="s">
        <v>3</v>
      </c>
      <c r="D3737" s="51">
        <v>8</v>
      </c>
      <c r="E3737" s="17">
        <f>+'INSUMOS ELÉCTRICOS'!E150</f>
        <v>35000.118999999999</v>
      </c>
      <c r="F3737" s="55">
        <f>D3737*E3737</f>
        <v>280000.95199999999</v>
      </c>
      <c r="G3737" s="1075"/>
    </row>
    <row r="3738" spans="1:7" s="145" customFormat="1" ht="32.25" customHeight="1">
      <c r="A3738" s="947" t="s">
        <v>2786</v>
      </c>
      <c r="B3738" s="1115"/>
      <c r="C3738" s="51" t="s">
        <v>622</v>
      </c>
      <c r="D3738" s="51">
        <v>35</v>
      </c>
      <c r="E3738" s="17">
        <f>+'INSUMOS ELÉCTRICOS'!E186</f>
        <v>18500</v>
      </c>
      <c r="F3738" s="55">
        <f>D3738*E3738</f>
        <v>647500</v>
      </c>
      <c r="G3738" s="1075"/>
    </row>
    <row r="3739" spans="1:7" s="145" customFormat="1" ht="15.75" customHeight="1">
      <c r="A3739" s="947"/>
      <c r="B3739" s="980"/>
      <c r="C3739" s="16"/>
      <c r="D3739" s="58"/>
      <c r="E3739" s="17"/>
      <c r="F3739" s="55">
        <f>E3739*D3739</f>
        <v>0</v>
      </c>
      <c r="G3739" s="57">
        <f>SUM(F3735:F3739)</f>
        <v>1447300.952</v>
      </c>
    </row>
    <row r="3740" spans="1:7" s="145" customFormat="1" ht="15.75" customHeight="1">
      <c r="A3740" s="1114" t="s">
        <v>15</v>
      </c>
      <c r="B3740" s="1115"/>
      <c r="C3740" s="1115"/>
      <c r="D3740" s="1115"/>
      <c r="E3740" s="1115"/>
      <c r="F3740" s="1115"/>
      <c r="G3740" s="1116"/>
    </row>
    <row r="3741" spans="1:7" s="145" customFormat="1" ht="15.75" customHeight="1">
      <c r="A3741" s="1074" t="s">
        <v>2</v>
      </c>
      <c r="B3741" s="1115"/>
      <c r="C3741" s="53" t="s">
        <v>3</v>
      </c>
      <c r="D3741" s="53" t="s">
        <v>4</v>
      </c>
      <c r="E3741" s="53" t="s">
        <v>6</v>
      </c>
      <c r="F3741" s="53" t="s">
        <v>11</v>
      </c>
      <c r="G3741" s="1075" t="s">
        <v>8</v>
      </c>
    </row>
    <row r="3742" spans="1:7" s="145" customFormat="1" ht="15.75" customHeight="1">
      <c r="A3742" s="947" t="s">
        <v>842</v>
      </c>
      <c r="B3742" s="1115"/>
      <c r="C3742" s="51" t="s">
        <v>3</v>
      </c>
      <c r="D3742" s="51">
        <v>0.04</v>
      </c>
      <c r="E3742" s="17">
        <f>G3739</f>
        <v>1447300.952</v>
      </c>
      <c r="F3742" s="55">
        <f>D3742*E3742</f>
        <v>57892.038080000006</v>
      </c>
      <c r="G3742" s="1116"/>
    </row>
    <row r="3743" spans="1:7" s="2" customFormat="1" ht="15.75" customHeight="1">
      <c r="A3743" s="151"/>
      <c r="B3743" s="152"/>
      <c r="C3743" s="152"/>
      <c r="D3743" s="152"/>
      <c r="E3743" s="152"/>
      <c r="F3743" s="152"/>
      <c r="G3743" s="57">
        <f>SUM(F3742:F3743)</f>
        <v>57892.038080000006</v>
      </c>
    </row>
    <row r="3744" spans="1:7" s="145" customFormat="1" ht="15.75" customHeight="1">
      <c r="A3744" s="1114" t="s">
        <v>19</v>
      </c>
      <c r="B3744" s="1115"/>
      <c r="C3744" s="1115"/>
      <c r="D3744" s="1115"/>
      <c r="E3744" s="1115"/>
      <c r="F3744" s="1115"/>
      <c r="G3744" s="1116"/>
    </row>
    <row r="3745" spans="1:7" s="145" customFormat="1" ht="15.75" customHeight="1">
      <c r="A3745" s="1074" t="s">
        <v>2</v>
      </c>
      <c r="B3745" s="1115"/>
      <c r="C3745" s="53" t="s">
        <v>3</v>
      </c>
      <c r="D3745" s="53" t="s">
        <v>4</v>
      </c>
      <c r="E3745" s="53" t="s">
        <v>6</v>
      </c>
      <c r="F3745" s="53" t="s">
        <v>11</v>
      </c>
      <c r="G3745" s="1075" t="s">
        <v>8</v>
      </c>
    </row>
    <row r="3746" spans="1:7" s="145" customFormat="1" ht="15.75" customHeight="1">
      <c r="A3746" s="978" t="s">
        <v>1256</v>
      </c>
      <c r="B3746" s="979"/>
      <c r="C3746" s="13" t="s">
        <v>1245</v>
      </c>
      <c r="D3746" s="32">
        <v>8</v>
      </c>
      <c r="E3746" s="13">
        <v>20030</v>
      </c>
      <c r="F3746" s="55">
        <f>+D3746*E3746</f>
        <v>160240</v>
      </c>
      <c r="G3746" s="1116"/>
    </row>
    <row r="3747" spans="1:7" s="145" customFormat="1" ht="15" customHeight="1">
      <c r="A3747" s="151"/>
      <c r="B3747" s="165"/>
      <c r="C3747" s="156"/>
      <c r="D3747" s="156"/>
      <c r="E3747" s="166"/>
      <c r="F3747" s="165"/>
      <c r="G3747" s="1116"/>
    </row>
    <row r="3748" spans="1:7" s="145" customFormat="1" ht="15.75" customHeight="1">
      <c r="A3748" s="155"/>
      <c r="B3748" s="156"/>
      <c r="C3748" s="156"/>
      <c r="D3748" s="156"/>
      <c r="E3748" s="156"/>
      <c r="F3748" s="156"/>
      <c r="G3748" s="57">
        <f>SUM(F3745:F3748)</f>
        <v>160240</v>
      </c>
    </row>
    <row r="3749" spans="1:7" s="145" customFormat="1" ht="13.8">
      <c r="A3749" s="1119" t="s">
        <v>25</v>
      </c>
      <c r="B3749" s="1120"/>
      <c r="C3749" s="1120"/>
      <c r="D3749" s="1120"/>
      <c r="E3749" s="1120"/>
      <c r="F3749" s="1120"/>
      <c r="G3749" s="1121"/>
    </row>
    <row r="3750" spans="1:7" s="145" customFormat="1" ht="15.6" customHeight="1">
      <c r="A3750" s="1122"/>
      <c r="B3750" s="1120"/>
      <c r="C3750" s="1120"/>
      <c r="D3750" s="1120"/>
      <c r="E3750" s="1120"/>
      <c r="F3750" s="1120"/>
      <c r="G3750" s="157">
        <f>G3748+G3743+G3739+G3733</f>
        <v>1673444.9900800001</v>
      </c>
    </row>
    <row r="3751" spans="1:7" s="145" customFormat="1" ht="15.75" customHeight="1">
      <c r="A3751" s="170"/>
      <c r="B3751" s="171"/>
      <c r="C3751" s="172"/>
      <c r="D3751" s="172"/>
      <c r="E3751" s="171"/>
      <c r="F3751" s="172"/>
      <c r="G3751" s="173"/>
    </row>
    <row r="3752" spans="1:7" s="145" customFormat="1" ht="13.8">
      <c r="A3752" s="1123" t="s">
        <v>1</v>
      </c>
      <c r="B3752" s="1120"/>
      <c r="C3752" s="953" t="s">
        <v>594</v>
      </c>
      <c r="D3752" s="1125"/>
      <c r="E3752" s="1125"/>
      <c r="F3752" s="1125"/>
      <c r="G3752" s="1126"/>
    </row>
    <row r="3753" spans="1:7" s="145" customFormat="1" ht="15.75" customHeight="1">
      <c r="A3753" s="1124"/>
      <c r="B3753" s="1120"/>
      <c r="C3753" s="1125"/>
      <c r="D3753" s="1125"/>
      <c r="E3753" s="1125"/>
      <c r="F3753" s="1125"/>
      <c r="G3753" s="1126"/>
    </row>
    <row r="3754" spans="1:7" s="145" customFormat="1" ht="15.75" customHeight="1">
      <c r="A3754" s="1124"/>
      <c r="B3754" s="1120"/>
      <c r="C3754" s="1127" t="s">
        <v>896</v>
      </c>
      <c r="D3754" s="1120"/>
      <c r="E3754" s="1120"/>
      <c r="F3754" s="1120"/>
      <c r="G3754" s="1121"/>
    </row>
    <row r="3755" spans="1:7" s="150" customFormat="1" ht="13.8">
      <c r="A3755" s="1124"/>
      <c r="B3755" s="1120"/>
      <c r="C3755" s="1128" t="s">
        <v>2</v>
      </c>
      <c r="D3755" s="1120"/>
      <c r="E3755" s="1120"/>
      <c r="F3755" s="146" t="s">
        <v>3</v>
      </c>
      <c r="G3755" s="147" t="s">
        <v>4</v>
      </c>
    </row>
    <row r="3756" spans="1:7" s="145" customFormat="1" ht="66.75" customHeight="1">
      <c r="A3756" s="1143" t="s">
        <v>921</v>
      </c>
      <c r="B3756" s="1129"/>
      <c r="C3756" s="1118" t="s">
        <v>2790</v>
      </c>
      <c r="D3756" s="1129"/>
      <c r="E3756" s="1129"/>
      <c r="F3756" s="162" t="s">
        <v>45</v>
      </c>
      <c r="G3756" s="52">
        <v>1</v>
      </c>
    </row>
    <row r="3757" spans="1:7" s="145" customFormat="1" ht="15.75" customHeight="1">
      <c r="A3757" s="1114" t="s">
        <v>5</v>
      </c>
      <c r="B3757" s="1115"/>
      <c r="C3757" s="1115"/>
      <c r="D3757" s="1115"/>
      <c r="E3757" s="1115"/>
      <c r="F3757" s="1115"/>
      <c r="G3757" s="1116"/>
    </row>
    <row r="3758" spans="1:7" s="145" customFormat="1" ht="15.75" customHeight="1">
      <c r="A3758" s="1074" t="s">
        <v>2</v>
      </c>
      <c r="B3758" s="1115"/>
      <c r="C3758" s="53" t="s">
        <v>3</v>
      </c>
      <c r="D3758" s="53" t="s">
        <v>4</v>
      </c>
      <c r="E3758" s="53" t="s">
        <v>6</v>
      </c>
      <c r="F3758" s="53" t="s">
        <v>7</v>
      </c>
      <c r="G3758" s="61" t="s">
        <v>8</v>
      </c>
    </row>
    <row r="3759" spans="1:7" s="145" customFormat="1" ht="15.75" customHeight="1">
      <c r="A3759" s="947" t="s">
        <v>815</v>
      </c>
      <c r="B3759" s="1115"/>
      <c r="C3759" s="51" t="s">
        <v>900</v>
      </c>
      <c r="D3759" s="51">
        <v>0.05</v>
      </c>
      <c r="E3759" s="17">
        <v>22397</v>
      </c>
      <c r="F3759" s="55">
        <f>D3759*E3759</f>
        <v>1119.8500000000001</v>
      </c>
      <c r="G3759" s="169"/>
    </row>
    <row r="3760" spans="1:7" s="150" customFormat="1" ht="30.75" customHeight="1">
      <c r="A3760" s="947" t="s">
        <v>922</v>
      </c>
      <c r="B3760" s="1115"/>
      <c r="C3760" s="51" t="s">
        <v>58</v>
      </c>
      <c r="D3760" s="51">
        <v>0.96</v>
      </c>
      <c r="E3760" s="17">
        <v>15625</v>
      </c>
      <c r="F3760" s="55">
        <f>D3760*E3760</f>
        <v>15000</v>
      </c>
      <c r="G3760" s="169"/>
    </row>
    <row r="3761" spans="1:7" s="150" customFormat="1" ht="15.75" customHeight="1">
      <c r="A3761" s="943"/>
      <c r="B3761" s="1115"/>
      <c r="C3761" s="51"/>
      <c r="D3761" s="51"/>
      <c r="E3761" s="51"/>
      <c r="F3761" s="55"/>
      <c r="G3761" s="57">
        <f>SUM(F3758:F3761)</f>
        <v>16119.85</v>
      </c>
    </row>
    <row r="3762" spans="1:7" s="168" customFormat="1" ht="13.8">
      <c r="A3762" s="1114" t="s">
        <v>10</v>
      </c>
      <c r="B3762" s="1115"/>
      <c r="C3762" s="1115"/>
      <c r="D3762" s="1115"/>
      <c r="E3762" s="1115"/>
      <c r="F3762" s="1115"/>
      <c r="G3762" s="1116"/>
    </row>
    <row r="3763" spans="1:7" s="145" customFormat="1" ht="15.75" customHeight="1">
      <c r="A3763" s="1074" t="s">
        <v>2</v>
      </c>
      <c r="B3763" s="1115"/>
      <c r="C3763" s="53" t="s">
        <v>3</v>
      </c>
      <c r="D3763" s="53" t="s">
        <v>4</v>
      </c>
      <c r="E3763" s="53" t="s">
        <v>6</v>
      </c>
      <c r="F3763" s="53" t="s">
        <v>11</v>
      </c>
      <c r="G3763" s="1075" t="s">
        <v>8</v>
      </c>
    </row>
    <row r="3764" spans="1:7" s="145" customFormat="1" ht="15.75" customHeight="1">
      <c r="A3764" s="947" t="s">
        <v>923</v>
      </c>
      <c r="B3764" s="1115"/>
      <c r="C3764" s="51" t="s">
        <v>45</v>
      </c>
      <c r="D3764" s="51">
        <v>2</v>
      </c>
      <c r="E3764" s="17">
        <f>+'INSUMOS ELÉCTRICOS'!E39</f>
        <v>35000</v>
      </c>
      <c r="F3764" s="17">
        <f>D3764*E3764</f>
        <v>70000</v>
      </c>
      <c r="G3764" s="1075"/>
    </row>
    <row r="3765" spans="1:7" s="145" customFormat="1" ht="15.75" customHeight="1">
      <c r="A3765" s="947" t="s">
        <v>924</v>
      </c>
      <c r="B3765" s="1115"/>
      <c r="C3765" s="51" t="s">
        <v>3</v>
      </c>
      <c r="D3765" s="51">
        <v>4.0000000000000001E-3</v>
      </c>
      <c r="E3765" s="17">
        <f>'INSUMOS '!E344</f>
        <v>26775</v>
      </c>
      <c r="F3765" s="17">
        <f>D3765*E3765</f>
        <v>107.10000000000001</v>
      </c>
      <c r="G3765" s="1075"/>
    </row>
    <row r="3766" spans="1:7" s="145" customFormat="1" ht="15.75" customHeight="1">
      <c r="A3766" s="947" t="s">
        <v>925</v>
      </c>
      <c r="B3766" s="1115"/>
      <c r="C3766" s="51" t="s">
        <v>39</v>
      </c>
      <c r="D3766" s="51">
        <v>0.12</v>
      </c>
      <c r="E3766" s="17">
        <f>+'INSUMOS '!E345</f>
        <v>45500</v>
      </c>
      <c r="F3766" s="17">
        <f>D3766*E3766</f>
        <v>5460</v>
      </c>
      <c r="G3766" s="1075"/>
    </row>
    <row r="3767" spans="1:7" s="145" customFormat="1" ht="15.75" customHeight="1">
      <c r="A3767" s="947" t="s">
        <v>841</v>
      </c>
      <c r="B3767" s="1115"/>
      <c r="C3767" s="51" t="s">
        <v>39</v>
      </c>
      <c r="D3767" s="51">
        <v>0.25</v>
      </c>
      <c r="E3767" s="17">
        <f>+'INSUMOS '!E346</f>
        <v>35000</v>
      </c>
      <c r="F3767" s="17">
        <f>D3767*E3767</f>
        <v>8750</v>
      </c>
      <c r="G3767" s="1075"/>
    </row>
    <row r="3768" spans="1:7" s="145" customFormat="1" ht="15.75" customHeight="1">
      <c r="A3768" s="947" t="s">
        <v>840</v>
      </c>
      <c r="B3768" s="1115"/>
      <c r="C3768" s="51" t="s">
        <v>39</v>
      </c>
      <c r="D3768" s="51">
        <v>0.08</v>
      </c>
      <c r="E3768" s="17">
        <v>522929.73333333334</v>
      </c>
      <c r="F3768" s="17">
        <f>D3768*E3768</f>
        <v>41834.378666666671</v>
      </c>
      <c r="G3768" s="1075"/>
    </row>
    <row r="3769" spans="1:7" s="145" customFormat="1" ht="15.75" customHeight="1">
      <c r="A3769" s="947"/>
      <c r="B3769" s="980"/>
      <c r="C3769" s="16"/>
      <c r="D3769" s="58"/>
      <c r="E3769" s="17"/>
      <c r="F3769" s="55">
        <f>E3769*D3769</f>
        <v>0</v>
      </c>
      <c r="G3769" s="57">
        <f>SUM(F3763:F3769)</f>
        <v>126151.47866666668</v>
      </c>
    </row>
    <row r="3770" spans="1:7" s="2" customFormat="1" ht="15.75" customHeight="1">
      <c r="A3770" s="1114" t="s">
        <v>15</v>
      </c>
      <c r="B3770" s="1115"/>
      <c r="C3770" s="1115"/>
      <c r="D3770" s="1115"/>
      <c r="E3770" s="1115"/>
      <c r="F3770" s="1115"/>
      <c r="G3770" s="1116"/>
    </row>
    <row r="3771" spans="1:7" s="145" customFormat="1" ht="15.75" customHeight="1">
      <c r="A3771" s="1074" t="s">
        <v>2</v>
      </c>
      <c r="B3771" s="1115"/>
      <c r="C3771" s="53" t="s">
        <v>3</v>
      </c>
      <c r="D3771" s="53" t="s">
        <v>4</v>
      </c>
      <c r="E3771" s="53" t="s">
        <v>6</v>
      </c>
      <c r="F3771" s="53" t="s">
        <v>11</v>
      </c>
      <c r="G3771" s="1075" t="s">
        <v>8</v>
      </c>
    </row>
    <row r="3772" spans="1:7" s="145" customFormat="1" ht="15.75" customHeight="1">
      <c r="A3772" s="947" t="s">
        <v>842</v>
      </c>
      <c r="B3772" s="1115"/>
      <c r="C3772" s="51" t="s">
        <v>3</v>
      </c>
      <c r="D3772" s="51">
        <v>0.05</v>
      </c>
      <c r="E3772" s="17">
        <v>10500</v>
      </c>
      <c r="F3772" s="17">
        <f>D3772*E3772</f>
        <v>525</v>
      </c>
      <c r="G3772" s="1116"/>
    </row>
    <row r="3773" spans="1:7" s="145" customFormat="1" ht="15.75" customHeight="1">
      <c r="A3773" s="151"/>
      <c r="B3773" s="152"/>
      <c r="C3773" s="152"/>
      <c r="D3773" s="152"/>
      <c r="E3773" s="17"/>
      <c r="F3773" s="152"/>
      <c r="G3773" s="57">
        <f>SUM(F3772:F3773)</f>
        <v>525</v>
      </c>
    </row>
    <row r="3774" spans="1:7" s="145" customFormat="1" ht="15.75" customHeight="1">
      <c r="A3774" s="1114" t="s">
        <v>19</v>
      </c>
      <c r="B3774" s="1115"/>
      <c r="C3774" s="1115"/>
      <c r="D3774" s="1115"/>
      <c r="E3774" s="1115"/>
      <c r="F3774" s="1115"/>
      <c r="G3774" s="1116"/>
    </row>
    <row r="3775" spans="1:7" s="150" customFormat="1" ht="15.75" customHeight="1">
      <c r="A3775" s="1074" t="s">
        <v>2</v>
      </c>
      <c r="B3775" s="1115"/>
      <c r="C3775" s="53" t="s">
        <v>3</v>
      </c>
      <c r="D3775" s="53" t="s">
        <v>4</v>
      </c>
      <c r="E3775" s="53" t="s">
        <v>6</v>
      </c>
      <c r="F3775" s="53" t="s">
        <v>11</v>
      </c>
      <c r="G3775" s="1075" t="s">
        <v>8</v>
      </c>
    </row>
    <row r="3776" spans="1:7" s="145" customFormat="1" ht="15.75" customHeight="1">
      <c r="A3776" s="978" t="s">
        <v>1256</v>
      </c>
      <c r="B3776" s="979"/>
      <c r="C3776" s="13" t="s">
        <v>1245</v>
      </c>
      <c r="D3776" s="32">
        <v>0.27</v>
      </c>
      <c r="E3776" s="13">
        <v>20030</v>
      </c>
      <c r="F3776" s="55">
        <f>+D3776*E3776</f>
        <v>5408.1</v>
      </c>
      <c r="G3776" s="1116"/>
    </row>
    <row r="3777" spans="1:7" s="145" customFormat="1" ht="24" customHeight="1">
      <c r="A3777" s="155"/>
      <c r="B3777" s="156"/>
      <c r="C3777" s="156"/>
      <c r="D3777" s="156"/>
      <c r="E3777" s="156"/>
      <c r="F3777" s="156"/>
      <c r="G3777" s="57">
        <f>SUM(F3775:F3777)</f>
        <v>5408.1</v>
      </c>
    </row>
    <row r="3778" spans="1:7" s="145" customFormat="1" ht="15.6" customHeight="1">
      <c r="A3778" s="1119" t="s">
        <v>25</v>
      </c>
      <c r="B3778" s="1120"/>
      <c r="C3778" s="1120"/>
      <c r="D3778" s="1120"/>
      <c r="E3778" s="1120"/>
      <c r="F3778" s="1120"/>
      <c r="G3778" s="1121"/>
    </row>
    <row r="3779" spans="1:7" s="145" customFormat="1" ht="15.75" customHeight="1">
      <c r="A3779" s="1122"/>
      <c r="B3779" s="1120"/>
      <c r="C3779" s="1120"/>
      <c r="D3779" s="1120"/>
      <c r="E3779" s="1120"/>
      <c r="F3779" s="1120"/>
      <c r="G3779" s="157">
        <f>G3777+G3773+G3769+G3761</f>
        <v>148204.42866666667</v>
      </c>
    </row>
    <row r="3780" spans="1:7" s="145" customFormat="1" ht="13.8">
      <c r="A3780" s="158"/>
      <c r="B3780" s="159"/>
      <c r="C3780" s="159"/>
      <c r="D3780" s="159"/>
      <c r="E3780" s="159"/>
      <c r="F3780" s="159"/>
      <c r="G3780" s="160"/>
    </row>
    <row r="3781" spans="1:7" s="145" customFormat="1" ht="15.75" customHeight="1">
      <c r="A3781" s="1123" t="s">
        <v>1</v>
      </c>
      <c r="B3781" s="1120"/>
      <c r="C3781" s="953" t="s">
        <v>594</v>
      </c>
      <c r="D3781" s="1125"/>
      <c r="E3781" s="1125"/>
      <c r="F3781" s="1125"/>
      <c r="G3781" s="1126"/>
    </row>
    <row r="3782" spans="1:7" s="145" customFormat="1" ht="15.75" customHeight="1">
      <c r="A3782" s="1124"/>
      <c r="B3782" s="1120"/>
      <c r="C3782" s="1125"/>
      <c r="D3782" s="1125"/>
      <c r="E3782" s="1125"/>
      <c r="F3782" s="1125"/>
      <c r="G3782" s="1126"/>
    </row>
    <row r="3783" spans="1:7" s="150" customFormat="1" ht="17.399999999999999">
      <c r="A3783" s="1124"/>
      <c r="B3783" s="1120"/>
      <c r="C3783" s="1127" t="s">
        <v>896</v>
      </c>
      <c r="D3783" s="1120"/>
      <c r="E3783" s="1120"/>
      <c r="F3783" s="1120"/>
      <c r="G3783" s="1121"/>
    </row>
    <row r="3784" spans="1:7" s="150" customFormat="1" ht="13.8">
      <c r="A3784" s="1124"/>
      <c r="B3784" s="1120"/>
      <c r="C3784" s="1128" t="s">
        <v>2</v>
      </c>
      <c r="D3784" s="1120"/>
      <c r="E3784" s="1120"/>
      <c r="F3784" s="146" t="s">
        <v>3</v>
      </c>
      <c r="G3784" s="147" t="s">
        <v>4</v>
      </c>
    </row>
    <row r="3785" spans="1:7" s="145" customFormat="1" ht="34.799999999999997">
      <c r="A3785" s="1073" t="s">
        <v>926</v>
      </c>
      <c r="B3785" s="1115"/>
      <c r="C3785" s="980" t="s">
        <v>927</v>
      </c>
      <c r="D3785" s="980"/>
      <c r="E3785" s="980"/>
      <c r="F3785" s="162" t="s">
        <v>28</v>
      </c>
      <c r="G3785" s="52">
        <v>1</v>
      </c>
    </row>
    <row r="3786" spans="1:7" s="145" customFormat="1" ht="15.75" customHeight="1">
      <c r="A3786" s="1114" t="s">
        <v>5</v>
      </c>
      <c r="B3786" s="1115"/>
      <c r="C3786" s="1115"/>
      <c r="D3786" s="1115"/>
      <c r="E3786" s="1115"/>
      <c r="F3786" s="1115"/>
      <c r="G3786" s="1116"/>
    </row>
    <row r="3787" spans="1:7" s="145" customFormat="1" ht="15.75" customHeight="1">
      <c r="A3787" s="1074" t="s">
        <v>2</v>
      </c>
      <c r="B3787" s="1115"/>
      <c r="C3787" s="53" t="s">
        <v>3</v>
      </c>
      <c r="D3787" s="53" t="s">
        <v>4</v>
      </c>
      <c r="E3787" s="53" t="s">
        <v>6</v>
      </c>
      <c r="F3787" s="53" t="s">
        <v>7</v>
      </c>
      <c r="G3787" s="1075" t="s">
        <v>8</v>
      </c>
    </row>
    <row r="3788" spans="1:7" s="150" customFormat="1" ht="15.75" customHeight="1">
      <c r="A3788" s="947" t="s">
        <v>167</v>
      </c>
      <c r="B3788" s="1115"/>
      <c r="C3788" s="51" t="s">
        <v>900</v>
      </c>
      <c r="D3788" s="51">
        <v>0.05</v>
      </c>
      <c r="E3788" s="17">
        <f>G3801</f>
        <v>80120</v>
      </c>
      <c r="F3788" s="55">
        <f>D3788*E3788</f>
        <v>4006</v>
      </c>
      <c r="G3788" s="1116"/>
    </row>
    <row r="3789" spans="1:7" s="150" customFormat="1" ht="15.75" customHeight="1">
      <c r="A3789" s="943"/>
      <c r="B3789" s="1115"/>
      <c r="C3789" s="51"/>
      <c r="D3789" s="51"/>
      <c r="E3789" s="51"/>
      <c r="F3789" s="55"/>
      <c r="G3789" s="57">
        <f>SUM(F3787:F3789)</f>
        <v>4006</v>
      </c>
    </row>
    <row r="3790" spans="1:7" s="150" customFormat="1" ht="15.75" customHeight="1">
      <c r="A3790" s="1114" t="s">
        <v>10</v>
      </c>
      <c r="B3790" s="1115"/>
      <c r="C3790" s="1115"/>
      <c r="D3790" s="1115"/>
      <c r="E3790" s="1115"/>
      <c r="F3790" s="1115"/>
      <c r="G3790" s="1116"/>
    </row>
    <row r="3791" spans="1:7" s="150" customFormat="1" ht="15.75" customHeight="1">
      <c r="A3791" s="1074" t="s">
        <v>2</v>
      </c>
      <c r="B3791" s="1115"/>
      <c r="C3791" s="53" t="s">
        <v>3</v>
      </c>
      <c r="D3791" s="53" t="s">
        <v>4</v>
      </c>
      <c r="E3791" s="53" t="s">
        <v>6</v>
      </c>
      <c r="F3791" s="53" t="s">
        <v>11</v>
      </c>
      <c r="G3791" s="1075" t="s">
        <v>8</v>
      </c>
    </row>
    <row r="3792" spans="1:7" s="150" customFormat="1" ht="15.75" customHeight="1">
      <c r="A3792" s="947" t="s">
        <v>928</v>
      </c>
      <c r="B3792" s="1115"/>
      <c r="C3792" s="51" t="s">
        <v>3</v>
      </c>
      <c r="D3792" s="51">
        <v>1</v>
      </c>
      <c r="E3792" s="17">
        <f>+'INSUMOS ELÉCTRICOS'!E50</f>
        <v>405199.76</v>
      </c>
      <c r="F3792" s="471">
        <f>D3792*E3792</f>
        <v>405199.76</v>
      </c>
      <c r="G3792" s="1075"/>
    </row>
    <row r="3793" spans="1:7" s="145" customFormat="1" ht="15.75" customHeight="1">
      <c r="A3793" s="947"/>
      <c r="B3793" s="980"/>
      <c r="C3793" s="16"/>
      <c r="D3793" s="58"/>
      <c r="E3793" s="17"/>
      <c r="F3793" s="55">
        <f>E3793*D3793</f>
        <v>0</v>
      </c>
      <c r="G3793" s="57">
        <f>SUM(F3791:F3793)</f>
        <v>405199.76</v>
      </c>
    </row>
    <row r="3794" spans="1:7" s="145" customFormat="1" ht="15.75" customHeight="1">
      <c r="A3794" s="1114" t="s">
        <v>15</v>
      </c>
      <c r="B3794" s="1115"/>
      <c r="C3794" s="1115"/>
      <c r="D3794" s="1115"/>
      <c r="E3794" s="1115"/>
      <c r="F3794" s="1115"/>
      <c r="G3794" s="1116"/>
    </row>
    <row r="3795" spans="1:7" s="145" customFormat="1" ht="15.75" customHeight="1">
      <c r="A3795" s="1074" t="s">
        <v>2</v>
      </c>
      <c r="B3795" s="1115"/>
      <c r="C3795" s="53" t="s">
        <v>3</v>
      </c>
      <c r="D3795" s="53" t="s">
        <v>4</v>
      </c>
      <c r="E3795" s="53" t="s">
        <v>6</v>
      </c>
      <c r="F3795" s="53" t="s">
        <v>11</v>
      </c>
      <c r="G3795" s="1075" t="s">
        <v>8</v>
      </c>
    </row>
    <row r="3796" spans="1:7" s="145" customFormat="1" ht="15.75" customHeight="1">
      <c r="A3796" s="947" t="s">
        <v>842</v>
      </c>
      <c r="B3796" s="1115"/>
      <c r="C3796" s="51" t="s">
        <v>3</v>
      </c>
      <c r="D3796" s="51">
        <v>0.1</v>
      </c>
      <c r="E3796" s="17">
        <f>G3793</f>
        <v>405199.76</v>
      </c>
      <c r="F3796" s="17">
        <f>D3796*E3796</f>
        <v>40519.976000000002</v>
      </c>
      <c r="G3796" s="1116"/>
    </row>
    <row r="3797" spans="1:7" s="145" customFormat="1" ht="15.75" customHeight="1">
      <c r="A3797" s="151"/>
      <c r="B3797" s="152"/>
      <c r="C3797" s="152"/>
      <c r="D3797" s="152"/>
      <c r="E3797" s="17"/>
      <c r="F3797" s="152"/>
      <c r="G3797" s="57">
        <f>SUM(F3796:F3797)</f>
        <v>40519.976000000002</v>
      </c>
    </row>
    <row r="3798" spans="1:7" s="145" customFormat="1" ht="15.75" customHeight="1">
      <c r="A3798" s="1114" t="s">
        <v>19</v>
      </c>
      <c r="B3798" s="1115"/>
      <c r="C3798" s="1115"/>
      <c r="D3798" s="1115"/>
      <c r="E3798" s="1115"/>
      <c r="F3798" s="1115"/>
      <c r="G3798" s="1116"/>
    </row>
    <row r="3799" spans="1:7" s="145" customFormat="1" ht="15.75" customHeight="1">
      <c r="A3799" s="1074" t="s">
        <v>2</v>
      </c>
      <c r="B3799" s="1115"/>
      <c r="C3799" s="53" t="s">
        <v>3</v>
      </c>
      <c r="D3799" s="53" t="s">
        <v>4</v>
      </c>
      <c r="E3799" s="53" t="s">
        <v>6</v>
      </c>
      <c r="F3799" s="53" t="s">
        <v>11</v>
      </c>
      <c r="G3799" s="1075" t="s">
        <v>8</v>
      </c>
    </row>
    <row r="3800" spans="1:7" s="2" customFormat="1" ht="15.75" customHeight="1">
      <c r="A3800" s="978" t="s">
        <v>1256</v>
      </c>
      <c r="B3800" s="979"/>
      <c r="C3800" s="13" t="s">
        <v>1245</v>
      </c>
      <c r="D3800" s="32">
        <v>4</v>
      </c>
      <c r="E3800" s="13">
        <v>20030</v>
      </c>
      <c r="F3800" s="55">
        <f>+D3800*E3800</f>
        <v>80120</v>
      </c>
      <c r="G3800" s="1116"/>
    </row>
    <row r="3801" spans="1:7" s="145" customFormat="1" ht="15.75" customHeight="1">
      <c r="A3801" s="155"/>
      <c r="B3801" s="156"/>
      <c r="C3801" s="156"/>
      <c r="D3801" s="156"/>
      <c r="E3801" s="156"/>
      <c r="F3801" s="156"/>
      <c r="G3801" s="57">
        <f>SUM(F3799:F3801)</f>
        <v>80120</v>
      </c>
    </row>
    <row r="3802" spans="1:7" s="145" customFormat="1" ht="15.75" customHeight="1">
      <c r="A3802" s="1119" t="s">
        <v>25</v>
      </c>
      <c r="B3802" s="1120"/>
      <c r="C3802" s="1120"/>
      <c r="D3802" s="1120"/>
      <c r="E3802" s="1120"/>
      <c r="F3802" s="1120"/>
      <c r="G3802" s="1121"/>
    </row>
    <row r="3803" spans="1:7" s="145" customFormat="1" ht="15.75" customHeight="1">
      <c r="A3803" s="1122"/>
      <c r="B3803" s="1120"/>
      <c r="C3803" s="1120"/>
      <c r="D3803" s="1120"/>
      <c r="E3803" s="1120"/>
      <c r="F3803" s="1120"/>
      <c r="G3803" s="157">
        <f>G3801+G3797+G3793+G3789</f>
        <v>529845.73600000003</v>
      </c>
    </row>
    <row r="3804" spans="1:7" s="145" customFormat="1" ht="15" customHeight="1">
      <c r="A3804" s="158"/>
      <c r="B3804" s="159"/>
      <c r="C3804" s="159"/>
      <c r="D3804" s="159"/>
      <c r="E3804" s="159"/>
      <c r="F3804" s="159"/>
      <c r="G3804" s="160"/>
    </row>
    <row r="3805" spans="1:7" s="145" customFormat="1" ht="15.75" customHeight="1">
      <c r="A3805" s="1123" t="s">
        <v>1</v>
      </c>
      <c r="B3805" s="1120"/>
      <c r="C3805" s="953" t="s">
        <v>594</v>
      </c>
      <c r="D3805" s="1125"/>
      <c r="E3805" s="1125"/>
      <c r="F3805" s="1125"/>
      <c r="G3805" s="1126"/>
    </row>
    <row r="3806" spans="1:7" s="145" customFormat="1" ht="24" customHeight="1">
      <c r="A3806" s="1124"/>
      <c r="B3806" s="1120"/>
      <c r="C3806" s="1125"/>
      <c r="D3806" s="1125"/>
      <c r="E3806" s="1125"/>
      <c r="F3806" s="1125"/>
      <c r="G3806" s="1126"/>
    </row>
    <row r="3807" spans="1:7" s="145" customFormat="1" ht="15.6" customHeight="1">
      <c r="A3807" s="1124"/>
      <c r="B3807" s="1120"/>
      <c r="C3807" s="1127" t="s">
        <v>896</v>
      </c>
      <c r="D3807" s="1120"/>
      <c r="E3807" s="1120"/>
      <c r="F3807" s="1120"/>
      <c r="G3807" s="1121"/>
    </row>
    <row r="3808" spans="1:7" s="145" customFormat="1" ht="15.75" customHeight="1">
      <c r="A3808" s="1124"/>
      <c r="B3808" s="1120"/>
      <c r="C3808" s="1128" t="s">
        <v>2</v>
      </c>
      <c r="D3808" s="1120"/>
      <c r="E3808" s="1120"/>
      <c r="F3808" s="146" t="s">
        <v>3</v>
      </c>
      <c r="G3808" s="147" t="s">
        <v>4</v>
      </c>
    </row>
    <row r="3809" spans="1:7" s="145" customFormat="1" ht="63.75" customHeight="1">
      <c r="A3809" s="1073" t="s">
        <v>929</v>
      </c>
      <c r="B3809" s="1115"/>
      <c r="C3809" s="980" t="s">
        <v>2790</v>
      </c>
      <c r="D3809" s="1115"/>
      <c r="E3809" s="1115"/>
      <c r="F3809" s="162" t="s">
        <v>28</v>
      </c>
      <c r="G3809" s="52">
        <v>1</v>
      </c>
    </row>
    <row r="3810" spans="1:7" s="145" customFormat="1" ht="15.75" customHeight="1">
      <c r="A3810" s="1114" t="s">
        <v>5</v>
      </c>
      <c r="B3810" s="1115"/>
      <c r="C3810" s="1115"/>
      <c r="D3810" s="1115"/>
      <c r="E3810" s="1115"/>
      <c r="F3810" s="1115"/>
      <c r="G3810" s="1116"/>
    </row>
    <row r="3811" spans="1:7" s="145" customFormat="1" ht="15.75" customHeight="1">
      <c r="A3811" s="1074" t="s">
        <v>2</v>
      </c>
      <c r="B3811" s="1115"/>
      <c r="C3811" s="53" t="s">
        <v>3</v>
      </c>
      <c r="D3811" s="53" t="s">
        <v>4</v>
      </c>
      <c r="E3811" s="53" t="s">
        <v>6</v>
      </c>
      <c r="F3811" s="53" t="s">
        <v>7</v>
      </c>
      <c r="G3811" s="174" t="s">
        <v>8</v>
      </c>
    </row>
    <row r="3812" spans="1:7" s="145" customFormat="1" ht="15.75" customHeight="1">
      <c r="A3812" s="947" t="s">
        <v>815</v>
      </c>
      <c r="B3812" s="1115"/>
      <c r="C3812" s="51" t="s">
        <v>900</v>
      </c>
      <c r="D3812" s="51">
        <v>0.05</v>
      </c>
      <c r="E3812" s="17">
        <f>G3830</f>
        <v>20030</v>
      </c>
      <c r="F3812" s="55">
        <f>D3812*E3812</f>
        <v>1001.5</v>
      </c>
      <c r="G3812" s="169"/>
    </row>
    <row r="3813" spans="1:7" s="145" customFormat="1" ht="38.25" customHeight="1">
      <c r="A3813" s="947" t="s">
        <v>922</v>
      </c>
      <c r="B3813" s="1115"/>
      <c r="C3813" s="51" t="s">
        <v>58</v>
      </c>
      <c r="D3813" s="51">
        <v>0.01</v>
      </c>
      <c r="E3813" s="17">
        <v>48790</v>
      </c>
      <c r="F3813" s="55">
        <f>D3813*E3813</f>
        <v>487.90000000000003</v>
      </c>
      <c r="G3813" s="169"/>
    </row>
    <row r="3814" spans="1:7" s="145" customFormat="1" ht="15.75" customHeight="1">
      <c r="A3814" s="943"/>
      <c r="B3814" s="1115"/>
      <c r="C3814" s="51"/>
      <c r="D3814" s="51"/>
      <c r="E3814" s="51"/>
      <c r="F3814" s="55"/>
      <c r="G3814" s="57">
        <f>SUM(F3811:F3814)</f>
        <v>1489.4</v>
      </c>
    </row>
    <row r="3815" spans="1:7" s="145" customFormat="1" ht="13.8">
      <c r="A3815" s="1114" t="s">
        <v>10</v>
      </c>
      <c r="B3815" s="1115"/>
      <c r="C3815" s="1115"/>
      <c r="D3815" s="1115"/>
      <c r="E3815" s="1115"/>
      <c r="F3815" s="1115"/>
      <c r="G3815" s="1116"/>
    </row>
    <row r="3816" spans="1:7" s="145" customFormat="1" ht="15.75" customHeight="1">
      <c r="A3816" s="1074" t="s">
        <v>2</v>
      </c>
      <c r="B3816" s="1115"/>
      <c r="C3816" s="53" t="s">
        <v>3</v>
      </c>
      <c r="D3816" s="53" t="s">
        <v>4</v>
      </c>
      <c r="E3816" s="53" t="s">
        <v>6</v>
      </c>
      <c r="F3816" s="53" t="s">
        <v>11</v>
      </c>
      <c r="G3816" s="1075" t="s">
        <v>8</v>
      </c>
    </row>
    <row r="3817" spans="1:7" s="145" customFormat="1" ht="15.75" customHeight="1">
      <c r="A3817" s="947" t="s">
        <v>923</v>
      </c>
      <c r="B3817" s="1115"/>
      <c r="C3817" s="51" t="s">
        <v>45</v>
      </c>
      <c r="D3817" s="51">
        <v>2</v>
      </c>
      <c r="E3817" s="17">
        <f>+'INSUMOS ELÉCTRICOS'!E39</f>
        <v>35000</v>
      </c>
      <c r="F3817" s="55">
        <f>D3817*E3817</f>
        <v>70000</v>
      </c>
      <c r="G3817" s="1075"/>
    </row>
    <row r="3818" spans="1:7" s="145" customFormat="1" ht="15.75" customHeight="1">
      <c r="A3818" s="947" t="s">
        <v>924</v>
      </c>
      <c r="B3818" s="1115"/>
      <c r="C3818" s="51" t="s">
        <v>3</v>
      </c>
      <c r="D3818" s="51">
        <v>0.02</v>
      </c>
      <c r="E3818" s="17">
        <f>+'INSUMOS '!E344</f>
        <v>26775</v>
      </c>
      <c r="F3818" s="55">
        <f>D3818*E3818</f>
        <v>535.5</v>
      </c>
      <c r="G3818" s="1075"/>
    </row>
    <row r="3819" spans="1:7" s="145" customFormat="1" ht="15.75" customHeight="1">
      <c r="A3819" s="947" t="s">
        <v>2492</v>
      </c>
      <c r="B3819" s="1115"/>
      <c r="C3819" s="51" t="s">
        <v>39</v>
      </c>
      <c r="D3819" s="51">
        <v>0.12</v>
      </c>
      <c r="E3819" s="17">
        <v>348750</v>
      </c>
      <c r="F3819" s="55">
        <f>D3819*E3819</f>
        <v>41850</v>
      </c>
      <c r="G3819" s="1075"/>
    </row>
    <row r="3820" spans="1:7" s="145" customFormat="1" ht="15.75" customHeight="1">
      <c r="A3820" s="947" t="s">
        <v>841</v>
      </c>
      <c r="B3820" s="1115"/>
      <c r="C3820" s="51" t="s">
        <v>39</v>
      </c>
      <c r="D3820" s="51">
        <v>0.25</v>
      </c>
      <c r="E3820" s="17">
        <f>+'INSUMOS '!E346</f>
        <v>35000</v>
      </c>
      <c r="F3820" s="55">
        <f>D3820*E3820</f>
        <v>8750</v>
      </c>
      <c r="G3820" s="1075"/>
    </row>
    <row r="3821" spans="1:7" s="145" customFormat="1" ht="15.75" customHeight="1">
      <c r="A3821" s="947" t="s">
        <v>2488</v>
      </c>
      <c r="B3821" s="1115"/>
      <c r="C3821" s="51" t="s">
        <v>39</v>
      </c>
      <c r="D3821" s="51">
        <v>0.08</v>
      </c>
      <c r="E3821" s="17">
        <v>522929.73333333334</v>
      </c>
      <c r="F3821" s="55">
        <f>D3821*E3821</f>
        <v>41834.378666666671</v>
      </c>
      <c r="G3821" s="1075"/>
    </row>
    <row r="3822" spans="1:7" s="145" customFormat="1" ht="15.75" customHeight="1">
      <c r="A3822" s="947"/>
      <c r="B3822" s="980"/>
      <c r="C3822" s="16"/>
      <c r="D3822" s="58"/>
      <c r="E3822" s="17"/>
      <c r="F3822" s="55">
        <f>E3822*D3822</f>
        <v>0</v>
      </c>
      <c r="G3822" s="57">
        <f>SUM(F3816:F3822)</f>
        <v>162969.87866666669</v>
      </c>
    </row>
    <row r="3823" spans="1:7" s="145" customFormat="1" ht="15.75" customHeight="1">
      <c r="A3823" s="1114" t="s">
        <v>15</v>
      </c>
      <c r="B3823" s="1115"/>
      <c r="C3823" s="1115"/>
      <c r="D3823" s="1115"/>
      <c r="E3823" s="1115"/>
      <c r="F3823" s="1115"/>
      <c r="G3823" s="1116"/>
    </row>
    <row r="3824" spans="1:7" s="2" customFormat="1" ht="15.75" customHeight="1">
      <c r="A3824" s="1074" t="s">
        <v>2</v>
      </c>
      <c r="B3824" s="1115"/>
      <c r="C3824" s="53" t="s">
        <v>3</v>
      </c>
      <c r="D3824" s="53" t="s">
        <v>4</v>
      </c>
      <c r="E3824" s="53" t="s">
        <v>6</v>
      </c>
      <c r="F3824" s="53" t="s">
        <v>11</v>
      </c>
      <c r="G3824" s="1075" t="s">
        <v>8</v>
      </c>
    </row>
    <row r="3825" spans="1:7" s="145" customFormat="1" ht="15.75" customHeight="1">
      <c r="A3825" s="947" t="s">
        <v>1555</v>
      </c>
      <c r="B3825" s="1115"/>
      <c r="C3825" s="51" t="s">
        <v>3</v>
      </c>
      <c r="D3825" s="51">
        <v>0.1</v>
      </c>
      <c r="E3825" s="17">
        <f>G3822+G3814</f>
        <v>164459.27866666668</v>
      </c>
      <c r="F3825" s="55">
        <f>D3825*E3825</f>
        <v>16445.927866666669</v>
      </c>
      <c r="G3825" s="1116"/>
    </row>
    <row r="3826" spans="1:7" s="145" customFormat="1" ht="15.75" customHeight="1">
      <c r="A3826" s="151"/>
      <c r="B3826" s="152"/>
      <c r="C3826" s="152"/>
      <c r="D3826" s="152"/>
      <c r="E3826" s="152"/>
      <c r="F3826" s="152"/>
      <c r="G3826" s="57">
        <f>SUM(F3825:F3826)</f>
        <v>16445.927866666669</v>
      </c>
    </row>
    <row r="3827" spans="1:7" s="145" customFormat="1" ht="15.75" customHeight="1">
      <c r="A3827" s="1114" t="s">
        <v>19</v>
      </c>
      <c r="B3827" s="1115"/>
      <c r="C3827" s="1115"/>
      <c r="D3827" s="1115"/>
      <c r="E3827" s="1115"/>
      <c r="F3827" s="1115"/>
      <c r="G3827" s="1116"/>
    </row>
    <row r="3828" spans="1:7" s="145" customFormat="1" ht="15" customHeight="1">
      <c r="A3828" s="1074" t="s">
        <v>2</v>
      </c>
      <c r="B3828" s="1115"/>
      <c r="C3828" s="53" t="s">
        <v>3</v>
      </c>
      <c r="D3828" s="53" t="s">
        <v>4</v>
      </c>
      <c r="E3828" s="53" t="s">
        <v>6</v>
      </c>
      <c r="F3828" s="53" t="s">
        <v>11</v>
      </c>
      <c r="G3828" s="1075" t="s">
        <v>8</v>
      </c>
    </row>
    <row r="3829" spans="1:7" s="145" customFormat="1" ht="15.75" customHeight="1">
      <c r="A3829" s="978" t="s">
        <v>1256</v>
      </c>
      <c r="B3829" s="979"/>
      <c r="C3829" s="13" t="s">
        <v>1245</v>
      </c>
      <c r="D3829" s="32">
        <v>1</v>
      </c>
      <c r="E3829" s="13">
        <v>20030</v>
      </c>
      <c r="F3829" s="55">
        <f>+D3829*E3829</f>
        <v>20030</v>
      </c>
      <c r="G3829" s="1116"/>
    </row>
    <row r="3830" spans="1:7" s="145" customFormat="1" ht="13.8">
      <c r="A3830" s="155"/>
      <c r="B3830" s="156"/>
      <c r="C3830" s="156"/>
      <c r="D3830" s="156"/>
      <c r="E3830" s="156"/>
      <c r="F3830" s="156"/>
      <c r="G3830" s="57">
        <f>SUM(F3828:F3830)</f>
        <v>20030</v>
      </c>
    </row>
    <row r="3831" spans="1:7" s="145" customFormat="1" ht="15.6" customHeight="1">
      <c r="A3831" s="1119" t="s">
        <v>25</v>
      </c>
      <c r="B3831" s="1120"/>
      <c r="C3831" s="1120"/>
      <c r="D3831" s="1120"/>
      <c r="E3831" s="1120"/>
      <c r="F3831" s="1120"/>
      <c r="G3831" s="1121"/>
    </row>
    <row r="3832" spans="1:7" s="145" customFormat="1" ht="15.75" customHeight="1">
      <c r="A3832" s="1122"/>
      <c r="B3832" s="1120"/>
      <c r="C3832" s="1120"/>
      <c r="D3832" s="1120"/>
      <c r="E3832" s="1120"/>
      <c r="F3832" s="1120"/>
      <c r="G3832" s="157">
        <f>G3830+G3826+G3822+G3814</f>
        <v>200935.20653333334</v>
      </c>
    </row>
    <row r="3833" spans="1:7" s="145" customFormat="1" ht="13.8">
      <c r="A3833" s="158"/>
      <c r="B3833" s="159"/>
      <c r="C3833" s="159"/>
      <c r="D3833" s="159"/>
      <c r="E3833" s="159"/>
      <c r="F3833" s="159"/>
      <c r="G3833" s="160"/>
    </row>
    <row r="3834" spans="1:7" s="145" customFormat="1" ht="15.75" customHeight="1">
      <c r="A3834" s="1123" t="s">
        <v>1</v>
      </c>
      <c r="B3834" s="1120"/>
      <c r="C3834" s="953" t="s">
        <v>594</v>
      </c>
      <c r="D3834" s="1125"/>
      <c r="E3834" s="1125"/>
      <c r="F3834" s="1125"/>
      <c r="G3834" s="1126"/>
    </row>
    <row r="3835" spans="1:7" s="145" customFormat="1" ht="15.75" customHeight="1">
      <c r="A3835" s="1124"/>
      <c r="B3835" s="1120"/>
      <c r="C3835" s="1125"/>
      <c r="D3835" s="1125"/>
      <c r="E3835" s="1125"/>
      <c r="F3835" s="1125"/>
      <c r="G3835" s="1126"/>
    </row>
    <row r="3836" spans="1:7" s="150" customFormat="1" ht="32.4" customHeight="1">
      <c r="A3836" s="1124"/>
      <c r="B3836" s="1120"/>
      <c r="C3836" s="1127" t="s">
        <v>896</v>
      </c>
      <c r="D3836" s="1120"/>
      <c r="E3836" s="1120"/>
      <c r="F3836" s="1120"/>
      <c r="G3836" s="1121"/>
    </row>
    <row r="3837" spans="1:7" s="150" customFormat="1" ht="46.2" customHeight="1">
      <c r="A3837" s="1124"/>
      <c r="B3837" s="1120"/>
      <c r="C3837" s="1128" t="s">
        <v>2</v>
      </c>
      <c r="D3837" s="1120"/>
      <c r="E3837" s="1120"/>
      <c r="F3837" s="146" t="s">
        <v>3</v>
      </c>
      <c r="G3837" s="147" t="s">
        <v>4</v>
      </c>
    </row>
    <row r="3838" spans="1:7" s="145" customFormat="1" ht="34.799999999999997">
      <c r="A3838" s="1073" t="s">
        <v>930</v>
      </c>
      <c r="B3838" s="1115"/>
      <c r="C3838" s="980" t="s">
        <v>931</v>
      </c>
      <c r="D3838" s="980"/>
      <c r="E3838" s="980"/>
      <c r="F3838" s="162" t="s">
        <v>28</v>
      </c>
      <c r="G3838" s="52">
        <v>1</v>
      </c>
    </row>
    <row r="3839" spans="1:7" s="145" customFormat="1" ht="15.75" customHeight="1">
      <c r="A3839" s="1114" t="s">
        <v>5</v>
      </c>
      <c r="B3839" s="1115"/>
      <c r="C3839" s="1115"/>
      <c r="D3839" s="1115"/>
      <c r="E3839" s="1115"/>
      <c r="F3839" s="1115"/>
      <c r="G3839" s="1116"/>
    </row>
    <row r="3840" spans="1:7" s="145" customFormat="1" ht="15.75" customHeight="1">
      <c r="A3840" s="1074" t="s">
        <v>2</v>
      </c>
      <c r="B3840" s="1115"/>
      <c r="C3840" s="53" t="s">
        <v>3</v>
      </c>
      <c r="D3840" s="53" t="s">
        <v>4</v>
      </c>
      <c r="E3840" s="53" t="s">
        <v>6</v>
      </c>
      <c r="F3840" s="53" t="s">
        <v>7</v>
      </c>
      <c r="G3840" s="1075" t="s">
        <v>8</v>
      </c>
    </row>
    <row r="3841" spans="1:7" s="150" customFormat="1" ht="15.75" customHeight="1">
      <c r="A3841" s="947" t="s">
        <v>167</v>
      </c>
      <c r="B3841" s="1115"/>
      <c r="C3841" s="51" t="s">
        <v>900</v>
      </c>
      <c r="D3841" s="51">
        <v>0.05</v>
      </c>
      <c r="E3841" s="17">
        <f>G3854</f>
        <v>80120</v>
      </c>
      <c r="F3841" s="55">
        <f>D3841*E3841</f>
        <v>4006</v>
      </c>
      <c r="G3841" s="1116"/>
    </row>
    <row r="3842" spans="1:7" s="150" customFormat="1" ht="15.75" customHeight="1">
      <c r="A3842" s="943"/>
      <c r="B3842" s="1115"/>
      <c r="C3842" s="51"/>
      <c r="D3842" s="51"/>
      <c r="E3842" s="51"/>
      <c r="F3842" s="55"/>
      <c r="G3842" s="57">
        <f>SUM(F3840:F3842)</f>
        <v>4006</v>
      </c>
    </row>
    <row r="3843" spans="1:7" s="150" customFormat="1" ht="15.75" customHeight="1">
      <c r="A3843" s="1114" t="s">
        <v>10</v>
      </c>
      <c r="B3843" s="1115"/>
      <c r="C3843" s="1115"/>
      <c r="D3843" s="1115"/>
      <c r="E3843" s="1115"/>
      <c r="F3843" s="1115"/>
      <c r="G3843" s="1116"/>
    </row>
    <row r="3844" spans="1:7" s="150" customFormat="1" ht="15.75" customHeight="1">
      <c r="A3844" s="1074" t="s">
        <v>2</v>
      </c>
      <c r="B3844" s="1115"/>
      <c r="C3844" s="53" t="s">
        <v>3</v>
      </c>
      <c r="D3844" s="53" t="s">
        <v>4</v>
      </c>
      <c r="E3844" s="53" t="s">
        <v>6</v>
      </c>
      <c r="F3844" s="53" t="s">
        <v>11</v>
      </c>
      <c r="G3844" s="1075" t="s">
        <v>8</v>
      </c>
    </row>
    <row r="3845" spans="1:7" s="150" customFormat="1" ht="15.75" customHeight="1">
      <c r="A3845" s="947" t="s">
        <v>928</v>
      </c>
      <c r="B3845" s="1115"/>
      <c r="C3845" s="51" t="s">
        <v>3</v>
      </c>
      <c r="D3845" s="51">
        <v>1</v>
      </c>
      <c r="E3845" s="17">
        <f>+'INSUMOS ELÉCTRICOS'!E50</f>
        <v>405199.76</v>
      </c>
      <c r="F3845" s="55">
        <v>179690</v>
      </c>
      <c r="G3845" s="1075"/>
    </row>
    <row r="3846" spans="1:7" s="145" customFormat="1" ht="15.75" customHeight="1">
      <c r="A3846" s="947"/>
      <c r="B3846" s="980"/>
      <c r="C3846" s="16"/>
      <c r="D3846" s="58"/>
      <c r="E3846" s="17"/>
      <c r="F3846" s="55">
        <f>E3846*D3846</f>
        <v>0</v>
      </c>
      <c r="G3846" s="57">
        <f>SUM(F3844:F3846)</f>
        <v>179690</v>
      </c>
    </row>
    <row r="3847" spans="1:7" s="145" customFormat="1" ht="15.75" customHeight="1">
      <c r="A3847" s="1114" t="s">
        <v>15</v>
      </c>
      <c r="B3847" s="1115"/>
      <c r="C3847" s="1115"/>
      <c r="D3847" s="1115"/>
      <c r="E3847" s="1115"/>
      <c r="F3847" s="1115"/>
      <c r="G3847" s="1116"/>
    </row>
    <row r="3848" spans="1:7" s="145" customFormat="1" ht="15.75" customHeight="1">
      <c r="A3848" s="1074" t="s">
        <v>2</v>
      </c>
      <c r="B3848" s="1115"/>
      <c r="C3848" s="53" t="s">
        <v>3</v>
      </c>
      <c r="D3848" s="53" t="s">
        <v>4</v>
      </c>
      <c r="E3848" s="53" t="s">
        <v>6</v>
      </c>
      <c r="F3848" s="53" t="s">
        <v>11</v>
      </c>
      <c r="G3848" s="1075" t="s">
        <v>8</v>
      </c>
    </row>
    <row r="3849" spans="1:7" s="145" customFormat="1" ht="15.75" customHeight="1">
      <c r="A3849" s="947" t="s">
        <v>842</v>
      </c>
      <c r="B3849" s="1115"/>
      <c r="C3849" s="51" t="s">
        <v>3</v>
      </c>
      <c r="D3849" s="51">
        <v>0.15</v>
      </c>
      <c r="E3849" s="17">
        <f>G3846</f>
        <v>179690</v>
      </c>
      <c r="F3849" s="55">
        <f>D3849*E3849</f>
        <v>26953.5</v>
      </c>
      <c r="G3849" s="1116"/>
    </row>
    <row r="3850" spans="1:7" s="145" customFormat="1" ht="15.75" customHeight="1">
      <c r="A3850" s="151"/>
      <c r="B3850" s="152"/>
      <c r="C3850" s="152"/>
      <c r="D3850" s="152"/>
      <c r="E3850" s="152"/>
      <c r="F3850" s="152"/>
      <c r="G3850" s="57">
        <f>SUM(F3849:F3850)</f>
        <v>26953.5</v>
      </c>
    </row>
    <row r="3851" spans="1:7" s="145" customFormat="1" ht="15.75" customHeight="1">
      <c r="A3851" s="1114" t="s">
        <v>19</v>
      </c>
      <c r="B3851" s="1115"/>
      <c r="C3851" s="1115"/>
      <c r="D3851" s="1115"/>
      <c r="E3851" s="1115"/>
      <c r="F3851" s="1115"/>
      <c r="G3851" s="1116"/>
    </row>
    <row r="3852" spans="1:7" s="145" customFormat="1" ht="15.75" customHeight="1">
      <c r="A3852" s="1074" t="s">
        <v>2</v>
      </c>
      <c r="B3852" s="1115"/>
      <c r="C3852" s="53" t="s">
        <v>3</v>
      </c>
      <c r="D3852" s="53" t="s">
        <v>4</v>
      </c>
      <c r="E3852" s="53" t="s">
        <v>6</v>
      </c>
      <c r="F3852" s="53" t="s">
        <v>11</v>
      </c>
      <c r="G3852" s="1075" t="s">
        <v>8</v>
      </c>
    </row>
    <row r="3853" spans="1:7" s="2" customFormat="1" ht="15.75" customHeight="1">
      <c r="A3853" s="978" t="s">
        <v>1256</v>
      </c>
      <c r="B3853" s="979"/>
      <c r="C3853" s="13" t="s">
        <v>1245</v>
      </c>
      <c r="D3853" s="32">
        <v>4</v>
      </c>
      <c r="E3853" s="13">
        <v>20030</v>
      </c>
      <c r="F3853" s="55">
        <f>+D3853*E3853</f>
        <v>80120</v>
      </c>
      <c r="G3853" s="1116"/>
    </row>
    <row r="3854" spans="1:7" s="145" customFormat="1" ht="15.75" customHeight="1">
      <c r="A3854" s="155"/>
      <c r="B3854" s="156"/>
      <c r="C3854" s="156"/>
      <c r="D3854" s="156"/>
      <c r="E3854" s="156"/>
      <c r="F3854" s="156"/>
      <c r="G3854" s="57">
        <f>SUM(F3852:F3854)</f>
        <v>80120</v>
      </c>
    </row>
    <row r="3855" spans="1:7" s="145" customFormat="1" ht="15.75" customHeight="1">
      <c r="A3855" s="1119" t="s">
        <v>25</v>
      </c>
      <c r="B3855" s="1120"/>
      <c r="C3855" s="1120"/>
      <c r="D3855" s="1120"/>
      <c r="E3855" s="1120"/>
      <c r="F3855" s="1120"/>
      <c r="G3855" s="1121"/>
    </row>
    <row r="3856" spans="1:7" s="145" customFormat="1" ht="15.75" customHeight="1">
      <c r="A3856" s="1122"/>
      <c r="B3856" s="1120"/>
      <c r="C3856" s="1120"/>
      <c r="D3856" s="1120"/>
      <c r="E3856" s="1120"/>
      <c r="F3856" s="1120"/>
      <c r="G3856" s="157">
        <f>G3854+G3850+G3846+G3842</f>
        <v>290769.5</v>
      </c>
    </row>
    <row r="3857" spans="1:7" s="145" customFormat="1" ht="15" customHeight="1">
      <c r="A3857" s="158"/>
      <c r="B3857" s="159"/>
      <c r="C3857" s="159"/>
      <c r="D3857" s="159"/>
      <c r="E3857" s="159"/>
      <c r="F3857" s="159"/>
      <c r="G3857" s="160"/>
    </row>
    <row r="3858" spans="1:7" s="145" customFormat="1" ht="15.75" customHeight="1">
      <c r="A3858" s="1123" t="s">
        <v>1</v>
      </c>
      <c r="B3858" s="1120"/>
      <c r="C3858" s="953" t="s">
        <v>594</v>
      </c>
      <c r="D3858" s="1125"/>
      <c r="E3858" s="1125"/>
      <c r="F3858" s="1125"/>
      <c r="G3858" s="1126"/>
    </row>
    <row r="3859" spans="1:7" s="145" customFormat="1" ht="24" customHeight="1">
      <c r="A3859" s="1124"/>
      <c r="B3859" s="1120"/>
      <c r="C3859" s="1125"/>
      <c r="D3859" s="1125"/>
      <c r="E3859" s="1125"/>
      <c r="F3859" s="1125"/>
      <c r="G3859" s="1126"/>
    </row>
    <row r="3860" spans="1:7" s="145" customFormat="1" ht="15.6" customHeight="1">
      <c r="A3860" s="1124"/>
      <c r="B3860" s="1120"/>
      <c r="C3860" s="1127" t="s">
        <v>896</v>
      </c>
      <c r="D3860" s="1120"/>
      <c r="E3860" s="1120"/>
      <c r="F3860" s="1120"/>
      <c r="G3860" s="1121"/>
    </row>
    <row r="3861" spans="1:7" s="145" customFormat="1" ht="15.75" customHeight="1">
      <c r="A3861" s="1124"/>
      <c r="B3861" s="1120"/>
      <c r="C3861" s="1128" t="s">
        <v>2</v>
      </c>
      <c r="D3861" s="1120"/>
      <c r="E3861" s="1120"/>
      <c r="F3861" s="146" t="s">
        <v>3</v>
      </c>
      <c r="G3861" s="147" t="s">
        <v>4</v>
      </c>
    </row>
    <row r="3862" spans="1:7" s="145" customFormat="1" ht="34.799999999999997">
      <c r="A3862" s="1073">
        <v>17.7</v>
      </c>
      <c r="B3862" s="1115"/>
      <c r="C3862" s="980" t="s">
        <v>932</v>
      </c>
      <c r="D3862" s="980"/>
      <c r="E3862" s="980"/>
      <c r="F3862" s="162" t="s">
        <v>28</v>
      </c>
      <c r="G3862" s="52">
        <v>1</v>
      </c>
    </row>
    <row r="3863" spans="1:7" s="145" customFormat="1" ht="15.75" customHeight="1">
      <c r="A3863" s="1114" t="s">
        <v>5</v>
      </c>
      <c r="B3863" s="1115"/>
      <c r="C3863" s="1115"/>
      <c r="D3863" s="1115"/>
      <c r="E3863" s="1115"/>
      <c r="F3863" s="1115"/>
      <c r="G3863" s="1116"/>
    </row>
    <row r="3864" spans="1:7" s="145" customFormat="1" ht="15.75" customHeight="1">
      <c r="A3864" s="1074" t="s">
        <v>2</v>
      </c>
      <c r="B3864" s="1115"/>
      <c r="C3864" s="53" t="s">
        <v>3</v>
      </c>
      <c r="D3864" s="53" t="s">
        <v>4</v>
      </c>
      <c r="E3864" s="53" t="s">
        <v>6</v>
      </c>
      <c r="F3864" s="53" t="s">
        <v>7</v>
      </c>
      <c r="G3864" s="1075" t="s">
        <v>8</v>
      </c>
    </row>
    <row r="3865" spans="1:7" s="145" customFormat="1" ht="15.75" customHeight="1">
      <c r="A3865" s="947"/>
      <c r="B3865" s="1115"/>
      <c r="C3865" s="51"/>
      <c r="D3865" s="51"/>
      <c r="E3865" s="17"/>
      <c r="F3865" s="55"/>
      <c r="G3865" s="1116"/>
    </row>
    <row r="3866" spans="1:7" s="145" customFormat="1" ht="15.75" customHeight="1">
      <c r="A3866" s="943"/>
      <c r="B3866" s="1115"/>
      <c r="C3866" s="51"/>
      <c r="D3866" s="51"/>
      <c r="E3866" s="51"/>
      <c r="F3866" s="55"/>
      <c r="G3866" s="57">
        <f>SUM(F3864:F3866)</f>
        <v>0</v>
      </c>
    </row>
    <row r="3867" spans="1:7" s="145" customFormat="1" ht="15.75" customHeight="1">
      <c r="A3867" s="1114" t="s">
        <v>10</v>
      </c>
      <c r="B3867" s="1115"/>
      <c r="C3867" s="1115"/>
      <c r="D3867" s="1115"/>
      <c r="E3867" s="1115"/>
      <c r="F3867" s="1115"/>
      <c r="G3867" s="1116"/>
    </row>
    <row r="3868" spans="1:7" s="145" customFormat="1" ht="15.75" customHeight="1">
      <c r="A3868" s="1074" t="s">
        <v>2</v>
      </c>
      <c r="B3868" s="1115"/>
      <c r="C3868" s="53" t="s">
        <v>3</v>
      </c>
      <c r="D3868" s="53" t="s">
        <v>4</v>
      </c>
      <c r="E3868" s="53" t="s">
        <v>6</v>
      </c>
      <c r="F3868" s="53" t="s">
        <v>11</v>
      </c>
      <c r="G3868" s="1075" t="s">
        <v>8</v>
      </c>
    </row>
    <row r="3869" spans="1:7" s="145" customFormat="1" ht="15.75" customHeight="1">
      <c r="A3869" s="947" t="s">
        <v>933</v>
      </c>
      <c r="B3869" s="1115"/>
      <c r="C3869" s="51" t="s">
        <v>3</v>
      </c>
      <c r="D3869" s="51">
        <v>1</v>
      </c>
      <c r="E3869" s="17">
        <v>4403000</v>
      </c>
      <c r="F3869" s="55">
        <f>D3869*E3869</f>
        <v>4403000</v>
      </c>
      <c r="G3869" s="1075"/>
    </row>
    <row r="3870" spans="1:7" s="145" customFormat="1" ht="15.75" customHeight="1">
      <c r="A3870" s="947"/>
      <c r="B3870" s="980"/>
      <c r="C3870" s="16"/>
      <c r="D3870" s="58"/>
      <c r="E3870" s="17"/>
      <c r="F3870" s="55"/>
      <c r="G3870" s="57">
        <f>SUM(F3868:F3870)</f>
        <v>4403000</v>
      </c>
    </row>
    <row r="3871" spans="1:7" s="145" customFormat="1" ht="15.75" customHeight="1">
      <c r="A3871" s="1114" t="s">
        <v>15</v>
      </c>
      <c r="B3871" s="1115"/>
      <c r="C3871" s="1115"/>
      <c r="D3871" s="1115"/>
      <c r="E3871" s="1115"/>
      <c r="F3871" s="1115"/>
      <c r="G3871" s="1116"/>
    </row>
    <row r="3872" spans="1:7" s="145" customFormat="1" ht="15.75" customHeight="1">
      <c r="A3872" s="1074" t="s">
        <v>2</v>
      </c>
      <c r="B3872" s="1115"/>
      <c r="C3872" s="53" t="s">
        <v>3</v>
      </c>
      <c r="D3872" s="53" t="s">
        <v>4</v>
      </c>
      <c r="E3872" s="53" t="s">
        <v>6</v>
      </c>
      <c r="F3872" s="53" t="s">
        <v>11</v>
      </c>
      <c r="G3872" s="1075" t="s">
        <v>8</v>
      </c>
    </row>
    <row r="3873" spans="1:7" s="145" customFormat="1" ht="15.75" customHeight="1">
      <c r="A3873" s="947"/>
      <c r="B3873" s="1115"/>
      <c r="C3873" s="51"/>
      <c r="D3873" s="51"/>
      <c r="E3873" s="17"/>
      <c r="F3873" s="55"/>
      <c r="G3873" s="1116"/>
    </row>
    <row r="3874" spans="1:7" s="145" customFormat="1" ht="15.75" customHeight="1">
      <c r="A3874" s="151"/>
      <c r="B3874" s="152"/>
      <c r="C3874" s="152"/>
      <c r="D3874" s="152"/>
      <c r="E3874" s="152"/>
      <c r="F3874" s="152"/>
      <c r="G3874" s="57">
        <f>SUM(F3873:F3874)</f>
        <v>0</v>
      </c>
    </row>
    <row r="3875" spans="1:7" s="145" customFormat="1" ht="15.75" customHeight="1">
      <c r="A3875" s="1114" t="s">
        <v>19</v>
      </c>
      <c r="B3875" s="1115"/>
      <c r="C3875" s="1115"/>
      <c r="D3875" s="1115"/>
      <c r="E3875" s="1115"/>
      <c r="F3875" s="1115"/>
      <c r="G3875" s="1116"/>
    </row>
    <row r="3876" spans="1:7" s="145" customFormat="1" ht="15.75" customHeight="1">
      <c r="A3876" s="1074" t="s">
        <v>2</v>
      </c>
      <c r="B3876" s="1115"/>
      <c r="C3876" s="53" t="s">
        <v>3</v>
      </c>
      <c r="D3876" s="53" t="s">
        <v>4</v>
      </c>
      <c r="E3876" s="53" t="s">
        <v>6</v>
      </c>
      <c r="F3876" s="53" t="s">
        <v>11</v>
      </c>
      <c r="G3876" s="1075" t="s">
        <v>8</v>
      </c>
    </row>
    <row r="3877" spans="1:7" s="2" customFormat="1" ht="15.75" customHeight="1">
      <c r="A3877" s="153"/>
      <c r="B3877" s="154"/>
      <c r="C3877" s="13"/>
      <c r="D3877" s="154"/>
      <c r="E3877" s="16"/>
      <c r="F3877" s="55"/>
      <c r="G3877" s="1116"/>
    </row>
    <row r="3878" spans="1:7" s="145" customFormat="1" ht="15.75" customHeight="1">
      <c r="A3878" s="155"/>
      <c r="B3878" s="156"/>
      <c r="C3878" s="156"/>
      <c r="D3878" s="156"/>
      <c r="E3878" s="156"/>
      <c r="F3878" s="156"/>
      <c r="G3878" s="57">
        <f>SUM(F3876:F3878)</f>
        <v>0</v>
      </c>
    </row>
    <row r="3879" spans="1:7" s="145" customFormat="1" ht="15.75" customHeight="1">
      <c r="A3879" s="1119" t="s">
        <v>25</v>
      </c>
      <c r="B3879" s="1120"/>
      <c r="C3879" s="1120"/>
      <c r="D3879" s="1120"/>
      <c r="E3879" s="1120"/>
      <c r="F3879" s="1120"/>
      <c r="G3879" s="1121"/>
    </row>
    <row r="3880" spans="1:7" s="145" customFormat="1" ht="15.75" customHeight="1">
      <c r="A3880" s="1122"/>
      <c r="B3880" s="1120"/>
      <c r="C3880" s="1120"/>
      <c r="D3880" s="1120"/>
      <c r="E3880" s="1120"/>
      <c r="F3880" s="1120"/>
      <c r="G3880" s="157">
        <f>G3878+G3874+G3870+G3866</f>
        <v>4403000</v>
      </c>
    </row>
    <row r="3881" spans="1:7" s="145" customFormat="1" ht="15" customHeight="1">
      <c r="A3881" s="158"/>
      <c r="B3881" s="159"/>
      <c r="C3881" s="159"/>
      <c r="D3881" s="159"/>
      <c r="E3881" s="159"/>
      <c r="F3881" s="159"/>
      <c r="G3881" s="160"/>
    </row>
    <row r="3882" spans="1:7" s="145" customFormat="1" ht="15.75" customHeight="1">
      <c r="A3882" s="1123" t="s">
        <v>1</v>
      </c>
      <c r="B3882" s="1120"/>
      <c r="C3882" s="953" t="s">
        <v>594</v>
      </c>
      <c r="D3882" s="1125"/>
      <c r="E3882" s="1125"/>
      <c r="F3882" s="1125"/>
      <c r="G3882" s="1126"/>
    </row>
    <row r="3883" spans="1:7" s="145" customFormat="1" ht="24" customHeight="1">
      <c r="A3883" s="1124"/>
      <c r="B3883" s="1120"/>
      <c r="C3883" s="1125"/>
      <c r="D3883" s="1125"/>
      <c r="E3883" s="1125"/>
      <c r="F3883" s="1125"/>
      <c r="G3883" s="1126"/>
    </row>
    <row r="3884" spans="1:7" s="145" customFormat="1" ht="15.6" customHeight="1">
      <c r="A3884" s="1124"/>
      <c r="B3884" s="1120"/>
      <c r="C3884" s="1127" t="s">
        <v>896</v>
      </c>
      <c r="D3884" s="1120"/>
      <c r="E3884" s="1120"/>
      <c r="F3884" s="1120"/>
      <c r="G3884" s="1121"/>
    </row>
    <row r="3885" spans="1:7" s="145" customFormat="1" ht="15.75" customHeight="1">
      <c r="A3885" s="1124"/>
      <c r="B3885" s="1120"/>
      <c r="C3885" s="1128" t="s">
        <v>2</v>
      </c>
      <c r="D3885" s="1120"/>
      <c r="E3885" s="1120"/>
      <c r="F3885" s="146" t="s">
        <v>3</v>
      </c>
      <c r="G3885" s="147" t="s">
        <v>4</v>
      </c>
    </row>
    <row r="3886" spans="1:7" s="145" customFormat="1" ht="34.799999999999997">
      <c r="A3886" s="1073">
        <v>17.8</v>
      </c>
      <c r="B3886" s="1115"/>
      <c r="C3886" s="980" t="s">
        <v>2769</v>
      </c>
      <c r="D3886" s="980"/>
      <c r="E3886" s="980"/>
      <c r="F3886" s="162" t="s">
        <v>28</v>
      </c>
      <c r="G3886" s="52">
        <v>1</v>
      </c>
    </row>
    <row r="3887" spans="1:7" s="145" customFormat="1" ht="15.75" customHeight="1">
      <c r="A3887" s="1114" t="s">
        <v>5</v>
      </c>
      <c r="B3887" s="1115"/>
      <c r="C3887" s="1115"/>
      <c r="D3887" s="1115"/>
      <c r="E3887" s="1115"/>
      <c r="F3887" s="1115"/>
      <c r="G3887" s="1116"/>
    </row>
    <row r="3888" spans="1:7" s="145" customFormat="1" ht="15.75" customHeight="1">
      <c r="A3888" s="1074" t="s">
        <v>2</v>
      </c>
      <c r="B3888" s="1115"/>
      <c r="C3888" s="53" t="s">
        <v>3</v>
      </c>
      <c r="D3888" s="53" t="s">
        <v>4</v>
      </c>
      <c r="E3888" s="53" t="s">
        <v>6</v>
      </c>
      <c r="F3888" s="53" t="s">
        <v>7</v>
      </c>
      <c r="G3888" s="1075" t="s">
        <v>8</v>
      </c>
    </row>
    <row r="3889" spans="1:7" s="145" customFormat="1" ht="15.75" customHeight="1">
      <c r="A3889" s="947"/>
      <c r="B3889" s="1115"/>
      <c r="C3889" s="51"/>
      <c r="D3889" s="51"/>
      <c r="E3889" s="17"/>
      <c r="F3889" s="55"/>
      <c r="G3889" s="1116"/>
    </row>
    <row r="3890" spans="1:7" s="145" customFormat="1" ht="15.75" customHeight="1">
      <c r="A3890" s="943"/>
      <c r="B3890" s="1115"/>
      <c r="C3890" s="51"/>
      <c r="D3890" s="51"/>
      <c r="E3890" s="51"/>
      <c r="F3890" s="55"/>
      <c r="G3890" s="57">
        <f>SUM(F3888:F3890)</f>
        <v>0</v>
      </c>
    </row>
    <row r="3891" spans="1:7" s="145" customFormat="1" ht="15.75" customHeight="1">
      <c r="A3891" s="1114" t="s">
        <v>10</v>
      </c>
      <c r="B3891" s="1115"/>
      <c r="C3891" s="1115"/>
      <c r="D3891" s="1115"/>
      <c r="E3891" s="1115"/>
      <c r="F3891" s="1115"/>
      <c r="G3891" s="1116"/>
    </row>
    <row r="3892" spans="1:7" s="145" customFormat="1" ht="15.75" customHeight="1">
      <c r="A3892" s="1074" t="s">
        <v>2</v>
      </c>
      <c r="B3892" s="1115"/>
      <c r="C3892" s="53" t="s">
        <v>3</v>
      </c>
      <c r="D3892" s="53" t="s">
        <v>4</v>
      </c>
      <c r="E3892" s="53" t="s">
        <v>6</v>
      </c>
      <c r="F3892" s="53" t="s">
        <v>11</v>
      </c>
      <c r="G3892" s="1075" t="s">
        <v>8</v>
      </c>
    </row>
    <row r="3893" spans="1:7" s="150" customFormat="1" ht="15.75" customHeight="1">
      <c r="A3893" s="947" t="s">
        <v>934</v>
      </c>
      <c r="B3893" s="1115"/>
      <c r="C3893" s="51" t="s">
        <v>3</v>
      </c>
      <c r="D3893" s="51">
        <v>1</v>
      </c>
      <c r="E3893" s="17">
        <v>4641000</v>
      </c>
      <c r="F3893" s="55">
        <f>D3893*E3893</f>
        <v>4641000</v>
      </c>
      <c r="G3893" s="1075"/>
    </row>
    <row r="3894" spans="1:7" s="145" customFormat="1" ht="15.75" customHeight="1">
      <c r="A3894" s="947"/>
      <c r="B3894" s="980"/>
      <c r="C3894" s="16"/>
      <c r="D3894" s="51"/>
      <c r="E3894" s="17"/>
      <c r="F3894" s="55"/>
      <c r="G3894" s="57">
        <f>SUM(F3892:F3894)</f>
        <v>4641000</v>
      </c>
    </row>
    <row r="3895" spans="1:7" s="145" customFormat="1" ht="15.75" customHeight="1">
      <c r="A3895" s="1114" t="s">
        <v>15</v>
      </c>
      <c r="B3895" s="1115"/>
      <c r="C3895" s="1115"/>
      <c r="D3895" s="1115"/>
      <c r="E3895" s="1115"/>
      <c r="F3895" s="1115"/>
      <c r="G3895" s="1116"/>
    </row>
    <row r="3896" spans="1:7" s="145" customFormat="1" ht="15.75" customHeight="1">
      <c r="A3896" s="1074" t="s">
        <v>2</v>
      </c>
      <c r="B3896" s="1115"/>
      <c r="C3896" s="53" t="s">
        <v>3</v>
      </c>
      <c r="D3896" s="53" t="s">
        <v>4</v>
      </c>
      <c r="E3896" s="53" t="s">
        <v>6</v>
      </c>
      <c r="F3896" s="53" t="s">
        <v>11</v>
      </c>
      <c r="G3896" s="1075" t="s">
        <v>8</v>
      </c>
    </row>
    <row r="3897" spans="1:7" s="145" customFormat="1" ht="15.75" customHeight="1">
      <c r="A3897" s="947"/>
      <c r="B3897" s="1115"/>
      <c r="C3897" s="51"/>
      <c r="D3897" s="51"/>
      <c r="E3897" s="17"/>
      <c r="F3897" s="55"/>
      <c r="G3897" s="1116"/>
    </row>
    <row r="3898" spans="1:7" s="145" customFormat="1" ht="15.75" customHeight="1">
      <c r="A3898" s="151"/>
      <c r="B3898" s="152"/>
      <c r="C3898" s="152"/>
      <c r="D3898" s="152"/>
      <c r="E3898" s="152"/>
      <c r="F3898" s="152"/>
      <c r="G3898" s="57">
        <f>SUM(F3897:F3898)</f>
        <v>0</v>
      </c>
    </row>
    <row r="3899" spans="1:7" s="145" customFormat="1" ht="15.75" customHeight="1">
      <c r="A3899" s="1114" t="s">
        <v>19</v>
      </c>
      <c r="B3899" s="1115"/>
      <c r="C3899" s="1115"/>
      <c r="D3899" s="1115"/>
      <c r="E3899" s="1115"/>
      <c r="F3899" s="1115"/>
      <c r="G3899" s="1116"/>
    </row>
    <row r="3900" spans="1:7" s="145" customFormat="1" ht="15.75" customHeight="1">
      <c r="A3900" s="1074" t="s">
        <v>2</v>
      </c>
      <c r="B3900" s="1115"/>
      <c r="C3900" s="53" t="s">
        <v>3</v>
      </c>
      <c r="D3900" s="53" t="s">
        <v>4</v>
      </c>
      <c r="E3900" s="53" t="s">
        <v>6</v>
      </c>
      <c r="F3900" s="53" t="s">
        <v>11</v>
      </c>
      <c r="G3900" s="1075" t="s">
        <v>8</v>
      </c>
    </row>
    <row r="3901" spans="1:7" s="145" customFormat="1" ht="15.75" customHeight="1">
      <c r="A3901" s="153"/>
      <c r="B3901" s="154"/>
      <c r="C3901" s="13"/>
      <c r="D3901" s="154"/>
      <c r="E3901" s="16"/>
      <c r="F3901" s="55"/>
      <c r="G3901" s="1116"/>
    </row>
    <row r="3902" spans="1:7" s="145" customFormat="1" ht="15.75" customHeight="1">
      <c r="A3902" s="155"/>
      <c r="B3902" s="156"/>
      <c r="C3902" s="156"/>
      <c r="D3902" s="156"/>
      <c r="E3902" s="156"/>
      <c r="F3902" s="156"/>
      <c r="G3902" s="57">
        <f>SUM(F3900:F3902)</f>
        <v>0</v>
      </c>
    </row>
    <row r="3903" spans="1:7" s="145" customFormat="1" ht="15.75" customHeight="1">
      <c r="A3903" s="1119" t="s">
        <v>25</v>
      </c>
      <c r="B3903" s="1120"/>
      <c r="C3903" s="1120"/>
      <c r="D3903" s="1120"/>
      <c r="E3903" s="1120"/>
      <c r="F3903" s="1120"/>
      <c r="G3903" s="1121"/>
    </row>
    <row r="3904" spans="1:7" s="145" customFormat="1" ht="15.75" customHeight="1">
      <c r="A3904" s="1122"/>
      <c r="B3904" s="1120"/>
      <c r="C3904" s="1120"/>
      <c r="D3904" s="1120"/>
      <c r="E3904" s="1120"/>
      <c r="F3904" s="1120"/>
      <c r="G3904" s="157">
        <f>G3902+G3898+G3894+G3890</f>
        <v>4641000</v>
      </c>
    </row>
    <row r="3905" spans="1:7" s="145" customFormat="1" ht="15" customHeight="1">
      <c r="A3905" s="158"/>
      <c r="B3905" s="159"/>
      <c r="C3905" s="159"/>
      <c r="D3905" s="159"/>
      <c r="E3905" s="159"/>
      <c r="F3905" s="159"/>
      <c r="G3905" s="160"/>
    </row>
    <row r="3906" spans="1:7" s="145" customFormat="1" ht="15.75" customHeight="1">
      <c r="A3906" s="1123" t="s">
        <v>1</v>
      </c>
      <c r="B3906" s="1120"/>
      <c r="C3906" s="953" t="s">
        <v>594</v>
      </c>
      <c r="D3906" s="1125"/>
      <c r="E3906" s="1125"/>
      <c r="F3906" s="1125"/>
      <c r="G3906" s="1126"/>
    </row>
    <row r="3907" spans="1:7" s="145" customFormat="1" ht="24" customHeight="1">
      <c r="A3907" s="1124"/>
      <c r="B3907" s="1120"/>
      <c r="C3907" s="1125"/>
      <c r="D3907" s="1125"/>
      <c r="E3907" s="1125"/>
      <c r="F3907" s="1125"/>
      <c r="G3907" s="1126"/>
    </row>
    <row r="3908" spans="1:7" s="145" customFormat="1" ht="15.6" customHeight="1">
      <c r="A3908" s="1124"/>
      <c r="B3908" s="1120"/>
      <c r="C3908" s="1127" t="s">
        <v>896</v>
      </c>
      <c r="D3908" s="1120"/>
      <c r="E3908" s="1120"/>
      <c r="F3908" s="1120"/>
      <c r="G3908" s="1121"/>
    </row>
    <row r="3909" spans="1:7" s="145" customFormat="1" ht="15.75" customHeight="1">
      <c r="A3909" s="1124"/>
      <c r="B3909" s="1120"/>
      <c r="C3909" s="1128" t="s">
        <v>2</v>
      </c>
      <c r="D3909" s="1120"/>
      <c r="E3909" s="1120"/>
      <c r="F3909" s="146" t="s">
        <v>3</v>
      </c>
      <c r="G3909" s="147" t="s">
        <v>4</v>
      </c>
    </row>
    <row r="3910" spans="1:7" s="145" customFormat="1" ht="34.799999999999997">
      <c r="A3910" s="1073">
        <v>17.899999999999999</v>
      </c>
      <c r="B3910" s="1115"/>
      <c r="C3910" s="980" t="s">
        <v>935</v>
      </c>
      <c r="D3910" s="980"/>
      <c r="E3910" s="980"/>
      <c r="F3910" s="162" t="s">
        <v>28</v>
      </c>
      <c r="G3910" s="52">
        <v>1</v>
      </c>
    </row>
    <row r="3911" spans="1:7" s="145" customFormat="1" ht="15.75" customHeight="1">
      <c r="A3911" s="1114" t="s">
        <v>5</v>
      </c>
      <c r="B3911" s="1115"/>
      <c r="C3911" s="1115"/>
      <c r="D3911" s="1115"/>
      <c r="E3911" s="1115"/>
      <c r="F3911" s="1115"/>
      <c r="G3911" s="1116"/>
    </row>
    <row r="3912" spans="1:7" s="145" customFormat="1" ht="15.75" customHeight="1">
      <c r="A3912" s="1074" t="s">
        <v>2</v>
      </c>
      <c r="B3912" s="1115"/>
      <c r="C3912" s="53" t="s">
        <v>3</v>
      </c>
      <c r="D3912" s="53" t="s">
        <v>4</v>
      </c>
      <c r="E3912" s="53" t="s">
        <v>6</v>
      </c>
      <c r="F3912" s="53" t="s">
        <v>7</v>
      </c>
      <c r="G3912" s="1075" t="s">
        <v>8</v>
      </c>
    </row>
    <row r="3913" spans="1:7" s="145" customFormat="1" ht="15.75" customHeight="1">
      <c r="A3913" s="947"/>
      <c r="B3913" s="1115"/>
      <c r="C3913" s="51"/>
      <c r="D3913" s="51"/>
      <c r="E3913" s="17"/>
      <c r="F3913" s="55"/>
      <c r="G3913" s="1116"/>
    </row>
    <row r="3914" spans="1:7" s="145" customFormat="1" ht="15.75" customHeight="1">
      <c r="A3914" s="943"/>
      <c r="B3914" s="1115"/>
      <c r="C3914" s="51"/>
      <c r="D3914" s="51"/>
      <c r="E3914" s="51"/>
      <c r="F3914" s="55"/>
      <c r="G3914" s="57">
        <f>SUM(F3912:F3914)</f>
        <v>0</v>
      </c>
    </row>
    <row r="3915" spans="1:7" s="145" customFormat="1" ht="15.75" customHeight="1">
      <c r="A3915" s="1114" t="s">
        <v>10</v>
      </c>
      <c r="B3915" s="1115"/>
      <c r="C3915" s="1115"/>
      <c r="D3915" s="1115"/>
      <c r="E3915" s="1115"/>
      <c r="F3915" s="1115"/>
      <c r="G3915" s="1116"/>
    </row>
    <row r="3916" spans="1:7" s="145" customFormat="1" ht="15.75" customHeight="1">
      <c r="A3916" s="1074" t="s">
        <v>2</v>
      </c>
      <c r="B3916" s="1115"/>
      <c r="C3916" s="53" t="s">
        <v>3</v>
      </c>
      <c r="D3916" s="53" t="s">
        <v>4</v>
      </c>
      <c r="E3916" s="53" t="s">
        <v>6</v>
      </c>
      <c r="F3916" s="53" t="s">
        <v>11</v>
      </c>
      <c r="G3916" s="1075" t="s">
        <v>8</v>
      </c>
    </row>
    <row r="3917" spans="1:7" s="150" customFormat="1" ht="13.8">
      <c r="A3917" s="947" t="s">
        <v>936</v>
      </c>
      <c r="B3917" s="1115"/>
      <c r="C3917" s="51" t="s">
        <v>3</v>
      </c>
      <c r="D3917" s="51">
        <v>0</v>
      </c>
      <c r="E3917" s="17">
        <f>1000000*1.2</f>
        <v>1200000</v>
      </c>
      <c r="F3917" s="55">
        <f>D3917*E3917</f>
        <v>0</v>
      </c>
      <c r="G3917" s="1075"/>
    </row>
    <row r="3918" spans="1:7" s="145" customFormat="1" ht="15.75" customHeight="1">
      <c r="A3918" s="947" t="s">
        <v>937</v>
      </c>
      <c r="B3918" s="1115"/>
      <c r="C3918" s="51" t="s">
        <v>3</v>
      </c>
      <c r="D3918" s="51">
        <v>0</v>
      </c>
      <c r="E3918" s="17">
        <f>1500000*1.2</f>
        <v>1800000</v>
      </c>
      <c r="F3918" s="55">
        <f>D3918*E3918</f>
        <v>0</v>
      </c>
      <c r="G3918" s="61"/>
    </row>
    <row r="3919" spans="1:7" s="145" customFormat="1" ht="15.75" customHeight="1">
      <c r="A3919" s="947" t="s">
        <v>938</v>
      </c>
      <c r="B3919" s="1115"/>
      <c r="C3919" s="51" t="s">
        <v>3</v>
      </c>
      <c r="D3919" s="51">
        <v>0</v>
      </c>
      <c r="E3919" s="17">
        <f>7000*1.2</f>
        <v>8400</v>
      </c>
      <c r="F3919" s="55">
        <f>D3919*E3919</f>
        <v>0</v>
      </c>
      <c r="G3919" s="61"/>
    </row>
    <row r="3920" spans="1:7" s="145" customFormat="1" ht="15.75" customHeight="1">
      <c r="A3920" s="947"/>
      <c r="B3920" s="980"/>
      <c r="C3920" s="16"/>
      <c r="D3920" s="58"/>
      <c r="E3920" s="17"/>
      <c r="F3920" s="55">
        <f>E3920*D3920</f>
        <v>0</v>
      </c>
      <c r="G3920" s="57">
        <f>SUM(F3916:F3920)</f>
        <v>0</v>
      </c>
    </row>
    <row r="3921" spans="1:7" s="145" customFormat="1" ht="15.75" customHeight="1">
      <c r="A3921" s="1114" t="s">
        <v>15</v>
      </c>
      <c r="B3921" s="1115"/>
      <c r="C3921" s="1115"/>
      <c r="D3921" s="1115"/>
      <c r="E3921" s="1115"/>
      <c r="F3921" s="1115"/>
      <c r="G3921" s="1116"/>
    </row>
    <row r="3922" spans="1:7" s="145" customFormat="1" ht="15.75" customHeight="1">
      <c r="A3922" s="1074" t="s">
        <v>2</v>
      </c>
      <c r="B3922" s="1115"/>
      <c r="C3922" s="53" t="s">
        <v>3</v>
      </c>
      <c r="D3922" s="53" t="s">
        <v>4</v>
      </c>
      <c r="E3922" s="53" t="s">
        <v>6</v>
      </c>
      <c r="F3922" s="53" t="s">
        <v>11</v>
      </c>
      <c r="G3922" s="1075" t="s">
        <v>8</v>
      </c>
    </row>
    <row r="3923" spans="1:7" s="145" customFormat="1" ht="15.75" customHeight="1">
      <c r="A3923" s="947" t="s">
        <v>842</v>
      </c>
      <c r="B3923" s="1115"/>
      <c r="C3923" s="51" t="s">
        <v>3</v>
      </c>
      <c r="D3923" s="51">
        <v>0</v>
      </c>
      <c r="E3923" s="17">
        <v>10500</v>
      </c>
      <c r="F3923" s="55">
        <f>D3923*E3923</f>
        <v>0</v>
      </c>
      <c r="G3923" s="1116"/>
    </row>
    <row r="3924" spans="1:7" s="145" customFormat="1" ht="15.75" customHeight="1">
      <c r="A3924" s="151"/>
      <c r="B3924" s="152"/>
      <c r="C3924" s="152"/>
      <c r="D3924" s="152"/>
      <c r="E3924" s="152"/>
      <c r="F3924" s="152"/>
      <c r="G3924" s="57">
        <f>SUM(F3923:F3924)</f>
        <v>0</v>
      </c>
    </row>
    <row r="3925" spans="1:7" s="145" customFormat="1" ht="15.75" customHeight="1">
      <c r="A3925" s="1114" t="s">
        <v>19</v>
      </c>
      <c r="B3925" s="1115"/>
      <c r="C3925" s="1115"/>
      <c r="D3925" s="1115"/>
      <c r="E3925" s="1115"/>
      <c r="F3925" s="1115"/>
      <c r="G3925" s="1116"/>
    </row>
    <row r="3926" spans="1:7" s="145" customFormat="1" ht="15.75" customHeight="1">
      <c r="A3926" s="1074" t="s">
        <v>2</v>
      </c>
      <c r="B3926" s="1115"/>
      <c r="C3926" s="53" t="s">
        <v>3</v>
      </c>
      <c r="D3926" s="53" t="s">
        <v>4</v>
      </c>
      <c r="E3926" s="53" t="s">
        <v>6</v>
      </c>
      <c r="F3926" s="53" t="s">
        <v>11</v>
      </c>
      <c r="G3926" s="1075" t="s">
        <v>8</v>
      </c>
    </row>
    <row r="3927" spans="1:7" s="145" customFormat="1" ht="15.75" customHeight="1">
      <c r="A3927" s="978" t="s">
        <v>1256</v>
      </c>
      <c r="B3927" s="979"/>
      <c r="C3927" s="13" t="s">
        <v>1245</v>
      </c>
      <c r="D3927" s="32">
        <v>0</v>
      </c>
      <c r="E3927" s="13">
        <v>20030</v>
      </c>
      <c r="F3927" s="55">
        <f>+D3927*E3927</f>
        <v>0</v>
      </c>
      <c r="G3927" s="1116"/>
    </row>
    <row r="3928" spans="1:7" s="145" customFormat="1" ht="15.75" customHeight="1">
      <c r="A3928" s="155"/>
      <c r="B3928" s="156"/>
      <c r="C3928" s="156"/>
      <c r="D3928" s="156"/>
      <c r="E3928" s="156"/>
      <c r="F3928" s="156"/>
      <c r="G3928" s="57">
        <f>SUM(F3926:F3928)</f>
        <v>0</v>
      </c>
    </row>
    <row r="3929" spans="1:7" s="145" customFormat="1" ht="15" customHeight="1">
      <c r="A3929" s="1119" t="s">
        <v>25</v>
      </c>
      <c r="B3929" s="1120"/>
      <c r="C3929" s="1120"/>
      <c r="D3929" s="1120"/>
      <c r="E3929" s="1120"/>
      <c r="F3929" s="1120"/>
      <c r="G3929" s="1121"/>
    </row>
    <row r="3930" spans="1:7" s="145" customFormat="1" ht="15.75" customHeight="1">
      <c r="A3930" s="1122"/>
      <c r="B3930" s="1120"/>
      <c r="C3930" s="1120"/>
      <c r="D3930" s="1120"/>
      <c r="E3930" s="1120"/>
      <c r="F3930" s="1120"/>
      <c r="G3930" s="157">
        <v>0</v>
      </c>
    </row>
    <row r="3931" spans="1:7" s="145" customFormat="1" ht="24" customHeight="1">
      <c r="A3931"/>
      <c r="B3931"/>
      <c r="C3931"/>
      <c r="D3931"/>
      <c r="E3931"/>
      <c r="F3931"/>
      <c r="G3931"/>
    </row>
    <row r="3932" spans="1:7" s="145" customFormat="1" ht="15.6" customHeight="1">
      <c r="A3932" s="1123" t="s">
        <v>1</v>
      </c>
      <c r="B3932" s="1120"/>
      <c r="C3932" s="953" t="s">
        <v>594</v>
      </c>
      <c r="D3932" s="1125"/>
      <c r="E3932" s="1125"/>
      <c r="F3932" s="1125"/>
      <c r="G3932" s="1126"/>
    </row>
    <row r="3933" spans="1:7" s="145" customFormat="1" ht="15.75" customHeight="1">
      <c r="A3933" s="1124"/>
      <c r="B3933" s="1120"/>
      <c r="C3933" s="1125"/>
      <c r="D3933" s="1125"/>
      <c r="E3933" s="1125"/>
      <c r="F3933" s="1125"/>
      <c r="G3933" s="1126"/>
    </row>
    <row r="3934" spans="1:7" s="145" customFormat="1" ht="17.399999999999999">
      <c r="A3934" s="1124"/>
      <c r="B3934" s="1120"/>
      <c r="C3934" s="1127" t="s">
        <v>896</v>
      </c>
      <c r="D3934" s="1120"/>
      <c r="E3934" s="1120"/>
      <c r="F3934" s="1120"/>
      <c r="G3934" s="1121"/>
    </row>
    <row r="3935" spans="1:7" s="145" customFormat="1" ht="15.75" customHeight="1">
      <c r="A3935" s="1124"/>
      <c r="B3935" s="1120"/>
      <c r="C3935" s="1128" t="s">
        <v>2</v>
      </c>
      <c r="D3935" s="1120"/>
      <c r="E3935" s="1120"/>
      <c r="F3935" s="146" t="s">
        <v>3</v>
      </c>
      <c r="G3935" s="147" t="s">
        <v>4</v>
      </c>
    </row>
    <row r="3936" spans="1:7" s="145" customFormat="1" ht="42" customHeight="1">
      <c r="A3936" s="1089">
        <v>17.100000000000001</v>
      </c>
      <c r="B3936" s="1115"/>
      <c r="C3936" s="980" t="s">
        <v>962</v>
      </c>
      <c r="D3936" s="1115"/>
      <c r="E3936" s="1115"/>
      <c r="F3936" s="162" t="s">
        <v>28</v>
      </c>
      <c r="G3936" s="52">
        <v>1</v>
      </c>
    </row>
    <row r="3937" spans="1:7" s="145" customFormat="1" ht="15.75" customHeight="1">
      <c r="A3937" s="1114" t="s">
        <v>5</v>
      </c>
      <c r="B3937" s="1115"/>
      <c r="C3937" s="1115"/>
      <c r="D3937" s="1115"/>
      <c r="E3937" s="1115"/>
      <c r="F3937" s="1115"/>
      <c r="G3937" s="1116"/>
    </row>
    <row r="3938" spans="1:7" s="145" customFormat="1" ht="15.75" customHeight="1">
      <c r="A3938" s="1074" t="s">
        <v>2</v>
      </c>
      <c r="B3938" s="1115"/>
      <c r="C3938" s="53" t="s">
        <v>3</v>
      </c>
      <c r="D3938" s="53" t="s">
        <v>4</v>
      </c>
      <c r="E3938" s="53" t="s">
        <v>6</v>
      </c>
      <c r="F3938" s="53" t="s">
        <v>7</v>
      </c>
      <c r="G3938" s="61" t="s">
        <v>8</v>
      </c>
    </row>
    <row r="3939" spans="1:7" s="145" customFormat="1" ht="15.75" customHeight="1">
      <c r="A3939" s="947" t="s">
        <v>899</v>
      </c>
      <c r="B3939" s="1115"/>
      <c r="C3939" s="51" t="s">
        <v>900</v>
      </c>
      <c r="D3939" s="51">
        <v>0.05</v>
      </c>
      <c r="E3939" s="17">
        <f>G3953</f>
        <v>80120</v>
      </c>
      <c r="F3939" s="55">
        <f>D3939*E3939</f>
        <v>4006</v>
      </c>
      <c r="G3939" s="169"/>
    </row>
    <row r="3940" spans="1:7" s="145" customFormat="1" ht="15.75" customHeight="1">
      <c r="A3940" s="943"/>
      <c r="B3940" s="1115"/>
      <c r="C3940" s="51"/>
      <c r="D3940" s="51"/>
      <c r="E3940" s="51"/>
      <c r="F3940" s="55"/>
      <c r="G3940" s="57">
        <f>SUM(F3938:F3940)</f>
        <v>4006</v>
      </c>
    </row>
    <row r="3941" spans="1:7" s="150" customFormat="1" ht="15.75" customHeight="1">
      <c r="A3941" s="1114" t="s">
        <v>10</v>
      </c>
      <c r="B3941" s="1115"/>
      <c r="C3941" s="1115"/>
      <c r="D3941" s="1115"/>
      <c r="E3941" s="1115"/>
      <c r="F3941" s="1115"/>
      <c r="G3941" s="1116"/>
    </row>
    <row r="3942" spans="1:7" s="145" customFormat="1" ht="15.75" customHeight="1">
      <c r="A3942" s="1074" t="s">
        <v>2</v>
      </c>
      <c r="B3942" s="1115"/>
      <c r="C3942" s="53" t="s">
        <v>3</v>
      </c>
      <c r="D3942" s="53" t="s">
        <v>4</v>
      </c>
      <c r="E3942" s="53" t="s">
        <v>6</v>
      </c>
      <c r="F3942" s="53" t="s">
        <v>11</v>
      </c>
      <c r="G3942" s="1075" t="s">
        <v>8</v>
      </c>
    </row>
    <row r="3943" spans="1:7" s="145" customFormat="1" ht="28.5" customHeight="1">
      <c r="A3943" s="947" t="s">
        <v>963</v>
      </c>
      <c r="B3943" s="1115"/>
      <c r="C3943" s="51" t="s">
        <v>3</v>
      </c>
      <c r="D3943" s="51">
        <v>1</v>
      </c>
      <c r="E3943" s="17">
        <f>+'INSUMOS ELÉCTRICOS'!E111</f>
        <v>23241200</v>
      </c>
      <c r="F3943" s="55">
        <f>D3943*E3943</f>
        <v>23241200</v>
      </c>
      <c r="G3943" s="1075"/>
    </row>
    <row r="3944" spans="1:7" s="145" customFormat="1" ht="15.75" customHeight="1">
      <c r="A3944" s="947" t="s">
        <v>964</v>
      </c>
      <c r="B3944" s="1115"/>
      <c r="C3944" s="51" t="s">
        <v>3</v>
      </c>
      <c r="D3944" s="51">
        <v>1</v>
      </c>
      <c r="E3944" s="17">
        <v>30500.89</v>
      </c>
      <c r="F3944" s="55">
        <f>D3944*E3944</f>
        <v>30500.89</v>
      </c>
      <c r="G3944" s="1075"/>
    </row>
    <row r="3945" spans="1:7" s="145" customFormat="1" ht="15.75" customHeight="1">
      <c r="A3945" s="947"/>
      <c r="B3945" s="980"/>
      <c r="C3945" s="16"/>
      <c r="D3945" s="58"/>
      <c r="E3945" s="17"/>
      <c r="F3945" s="55">
        <f>E3945*D3945</f>
        <v>0</v>
      </c>
      <c r="G3945" s="57">
        <f>SUM(F3942:F3945)</f>
        <v>23271700.890000001</v>
      </c>
    </row>
    <row r="3946" spans="1:7" s="145" customFormat="1" ht="15.75" customHeight="1">
      <c r="A3946" s="1114" t="s">
        <v>15</v>
      </c>
      <c r="B3946" s="1115"/>
      <c r="C3946" s="1115"/>
      <c r="D3946" s="1115"/>
      <c r="E3946" s="1115"/>
      <c r="F3946" s="1115"/>
      <c r="G3946" s="1116"/>
    </row>
    <row r="3947" spans="1:7" s="145" customFormat="1" ht="15.75" customHeight="1">
      <c r="A3947" s="1074" t="s">
        <v>2</v>
      </c>
      <c r="B3947" s="1115"/>
      <c r="C3947" s="53" t="s">
        <v>3</v>
      </c>
      <c r="D3947" s="53" t="s">
        <v>4</v>
      </c>
      <c r="E3947" s="53" t="s">
        <v>6</v>
      </c>
      <c r="F3947" s="53" t="s">
        <v>11</v>
      </c>
      <c r="G3947" s="1075" t="s">
        <v>8</v>
      </c>
    </row>
    <row r="3948" spans="1:7" s="145" customFormat="1" ht="15.75" customHeight="1">
      <c r="A3948" s="947" t="s">
        <v>842</v>
      </c>
      <c r="B3948" s="1115"/>
      <c r="C3948" s="51" t="s">
        <v>3</v>
      </c>
      <c r="D3948" s="51">
        <v>4.0000000000000001E-3</v>
      </c>
      <c r="E3948" s="17">
        <f>G3945</f>
        <v>23271700.890000001</v>
      </c>
      <c r="F3948" s="55">
        <f>D3948*E3948</f>
        <v>93086.80356</v>
      </c>
      <c r="G3948" s="1116"/>
    </row>
    <row r="3949" spans="1:7" s="145" customFormat="1" ht="15.75" customHeight="1">
      <c r="A3949" s="151"/>
      <c r="B3949" s="980"/>
      <c r="C3949" s="1115"/>
      <c r="D3949" s="152"/>
      <c r="E3949" s="152"/>
      <c r="F3949" s="152"/>
      <c r="G3949" s="57">
        <f>SUM(F3948:F3949)</f>
        <v>93086.80356</v>
      </c>
    </row>
    <row r="3950" spans="1:7" s="145" customFormat="1" ht="15.75" customHeight="1">
      <c r="A3950" s="1114" t="s">
        <v>19</v>
      </c>
      <c r="B3950" s="1115"/>
      <c r="C3950" s="1115"/>
      <c r="D3950" s="1115"/>
      <c r="E3950" s="1115"/>
      <c r="F3950" s="1115"/>
      <c r="G3950" s="1116"/>
    </row>
    <row r="3951" spans="1:7" s="2" customFormat="1" ht="15.75" customHeight="1">
      <c r="A3951" s="1074" t="s">
        <v>2</v>
      </c>
      <c r="B3951" s="1115"/>
      <c r="C3951" s="53" t="s">
        <v>3</v>
      </c>
      <c r="D3951" s="53" t="s">
        <v>4</v>
      </c>
      <c r="E3951" s="53" t="s">
        <v>6</v>
      </c>
      <c r="F3951" s="53" t="s">
        <v>11</v>
      </c>
      <c r="G3951" s="1075" t="s">
        <v>8</v>
      </c>
    </row>
    <row r="3952" spans="1:7" s="145" customFormat="1" ht="15.75" customHeight="1">
      <c r="A3952" s="978" t="s">
        <v>1256</v>
      </c>
      <c r="B3952" s="979"/>
      <c r="C3952" s="13" t="s">
        <v>1245</v>
      </c>
      <c r="D3952" s="32">
        <v>4</v>
      </c>
      <c r="E3952" s="13">
        <v>20030</v>
      </c>
      <c r="F3952" s="55">
        <f>+D3952*E3952</f>
        <v>80120</v>
      </c>
      <c r="G3952" s="1116"/>
    </row>
    <row r="3953" spans="1:7" s="145" customFormat="1" ht="15.75" customHeight="1">
      <c r="A3953" s="155"/>
      <c r="B3953" s="156"/>
      <c r="C3953" s="156"/>
      <c r="D3953" s="156"/>
      <c r="E3953" s="156"/>
      <c r="F3953" s="156"/>
      <c r="G3953" s="57">
        <f>SUM(F3951:F3953)</f>
        <v>80120</v>
      </c>
    </row>
    <row r="3954" spans="1:7" s="145" customFormat="1" ht="15.75" customHeight="1">
      <c r="A3954" s="1119" t="s">
        <v>25</v>
      </c>
      <c r="B3954" s="1120"/>
      <c r="C3954" s="1120"/>
      <c r="D3954" s="1120"/>
      <c r="E3954" s="1120"/>
      <c r="F3954" s="1120"/>
      <c r="G3954" s="1121"/>
    </row>
    <row r="3955" spans="1:7" ht="17.399999999999999">
      <c r="A3955" s="1122"/>
      <c r="B3955" s="1120"/>
      <c r="C3955" s="1120"/>
      <c r="D3955" s="1120"/>
      <c r="E3955" s="1120"/>
      <c r="F3955" s="1120"/>
      <c r="G3955" s="157">
        <f>G3953+G3949+G3945+G3940</f>
        <v>23448913.693560001</v>
      </c>
    </row>
    <row r="3956" spans="1:7" s="145" customFormat="1" ht="17.25" customHeight="1">
      <c r="A3956" s="170"/>
      <c r="B3956" s="171"/>
      <c r="C3956" s="172"/>
      <c r="D3956" s="172"/>
      <c r="E3956" s="171"/>
      <c r="F3956" s="172"/>
      <c r="G3956" s="173"/>
    </row>
    <row r="3957" spans="1:7" s="145" customFormat="1" ht="24" customHeight="1">
      <c r="A3957" s="1123" t="s">
        <v>1</v>
      </c>
      <c r="B3957" s="1120"/>
      <c r="C3957" s="953" t="s">
        <v>594</v>
      </c>
      <c r="D3957" s="1125"/>
      <c r="E3957" s="1125"/>
      <c r="F3957" s="1125"/>
      <c r="G3957" s="1126"/>
    </row>
    <row r="3958" spans="1:7" s="145" customFormat="1" ht="15.6" customHeight="1">
      <c r="A3958" s="1124"/>
      <c r="B3958" s="1120"/>
      <c r="C3958" s="1125"/>
      <c r="D3958" s="1125"/>
      <c r="E3958" s="1125"/>
      <c r="F3958" s="1125"/>
      <c r="G3958" s="1126"/>
    </row>
    <row r="3959" spans="1:7" s="145" customFormat="1" ht="15.75" customHeight="1">
      <c r="A3959" s="1124"/>
      <c r="B3959" s="1120"/>
      <c r="C3959" s="1127" t="s">
        <v>896</v>
      </c>
      <c r="D3959" s="1120"/>
      <c r="E3959" s="1120"/>
      <c r="F3959" s="1120"/>
      <c r="G3959" s="1121"/>
    </row>
    <row r="3960" spans="1:7" s="145" customFormat="1" ht="37.950000000000003" customHeight="1">
      <c r="A3960" s="1124"/>
      <c r="B3960" s="1120"/>
      <c r="C3960" s="1128" t="s">
        <v>2</v>
      </c>
      <c r="D3960" s="1120"/>
      <c r="E3960" s="1120"/>
      <c r="F3960" s="146" t="s">
        <v>3</v>
      </c>
      <c r="G3960" s="147" t="s">
        <v>4</v>
      </c>
    </row>
    <row r="3961" spans="1:7" s="145" customFormat="1" ht="39" customHeight="1">
      <c r="A3961" s="1073">
        <v>17.11</v>
      </c>
      <c r="B3961" s="1115"/>
      <c r="C3961" s="980" t="s">
        <v>965</v>
      </c>
      <c r="D3961" s="1115"/>
      <c r="E3961" s="1115"/>
      <c r="F3961" s="636" t="s">
        <v>28</v>
      </c>
      <c r="G3961" s="52">
        <v>1</v>
      </c>
    </row>
    <row r="3962" spans="1:7" s="145" customFormat="1" ht="15.75" customHeight="1">
      <c r="A3962" s="1114" t="s">
        <v>5</v>
      </c>
      <c r="B3962" s="1115"/>
      <c r="C3962" s="1115"/>
      <c r="D3962" s="1115"/>
      <c r="E3962" s="1115"/>
      <c r="F3962" s="1115"/>
      <c r="G3962" s="1116"/>
    </row>
    <row r="3963" spans="1:7" s="150" customFormat="1" ht="32.4" customHeight="1">
      <c r="A3963" s="1074" t="s">
        <v>2</v>
      </c>
      <c r="B3963" s="1115"/>
      <c r="C3963" s="53" t="s">
        <v>3</v>
      </c>
      <c r="D3963" s="53" t="s">
        <v>4</v>
      </c>
      <c r="E3963" s="53" t="s">
        <v>6</v>
      </c>
      <c r="F3963" s="53" t="s">
        <v>7</v>
      </c>
      <c r="G3963" s="61" t="s">
        <v>8</v>
      </c>
    </row>
    <row r="3964" spans="1:7" s="145" customFormat="1" ht="15.75" customHeight="1">
      <c r="A3964" s="947" t="s">
        <v>899</v>
      </c>
      <c r="B3964" s="1115"/>
      <c r="C3964" s="51" t="s">
        <v>900</v>
      </c>
      <c r="D3964" s="51">
        <v>0.05</v>
      </c>
      <c r="E3964" s="17">
        <f>G3980</f>
        <v>40060</v>
      </c>
      <c r="F3964" s="55">
        <f>D3964*E3964</f>
        <v>2003</v>
      </c>
      <c r="G3964" s="169"/>
    </row>
    <row r="3965" spans="1:7" s="145" customFormat="1" ht="15.75" customHeight="1">
      <c r="A3965" s="943"/>
      <c r="B3965" s="1115"/>
      <c r="C3965" s="51"/>
      <c r="D3965" s="51"/>
      <c r="E3965" s="51"/>
      <c r="F3965" s="55"/>
      <c r="G3965" s="57">
        <f>SUM(F3963:F3965)</f>
        <v>2003</v>
      </c>
    </row>
    <row r="3966" spans="1:7" s="145" customFormat="1" ht="15.75" customHeight="1">
      <c r="A3966" s="1114" t="s">
        <v>10</v>
      </c>
      <c r="B3966" s="1115"/>
      <c r="C3966" s="1115"/>
      <c r="D3966" s="1115"/>
      <c r="E3966" s="1115"/>
      <c r="F3966" s="1115"/>
      <c r="G3966" s="1116"/>
    </row>
    <row r="3967" spans="1:7" s="145" customFormat="1" ht="15.75" customHeight="1">
      <c r="A3967" s="1074" t="s">
        <v>2</v>
      </c>
      <c r="B3967" s="1115"/>
      <c r="C3967" s="53" t="s">
        <v>3</v>
      </c>
      <c r="D3967" s="53" t="s">
        <v>4</v>
      </c>
      <c r="E3967" s="53" t="s">
        <v>6</v>
      </c>
      <c r="F3967" s="53" t="s">
        <v>11</v>
      </c>
      <c r="G3967" s="1075" t="s">
        <v>8</v>
      </c>
    </row>
    <row r="3968" spans="1:7" s="150" customFormat="1" ht="15.75" customHeight="1">
      <c r="A3968" s="1117" t="s">
        <v>966</v>
      </c>
      <c r="B3968" s="1129"/>
      <c r="C3968" s="161" t="s">
        <v>3</v>
      </c>
      <c r="D3968" s="161">
        <v>2</v>
      </c>
      <c r="E3968" s="631">
        <f>'INSUMOS ELÉCTRICOS'!E44</f>
        <v>439900</v>
      </c>
      <c r="F3968" s="149">
        <f>D3968*E3968</f>
        <v>879800</v>
      </c>
      <c r="G3968" s="1075"/>
    </row>
    <row r="3969" spans="1:7" s="145" customFormat="1" ht="15.75" customHeight="1">
      <c r="A3969" s="947" t="s">
        <v>967</v>
      </c>
      <c r="B3969" s="1115"/>
      <c r="C3969" s="51" t="s">
        <v>3</v>
      </c>
      <c r="D3969" s="51">
        <v>1</v>
      </c>
      <c r="E3969" s="17">
        <f>+'INSUMOS ELÉCTRICOS'!E152</f>
        <v>61106.5</v>
      </c>
      <c r="F3969" s="55">
        <f>D3969*E3969</f>
        <v>61106.5</v>
      </c>
      <c r="G3969" s="1075"/>
    </row>
    <row r="3970" spans="1:7" s="145" customFormat="1" ht="15.75" customHeight="1">
      <c r="A3970" s="947" t="s">
        <v>968</v>
      </c>
      <c r="B3970" s="1115"/>
      <c r="C3970" s="51" t="s">
        <v>3</v>
      </c>
      <c r="D3970" s="51">
        <v>1</v>
      </c>
      <c r="E3970" s="17">
        <f>+'INSUMOS ELÉCTRICOS'!E113</f>
        <v>4165</v>
      </c>
      <c r="F3970" s="55">
        <f>D3970*E3970</f>
        <v>4165</v>
      </c>
      <c r="G3970" s="1075"/>
    </row>
    <row r="3971" spans="1:7" s="145" customFormat="1" ht="30.75" customHeight="1">
      <c r="A3971" s="947" t="s">
        <v>969</v>
      </c>
      <c r="B3971" s="1115"/>
      <c r="C3971" s="51" t="s">
        <v>3</v>
      </c>
      <c r="D3971" s="51">
        <v>1</v>
      </c>
      <c r="E3971" s="17">
        <f>+'INSUMOS ELÉCTRICOS'!E114</f>
        <v>900</v>
      </c>
      <c r="F3971" s="55">
        <f>D3971*E3971</f>
        <v>900</v>
      </c>
      <c r="G3971" s="1075"/>
    </row>
    <row r="3972" spans="1:7" s="145" customFormat="1" ht="15.75" customHeight="1">
      <c r="A3972" s="947"/>
      <c r="B3972" s="980"/>
      <c r="C3972" s="16"/>
      <c r="D3972" s="58"/>
      <c r="E3972" s="17"/>
      <c r="F3972" s="55">
        <f>E3972*D3972</f>
        <v>0</v>
      </c>
      <c r="G3972" s="57">
        <f>SUM(F3967:F3972)</f>
        <v>945971.5</v>
      </c>
    </row>
    <row r="3973" spans="1:7" s="145" customFormat="1" ht="15.75" customHeight="1">
      <c r="A3973" s="1114" t="s">
        <v>15</v>
      </c>
      <c r="B3973" s="1115"/>
      <c r="C3973" s="1115"/>
      <c r="D3973" s="1115"/>
      <c r="E3973" s="1115"/>
      <c r="F3973" s="1115"/>
      <c r="G3973" s="1116"/>
    </row>
    <row r="3974" spans="1:7" s="145" customFormat="1" ht="15.75" customHeight="1">
      <c r="A3974" s="1074" t="s">
        <v>2</v>
      </c>
      <c r="B3974" s="1115"/>
      <c r="C3974" s="53" t="s">
        <v>3</v>
      </c>
      <c r="D3974" s="53" t="s">
        <v>4</v>
      </c>
      <c r="E3974" s="53" t="s">
        <v>6</v>
      </c>
      <c r="F3974" s="53" t="s">
        <v>11</v>
      </c>
      <c r="G3974" s="1075" t="s">
        <v>8</v>
      </c>
    </row>
    <row r="3975" spans="1:7" s="145" customFormat="1" ht="15.75" customHeight="1">
      <c r="A3975" s="947" t="s">
        <v>842</v>
      </c>
      <c r="B3975" s="1115"/>
      <c r="C3975" s="51" t="s">
        <v>3</v>
      </c>
      <c r="D3975" s="51">
        <v>2.5000000000000001E-3</v>
      </c>
      <c r="E3975" s="17">
        <f>G3972</f>
        <v>945971.5</v>
      </c>
      <c r="F3975" s="55">
        <f>D3975*E3975</f>
        <v>2364.92875</v>
      </c>
      <c r="G3975" s="1116"/>
    </row>
    <row r="3976" spans="1:7" s="2" customFormat="1" ht="15.75" customHeight="1">
      <c r="A3976" s="151"/>
      <c r="B3976" s="152"/>
      <c r="C3976" s="152"/>
      <c r="D3976" s="152"/>
      <c r="E3976" s="152"/>
      <c r="F3976" s="152"/>
      <c r="G3976" s="57">
        <f>SUM(F3975:F3976)</f>
        <v>2364.92875</v>
      </c>
    </row>
    <row r="3977" spans="1:7" s="145" customFormat="1" ht="15.75" customHeight="1">
      <c r="A3977" s="1114" t="s">
        <v>19</v>
      </c>
      <c r="B3977" s="1115"/>
      <c r="C3977" s="1115"/>
      <c r="D3977" s="1115"/>
      <c r="E3977" s="1115"/>
      <c r="F3977" s="1115"/>
      <c r="G3977" s="1116"/>
    </row>
    <row r="3978" spans="1:7" s="145" customFormat="1" ht="15.75" customHeight="1">
      <c r="A3978" s="1074" t="s">
        <v>2</v>
      </c>
      <c r="B3978" s="1115"/>
      <c r="C3978" s="53" t="s">
        <v>3</v>
      </c>
      <c r="D3978" s="53" t="s">
        <v>4</v>
      </c>
      <c r="E3978" s="53" t="s">
        <v>6</v>
      </c>
      <c r="F3978" s="53" t="s">
        <v>11</v>
      </c>
      <c r="G3978" s="1075" t="s">
        <v>8</v>
      </c>
    </row>
    <row r="3979" spans="1:7" s="145" customFormat="1" ht="15.75" customHeight="1">
      <c r="A3979" s="978" t="s">
        <v>1256</v>
      </c>
      <c r="B3979" s="979"/>
      <c r="C3979" s="13" t="s">
        <v>1245</v>
      </c>
      <c r="D3979" s="32">
        <v>2</v>
      </c>
      <c r="E3979" s="13">
        <v>20030</v>
      </c>
      <c r="F3979" s="55">
        <f>E3979*D3979</f>
        <v>40060</v>
      </c>
      <c r="G3979" s="1116"/>
    </row>
    <row r="3980" spans="1:7" s="150" customFormat="1" ht="15.75" customHeight="1">
      <c r="A3980" s="155"/>
      <c r="B3980" s="156"/>
      <c r="C3980" s="156"/>
      <c r="D3980" s="156"/>
      <c r="E3980" s="156"/>
      <c r="F3980" s="156"/>
      <c r="G3980" s="57">
        <f>SUM(F3978:F3980)</f>
        <v>40060</v>
      </c>
    </row>
    <row r="3981" spans="1:7" s="145" customFormat="1" ht="15.75" customHeight="1">
      <c r="A3981" s="1119" t="s">
        <v>25</v>
      </c>
      <c r="B3981" s="1120"/>
      <c r="C3981" s="1120"/>
      <c r="D3981" s="1120"/>
      <c r="E3981" s="1120"/>
      <c r="F3981" s="1120"/>
      <c r="G3981" s="1121"/>
    </row>
    <row r="3982" spans="1:7" s="145" customFormat="1" ht="24" customHeight="1">
      <c r="A3982" s="1122"/>
      <c r="B3982" s="1120"/>
      <c r="C3982" s="1120"/>
      <c r="D3982" s="1120"/>
      <c r="E3982" s="1120"/>
      <c r="F3982" s="1120"/>
      <c r="G3982" s="157">
        <f>G3980+G3976+G3972+G3965</f>
        <v>990399.42874999996</v>
      </c>
    </row>
    <row r="3983" spans="1:7" s="145" customFormat="1" ht="15.6" customHeight="1">
      <c r="A3983" s="170"/>
      <c r="B3983" s="171"/>
      <c r="C3983" s="172"/>
      <c r="D3983" s="172"/>
      <c r="E3983" s="171"/>
      <c r="F3983" s="172"/>
      <c r="G3983" s="173"/>
    </row>
    <row r="3984" spans="1:7" s="145" customFormat="1" ht="15.75" customHeight="1">
      <c r="A3984" s="1123" t="s">
        <v>1</v>
      </c>
      <c r="B3984" s="1120"/>
      <c r="C3984" s="953" t="s">
        <v>594</v>
      </c>
      <c r="D3984" s="1125"/>
      <c r="E3984" s="1125"/>
      <c r="F3984" s="1125"/>
      <c r="G3984" s="1126"/>
    </row>
    <row r="3985" spans="1:7" s="145" customFormat="1" ht="37.950000000000003" customHeight="1">
      <c r="A3985" s="1124"/>
      <c r="B3985" s="1120"/>
      <c r="C3985" s="1125"/>
      <c r="D3985" s="1125"/>
      <c r="E3985" s="1125"/>
      <c r="F3985" s="1125"/>
      <c r="G3985" s="1126"/>
    </row>
    <row r="3986" spans="1:7" s="145" customFormat="1" ht="15.75" customHeight="1">
      <c r="A3986" s="1124"/>
      <c r="B3986" s="1120"/>
      <c r="C3986" s="1127" t="s">
        <v>859</v>
      </c>
      <c r="D3986" s="1120"/>
      <c r="E3986" s="1120"/>
      <c r="F3986" s="1120"/>
      <c r="G3986" s="1121"/>
    </row>
    <row r="3987" spans="1:7" s="145" customFormat="1" ht="15.75" customHeight="1">
      <c r="A3987" s="1124"/>
      <c r="B3987" s="1120"/>
      <c r="C3987" s="1128" t="s">
        <v>2</v>
      </c>
      <c r="D3987" s="1120"/>
      <c r="E3987" s="1120"/>
      <c r="F3987" s="146" t="s">
        <v>3</v>
      </c>
      <c r="G3987" s="147" t="s">
        <v>4</v>
      </c>
    </row>
    <row r="3988" spans="1:7" s="150" customFormat="1" ht="32.4" customHeight="1">
      <c r="A3988" s="1089">
        <v>17.12</v>
      </c>
      <c r="B3988" s="1115"/>
      <c r="C3988" s="980" t="s">
        <v>970</v>
      </c>
      <c r="D3988" s="1115"/>
      <c r="E3988" s="1115"/>
      <c r="F3988" s="162" t="s">
        <v>45</v>
      </c>
      <c r="G3988" s="52">
        <v>1</v>
      </c>
    </row>
    <row r="3989" spans="1:7" s="145" customFormat="1" ht="15.75" customHeight="1">
      <c r="A3989" s="1114" t="s">
        <v>5</v>
      </c>
      <c r="B3989" s="1115"/>
      <c r="C3989" s="1115"/>
      <c r="D3989" s="1115"/>
      <c r="E3989" s="1115"/>
      <c r="F3989" s="1115"/>
      <c r="G3989" s="1116"/>
    </row>
    <row r="3990" spans="1:7" s="145" customFormat="1" ht="15.75" customHeight="1">
      <c r="A3990" s="1074" t="s">
        <v>2</v>
      </c>
      <c r="B3990" s="1115"/>
      <c r="C3990" s="53" t="s">
        <v>3</v>
      </c>
      <c r="D3990" s="53" t="s">
        <v>4</v>
      </c>
      <c r="E3990" s="53" t="s">
        <v>6</v>
      </c>
      <c r="F3990" s="53" t="s">
        <v>7</v>
      </c>
      <c r="G3990" s="1075" t="s">
        <v>8</v>
      </c>
    </row>
    <row r="3991" spans="1:7" s="145" customFormat="1" ht="15.75" customHeight="1">
      <c r="A3991" s="947" t="s">
        <v>167</v>
      </c>
      <c r="B3991" s="1115"/>
      <c r="C3991" s="51" t="s">
        <v>3</v>
      </c>
      <c r="D3991" s="51">
        <v>0.05</v>
      </c>
      <c r="E3991" s="17">
        <f>G4006</f>
        <v>4006</v>
      </c>
      <c r="F3991" s="55">
        <f>D3991*E3991</f>
        <v>200.3</v>
      </c>
      <c r="G3991" s="1116"/>
    </row>
    <row r="3992" spans="1:7" s="145" customFormat="1" ht="15.75" customHeight="1">
      <c r="A3992" s="943"/>
      <c r="B3992" s="1115"/>
      <c r="C3992" s="51"/>
      <c r="D3992" s="51"/>
      <c r="E3992" s="51"/>
      <c r="F3992" s="55"/>
      <c r="G3992" s="57">
        <f>SUM(F3990:F3992)</f>
        <v>200.3</v>
      </c>
    </row>
    <row r="3993" spans="1:7" s="145" customFormat="1" ht="15.75" customHeight="1">
      <c r="A3993" s="1114" t="s">
        <v>10</v>
      </c>
      <c r="B3993" s="1115"/>
      <c r="C3993" s="1115"/>
      <c r="D3993" s="1115"/>
      <c r="E3993" s="1115"/>
      <c r="F3993" s="1115"/>
      <c r="G3993" s="1116"/>
    </row>
    <row r="3994" spans="1:7" s="145" customFormat="1" ht="15.75" customHeight="1">
      <c r="A3994" s="1074" t="s">
        <v>2</v>
      </c>
      <c r="B3994" s="1115"/>
      <c r="C3994" s="53" t="s">
        <v>3</v>
      </c>
      <c r="D3994" s="53" t="s">
        <v>4</v>
      </c>
      <c r="E3994" s="53" t="s">
        <v>6</v>
      </c>
      <c r="F3994" s="53" t="s">
        <v>11</v>
      </c>
      <c r="G3994" s="1075" t="s">
        <v>8</v>
      </c>
    </row>
    <row r="3995" spans="1:7" s="150" customFormat="1" ht="15.75" customHeight="1">
      <c r="A3995" s="947" t="s">
        <v>873</v>
      </c>
      <c r="B3995" s="1115"/>
      <c r="C3995" s="51" t="s">
        <v>622</v>
      </c>
      <c r="D3995" s="51">
        <v>1</v>
      </c>
      <c r="E3995" s="17">
        <f>+'INSUMOS ELÉCTRICOS'!E76</f>
        <v>51830.45</v>
      </c>
      <c r="F3995" s="55">
        <f>D3995*E3995</f>
        <v>51830.45</v>
      </c>
      <c r="G3995" s="1075"/>
    </row>
    <row r="3996" spans="1:7" s="145" customFormat="1" ht="15.75" customHeight="1">
      <c r="A3996" s="947" t="s">
        <v>874</v>
      </c>
      <c r="B3996" s="1115"/>
      <c r="C3996" s="51" t="s">
        <v>622</v>
      </c>
      <c r="D3996" s="51">
        <v>4</v>
      </c>
      <c r="E3996" s="17">
        <f>+'INSUMOS ELÉCTRICOS'!E75</f>
        <v>54600</v>
      </c>
      <c r="F3996" s="55">
        <f>D3996*E3996</f>
        <v>218400</v>
      </c>
      <c r="G3996" s="1075"/>
    </row>
    <row r="3997" spans="1:7" s="145" customFormat="1" ht="15.75" customHeight="1">
      <c r="A3997" s="947"/>
      <c r="B3997" s="1115"/>
      <c r="C3997" s="51"/>
      <c r="D3997" s="51"/>
      <c r="E3997" s="17"/>
      <c r="F3997" s="55">
        <f>E3997*D3997</f>
        <v>0</v>
      </c>
      <c r="G3997" s="57">
        <f>SUM(F3994:F3997)</f>
        <v>270230.45</v>
      </c>
    </row>
    <row r="3998" spans="1:7" s="145" customFormat="1" ht="15.75" customHeight="1">
      <c r="A3998" s="1114" t="s">
        <v>15</v>
      </c>
      <c r="B3998" s="1115"/>
      <c r="C3998" s="1115"/>
      <c r="D3998" s="1115"/>
      <c r="E3998" s="1115"/>
      <c r="F3998" s="1115"/>
      <c r="G3998" s="1116"/>
    </row>
    <row r="3999" spans="1:7" s="145" customFormat="1" ht="15.75" customHeight="1">
      <c r="A3999" s="1074" t="s">
        <v>2</v>
      </c>
      <c r="B3999" s="1115"/>
      <c r="C3999" s="53" t="s">
        <v>3</v>
      </c>
      <c r="D3999" s="53" t="s">
        <v>4</v>
      </c>
      <c r="E3999" s="53" t="s">
        <v>6</v>
      </c>
      <c r="F3999" s="53" t="s">
        <v>11</v>
      </c>
      <c r="G3999" s="1075" t="s">
        <v>8</v>
      </c>
    </row>
    <row r="4000" spans="1:7" s="145" customFormat="1" ht="15.75" customHeight="1">
      <c r="A4000" s="947" t="s">
        <v>842</v>
      </c>
      <c r="B4000" s="1115"/>
      <c r="C4000" s="51" t="s">
        <v>3</v>
      </c>
      <c r="D4000" s="51">
        <v>2.5000000000000001E-3</v>
      </c>
      <c r="E4000" s="17">
        <f>G3997</f>
        <v>270230.45</v>
      </c>
      <c r="F4000" s="55">
        <f>D4000*E4000</f>
        <v>675.57612500000005</v>
      </c>
      <c r="G4000" s="1075"/>
    </row>
    <row r="4001" spans="1:7" s="145" customFormat="1" ht="15.75" customHeight="1">
      <c r="A4001" s="947"/>
      <c r="B4001" s="1115"/>
      <c r="C4001" s="51"/>
      <c r="D4001" s="51"/>
      <c r="E4001" s="17"/>
      <c r="F4001" s="55"/>
      <c r="G4001" s="57">
        <f>SUM(F4000:F4001)</f>
        <v>675.57612500000005</v>
      </c>
    </row>
    <row r="4002" spans="1:7" s="145" customFormat="1" ht="15.75" customHeight="1">
      <c r="A4002" s="1114" t="s">
        <v>19</v>
      </c>
      <c r="B4002" s="1115"/>
      <c r="C4002" s="1115"/>
      <c r="D4002" s="1115"/>
      <c r="E4002" s="1115"/>
      <c r="F4002" s="1115"/>
      <c r="G4002" s="1116"/>
    </row>
    <row r="4003" spans="1:7" s="145" customFormat="1" ht="15.75" customHeight="1">
      <c r="A4003" s="1074" t="s">
        <v>2</v>
      </c>
      <c r="B4003" s="1115"/>
      <c r="C4003" s="53" t="s">
        <v>3</v>
      </c>
      <c r="D4003" s="53" t="s">
        <v>4</v>
      </c>
      <c r="E4003" s="53" t="s">
        <v>6</v>
      </c>
      <c r="F4003" s="53" t="s">
        <v>11</v>
      </c>
      <c r="G4003" s="1075" t="s">
        <v>8</v>
      </c>
    </row>
    <row r="4004" spans="1:7" s="145" customFormat="1" ht="15.75" customHeight="1">
      <c r="A4004" s="978" t="s">
        <v>1256</v>
      </c>
      <c r="B4004" s="979"/>
      <c r="C4004" s="13" t="s">
        <v>1245</v>
      </c>
      <c r="D4004" s="32">
        <v>0.2</v>
      </c>
      <c r="E4004" s="13">
        <v>20030</v>
      </c>
      <c r="F4004" s="55">
        <f>E4004*D4004</f>
        <v>4006</v>
      </c>
      <c r="G4004" s="1116"/>
    </row>
    <row r="4005" spans="1:7" s="145" customFormat="1" ht="15.75" customHeight="1">
      <c r="A4005" s="151"/>
      <c r="B4005" s="165"/>
      <c r="C4005" s="156"/>
      <c r="D4005" s="156"/>
      <c r="E4005" s="166"/>
      <c r="F4005" s="165"/>
      <c r="G4005" s="1116"/>
    </row>
    <row r="4006" spans="1:7" s="145" customFormat="1" ht="15.75" customHeight="1">
      <c r="A4006" s="155"/>
      <c r="B4006" s="156"/>
      <c r="C4006" s="156"/>
      <c r="D4006" s="156"/>
      <c r="E4006" s="156"/>
      <c r="F4006" s="156"/>
      <c r="G4006" s="57">
        <f>SUM(F4003:F4006)</f>
        <v>4006</v>
      </c>
    </row>
    <row r="4007" spans="1:7" s="150" customFormat="1" ht="15.75" customHeight="1">
      <c r="A4007" s="1119" t="s">
        <v>25</v>
      </c>
      <c r="B4007" s="1120"/>
      <c r="C4007" s="1120"/>
      <c r="D4007" s="1120"/>
      <c r="E4007" s="1120"/>
      <c r="F4007" s="1120"/>
      <c r="G4007" s="1121"/>
    </row>
    <row r="4008" spans="1:7" s="145" customFormat="1" ht="15.75" customHeight="1">
      <c r="A4008" s="1122"/>
      <c r="B4008" s="1120"/>
      <c r="C4008" s="1120"/>
      <c r="D4008" s="1120"/>
      <c r="E4008" s="1120"/>
      <c r="F4008" s="1120"/>
      <c r="G4008" s="157">
        <f>G4006+G4001+G3997+G3992</f>
        <v>275112.32612500002</v>
      </c>
    </row>
    <row r="4009" spans="1:7" s="145" customFormat="1" ht="24" customHeight="1">
      <c r="A4009" s="170"/>
      <c r="B4009" s="171"/>
      <c r="C4009" s="172"/>
      <c r="D4009" s="172"/>
      <c r="E4009" s="171"/>
      <c r="F4009" s="172"/>
      <c r="G4009" s="173"/>
    </row>
    <row r="4010" spans="1:7" s="145" customFormat="1" ht="15.6" customHeight="1">
      <c r="A4010" s="1123" t="s">
        <v>1</v>
      </c>
      <c r="B4010" s="1120"/>
      <c r="C4010" s="953" t="s">
        <v>594</v>
      </c>
      <c r="D4010" s="1125"/>
      <c r="E4010" s="1125"/>
      <c r="F4010" s="1125"/>
      <c r="G4010" s="1126"/>
    </row>
    <row r="4011" spans="1:7" s="145" customFormat="1" ht="15.75" customHeight="1">
      <c r="A4011" s="1124"/>
      <c r="B4011" s="1120"/>
      <c r="C4011" s="1125"/>
      <c r="D4011" s="1125"/>
      <c r="E4011" s="1125"/>
      <c r="F4011" s="1125"/>
      <c r="G4011" s="1126"/>
    </row>
    <row r="4012" spans="1:7" s="145" customFormat="1" ht="37.950000000000003" customHeight="1">
      <c r="A4012" s="1124"/>
      <c r="B4012" s="1120"/>
      <c r="C4012" s="1127" t="s">
        <v>859</v>
      </c>
      <c r="D4012" s="1120"/>
      <c r="E4012" s="1120"/>
      <c r="F4012" s="1120"/>
      <c r="G4012" s="1121"/>
    </row>
    <row r="4013" spans="1:7" s="145" customFormat="1" ht="15.75" customHeight="1">
      <c r="A4013" s="1124"/>
      <c r="B4013" s="1120"/>
      <c r="C4013" s="1128" t="s">
        <v>2</v>
      </c>
      <c r="D4013" s="1120"/>
      <c r="E4013" s="1120"/>
      <c r="F4013" s="146" t="s">
        <v>3</v>
      </c>
      <c r="G4013" s="147" t="s">
        <v>4</v>
      </c>
    </row>
    <row r="4014" spans="1:7" s="145" customFormat="1" ht="42" customHeight="1">
      <c r="A4014" s="1073">
        <v>17.13</v>
      </c>
      <c r="B4014" s="1115"/>
      <c r="C4014" s="980" t="s">
        <v>971</v>
      </c>
      <c r="D4014" s="1115"/>
      <c r="E4014" s="1115"/>
      <c r="F4014" s="162" t="s">
        <v>28</v>
      </c>
      <c r="G4014" s="52">
        <v>1</v>
      </c>
    </row>
    <row r="4015" spans="1:7" s="145" customFormat="1" ht="15.75" customHeight="1">
      <c r="A4015" s="1114" t="s">
        <v>5</v>
      </c>
      <c r="B4015" s="1115"/>
      <c r="C4015" s="1115"/>
      <c r="D4015" s="1115"/>
      <c r="E4015" s="1115"/>
      <c r="F4015" s="1115"/>
      <c r="G4015" s="1116"/>
    </row>
    <row r="4016" spans="1:7" s="145" customFormat="1" ht="15.75" customHeight="1">
      <c r="A4016" s="1074" t="s">
        <v>2</v>
      </c>
      <c r="B4016" s="1115"/>
      <c r="C4016" s="53" t="s">
        <v>3</v>
      </c>
      <c r="D4016" s="53" t="s">
        <v>4</v>
      </c>
      <c r="E4016" s="53" t="s">
        <v>6</v>
      </c>
      <c r="F4016" s="53" t="s">
        <v>7</v>
      </c>
      <c r="G4016" s="1075" t="s">
        <v>8</v>
      </c>
    </row>
    <row r="4017" spans="1:7" s="145" customFormat="1" ht="15.75" customHeight="1">
      <c r="A4017" s="947" t="s">
        <v>167</v>
      </c>
      <c r="B4017" s="1115"/>
      <c r="C4017" s="51" t="s">
        <v>3</v>
      </c>
      <c r="D4017" s="51">
        <v>0.05</v>
      </c>
      <c r="E4017" s="17">
        <f>G4032</f>
        <v>5007.5</v>
      </c>
      <c r="F4017" s="55">
        <f>D4017*E4017</f>
        <v>250.375</v>
      </c>
      <c r="G4017" s="1116"/>
    </row>
    <row r="4018" spans="1:7" s="145" customFormat="1" ht="15.75" customHeight="1">
      <c r="A4018" s="943"/>
      <c r="B4018" s="1115"/>
      <c r="C4018" s="51"/>
      <c r="D4018" s="51"/>
      <c r="E4018" s="51"/>
      <c r="F4018" s="55"/>
      <c r="G4018" s="57">
        <f>SUM(F4016:F4018)</f>
        <v>250.375</v>
      </c>
    </row>
    <row r="4019" spans="1:7" s="167" customFormat="1" ht="30.6" customHeight="1">
      <c r="A4019" s="1114" t="s">
        <v>10</v>
      </c>
      <c r="B4019" s="1115"/>
      <c r="C4019" s="1115"/>
      <c r="D4019" s="1115"/>
      <c r="E4019" s="1115"/>
      <c r="F4019" s="1115"/>
      <c r="G4019" s="1116"/>
    </row>
    <row r="4020" spans="1:7" s="167" customFormat="1" ht="30.6" customHeight="1">
      <c r="A4020" s="1074" t="s">
        <v>2</v>
      </c>
      <c r="B4020" s="1115"/>
      <c r="C4020" s="53" t="s">
        <v>3</v>
      </c>
      <c r="D4020" s="53" t="s">
        <v>4</v>
      </c>
      <c r="E4020" s="53" t="s">
        <v>6</v>
      </c>
      <c r="F4020" s="53" t="s">
        <v>11</v>
      </c>
      <c r="G4020" s="1075" t="s">
        <v>8</v>
      </c>
    </row>
    <row r="4021" spans="1:7" s="145" customFormat="1" ht="15.75" customHeight="1">
      <c r="A4021" s="947" t="s">
        <v>873</v>
      </c>
      <c r="B4021" s="1115"/>
      <c r="C4021" s="51" t="s">
        <v>622</v>
      </c>
      <c r="D4021" s="51">
        <v>2</v>
      </c>
      <c r="E4021" s="17">
        <f>+'INSUMOS ELÉCTRICOS'!E76</f>
        <v>51830.45</v>
      </c>
      <c r="F4021" s="55">
        <f>D4021*E4021</f>
        <v>103660.9</v>
      </c>
      <c r="G4021" s="1075"/>
    </row>
    <row r="4022" spans="1:7" s="145" customFormat="1" ht="15.75" customHeight="1">
      <c r="A4022" s="947" t="s">
        <v>874</v>
      </c>
      <c r="B4022" s="1115"/>
      <c r="C4022" s="51" t="s">
        <v>622</v>
      </c>
      <c r="D4022" s="51">
        <v>6</v>
      </c>
      <c r="E4022" s="17">
        <f>+'INSUMOS ELÉCTRICOS'!E75</f>
        <v>54600</v>
      </c>
      <c r="F4022" s="55">
        <f>D4022*E4022</f>
        <v>327600</v>
      </c>
      <c r="G4022" s="1075"/>
    </row>
    <row r="4023" spans="1:7" s="145" customFormat="1" ht="15.75" customHeight="1">
      <c r="A4023" s="947"/>
      <c r="B4023" s="1115"/>
      <c r="C4023" s="16"/>
      <c r="D4023" s="51"/>
      <c r="E4023" s="17"/>
      <c r="F4023" s="55">
        <f>E4023*D4023</f>
        <v>0</v>
      </c>
      <c r="G4023" s="57">
        <f>SUM(F4020:F4023)</f>
        <v>431260.9</v>
      </c>
    </row>
    <row r="4024" spans="1:7" s="150" customFormat="1" ht="15.75" customHeight="1">
      <c r="A4024" s="1114" t="s">
        <v>15</v>
      </c>
      <c r="B4024" s="1115"/>
      <c r="C4024" s="1115"/>
      <c r="D4024" s="1115"/>
      <c r="E4024" s="1115"/>
      <c r="F4024" s="1115"/>
      <c r="G4024" s="1116"/>
    </row>
    <row r="4025" spans="1:7" s="145" customFormat="1" ht="15.75" customHeight="1">
      <c r="A4025" s="1074" t="s">
        <v>2</v>
      </c>
      <c r="B4025" s="1115"/>
      <c r="C4025" s="53" t="s">
        <v>3</v>
      </c>
      <c r="D4025" s="53" t="s">
        <v>4</v>
      </c>
      <c r="E4025" s="53" t="s">
        <v>6</v>
      </c>
      <c r="F4025" s="53" t="s">
        <v>11</v>
      </c>
      <c r="G4025" s="1075" t="s">
        <v>8</v>
      </c>
    </row>
    <row r="4026" spans="1:7" s="145" customFormat="1" ht="15.75" customHeight="1">
      <c r="A4026" s="947" t="s">
        <v>842</v>
      </c>
      <c r="B4026" s="980"/>
      <c r="C4026" s="51" t="s">
        <v>3</v>
      </c>
      <c r="D4026" s="51">
        <v>2E-3</v>
      </c>
      <c r="E4026" s="17">
        <f>G4023</f>
        <v>431260.9</v>
      </c>
      <c r="F4026" s="55">
        <f>D4026*E4026</f>
        <v>862.5218000000001</v>
      </c>
      <c r="G4026" s="1075"/>
    </row>
    <row r="4027" spans="1:7" s="145" customFormat="1" ht="15.75" customHeight="1">
      <c r="A4027" s="947"/>
      <c r="B4027" s="980"/>
      <c r="C4027" s="51"/>
      <c r="D4027" s="51"/>
      <c r="E4027" s="17"/>
      <c r="F4027" s="55"/>
      <c r="G4027" s="57">
        <f>SUM(F4026:F4027)</f>
        <v>862.5218000000001</v>
      </c>
    </row>
    <row r="4028" spans="1:7" s="145" customFormat="1" ht="15.75" customHeight="1">
      <c r="A4028" s="1114" t="s">
        <v>19</v>
      </c>
      <c r="B4028" s="1141"/>
      <c r="C4028" s="1141"/>
      <c r="D4028" s="1141"/>
      <c r="E4028" s="1141"/>
      <c r="F4028" s="1141"/>
      <c r="G4028" s="1142"/>
    </row>
    <row r="4029" spans="1:7" s="145" customFormat="1" ht="15.75" customHeight="1">
      <c r="A4029" s="1074" t="s">
        <v>2</v>
      </c>
      <c r="B4029" s="1115"/>
      <c r="C4029" s="53" t="s">
        <v>3</v>
      </c>
      <c r="D4029" s="53" t="s">
        <v>4</v>
      </c>
      <c r="E4029" s="53" t="s">
        <v>6</v>
      </c>
      <c r="F4029" s="53" t="s">
        <v>11</v>
      </c>
      <c r="G4029" s="1075" t="s">
        <v>8</v>
      </c>
    </row>
    <row r="4030" spans="1:7" s="145" customFormat="1" ht="15.75" customHeight="1">
      <c r="A4030" s="978" t="s">
        <v>1256</v>
      </c>
      <c r="B4030" s="979"/>
      <c r="C4030" s="13" t="s">
        <v>1245</v>
      </c>
      <c r="D4030" s="32">
        <v>0.25</v>
      </c>
      <c r="E4030" s="13">
        <v>20030</v>
      </c>
      <c r="F4030" s="55">
        <f>E4030*D4030</f>
        <v>5007.5</v>
      </c>
      <c r="G4030" s="1116"/>
    </row>
    <row r="4031" spans="1:7" s="145" customFormat="1" ht="15.75" customHeight="1">
      <c r="A4031" s="151"/>
      <c r="B4031" s="165"/>
      <c r="C4031" s="156"/>
      <c r="D4031" s="156"/>
      <c r="E4031" s="166"/>
      <c r="F4031" s="165"/>
      <c r="G4031" s="1116"/>
    </row>
    <row r="4032" spans="1:7" s="145" customFormat="1" ht="15.75" customHeight="1">
      <c r="A4032" s="155"/>
      <c r="B4032" s="156"/>
      <c r="C4032" s="156"/>
      <c r="D4032" s="156"/>
      <c r="E4032" s="156"/>
      <c r="F4032" s="156"/>
      <c r="G4032" s="57">
        <f>SUM(F4029:F4032)</f>
        <v>5007.5</v>
      </c>
    </row>
    <row r="4033" spans="1:7" s="150" customFormat="1" ht="15.75" customHeight="1">
      <c r="A4033" s="1119" t="s">
        <v>25</v>
      </c>
      <c r="B4033" s="1120"/>
      <c r="C4033" s="1120"/>
      <c r="D4033" s="1120"/>
      <c r="E4033" s="1120"/>
      <c r="F4033" s="1120"/>
      <c r="G4033" s="1121"/>
    </row>
    <row r="4034" spans="1:7" s="145" customFormat="1" ht="15.75" customHeight="1">
      <c r="A4034" s="1122"/>
      <c r="B4034" s="1120"/>
      <c r="C4034" s="1120"/>
      <c r="D4034" s="1120"/>
      <c r="E4034" s="1120"/>
      <c r="F4034" s="1120"/>
      <c r="G4034" s="157">
        <f>G4032+G4027+G4023+G4018</f>
        <v>437381.29680000001</v>
      </c>
    </row>
    <row r="4035" spans="1:7" s="145" customFormat="1" ht="24" customHeight="1">
      <c r="A4035" s="170"/>
      <c r="B4035" s="171"/>
      <c r="C4035" s="172"/>
      <c r="D4035" s="172"/>
      <c r="E4035" s="171"/>
      <c r="F4035" s="172"/>
      <c r="G4035" s="173"/>
    </row>
    <row r="4036" spans="1:7" s="145" customFormat="1" ht="15.6" customHeight="1">
      <c r="A4036" s="1123" t="s">
        <v>1</v>
      </c>
      <c r="B4036" s="1120"/>
      <c r="C4036" s="953" t="s">
        <v>594</v>
      </c>
      <c r="D4036" s="1125"/>
      <c r="E4036" s="1125"/>
      <c r="F4036" s="1125"/>
      <c r="G4036" s="1126"/>
    </row>
    <row r="4037" spans="1:7" s="145" customFormat="1" ht="15.75" customHeight="1">
      <c r="A4037" s="1124"/>
      <c r="B4037" s="1120"/>
      <c r="C4037" s="1125"/>
      <c r="D4037" s="1125"/>
      <c r="E4037" s="1125"/>
      <c r="F4037" s="1125"/>
      <c r="G4037" s="1126"/>
    </row>
    <row r="4038" spans="1:7" s="145" customFormat="1" ht="37.950000000000003" customHeight="1">
      <c r="A4038" s="1124"/>
      <c r="B4038" s="1120"/>
      <c r="C4038" s="1127" t="s">
        <v>896</v>
      </c>
      <c r="D4038" s="1120"/>
      <c r="E4038" s="1120"/>
      <c r="F4038" s="1120"/>
      <c r="G4038" s="1121"/>
    </row>
    <row r="4039" spans="1:7" s="145" customFormat="1" ht="15.75" customHeight="1">
      <c r="A4039" s="1124"/>
      <c r="B4039" s="1120"/>
      <c r="C4039" s="1128" t="s">
        <v>2</v>
      </c>
      <c r="D4039" s="1120"/>
      <c r="E4039" s="1120"/>
      <c r="F4039" s="146" t="s">
        <v>3</v>
      </c>
      <c r="G4039" s="147" t="s">
        <v>4</v>
      </c>
    </row>
    <row r="4040" spans="1:7" s="145" customFormat="1" ht="60.6" customHeight="1">
      <c r="A4040" s="1089">
        <v>17.14</v>
      </c>
      <c r="B4040" s="1115"/>
      <c r="C4040" s="980" t="s">
        <v>2788</v>
      </c>
      <c r="D4040" s="1115"/>
      <c r="E4040" s="1115"/>
      <c r="F4040" s="162" t="s">
        <v>28</v>
      </c>
      <c r="G4040" s="52">
        <v>1</v>
      </c>
    </row>
    <row r="4041" spans="1:7" s="145" customFormat="1" ht="15.75" customHeight="1">
      <c r="A4041" s="1114" t="s">
        <v>5</v>
      </c>
      <c r="B4041" s="1115"/>
      <c r="C4041" s="1115"/>
      <c r="D4041" s="1115"/>
      <c r="E4041" s="1115"/>
      <c r="F4041" s="1115"/>
      <c r="G4041" s="1116"/>
    </row>
    <row r="4042" spans="1:7" s="145" customFormat="1" ht="15.75" customHeight="1">
      <c r="A4042" s="1074" t="s">
        <v>2</v>
      </c>
      <c r="B4042" s="1115"/>
      <c r="C4042" s="53" t="s">
        <v>3</v>
      </c>
      <c r="D4042" s="53" t="s">
        <v>4</v>
      </c>
      <c r="E4042" s="53" t="s">
        <v>6</v>
      </c>
      <c r="F4042" s="53" t="s">
        <v>7</v>
      </c>
      <c r="G4042" s="61" t="s">
        <v>8</v>
      </c>
    </row>
    <row r="4043" spans="1:7" s="145" customFormat="1" ht="15.75" customHeight="1">
      <c r="A4043" s="947" t="s">
        <v>815</v>
      </c>
      <c r="B4043" s="1115"/>
      <c r="C4043" s="51" t="s">
        <v>3</v>
      </c>
      <c r="D4043" s="51">
        <v>1</v>
      </c>
      <c r="E4043" s="17">
        <v>1560</v>
      </c>
      <c r="F4043" s="55">
        <f>D4043*E4043</f>
        <v>1560</v>
      </c>
      <c r="G4043" s="169"/>
    </row>
    <row r="4044" spans="1:7" s="145" customFormat="1" ht="34.5" customHeight="1">
      <c r="A4044" s="947" t="s">
        <v>922</v>
      </c>
      <c r="B4044" s="1115"/>
      <c r="C4044" s="51" t="s">
        <v>58</v>
      </c>
      <c r="D4044" s="51">
        <v>0.96</v>
      </c>
      <c r="E4044" s="17">
        <v>48790</v>
      </c>
      <c r="F4044" s="55">
        <f>D4044*E4044</f>
        <v>46838.400000000001</v>
      </c>
      <c r="G4044" s="169"/>
    </row>
    <row r="4045" spans="1:7" s="167" customFormat="1" ht="13.8">
      <c r="A4045" s="943"/>
      <c r="B4045" s="1115"/>
      <c r="C4045" s="51"/>
      <c r="D4045" s="51"/>
      <c r="E4045" s="51"/>
      <c r="F4045" s="55"/>
      <c r="G4045" s="57">
        <f>SUM(F4042:F4045)</f>
        <v>48398.400000000001</v>
      </c>
    </row>
    <row r="4046" spans="1:7" s="167" customFormat="1" ht="13.8">
      <c r="A4046" s="1114" t="s">
        <v>10</v>
      </c>
      <c r="B4046" s="1115"/>
      <c r="C4046" s="1115"/>
      <c r="D4046" s="1115"/>
      <c r="E4046" s="1115"/>
      <c r="F4046" s="1115"/>
      <c r="G4046" s="1116"/>
    </row>
    <row r="4047" spans="1:7" s="145" customFormat="1" ht="15.75" customHeight="1">
      <c r="A4047" s="1074" t="s">
        <v>2</v>
      </c>
      <c r="B4047" s="1115"/>
      <c r="C4047" s="53" t="s">
        <v>3</v>
      </c>
      <c r="D4047" s="53" t="s">
        <v>4</v>
      </c>
      <c r="E4047" s="53" t="s">
        <v>6</v>
      </c>
      <c r="F4047" s="53" t="s">
        <v>11</v>
      </c>
      <c r="G4047" s="1075" t="s">
        <v>8</v>
      </c>
    </row>
    <row r="4048" spans="1:7" s="145" customFormat="1" ht="15.75" customHeight="1">
      <c r="A4048" s="947" t="s">
        <v>972</v>
      </c>
      <c r="B4048" s="1115"/>
      <c r="C4048" s="51" t="s">
        <v>45</v>
      </c>
      <c r="D4048" s="51">
        <v>1</v>
      </c>
      <c r="E4048" s="17">
        <f>+'INSUMOS ELÉCTRICOS'!E40</f>
        <v>20000</v>
      </c>
      <c r="F4048" s="55">
        <f>D4048*E4048</f>
        <v>20000</v>
      </c>
      <c r="G4048" s="1075"/>
    </row>
    <row r="4049" spans="1:7" s="145" customFormat="1" ht="15.75" customHeight="1">
      <c r="A4049" s="947" t="s">
        <v>924</v>
      </c>
      <c r="B4049" s="1115"/>
      <c r="C4049" s="51" t="s">
        <v>3</v>
      </c>
      <c r="D4049" s="51">
        <v>0.02</v>
      </c>
      <c r="E4049" s="17">
        <f>+'INSUMOS '!E344</f>
        <v>26775</v>
      </c>
      <c r="F4049" s="55">
        <f>D4049*E4049</f>
        <v>535.5</v>
      </c>
      <c r="G4049" s="1075"/>
    </row>
    <row r="4050" spans="1:7" s="150" customFormat="1" ht="15.75" customHeight="1">
      <c r="A4050" s="947" t="s">
        <v>2492</v>
      </c>
      <c r="B4050" s="1115"/>
      <c r="C4050" s="51" t="s">
        <v>39</v>
      </c>
      <c r="D4050" s="51">
        <v>0.12</v>
      </c>
      <c r="E4050" s="17">
        <v>348750</v>
      </c>
      <c r="F4050" s="55">
        <f>D4050*E4050</f>
        <v>41850</v>
      </c>
      <c r="G4050" s="1075"/>
    </row>
    <row r="4051" spans="1:7" s="145" customFormat="1" ht="15.75" customHeight="1">
      <c r="A4051" s="947" t="s">
        <v>841</v>
      </c>
      <c r="B4051" s="1115"/>
      <c r="C4051" s="51" t="s">
        <v>39</v>
      </c>
      <c r="D4051" s="51">
        <v>0.25</v>
      </c>
      <c r="E4051" s="17">
        <f>+'INSUMOS '!E346</f>
        <v>35000</v>
      </c>
      <c r="F4051" s="55">
        <f>D4051*E4051</f>
        <v>8750</v>
      </c>
      <c r="G4051" s="1075"/>
    </row>
    <row r="4052" spans="1:7" s="145" customFormat="1" ht="15.75" customHeight="1">
      <c r="A4052" s="947" t="s">
        <v>2488</v>
      </c>
      <c r="B4052" s="1115"/>
      <c r="C4052" s="51" t="s">
        <v>39</v>
      </c>
      <c r="D4052" s="51">
        <v>0.08</v>
      </c>
      <c r="E4052" s="17">
        <v>522929.73333333334</v>
      </c>
      <c r="F4052" s="55">
        <f>D4052*E4052</f>
        <v>41834.378666666671</v>
      </c>
      <c r="G4052" s="1075"/>
    </row>
    <row r="4053" spans="1:7" s="145" customFormat="1" ht="15.75" customHeight="1">
      <c r="A4053" s="947"/>
      <c r="B4053" s="980"/>
      <c r="C4053" s="16"/>
      <c r="D4053" s="58"/>
      <c r="E4053" s="17"/>
      <c r="F4053" s="55">
        <f>E4053*D4053</f>
        <v>0</v>
      </c>
      <c r="G4053" s="57">
        <f>SUM(F4047:F4053)</f>
        <v>112969.87866666667</v>
      </c>
    </row>
    <row r="4054" spans="1:7" s="145" customFormat="1" ht="15.75" customHeight="1">
      <c r="A4054" s="1114" t="s">
        <v>15</v>
      </c>
      <c r="B4054" s="1115"/>
      <c r="C4054" s="1115"/>
      <c r="D4054" s="1115"/>
      <c r="E4054" s="1115"/>
      <c r="F4054" s="1115"/>
      <c r="G4054" s="1116"/>
    </row>
    <row r="4055" spans="1:7" s="145" customFormat="1" ht="15.75" customHeight="1">
      <c r="A4055" s="1074" t="s">
        <v>2</v>
      </c>
      <c r="B4055" s="1115"/>
      <c r="C4055" s="53" t="s">
        <v>3</v>
      </c>
      <c r="D4055" s="53" t="s">
        <v>4</v>
      </c>
      <c r="E4055" s="53" t="s">
        <v>6</v>
      </c>
      <c r="F4055" s="53" t="s">
        <v>11</v>
      </c>
      <c r="G4055" s="1075" t="s">
        <v>8</v>
      </c>
    </row>
    <row r="4056" spans="1:7" s="145" customFormat="1" ht="15.75" customHeight="1">
      <c r="A4056" s="947" t="s">
        <v>842</v>
      </c>
      <c r="B4056" s="1115"/>
      <c r="C4056" s="51" t="s">
        <v>3</v>
      </c>
      <c r="D4056" s="51">
        <v>0.2</v>
      </c>
      <c r="E4056" s="17">
        <f>G4053</f>
        <v>112969.87866666667</v>
      </c>
      <c r="F4056" s="55">
        <f>D4056*E4056</f>
        <v>22593.975733333336</v>
      </c>
      <c r="G4056" s="1116"/>
    </row>
    <row r="4057" spans="1:7" s="145" customFormat="1" ht="15.75" customHeight="1">
      <c r="A4057" s="151"/>
      <c r="B4057" s="152"/>
      <c r="C4057" s="152"/>
      <c r="D4057" s="152"/>
      <c r="E4057" s="152"/>
      <c r="F4057" s="152"/>
      <c r="G4057" s="57">
        <f>SUM(F4056:F4057)</f>
        <v>22593.975733333336</v>
      </c>
    </row>
    <row r="4058" spans="1:7" s="145" customFormat="1" ht="15.75" customHeight="1">
      <c r="A4058" s="1114" t="s">
        <v>19</v>
      </c>
      <c r="B4058" s="1115"/>
      <c r="C4058" s="1115"/>
      <c r="D4058" s="1115"/>
      <c r="E4058" s="1115"/>
      <c r="F4058" s="1115"/>
      <c r="G4058" s="1116"/>
    </row>
    <row r="4059" spans="1:7" s="150" customFormat="1" ht="15.75" customHeight="1">
      <c r="A4059" s="1074" t="s">
        <v>2</v>
      </c>
      <c r="B4059" s="1115"/>
      <c r="C4059" s="53" t="s">
        <v>3</v>
      </c>
      <c r="D4059" s="53" t="s">
        <v>4</v>
      </c>
      <c r="E4059" s="53" t="s">
        <v>6</v>
      </c>
      <c r="F4059" s="53" t="s">
        <v>11</v>
      </c>
      <c r="G4059" s="1075" t="s">
        <v>8</v>
      </c>
    </row>
    <row r="4060" spans="1:7" s="145" customFormat="1" ht="15.75" customHeight="1">
      <c r="A4060" s="978" t="s">
        <v>1249</v>
      </c>
      <c r="B4060" s="979"/>
      <c r="C4060" s="13" t="s">
        <v>1245</v>
      </c>
      <c r="D4060" s="32">
        <v>2</v>
      </c>
      <c r="E4060" s="13">
        <v>25681</v>
      </c>
      <c r="F4060" s="55">
        <f>E4060*D4060</f>
        <v>51362</v>
      </c>
      <c r="G4060" s="1116"/>
    </row>
    <row r="4061" spans="1:7" s="145" customFormat="1" ht="13.8">
      <c r="A4061" s="155"/>
      <c r="B4061" s="156"/>
      <c r="C4061" s="156"/>
      <c r="D4061" s="156"/>
      <c r="E4061" s="156"/>
      <c r="F4061" s="156"/>
      <c r="G4061" s="57">
        <f>SUM(F4059:F4061)</f>
        <v>51362</v>
      </c>
    </row>
    <row r="4062" spans="1:7" s="145" customFormat="1" ht="15.6" customHeight="1">
      <c r="A4062" s="1119" t="s">
        <v>25</v>
      </c>
      <c r="B4062" s="1120"/>
      <c r="C4062" s="1120"/>
      <c r="D4062" s="1120"/>
      <c r="E4062" s="1120"/>
      <c r="F4062" s="1120"/>
      <c r="G4062" s="1121"/>
    </row>
    <row r="4063" spans="1:7" s="145" customFormat="1" ht="15.75" customHeight="1">
      <c r="A4063" s="1122"/>
      <c r="B4063" s="1120"/>
      <c r="C4063" s="1120"/>
      <c r="D4063" s="1120"/>
      <c r="E4063" s="1120"/>
      <c r="F4063" s="1120"/>
      <c r="G4063" s="157">
        <f>G4061+G4057+G4053+G4045</f>
        <v>235324.25440000001</v>
      </c>
    </row>
    <row r="4064" spans="1:7" s="145" customFormat="1" ht="17.399999999999999">
      <c r="A4064" s="170"/>
      <c r="B4064" s="171"/>
      <c r="C4064" s="172"/>
      <c r="D4064" s="172"/>
      <c r="E4064" s="171"/>
      <c r="F4064" s="172"/>
      <c r="G4064" s="173"/>
    </row>
    <row r="4065" spans="1:7" s="145" customFormat="1" ht="15.75" customHeight="1">
      <c r="A4065" s="1123" t="s">
        <v>1</v>
      </c>
      <c r="B4065" s="1120"/>
      <c r="C4065" s="953" t="s">
        <v>594</v>
      </c>
      <c r="D4065" s="1125"/>
      <c r="E4065" s="1125"/>
      <c r="F4065" s="1125"/>
      <c r="G4065" s="1126"/>
    </row>
    <row r="4066" spans="1:7" s="145" customFormat="1" ht="15.75" customHeight="1">
      <c r="A4066" s="1124"/>
      <c r="B4066" s="1120"/>
      <c r="C4066" s="1125"/>
      <c r="D4066" s="1125"/>
      <c r="E4066" s="1125"/>
      <c r="F4066" s="1125"/>
      <c r="G4066" s="1126"/>
    </row>
    <row r="4067" spans="1:7" s="150" customFormat="1" ht="32.4" customHeight="1">
      <c r="A4067" s="1124"/>
      <c r="B4067" s="1120"/>
      <c r="C4067" s="1127" t="s">
        <v>896</v>
      </c>
      <c r="D4067" s="1120"/>
      <c r="E4067" s="1120"/>
      <c r="F4067" s="1120"/>
      <c r="G4067" s="1121"/>
    </row>
    <row r="4068" spans="1:7" s="150" customFormat="1" ht="46.2" customHeight="1">
      <c r="A4068" s="1124"/>
      <c r="B4068" s="1120"/>
      <c r="C4068" s="1128" t="s">
        <v>2</v>
      </c>
      <c r="D4068" s="1120"/>
      <c r="E4068" s="1120"/>
      <c r="F4068" s="146" t="s">
        <v>3</v>
      </c>
      <c r="G4068" s="147" t="s">
        <v>4</v>
      </c>
    </row>
    <row r="4069" spans="1:7" s="145" customFormat="1" ht="38.4" customHeight="1">
      <c r="A4069" s="1073">
        <v>17.149999999999999</v>
      </c>
      <c r="B4069" s="1115"/>
      <c r="C4069" s="980" t="s">
        <v>973</v>
      </c>
      <c r="D4069" s="1115"/>
      <c r="E4069" s="1115"/>
      <c r="F4069" s="162" t="s">
        <v>28</v>
      </c>
      <c r="G4069" s="52">
        <v>1</v>
      </c>
    </row>
    <row r="4070" spans="1:7" s="145" customFormat="1" ht="15.75" customHeight="1">
      <c r="A4070" s="1114" t="s">
        <v>5</v>
      </c>
      <c r="B4070" s="1115"/>
      <c r="C4070" s="1115"/>
      <c r="D4070" s="1115"/>
      <c r="E4070" s="1115"/>
      <c r="F4070" s="1115"/>
      <c r="G4070" s="1116"/>
    </row>
    <row r="4071" spans="1:7" s="145" customFormat="1" ht="15.75" customHeight="1">
      <c r="A4071" s="1074" t="s">
        <v>2</v>
      </c>
      <c r="B4071" s="1115"/>
      <c r="C4071" s="53" t="s">
        <v>3</v>
      </c>
      <c r="D4071" s="53" t="s">
        <v>4</v>
      </c>
      <c r="E4071" s="53" t="s">
        <v>6</v>
      </c>
      <c r="F4071" s="53" t="s">
        <v>7</v>
      </c>
      <c r="G4071" s="61" t="s">
        <v>8</v>
      </c>
    </row>
    <row r="4072" spans="1:7" s="150" customFormat="1" ht="15.75" customHeight="1">
      <c r="A4072" s="947" t="s">
        <v>167</v>
      </c>
      <c r="B4072" s="1115"/>
      <c r="C4072" s="51" t="s">
        <v>900</v>
      </c>
      <c r="D4072" s="51">
        <v>0.05</v>
      </c>
      <c r="E4072" s="17">
        <f>G4089</f>
        <v>160240</v>
      </c>
      <c r="F4072" s="55">
        <f>D4072*E4072</f>
        <v>8012</v>
      </c>
      <c r="G4072" s="169"/>
    </row>
    <row r="4073" spans="1:7" s="150" customFormat="1" ht="15.75" customHeight="1">
      <c r="A4073" s="943"/>
      <c r="B4073" s="1115"/>
      <c r="C4073" s="51"/>
      <c r="D4073" s="51"/>
      <c r="E4073" s="51"/>
      <c r="F4073" s="55"/>
      <c r="G4073" s="57">
        <f>SUM(F4071:F4073)</f>
        <v>8012</v>
      </c>
    </row>
    <row r="4074" spans="1:7" s="150" customFormat="1" ht="15.75" customHeight="1">
      <c r="A4074" s="1114" t="s">
        <v>10</v>
      </c>
      <c r="B4074" s="1115"/>
      <c r="C4074" s="1115"/>
      <c r="D4074" s="1115"/>
      <c r="E4074" s="1115"/>
      <c r="F4074" s="1115"/>
      <c r="G4074" s="1116"/>
    </row>
    <row r="4075" spans="1:7" s="150" customFormat="1" ht="15.75" customHeight="1">
      <c r="A4075" s="1074" t="s">
        <v>2</v>
      </c>
      <c r="B4075" s="1115"/>
      <c r="C4075" s="53" t="s">
        <v>3</v>
      </c>
      <c r="D4075" s="53" t="s">
        <v>4</v>
      </c>
      <c r="E4075" s="53" t="s">
        <v>6</v>
      </c>
      <c r="F4075" s="53" t="s">
        <v>11</v>
      </c>
      <c r="G4075" s="1075" t="s">
        <v>8</v>
      </c>
    </row>
    <row r="4076" spans="1:7" s="150" customFormat="1" ht="167.25" customHeight="1">
      <c r="A4076" s="947" t="s">
        <v>974</v>
      </c>
      <c r="B4076" s="1115"/>
      <c r="C4076" s="51" t="s">
        <v>3</v>
      </c>
      <c r="D4076" s="51">
        <v>1</v>
      </c>
      <c r="E4076" s="1135">
        <f>+'INSUMOS ELÉCTRICOS'!E157</f>
        <v>10531500</v>
      </c>
      <c r="F4076" s="1138">
        <f>D4076*E4076</f>
        <v>10531500</v>
      </c>
      <c r="G4076" s="1075"/>
    </row>
    <row r="4077" spans="1:7" s="145" customFormat="1" ht="30" customHeight="1">
      <c r="A4077" s="1015" t="s">
        <v>975</v>
      </c>
      <c r="B4077" s="1016"/>
      <c r="C4077" s="51" t="s">
        <v>3</v>
      </c>
      <c r="D4077" s="51">
        <v>1</v>
      </c>
      <c r="E4077" s="1136"/>
      <c r="F4077" s="1139"/>
      <c r="G4077" s="1075"/>
    </row>
    <row r="4078" spans="1:7" s="145" customFormat="1" ht="34.5" customHeight="1">
      <c r="A4078" s="1015" t="s">
        <v>976</v>
      </c>
      <c r="B4078" s="1016"/>
      <c r="C4078" s="51" t="s">
        <v>3</v>
      </c>
      <c r="D4078" s="51">
        <v>3</v>
      </c>
      <c r="E4078" s="1136"/>
      <c r="F4078" s="1139"/>
      <c r="G4078" s="1075"/>
    </row>
    <row r="4079" spans="1:7" s="145" customFormat="1" ht="24" customHeight="1">
      <c r="A4079" s="1015" t="s">
        <v>977</v>
      </c>
      <c r="B4079" s="1016"/>
      <c r="C4079" s="51" t="s">
        <v>3</v>
      </c>
      <c r="D4079" s="51">
        <v>1</v>
      </c>
      <c r="E4079" s="1136"/>
      <c r="F4079" s="1139"/>
      <c r="G4079" s="1075"/>
    </row>
    <row r="4080" spans="1:7" s="145" customFormat="1" ht="30" customHeight="1">
      <c r="A4080" s="1015" t="s">
        <v>978</v>
      </c>
      <c r="B4080" s="1016"/>
      <c r="C4080" s="51" t="s">
        <v>3</v>
      </c>
      <c r="D4080" s="51">
        <v>1</v>
      </c>
      <c r="E4080" s="1137"/>
      <c r="F4080" s="1140"/>
      <c r="G4080" s="1075"/>
    </row>
    <row r="4081" spans="1:7" s="145" customFormat="1" ht="15.75" customHeight="1">
      <c r="A4081" s="947"/>
      <c r="B4081" s="1115"/>
      <c r="C4081" s="16"/>
      <c r="D4081" s="58"/>
      <c r="E4081" s="17"/>
      <c r="F4081" s="55">
        <f>E4081*D4081</f>
        <v>0</v>
      </c>
      <c r="G4081" s="57">
        <f>SUM(F4075:F4081)</f>
        <v>10531500</v>
      </c>
    </row>
    <row r="4082" spans="1:7" s="145" customFormat="1" ht="15.75" customHeight="1">
      <c r="A4082" s="1114" t="s">
        <v>15</v>
      </c>
      <c r="B4082" s="1115"/>
      <c r="C4082" s="1115"/>
      <c r="D4082" s="1115"/>
      <c r="E4082" s="1115"/>
      <c r="F4082" s="1115"/>
      <c r="G4082" s="1116"/>
    </row>
    <row r="4083" spans="1:7" s="145" customFormat="1" ht="15.75" customHeight="1">
      <c r="A4083" s="1074" t="s">
        <v>2</v>
      </c>
      <c r="B4083" s="1115"/>
      <c r="C4083" s="53" t="s">
        <v>3</v>
      </c>
      <c r="D4083" s="53" t="s">
        <v>4</v>
      </c>
      <c r="E4083" s="53" t="s">
        <v>6</v>
      </c>
      <c r="F4083" s="53" t="s">
        <v>11</v>
      </c>
      <c r="G4083" s="1075" t="s">
        <v>8</v>
      </c>
    </row>
    <row r="4084" spans="1:7" s="145" customFormat="1" ht="15.75" customHeight="1">
      <c r="A4084" s="947" t="s">
        <v>842</v>
      </c>
      <c r="B4084" s="1115"/>
      <c r="C4084" s="51" t="s">
        <v>3</v>
      </c>
      <c r="D4084" s="51">
        <v>0.05</v>
      </c>
      <c r="E4084" s="17">
        <f>G4081</f>
        <v>10531500</v>
      </c>
      <c r="F4084" s="55">
        <f>D4084*E4084</f>
        <v>526575</v>
      </c>
      <c r="G4084" s="1116"/>
    </row>
    <row r="4085" spans="1:7" s="145" customFormat="1" ht="15.75" customHeight="1">
      <c r="A4085" s="151"/>
      <c r="B4085" s="152"/>
      <c r="C4085" s="152"/>
      <c r="D4085" s="152"/>
      <c r="E4085" s="152"/>
      <c r="F4085" s="152"/>
      <c r="G4085" s="57">
        <f>SUM(F4084:F4085)</f>
        <v>526575</v>
      </c>
    </row>
    <row r="4086" spans="1:7" s="145" customFormat="1" ht="15.75" customHeight="1">
      <c r="A4086" s="1114" t="s">
        <v>19</v>
      </c>
      <c r="B4086" s="1115"/>
      <c r="C4086" s="1115"/>
      <c r="D4086" s="1115"/>
      <c r="E4086" s="1115"/>
      <c r="F4086" s="1115"/>
      <c r="G4086" s="1116"/>
    </row>
    <row r="4087" spans="1:7" s="145" customFormat="1" ht="15.75" customHeight="1">
      <c r="A4087" s="1074" t="s">
        <v>2</v>
      </c>
      <c r="B4087" s="1115"/>
      <c r="C4087" s="53" t="s">
        <v>3</v>
      </c>
      <c r="D4087" s="53" t="s">
        <v>4</v>
      </c>
      <c r="E4087" s="53" t="s">
        <v>6</v>
      </c>
      <c r="F4087" s="53" t="s">
        <v>11</v>
      </c>
      <c r="G4087" s="1075" t="s">
        <v>8</v>
      </c>
    </row>
    <row r="4088" spans="1:7" s="150" customFormat="1" ht="15.75" customHeight="1">
      <c r="A4088" s="978" t="s">
        <v>1256</v>
      </c>
      <c r="B4088" s="979"/>
      <c r="C4088" s="13" t="s">
        <v>1245</v>
      </c>
      <c r="D4088" s="32">
        <v>8</v>
      </c>
      <c r="E4088" s="13">
        <v>20030</v>
      </c>
      <c r="F4088" s="55">
        <f>E4088*D4088</f>
        <v>160240</v>
      </c>
      <c r="G4088" s="1116"/>
    </row>
    <row r="4089" spans="1:7" s="145" customFormat="1" ht="15.75" customHeight="1">
      <c r="A4089" s="155"/>
      <c r="B4089" s="156"/>
      <c r="C4089" s="156"/>
      <c r="D4089" s="156"/>
      <c r="E4089" s="156"/>
      <c r="F4089" s="156"/>
      <c r="G4089" s="57">
        <f>SUM(F4087:F4089)</f>
        <v>160240</v>
      </c>
    </row>
    <row r="4090" spans="1:7" s="145" customFormat="1" ht="24" customHeight="1">
      <c r="A4090" s="1119" t="s">
        <v>25</v>
      </c>
      <c r="B4090" s="1120"/>
      <c r="C4090" s="1120"/>
      <c r="D4090" s="1120"/>
      <c r="E4090" s="1120"/>
      <c r="F4090" s="1120"/>
      <c r="G4090" s="1121"/>
    </row>
    <row r="4091" spans="1:7" s="145" customFormat="1" ht="15.6" customHeight="1">
      <c r="A4091" s="1122"/>
      <c r="B4091" s="1120"/>
      <c r="C4091" s="1120"/>
      <c r="D4091" s="1120"/>
      <c r="E4091" s="1120"/>
      <c r="F4091" s="1120"/>
      <c r="G4091" s="157">
        <f>G4089+G4085+G4081+G4073</f>
        <v>11226327</v>
      </c>
    </row>
    <row r="4092" spans="1:7" s="145" customFormat="1" ht="15.75" customHeight="1">
      <c r="A4092" s="170"/>
      <c r="B4092" s="171"/>
      <c r="C4092" s="172"/>
      <c r="D4092" s="172"/>
      <c r="E4092" s="171"/>
      <c r="F4092" s="172"/>
      <c r="G4092" s="173"/>
    </row>
    <row r="4093" spans="1:7" s="145" customFormat="1" ht="13.8">
      <c r="A4093" s="1123" t="s">
        <v>1</v>
      </c>
      <c r="B4093" s="1120"/>
      <c r="C4093" s="953" t="s">
        <v>594</v>
      </c>
      <c r="D4093" s="1125"/>
      <c r="E4093" s="1125"/>
      <c r="F4093" s="1125"/>
      <c r="G4093" s="1126"/>
    </row>
    <row r="4094" spans="1:7" s="145" customFormat="1" ht="15.75" customHeight="1">
      <c r="A4094" s="1124"/>
      <c r="B4094" s="1120"/>
      <c r="C4094" s="1125"/>
      <c r="D4094" s="1125"/>
      <c r="E4094" s="1125"/>
      <c r="F4094" s="1125"/>
      <c r="G4094" s="1126"/>
    </row>
    <row r="4095" spans="1:7" s="145" customFormat="1" ht="15.75" customHeight="1">
      <c r="A4095" s="1124"/>
      <c r="B4095" s="1120"/>
      <c r="C4095" s="1127" t="s">
        <v>896</v>
      </c>
      <c r="D4095" s="1120"/>
      <c r="E4095" s="1120"/>
      <c r="F4095" s="1120"/>
      <c r="G4095" s="1121"/>
    </row>
    <row r="4096" spans="1:7" s="150" customFormat="1" ht="13.8">
      <c r="A4096" s="1124"/>
      <c r="B4096" s="1120"/>
      <c r="C4096" s="1128" t="s">
        <v>2</v>
      </c>
      <c r="D4096" s="1120"/>
      <c r="E4096" s="1120"/>
      <c r="F4096" s="146" t="s">
        <v>3</v>
      </c>
      <c r="G4096" s="147" t="s">
        <v>4</v>
      </c>
    </row>
    <row r="4097" spans="1:7" s="145" customFormat="1" ht="43.2" customHeight="1">
      <c r="A4097" s="1089">
        <v>17.16</v>
      </c>
      <c r="B4097" s="1115"/>
      <c r="C4097" s="980" t="s">
        <v>979</v>
      </c>
      <c r="D4097" s="1115"/>
      <c r="E4097" s="1115"/>
      <c r="F4097" s="162" t="s">
        <v>28</v>
      </c>
      <c r="G4097" s="52">
        <v>0</v>
      </c>
    </row>
    <row r="4098" spans="1:7" s="145" customFormat="1" ht="15.75" customHeight="1">
      <c r="A4098" s="1114" t="s">
        <v>5</v>
      </c>
      <c r="B4098" s="1115"/>
      <c r="C4098" s="1115"/>
      <c r="D4098" s="1115"/>
      <c r="E4098" s="1115"/>
      <c r="F4098" s="1115"/>
      <c r="G4098" s="1116"/>
    </row>
    <row r="4099" spans="1:7" s="145" customFormat="1" ht="15.75" customHeight="1">
      <c r="A4099" s="1074" t="s">
        <v>2</v>
      </c>
      <c r="B4099" s="1115"/>
      <c r="C4099" s="53" t="s">
        <v>3</v>
      </c>
      <c r="D4099" s="53" t="s">
        <v>4</v>
      </c>
      <c r="E4099" s="53" t="s">
        <v>6</v>
      </c>
      <c r="F4099" s="53" t="s">
        <v>7</v>
      </c>
      <c r="G4099" s="61" t="s">
        <v>8</v>
      </c>
    </row>
    <row r="4100" spans="1:7" s="150" customFormat="1" ht="13.8">
      <c r="A4100" s="947" t="s">
        <v>167</v>
      </c>
      <c r="B4100" s="1115"/>
      <c r="C4100" s="51" t="s">
        <v>900</v>
      </c>
      <c r="D4100" s="51">
        <v>0.05</v>
      </c>
      <c r="E4100" s="17">
        <f>G4117</f>
        <v>160240</v>
      </c>
      <c r="F4100" s="55">
        <f>D4100*E4100</f>
        <v>8012</v>
      </c>
      <c r="G4100" s="169"/>
    </row>
    <row r="4101" spans="1:7" s="150" customFormat="1" ht="13.8">
      <c r="A4101" s="943"/>
      <c r="B4101" s="1115"/>
      <c r="C4101" s="51"/>
      <c r="D4101" s="51"/>
      <c r="E4101" s="17"/>
      <c r="F4101" s="55"/>
      <c r="G4101" s="57">
        <f>SUM(F4099:F4101)</f>
        <v>8012</v>
      </c>
    </row>
    <row r="4102" spans="1:7" s="150" customFormat="1" ht="13.8">
      <c r="A4102" s="1114" t="s">
        <v>10</v>
      </c>
      <c r="B4102" s="1115"/>
      <c r="C4102" s="1115"/>
      <c r="D4102" s="1115"/>
      <c r="E4102" s="1115"/>
      <c r="F4102" s="1115"/>
      <c r="G4102" s="1116"/>
    </row>
    <row r="4103" spans="1:7" s="150" customFormat="1" ht="15.75" customHeight="1">
      <c r="A4103" s="1074" t="s">
        <v>2</v>
      </c>
      <c r="B4103" s="1115"/>
      <c r="C4103" s="53" t="s">
        <v>3</v>
      </c>
      <c r="D4103" s="53" t="s">
        <v>4</v>
      </c>
      <c r="E4103" s="53" t="s">
        <v>6</v>
      </c>
      <c r="F4103" s="53" t="s">
        <v>11</v>
      </c>
      <c r="G4103" s="1075" t="s">
        <v>8</v>
      </c>
    </row>
    <row r="4104" spans="1:7" s="150" customFormat="1" ht="165" customHeight="1">
      <c r="A4104" s="947" t="s">
        <v>980</v>
      </c>
      <c r="B4104" s="1115"/>
      <c r="C4104" s="51" t="s">
        <v>3</v>
      </c>
      <c r="D4104" s="51">
        <v>1</v>
      </c>
      <c r="E4104" s="1135">
        <f>+'INSUMOS ELÉCTRICOS'!E164</f>
        <v>9044000</v>
      </c>
      <c r="F4104" s="1138">
        <f>D4104*E4104</f>
        <v>9044000</v>
      </c>
      <c r="G4104" s="1075"/>
    </row>
    <row r="4105" spans="1:7" s="145" customFormat="1" ht="29.25" customHeight="1">
      <c r="A4105" s="947" t="s">
        <v>975</v>
      </c>
      <c r="B4105" s="1115"/>
      <c r="C4105" s="51" t="s">
        <v>3</v>
      </c>
      <c r="D4105" s="51">
        <v>1</v>
      </c>
      <c r="E4105" s="1136"/>
      <c r="F4105" s="1139"/>
      <c r="G4105" s="1075"/>
    </row>
    <row r="4106" spans="1:7" s="145" customFormat="1" ht="15.75" customHeight="1">
      <c r="A4106" s="947" t="s">
        <v>977</v>
      </c>
      <c r="B4106" s="1115"/>
      <c r="C4106" s="51" t="s">
        <v>3</v>
      </c>
      <c r="D4106" s="51">
        <v>1</v>
      </c>
      <c r="E4106" s="1136"/>
      <c r="F4106" s="1139"/>
      <c r="G4106" s="1075"/>
    </row>
    <row r="4107" spans="1:7" s="145" customFormat="1" ht="28.5" customHeight="1">
      <c r="A4107" s="947" t="s">
        <v>981</v>
      </c>
      <c r="B4107" s="1115"/>
      <c r="C4107" s="51" t="s">
        <v>3</v>
      </c>
      <c r="D4107" s="51">
        <v>3</v>
      </c>
      <c r="E4107" s="1136"/>
      <c r="F4107" s="1139"/>
      <c r="G4107" s="1075"/>
    </row>
    <row r="4108" spans="1:7" s="145" customFormat="1" ht="33" customHeight="1">
      <c r="A4108" s="947" t="s">
        <v>982</v>
      </c>
      <c r="B4108" s="1115"/>
      <c r="C4108" s="51" t="s">
        <v>3</v>
      </c>
      <c r="D4108" s="51">
        <v>1</v>
      </c>
      <c r="E4108" s="1137"/>
      <c r="F4108" s="1140"/>
      <c r="G4108" s="1075"/>
    </row>
    <row r="4109" spans="1:7" s="145" customFormat="1" ht="15.75" customHeight="1">
      <c r="A4109" s="947"/>
      <c r="B4109" s="980"/>
      <c r="C4109" s="16"/>
      <c r="D4109" s="58"/>
      <c r="E4109" s="17"/>
      <c r="F4109" s="55"/>
      <c r="G4109" s="57">
        <f>SUM(F4103:F4109)</f>
        <v>9044000</v>
      </c>
    </row>
    <row r="4110" spans="1:7" s="145" customFormat="1" ht="15.75" customHeight="1">
      <c r="A4110" s="1114" t="s">
        <v>15</v>
      </c>
      <c r="B4110" s="1115"/>
      <c r="C4110" s="1115"/>
      <c r="D4110" s="1115"/>
      <c r="E4110" s="1115"/>
      <c r="F4110" s="1115"/>
      <c r="G4110" s="1116"/>
    </row>
    <row r="4111" spans="1:7" s="145" customFormat="1" ht="15.75" customHeight="1">
      <c r="A4111" s="1074" t="s">
        <v>2</v>
      </c>
      <c r="B4111" s="1115"/>
      <c r="C4111" s="53" t="s">
        <v>3</v>
      </c>
      <c r="D4111" s="53" t="s">
        <v>4</v>
      </c>
      <c r="E4111" s="53" t="s">
        <v>6</v>
      </c>
      <c r="F4111" s="53" t="s">
        <v>11</v>
      </c>
      <c r="G4111" s="1075" t="s">
        <v>8</v>
      </c>
    </row>
    <row r="4112" spans="1:7" s="145" customFormat="1" ht="15.75" customHeight="1">
      <c r="A4112" s="947" t="s">
        <v>842</v>
      </c>
      <c r="B4112" s="1115"/>
      <c r="C4112" s="51" t="s">
        <v>3</v>
      </c>
      <c r="D4112" s="51">
        <v>0.05</v>
      </c>
      <c r="E4112" s="17">
        <f>G4109</f>
        <v>9044000</v>
      </c>
      <c r="F4112" s="55">
        <f>D4112*E4112</f>
        <v>452200</v>
      </c>
      <c r="G4112" s="1116"/>
    </row>
    <row r="4113" spans="1:7" s="145" customFormat="1" ht="15.75" customHeight="1">
      <c r="A4113" s="151"/>
      <c r="B4113" s="152"/>
      <c r="C4113" s="152"/>
      <c r="D4113" s="152"/>
      <c r="E4113" s="152"/>
      <c r="F4113" s="152"/>
      <c r="G4113" s="57">
        <f>SUM(F4112:F4113)</f>
        <v>452200</v>
      </c>
    </row>
    <row r="4114" spans="1:7" s="145" customFormat="1" ht="15.75" customHeight="1">
      <c r="A4114" s="1114" t="s">
        <v>19</v>
      </c>
      <c r="B4114" s="1115"/>
      <c r="C4114" s="1115"/>
      <c r="D4114" s="1115"/>
      <c r="E4114" s="1115"/>
      <c r="F4114" s="1115"/>
      <c r="G4114" s="1116"/>
    </row>
    <row r="4115" spans="1:7" s="145" customFormat="1" ht="15.75" customHeight="1">
      <c r="A4115" s="1074" t="s">
        <v>2</v>
      </c>
      <c r="B4115" s="1115"/>
      <c r="C4115" s="53" t="s">
        <v>3</v>
      </c>
      <c r="D4115" s="53" t="s">
        <v>4</v>
      </c>
      <c r="E4115" s="53" t="s">
        <v>6</v>
      </c>
      <c r="F4115" s="53" t="s">
        <v>11</v>
      </c>
      <c r="G4115" s="1075" t="s">
        <v>8</v>
      </c>
    </row>
    <row r="4116" spans="1:7" s="150" customFormat="1" ht="15.75" customHeight="1">
      <c r="A4116" s="978" t="s">
        <v>1256</v>
      </c>
      <c r="B4116" s="979"/>
      <c r="C4116" s="13" t="s">
        <v>1245</v>
      </c>
      <c r="D4116" s="32">
        <v>8</v>
      </c>
      <c r="E4116" s="13">
        <v>20030</v>
      </c>
      <c r="F4116" s="55">
        <f>E4116*D4116</f>
        <v>160240</v>
      </c>
      <c r="G4116" s="1116"/>
    </row>
    <row r="4117" spans="1:7" s="145" customFormat="1" ht="15.75" customHeight="1">
      <c r="A4117" s="155"/>
      <c r="B4117" s="156"/>
      <c r="C4117" s="156"/>
      <c r="D4117" s="156"/>
      <c r="E4117" s="156"/>
      <c r="F4117" s="156"/>
      <c r="G4117" s="57">
        <f>SUM(F4115:F4117)</f>
        <v>160240</v>
      </c>
    </row>
    <row r="4118" spans="1:7" s="145" customFormat="1" ht="24" customHeight="1">
      <c r="A4118" s="1119" t="s">
        <v>25</v>
      </c>
      <c r="B4118" s="1120"/>
      <c r="C4118" s="1120"/>
      <c r="D4118" s="1120"/>
      <c r="E4118" s="1120"/>
      <c r="F4118" s="1120"/>
      <c r="G4118" s="1121"/>
    </row>
    <row r="4119" spans="1:7" s="145" customFormat="1" ht="15.6" customHeight="1">
      <c r="A4119" s="1122"/>
      <c r="B4119" s="1120"/>
      <c r="C4119" s="1120"/>
      <c r="D4119" s="1120"/>
      <c r="E4119" s="1120"/>
      <c r="F4119" s="1120"/>
      <c r="G4119" s="157">
        <f>G4117+G4113+G4109+G4101</f>
        <v>9664452</v>
      </c>
    </row>
    <row r="4120" spans="1:7" s="145" customFormat="1" ht="15.75" customHeight="1">
      <c r="A4120" s="170"/>
      <c r="B4120" s="171"/>
      <c r="C4120" s="172"/>
      <c r="D4120" s="172"/>
      <c r="E4120" s="171"/>
      <c r="F4120" s="172"/>
      <c r="G4120" s="173"/>
    </row>
    <row r="4121" spans="1:7" s="145" customFormat="1" ht="15.75" customHeight="1">
      <c r="A4121" s="1123" t="s">
        <v>1</v>
      </c>
      <c r="B4121" s="1120"/>
      <c r="C4121" s="953" t="s">
        <v>594</v>
      </c>
      <c r="D4121" s="1125"/>
      <c r="E4121" s="1125"/>
      <c r="F4121" s="1125"/>
      <c r="G4121" s="1126"/>
    </row>
    <row r="4122" spans="1:7" s="145" customFormat="1" ht="15.75" customHeight="1">
      <c r="A4122" s="1124"/>
      <c r="B4122" s="1120"/>
      <c r="C4122" s="1125"/>
      <c r="D4122" s="1125"/>
      <c r="E4122" s="1125"/>
      <c r="F4122" s="1125"/>
      <c r="G4122" s="1126"/>
    </row>
    <row r="4123" spans="1:7" s="150" customFormat="1" ht="17.399999999999999">
      <c r="A4123" s="1124"/>
      <c r="B4123" s="1120"/>
      <c r="C4123" s="1127" t="s">
        <v>896</v>
      </c>
      <c r="D4123" s="1120"/>
      <c r="E4123" s="1120"/>
      <c r="F4123" s="1120"/>
      <c r="G4123" s="1121"/>
    </row>
    <row r="4124" spans="1:7" s="145" customFormat="1" ht="15.75" customHeight="1">
      <c r="A4124" s="1124"/>
      <c r="B4124" s="1120"/>
      <c r="C4124" s="1128" t="s">
        <v>2</v>
      </c>
      <c r="D4124" s="1120"/>
      <c r="E4124" s="1120"/>
      <c r="F4124" s="146" t="s">
        <v>3</v>
      </c>
      <c r="G4124" s="147" t="s">
        <v>4</v>
      </c>
    </row>
    <row r="4125" spans="1:7" s="145" customFormat="1" ht="36.6" customHeight="1">
      <c r="A4125" s="1073">
        <v>17.170000000000002</v>
      </c>
      <c r="B4125" s="1115"/>
      <c r="C4125" s="980" t="s">
        <v>983</v>
      </c>
      <c r="D4125" s="1115"/>
      <c r="E4125" s="1115"/>
      <c r="F4125" s="162" t="s">
        <v>28</v>
      </c>
      <c r="G4125" s="52">
        <v>1</v>
      </c>
    </row>
    <row r="4126" spans="1:7" s="145" customFormat="1" ht="15.75" customHeight="1">
      <c r="A4126" s="1114" t="s">
        <v>5</v>
      </c>
      <c r="B4126" s="1115"/>
      <c r="C4126" s="1115"/>
      <c r="D4126" s="1115"/>
      <c r="E4126" s="1115"/>
      <c r="F4126" s="1115"/>
      <c r="G4126" s="1116"/>
    </row>
    <row r="4127" spans="1:7" s="150" customFormat="1" ht="13.8">
      <c r="A4127" s="1074" t="s">
        <v>2</v>
      </c>
      <c r="B4127" s="1115"/>
      <c r="C4127" s="53" t="s">
        <v>3</v>
      </c>
      <c r="D4127" s="53" t="s">
        <v>4</v>
      </c>
      <c r="E4127" s="53" t="s">
        <v>6</v>
      </c>
      <c r="F4127" s="53" t="s">
        <v>7</v>
      </c>
      <c r="G4127" s="61" t="s">
        <v>8</v>
      </c>
    </row>
    <row r="4128" spans="1:7" s="150" customFormat="1" ht="13.8">
      <c r="A4128" s="947" t="s">
        <v>167</v>
      </c>
      <c r="B4128" s="1115"/>
      <c r="C4128" s="51" t="s">
        <v>900</v>
      </c>
      <c r="D4128" s="51">
        <v>0.05</v>
      </c>
      <c r="E4128" s="17">
        <f>G4148</f>
        <v>160240</v>
      </c>
      <c r="F4128" s="55">
        <f>D4128*E4128</f>
        <v>8012</v>
      </c>
      <c r="G4128" s="169"/>
    </row>
    <row r="4129" spans="1:7" s="150" customFormat="1" ht="13.8">
      <c r="A4129" s="943"/>
      <c r="B4129" s="1115"/>
      <c r="C4129" s="51"/>
      <c r="D4129" s="51"/>
      <c r="E4129" s="51"/>
      <c r="F4129" s="55"/>
      <c r="G4129" s="57">
        <f>SUM(F4127:F4129)</f>
        <v>8012</v>
      </c>
    </row>
    <row r="4130" spans="1:7" s="150" customFormat="1" ht="13.8">
      <c r="A4130" s="1114" t="s">
        <v>10</v>
      </c>
      <c r="B4130" s="1115"/>
      <c r="C4130" s="1115"/>
      <c r="D4130" s="1115"/>
      <c r="E4130" s="1115"/>
      <c r="F4130" s="1115"/>
      <c r="G4130" s="1116"/>
    </row>
    <row r="4131" spans="1:7" s="150" customFormat="1" ht="13.8">
      <c r="A4131" s="1074" t="s">
        <v>2</v>
      </c>
      <c r="B4131" s="1115"/>
      <c r="C4131" s="53" t="s">
        <v>3</v>
      </c>
      <c r="D4131" s="53" t="s">
        <v>4</v>
      </c>
      <c r="E4131" s="53" t="s">
        <v>6</v>
      </c>
      <c r="F4131" s="53" t="s">
        <v>11</v>
      </c>
      <c r="G4131" s="1075" t="s">
        <v>8</v>
      </c>
    </row>
    <row r="4132" spans="1:7" s="145" customFormat="1" ht="146.25" customHeight="1">
      <c r="A4132" s="947" t="s">
        <v>984</v>
      </c>
      <c r="B4132" s="1115"/>
      <c r="C4132" s="51" t="s">
        <v>3</v>
      </c>
      <c r="D4132" s="51">
        <v>1</v>
      </c>
      <c r="E4132" s="1135">
        <f>+'INSUMOS ELÉCTRICOS'!E170</f>
        <v>12673500</v>
      </c>
      <c r="F4132" s="1138">
        <f>D4132*E4132</f>
        <v>12673500</v>
      </c>
      <c r="G4132" s="1075"/>
    </row>
    <row r="4133" spans="1:7" s="145" customFormat="1" ht="13.8">
      <c r="A4133" s="947" t="s">
        <v>985</v>
      </c>
      <c r="B4133" s="1115"/>
      <c r="C4133" s="51" t="s">
        <v>3</v>
      </c>
      <c r="D4133" s="51">
        <v>1</v>
      </c>
      <c r="E4133" s="1136"/>
      <c r="F4133" s="1139"/>
      <c r="G4133" s="1075"/>
    </row>
    <row r="4134" spans="1:7" s="145" customFormat="1" ht="13.8">
      <c r="A4134" s="947" t="s">
        <v>986</v>
      </c>
      <c r="B4134" s="1115"/>
      <c r="C4134" s="51" t="s">
        <v>3</v>
      </c>
      <c r="D4134" s="51">
        <v>1</v>
      </c>
      <c r="E4134" s="1136"/>
      <c r="F4134" s="1139"/>
      <c r="G4134" s="1075"/>
    </row>
    <row r="4135" spans="1:7" s="145" customFormat="1" ht="13.8">
      <c r="A4135" s="947" t="s">
        <v>987</v>
      </c>
      <c r="B4135" s="1115"/>
      <c r="C4135" s="51" t="s">
        <v>3</v>
      </c>
      <c r="D4135" s="51">
        <v>3</v>
      </c>
      <c r="E4135" s="1136"/>
      <c r="F4135" s="1139"/>
      <c r="G4135" s="1075"/>
    </row>
    <row r="4136" spans="1:7" s="145" customFormat="1" ht="13.8">
      <c r="A4136" s="947" t="s">
        <v>988</v>
      </c>
      <c r="B4136" s="1115"/>
      <c r="C4136" s="51" t="s">
        <v>3</v>
      </c>
      <c r="D4136" s="51">
        <v>1</v>
      </c>
      <c r="E4136" s="1136"/>
      <c r="F4136" s="1139"/>
      <c r="G4136" s="1075"/>
    </row>
    <row r="4137" spans="1:7" s="145" customFormat="1" ht="13.8">
      <c r="A4137" s="947" t="s">
        <v>989</v>
      </c>
      <c r="B4137" s="1115"/>
      <c r="C4137" s="51" t="s">
        <v>3</v>
      </c>
      <c r="D4137" s="51">
        <v>2</v>
      </c>
      <c r="E4137" s="1136"/>
      <c r="F4137" s="1139"/>
      <c r="G4137" s="1075"/>
    </row>
    <row r="4138" spans="1:7" s="145" customFormat="1" ht="13.8">
      <c r="A4138" s="947" t="s">
        <v>990</v>
      </c>
      <c r="B4138" s="1115"/>
      <c r="C4138" s="51" t="s">
        <v>3</v>
      </c>
      <c r="D4138" s="51">
        <v>2</v>
      </c>
      <c r="E4138" s="1136"/>
      <c r="F4138" s="1139"/>
      <c r="G4138" s="1075"/>
    </row>
    <row r="4139" spans="1:7" s="145" customFormat="1" ht="13.8">
      <c r="A4139" s="947" t="s">
        <v>991</v>
      </c>
      <c r="B4139" s="1115"/>
      <c r="C4139" s="51" t="s">
        <v>3</v>
      </c>
      <c r="D4139" s="51">
        <v>1</v>
      </c>
      <c r="E4139" s="1137"/>
      <c r="F4139" s="1140"/>
      <c r="G4139" s="1075"/>
    </row>
    <row r="4140" spans="1:7" s="145" customFormat="1" ht="15.75" customHeight="1">
      <c r="A4140" s="947"/>
      <c r="B4140" s="980"/>
      <c r="C4140" s="16"/>
      <c r="D4140" s="58"/>
      <c r="E4140" s="17"/>
      <c r="F4140" s="55">
        <f>E4140*D4140</f>
        <v>0</v>
      </c>
      <c r="G4140" s="57">
        <f>SUM(F4131:F4140)</f>
        <v>12673500</v>
      </c>
    </row>
    <row r="4141" spans="1:7" s="145" customFormat="1" ht="15.75" customHeight="1">
      <c r="A4141" s="1114" t="s">
        <v>15</v>
      </c>
      <c r="B4141" s="1115"/>
      <c r="C4141" s="1115"/>
      <c r="D4141" s="1115"/>
      <c r="E4141" s="1115"/>
      <c r="F4141" s="1115"/>
      <c r="G4141" s="1116"/>
    </row>
    <row r="4142" spans="1:7" s="145" customFormat="1" ht="15.75" customHeight="1">
      <c r="A4142" s="1074" t="s">
        <v>2</v>
      </c>
      <c r="B4142" s="1115"/>
      <c r="C4142" s="53" t="s">
        <v>3</v>
      </c>
      <c r="D4142" s="53" t="s">
        <v>4</v>
      </c>
      <c r="E4142" s="53" t="s">
        <v>6</v>
      </c>
      <c r="F4142" s="53" t="s">
        <v>11</v>
      </c>
      <c r="G4142" s="1075" t="s">
        <v>8</v>
      </c>
    </row>
    <row r="4143" spans="1:7" s="150" customFormat="1" ht="15.75" customHeight="1">
      <c r="A4143" s="947" t="s">
        <v>842</v>
      </c>
      <c r="B4143" s="1115"/>
      <c r="C4143" s="51" t="s">
        <v>3</v>
      </c>
      <c r="D4143" s="51">
        <v>0.01</v>
      </c>
      <c r="E4143" s="17">
        <f>G4140</f>
        <v>12673500</v>
      </c>
      <c r="F4143" s="55">
        <f>D4143*E4143</f>
        <v>126735</v>
      </c>
      <c r="G4143" s="1116"/>
    </row>
    <row r="4144" spans="1:7" s="150" customFormat="1" ht="15.75" customHeight="1">
      <c r="A4144" s="151"/>
      <c r="B4144" s="152"/>
      <c r="C4144" s="152"/>
      <c r="D4144" s="152"/>
      <c r="E4144" s="152"/>
      <c r="F4144" s="152"/>
      <c r="G4144" s="57">
        <f>SUM(F4143:F4144)</f>
        <v>126735</v>
      </c>
    </row>
    <row r="4145" spans="1:7" s="145" customFormat="1" ht="15.75" customHeight="1">
      <c r="A4145" s="1114" t="s">
        <v>19</v>
      </c>
      <c r="B4145" s="1115"/>
      <c r="C4145" s="1115"/>
      <c r="D4145" s="1115"/>
      <c r="E4145" s="1115"/>
      <c r="F4145" s="1115"/>
      <c r="G4145" s="1116"/>
    </row>
    <row r="4146" spans="1:7" s="145" customFormat="1" ht="24" customHeight="1">
      <c r="A4146" s="1074" t="s">
        <v>2</v>
      </c>
      <c r="B4146" s="1115"/>
      <c r="C4146" s="53" t="s">
        <v>3</v>
      </c>
      <c r="D4146" s="53" t="s">
        <v>4</v>
      </c>
      <c r="E4146" s="53" t="s">
        <v>6</v>
      </c>
      <c r="F4146" s="53" t="s">
        <v>11</v>
      </c>
      <c r="G4146" s="1075" t="s">
        <v>8</v>
      </c>
    </row>
    <row r="4147" spans="1:7" s="145" customFormat="1" ht="15.6" customHeight="1">
      <c r="A4147" s="978" t="s">
        <v>1256</v>
      </c>
      <c r="B4147" s="979"/>
      <c r="C4147" s="13" t="s">
        <v>1245</v>
      </c>
      <c r="D4147" s="32">
        <v>8</v>
      </c>
      <c r="E4147" s="13">
        <v>20030</v>
      </c>
      <c r="F4147" s="55">
        <f>E4147*D4147</f>
        <v>160240</v>
      </c>
      <c r="G4147" s="1116"/>
    </row>
    <row r="4148" spans="1:7" s="145" customFormat="1" ht="15.75" customHeight="1">
      <c r="A4148" s="155"/>
      <c r="B4148" s="156"/>
      <c r="C4148" s="156"/>
      <c r="D4148" s="156"/>
      <c r="E4148" s="156"/>
      <c r="F4148" s="156"/>
      <c r="G4148" s="57">
        <f>SUM(F4146:F4148)</f>
        <v>160240</v>
      </c>
    </row>
    <row r="4149" spans="1:7" s="145" customFormat="1" ht="15.75" customHeight="1">
      <c r="A4149" s="1119" t="s">
        <v>25</v>
      </c>
      <c r="B4149" s="1120"/>
      <c r="C4149" s="1120"/>
      <c r="D4149" s="1120"/>
      <c r="E4149" s="1120"/>
      <c r="F4149" s="1120"/>
      <c r="G4149" s="1121"/>
    </row>
    <row r="4150" spans="1:7" s="150" customFormat="1" ht="17.399999999999999">
      <c r="A4150" s="1122"/>
      <c r="B4150" s="1120"/>
      <c r="C4150" s="1120"/>
      <c r="D4150" s="1120"/>
      <c r="E4150" s="1120"/>
      <c r="F4150" s="1120"/>
      <c r="G4150" s="157">
        <f>G4148+G4144+G4140+G4129</f>
        <v>12968487</v>
      </c>
    </row>
    <row r="4151" spans="1:7" s="145" customFormat="1" ht="15.75" customHeight="1">
      <c r="A4151" s="170"/>
      <c r="B4151" s="171"/>
      <c r="C4151" s="172"/>
      <c r="D4151" s="172"/>
      <c r="E4151" s="171"/>
      <c r="F4151" s="172"/>
      <c r="G4151" s="173"/>
    </row>
    <row r="4152" spans="1:7" s="145" customFormat="1" ht="15.75" customHeight="1">
      <c r="A4152" s="1123" t="s">
        <v>1</v>
      </c>
      <c r="B4152" s="1120"/>
      <c r="C4152" s="953" t="s">
        <v>594</v>
      </c>
      <c r="D4152" s="1125"/>
      <c r="E4152" s="1125"/>
      <c r="F4152" s="1125"/>
      <c r="G4152" s="1126"/>
    </row>
    <row r="4153" spans="1:7" s="150" customFormat="1" ht="13.8">
      <c r="A4153" s="1124"/>
      <c r="B4153" s="1120"/>
      <c r="C4153" s="1125"/>
      <c r="D4153" s="1125"/>
      <c r="E4153" s="1125"/>
      <c r="F4153" s="1125"/>
      <c r="G4153" s="1126"/>
    </row>
    <row r="4154" spans="1:7" s="150" customFormat="1" ht="15.75" customHeight="1">
      <c r="A4154" s="1124"/>
      <c r="B4154" s="1120"/>
      <c r="C4154" s="1127" t="s">
        <v>896</v>
      </c>
      <c r="D4154" s="1120"/>
      <c r="E4154" s="1120"/>
      <c r="F4154" s="1120"/>
      <c r="G4154" s="1121"/>
    </row>
    <row r="4155" spans="1:7" s="150" customFormat="1" ht="15.75" customHeight="1">
      <c r="A4155" s="1124"/>
      <c r="B4155" s="1120"/>
      <c r="C4155" s="1128" t="s">
        <v>2</v>
      </c>
      <c r="D4155" s="1120"/>
      <c r="E4155" s="1120"/>
      <c r="F4155" s="146" t="s">
        <v>3</v>
      </c>
      <c r="G4155" s="147" t="s">
        <v>4</v>
      </c>
    </row>
    <row r="4156" spans="1:7" s="150" customFormat="1" ht="45" customHeight="1">
      <c r="A4156" s="1089">
        <v>17.18</v>
      </c>
      <c r="B4156" s="1115"/>
      <c r="C4156" s="980" t="s">
        <v>992</v>
      </c>
      <c r="D4156" s="1115"/>
      <c r="E4156" s="1115"/>
      <c r="F4156" s="162" t="s">
        <v>28</v>
      </c>
      <c r="G4156" s="52">
        <v>1</v>
      </c>
    </row>
    <row r="4157" spans="1:7" s="150" customFormat="1" ht="15.75" customHeight="1">
      <c r="A4157" s="1114" t="s">
        <v>5</v>
      </c>
      <c r="B4157" s="1115"/>
      <c r="C4157" s="1115"/>
      <c r="D4157" s="1115"/>
      <c r="E4157" s="1115"/>
      <c r="F4157" s="1115"/>
      <c r="G4157" s="1116"/>
    </row>
    <row r="4158" spans="1:7" s="150" customFormat="1" ht="15.75" customHeight="1">
      <c r="A4158" s="1074" t="s">
        <v>2</v>
      </c>
      <c r="B4158" s="1115"/>
      <c r="C4158" s="53" t="s">
        <v>3</v>
      </c>
      <c r="D4158" s="53" t="s">
        <v>4</v>
      </c>
      <c r="E4158" s="53" t="s">
        <v>6</v>
      </c>
      <c r="F4158" s="53" t="s">
        <v>7</v>
      </c>
      <c r="G4158" s="61" t="s">
        <v>8</v>
      </c>
    </row>
    <row r="4159" spans="1:7" s="150" customFormat="1" ht="15.75" customHeight="1">
      <c r="A4159" s="947" t="s">
        <v>167</v>
      </c>
      <c r="B4159" s="1115"/>
      <c r="C4159" s="51" t="s">
        <v>900</v>
      </c>
      <c r="D4159" s="51">
        <v>0.05</v>
      </c>
      <c r="E4159" s="17">
        <f>G4173</f>
        <v>20030</v>
      </c>
      <c r="F4159" s="55">
        <f>D4159*E4159</f>
        <v>1001.5</v>
      </c>
      <c r="G4159" s="169"/>
    </row>
    <row r="4160" spans="1:7" s="150" customFormat="1" ht="15.75" customHeight="1">
      <c r="A4160" s="943"/>
      <c r="B4160" s="1115"/>
      <c r="C4160" s="51"/>
      <c r="D4160" s="51"/>
      <c r="E4160" s="51"/>
      <c r="F4160" s="55"/>
      <c r="G4160" s="57">
        <f>SUM(F4158:F4160)</f>
        <v>1001.5</v>
      </c>
    </row>
    <row r="4161" spans="1:7" s="145" customFormat="1" ht="15.75" customHeight="1">
      <c r="A4161" s="1114" t="s">
        <v>10</v>
      </c>
      <c r="B4161" s="1115"/>
      <c r="C4161" s="1115"/>
      <c r="D4161" s="1115"/>
      <c r="E4161" s="1115"/>
      <c r="F4161" s="1115"/>
      <c r="G4161" s="1116"/>
    </row>
    <row r="4162" spans="1:7" s="145" customFormat="1" ht="15.75" customHeight="1">
      <c r="A4162" s="1074" t="s">
        <v>2</v>
      </c>
      <c r="B4162" s="1115"/>
      <c r="C4162" s="53" t="s">
        <v>3</v>
      </c>
      <c r="D4162" s="53" t="s">
        <v>4</v>
      </c>
      <c r="E4162" s="53" t="s">
        <v>6</v>
      </c>
      <c r="F4162" s="53" t="s">
        <v>11</v>
      </c>
      <c r="G4162" s="1075" t="s">
        <v>8</v>
      </c>
    </row>
    <row r="4163" spans="1:7" s="145" customFormat="1" ht="38.25" customHeight="1">
      <c r="A4163" s="947" t="s">
        <v>993</v>
      </c>
      <c r="B4163" s="1115"/>
      <c r="C4163" s="51" t="s">
        <v>3</v>
      </c>
      <c r="D4163" s="51">
        <v>1</v>
      </c>
      <c r="E4163" s="17">
        <f>+'INSUMOS ELÉCTRICOS'!E87</f>
        <v>17710.77</v>
      </c>
      <c r="F4163" s="55">
        <f>D4163*E4163</f>
        <v>17710.77</v>
      </c>
      <c r="G4163" s="1075"/>
    </row>
    <row r="4164" spans="1:7" s="145" customFormat="1" ht="15.75" customHeight="1">
      <c r="A4164" s="947"/>
      <c r="B4164" s="980"/>
      <c r="C4164" s="16"/>
      <c r="D4164" s="58"/>
      <c r="E4164" s="17"/>
      <c r="F4164" s="55">
        <f>E4164*D4164</f>
        <v>0</v>
      </c>
      <c r="G4164" s="57">
        <f>SUM(F4162:F4164)</f>
        <v>17710.77</v>
      </c>
    </row>
    <row r="4165" spans="1:7" s="145" customFormat="1" ht="15.75" customHeight="1">
      <c r="A4165" s="1114" t="s">
        <v>15</v>
      </c>
      <c r="B4165" s="1115"/>
      <c r="C4165" s="1115"/>
      <c r="D4165" s="1115"/>
      <c r="E4165" s="1115"/>
      <c r="F4165" s="1115"/>
      <c r="G4165" s="1116"/>
    </row>
    <row r="4166" spans="1:7" s="145" customFormat="1" ht="15.75" customHeight="1">
      <c r="A4166" s="1074" t="s">
        <v>2</v>
      </c>
      <c r="B4166" s="1115"/>
      <c r="C4166" s="53" t="s">
        <v>3</v>
      </c>
      <c r="D4166" s="53" t="s">
        <v>4</v>
      </c>
      <c r="E4166" s="53" t="s">
        <v>6</v>
      </c>
      <c r="F4166" s="53" t="s">
        <v>11</v>
      </c>
      <c r="G4166" s="1075" t="s">
        <v>8</v>
      </c>
    </row>
    <row r="4167" spans="1:7" s="145" customFormat="1" ht="15.75" customHeight="1">
      <c r="A4167" s="947" t="s">
        <v>842</v>
      </c>
      <c r="B4167" s="1115"/>
      <c r="C4167" s="51" t="s">
        <v>3</v>
      </c>
      <c r="D4167" s="51">
        <v>1.4999999999999999E-2</v>
      </c>
      <c r="E4167" s="17">
        <f>G4164</f>
        <v>17710.77</v>
      </c>
      <c r="F4167" s="17">
        <f>D4167*E4167</f>
        <v>265.66154999999998</v>
      </c>
      <c r="G4167" s="1116"/>
    </row>
    <row r="4168" spans="1:7" s="145" customFormat="1" ht="15.75" customHeight="1">
      <c r="A4168" s="151"/>
      <c r="B4168" s="152"/>
      <c r="C4168" s="152"/>
      <c r="D4168" s="152"/>
      <c r="E4168" s="152"/>
      <c r="F4168" s="152"/>
      <c r="G4168" s="57">
        <f>SUM(F4167:F4168)</f>
        <v>265.66154999999998</v>
      </c>
    </row>
    <row r="4169" spans="1:7" s="145" customFormat="1" ht="15.75" customHeight="1">
      <c r="A4169" s="1114" t="s">
        <v>19</v>
      </c>
      <c r="B4169" s="1115"/>
      <c r="C4169" s="1115"/>
      <c r="D4169" s="1115"/>
      <c r="E4169" s="1115"/>
      <c r="F4169" s="1115"/>
      <c r="G4169" s="1116"/>
    </row>
    <row r="4170" spans="1:7" s="145" customFormat="1" ht="15.75" customHeight="1">
      <c r="A4170" s="1074" t="s">
        <v>2</v>
      </c>
      <c r="B4170" s="1115"/>
      <c r="C4170" s="53" t="s">
        <v>3</v>
      </c>
      <c r="D4170" s="53" t="s">
        <v>4</v>
      </c>
      <c r="E4170" s="53" t="s">
        <v>6</v>
      </c>
      <c r="F4170" s="53" t="s">
        <v>11</v>
      </c>
      <c r="G4170" s="1075" t="s">
        <v>8</v>
      </c>
    </row>
    <row r="4171" spans="1:7" s="145" customFormat="1" ht="15.75" customHeight="1">
      <c r="A4171" s="978" t="s">
        <v>1256</v>
      </c>
      <c r="B4171" s="979"/>
      <c r="C4171" s="13" t="s">
        <v>1245</v>
      </c>
      <c r="D4171" s="32">
        <v>1</v>
      </c>
      <c r="E4171" s="13">
        <v>20030</v>
      </c>
      <c r="F4171" s="55">
        <f>E4171*D4171</f>
        <v>20030</v>
      </c>
      <c r="G4171" s="1116"/>
    </row>
    <row r="4172" spans="1:7" s="145" customFormat="1" ht="15.75" customHeight="1">
      <c r="A4172" s="144"/>
      <c r="B4172" s="154"/>
      <c r="C4172" s="154"/>
      <c r="D4172" s="154"/>
      <c r="E4172" s="16"/>
      <c r="F4172" s="55"/>
      <c r="G4172" s="1116"/>
    </row>
    <row r="4173" spans="1:7" s="145" customFormat="1" ht="15.75" customHeight="1">
      <c r="A4173" s="155"/>
      <c r="B4173" s="156"/>
      <c r="C4173" s="156"/>
      <c r="D4173" s="156"/>
      <c r="E4173" s="156"/>
      <c r="F4173" s="156"/>
      <c r="G4173" s="57">
        <f>SUM(F4170:F4173)</f>
        <v>20030</v>
      </c>
    </row>
    <row r="4174" spans="1:7" s="150" customFormat="1" ht="15.75" customHeight="1">
      <c r="A4174" s="1119" t="s">
        <v>25</v>
      </c>
      <c r="B4174" s="1120"/>
      <c r="C4174" s="1120"/>
      <c r="D4174" s="1120"/>
      <c r="E4174" s="1120"/>
      <c r="F4174" s="1120"/>
      <c r="G4174" s="1121"/>
    </row>
    <row r="4175" spans="1:7" s="150" customFormat="1" ht="15.75" customHeight="1">
      <c r="A4175" s="1122"/>
      <c r="B4175" s="1120"/>
      <c r="C4175" s="1120"/>
      <c r="D4175" s="1120"/>
      <c r="E4175" s="1120"/>
      <c r="F4175" s="1120"/>
      <c r="G4175" s="157">
        <f>G4173+G4168+G4164+G4160</f>
        <v>39007.931550000001</v>
      </c>
    </row>
    <row r="4176" spans="1:7" s="145" customFormat="1" ht="15.75" customHeight="1">
      <c r="A4176" s="170"/>
      <c r="B4176" s="171"/>
      <c r="C4176" s="172"/>
      <c r="D4176" s="172"/>
      <c r="E4176" s="171"/>
      <c r="F4176" s="172"/>
      <c r="G4176" s="173"/>
    </row>
    <row r="4177" spans="1:7" s="145" customFormat="1" ht="24" customHeight="1">
      <c r="A4177" s="1123" t="s">
        <v>1</v>
      </c>
      <c r="B4177" s="1120"/>
      <c r="C4177" s="953" t="s">
        <v>594</v>
      </c>
      <c r="D4177" s="1125"/>
      <c r="E4177" s="1125"/>
      <c r="F4177" s="1125"/>
      <c r="G4177" s="1126"/>
    </row>
    <row r="4178" spans="1:7" s="145" customFormat="1" ht="13.8">
      <c r="A4178" s="1124"/>
      <c r="B4178" s="1120"/>
      <c r="C4178" s="1125"/>
      <c r="D4178" s="1125"/>
      <c r="E4178" s="1125"/>
      <c r="F4178" s="1125"/>
      <c r="G4178" s="1126"/>
    </row>
    <row r="4179" spans="1:7" s="145" customFormat="1" ht="15.75" customHeight="1">
      <c r="A4179" s="1124"/>
      <c r="B4179" s="1120"/>
      <c r="C4179" s="1127" t="s">
        <v>896</v>
      </c>
      <c r="D4179" s="1120"/>
      <c r="E4179" s="1120"/>
      <c r="F4179" s="1120"/>
      <c r="G4179" s="1121"/>
    </row>
    <row r="4180" spans="1:7" s="145" customFormat="1" ht="13.8">
      <c r="A4180" s="1124"/>
      <c r="B4180" s="1120"/>
      <c r="C4180" s="1128" t="s">
        <v>2</v>
      </c>
      <c r="D4180" s="1120"/>
      <c r="E4180" s="1120"/>
      <c r="F4180" s="146" t="s">
        <v>3</v>
      </c>
      <c r="G4180" s="147" t="s">
        <v>4</v>
      </c>
    </row>
    <row r="4181" spans="1:7" s="145" customFormat="1" ht="34.950000000000003" customHeight="1">
      <c r="A4181" s="1073">
        <v>17.190000000000001</v>
      </c>
      <c r="B4181" s="1115"/>
      <c r="C4181" s="980" t="s">
        <v>2787</v>
      </c>
      <c r="D4181" s="980"/>
      <c r="E4181" s="980"/>
      <c r="F4181" s="162" t="s">
        <v>28</v>
      </c>
      <c r="G4181" s="52">
        <v>1</v>
      </c>
    </row>
    <row r="4182" spans="1:7" s="145" customFormat="1" ht="15.75" customHeight="1">
      <c r="A4182" s="1114" t="s">
        <v>5</v>
      </c>
      <c r="B4182" s="1115"/>
      <c r="C4182" s="1115"/>
      <c r="D4182" s="1115"/>
      <c r="E4182" s="1115"/>
      <c r="F4182" s="1115"/>
      <c r="G4182" s="1116"/>
    </row>
    <row r="4183" spans="1:7" s="150" customFormat="1" ht="13.8">
      <c r="A4183" s="1074" t="s">
        <v>2</v>
      </c>
      <c r="B4183" s="1115"/>
      <c r="C4183" s="53" t="s">
        <v>3</v>
      </c>
      <c r="D4183" s="53" t="s">
        <v>4</v>
      </c>
      <c r="E4183" s="53" t="s">
        <v>6</v>
      </c>
      <c r="F4183" s="53" t="s">
        <v>7</v>
      </c>
      <c r="G4183" s="1075" t="s">
        <v>8</v>
      </c>
    </row>
    <row r="4184" spans="1:7" s="145" customFormat="1" ht="15.75" customHeight="1">
      <c r="A4184" s="947" t="s">
        <v>167</v>
      </c>
      <c r="B4184" s="1115"/>
      <c r="C4184" s="51" t="s">
        <v>900</v>
      </c>
      <c r="D4184" s="51">
        <v>0</v>
      </c>
      <c r="E4184" s="17">
        <f>G4197</f>
        <v>120180</v>
      </c>
      <c r="F4184" s="55">
        <f>D4184*E4184</f>
        <v>0</v>
      </c>
      <c r="G4184" s="1116"/>
    </row>
    <row r="4185" spans="1:7" s="145" customFormat="1" ht="15.75" customHeight="1">
      <c r="A4185" s="943"/>
      <c r="B4185" s="1115"/>
      <c r="C4185" s="51"/>
      <c r="D4185" s="51"/>
      <c r="E4185" s="51"/>
      <c r="F4185" s="55"/>
      <c r="G4185" s="57">
        <f>SUM(F4183:F4185)</f>
        <v>0</v>
      </c>
    </row>
    <row r="4186" spans="1:7" s="145" customFormat="1" ht="15.75" customHeight="1">
      <c r="A4186" s="1114" t="s">
        <v>10</v>
      </c>
      <c r="B4186" s="1115"/>
      <c r="C4186" s="1115"/>
      <c r="D4186" s="1115"/>
      <c r="E4186" s="1115"/>
      <c r="F4186" s="1115"/>
      <c r="G4186" s="1116"/>
    </row>
    <row r="4187" spans="1:7" s="150" customFormat="1" ht="13.8">
      <c r="A4187" s="1074" t="s">
        <v>2</v>
      </c>
      <c r="B4187" s="1115"/>
      <c r="C4187" s="53" t="s">
        <v>3</v>
      </c>
      <c r="D4187" s="53" t="s">
        <v>4</v>
      </c>
      <c r="E4187" s="53" t="s">
        <v>6</v>
      </c>
      <c r="F4187" s="53" t="s">
        <v>11</v>
      </c>
      <c r="G4187" s="1075" t="s">
        <v>8</v>
      </c>
    </row>
    <row r="4188" spans="1:7" s="145" customFormat="1" ht="15.75" customHeight="1">
      <c r="A4188" s="947" t="s">
        <v>994</v>
      </c>
      <c r="B4188" s="1115"/>
      <c r="C4188" s="51" t="s">
        <v>3</v>
      </c>
      <c r="D4188" s="51">
        <v>1</v>
      </c>
      <c r="E4188" s="17">
        <f>+'INSUMOS ELÉCTRICOS'!E156</f>
        <v>17850000</v>
      </c>
      <c r="F4188" s="55">
        <f>D4188*E4188</f>
        <v>17850000</v>
      </c>
      <c r="G4188" s="1075"/>
    </row>
    <row r="4189" spans="1:7" s="145" customFormat="1" ht="15.75" customHeight="1">
      <c r="A4189" s="947"/>
      <c r="B4189" s="980"/>
      <c r="C4189" s="16"/>
      <c r="D4189" s="58"/>
      <c r="E4189" s="17"/>
      <c r="F4189" s="55">
        <f>E4189*D4189</f>
        <v>0</v>
      </c>
      <c r="G4189" s="57">
        <f>SUM(F4187:F4189)</f>
        <v>17850000</v>
      </c>
    </row>
    <row r="4190" spans="1:7" s="145" customFormat="1" ht="15.75" customHeight="1">
      <c r="A4190" s="1114" t="s">
        <v>15</v>
      </c>
      <c r="B4190" s="1115"/>
      <c r="C4190" s="1115"/>
      <c r="D4190" s="1115"/>
      <c r="E4190" s="1115"/>
      <c r="F4190" s="1115"/>
      <c r="G4190" s="1116"/>
    </row>
    <row r="4191" spans="1:7" s="145" customFormat="1" ht="15.75" customHeight="1">
      <c r="A4191" s="1074" t="s">
        <v>2</v>
      </c>
      <c r="B4191" s="1115"/>
      <c r="C4191" s="53" t="s">
        <v>3</v>
      </c>
      <c r="D4191" s="53" t="s">
        <v>4</v>
      </c>
      <c r="E4191" s="53" t="s">
        <v>6</v>
      </c>
      <c r="F4191" s="53" t="s">
        <v>11</v>
      </c>
      <c r="G4191" s="1075" t="s">
        <v>8</v>
      </c>
    </row>
    <row r="4192" spans="1:7" s="145" customFormat="1" ht="15.75" customHeight="1">
      <c r="A4192" s="947" t="s">
        <v>842</v>
      </c>
      <c r="B4192" s="1115"/>
      <c r="C4192" s="51" t="s">
        <v>3</v>
      </c>
      <c r="D4192" s="51">
        <v>0.01</v>
      </c>
      <c r="E4192" s="17">
        <f>G4189</f>
        <v>17850000</v>
      </c>
      <c r="F4192" s="55">
        <f>D4192*E4192</f>
        <v>178500</v>
      </c>
      <c r="G4192" s="1116"/>
    </row>
    <row r="4193" spans="1:8" s="145" customFormat="1" ht="15.75" customHeight="1">
      <c r="A4193" s="151"/>
      <c r="B4193" s="152"/>
      <c r="C4193" s="152"/>
      <c r="D4193" s="152"/>
      <c r="E4193" s="152"/>
      <c r="F4193" s="152"/>
      <c r="G4193" s="57">
        <f>SUM(F4192:F4193)</f>
        <v>178500</v>
      </c>
    </row>
    <row r="4194" spans="1:8" s="145" customFormat="1" ht="15.75" customHeight="1">
      <c r="A4194" s="1114" t="s">
        <v>19</v>
      </c>
      <c r="B4194" s="1115"/>
      <c r="C4194" s="1115"/>
      <c r="D4194" s="1115"/>
      <c r="E4194" s="1115"/>
      <c r="F4194" s="1115"/>
      <c r="G4194" s="1116"/>
    </row>
    <row r="4195" spans="1:8" s="145" customFormat="1" ht="15.75" customHeight="1">
      <c r="A4195" s="1074" t="s">
        <v>2</v>
      </c>
      <c r="B4195" s="1115"/>
      <c r="C4195" s="53" t="s">
        <v>3</v>
      </c>
      <c r="D4195" s="53" t="s">
        <v>4</v>
      </c>
      <c r="E4195" s="53" t="s">
        <v>6</v>
      </c>
      <c r="F4195" s="53" t="s">
        <v>11</v>
      </c>
      <c r="G4195" s="1075" t="s">
        <v>8</v>
      </c>
    </row>
    <row r="4196" spans="1:8" s="145" customFormat="1" ht="15.75" customHeight="1">
      <c r="A4196" s="978" t="s">
        <v>1256</v>
      </c>
      <c r="B4196" s="979"/>
      <c r="C4196" s="13" t="s">
        <v>1245</v>
      </c>
      <c r="D4196" s="32">
        <v>6</v>
      </c>
      <c r="E4196" s="13">
        <v>20030</v>
      </c>
      <c r="F4196" s="55">
        <f>E4196*D4196</f>
        <v>120180</v>
      </c>
      <c r="G4196" s="1116"/>
    </row>
    <row r="4197" spans="1:8" s="145" customFormat="1" ht="15.75" customHeight="1">
      <c r="A4197" s="155"/>
      <c r="B4197" s="156"/>
      <c r="C4197" s="156"/>
      <c r="D4197" s="156"/>
      <c r="E4197" s="156"/>
      <c r="F4197" s="156"/>
      <c r="G4197" s="57">
        <f>SUM(F4195:F4197)</f>
        <v>120180</v>
      </c>
    </row>
    <row r="4198" spans="1:8" s="145" customFormat="1" ht="15.75" customHeight="1">
      <c r="A4198" s="1119" t="s">
        <v>25</v>
      </c>
      <c r="B4198" s="1120"/>
      <c r="C4198" s="1120"/>
      <c r="D4198" s="1120"/>
      <c r="E4198" s="1120"/>
      <c r="F4198" s="1120"/>
      <c r="G4198" s="1121"/>
    </row>
    <row r="4199" spans="1:8" s="145" customFormat="1" ht="15.75" customHeight="1">
      <c r="A4199" s="1122"/>
      <c r="B4199" s="1120"/>
      <c r="C4199" s="1120"/>
      <c r="D4199" s="1120"/>
      <c r="E4199" s="1120"/>
      <c r="F4199" s="1120"/>
      <c r="G4199" s="157">
        <f>G4197+G4193+G4189+G4185</f>
        <v>18148680</v>
      </c>
    </row>
    <row r="4200" spans="1:8">
      <c r="B4200" s="468"/>
      <c r="F4200" s="455"/>
    </row>
    <row r="4201" spans="1:8">
      <c r="B4201" s="468"/>
      <c r="F4201" s="620"/>
    </row>
    <row r="4202" spans="1:8">
      <c r="B4202" s="468"/>
      <c r="F4202" s="620"/>
      <c r="H4202" s="480"/>
    </row>
    <row r="4203" spans="1:8">
      <c r="B4203" s="468"/>
      <c r="F4203" s="455"/>
    </row>
    <row r="4204" spans="1:8">
      <c r="B4204" s="468"/>
      <c r="F4204" s="455"/>
    </row>
    <row r="4205" spans="1:8">
      <c r="B4205" s="468"/>
      <c r="F4205" s="455"/>
    </row>
    <row r="4206" spans="1:8">
      <c r="B4206" s="966"/>
      <c r="C4206" s="966"/>
      <c r="F4206" s="455"/>
    </row>
    <row r="4207" spans="1:8">
      <c r="B4207" s="966"/>
      <c r="C4207" s="966"/>
      <c r="F4207" s="455"/>
    </row>
    <row r="4208" spans="1:8">
      <c r="B4208" s="468"/>
      <c r="F4208" s="455"/>
    </row>
    <row r="4209" spans="1:7" s="145" customFormat="1" ht="15.75" customHeight="1">
      <c r="A4209"/>
      <c r="B4209"/>
      <c r="C4209"/>
      <c r="D4209"/>
      <c r="E4209"/>
      <c r="F4209"/>
      <c r="G4209"/>
    </row>
    <row r="4210" spans="1:7" s="145" customFormat="1" ht="15.75" customHeight="1">
      <c r="A4210"/>
      <c r="B4210"/>
      <c r="C4210"/>
      <c r="D4210"/>
      <c r="E4210"/>
      <c r="F4210"/>
      <c r="G4210"/>
    </row>
    <row r="4211" spans="1:7" s="145" customFormat="1" ht="15.75" customHeight="1">
      <c r="A4211"/>
      <c r="B4211"/>
      <c r="C4211"/>
      <c r="D4211"/>
      <c r="E4211"/>
      <c r="F4211"/>
      <c r="G4211"/>
    </row>
    <row r="4212" spans="1:7" s="150" customFormat="1" ht="15.75" customHeight="1">
      <c r="A4212"/>
      <c r="B4212"/>
      <c r="C4212"/>
      <c r="D4212"/>
      <c r="E4212"/>
      <c r="F4212"/>
      <c r="G4212"/>
    </row>
    <row r="4213" spans="1:7" s="145" customFormat="1" ht="15.75" customHeight="1">
      <c r="A4213"/>
      <c r="B4213"/>
      <c r="C4213"/>
      <c r="D4213"/>
      <c r="E4213"/>
      <c r="F4213"/>
      <c r="G4213"/>
    </row>
    <row r="4214" spans="1:7" s="145" customFormat="1" ht="15.75" customHeight="1">
      <c r="A4214"/>
      <c r="B4214"/>
      <c r="C4214"/>
      <c r="D4214"/>
      <c r="E4214"/>
      <c r="F4214"/>
      <c r="G4214"/>
    </row>
    <row r="4215" spans="1:7" s="145" customFormat="1" ht="15.75" customHeight="1">
      <c r="A4215"/>
      <c r="B4215"/>
      <c r="C4215"/>
      <c r="D4215"/>
      <c r="E4215"/>
      <c r="F4215"/>
      <c r="G4215"/>
    </row>
    <row r="4216" spans="1:7" s="145" customFormat="1" ht="15.75" customHeight="1">
      <c r="A4216"/>
      <c r="B4216"/>
      <c r="C4216"/>
      <c r="D4216"/>
      <c r="E4216"/>
      <c r="F4216"/>
      <c r="G4216"/>
    </row>
    <row r="4217" spans="1:7" s="145" customFormat="1" ht="15.75" customHeight="1">
      <c r="A4217"/>
      <c r="B4217"/>
      <c r="C4217"/>
      <c r="D4217"/>
      <c r="E4217"/>
      <c r="F4217"/>
      <c r="G4217"/>
    </row>
    <row r="4218" spans="1:7" s="145" customFormat="1" ht="15.75" customHeight="1">
      <c r="A4218"/>
      <c r="B4218"/>
      <c r="C4218"/>
      <c r="D4218"/>
      <c r="E4218"/>
      <c r="F4218"/>
      <c r="G4218"/>
    </row>
    <row r="4219" spans="1:7" s="145" customFormat="1" ht="15.75" customHeight="1">
      <c r="A4219"/>
      <c r="B4219"/>
      <c r="C4219"/>
      <c r="D4219"/>
      <c r="E4219"/>
      <c r="F4219"/>
      <c r="G4219"/>
    </row>
    <row r="4220" spans="1:7" s="145" customFormat="1" ht="15.75" customHeight="1">
      <c r="A4220"/>
      <c r="B4220"/>
      <c r="C4220"/>
      <c r="D4220"/>
      <c r="E4220"/>
      <c r="F4220"/>
      <c r="G4220"/>
    </row>
    <row r="4221" spans="1:7" s="145" customFormat="1" ht="15.75" customHeight="1">
      <c r="A4221"/>
      <c r="B4221"/>
      <c r="C4221"/>
      <c r="D4221"/>
      <c r="E4221"/>
      <c r="F4221"/>
      <c r="G4221"/>
    </row>
    <row r="4222" spans="1:7" s="145" customFormat="1" ht="15.75" customHeight="1">
      <c r="A4222"/>
      <c r="B4222"/>
      <c r="C4222"/>
      <c r="D4222"/>
      <c r="E4222"/>
      <c r="F4222"/>
      <c r="G4222"/>
    </row>
    <row r="4223" spans="1:7" s="145" customFormat="1" ht="15.75" customHeight="1">
      <c r="A4223"/>
      <c r="B4223"/>
      <c r="C4223"/>
      <c r="D4223"/>
      <c r="E4223"/>
      <c r="F4223"/>
      <c r="G4223"/>
    </row>
  </sheetData>
  <mergeCells count="4490">
    <mergeCell ref="B4206:C4206"/>
    <mergeCell ref="B4207:C4207"/>
    <mergeCell ref="C2:G2"/>
    <mergeCell ref="A4:B7"/>
    <mergeCell ref="C4:G5"/>
    <mergeCell ref="C6:G6"/>
    <mergeCell ref="C7:E7"/>
    <mergeCell ref="A8:B8"/>
    <mergeCell ref="C8:E8"/>
    <mergeCell ref="A19:B19"/>
    <mergeCell ref="G19:G20"/>
    <mergeCell ref="A20:B20"/>
    <mergeCell ref="A22:G22"/>
    <mergeCell ref="A23:B23"/>
    <mergeCell ref="G23:G24"/>
    <mergeCell ref="A24:B24"/>
    <mergeCell ref="A14:B14"/>
    <mergeCell ref="G14:G16"/>
    <mergeCell ref="A15:B15"/>
    <mergeCell ref="A16:B16"/>
    <mergeCell ref="A17:B17"/>
    <mergeCell ref="A18:G18"/>
    <mergeCell ref="A9:G9"/>
    <mergeCell ref="A10:B10"/>
    <mergeCell ref="G10:G11"/>
    <mergeCell ref="A11:B11"/>
    <mergeCell ref="A12:B12"/>
    <mergeCell ref="A13:G13"/>
    <mergeCell ref="A37:B37"/>
    <mergeCell ref="A38:G38"/>
    <mergeCell ref="A39:B39"/>
    <mergeCell ref="G39:G41"/>
    <mergeCell ref="A40:B40"/>
    <mergeCell ref="A41:B41"/>
    <mergeCell ref="A33:B33"/>
    <mergeCell ref="C33:E33"/>
    <mergeCell ref="A34:G34"/>
    <mergeCell ref="A35:B35"/>
    <mergeCell ref="G35:G36"/>
    <mergeCell ref="A36:B36"/>
    <mergeCell ref="A26:G26"/>
    <mergeCell ref="A27:F27"/>
    <mergeCell ref="A29:B32"/>
    <mergeCell ref="C29:G30"/>
    <mergeCell ref="C31:G31"/>
    <mergeCell ref="C32:E32"/>
    <mergeCell ref="A58:B58"/>
    <mergeCell ref="C58:E58"/>
    <mergeCell ref="A59:G59"/>
    <mergeCell ref="A60:B60"/>
    <mergeCell ref="G60:G61"/>
    <mergeCell ref="A61:B61"/>
    <mergeCell ref="A48:B48"/>
    <mergeCell ref="G48:G49"/>
    <mergeCell ref="A49:B49"/>
    <mergeCell ref="A51:G51"/>
    <mergeCell ref="A52:F52"/>
    <mergeCell ref="A54:B57"/>
    <mergeCell ref="C54:G55"/>
    <mergeCell ref="C56:G56"/>
    <mergeCell ref="C57:E57"/>
    <mergeCell ref="A42:B42"/>
    <mergeCell ref="A43:G43"/>
    <mergeCell ref="A44:B44"/>
    <mergeCell ref="G44:G45"/>
    <mergeCell ref="A45:B45"/>
    <mergeCell ref="A47:G47"/>
    <mergeCell ref="A75:G75"/>
    <mergeCell ref="A76:F76"/>
    <mergeCell ref="A78:B81"/>
    <mergeCell ref="C78:G79"/>
    <mergeCell ref="C80:G80"/>
    <mergeCell ref="C81:E81"/>
    <mergeCell ref="A67:G67"/>
    <mergeCell ref="A68:B68"/>
    <mergeCell ref="G68:G69"/>
    <mergeCell ref="A69:B69"/>
    <mergeCell ref="A71:G71"/>
    <mergeCell ref="A72:B72"/>
    <mergeCell ref="G72:G73"/>
    <mergeCell ref="A73:B73"/>
    <mergeCell ref="A62:B62"/>
    <mergeCell ref="A63:G63"/>
    <mergeCell ref="A64:B64"/>
    <mergeCell ref="G64:G65"/>
    <mergeCell ref="A65:B65"/>
    <mergeCell ref="A66:B66"/>
    <mergeCell ref="A91:G91"/>
    <mergeCell ref="A92:B92"/>
    <mergeCell ref="G92:G93"/>
    <mergeCell ref="A93:B93"/>
    <mergeCell ref="A95:G95"/>
    <mergeCell ref="A96:B96"/>
    <mergeCell ref="G96:G97"/>
    <mergeCell ref="A97:B97"/>
    <mergeCell ref="A86:B86"/>
    <mergeCell ref="A87:G87"/>
    <mergeCell ref="A88:B88"/>
    <mergeCell ref="G88:G89"/>
    <mergeCell ref="A89:B89"/>
    <mergeCell ref="A90:B90"/>
    <mergeCell ref="A82:B82"/>
    <mergeCell ref="C82:E82"/>
    <mergeCell ref="A83:G83"/>
    <mergeCell ref="A84:B84"/>
    <mergeCell ref="G84:G85"/>
    <mergeCell ref="A85:B85"/>
    <mergeCell ref="A110:B110"/>
    <mergeCell ref="A111:G111"/>
    <mergeCell ref="A112:B112"/>
    <mergeCell ref="G112:G113"/>
    <mergeCell ref="A113:B113"/>
    <mergeCell ref="A114:B114"/>
    <mergeCell ref="A106:B106"/>
    <mergeCell ref="C106:E106"/>
    <mergeCell ref="A107:G107"/>
    <mergeCell ref="A108:B108"/>
    <mergeCell ref="G108:G109"/>
    <mergeCell ref="A109:B109"/>
    <mergeCell ref="A99:G99"/>
    <mergeCell ref="A100:F100"/>
    <mergeCell ref="A102:B105"/>
    <mergeCell ref="C102:G103"/>
    <mergeCell ref="C104:G104"/>
    <mergeCell ref="C105:E105"/>
    <mergeCell ref="A130:B130"/>
    <mergeCell ref="C130:E130"/>
    <mergeCell ref="A131:G131"/>
    <mergeCell ref="A132:B132"/>
    <mergeCell ref="G132:G133"/>
    <mergeCell ref="A133:B133"/>
    <mergeCell ref="A123:G123"/>
    <mergeCell ref="A124:F124"/>
    <mergeCell ref="A126:B129"/>
    <mergeCell ref="C126:G127"/>
    <mergeCell ref="C128:G128"/>
    <mergeCell ref="C129:E129"/>
    <mergeCell ref="A115:G115"/>
    <mergeCell ref="A116:B116"/>
    <mergeCell ref="G116:G117"/>
    <mergeCell ref="A117:B117"/>
    <mergeCell ref="A119:G119"/>
    <mergeCell ref="A120:B120"/>
    <mergeCell ref="G120:G121"/>
    <mergeCell ref="A121:B121"/>
    <mergeCell ref="A149:B149"/>
    <mergeCell ref="G149:G150"/>
    <mergeCell ref="A150:B150"/>
    <mergeCell ref="A152:G152"/>
    <mergeCell ref="A153:F153"/>
    <mergeCell ref="A155:B158"/>
    <mergeCell ref="C155:G156"/>
    <mergeCell ref="C157:G157"/>
    <mergeCell ref="C158:E158"/>
    <mergeCell ref="A143:B143"/>
    <mergeCell ref="A144:G144"/>
    <mergeCell ref="A145:B145"/>
    <mergeCell ref="G145:G146"/>
    <mergeCell ref="A146:B146"/>
    <mergeCell ref="A148:G148"/>
    <mergeCell ref="A134:B134"/>
    <mergeCell ref="A135:G135"/>
    <mergeCell ref="A136:B136"/>
    <mergeCell ref="G136:G142"/>
    <mergeCell ref="A137:B137"/>
    <mergeCell ref="A138:B138"/>
    <mergeCell ref="A139:B139"/>
    <mergeCell ref="A140:B140"/>
    <mergeCell ref="A141:B141"/>
    <mergeCell ref="A142:B142"/>
    <mergeCell ref="A172:B172"/>
    <mergeCell ref="A173:G173"/>
    <mergeCell ref="A174:B174"/>
    <mergeCell ref="G174:G175"/>
    <mergeCell ref="A175:B175"/>
    <mergeCell ref="A177:G177"/>
    <mergeCell ref="A163:B163"/>
    <mergeCell ref="A164:G164"/>
    <mergeCell ref="A165:B165"/>
    <mergeCell ref="G165:G171"/>
    <mergeCell ref="A166:B166"/>
    <mergeCell ref="A167:B167"/>
    <mergeCell ref="A168:B168"/>
    <mergeCell ref="A169:B169"/>
    <mergeCell ref="A170:B170"/>
    <mergeCell ref="A171:B171"/>
    <mergeCell ref="A159:B159"/>
    <mergeCell ref="C159:E159"/>
    <mergeCell ref="A160:G160"/>
    <mergeCell ref="A161:B161"/>
    <mergeCell ref="G161:G162"/>
    <mergeCell ref="A162:B162"/>
    <mergeCell ref="A192:B192"/>
    <mergeCell ref="A193:G193"/>
    <mergeCell ref="A194:B194"/>
    <mergeCell ref="G194:G200"/>
    <mergeCell ref="A195:B195"/>
    <mergeCell ref="A196:B196"/>
    <mergeCell ref="A197:B197"/>
    <mergeCell ref="A198:B198"/>
    <mergeCell ref="A199:B199"/>
    <mergeCell ref="A200:B200"/>
    <mergeCell ref="A188:B188"/>
    <mergeCell ref="C188:E188"/>
    <mergeCell ref="A189:G189"/>
    <mergeCell ref="A190:B190"/>
    <mergeCell ref="G190:G191"/>
    <mergeCell ref="A191:B191"/>
    <mergeCell ref="A178:B178"/>
    <mergeCell ref="G178:G179"/>
    <mergeCell ref="A179:B179"/>
    <mergeCell ref="A181:G181"/>
    <mergeCell ref="A182:F182"/>
    <mergeCell ref="A184:B187"/>
    <mergeCell ref="C184:G185"/>
    <mergeCell ref="C186:G186"/>
    <mergeCell ref="C187:E187"/>
    <mergeCell ref="A217:B217"/>
    <mergeCell ref="C217:E217"/>
    <mergeCell ref="A218:G218"/>
    <mergeCell ref="A219:B219"/>
    <mergeCell ref="G219:G220"/>
    <mergeCell ref="A220:B220"/>
    <mergeCell ref="A207:B207"/>
    <mergeCell ref="G207:G208"/>
    <mergeCell ref="A208:B208"/>
    <mergeCell ref="A210:G210"/>
    <mergeCell ref="A211:F211"/>
    <mergeCell ref="A213:B216"/>
    <mergeCell ref="C213:G214"/>
    <mergeCell ref="C215:G215"/>
    <mergeCell ref="C216:E216"/>
    <mergeCell ref="A201:B201"/>
    <mergeCell ref="A202:G202"/>
    <mergeCell ref="A203:B203"/>
    <mergeCell ref="G203:G204"/>
    <mergeCell ref="A204:B204"/>
    <mergeCell ref="A206:G206"/>
    <mergeCell ref="A232:B232"/>
    <mergeCell ref="G232:G233"/>
    <mergeCell ref="A233:B233"/>
    <mergeCell ref="A235:G235"/>
    <mergeCell ref="A236:F236"/>
    <mergeCell ref="A238:B241"/>
    <mergeCell ref="C238:G239"/>
    <mergeCell ref="C240:G240"/>
    <mergeCell ref="C241:E241"/>
    <mergeCell ref="A226:B226"/>
    <mergeCell ref="A227:G227"/>
    <mergeCell ref="A228:B228"/>
    <mergeCell ref="G228:G229"/>
    <mergeCell ref="A229:B229"/>
    <mergeCell ref="A231:G231"/>
    <mergeCell ref="A221:B221"/>
    <mergeCell ref="A222:G222"/>
    <mergeCell ref="A223:B223"/>
    <mergeCell ref="G223:G225"/>
    <mergeCell ref="A224:B224"/>
    <mergeCell ref="A225:B225"/>
    <mergeCell ref="A251:B251"/>
    <mergeCell ref="A252:G252"/>
    <mergeCell ref="A253:B253"/>
    <mergeCell ref="G253:G254"/>
    <mergeCell ref="A254:B254"/>
    <mergeCell ref="A256:G256"/>
    <mergeCell ref="A246:B246"/>
    <mergeCell ref="A247:G247"/>
    <mergeCell ref="A248:B248"/>
    <mergeCell ref="G248:G250"/>
    <mergeCell ref="A249:B249"/>
    <mergeCell ref="A250:B250"/>
    <mergeCell ref="A242:B242"/>
    <mergeCell ref="C242:E242"/>
    <mergeCell ref="A243:G243"/>
    <mergeCell ref="A244:B244"/>
    <mergeCell ref="G244:G245"/>
    <mergeCell ref="A245:B245"/>
    <mergeCell ref="A271:B271"/>
    <mergeCell ref="A272:G272"/>
    <mergeCell ref="A273:B273"/>
    <mergeCell ref="G273:G283"/>
    <mergeCell ref="A274:B274"/>
    <mergeCell ref="A275:B275"/>
    <mergeCell ref="A276:B276"/>
    <mergeCell ref="A277:B277"/>
    <mergeCell ref="A278:B278"/>
    <mergeCell ref="A279:B279"/>
    <mergeCell ref="A267:B267"/>
    <mergeCell ref="C267:E267"/>
    <mergeCell ref="A268:G268"/>
    <mergeCell ref="A269:B269"/>
    <mergeCell ref="G269:G270"/>
    <mergeCell ref="A270:B270"/>
    <mergeCell ref="A257:B257"/>
    <mergeCell ref="G257:G258"/>
    <mergeCell ref="A258:B258"/>
    <mergeCell ref="A260:G260"/>
    <mergeCell ref="A261:F261"/>
    <mergeCell ref="A263:B266"/>
    <mergeCell ref="C263:G264"/>
    <mergeCell ref="C265:G265"/>
    <mergeCell ref="C266:E266"/>
    <mergeCell ref="A293:G293"/>
    <mergeCell ref="A294:F294"/>
    <mergeCell ref="A296:B299"/>
    <mergeCell ref="C296:G297"/>
    <mergeCell ref="C298:G298"/>
    <mergeCell ref="C299:E299"/>
    <mergeCell ref="A286:B286"/>
    <mergeCell ref="G286:G287"/>
    <mergeCell ref="A287:B287"/>
    <mergeCell ref="A289:G289"/>
    <mergeCell ref="G290:G291"/>
    <mergeCell ref="A291:B291"/>
    <mergeCell ref="A280:B280"/>
    <mergeCell ref="A281:B281"/>
    <mergeCell ref="A282:B282"/>
    <mergeCell ref="A283:B283"/>
    <mergeCell ref="A284:B284"/>
    <mergeCell ref="A285:G285"/>
    <mergeCell ref="A313:B313"/>
    <mergeCell ref="A314:B314"/>
    <mergeCell ref="A315:B315"/>
    <mergeCell ref="A316:B316"/>
    <mergeCell ref="A317:B317"/>
    <mergeCell ref="A318:G318"/>
    <mergeCell ref="A304:B304"/>
    <mergeCell ref="A305:G305"/>
    <mergeCell ref="A306:B306"/>
    <mergeCell ref="G306:G316"/>
    <mergeCell ref="A307:B307"/>
    <mergeCell ref="A308:B308"/>
    <mergeCell ref="A309:B309"/>
    <mergeCell ref="A310:B310"/>
    <mergeCell ref="A311:B311"/>
    <mergeCell ref="A312:B312"/>
    <mergeCell ref="A300:B300"/>
    <mergeCell ref="C300:E300"/>
    <mergeCell ref="A301:G301"/>
    <mergeCell ref="A302:B302"/>
    <mergeCell ref="G302:G303"/>
    <mergeCell ref="A303:B303"/>
    <mergeCell ref="A333:B333"/>
    <mergeCell ref="C333:E333"/>
    <mergeCell ref="A334:G334"/>
    <mergeCell ref="A335:B335"/>
    <mergeCell ref="G335:G336"/>
    <mergeCell ref="A336:B336"/>
    <mergeCell ref="A326:G326"/>
    <mergeCell ref="A327:F327"/>
    <mergeCell ref="A329:B332"/>
    <mergeCell ref="C329:G330"/>
    <mergeCell ref="C331:G331"/>
    <mergeCell ref="C332:E332"/>
    <mergeCell ref="A319:B319"/>
    <mergeCell ref="G319:G320"/>
    <mergeCell ref="A320:B320"/>
    <mergeCell ref="A322:G322"/>
    <mergeCell ref="A323:B323"/>
    <mergeCell ref="G323:G324"/>
    <mergeCell ref="A324:B324"/>
    <mergeCell ref="A352:B352"/>
    <mergeCell ref="G352:G353"/>
    <mergeCell ref="A353:B353"/>
    <mergeCell ref="A355:G355"/>
    <mergeCell ref="G356:G357"/>
    <mergeCell ref="A357:B357"/>
    <mergeCell ref="A346:B346"/>
    <mergeCell ref="A347:B347"/>
    <mergeCell ref="A348:B348"/>
    <mergeCell ref="A349:B349"/>
    <mergeCell ref="A350:B350"/>
    <mergeCell ref="A351:G351"/>
    <mergeCell ref="A337:B337"/>
    <mergeCell ref="A338:G338"/>
    <mergeCell ref="A339:B339"/>
    <mergeCell ref="G339:G349"/>
    <mergeCell ref="A340:B340"/>
    <mergeCell ref="A341:B341"/>
    <mergeCell ref="A342:B342"/>
    <mergeCell ref="A343:B343"/>
    <mergeCell ref="A344:B344"/>
    <mergeCell ref="A345:B345"/>
    <mergeCell ref="A370:B370"/>
    <mergeCell ref="A371:G371"/>
    <mergeCell ref="A372:B372"/>
    <mergeCell ref="G372:G376"/>
    <mergeCell ref="A373:B373"/>
    <mergeCell ref="A374:B374"/>
    <mergeCell ref="A375:B375"/>
    <mergeCell ref="A376:B376"/>
    <mergeCell ref="A366:B366"/>
    <mergeCell ref="C366:E366"/>
    <mergeCell ref="A367:G367"/>
    <mergeCell ref="A368:B368"/>
    <mergeCell ref="G368:G369"/>
    <mergeCell ref="A369:B369"/>
    <mergeCell ref="A359:G359"/>
    <mergeCell ref="A360:F360"/>
    <mergeCell ref="A362:B365"/>
    <mergeCell ref="C362:G363"/>
    <mergeCell ref="C364:G364"/>
    <mergeCell ref="C365:E365"/>
    <mergeCell ref="A393:B393"/>
    <mergeCell ref="C393:E393"/>
    <mergeCell ref="A394:G394"/>
    <mergeCell ref="A395:B395"/>
    <mergeCell ref="G395:G396"/>
    <mergeCell ref="A396:B396"/>
    <mergeCell ref="A383:B383"/>
    <mergeCell ref="G383:G384"/>
    <mergeCell ref="A384:B384"/>
    <mergeCell ref="A386:G386"/>
    <mergeCell ref="A387:F387"/>
    <mergeCell ref="A389:B392"/>
    <mergeCell ref="C389:G390"/>
    <mergeCell ref="C391:G391"/>
    <mergeCell ref="C392:E392"/>
    <mergeCell ref="A377:B377"/>
    <mergeCell ref="A378:G378"/>
    <mergeCell ref="A379:B379"/>
    <mergeCell ref="G379:G380"/>
    <mergeCell ref="A380:B380"/>
    <mergeCell ref="A382:G382"/>
    <mergeCell ref="A408:B408"/>
    <mergeCell ref="G408:G409"/>
    <mergeCell ref="A409:B409"/>
    <mergeCell ref="A411:G411"/>
    <mergeCell ref="A412:F412"/>
    <mergeCell ref="A414:B417"/>
    <mergeCell ref="C414:G415"/>
    <mergeCell ref="C416:G416"/>
    <mergeCell ref="C417:E417"/>
    <mergeCell ref="A402:B402"/>
    <mergeCell ref="A403:G403"/>
    <mergeCell ref="A404:B404"/>
    <mergeCell ref="G404:G405"/>
    <mergeCell ref="A405:B405"/>
    <mergeCell ref="A407:G407"/>
    <mergeCell ref="A397:B397"/>
    <mergeCell ref="A398:G398"/>
    <mergeCell ref="A399:B399"/>
    <mergeCell ref="G399:G401"/>
    <mergeCell ref="A400:B400"/>
    <mergeCell ref="A401:B401"/>
    <mergeCell ref="A427:G427"/>
    <mergeCell ref="A428:B428"/>
    <mergeCell ref="G428:G429"/>
    <mergeCell ref="A429:B429"/>
    <mergeCell ref="A431:G431"/>
    <mergeCell ref="A432:B432"/>
    <mergeCell ref="G432:G433"/>
    <mergeCell ref="A433:B433"/>
    <mergeCell ref="A422:B422"/>
    <mergeCell ref="A423:G423"/>
    <mergeCell ref="A424:B424"/>
    <mergeCell ref="G424:G425"/>
    <mergeCell ref="A425:B425"/>
    <mergeCell ref="A426:B426"/>
    <mergeCell ref="A418:B418"/>
    <mergeCell ref="C418:E418"/>
    <mergeCell ref="A419:G419"/>
    <mergeCell ref="A420:B420"/>
    <mergeCell ref="G420:G421"/>
    <mergeCell ref="A421:B421"/>
    <mergeCell ref="A446:B446"/>
    <mergeCell ref="A447:G447"/>
    <mergeCell ref="A448:B448"/>
    <mergeCell ref="G448:G449"/>
    <mergeCell ref="A449:B449"/>
    <mergeCell ref="A450:B450"/>
    <mergeCell ref="A442:B442"/>
    <mergeCell ref="C442:E442"/>
    <mergeCell ref="A443:G443"/>
    <mergeCell ref="A444:B444"/>
    <mergeCell ref="G444:G445"/>
    <mergeCell ref="A445:B445"/>
    <mergeCell ref="A435:G435"/>
    <mergeCell ref="A436:F436"/>
    <mergeCell ref="A438:B441"/>
    <mergeCell ref="C438:G439"/>
    <mergeCell ref="C440:G440"/>
    <mergeCell ref="C441:E441"/>
    <mergeCell ref="A466:B466"/>
    <mergeCell ref="C466:E466"/>
    <mergeCell ref="A467:G467"/>
    <mergeCell ref="A468:B468"/>
    <mergeCell ref="G468:G469"/>
    <mergeCell ref="A469:B469"/>
    <mergeCell ref="A459:G459"/>
    <mergeCell ref="A460:F460"/>
    <mergeCell ref="A462:B465"/>
    <mergeCell ref="C462:G463"/>
    <mergeCell ref="C464:G464"/>
    <mergeCell ref="C465:E465"/>
    <mergeCell ref="A451:G451"/>
    <mergeCell ref="A452:B452"/>
    <mergeCell ref="G452:G453"/>
    <mergeCell ref="A453:B453"/>
    <mergeCell ref="A455:G455"/>
    <mergeCell ref="A456:B456"/>
    <mergeCell ref="G456:G457"/>
    <mergeCell ref="A457:B457"/>
    <mergeCell ref="A483:G483"/>
    <mergeCell ref="A484:F484"/>
    <mergeCell ref="A486:B489"/>
    <mergeCell ref="C486:G487"/>
    <mergeCell ref="C488:G488"/>
    <mergeCell ref="C489:E489"/>
    <mergeCell ref="A475:G475"/>
    <mergeCell ref="A476:B476"/>
    <mergeCell ref="G476:G477"/>
    <mergeCell ref="A477:B477"/>
    <mergeCell ref="A479:G479"/>
    <mergeCell ref="A480:B480"/>
    <mergeCell ref="G480:G481"/>
    <mergeCell ref="A481:B481"/>
    <mergeCell ref="A470:B470"/>
    <mergeCell ref="A471:G471"/>
    <mergeCell ref="A472:B472"/>
    <mergeCell ref="G472:G473"/>
    <mergeCell ref="A473:B473"/>
    <mergeCell ref="A474:B474"/>
    <mergeCell ref="A503:B503"/>
    <mergeCell ref="A504:G504"/>
    <mergeCell ref="A505:B505"/>
    <mergeCell ref="G505:G506"/>
    <mergeCell ref="A506:B506"/>
    <mergeCell ref="A508:G508"/>
    <mergeCell ref="A494:B494"/>
    <mergeCell ref="A495:G495"/>
    <mergeCell ref="A496:B496"/>
    <mergeCell ref="G496:G502"/>
    <mergeCell ref="A497:B497"/>
    <mergeCell ref="A498:B498"/>
    <mergeCell ref="A499:B499"/>
    <mergeCell ref="A500:B500"/>
    <mergeCell ref="A501:B501"/>
    <mergeCell ref="A502:B502"/>
    <mergeCell ref="A490:B490"/>
    <mergeCell ref="C490:E490"/>
    <mergeCell ref="A491:G491"/>
    <mergeCell ref="A492:B492"/>
    <mergeCell ref="G492:G493"/>
    <mergeCell ref="A493:B493"/>
    <mergeCell ref="A523:B523"/>
    <mergeCell ref="A524:G524"/>
    <mergeCell ref="A525:B525"/>
    <mergeCell ref="G525:G533"/>
    <mergeCell ref="A526:B526"/>
    <mergeCell ref="A527:B527"/>
    <mergeCell ref="A528:B528"/>
    <mergeCell ref="A529:B529"/>
    <mergeCell ref="A530:B530"/>
    <mergeCell ref="A531:B531"/>
    <mergeCell ref="A519:B519"/>
    <mergeCell ref="C519:E519"/>
    <mergeCell ref="A520:G520"/>
    <mergeCell ref="A521:B521"/>
    <mergeCell ref="G521:G522"/>
    <mergeCell ref="A522:B522"/>
    <mergeCell ref="A509:B509"/>
    <mergeCell ref="G509:G510"/>
    <mergeCell ref="A510:B510"/>
    <mergeCell ref="A512:G512"/>
    <mergeCell ref="A513:F513"/>
    <mergeCell ref="A515:B518"/>
    <mergeCell ref="C515:G516"/>
    <mergeCell ref="C517:G517"/>
    <mergeCell ref="C518:E518"/>
    <mergeCell ref="A546:B549"/>
    <mergeCell ref="C546:G547"/>
    <mergeCell ref="C548:G548"/>
    <mergeCell ref="C549:E549"/>
    <mergeCell ref="A550:B550"/>
    <mergeCell ref="C550:E550"/>
    <mergeCell ref="A539:G539"/>
    <mergeCell ref="A540:B540"/>
    <mergeCell ref="G540:G541"/>
    <mergeCell ref="A541:B541"/>
    <mergeCell ref="A543:G543"/>
    <mergeCell ref="A544:F544"/>
    <mergeCell ref="A532:B532"/>
    <mergeCell ref="A533:B533"/>
    <mergeCell ref="A534:B534"/>
    <mergeCell ref="A535:G535"/>
    <mergeCell ref="A536:B536"/>
    <mergeCell ref="G536:G537"/>
    <mergeCell ref="A537:B537"/>
    <mergeCell ref="A571:B571"/>
    <mergeCell ref="A563:B563"/>
    <mergeCell ref="A564:B564"/>
    <mergeCell ref="A567:B567"/>
    <mergeCell ref="A556:B556"/>
    <mergeCell ref="A557:B557"/>
    <mergeCell ref="A558:B558"/>
    <mergeCell ref="A559:B559"/>
    <mergeCell ref="A560:B560"/>
    <mergeCell ref="A561:B561"/>
    <mergeCell ref="A562:B562"/>
    <mergeCell ref="A551:G551"/>
    <mergeCell ref="A552:B552"/>
    <mergeCell ref="G552:G553"/>
    <mergeCell ref="A553:B553"/>
    <mergeCell ref="A554:B554"/>
    <mergeCell ref="A555:G555"/>
    <mergeCell ref="G556:G564"/>
    <mergeCell ref="A565:B565"/>
    <mergeCell ref="A566:G566"/>
    <mergeCell ref="G567:G568"/>
    <mergeCell ref="A568:B568"/>
    <mergeCell ref="A570:G570"/>
    <mergeCell ref="G571:G572"/>
    <mergeCell ref="A572:B572"/>
    <mergeCell ref="A582:G582"/>
    <mergeCell ref="A583:B583"/>
    <mergeCell ref="G583:G584"/>
    <mergeCell ref="A584:B584"/>
    <mergeCell ref="A585:B585"/>
    <mergeCell ref="A586:G586"/>
    <mergeCell ref="G587:G593"/>
    <mergeCell ref="A595:G595"/>
    <mergeCell ref="G596:G597"/>
    <mergeCell ref="A599:G599"/>
    <mergeCell ref="A600:B600"/>
    <mergeCell ref="A577:B580"/>
    <mergeCell ref="C577:G578"/>
    <mergeCell ref="C579:G579"/>
    <mergeCell ref="C580:E580"/>
    <mergeCell ref="A581:B581"/>
    <mergeCell ref="C581:E581"/>
    <mergeCell ref="A603:G603"/>
    <mergeCell ref="A604:F604"/>
    <mergeCell ref="A606:B609"/>
    <mergeCell ref="C606:G607"/>
    <mergeCell ref="C608:G608"/>
    <mergeCell ref="C609:E609"/>
    <mergeCell ref="A601:B601"/>
    <mergeCell ref="G600:G601"/>
    <mergeCell ref="A596:B596"/>
    <mergeCell ref="A597:B597"/>
    <mergeCell ref="A587:B587"/>
    <mergeCell ref="A588:B588"/>
    <mergeCell ref="A589:B589"/>
    <mergeCell ref="A590:B590"/>
    <mergeCell ref="A591:B591"/>
    <mergeCell ref="A592:B592"/>
    <mergeCell ref="A593:B593"/>
    <mergeCell ref="A594:B594"/>
    <mergeCell ref="A623:B623"/>
    <mergeCell ref="A624:G624"/>
    <mergeCell ref="A625:B625"/>
    <mergeCell ref="G625:G626"/>
    <mergeCell ref="A626:B626"/>
    <mergeCell ref="A628:G628"/>
    <mergeCell ref="A614:B614"/>
    <mergeCell ref="A615:G615"/>
    <mergeCell ref="A616:B616"/>
    <mergeCell ref="G616:G622"/>
    <mergeCell ref="A617:B617"/>
    <mergeCell ref="A618:B618"/>
    <mergeCell ref="A619:B619"/>
    <mergeCell ref="A620:B620"/>
    <mergeCell ref="A621:B621"/>
    <mergeCell ref="A622:B622"/>
    <mergeCell ref="A610:B610"/>
    <mergeCell ref="C610:E610"/>
    <mergeCell ref="A611:G611"/>
    <mergeCell ref="A612:B612"/>
    <mergeCell ref="G612:G613"/>
    <mergeCell ref="A613:B613"/>
    <mergeCell ref="A639:B639"/>
    <mergeCell ref="C639:E639"/>
    <mergeCell ref="A640:G640"/>
    <mergeCell ref="A641:B641"/>
    <mergeCell ref="G641:G642"/>
    <mergeCell ref="A642:B642"/>
    <mergeCell ref="G645:G651"/>
    <mergeCell ref="A653:G653"/>
    <mergeCell ref="G654:G655"/>
    <mergeCell ref="A657:G657"/>
    <mergeCell ref="A629:B629"/>
    <mergeCell ref="G629:G630"/>
    <mergeCell ref="A630:B630"/>
    <mergeCell ref="A632:G632"/>
    <mergeCell ref="A633:F633"/>
    <mergeCell ref="A635:B638"/>
    <mergeCell ref="C635:G636"/>
    <mergeCell ref="C637:G637"/>
    <mergeCell ref="C638:E638"/>
    <mergeCell ref="A664:B667"/>
    <mergeCell ref="C664:G665"/>
    <mergeCell ref="C666:G666"/>
    <mergeCell ref="C667:E667"/>
    <mergeCell ref="A658:B658"/>
    <mergeCell ref="G658:G659"/>
    <mergeCell ref="A659:B659"/>
    <mergeCell ref="A661:G661"/>
    <mergeCell ref="A662:F662"/>
    <mergeCell ref="A652:B652"/>
    <mergeCell ref="A654:B654"/>
    <mergeCell ref="A655:B655"/>
    <mergeCell ref="A643:B643"/>
    <mergeCell ref="A644:G644"/>
    <mergeCell ref="A645:B645"/>
    <mergeCell ref="A646:B646"/>
    <mergeCell ref="A647:B647"/>
    <mergeCell ref="A648:B648"/>
    <mergeCell ref="A649:B649"/>
    <mergeCell ref="A650:B650"/>
    <mergeCell ref="A651:B651"/>
    <mergeCell ref="A681:B681"/>
    <mergeCell ref="A682:B682"/>
    <mergeCell ref="A683:B683"/>
    <mergeCell ref="A684:B684"/>
    <mergeCell ref="A685:B685"/>
    <mergeCell ref="A686:G686"/>
    <mergeCell ref="A672:B672"/>
    <mergeCell ref="A673:G673"/>
    <mergeCell ref="A674:B674"/>
    <mergeCell ref="G674:G684"/>
    <mergeCell ref="A675:B675"/>
    <mergeCell ref="A676:B676"/>
    <mergeCell ref="A677:B677"/>
    <mergeCell ref="A678:B678"/>
    <mergeCell ref="A679:B679"/>
    <mergeCell ref="A680:B680"/>
    <mergeCell ref="A668:B668"/>
    <mergeCell ref="C668:E668"/>
    <mergeCell ref="A669:G669"/>
    <mergeCell ref="A670:B670"/>
    <mergeCell ref="G670:G671"/>
    <mergeCell ref="A671:B671"/>
    <mergeCell ref="A701:B701"/>
    <mergeCell ref="C701:E701"/>
    <mergeCell ref="A702:G702"/>
    <mergeCell ref="A703:B703"/>
    <mergeCell ref="G703:G704"/>
    <mergeCell ref="A704:B704"/>
    <mergeCell ref="A694:G694"/>
    <mergeCell ref="A695:F695"/>
    <mergeCell ref="A697:B700"/>
    <mergeCell ref="C697:G698"/>
    <mergeCell ref="C699:G699"/>
    <mergeCell ref="C700:E700"/>
    <mergeCell ref="A687:B687"/>
    <mergeCell ref="G687:G688"/>
    <mergeCell ref="A688:B688"/>
    <mergeCell ref="A690:G690"/>
    <mergeCell ref="A691:B691"/>
    <mergeCell ref="G691:G692"/>
    <mergeCell ref="A720:B720"/>
    <mergeCell ref="G720:G721"/>
    <mergeCell ref="A721:B721"/>
    <mergeCell ref="A723:G723"/>
    <mergeCell ref="A724:F724"/>
    <mergeCell ref="A726:B729"/>
    <mergeCell ref="C726:G727"/>
    <mergeCell ref="C728:G728"/>
    <mergeCell ref="C729:E729"/>
    <mergeCell ref="A714:B714"/>
    <mergeCell ref="A715:G715"/>
    <mergeCell ref="A716:B716"/>
    <mergeCell ref="G716:G717"/>
    <mergeCell ref="A717:B717"/>
    <mergeCell ref="A719:G719"/>
    <mergeCell ref="A713:B713"/>
    <mergeCell ref="A705:B705"/>
    <mergeCell ref="A706:G706"/>
    <mergeCell ref="A707:B707"/>
    <mergeCell ref="G707:G713"/>
    <mergeCell ref="A708:B708"/>
    <mergeCell ref="A709:B709"/>
    <mergeCell ref="A710:B710"/>
    <mergeCell ref="A711:B711"/>
    <mergeCell ref="A712:B712"/>
    <mergeCell ref="A748:G748"/>
    <mergeCell ref="A749:B749"/>
    <mergeCell ref="G749:G750"/>
    <mergeCell ref="A750:B750"/>
    <mergeCell ref="A752:G752"/>
    <mergeCell ref="A753:F753"/>
    <mergeCell ref="A741:B741"/>
    <mergeCell ref="A743:B743"/>
    <mergeCell ref="A734:B734"/>
    <mergeCell ref="A735:G735"/>
    <mergeCell ref="A736:B736"/>
    <mergeCell ref="A737:B737"/>
    <mergeCell ref="A738:B738"/>
    <mergeCell ref="A739:B739"/>
    <mergeCell ref="A740:B740"/>
    <mergeCell ref="A730:B730"/>
    <mergeCell ref="C730:E730"/>
    <mergeCell ref="A731:G731"/>
    <mergeCell ref="A732:B732"/>
    <mergeCell ref="G732:G733"/>
    <mergeCell ref="A733:B733"/>
    <mergeCell ref="G736:G742"/>
    <mergeCell ref="A742:B742"/>
    <mergeCell ref="A744:G744"/>
    <mergeCell ref="A745:B745"/>
    <mergeCell ref="G745:G746"/>
    <mergeCell ref="A746:B746"/>
    <mergeCell ref="A763:B763"/>
    <mergeCell ref="A764:G764"/>
    <mergeCell ref="A765:B765"/>
    <mergeCell ref="G765:G770"/>
    <mergeCell ref="A766:B766"/>
    <mergeCell ref="A767:B767"/>
    <mergeCell ref="A768:B768"/>
    <mergeCell ref="A769:B769"/>
    <mergeCell ref="A770:B770"/>
    <mergeCell ref="A759:B759"/>
    <mergeCell ref="C759:E759"/>
    <mergeCell ref="A760:G760"/>
    <mergeCell ref="A761:B761"/>
    <mergeCell ref="G761:G762"/>
    <mergeCell ref="A762:B762"/>
    <mergeCell ref="A755:B758"/>
    <mergeCell ref="C755:G756"/>
    <mergeCell ref="C757:G757"/>
    <mergeCell ref="C758:E758"/>
    <mergeCell ref="A787:B787"/>
    <mergeCell ref="C787:E787"/>
    <mergeCell ref="A788:G788"/>
    <mergeCell ref="A789:B789"/>
    <mergeCell ref="G789:G790"/>
    <mergeCell ref="A790:B790"/>
    <mergeCell ref="A777:B777"/>
    <mergeCell ref="G777:G778"/>
    <mergeCell ref="A778:B778"/>
    <mergeCell ref="A780:G780"/>
    <mergeCell ref="A781:F781"/>
    <mergeCell ref="A783:B786"/>
    <mergeCell ref="C783:G784"/>
    <mergeCell ref="C785:G785"/>
    <mergeCell ref="C786:E786"/>
    <mergeCell ref="A771:B771"/>
    <mergeCell ref="A772:G772"/>
    <mergeCell ref="A773:B773"/>
    <mergeCell ref="G773:G774"/>
    <mergeCell ref="A774:B774"/>
    <mergeCell ref="A776:G776"/>
    <mergeCell ref="A805:B805"/>
    <mergeCell ref="G805:G806"/>
    <mergeCell ref="A806:B806"/>
    <mergeCell ref="A808:G808"/>
    <mergeCell ref="A809:F809"/>
    <mergeCell ref="A811:B814"/>
    <mergeCell ref="C811:G812"/>
    <mergeCell ref="C813:G813"/>
    <mergeCell ref="C814:E814"/>
    <mergeCell ref="A799:B799"/>
    <mergeCell ref="A800:G800"/>
    <mergeCell ref="A801:B801"/>
    <mergeCell ref="G801:G802"/>
    <mergeCell ref="A802:B802"/>
    <mergeCell ref="A804:G804"/>
    <mergeCell ref="A791:B791"/>
    <mergeCell ref="A792:G792"/>
    <mergeCell ref="A793:B793"/>
    <mergeCell ref="G793:G798"/>
    <mergeCell ref="A794:B794"/>
    <mergeCell ref="A795:B795"/>
    <mergeCell ref="A796:B796"/>
    <mergeCell ref="A797:B797"/>
    <mergeCell ref="A798:B798"/>
    <mergeCell ref="A827:B827"/>
    <mergeCell ref="A828:G828"/>
    <mergeCell ref="A829:B829"/>
    <mergeCell ref="G829:G830"/>
    <mergeCell ref="A830:B830"/>
    <mergeCell ref="A832:G832"/>
    <mergeCell ref="A819:B819"/>
    <mergeCell ref="A820:G820"/>
    <mergeCell ref="A821:B821"/>
    <mergeCell ref="G821:G826"/>
    <mergeCell ref="A822:B822"/>
    <mergeCell ref="A823:B823"/>
    <mergeCell ref="A824:B824"/>
    <mergeCell ref="A825:B825"/>
    <mergeCell ref="A826:B826"/>
    <mergeCell ref="A815:B815"/>
    <mergeCell ref="C815:E815"/>
    <mergeCell ref="A816:G816"/>
    <mergeCell ref="A817:B817"/>
    <mergeCell ref="G817:G818"/>
    <mergeCell ref="A818:B818"/>
    <mergeCell ref="A847:B847"/>
    <mergeCell ref="A848:G848"/>
    <mergeCell ref="A849:B849"/>
    <mergeCell ref="G849:G855"/>
    <mergeCell ref="A850:B850"/>
    <mergeCell ref="A851:B851"/>
    <mergeCell ref="A852:B852"/>
    <mergeCell ref="A853:B853"/>
    <mergeCell ref="A854:B854"/>
    <mergeCell ref="A855:B855"/>
    <mergeCell ref="A843:B843"/>
    <mergeCell ref="C843:E843"/>
    <mergeCell ref="A844:G844"/>
    <mergeCell ref="A845:B845"/>
    <mergeCell ref="G845:G846"/>
    <mergeCell ref="A846:B846"/>
    <mergeCell ref="A833:B833"/>
    <mergeCell ref="G833:G834"/>
    <mergeCell ref="A834:B834"/>
    <mergeCell ref="A836:G836"/>
    <mergeCell ref="A837:F837"/>
    <mergeCell ref="A839:B842"/>
    <mergeCell ref="C839:G840"/>
    <mergeCell ref="C841:G841"/>
    <mergeCell ref="C842:E842"/>
    <mergeCell ref="A872:B872"/>
    <mergeCell ref="C872:E872"/>
    <mergeCell ref="A873:G873"/>
    <mergeCell ref="A874:B874"/>
    <mergeCell ref="G874:G875"/>
    <mergeCell ref="A875:B875"/>
    <mergeCell ref="A862:B862"/>
    <mergeCell ref="G862:G863"/>
    <mergeCell ref="A863:B863"/>
    <mergeCell ref="A865:G865"/>
    <mergeCell ref="A866:F866"/>
    <mergeCell ref="A868:B871"/>
    <mergeCell ref="C868:G869"/>
    <mergeCell ref="C870:G870"/>
    <mergeCell ref="C871:E871"/>
    <mergeCell ref="A856:B856"/>
    <mergeCell ref="A857:G857"/>
    <mergeCell ref="A858:B858"/>
    <mergeCell ref="G858:G859"/>
    <mergeCell ref="A859:B859"/>
    <mergeCell ref="A861:G861"/>
    <mergeCell ref="A891:B891"/>
    <mergeCell ref="G891:G892"/>
    <mergeCell ref="A892:B892"/>
    <mergeCell ref="A894:G894"/>
    <mergeCell ref="A895:F895"/>
    <mergeCell ref="A897:B900"/>
    <mergeCell ref="C897:G898"/>
    <mergeCell ref="C899:G899"/>
    <mergeCell ref="C900:E900"/>
    <mergeCell ref="A885:B885"/>
    <mergeCell ref="A886:G886"/>
    <mergeCell ref="A887:B887"/>
    <mergeCell ref="G887:G888"/>
    <mergeCell ref="A888:B888"/>
    <mergeCell ref="A890:G890"/>
    <mergeCell ref="A876:B876"/>
    <mergeCell ref="A877:G877"/>
    <mergeCell ref="A878:B878"/>
    <mergeCell ref="G878:G884"/>
    <mergeCell ref="A879:B879"/>
    <mergeCell ref="A880:B880"/>
    <mergeCell ref="A881:B881"/>
    <mergeCell ref="A882:B882"/>
    <mergeCell ref="A883:B883"/>
    <mergeCell ref="A884:B884"/>
    <mergeCell ref="A910:B910"/>
    <mergeCell ref="A911:G911"/>
    <mergeCell ref="A912:B912"/>
    <mergeCell ref="G912:G913"/>
    <mergeCell ref="A913:B913"/>
    <mergeCell ref="A915:G915"/>
    <mergeCell ref="A905:B905"/>
    <mergeCell ref="A906:G906"/>
    <mergeCell ref="A907:B907"/>
    <mergeCell ref="G907:G909"/>
    <mergeCell ref="A908:B908"/>
    <mergeCell ref="A909:B909"/>
    <mergeCell ref="A901:B901"/>
    <mergeCell ref="C901:E901"/>
    <mergeCell ref="A902:G902"/>
    <mergeCell ref="A903:B903"/>
    <mergeCell ref="G903:G904"/>
    <mergeCell ref="A904:B904"/>
    <mergeCell ref="A930:B930"/>
    <mergeCell ref="A931:G931"/>
    <mergeCell ref="A932:B932"/>
    <mergeCell ref="G932:G934"/>
    <mergeCell ref="A933:B933"/>
    <mergeCell ref="A934:B934"/>
    <mergeCell ref="A926:B926"/>
    <mergeCell ref="C926:E926"/>
    <mergeCell ref="A927:G927"/>
    <mergeCell ref="A928:B928"/>
    <mergeCell ref="G928:G929"/>
    <mergeCell ref="A929:B929"/>
    <mergeCell ref="A916:B916"/>
    <mergeCell ref="G916:G917"/>
    <mergeCell ref="A917:B917"/>
    <mergeCell ref="A919:G919"/>
    <mergeCell ref="A920:F920"/>
    <mergeCell ref="A922:B925"/>
    <mergeCell ref="C922:G923"/>
    <mergeCell ref="C924:G924"/>
    <mergeCell ref="C925:E925"/>
    <mergeCell ref="A951:B951"/>
    <mergeCell ref="C951:E951"/>
    <mergeCell ref="A952:G952"/>
    <mergeCell ref="A953:B953"/>
    <mergeCell ref="G953:G954"/>
    <mergeCell ref="A954:B954"/>
    <mergeCell ref="G941:G942"/>
    <mergeCell ref="A942:B942"/>
    <mergeCell ref="A944:G944"/>
    <mergeCell ref="A945:F945"/>
    <mergeCell ref="A947:B950"/>
    <mergeCell ref="C947:G948"/>
    <mergeCell ref="C949:G949"/>
    <mergeCell ref="C950:E950"/>
    <mergeCell ref="A935:B935"/>
    <mergeCell ref="A936:G936"/>
    <mergeCell ref="A937:B937"/>
    <mergeCell ref="G937:G938"/>
    <mergeCell ref="A938:B938"/>
    <mergeCell ref="A940:G940"/>
    <mergeCell ref="A966:B966"/>
    <mergeCell ref="G966:G967"/>
    <mergeCell ref="A967:B967"/>
    <mergeCell ref="A969:G969"/>
    <mergeCell ref="A970:F970"/>
    <mergeCell ref="A972:B975"/>
    <mergeCell ref="C972:G973"/>
    <mergeCell ref="C974:G974"/>
    <mergeCell ref="C975:E975"/>
    <mergeCell ref="A960:B960"/>
    <mergeCell ref="A961:G961"/>
    <mergeCell ref="A962:B962"/>
    <mergeCell ref="G962:G963"/>
    <mergeCell ref="A963:B963"/>
    <mergeCell ref="A965:G965"/>
    <mergeCell ref="A955:B955"/>
    <mergeCell ref="A956:G956"/>
    <mergeCell ref="A957:B957"/>
    <mergeCell ref="G957:G959"/>
    <mergeCell ref="A958:B958"/>
    <mergeCell ref="A959:B959"/>
    <mergeCell ref="A985:B985"/>
    <mergeCell ref="A986:B986"/>
    <mergeCell ref="A987:B987"/>
    <mergeCell ref="A988:B988"/>
    <mergeCell ref="A989:G989"/>
    <mergeCell ref="A990:B990"/>
    <mergeCell ref="G990:G991"/>
    <mergeCell ref="A991:B991"/>
    <mergeCell ref="A980:B980"/>
    <mergeCell ref="A981:G981"/>
    <mergeCell ref="A982:B982"/>
    <mergeCell ref="G982:G984"/>
    <mergeCell ref="A983:B983"/>
    <mergeCell ref="A984:B984"/>
    <mergeCell ref="A976:B976"/>
    <mergeCell ref="C976:E976"/>
    <mergeCell ref="A977:G977"/>
    <mergeCell ref="A978:B978"/>
    <mergeCell ref="G978:G979"/>
    <mergeCell ref="A979:B979"/>
    <mergeCell ref="A1005:G1005"/>
    <mergeCell ref="A1006:B1006"/>
    <mergeCell ref="G1006:G1007"/>
    <mergeCell ref="A1007:B1007"/>
    <mergeCell ref="A1008:B1008"/>
    <mergeCell ref="A1009:G1009"/>
    <mergeCell ref="A1000:B1003"/>
    <mergeCell ref="C1000:G1001"/>
    <mergeCell ref="C1002:G1002"/>
    <mergeCell ref="C1003:E1003"/>
    <mergeCell ref="A1004:B1004"/>
    <mergeCell ref="C1004:E1004"/>
    <mergeCell ref="A993:G993"/>
    <mergeCell ref="A994:B994"/>
    <mergeCell ref="G994:G995"/>
    <mergeCell ref="A995:B995"/>
    <mergeCell ref="A997:G997"/>
    <mergeCell ref="A998:F998"/>
    <mergeCell ref="A1021:G1021"/>
    <mergeCell ref="A1022:B1022"/>
    <mergeCell ref="G1022:G1023"/>
    <mergeCell ref="A1023:B1023"/>
    <mergeCell ref="A1025:G1025"/>
    <mergeCell ref="A1026:F1026"/>
    <mergeCell ref="A1015:B1015"/>
    <mergeCell ref="A1016:B1016"/>
    <mergeCell ref="A1017:G1017"/>
    <mergeCell ref="A1018:B1018"/>
    <mergeCell ref="G1018:G1019"/>
    <mergeCell ref="A1019:B1019"/>
    <mergeCell ref="A1010:B1010"/>
    <mergeCell ref="G1010:G1012"/>
    <mergeCell ref="A1011:B1011"/>
    <mergeCell ref="A1012:B1012"/>
    <mergeCell ref="A1013:B1013"/>
    <mergeCell ref="A1014:B1014"/>
    <mergeCell ref="A1038:B1038"/>
    <mergeCell ref="G1038:G1039"/>
    <mergeCell ref="A1039:B1039"/>
    <mergeCell ref="A1040:B1040"/>
    <mergeCell ref="A1041:G1041"/>
    <mergeCell ref="A1042:B1042"/>
    <mergeCell ref="G1042:G1043"/>
    <mergeCell ref="A1043:B1043"/>
    <mergeCell ref="A1033:G1033"/>
    <mergeCell ref="A1034:B1034"/>
    <mergeCell ref="G1034:G1035"/>
    <mergeCell ref="A1035:B1035"/>
    <mergeCell ref="A1036:B1036"/>
    <mergeCell ref="A1037:G1037"/>
    <mergeCell ref="A1028:B1031"/>
    <mergeCell ref="C1028:G1029"/>
    <mergeCell ref="C1030:G1030"/>
    <mergeCell ref="C1031:E1031"/>
    <mergeCell ref="A1032:B1032"/>
    <mergeCell ref="C1032:E1032"/>
    <mergeCell ref="A1057:G1057"/>
    <mergeCell ref="A1058:B1058"/>
    <mergeCell ref="G1058:G1059"/>
    <mergeCell ref="A1059:B1059"/>
    <mergeCell ref="A1060:B1060"/>
    <mergeCell ref="A1061:G1061"/>
    <mergeCell ref="A1052:B1055"/>
    <mergeCell ref="C1052:G1053"/>
    <mergeCell ref="C1054:G1054"/>
    <mergeCell ref="C1055:E1055"/>
    <mergeCell ref="A1056:B1056"/>
    <mergeCell ref="C1056:E1056"/>
    <mergeCell ref="A1045:G1045"/>
    <mergeCell ref="A1046:B1046"/>
    <mergeCell ref="G1046:G1047"/>
    <mergeCell ref="A1047:B1047"/>
    <mergeCell ref="A1049:G1049"/>
    <mergeCell ref="A1050:F1050"/>
    <mergeCell ref="A1076:B1079"/>
    <mergeCell ref="C1076:G1077"/>
    <mergeCell ref="C1078:G1078"/>
    <mergeCell ref="C1079:E1079"/>
    <mergeCell ref="A1080:B1080"/>
    <mergeCell ref="C1080:E1080"/>
    <mergeCell ref="A1069:G1069"/>
    <mergeCell ref="A1070:B1070"/>
    <mergeCell ref="G1070:G1071"/>
    <mergeCell ref="A1071:B1071"/>
    <mergeCell ref="A1073:G1073"/>
    <mergeCell ref="A1074:F1074"/>
    <mergeCell ref="A1062:B1062"/>
    <mergeCell ref="G1062:G1063"/>
    <mergeCell ref="A1063:B1063"/>
    <mergeCell ref="A1064:B1064"/>
    <mergeCell ref="A1065:G1065"/>
    <mergeCell ref="A1066:B1066"/>
    <mergeCell ref="G1066:G1067"/>
    <mergeCell ref="A1067:B1067"/>
    <mergeCell ref="A1091:B1091"/>
    <mergeCell ref="G1091:G1092"/>
    <mergeCell ref="A1092:B1092"/>
    <mergeCell ref="A1094:G1094"/>
    <mergeCell ref="A1095:B1095"/>
    <mergeCell ref="G1095:G1096"/>
    <mergeCell ref="A1096:B1096"/>
    <mergeCell ref="A1086:B1086"/>
    <mergeCell ref="G1086:G1088"/>
    <mergeCell ref="A1087:B1087"/>
    <mergeCell ref="A1088:B1088"/>
    <mergeCell ref="A1089:B1089"/>
    <mergeCell ref="A1090:G1090"/>
    <mergeCell ref="A1081:G1081"/>
    <mergeCell ref="A1082:B1082"/>
    <mergeCell ref="G1082:G1083"/>
    <mergeCell ref="A1083:B1083"/>
    <mergeCell ref="A1084:B1084"/>
    <mergeCell ref="A1085:G1085"/>
    <mergeCell ref="A1109:B1109"/>
    <mergeCell ref="A1110:G1110"/>
    <mergeCell ref="A1111:B1111"/>
    <mergeCell ref="G1111:G1113"/>
    <mergeCell ref="A1112:B1112"/>
    <mergeCell ref="A1113:B1113"/>
    <mergeCell ref="A1105:B1105"/>
    <mergeCell ref="C1105:E1105"/>
    <mergeCell ref="A1106:G1106"/>
    <mergeCell ref="A1107:B1107"/>
    <mergeCell ref="G1107:G1108"/>
    <mergeCell ref="A1108:B1108"/>
    <mergeCell ref="A1098:G1098"/>
    <mergeCell ref="A1099:F1099"/>
    <mergeCell ref="A1101:B1104"/>
    <mergeCell ref="C1101:G1102"/>
    <mergeCell ref="C1103:G1103"/>
    <mergeCell ref="C1104:E1104"/>
    <mergeCell ref="A1130:B1130"/>
    <mergeCell ref="C1130:E1130"/>
    <mergeCell ref="A1131:G1131"/>
    <mergeCell ref="A1132:B1132"/>
    <mergeCell ref="G1132:G1133"/>
    <mergeCell ref="A1133:B1133"/>
    <mergeCell ref="A1120:B1120"/>
    <mergeCell ref="G1120:G1121"/>
    <mergeCell ref="A1121:B1121"/>
    <mergeCell ref="A1123:G1123"/>
    <mergeCell ref="A1124:F1124"/>
    <mergeCell ref="A1126:B1129"/>
    <mergeCell ref="C1126:G1127"/>
    <mergeCell ref="C1128:G1128"/>
    <mergeCell ref="C1129:E1129"/>
    <mergeCell ref="A1114:B1114"/>
    <mergeCell ref="A1115:G1115"/>
    <mergeCell ref="A1116:B1116"/>
    <mergeCell ref="G1116:G1117"/>
    <mergeCell ref="A1117:B1117"/>
    <mergeCell ref="A1119:G1119"/>
    <mergeCell ref="A1147:G1147"/>
    <mergeCell ref="A1148:F1148"/>
    <mergeCell ref="A1150:B1153"/>
    <mergeCell ref="C1150:G1151"/>
    <mergeCell ref="C1152:G1152"/>
    <mergeCell ref="C1153:E1153"/>
    <mergeCell ref="A1139:G1139"/>
    <mergeCell ref="A1140:B1140"/>
    <mergeCell ref="G1140:G1141"/>
    <mergeCell ref="A1141:B1141"/>
    <mergeCell ref="A1143:G1143"/>
    <mergeCell ref="A1144:B1144"/>
    <mergeCell ref="G1144:G1145"/>
    <mergeCell ref="A1145:B1145"/>
    <mergeCell ref="A1134:B1134"/>
    <mergeCell ref="A1135:G1135"/>
    <mergeCell ref="A1136:B1136"/>
    <mergeCell ref="G1136:G1137"/>
    <mergeCell ref="A1137:B1137"/>
    <mergeCell ref="A1138:B1138"/>
    <mergeCell ref="A1163:G1163"/>
    <mergeCell ref="A1164:B1164"/>
    <mergeCell ref="G1164:G1165"/>
    <mergeCell ref="A1165:B1165"/>
    <mergeCell ref="A1167:G1167"/>
    <mergeCell ref="A1168:B1168"/>
    <mergeCell ref="G1168:G1169"/>
    <mergeCell ref="A1169:B1169"/>
    <mergeCell ref="A1158:B1158"/>
    <mergeCell ref="A1159:G1159"/>
    <mergeCell ref="A1160:B1160"/>
    <mergeCell ref="G1160:G1161"/>
    <mergeCell ref="A1161:B1161"/>
    <mergeCell ref="A1162:B1162"/>
    <mergeCell ref="A1154:B1154"/>
    <mergeCell ref="C1154:E1154"/>
    <mergeCell ref="A1155:G1155"/>
    <mergeCell ref="A1156:B1156"/>
    <mergeCell ref="G1156:G1157"/>
    <mergeCell ref="A1157:B1157"/>
    <mergeCell ref="A1182:B1182"/>
    <mergeCell ref="A1183:G1183"/>
    <mergeCell ref="A1184:B1184"/>
    <mergeCell ref="G1184:G1185"/>
    <mergeCell ref="A1185:B1185"/>
    <mergeCell ref="A1186:B1186"/>
    <mergeCell ref="A1178:B1178"/>
    <mergeCell ref="C1178:E1178"/>
    <mergeCell ref="A1179:G1179"/>
    <mergeCell ref="A1180:B1180"/>
    <mergeCell ref="G1180:G1181"/>
    <mergeCell ref="A1181:B1181"/>
    <mergeCell ref="A1171:G1171"/>
    <mergeCell ref="A1172:F1172"/>
    <mergeCell ref="A1174:B1177"/>
    <mergeCell ref="C1174:G1175"/>
    <mergeCell ref="C1176:G1176"/>
    <mergeCell ref="C1177:E1177"/>
    <mergeCell ref="A1202:B1202"/>
    <mergeCell ref="C1202:E1202"/>
    <mergeCell ref="A1203:G1203"/>
    <mergeCell ref="A1204:B1204"/>
    <mergeCell ref="G1204:G1205"/>
    <mergeCell ref="A1205:B1205"/>
    <mergeCell ref="A1195:G1195"/>
    <mergeCell ref="A1196:F1196"/>
    <mergeCell ref="A1198:B1201"/>
    <mergeCell ref="C1198:G1199"/>
    <mergeCell ref="C1200:G1200"/>
    <mergeCell ref="C1201:E1201"/>
    <mergeCell ref="A1187:G1187"/>
    <mergeCell ref="A1188:B1188"/>
    <mergeCell ref="G1188:G1189"/>
    <mergeCell ref="A1189:B1189"/>
    <mergeCell ref="A1191:G1191"/>
    <mergeCell ref="A1192:B1192"/>
    <mergeCell ref="G1192:G1193"/>
    <mergeCell ref="A1193:B1193"/>
    <mergeCell ref="A1221:B1221"/>
    <mergeCell ref="G1221:G1222"/>
    <mergeCell ref="A1222:B1222"/>
    <mergeCell ref="A1224:G1224"/>
    <mergeCell ref="A1225:F1225"/>
    <mergeCell ref="A1227:B1230"/>
    <mergeCell ref="C1227:G1228"/>
    <mergeCell ref="C1229:G1229"/>
    <mergeCell ref="C1230:E1230"/>
    <mergeCell ref="A1215:B1215"/>
    <mergeCell ref="A1216:G1216"/>
    <mergeCell ref="A1217:B1217"/>
    <mergeCell ref="G1217:G1218"/>
    <mergeCell ref="A1218:B1218"/>
    <mergeCell ref="A1220:G1220"/>
    <mergeCell ref="A1206:B1206"/>
    <mergeCell ref="A1207:G1207"/>
    <mergeCell ref="A1208:B1208"/>
    <mergeCell ref="G1208:G1214"/>
    <mergeCell ref="A1209:B1209"/>
    <mergeCell ref="A1210:B1210"/>
    <mergeCell ref="A1211:B1211"/>
    <mergeCell ref="A1212:B1212"/>
    <mergeCell ref="A1213:B1213"/>
    <mergeCell ref="A1214:B1214"/>
    <mergeCell ref="A1244:B1244"/>
    <mergeCell ref="A1245:G1245"/>
    <mergeCell ref="A1246:B1246"/>
    <mergeCell ref="G1246:G1247"/>
    <mergeCell ref="A1247:B1247"/>
    <mergeCell ref="A1249:G1249"/>
    <mergeCell ref="A1235:B1235"/>
    <mergeCell ref="A1236:G1236"/>
    <mergeCell ref="A1237:B1237"/>
    <mergeCell ref="G1237:G1243"/>
    <mergeCell ref="A1238:B1238"/>
    <mergeCell ref="A1239:B1239"/>
    <mergeCell ref="A1240:B1240"/>
    <mergeCell ref="A1241:B1241"/>
    <mergeCell ref="A1242:B1242"/>
    <mergeCell ref="A1243:B1243"/>
    <mergeCell ref="A1231:B1231"/>
    <mergeCell ref="C1231:E1231"/>
    <mergeCell ref="A1232:G1232"/>
    <mergeCell ref="A1233:B1233"/>
    <mergeCell ref="G1233:G1234"/>
    <mergeCell ref="A1234:B1234"/>
    <mergeCell ref="A1264:B1264"/>
    <mergeCell ref="A1265:G1265"/>
    <mergeCell ref="A1266:B1266"/>
    <mergeCell ref="G1266:G1268"/>
    <mergeCell ref="A1267:B1267"/>
    <mergeCell ref="A1268:B1268"/>
    <mergeCell ref="A1260:B1260"/>
    <mergeCell ref="C1260:E1260"/>
    <mergeCell ref="A1261:G1261"/>
    <mergeCell ref="A1262:B1262"/>
    <mergeCell ref="G1262:G1263"/>
    <mergeCell ref="A1263:B1263"/>
    <mergeCell ref="A1250:B1250"/>
    <mergeCell ref="G1250:G1251"/>
    <mergeCell ref="A1251:B1251"/>
    <mergeCell ref="A1253:G1253"/>
    <mergeCell ref="A1254:F1254"/>
    <mergeCell ref="A1256:B1259"/>
    <mergeCell ref="C1256:G1257"/>
    <mergeCell ref="C1258:G1258"/>
    <mergeCell ref="C1259:E1259"/>
    <mergeCell ref="A1285:B1285"/>
    <mergeCell ref="C1285:E1285"/>
    <mergeCell ref="A1286:G1286"/>
    <mergeCell ref="A1287:B1287"/>
    <mergeCell ref="G1287:G1288"/>
    <mergeCell ref="A1288:B1288"/>
    <mergeCell ref="A1275:B1275"/>
    <mergeCell ref="G1275:G1276"/>
    <mergeCell ref="A1276:B1276"/>
    <mergeCell ref="A1278:G1278"/>
    <mergeCell ref="A1279:F1279"/>
    <mergeCell ref="A1281:B1284"/>
    <mergeCell ref="C1281:G1282"/>
    <mergeCell ref="C1283:G1283"/>
    <mergeCell ref="C1284:E1284"/>
    <mergeCell ref="A1269:B1269"/>
    <mergeCell ref="A1270:G1270"/>
    <mergeCell ref="A1271:B1271"/>
    <mergeCell ref="G1271:G1272"/>
    <mergeCell ref="A1272:B1272"/>
    <mergeCell ref="A1274:G1274"/>
    <mergeCell ref="A1300:B1300"/>
    <mergeCell ref="G1300:G1301"/>
    <mergeCell ref="A1301:B1301"/>
    <mergeCell ref="A1303:G1303"/>
    <mergeCell ref="A1304:F1304"/>
    <mergeCell ref="A1306:B1309"/>
    <mergeCell ref="C1306:G1307"/>
    <mergeCell ref="C1308:G1308"/>
    <mergeCell ref="C1309:E1309"/>
    <mergeCell ref="A1294:B1294"/>
    <mergeCell ref="A1295:G1295"/>
    <mergeCell ref="A1296:B1296"/>
    <mergeCell ref="G1296:G1297"/>
    <mergeCell ref="A1297:B1297"/>
    <mergeCell ref="A1299:G1299"/>
    <mergeCell ref="A1289:B1289"/>
    <mergeCell ref="A1290:G1290"/>
    <mergeCell ref="A1291:B1291"/>
    <mergeCell ref="G1291:G1293"/>
    <mergeCell ref="A1292:B1292"/>
    <mergeCell ref="A1293:B1293"/>
    <mergeCell ref="A1314:B1314"/>
    <mergeCell ref="A1315:G1315"/>
    <mergeCell ref="A1316:B1316"/>
    <mergeCell ref="A1317:B1317"/>
    <mergeCell ref="A1318:B1318"/>
    <mergeCell ref="A1319:B1319"/>
    <mergeCell ref="A1320:B1320"/>
    <mergeCell ref="A1321:B1321"/>
    <mergeCell ref="A1322:B1322"/>
    <mergeCell ref="A1310:B1310"/>
    <mergeCell ref="C1310:E1310"/>
    <mergeCell ref="A1311:G1311"/>
    <mergeCell ref="A1312:B1312"/>
    <mergeCell ref="G1312:G1313"/>
    <mergeCell ref="A1313:B1313"/>
    <mergeCell ref="G1316:G1326"/>
    <mergeCell ref="A1328:G1328"/>
    <mergeCell ref="A1336:G1336"/>
    <mergeCell ref="A1337:F1337"/>
    <mergeCell ref="A1339:B1342"/>
    <mergeCell ref="C1339:G1340"/>
    <mergeCell ref="C1341:G1341"/>
    <mergeCell ref="C1342:E1342"/>
    <mergeCell ref="A1329:B1329"/>
    <mergeCell ref="G1329:G1330"/>
    <mergeCell ref="A1330:B1330"/>
    <mergeCell ref="A1332:G1332"/>
    <mergeCell ref="G1333:G1334"/>
    <mergeCell ref="A1334:B1334"/>
    <mergeCell ref="A1323:B1323"/>
    <mergeCell ref="A1324:B1324"/>
    <mergeCell ref="A1325:B1325"/>
    <mergeCell ref="A1326:B1326"/>
    <mergeCell ref="A1327:B1327"/>
    <mergeCell ref="A1359:B1359"/>
    <mergeCell ref="A1362:B1362"/>
    <mergeCell ref="A1353:B1353"/>
    <mergeCell ref="A1354:B1354"/>
    <mergeCell ref="A1355:B1355"/>
    <mergeCell ref="A1356:B1356"/>
    <mergeCell ref="A1357:B1357"/>
    <mergeCell ref="A1358:B1358"/>
    <mergeCell ref="A1347:B1347"/>
    <mergeCell ref="A1348:G1348"/>
    <mergeCell ref="A1349:B1349"/>
    <mergeCell ref="A1350:B1350"/>
    <mergeCell ref="A1351:B1351"/>
    <mergeCell ref="A1352:B1352"/>
    <mergeCell ref="A1343:B1343"/>
    <mergeCell ref="C1343:E1343"/>
    <mergeCell ref="A1344:G1344"/>
    <mergeCell ref="A1345:B1345"/>
    <mergeCell ref="G1345:G1346"/>
    <mergeCell ref="A1346:B1346"/>
    <mergeCell ref="A1379:B1379"/>
    <mergeCell ref="A1380:G1380"/>
    <mergeCell ref="A1381:B1381"/>
    <mergeCell ref="G1381:G1385"/>
    <mergeCell ref="A1382:B1382"/>
    <mergeCell ref="A1383:B1383"/>
    <mergeCell ref="A1384:B1384"/>
    <mergeCell ref="A1385:B1385"/>
    <mergeCell ref="A1375:B1375"/>
    <mergeCell ref="C1375:E1375"/>
    <mergeCell ref="A1376:G1376"/>
    <mergeCell ref="A1377:B1377"/>
    <mergeCell ref="G1377:G1378"/>
    <mergeCell ref="A1378:B1378"/>
    <mergeCell ref="A1366:B1366"/>
    <mergeCell ref="A1369:F1369"/>
    <mergeCell ref="A1371:B1374"/>
    <mergeCell ref="C1371:G1372"/>
    <mergeCell ref="C1373:G1373"/>
    <mergeCell ref="C1374:E1374"/>
    <mergeCell ref="A1402:B1402"/>
    <mergeCell ref="C1402:E1402"/>
    <mergeCell ref="A1403:G1403"/>
    <mergeCell ref="A1404:B1404"/>
    <mergeCell ref="G1404:G1405"/>
    <mergeCell ref="A1405:B1405"/>
    <mergeCell ref="A1392:B1392"/>
    <mergeCell ref="G1392:G1393"/>
    <mergeCell ref="A1393:B1393"/>
    <mergeCell ref="A1395:G1395"/>
    <mergeCell ref="A1396:F1396"/>
    <mergeCell ref="A1398:B1401"/>
    <mergeCell ref="C1398:G1399"/>
    <mergeCell ref="C1400:G1400"/>
    <mergeCell ref="C1401:E1401"/>
    <mergeCell ref="A1386:B1386"/>
    <mergeCell ref="A1387:G1387"/>
    <mergeCell ref="A1388:B1388"/>
    <mergeCell ref="G1388:G1389"/>
    <mergeCell ref="A1389:B1389"/>
    <mergeCell ref="A1391:G1391"/>
    <mergeCell ref="A1417:B1417"/>
    <mergeCell ref="G1417:G1418"/>
    <mergeCell ref="A1418:B1418"/>
    <mergeCell ref="A1420:G1420"/>
    <mergeCell ref="A1421:F1421"/>
    <mergeCell ref="A1423:B1426"/>
    <mergeCell ref="C1423:G1424"/>
    <mergeCell ref="C1425:G1425"/>
    <mergeCell ref="C1426:E1426"/>
    <mergeCell ref="A1411:B1411"/>
    <mergeCell ref="A1412:G1412"/>
    <mergeCell ref="A1413:B1413"/>
    <mergeCell ref="G1413:G1414"/>
    <mergeCell ref="A1414:B1414"/>
    <mergeCell ref="A1416:G1416"/>
    <mergeCell ref="A1406:B1406"/>
    <mergeCell ref="A1407:G1407"/>
    <mergeCell ref="A1408:B1408"/>
    <mergeCell ref="G1408:G1410"/>
    <mergeCell ref="A1409:B1409"/>
    <mergeCell ref="A1410:B1410"/>
    <mergeCell ref="A1436:G1436"/>
    <mergeCell ref="A1437:B1437"/>
    <mergeCell ref="G1437:G1438"/>
    <mergeCell ref="A1438:B1438"/>
    <mergeCell ref="A1440:G1440"/>
    <mergeCell ref="A1441:B1441"/>
    <mergeCell ref="G1441:G1442"/>
    <mergeCell ref="A1442:B1442"/>
    <mergeCell ref="A1431:B1431"/>
    <mergeCell ref="A1432:G1432"/>
    <mergeCell ref="A1433:B1433"/>
    <mergeCell ref="G1433:G1434"/>
    <mergeCell ref="A1434:B1434"/>
    <mergeCell ref="A1435:B1435"/>
    <mergeCell ref="A1427:B1427"/>
    <mergeCell ref="C1427:E1427"/>
    <mergeCell ref="A1428:G1428"/>
    <mergeCell ref="A1429:B1429"/>
    <mergeCell ref="G1429:G1430"/>
    <mergeCell ref="A1430:B1430"/>
    <mergeCell ref="A1455:B1455"/>
    <mergeCell ref="A1456:G1456"/>
    <mergeCell ref="A1457:B1457"/>
    <mergeCell ref="G1457:G1458"/>
    <mergeCell ref="A1458:B1458"/>
    <mergeCell ref="A1459:B1459"/>
    <mergeCell ref="A1451:B1451"/>
    <mergeCell ref="C1451:E1451"/>
    <mergeCell ref="A1452:G1452"/>
    <mergeCell ref="A1453:B1453"/>
    <mergeCell ref="G1453:G1454"/>
    <mergeCell ref="A1454:B1454"/>
    <mergeCell ref="A1444:G1444"/>
    <mergeCell ref="A1445:F1445"/>
    <mergeCell ref="A1447:B1450"/>
    <mergeCell ref="C1447:G1448"/>
    <mergeCell ref="C1449:G1449"/>
    <mergeCell ref="C1450:E1450"/>
    <mergeCell ref="A1475:B1475"/>
    <mergeCell ref="C1475:E1475"/>
    <mergeCell ref="A1476:G1476"/>
    <mergeCell ref="A1477:B1477"/>
    <mergeCell ref="G1477:G1478"/>
    <mergeCell ref="A1478:B1478"/>
    <mergeCell ref="A1468:G1468"/>
    <mergeCell ref="A1469:F1469"/>
    <mergeCell ref="A1471:B1474"/>
    <mergeCell ref="C1471:G1472"/>
    <mergeCell ref="C1473:G1473"/>
    <mergeCell ref="C1474:E1474"/>
    <mergeCell ref="A1460:G1460"/>
    <mergeCell ref="A1461:B1461"/>
    <mergeCell ref="G1461:G1462"/>
    <mergeCell ref="A1462:B1462"/>
    <mergeCell ref="A1464:G1464"/>
    <mergeCell ref="A1465:B1465"/>
    <mergeCell ref="G1465:G1466"/>
    <mergeCell ref="A1466:B1466"/>
    <mergeCell ref="A1492:G1492"/>
    <mergeCell ref="A1493:F1493"/>
    <mergeCell ref="A1495:B1498"/>
    <mergeCell ref="C1495:G1496"/>
    <mergeCell ref="C1497:G1497"/>
    <mergeCell ref="C1498:E1498"/>
    <mergeCell ref="A1484:G1484"/>
    <mergeCell ref="A1485:B1485"/>
    <mergeCell ref="G1485:G1486"/>
    <mergeCell ref="A1486:B1486"/>
    <mergeCell ref="A1488:G1488"/>
    <mergeCell ref="A1489:B1489"/>
    <mergeCell ref="G1489:G1490"/>
    <mergeCell ref="A1490:B1490"/>
    <mergeCell ref="A1479:B1479"/>
    <mergeCell ref="A1480:G1480"/>
    <mergeCell ref="A1481:B1481"/>
    <mergeCell ref="G1481:G1482"/>
    <mergeCell ref="A1482:B1482"/>
    <mergeCell ref="A1483:B1483"/>
    <mergeCell ref="A1512:B1512"/>
    <mergeCell ref="A1513:G1513"/>
    <mergeCell ref="A1514:B1514"/>
    <mergeCell ref="G1514:G1515"/>
    <mergeCell ref="A1515:B1515"/>
    <mergeCell ref="A1517:G1517"/>
    <mergeCell ref="A1503:B1503"/>
    <mergeCell ref="A1504:G1504"/>
    <mergeCell ref="A1505:B1505"/>
    <mergeCell ref="G1505:G1511"/>
    <mergeCell ref="A1506:B1506"/>
    <mergeCell ref="A1507:B1507"/>
    <mergeCell ref="A1508:B1508"/>
    <mergeCell ref="A1509:B1509"/>
    <mergeCell ref="A1510:B1510"/>
    <mergeCell ref="A1511:B1511"/>
    <mergeCell ref="A1499:B1499"/>
    <mergeCell ref="C1499:E1499"/>
    <mergeCell ref="A1500:G1500"/>
    <mergeCell ref="A1501:B1501"/>
    <mergeCell ref="G1501:G1502"/>
    <mergeCell ref="A1502:B1502"/>
    <mergeCell ref="A1532:B1532"/>
    <mergeCell ref="A1533:G1533"/>
    <mergeCell ref="A1534:B1534"/>
    <mergeCell ref="A1535:B1535"/>
    <mergeCell ref="A1536:B1536"/>
    <mergeCell ref="A1537:B1537"/>
    <mergeCell ref="A1538:B1538"/>
    <mergeCell ref="A1539:B1539"/>
    <mergeCell ref="A1540:B1540"/>
    <mergeCell ref="A1528:B1528"/>
    <mergeCell ref="C1528:E1528"/>
    <mergeCell ref="A1529:G1529"/>
    <mergeCell ref="A1530:B1530"/>
    <mergeCell ref="G1530:G1531"/>
    <mergeCell ref="A1531:B1531"/>
    <mergeCell ref="A1518:B1518"/>
    <mergeCell ref="G1518:G1519"/>
    <mergeCell ref="A1519:B1519"/>
    <mergeCell ref="A1521:G1521"/>
    <mergeCell ref="A1522:F1522"/>
    <mergeCell ref="A1524:B1527"/>
    <mergeCell ref="C1524:G1525"/>
    <mergeCell ref="C1526:G1526"/>
    <mergeCell ref="C1527:E1527"/>
    <mergeCell ref="A1559:B1559"/>
    <mergeCell ref="C1559:E1559"/>
    <mergeCell ref="A1560:G1560"/>
    <mergeCell ref="A1561:B1561"/>
    <mergeCell ref="G1561:G1562"/>
    <mergeCell ref="A1562:B1562"/>
    <mergeCell ref="A1552:G1552"/>
    <mergeCell ref="A1553:F1553"/>
    <mergeCell ref="A1555:B1558"/>
    <mergeCell ref="C1555:G1556"/>
    <mergeCell ref="C1557:G1557"/>
    <mergeCell ref="C1558:E1558"/>
    <mergeCell ref="A1548:G1548"/>
    <mergeCell ref="A1549:B1549"/>
    <mergeCell ref="G1549:G1550"/>
    <mergeCell ref="A1550:B1550"/>
    <mergeCell ref="A1541:B1541"/>
    <mergeCell ref="A1542:B1542"/>
    <mergeCell ref="A1543:B1543"/>
    <mergeCell ref="A1545:B1545"/>
    <mergeCell ref="A1546:B1546"/>
    <mergeCell ref="A1581:G1581"/>
    <mergeCell ref="A1582:F1582"/>
    <mergeCell ref="A1584:B1587"/>
    <mergeCell ref="C1584:G1585"/>
    <mergeCell ref="C1586:G1586"/>
    <mergeCell ref="C1587:E1587"/>
    <mergeCell ref="A1578:B1578"/>
    <mergeCell ref="A1572:B1572"/>
    <mergeCell ref="A1574:B1574"/>
    <mergeCell ref="A1575:B1575"/>
    <mergeCell ref="A1563:B1563"/>
    <mergeCell ref="A1564:G1564"/>
    <mergeCell ref="A1565:B1565"/>
    <mergeCell ref="A1566:B1566"/>
    <mergeCell ref="A1567:B1567"/>
    <mergeCell ref="A1568:B1568"/>
    <mergeCell ref="A1569:B1569"/>
    <mergeCell ref="A1570:B1570"/>
    <mergeCell ref="A1571:B1571"/>
    <mergeCell ref="A1579:B1579"/>
    <mergeCell ref="A1601:B1601"/>
    <mergeCell ref="A1603:B1603"/>
    <mergeCell ref="A1604:B1604"/>
    <mergeCell ref="A1592:B1592"/>
    <mergeCell ref="A1593:G1593"/>
    <mergeCell ref="A1594:B1594"/>
    <mergeCell ref="A1595:B1595"/>
    <mergeCell ref="A1596:B1596"/>
    <mergeCell ref="A1597:B1597"/>
    <mergeCell ref="A1598:B1598"/>
    <mergeCell ref="A1599:B1599"/>
    <mergeCell ref="A1600:B1600"/>
    <mergeCell ref="G1594:G1600"/>
    <mergeCell ref="A1602:G1602"/>
    <mergeCell ref="G1603:G1604"/>
    <mergeCell ref="A1606:G1606"/>
    <mergeCell ref="A1588:B1588"/>
    <mergeCell ref="C1588:E1588"/>
    <mergeCell ref="A1589:G1589"/>
    <mergeCell ref="A1590:B1590"/>
    <mergeCell ref="G1590:G1591"/>
    <mergeCell ref="A1591:B1591"/>
    <mergeCell ref="A1621:B1621"/>
    <mergeCell ref="A1622:G1622"/>
    <mergeCell ref="A1623:B1623"/>
    <mergeCell ref="G1623:G1628"/>
    <mergeCell ref="A1624:B1624"/>
    <mergeCell ref="A1625:B1625"/>
    <mergeCell ref="A1626:B1626"/>
    <mergeCell ref="A1627:B1627"/>
    <mergeCell ref="A1628:B1628"/>
    <mergeCell ref="A1617:B1617"/>
    <mergeCell ref="C1617:E1617"/>
    <mergeCell ref="A1618:G1618"/>
    <mergeCell ref="A1619:B1619"/>
    <mergeCell ref="G1619:G1620"/>
    <mergeCell ref="A1620:B1620"/>
    <mergeCell ref="A1608:B1608"/>
    <mergeCell ref="A1610:G1610"/>
    <mergeCell ref="A1611:F1611"/>
    <mergeCell ref="A1613:B1616"/>
    <mergeCell ref="C1613:G1614"/>
    <mergeCell ref="C1615:G1615"/>
    <mergeCell ref="C1616:E1616"/>
    <mergeCell ref="G1607:G1608"/>
    <mergeCell ref="A1607:B1607"/>
    <mergeCell ref="A1645:B1645"/>
    <mergeCell ref="C1645:E1645"/>
    <mergeCell ref="A1646:G1646"/>
    <mergeCell ref="A1647:B1647"/>
    <mergeCell ref="G1647:G1648"/>
    <mergeCell ref="A1648:B1648"/>
    <mergeCell ref="A1635:B1635"/>
    <mergeCell ref="G1635:G1636"/>
    <mergeCell ref="A1636:B1636"/>
    <mergeCell ref="A1638:G1638"/>
    <mergeCell ref="A1639:F1639"/>
    <mergeCell ref="A1641:B1644"/>
    <mergeCell ref="C1641:G1642"/>
    <mergeCell ref="C1643:G1643"/>
    <mergeCell ref="C1644:E1644"/>
    <mergeCell ref="A1629:B1629"/>
    <mergeCell ref="A1630:G1630"/>
    <mergeCell ref="A1631:B1631"/>
    <mergeCell ref="G1631:G1632"/>
    <mergeCell ref="A1632:B1632"/>
    <mergeCell ref="A1634:G1634"/>
    <mergeCell ref="A1663:B1663"/>
    <mergeCell ref="G1663:G1664"/>
    <mergeCell ref="A1664:B1664"/>
    <mergeCell ref="A1666:G1666"/>
    <mergeCell ref="A1667:F1667"/>
    <mergeCell ref="A1669:B1672"/>
    <mergeCell ref="C1669:G1670"/>
    <mergeCell ref="C1671:G1671"/>
    <mergeCell ref="C1672:E1672"/>
    <mergeCell ref="A1657:B1657"/>
    <mergeCell ref="A1658:G1658"/>
    <mergeCell ref="A1659:B1659"/>
    <mergeCell ref="G1659:G1660"/>
    <mergeCell ref="A1660:B1660"/>
    <mergeCell ref="A1662:G1662"/>
    <mergeCell ref="A1649:B1649"/>
    <mergeCell ref="A1650:G1650"/>
    <mergeCell ref="A1651:B1651"/>
    <mergeCell ref="G1651:G1656"/>
    <mergeCell ref="A1652:B1652"/>
    <mergeCell ref="A1653:B1653"/>
    <mergeCell ref="A1654:B1654"/>
    <mergeCell ref="A1655:B1655"/>
    <mergeCell ref="A1656:B1656"/>
    <mergeCell ref="A1685:B1685"/>
    <mergeCell ref="A1686:G1686"/>
    <mergeCell ref="A1687:B1687"/>
    <mergeCell ref="G1687:G1688"/>
    <mergeCell ref="A1688:B1688"/>
    <mergeCell ref="A1690:G1690"/>
    <mergeCell ref="A1677:B1677"/>
    <mergeCell ref="A1678:G1678"/>
    <mergeCell ref="A1679:B1679"/>
    <mergeCell ref="G1679:G1684"/>
    <mergeCell ref="A1680:B1680"/>
    <mergeCell ref="A1681:B1681"/>
    <mergeCell ref="A1682:B1682"/>
    <mergeCell ref="A1683:B1683"/>
    <mergeCell ref="A1684:B1684"/>
    <mergeCell ref="A1673:B1673"/>
    <mergeCell ref="C1673:E1673"/>
    <mergeCell ref="A1674:G1674"/>
    <mergeCell ref="A1675:B1675"/>
    <mergeCell ref="G1675:G1676"/>
    <mergeCell ref="A1676:B1676"/>
    <mergeCell ref="A1705:B1705"/>
    <mergeCell ref="A1706:G1706"/>
    <mergeCell ref="A1707:B1707"/>
    <mergeCell ref="G1707:G1713"/>
    <mergeCell ref="A1708:B1708"/>
    <mergeCell ref="A1709:B1709"/>
    <mergeCell ref="A1710:B1710"/>
    <mergeCell ref="A1711:B1711"/>
    <mergeCell ref="A1712:B1712"/>
    <mergeCell ref="A1713:B1713"/>
    <mergeCell ref="A1701:B1701"/>
    <mergeCell ref="C1701:E1701"/>
    <mergeCell ref="A1702:G1702"/>
    <mergeCell ref="A1703:B1703"/>
    <mergeCell ref="G1703:G1704"/>
    <mergeCell ref="A1704:B1704"/>
    <mergeCell ref="A1691:B1691"/>
    <mergeCell ref="G1691:G1692"/>
    <mergeCell ref="A1692:B1692"/>
    <mergeCell ref="A1694:G1694"/>
    <mergeCell ref="A1695:F1695"/>
    <mergeCell ref="A1697:B1700"/>
    <mergeCell ref="C1697:G1698"/>
    <mergeCell ref="C1699:G1699"/>
    <mergeCell ref="C1700:E1700"/>
    <mergeCell ref="A1730:B1730"/>
    <mergeCell ref="C1730:E1730"/>
    <mergeCell ref="A1731:G1731"/>
    <mergeCell ref="A1732:B1732"/>
    <mergeCell ref="G1732:G1733"/>
    <mergeCell ref="A1733:B1733"/>
    <mergeCell ref="A1720:B1720"/>
    <mergeCell ref="G1720:G1721"/>
    <mergeCell ref="A1721:B1721"/>
    <mergeCell ref="A1723:G1723"/>
    <mergeCell ref="A1724:F1724"/>
    <mergeCell ref="A1726:B1729"/>
    <mergeCell ref="C1726:G1727"/>
    <mergeCell ref="C1728:G1728"/>
    <mergeCell ref="C1729:E1729"/>
    <mergeCell ref="A1714:B1714"/>
    <mergeCell ref="A1715:G1715"/>
    <mergeCell ref="A1716:B1716"/>
    <mergeCell ref="G1716:G1717"/>
    <mergeCell ref="A1717:B1717"/>
    <mergeCell ref="A1719:G1719"/>
    <mergeCell ref="A1745:B1745"/>
    <mergeCell ref="G1745:G1746"/>
    <mergeCell ref="A1746:B1746"/>
    <mergeCell ref="A1748:G1748"/>
    <mergeCell ref="A1749:F1749"/>
    <mergeCell ref="A1751:B1754"/>
    <mergeCell ref="C1751:G1752"/>
    <mergeCell ref="C1753:G1753"/>
    <mergeCell ref="C1754:E1754"/>
    <mergeCell ref="A1739:B1739"/>
    <mergeCell ref="A1740:G1740"/>
    <mergeCell ref="A1741:B1741"/>
    <mergeCell ref="G1741:G1742"/>
    <mergeCell ref="A1742:B1742"/>
    <mergeCell ref="A1744:G1744"/>
    <mergeCell ref="A1734:B1734"/>
    <mergeCell ref="A1735:G1735"/>
    <mergeCell ref="A1736:B1736"/>
    <mergeCell ref="G1736:G1738"/>
    <mergeCell ref="A1737:B1737"/>
    <mergeCell ref="A1738:B1738"/>
    <mergeCell ref="A1764:B1764"/>
    <mergeCell ref="A1765:G1765"/>
    <mergeCell ref="A1766:B1766"/>
    <mergeCell ref="G1766:G1767"/>
    <mergeCell ref="A1767:B1767"/>
    <mergeCell ref="A1769:G1769"/>
    <mergeCell ref="A1759:B1759"/>
    <mergeCell ref="A1760:G1760"/>
    <mergeCell ref="A1761:B1761"/>
    <mergeCell ref="G1761:G1763"/>
    <mergeCell ref="A1762:B1762"/>
    <mergeCell ref="A1763:B1763"/>
    <mergeCell ref="A1755:B1755"/>
    <mergeCell ref="C1755:E1755"/>
    <mergeCell ref="A1756:G1756"/>
    <mergeCell ref="A1757:B1757"/>
    <mergeCell ref="G1757:G1758"/>
    <mergeCell ref="A1758:B1758"/>
    <mergeCell ref="A1784:B1784"/>
    <mergeCell ref="A1785:G1785"/>
    <mergeCell ref="A1786:B1786"/>
    <mergeCell ref="G1786:G1788"/>
    <mergeCell ref="A1787:B1787"/>
    <mergeCell ref="A1788:B1788"/>
    <mergeCell ref="A1780:B1780"/>
    <mergeCell ref="C1780:E1780"/>
    <mergeCell ref="A1781:G1781"/>
    <mergeCell ref="A1782:B1782"/>
    <mergeCell ref="G1782:G1783"/>
    <mergeCell ref="A1783:B1783"/>
    <mergeCell ref="G1770:G1771"/>
    <mergeCell ref="A1771:B1771"/>
    <mergeCell ref="A1773:G1773"/>
    <mergeCell ref="A1774:F1774"/>
    <mergeCell ref="A1776:B1779"/>
    <mergeCell ref="C1776:G1777"/>
    <mergeCell ref="C1778:G1778"/>
    <mergeCell ref="C1779:E1779"/>
    <mergeCell ref="A1805:B1805"/>
    <mergeCell ref="C1805:E1805"/>
    <mergeCell ref="A1806:G1806"/>
    <mergeCell ref="A1807:B1807"/>
    <mergeCell ref="G1807:G1808"/>
    <mergeCell ref="A1808:B1808"/>
    <mergeCell ref="A1795:B1795"/>
    <mergeCell ref="G1795:G1796"/>
    <mergeCell ref="A1796:B1796"/>
    <mergeCell ref="A1798:G1798"/>
    <mergeCell ref="A1799:F1799"/>
    <mergeCell ref="A1801:B1804"/>
    <mergeCell ref="C1801:G1802"/>
    <mergeCell ref="C1803:G1803"/>
    <mergeCell ref="C1804:E1804"/>
    <mergeCell ref="A1789:B1789"/>
    <mergeCell ref="A1790:G1790"/>
    <mergeCell ref="A1791:B1791"/>
    <mergeCell ref="G1791:G1792"/>
    <mergeCell ref="A1792:B1792"/>
    <mergeCell ref="A1794:G1794"/>
    <mergeCell ref="A1822:G1822"/>
    <mergeCell ref="A1823:B1823"/>
    <mergeCell ref="G1823:G1824"/>
    <mergeCell ref="A1824:B1824"/>
    <mergeCell ref="A1826:G1826"/>
    <mergeCell ref="A1827:F1827"/>
    <mergeCell ref="A1814:B1814"/>
    <mergeCell ref="A1815:B1815"/>
    <mergeCell ref="A1816:B1816"/>
    <mergeCell ref="A1817:B1817"/>
    <mergeCell ref="A1818:G1818"/>
    <mergeCell ref="A1819:B1819"/>
    <mergeCell ref="G1819:G1820"/>
    <mergeCell ref="A1820:B1820"/>
    <mergeCell ref="A1809:B1809"/>
    <mergeCell ref="A1810:G1810"/>
    <mergeCell ref="A1811:B1811"/>
    <mergeCell ref="G1811:G1813"/>
    <mergeCell ref="A1812:B1812"/>
    <mergeCell ref="A1813:B1813"/>
    <mergeCell ref="A1839:B1839"/>
    <mergeCell ref="G1839:G1841"/>
    <mergeCell ref="A1840:B1840"/>
    <mergeCell ref="A1841:B1841"/>
    <mergeCell ref="A1842:B1842"/>
    <mergeCell ref="A1843:B1843"/>
    <mergeCell ref="A1834:G1834"/>
    <mergeCell ref="A1835:B1835"/>
    <mergeCell ref="G1835:G1836"/>
    <mergeCell ref="A1836:B1836"/>
    <mergeCell ref="A1837:B1837"/>
    <mergeCell ref="A1838:G1838"/>
    <mergeCell ref="A1829:B1832"/>
    <mergeCell ref="C1829:G1830"/>
    <mergeCell ref="C1831:G1831"/>
    <mergeCell ref="C1832:E1832"/>
    <mergeCell ref="A1833:B1833"/>
    <mergeCell ref="C1833:E1833"/>
    <mergeCell ref="A1857:B1860"/>
    <mergeCell ref="C1857:G1858"/>
    <mergeCell ref="C1859:G1859"/>
    <mergeCell ref="C1860:E1860"/>
    <mergeCell ref="A1861:B1861"/>
    <mergeCell ref="C1861:E1861"/>
    <mergeCell ref="A1850:G1850"/>
    <mergeCell ref="A1851:B1851"/>
    <mergeCell ref="G1851:G1852"/>
    <mergeCell ref="A1852:B1852"/>
    <mergeCell ref="A1854:G1854"/>
    <mergeCell ref="A1855:F1855"/>
    <mergeCell ref="A1844:B1844"/>
    <mergeCell ref="A1845:B1845"/>
    <mergeCell ref="A1846:G1846"/>
    <mergeCell ref="A1847:B1847"/>
    <mergeCell ref="G1847:G1848"/>
    <mergeCell ref="A1848:B1848"/>
    <mergeCell ref="A1874:G1874"/>
    <mergeCell ref="A1875:B1875"/>
    <mergeCell ref="G1875:G1876"/>
    <mergeCell ref="A1876:B1876"/>
    <mergeCell ref="A1878:G1878"/>
    <mergeCell ref="A1879:F1879"/>
    <mergeCell ref="A1867:B1867"/>
    <mergeCell ref="G1867:G1868"/>
    <mergeCell ref="A1868:B1868"/>
    <mergeCell ref="A1869:B1869"/>
    <mergeCell ref="A1870:G1870"/>
    <mergeCell ref="A1871:B1871"/>
    <mergeCell ref="G1871:G1872"/>
    <mergeCell ref="A1872:B1872"/>
    <mergeCell ref="A1862:G1862"/>
    <mergeCell ref="A1863:B1863"/>
    <mergeCell ref="G1863:G1864"/>
    <mergeCell ref="A1864:B1864"/>
    <mergeCell ref="A1865:B1865"/>
    <mergeCell ref="A1866:G1866"/>
    <mergeCell ref="A1891:B1891"/>
    <mergeCell ref="G1891:G1892"/>
    <mergeCell ref="A1892:B1892"/>
    <mergeCell ref="A1893:B1893"/>
    <mergeCell ref="A1894:G1894"/>
    <mergeCell ref="A1895:B1895"/>
    <mergeCell ref="G1895:G1896"/>
    <mergeCell ref="A1896:B1896"/>
    <mergeCell ref="A1886:G1886"/>
    <mergeCell ref="A1887:B1887"/>
    <mergeCell ref="G1887:G1888"/>
    <mergeCell ref="A1888:B1888"/>
    <mergeCell ref="A1889:B1889"/>
    <mergeCell ref="A1890:G1890"/>
    <mergeCell ref="A1881:B1884"/>
    <mergeCell ref="C1881:G1882"/>
    <mergeCell ref="C1883:G1883"/>
    <mergeCell ref="C1884:E1884"/>
    <mergeCell ref="A1885:B1885"/>
    <mergeCell ref="C1885:E1885"/>
    <mergeCell ref="A1910:G1910"/>
    <mergeCell ref="A1911:B1911"/>
    <mergeCell ref="G1911:G1912"/>
    <mergeCell ref="A1912:B1912"/>
    <mergeCell ref="A1913:B1913"/>
    <mergeCell ref="A1914:G1914"/>
    <mergeCell ref="A1905:B1908"/>
    <mergeCell ref="C1905:G1906"/>
    <mergeCell ref="C1907:G1907"/>
    <mergeCell ref="C1908:E1908"/>
    <mergeCell ref="A1909:B1909"/>
    <mergeCell ref="C1909:E1909"/>
    <mergeCell ref="A1898:G1898"/>
    <mergeCell ref="A1899:B1899"/>
    <mergeCell ref="G1899:G1900"/>
    <mergeCell ref="A1900:B1900"/>
    <mergeCell ref="A1902:G1902"/>
    <mergeCell ref="A1903:F1903"/>
    <mergeCell ref="A1927:G1927"/>
    <mergeCell ref="A1928:F1928"/>
    <mergeCell ref="A1930:B1933"/>
    <mergeCell ref="C1930:G1931"/>
    <mergeCell ref="C1932:G1932"/>
    <mergeCell ref="C1933:E1933"/>
    <mergeCell ref="A1920:B1920"/>
    <mergeCell ref="G1920:G1921"/>
    <mergeCell ref="A1921:B1921"/>
    <mergeCell ref="A1923:G1923"/>
    <mergeCell ref="A1924:B1924"/>
    <mergeCell ref="G1924:G1925"/>
    <mergeCell ref="A1925:B1925"/>
    <mergeCell ref="A1915:B1915"/>
    <mergeCell ref="G1915:G1917"/>
    <mergeCell ref="A1916:B1916"/>
    <mergeCell ref="A1917:B1917"/>
    <mergeCell ref="A1918:B1918"/>
    <mergeCell ref="A1919:G1919"/>
    <mergeCell ref="A1943:B1943"/>
    <mergeCell ref="A1944:G1944"/>
    <mergeCell ref="A1945:B1945"/>
    <mergeCell ref="G1945:G1946"/>
    <mergeCell ref="A1946:B1946"/>
    <mergeCell ref="A1948:G1948"/>
    <mergeCell ref="A1938:B1938"/>
    <mergeCell ref="A1939:G1939"/>
    <mergeCell ref="A1940:B1940"/>
    <mergeCell ref="G1940:G1942"/>
    <mergeCell ref="A1941:B1941"/>
    <mergeCell ref="A1942:B1942"/>
    <mergeCell ref="A1934:B1934"/>
    <mergeCell ref="C1934:E1934"/>
    <mergeCell ref="A1935:G1935"/>
    <mergeCell ref="A1936:B1936"/>
    <mergeCell ref="G1936:G1937"/>
    <mergeCell ref="A1937:B1937"/>
    <mergeCell ref="A1963:B1963"/>
    <mergeCell ref="A1964:G1964"/>
    <mergeCell ref="A1965:B1965"/>
    <mergeCell ref="G1965:G1966"/>
    <mergeCell ref="A1966:B1966"/>
    <mergeCell ref="A1967:B1967"/>
    <mergeCell ref="A1959:B1959"/>
    <mergeCell ref="C1959:E1959"/>
    <mergeCell ref="A1960:G1960"/>
    <mergeCell ref="A1961:B1961"/>
    <mergeCell ref="G1961:G1962"/>
    <mergeCell ref="A1962:B1962"/>
    <mergeCell ref="A1949:B1949"/>
    <mergeCell ref="G1949:G1950"/>
    <mergeCell ref="A1950:B1950"/>
    <mergeCell ref="A1952:G1952"/>
    <mergeCell ref="A1953:F1953"/>
    <mergeCell ref="A1955:B1958"/>
    <mergeCell ref="C1955:G1956"/>
    <mergeCell ref="C1957:G1957"/>
    <mergeCell ref="C1958:E1958"/>
    <mergeCell ref="A1983:B1983"/>
    <mergeCell ref="C1983:E1983"/>
    <mergeCell ref="A1984:G1984"/>
    <mergeCell ref="A1985:B1985"/>
    <mergeCell ref="G1985:G1986"/>
    <mergeCell ref="A1986:B1986"/>
    <mergeCell ref="A1976:G1976"/>
    <mergeCell ref="A1977:F1977"/>
    <mergeCell ref="A1979:B1982"/>
    <mergeCell ref="C1979:G1980"/>
    <mergeCell ref="C1981:G1981"/>
    <mergeCell ref="C1982:E1982"/>
    <mergeCell ref="A1968:G1968"/>
    <mergeCell ref="A1969:B1969"/>
    <mergeCell ref="G1969:G1970"/>
    <mergeCell ref="A1970:B1970"/>
    <mergeCell ref="A1972:G1972"/>
    <mergeCell ref="A1973:B1973"/>
    <mergeCell ref="G1973:G1974"/>
    <mergeCell ref="A1974:B1974"/>
    <mergeCell ref="A2000:G2000"/>
    <mergeCell ref="A2001:F2001"/>
    <mergeCell ref="A2003:B2006"/>
    <mergeCell ref="C2003:G2004"/>
    <mergeCell ref="C2005:G2005"/>
    <mergeCell ref="C2006:E2006"/>
    <mergeCell ref="A1992:G1992"/>
    <mergeCell ref="A1993:B1993"/>
    <mergeCell ref="G1993:G1994"/>
    <mergeCell ref="A1994:B1994"/>
    <mergeCell ref="A1996:G1996"/>
    <mergeCell ref="A1997:B1997"/>
    <mergeCell ref="G1997:G1998"/>
    <mergeCell ref="A1998:B1998"/>
    <mergeCell ref="A1987:B1987"/>
    <mergeCell ref="A1988:G1988"/>
    <mergeCell ref="A1989:B1989"/>
    <mergeCell ref="G1989:G1990"/>
    <mergeCell ref="A1990:B1990"/>
    <mergeCell ref="A1991:B1991"/>
    <mergeCell ref="A2016:G2016"/>
    <mergeCell ref="A2017:B2017"/>
    <mergeCell ref="G2017:G2018"/>
    <mergeCell ref="A2018:B2018"/>
    <mergeCell ref="A2020:G2020"/>
    <mergeCell ref="A2021:B2021"/>
    <mergeCell ref="G2021:G2022"/>
    <mergeCell ref="A2022:B2022"/>
    <mergeCell ref="A2011:B2011"/>
    <mergeCell ref="A2012:G2012"/>
    <mergeCell ref="A2013:B2013"/>
    <mergeCell ref="G2013:G2014"/>
    <mergeCell ref="A2014:B2014"/>
    <mergeCell ref="A2015:B2015"/>
    <mergeCell ref="A2007:B2007"/>
    <mergeCell ref="C2007:E2007"/>
    <mergeCell ref="A2008:G2008"/>
    <mergeCell ref="A2009:B2009"/>
    <mergeCell ref="G2009:G2010"/>
    <mergeCell ref="A2010:B2010"/>
    <mergeCell ref="A2035:B2035"/>
    <mergeCell ref="A2036:G2036"/>
    <mergeCell ref="A2037:B2037"/>
    <mergeCell ref="G2037:G2043"/>
    <mergeCell ref="A2038:B2038"/>
    <mergeCell ref="A2039:B2039"/>
    <mergeCell ref="A2040:B2040"/>
    <mergeCell ref="A2041:B2041"/>
    <mergeCell ref="A2042:B2042"/>
    <mergeCell ref="A2043:B2043"/>
    <mergeCell ref="A2031:B2031"/>
    <mergeCell ref="C2031:E2031"/>
    <mergeCell ref="A2032:G2032"/>
    <mergeCell ref="A2033:B2033"/>
    <mergeCell ref="G2033:G2034"/>
    <mergeCell ref="A2034:B2034"/>
    <mergeCell ref="A2024:G2024"/>
    <mergeCell ref="A2025:F2025"/>
    <mergeCell ref="A2027:B2030"/>
    <mergeCell ref="C2027:G2028"/>
    <mergeCell ref="C2029:G2029"/>
    <mergeCell ref="C2030:E2030"/>
    <mergeCell ref="A2060:B2060"/>
    <mergeCell ref="C2060:E2060"/>
    <mergeCell ref="A2061:G2061"/>
    <mergeCell ref="A2062:B2062"/>
    <mergeCell ref="G2062:G2063"/>
    <mergeCell ref="A2063:B2063"/>
    <mergeCell ref="A2050:B2050"/>
    <mergeCell ref="G2050:G2051"/>
    <mergeCell ref="A2051:B2051"/>
    <mergeCell ref="A2053:G2053"/>
    <mergeCell ref="A2054:F2054"/>
    <mergeCell ref="A2056:B2059"/>
    <mergeCell ref="C2056:G2057"/>
    <mergeCell ref="C2058:G2058"/>
    <mergeCell ref="C2059:E2059"/>
    <mergeCell ref="A2044:B2044"/>
    <mergeCell ref="A2045:G2045"/>
    <mergeCell ref="A2046:B2046"/>
    <mergeCell ref="G2046:G2047"/>
    <mergeCell ref="A2047:B2047"/>
    <mergeCell ref="A2049:G2049"/>
    <mergeCell ref="A2075:B2075"/>
    <mergeCell ref="G2075:G2076"/>
    <mergeCell ref="A2076:B2076"/>
    <mergeCell ref="A2078:G2078"/>
    <mergeCell ref="A2079:F2079"/>
    <mergeCell ref="A2081:B2084"/>
    <mergeCell ref="C2081:G2082"/>
    <mergeCell ref="C2083:G2083"/>
    <mergeCell ref="C2084:E2084"/>
    <mergeCell ref="A2069:B2069"/>
    <mergeCell ref="A2070:G2070"/>
    <mergeCell ref="A2071:B2071"/>
    <mergeCell ref="G2071:G2072"/>
    <mergeCell ref="A2072:B2072"/>
    <mergeCell ref="A2074:G2074"/>
    <mergeCell ref="A2064:B2064"/>
    <mergeCell ref="A2065:G2065"/>
    <mergeCell ref="A2066:B2066"/>
    <mergeCell ref="G2066:G2068"/>
    <mergeCell ref="A2067:B2067"/>
    <mergeCell ref="A2068:B2068"/>
    <mergeCell ref="A2094:B2094"/>
    <mergeCell ref="A2095:G2095"/>
    <mergeCell ref="A2096:B2096"/>
    <mergeCell ref="G2096:G2097"/>
    <mergeCell ref="A2097:B2097"/>
    <mergeCell ref="A2099:G2099"/>
    <mergeCell ref="A2089:B2089"/>
    <mergeCell ref="A2090:G2090"/>
    <mergeCell ref="A2091:B2091"/>
    <mergeCell ref="G2091:G2093"/>
    <mergeCell ref="A2092:B2092"/>
    <mergeCell ref="A2093:B2093"/>
    <mergeCell ref="A2085:B2085"/>
    <mergeCell ref="C2085:E2085"/>
    <mergeCell ref="A2086:G2086"/>
    <mergeCell ref="A2087:B2087"/>
    <mergeCell ref="G2087:G2088"/>
    <mergeCell ref="A2088:B2088"/>
    <mergeCell ref="A2104:F2104"/>
    <mergeCell ref="A2106:B2109"/>
    <mergeCell ref="C2106:G2107"/>
    <mergeCell ref="C2108:G2108"/>
    <mergeCell ref="C2109:E2109"/>
    <mergeCell ref="A2123:B2123"/>
    <mergeCell ref="A2124:B2124"/>
    <mergeCell ref="A2125:B2125"/>
    <mergeCell ref="A2126:B2126"/>
    <mergeCell ref="A2127:B2127"/>
    <mergeCell ref="A2114:B2114"/>
    <mergeCell ref="A2115:G2115"/>
    <mergeCell ref="A2116:B2116"/>
    <mergeCell ref="A2117:B2117"/>
    <mergeCell ref="A2118:B2118"/>
    <mergeCell ref="A2119:B2119"/>
    <mergeCell ref="A2120:B2120"/>
    <mergeCell ref="A2121:B2121"/>
    <mergeCell ref="A2122:B2122"/>
    <mergeCell ref="A2110:B2110"/>
    <mergeCell ref="C2110:E2110"/>
    <mergeCell ref="A2111:G2111"/>
    <mergeCell ref="A2112:B2112"/>
    <mergeCell ref="G2112:G2113"/>
    <mergeCell ref="A2113:B2113"/>
    <mergeCell ref="G2116:G2126"/>
    <mergeCell ref="A2172:B2175"/>
    <mergeCell ref="C2172:G2173"/>
    <mergeCell ref="C2174:G2174"/>
    <mergeCell ref="C2175:E2175"/>
    <mergeCell ref="A2199:B2199"/>
    <mergeCell ref="A2162:B2162"/>
    <mergeCell ref="A2156:B2156"/>
    <mergeCell ref="A2157:B2157"/>
    <mergeCell ref="A2158:B2158"/>
    <mergeCell ref="A2159:B2159"/>
    <mergeCell ref="A2160:B2160"/>
    <mergeCell ref="A2147:B2147"/>
    <mergeCell ref="A2148:G2148"/>
    <mergeCell ref="A2149:B2149"/>
    <mergeCell ref="A2150:B2150"/>
    <mergeCell ref="A2151:B2151"/>
    <mergeCell ref="A2152:B2152"/>
    <mergeCell ref="A2153:B2153"/>
    <mergeCell ref="A2154:B2154"/>
    <mergeCell ref="A2155:B2155"/>
    <mergeCell ref="A2189:B2189"/>
    <mergeCell ref="A2190:B2190"/>
    <mergeCell ref="A2191:B2191"/>
    <mergeCell ref="A2192:B2192"/>
    <mergeCell ref="A2193:B2193"/>
    <mergeCell ref="A2180:B2180"/>
    <mergeCell ref="A2181:G2181"/>
    <mergeCell ref="A2182:B2182"/>
    <mergeCell ref="A2183:B2183"/>
    <mergeCell ref="A2184:B2184"/>
    <mergeCell ref="A2185:B2185"/>
    <mergeCell ref="A2186:B2186"/>
    <mergeCell ref="A2187:B2187"/>
    <mergeCell ref="A2188:B2188"/>
    <mergeCell ref="A2176:B2176"/>
    <mergeCell ref="C2176:E2176"/>
    <mergeCell ref="A2177:G2177"/>
    <mergeCell ref="A2178:B2178"/>
    <mergeCell ref="G2178:G2179"/>
    <mergeCell ref="A2179:B2179"/>
    <mergeCell ref="G2182:G2192"/>
    <mergeCell ref="A2209:B2209"/>
    <mergeCell ref="C2209:E2209"/>
    <mergeCell ref="A2210:G2210"/>
    <mergeCell ref="A2211:B2211"/>
    <mergeCell ref="G2211:G2212"/>
    <mergeCell ref="A2212:B2212"/>
    <mergeCell ref="A2205:B2208"/>
    <mergeCell ref="C2205:G2206"/>
    <mergeCell ref="C2207:G2207"/>
    <mergeCell ref="C2208:E2208"/>
    <mergeCell ref="A2195:B2195"/>
    <mergeCell ref="G2195:G2196"/>
    <mergeCell ref="A2196:B2196"/>
    <mergeCell ref="A2198:G2198"/>
    <mergeCell ref="G2199:G2200"/>
    <mergeCell ref="A2200:B2200"/>
    <mergeCell ref="A2202:G2202"/>
    <mergeCell ref="A2203:F2203"/>
    <mergeCell ref="A2194:G2194"/>
    <mergeCell ref="A2238:B2241"/>
    <mergeCell ref="C2238:G2239"/>
    <mergeCell ref="C2240:G2240"/>
    <mergeCell ref="C2241:E2241"/>
    <mergeCell ref="A2235:G2235"/>
    <mergeCell ref="A2236:F2236"/>
    <mergeCell ref="A2228:B2228"/>
    <mergeCell ref="A2222:B2222"/>
    <mergeCell ref="A2223:B2223"/>
    <mergeCell ref="A2224:B2224"/>
    <mergeCell ref="A2225:B2225"/>
    <mergeCell ref="A2226:B2226"/>
    <mergeCell ref="A2213:B2213"/>
    <mergeCell ref="A2214:G2214"/>
    <mergeCell ref="A2215:B2215"/>
    <mergeCell ref="A2216:B2216"/>
    <mergeCell ref="A2217:B2217"/>
    <mergeCell ref="A2218:B2218"/>
    <mergeCell ref="A2219:B2219"/>
    <mergeCell ref="A2220:B2220"/>
    <mergeCell ref="A2221:B2221"/>
    <mergeCell ref="G2215:G2225"/>
    <mergeCell ref="A2227:G2227"/>
    <mergeCell ref="G2228:G2229"/>
    <mergeCell ref="A2229:B2229"/>
    <mergeCell ref="A2231:G2231"/>
    <mergeCell ref="G2232:G2233"/>
    <mergeCell ref="A2233:B2233"/>
    <mergeCell ref="A2253:B2253"/>
    <mergeCell ref="A2254:G2254"/>
    <mergeCell ref="A2255:B2255"/>
    <mergeCell ref="G2255:G2256"/>
    <mergeCell ref="A2256:B2256"/>
    <mergeCell ref="A2258:G2258"/>
    <mergeCell ref="A2246:B2246"/>
    <mergeCell ref="A2247:G2247"/>
    <mergeCell ref="A2248:B2248"/>
    <mergeCell ref="G2248:G2252"/>
    <mergeCell ref="A2249:B2249"/>
    <mergeCell ref="A2250:B2250"/>
    <mergeCell ref="A2251:B2251"/>
    <mergeCell ref="A2252:B2252"/>
    <mergeCell ref="A2242:B2242"/>
    <mergeCell ref="C2242:E2242"/>
    <mergeCell ref="A2243:G2243"/>
    <mergeCell ref="A2244:B2244"/>
    <mergeCell ref="G2244:G2245"/>
    <mergeCell ref="A2245:B2245"/>
    <mergeCell ref="A2273:B2273"/>
    <mergeCell ref="A2274:G2274"/>
    <mergeCell ref="A2275:B2275"/>
    <mergeCell ref="G2275:G2277"/>
    <mergeCell ref="A2276:B2276"/>
    <mergeCell ref="A2277:B2277"/>
    <mergeCell ref="A2269:B2269"/>
    <mergeCell ref="C2269:E2269"/>
    <mergeCell ref="A2270:G2270"/>
    <mergeCell ref="A2271:B2271"/>
    <mergeCell ref="G2271:G2272"/>
    <mergeCell ref="A2272:B2272"/>
    <mergeCell ref="A2259:B2259"/>
    <mergeCell ref="G2259:G2260"/>
    <mergeCell ref="A2260:B2260"/>
    <mergeCell ref="A2262:G2262"/>
    <mergeCell ref="A2263:F2263"/>
    <mergeCell ref="A2265:B2268"/>
    <mergeCell ref="C2265:G2266"/>
    <mergeCell ref="C2267:G2267"/>
    <mergeCell ref="C2268:E2268"/>
    <mergeCell ref="A2294:B2294"/>
    <mergeCell ref="C2294:E2294"/>
    <mergeCell ref="A2295:G2295"/>
    <mergeCell ref="A2296:B2296"/>
    <mergeCell ref="G2296:G2297"/>
    <mergeCell ref="A2297:B2297"/>
    <mergeCell ref="A2284:B2284"/>
    <mergeCell ref="G2284:G2285"/>
    <mergeCell ref="A2285:B2285"/>
    <mergeCell ref="A2287:G2287"/>
    <mergeCell ref="A2288:F2288"/>
    <mergeCell ref="A2290:B2293"/>
    <mergeCell ref="C2290:G2291"/>
    <mergeCell ref="C2292:G2292"/>
    <mergeCell ref="C2293:E2293"/>
    <mergeCell ref="A2278:B2278"/>
    <mergeCell ref="A2279:G2279"/>
    <mergeCell ref="A2280:B2280"/>
    <mergeCell ref="G2280:G2281"/>
    <mergeCell ref="A2281:B2281"/>
    <mergeCell ref="A2283:G2283"/>
    <mergeCell ref="A2311:G2311"/>
    <mergeCell ref="A2312:F2312"/>
    <mergeCell ref="A2314:B2317"/>
    <mergeCell ref="C2314:G2315"/>
    <mergeCell ref="C2316:G2316"/>
    <mergeCell ref="C2317:E2317"/>
    <mergeCell ref="A2303:G2303"/>
    <mergeCell ref="A2304:B2304"/>
    <mergeCell ref="G2304:G2305"/>
    <mergeCell ref="A2305:B2305"/>
    <mergeCell ref="A2307:G2307"/>
    <mergeCell ref="A2308:B2308"/>
    <mergeCell ref="G2308:G2309"/>
    <mergeCell ref="A2309:B2309"/>
    <mergeCell ref="A2298:B2298"/>
    <mergeCell ref="A2299:G2299"/>
    <mergeCell ref="A2300:B2300"/>
    <mergeCell ref="G2300:G2301"/>
    <mergeCell ref="A2301:B2301"/>
    <mergeCell ref="A2302:B2302"/>
    <mergeCell ref="A2327:G2327"/>
    <mergeCell ref="A2328:B2328"/>
    <mergeCell ref="G2328:G2329"/>
    <mergeCell ref="A2329:B2329"/>
    <mergeCell ref="A2331:G2331"/>
    <mergeCell ref="A2332:B2332"/>
    <mergeCell ref="G2332:G2333"/>
    <mergeCell ref="A2333:B2333"/>
    <mergeCell ref="A2322:B2322"/>
    <mergeCell ref="A2323:G2323"/>
    <mergeCell ref="A2324:B2324"/>
    <mergeCell ref="G2324:G2325"/>
    <mergeCell ref="A2325:B2325"/>
    <mergeCell ref="A2326:B2326"/>
    <mergeCell ref="A2318:B2318"/>
    <mergeCell ref="C2318:E2318"/>
    <mergeCell ref="A2319:G2319"/>
    <mergeCell ref="A2320:B2320"/>
    <mergeCell ref="G2320:G2321"/>
    <mergeCell ref="A2321:B2321"/>
    <mergeCell ref="A2346:B2346"/>
    <mergeCell ref="A2347:G2347"/>
    <mergeCell ref="A2348:B2348"/>
    <mergeCell ref="G2348:G2349"/>
    <mergeCell ref="A2349:B2349"/>
    <mergeCell ref="A2350:B2350"/>
    <mergeCell ref="A2342:B2342"/>
    <mergeCell ref="C2342:E2342"/>
    <mergeCell ref="A2343:G2343"/>
    <mergeCell ref="A2344:B2344"/>
    <mergeCell ref="G2344:G2345"/>
    <mergeCell ref="A2345:B2345"/>
    <mergeCell ref="A2335:G2335"/>
    <mergeCell ref="A2336:F2336"/>
    <mergeCell ref="A2338:B2341"/>
    <mergeCell ref="C2338:G2339"/>
    <mergeCell ref="C2340:G2340"/>
    <mergeCell ref="C2341:E2341"/>
    <mergeCell ref="A2366:B2366"/>
    <mergeCell ref="C2366:E2366"/>
    <mergeCell ref="A2367:G2367"/>
    <mergeCell ref="A2368:B2368"/>
    <mergeCell ref="G2368:G2369"/>
    <mergeCell ref="A2369:B2369"/>
    <mergeCell ref="A2359:G2359"/>
    <mergeCell ref="A2360:F2360"/>
    <mergeCell ref="A2362:B2365"/>
    <mergeCell ref="C2362:G2363"/>
    <mergeCell ref="C2364:G2364"/>
    <mergeCell ref="C2365:E2365"/>
    <mergeCell ref="A2351:G2351"/>
    <mergeCell ref="A2352:B2352"/>
    <mergeCell ref="G2352:G2353"/>
    <mergeCell ref="A2353:B2353"/>
    <mergeCell ref="A2355:G2355"/>
    <mergeCell ref="A2356:B2356"/>
    <mergeCell ref="G2356:G2357"/>
    <mergeCell ref="A2357:B2357"/>
    <mergeCell ref="A2385:B2385"/>
    <mergeCell ref="G2385:G2386"/>
    <mergeCell ref="A2386:B2386"/>
    <mergeCell ref="A2388:G2388"/>
    <mergeCell ref="A2389:F2389"/>
    <mergeCell ref="A2391:B2394"/>
    <mergeCell ref="C2391:G2392"/>
    <mergeCell ref="C2393:G2393"/>
    <mergeCell ref="C2394:E2394"/>
    <mergeCell ref="A2379:B2379"/>
    <mergeCell ref="A2380:G2380"/>
    <mergeCell ref="A2381:B2381"/>
    <mergeCell ref="G2381:G2382"/>
    <mergeCell ref="A2382:B2382"/>
    <mergeCell ref="A2384:G2384"/>
    <mergeCell ref="A2370:B2370"/>
    <mergeCell ref="A2371:G2371"/>
    <mergeCell ref="A2372:B2372"/>
    <mergeCell ref="G2372:G2378"/>
    <mergeCell ref="A2373:B2373"/>
    <mergeCell ref="A2374:B2374"/>
    <mergeCell ref="A2375:B2375"/>
    <mergeCell ref="A2376:B2376"/>
    <mergeCell ref="A2377:B2377"/>
    <mergeCell ref="A2378:B2378"/>
    <mergeCell ref="A2416:B2416"/>
    <mergeCell ref="A2420:F2420"/>
    <mergeCell ref="A2409:B2409"/>
    <mergeCell ref="A2412:B2412"/>
    <mergeCell ref="A2408:B2408"/>
    <mergeCell ref="A2399:B2399"/>
    <mergeCell ref="A2400:G2400"/>
    <mergeCell ref="A2401:B2401"/>
    <mergeCell ref="A2402:B2402"/>
    <mergeCell ref="A2403:B2403"/>
    <mergeCell ref="A2404:B2404"/>
    <mergeCell ref="A2405:B2405"/>
    <mergeCell ref="A2406:B2406"/>
    <mergeCell ref="A2407:B2407"/>
    <mergeCell ref="A2395:B2395"/>
    <mergeCell ref="C2395:E2395"/>
    <mergeCell ref="A2396:G2396"/>
    <mergeCell ref="A2397:B2397"/>
    <mergeCell ref="G2397:G2398"/>
    <mergeCell ref="A2398:B2398"/>
    <mergeCell ref="A2415:G2415"/>
    <mergeCell ref="G2416:G2417"/>
    <mergeCell ref="A2417:B2417"/>
    <mergeCell ref="A2426:B2426"/>
    <mergeCell ref="C2426:E2426"/>
    <mergeCell ref="A2427:G2427"/>
    <mergeCell ref="A2428:B2428"/>
    <mergeCell ref="G2428:G2429"/>
    <mergeCell ref="A2429:B2429"/>
    <mergeCell ref="A2422:B2425"/>
    <mergeCell ref="C2422:G2423"/>
    <mergeCell ref="C2424:G2424"/>
    <mergeCell ref="C2425:E2425"/>
    <mergeCell ref="A2442:B2442"/>
    <mergeCell ref="A2434:B2434"/>
    <mergeCell ref="A2435:B2435"/>
    <mergeCell ref="A2436:B2436"/>
    <mergeCell ref="A2437:B2437"/>
    <mergeCell ref="A2438:B2438"/>
    <mergeCell ref="A2439:B2439"/>
    <mergeCell ref="A2430:B2430"/>
    <mergeCell ref="A2431:G2431"/>
    <mergeCell ref="A2432:B2432"/>
    <mergeCell ref="A2433:B2433"/>
    <mergeCell ref="G2432:G2438"/>
    <mergeCell ref="A2440:G2440"/>
    <mergeCell ref="A2441:B2441"/>
    <mergeCell ref="G2441:G2442"/>
    <mergeCell ref="A2459:B2459"/>
    <mergeCell ref="A2460:G2460"/>
    <mergeCell ref="A2461:B2461"/>
    <mergeCell ref="G2461:G2467"/>
    <mergeCell ref="A2462:B2462"/>
    <mergeCell ref="A2455:B2455"/>
    <mergeCell ref="C2455:E2455"/>
    <mergeCell ref="A2456:G2456"/>
    <mergeCell ref="A2457:B2457"/>
    <mergeCell ref="G2457:G2458"/>
    <mergeCell ref="A2458:B2458"/>
    <mergeCell ref="A2446:B2446"/>
    <mergeCell ref="A2448:G2448"/>
    <mergeCell ref="A2449:F2449"/>
    <mergeCell ref="A2451:B2454"/>
    <mergeCell ref="C2451:G2452"/>
    <mergeCell ref="C2453:G2453"/>
    <mergeCell ref="C2454:E2454"/>
    <mergeCell ref="A2480:B2483"/>
    <mergeCell ref="C2480:G2481"/>
    <mergeCell ref="C2482:G2482"/>
    <mergeCell ref="C2483:E2483"/>
    <mergeCell ref="A2474:B2474"/>
    <mergeCell ref="G2474:G2475"/>
    <mergeCell ref="A2475:B2475"/>
    <mergeCell ref="A2477:G2477"/>
    <mergeCell ref="A2478:F2478"/>
    <mergeCell ref="A2468:B2468"/>
    <mergeCell ref="A2469:G2469"/>
    <mergeCell ref="A2470:B2470"/>
    <mergeCell ref="G2470:G2471"/>
    <mergeCell ref="A2471:B2471"/>
    <mergeCell ref="A2473:G2473"/>
    <mergeCell ref="A2463:B2463"/>
    <mergeCell ref="A2464:B2464"/>
    <mergeCell ref="A2465:B2465"/>
    <mergeCell ref="A2466:B2466"/>
    <mergeCell ref="A2467:B2467"/>
    <mergeCell ref="A2497:B2497"/>
    <mergeCell ref="G2490:G2496"/>
    <mergeCell ref="A2498:G2498"/>
    <mergeCell ref="G2499:G2500"/>
    <mergeCell ref="A2500:B2500"/>
    <mergeCell ref="A2502:G2502"/>
    <mergeCell ref="G2503:G2504"/>
    <mergeCell ref="A2504:B2504"/>
    <mergeCell ref="A2506:G2506"/>
    <mergeCell ref="A2488:B2488"/>
    <mergeCell ref="A2489:G2489"/>
    <mergeCell ref="A2490:B2490"/>
    <mergeCell ref="A2491:B2491"/>
    <mergeCell ref="A2484:B2484"/>
    <mergeCell ref="C2484:E2484"/>
    <mergeCell ref="A2485:G2485"/>
    <mergeCell ref="A2486:B2486"/>
    <mergeCell ref="G2486:G2487"/>
    <mergeCell ref="A2487:B2487"/>
    <mergeCell ref="A2546:B2546"/>
    <mergeCell ref="A2547:G2547"/>
    <mergeCell ref="A2548:B2548"/>
    <mergeCell ref="G2548:G2554"/>
    <mergeCell ref="A2549:B2549"/>
    <mergeCell ref="A2550:B2550"/>
    <mergeCell ref="A2551:B2551"/>
    <mergeCell ref="A2552:B2552"/>
    <mergeCell ref="A2553:B2553"/>
    <mergeCell ref="A2554:B2554"/>
    <mergeCell ref="A2542:B2542"/>
    <mergeCell ref="C2542:E2542"/>
    <mergeCell ref="A2543:G2543"/>
    <mergeCell ref="A2544:B2544"/>
    <mergeCell ref="G2544:G2545"/>
    <mergeCell ref="A2545:B2545"/>
    <mergeCell ref="A2533:B2533"/>
    <mergeCell ref="A2535:G2535"/>
    <mergeCell ref="A2536:F2536"/>
    <mergeCell ref="A2538:B2541"/>
    <mergeCell ref="C2538:G2539"/>
    <mergeCell ref="C2540:G2540"/>
    <mergeCell ref="C2541:E2541"/>
    <mergeCell ref="A2571:B2571"/>
    <mergeCell ref="C2571:E2571"/>
    <mergeCell ref="A2572:G2572"/>
    <mergeCell ref="A2573:B2573"/>
    <mergeCell ref="G2573:G2574"/>
    <mergeCell ref="A2574:B2574"/>
    <mergeCell ref="A2561:B2561"/>
    <mergeCell ref="G2561:G2562"/>
    <mergeCell ref="A2562:B2562"/>
    <mergeCell ref="A2564:G2564"/>
    <mergeCell ref="A2565:F2565"/>
    <mergeCell ref="A2567:B2570"/>
    <mergeCell ref="C2567:G2568"/>
    <mergeCell ref="C2569:G2569"/>
    <mergeCell ref="C2570:E2570"/>
    <mergeCell ref="A2555:B2555"/>
    <mergeCell ref="A2556:G2556"/>
    <mergeCell ref="A2557:B2557"/>
    <mergeCell ref="G2557:G2558"/>
    <mergeCell ref="A2558:B2558"/>
    <mergeCell ref="A2560:G2560"/>
    <mergeCell ref="A2589:B2589"/>
    <mergeCell ref="G2589:G2590"/>
    <mergeCell ref="A2590:B2590"/>
    <mergeCell ref="A2592:G2592"/>
    <mergeCell ref="A2593:F2593"/>
    <mergeCell ref="A2595:B2598"/>
    <mergeCell ref="C2595:G2596"/>
    <mergeCell ref="C2597:G2597"/>
    <mergeCell ref="C2598:E2598"/>
    <mergeCell ref="A2583:B2583"/>
    <mergeCell ref="A2584:G2584"/>
    <mergeCell ref="A2585:B2585"/>
    <mergeCell ref="G2585:G2586"/>
    <mergeCell ref="A2586:B2586"/>
    <mergeCell ref="A2588:G2588"/>
    <mergeCell ref="A2575:B2575"/>
    <mergeCell ref="A2576:G2576"/>
    <mergeCell ref="A2577:B2577"/>
    <mergeCell ref="G2577:G2582"/>
    <mergeCell ref="A2578:B2578"/>
    <mergeCell ref="A2579:B2579"/>
    <mergeCell ref="A2580:B2580"/>
    <mergeCell ref="A2581:B2581"/>
    <mergeCell ref="A2582:B2582"/>
    <mergeCell ref="A2611:B2611"/>
    <mergeCell ref="A2612:G2612"/>
    <mergeCell ref="A2613:B2613"/>
    <mergeCell ref="G2613:G2614"/>
    <mergeCell ref="A2614:B2614"/>
    <mergeCell ref="A2616:G2616"/>
    <mergeCell ref="A2603:B2603"/>
    <mergeCell ref="A2604:G2604"/>
    <mergeCell ref="A2605:B2605"/>
    <mergeCell ref="G2605:G2610"/>
    <mergeCell ref="A2606:B2606"/>
    <mergeCell ref="A2607:B2607"/>
    <mergeCell ref="A2608:B2608"/>
    <mergeCell ref="A2609:B2609"/>
    <mergeCell ref="A2610:B2610"/>
    <mergeCell ref="A2599:B2599"/>
    <mergeCell ref="C2599:E2599"/>
    <mergeCell ref="A2600:G2600"/>
    <mergeCell ref="A2601:B2601"/>
    <mergeCell ref="G2601:G2602"/>
    <mergeCell ref="A2602:B2602"/>
    <mergeCell ref="A2631:B2631"/>
    <mergeCell ref="A2632:G2632"/>
    <mergeCell ref="A2633:B2633"/>
    <mergeCell ref="G2633:G2638"/>
    <mergeCell ref="A2634:B2634"/>
    <mergeCell ref="A2635:B2635"/>
    <mergeCell ref="A2636:B2636"/>
    <mergeCell ref="A2637:B2637"/>
    <mergeCell ref="A2638:B2638"/>
    <mergeCell ref="A2627:B2627"/>
    <mergeCell ref="C2627:E2627"/>
    <mergeCell ref="A2628:G2628"/>
    <mergeCell ref="A2629:B2629"/>
    <mergeCell ref="G2629:G2630"/>
    <mergeCell ref="A2630:B2630"/>
    <mergeCell ref="A2617:B2617"/>
    <mergeCell ref="G2617:G2618"/>
    <mergeCell ref="A2618:B2618"/>
    <mergeCell ref="A2620:G2620"/>
    <mergeCell ref="A2621:F2621"/>
    <mergeCell ref="A2623:B2626"/>
    <mergeCell ref="C2623:G2624"/>
    <mergeCell ref="C2625:G2625"/>
    <mergeCell ref="C2626:E2626"/>
    <mergeCell ref="A2655:B2655"/>
    <mergeCell ref="C2655:E2655"/>
    <mergeCell ref="A2656:G2656"/>
    <mergeCell ref="A2657:B2657"/>
    <mergeCell ref="G2657:G2658"/>
    <mergeCell ref="A2658:B2658"/>
    <mergeCell ref="A2645:B2645"/>
    <mergeCell ref="G2645:G2646"/>
    <mergeCell ref="A2646:B2646"/>
    <mergeCell ref="A2648:G2648"/>
    <mergeCell ref="A2649:F2649"/>
    <mergeCell ref="A2651:B2654"/>
    <mergeCell ref="C2651:G2652"/>
    <mergeCell ref="C2653:G2653"/>
    <mergeCell ref="C2654:E2654"/>
    <mergeCell ref="A2639:B2639"/>
    <mergeCell ref="A2640:G2640"/>
    <mergeCell ref="A2641:B2641"/>
    <mergeCell ref="G2641:G2642"/>
    <mergeCell ref="A2642:B2642"/>
    <mergeCell ref="A2644:G2644"/>
    <mergeCell ref="A2674:B2674"/>
    <mergeCell ref="G2674:G2675"/>
    <mergeCell ref="A2675:B2675"/>
    <mergeCell ref="A2677:G2677"/>
    <mergeCell ref="A2678:F2678"/>
    <mergeCell ref="A2680:B2683"/>
    <mergeCell ref="C2680:G2681"/>
    <mergeCell ref="C2682:G2682"/>
    <mergeCell ref="C2683:E2683"/>
    <mergeCell ref="A2668:B2668"/>
    <mergeCell ref="A2669:G2669"/>
    <mergeCell ref="A2670:B2670"/>
    <mergeCell ref="G2670:G2671"/>
    <mergeCell ref="A2671:B2671"/>
    <mergeCell ref="A2673:G2673"/>
    <mergeCell ref="A2659:B2659"/>
    <mergeCell ref="A2660:G2660"/>
    <mergeCell ref="A2661:B2661"/>
    <mergeCell ref="G2661:G2667"/>
    <mergeCell ref="A2662:B2662"/>
    <mergeCell ref="A2663:B2663"/>
    <mergeCell ref="A2664:B2664"/>
    <mergeCell ref="A2665:B2665"/>
    <mergeCell ref="A2666:B2666"/>
    <mergeCell ref="A2667:B2667"/>
    <mergeCell ref="A2693:B2693"/>
    <mergeCell ref="A2694:G2694"/>
    <mergeCell ref="A2695:B2695"/>
    <mergeCell ref="G2695:G2696"/>
    <mergeCell ref="A2696:B2696"/>
    <mergeCell ref="A2698:G2698"/>
    <mergeCell ref="A2688:B2688"/>
    <mergeCell ref="A2689:G2689"/>
    <mergeCell ref="A2690:B2690"/>
    <mergeCell ref="G2690:G2692"/>
    <mergeCell ref="A2691:B2691"/>
    <mergeCell ref="A2692:B2692"/>
    <mergeCell ref="A2684:B2684"/>
    <mergeCell ref="C2684:E2684"/>
    <mergeCell ref="A2685:G2685"/>
    <mergeCell ref="A2686:B2686"/>
    <mergeCell ref="G2686:G2687"/>
    <mergeCell ref="A2687:B2687"/>
    <mergeCell ref="A2699:B2699"/>
    <mergeCell ref="G2699:G2700"/>
    <mergeCell ref="A2700:B2700"/>
    <mergeCell ref="A2702:G2702"/>
    <mergeCell ref="A2703:F2703"/>
    <mergeCell ref="A2709:B2709"/>
    <mergeCell ref="C2709:E2709"/>
    <mergeCell ref="A2710:G2710"/>
    <mergeCell ref="A2711:B2711"/>
    <mergeCell ref="G2711:G2712"/>
    <mergeCell ref="A2712:B2712"/>
    <mergeCell ref="A2705:B2708"/>
    <mergeCell ref="C2705:G2706"/>
    <mergeCell ref="C2707:G2707"/>
    <mergeCell ref="C2708:E2708"/>
    <mergeCell ref="A2724:B2724"/>
    <mergeCell ref="G2724:G2725"/>
    <mergeCell ref="A2725:B2725"/>
    <mergeCell ref="A2730:B2733"/>
    <mergeCell ref="C2730:G2731"/>
    <mergeCell ref="C2732:G2732"/>
    <mergeCell ref="C2733:E2733"/>
    <mergeCell ref="A2727:G2727"/>
    <mergeCell ref="A2728:F2728"/>
    <mergeCell ref="A2718:B2718"/>
    <mergeCell ref="A2719:G2719"/>
    <mergeCell ref="A2720:B2720"/>
    <mergeCell ref="G2720:G2721"/>
    <mergeCell ref="A2721:B2721"/>
    <mergeCell ref="A2723:G2723"/>
    <mergeCell ref="A2713:B2713"/>
    <mergeCell ref="A2714:G2714"/>
    <mergeCell ref="A2715:B2715"/>
    <mergeCell ref="G2715:G2717"/>
    <mergeCell ref="A2716:B2716"/>
    <mergeCell ref="A2717:B2717"/>
    <mergeCell ref="A2743:B2743"/>
    <mergeCell ref="A2744:B2744"/>
    <mergeCell ref="A2745:B2745"/>
    <mergeCell ref="A2746:B2746"/>
    <mergeCell ref="A2747:G2747"/>
    <mergeCell ref="A2748:B2748"/>
    <mergeCell ref="G2748:G2749"/>
    <mergeCell ref="A2749:B2749"/>
    <mergeCell ref="A2738:B2738"/>
    <mergeCell ref="A2739:G2739"/>
    <mergeCell ref="A2740:B2740"/>
    <mergeCell ref="G2740:G2742"/>
    <mergeCell ref="A2741:B2741"/>
    <mergeCell ref="A2742:B2742"/>
    <mergeCell ref="A2734:B2734"/>
    <mergeCell ref="C2734:E2734"/>
    <mergeCell ref="A2735:G2735"/>
    <mergeCell ref="A2736:B2736"/>
    <mergeCell ref="G2736:G2737"/>
    <mergeCell ref="A2737:B2737"/>
    <mergeCell ref="A2763:G2763"/>
    <mergeCell ref="A2764:B2764"/>
    <mergeCell ref="G2764:G2765"/>
    <mergeCell ref="A2765:B2765"/>
    <mergeCell ref="A2766:B2766"/>
    <mergeCell ref="A2767:G2767"/>
    <mergeCell ref="A2758:B2761"/>
    <mergeCell ref="C2758:G2759"/>
    <mergeCell ref="C2760:G2760"/>
    <mergeCell ref="C2761:E2761"/>
    <mergeCell ref="A2762:B2762"/>
    <mergeCell ref="C2762:E2762"/>
    <mergeCell ref="A2751:G2751"/>
    <mergeCell ref="A2752:B2752"/>
    <mergeCell ref="G2752:G2753"/>
    <mergeCell ref="A2753:B2753"/>
    <mergeCell ref="A2755:G2755"/>
    <mergeCell ref="A2756:F2756"/>
    <mergeCell ref="A2779:G2779"/>
    <mergeCell ref="A2780:B2780"/>
    <mergeCell ref="G2780:G2781"/>
    <mergeCell ref="A2781:B2781"/>
    <mergeCell ref="A2783:G2783"/>
    <mergeCell ref="A2784:F2784"/>
    <mergeCell ref="A2773:B2773"/>
    <mergeCell ref="A2774:B2774"/>
    <mergeCell ref="A2775:G2775"/>
    <mergeCell ref="A2776:B2776"/>
    <mergeCell ref="G2776:G2777"/>
    <mergeCell ref="A2777:B2777"/>
    <mergeCell ref="A2768:B2768"/>
    <mergeCell ref="G2768:G2770"/>
    <mergeCell ref="A2769:B2769"/>
    <mergeCell ref="A2770:B2770"/>
    <mergeCell ref="A2771:B2771"/>
    <mergeCell ref="A2772:B2772"/>
    <mergeCell ref="A2796:B2796"/>
    <mergeCell ref="G2796:G2797"/>
    <mergeCell ref="A2797:B2797"/>
    <mergeCell ref="A2798:B2798"/>
    <mergeCell ref="A2799:G2799"/>
    <mergeCell ref="A2800:B2800"/>
    <mergeCell ref="G2800:G2801"/>
    <mergeCell ref="A2801:B2801"/>
    <mergeCell ref="A2791:G2791"/>
    <mergeCell ref="A2792:B2792"/>
    <mergeCell ref="G2792:G2793"/>
    <mergeCell ref="A2793:B2793"/>
    <mergeCell ref="A2794:B2794"/>
    <mergeCell ref="A2795:G2795"/>
    <mergeCell ref="A2786:B2789"/>
    <mergeCell ref="C2786:G2787"/>
    <mergeCell ref="C2788:G2788"/>
    <mergeCell ref="C2789:E2789"/>
    <mergeCell ref="A2790:B2790"/>
    <mergeCell ref="C2790:E2790"/>
    <mergeCell ref="A2815:G2815"/>
    <mergeCell ref="A2816:B2816"/>
    <mergeCell ref="G2816:G2817"/>
    <mergeCell ref="A2817:B2817"/>
    <mergeCell ref="A2818:B2818"/>
    <mergeCell ref="A2819:G2819"/>
    <mergeCell ref="A2810:B2813"/>
    <mergeCell ref="C2810:G2811"/>
    <mergeCell ref="C2812:G2812"/>
    <mergeCell ref="C2813:E2813"/>
    <mergeCell ref="A2814:B2814"/>
    <mergeCell ref="C2814:E2814"/>
    <mergeCell ref="A2803:G2803"/>
    <mergeCell ref="A2804:B2804"/>
    <mergeCell ref="G2804:G2805"/>
    <mergeCell ref="A2805:B2805"/>
    <mergeCell ref="A2807:G2807"/>
    <mergeCell ref="A2808:F2808"/>
    <mergeCell ref="A2834:B2837"/>
    <mergeCell ref="C2834:G2835"/>
    <mergeCell ref="C2836:G2836"/>
    <mergeCell ref="C2837:E2837"/>
    <mergeCell ref="A2838:B2838"/>
    <mergeCell ref="C2838:E2838"/>
    <mergeCell ref="A2827:G2827"/>
    <mergeCell ref="A2828:B2828"/>
    <mergeCell ref="G2828:G2829"/>
    <mergeCell ref="A2829:B2829"/>
    <mergeCell ref="A2831:G2831"/>
    <mergeCell ref="A2832:F2832"/>
    <mergeCell ref="A2820:B2820"/>
    <mergeCell ref="G2820:G2821"/>
    <mergeCell ref="A2821:B2821"/>
    <mergeCell ref="A2822:B2822"/>
    <mergeCell ref="A2823:G2823"/>
    <mergeCell ref="A2824:B2824"/>
    <mergeCell ref="G2824:G2825"/>
    <mergeCell ref="A2825:B2825"/>
    <mergeCell ref="A2851:G2851"/>
    <mergeCell ref="A2852:B2852"/>
    <mergeCell ref="G2852:G2853"/>
    <mergeCell ref="A2853:B2853"/>
    <mergeCell ref="A2855:G2855"/>
    <mergeCell ref="A2856:F2856"/>
    <mergeCell ref="A2844:B2844"/>
    <mergeCell ref="G2844:G2845"/>
    <mergeCell ref="A2845:B2845"/>
    <mergeCell ref="A2846:B2846"/>
    <mergeCell ref="A2847:G2847"/>
    <mergeCell ref="A2848:B2848"/>
    <mergeCell ref="G2848:G2849"/>
    <mergeCell ref="A2849:B2849"/>
    <mergeCell ref="A2839:G2839"/>
    <mergeCell ref="A2840:B2840"/>
    <mergeCell ref="G2840:G2841"/>
    <mergeCell ref="A2841:B2841"/>
    <mergeCell ref="A2842:B2842"/>
    <mergeCell ref="A2843:G2843"/>
    <mergeCell ref="A2868:B2868"/>
    <mergeCell ref="G2868:G2874"/>
    <mergeCell ref="A2869:B2869"/>
    <mergeCell ref="A2870:B2870"/>
    <mergeCell ref="A2871:B2871"/>
    <mergeCell ref="A2872:B2872"/>
    <mergeCell ref="A2873:B2873"/>
    <mergeCell ref="A2874:B2874"/>
    <mergeCell ref="A2863:G2863"/>
    <mergeCell ref="A2864:B2864"/>
    <mergeCell ref="G2864:G2865"/>
    <mergeCell ref="A2865:B2865"/>
    <mergeCell ref="A2866:B2866"/>
    <mergeCell ref="A2867:G2867"/>
    <mergeCell ref="A2858:B2861"/>
    <mergeCell ref="C2858:G2859"/>
    <mergeCell ref="C2860:G2860"/>
    <mergeCell ref="C2861:E2861"/>
    <mergeCell ref="A2862:B2862"/>
    <mergeCell ref="C2862:E2862"/>
    <mergeCell ref="A2891:B2891"/>
    <mergeCell ref="C2891:E2891"/>
    <mergeCell ref="A2892:G2892"/>
    <mergeCell ref="A2893:B2893"/>
    <mergeCell ref="G2893:G2894"/>
    <mergeCell ref="A2894:B2894"/>
    <mergeCell ref="A2881:B2881"/>
    <mergeCell ref="G2881:G2882"/>
    <mergeCell ref="A2882:B2882"/>
    <mergeCell ref="A2884:G2884"/>
    <mergeCell ref="A2885:F2885"/>
    <mergeCell ref="A2887:B2890"/>
    <mergeCell ref="C2887:G2888"/>
    <mergeCell ref="C2889:G2889"/>
    <mergeCell ref="C2890:E2890"/>
    <mergeCell ref="A2875:B2875"/>
    <mergeCell ref="A2876:G2876"/>
    <mergeCell ref="A2877:B2877"/>
    <mergeCell ref="G2877:G2878"/>
    <mergeCell ref="A2878:B2878"/>
    <mergeCell ref="A2880:G2880"/>
    <mergeCell ref="A2911:G2911"/>
    <mergeCell ref="A2912:B2912"/>
    <mergeCell ref="G2912:G2913"/>
    <mergeCell ref="A2913:B2913"/>
    <mergeCell ref="A2904:B2904"/>
    <mergeCell ref="A2905:B2905"/>
    <mergeCell ref="A2906:B2906"/>
    <mergeCell ref="A2971:B2971"/>
    <mergeCell ref="A2908:B2908"/>
    <mergeCell ref="A2909:B2909"/>
    <mergeCell ref="G2897:G2905"/>
    <mergeCell ref="A2907:G2907"/>
    <mergeCell ref="G2908:G2909"/>
    <mergeCell ref="A2895:B2895"/>
    <mergeCell ref="A2896:G2896"/>
    <mergeCell ref="A2897:B2897"/>
    <mergeCell ref="A2898:B2898"/>
    <mergeCell ref="A2899:B2899"/>
    <mergeCell ref="A2900:B2900"/>
    <mergeCell ref="A2901:B2901"/>
    <mergeCell ref="A2902:B2902"/>
    <mergeCell ref="A2903:B2903"/>
    <mergeCell ref="A2926:B2926"/>
    <mergeCell ref="A2927:G2927"/>
    <mergeCell ref="A2928:B2928"/>
    <mergeCell ref="G2928:G2934"/>
    <mergeCell ref="A2929:B2929"/>
    <mergeCell ref="A2930:B2930"/>
    <mergeCell ref="A2931:B2931"/>
    <mergeCell ref="A2932:B2932"/>
    <mergeCell ref="A2933:B2933"/>
    <mergeCell ref="A2934:B2934"/>
    <mergeCell ref="A2922:B2922"/>
    <mergeCell ref="C2922:E2922"/>
    <mergeCell ref="A2923:G2923"/>
    <mergeCell ref="A2924:B2924"/>
    <mergeCell ref="G2924:G2925"/>
    <mergeCell ref="A2925:B2925"/>
    <mergeCell ref="A2915:G2915"/>
    <mergeCell ref="A2916:F2916"/>
    <mergeCell ref="A2918:B2921"/>
    <mergeCell ref="C2918:G2919"/>
    <mergeCell ref="C2920:G2920"/>
    <mergeCell ref="C2921:E2921"/>
    <mergeCell ref="A2951:B2951"/>
    <mergeCell ref="C2951:E2951"/>
    <mergeCell ref="A2952:G2952"/>
    <mergeCell ref="A2953:B2953"/>
    <mergeCell ref="G2953:G2954"/>
    <mergeCell ref="A2954:B2954"/>
    <mergeCell ref="A2941:B2941"/>
    <mergeCell ref="G2941:G2942"/>
    <mergeCell ref="A2942:B2942"/>
    <mergeCell ref="A2944:G2944"/>
    <mergeCell ref="A2945:F2945"/>
    <mergeCell ref="A2947:B2950"/>
    <mergeCell ref="C2947:G2948"/>
    <mergeCell ref="C2949:G2949"/>
    <mergeCell ref="C2950:E2950"/>
    <mergeCell ref="A2935:B2935"/>
    <mergeCell ref="A2936:G2936"/>
    <mergeCell ref="A2937:B2937"/>
    <mergeCell ref="G2937:G2938"/>
    <mergeCell ref="A2938:B2938"/>
    <mergeCell ref="A2940:G2940"/>
    <mergeCell ref="A2980:B2980"/>
    <mergeCell ref="C2980:E2980"/>
    <mergeCell ref="A2981:G2981"/>
    <mergeCell ref="A2982:B2982"/>
    <mergeCell ref="G2982:G2983"/>
    <mergeCell ref="A2983:B2983"/>
    <mergeCell ref="A2973:G2973"/>
    <mergeCell ref="A2974:F2974"/>
    <mergeCell ref="A2976:B2979"/>
    <mergeCell ref="C2976:G2977"/>
    <mergeCell ref="C2978:G2978"/>
    <mergeCell ref="C2979:E2979"/>
    <mergeCell ref="A2970:B2970"/>
    <mergeCell ref="A2964:B2964"/>
    <mergeCell ref="A2966:B2966"/>
    <mergeCell ref="A2967:B2967"/>
    <mergeCell ref="A2955:B2955"/>
    <mergeCell ref="A2956:G2956"/>
    <mergeCell ref="A2957:B2957"/>
    <mergeCell ref="A2958:B2958"/>
    <mergeCell ref="A2959:B2959"/>
    <mergeCell ref="A2960:B2960"/>
    <mergeCell ref="A2961:B2961"/>
    <mergeCell ref="A2962:B2962"/>
    <mergeCell ref="A2963:B2963"/>
    <mergeCell ref="G2957:G2963"/>
    <mergeCell ref="A2965:G2965"/>
    <mergeCell ref="G2966:G2967"/>
    <mergeCell ref="A2969:G2969"/>
    <mergeCell ref="G2970:G2971"/>
    <mergeCell ref="A2998:B2998"/>
    <mergeCell ref="G2998:G2999"/>
    <mergeCell ref="A2999:B2999"/>
    <mergeCell ref="A3001:G3001"/>
    <mergeCell ref="A3002:F3002"/>
    <mergeCell ref="A3004:B3007"/>
    <mergeCell ref="C3004:G3005"/>
    <mergeCell ref="C3006:G3006"/>
    <mergeCell ref="C3007:E3007"/>
    <mergeCell ref="A2992:B2992"/>
    <mergeCell ref="A2993:G2993"/>
    <mergeCell ref="A2994:B2994"/>
    <mergeCell ref="G2994:G2995"/>
    <mergeCell ref="A2995:B2995"/>
    <mergeCell ref="A2997:G2997"/>
    <mergeCell ref="A2984:B2984"/>
    <mergeCell ref="A2985:G2985"/>
    <mergeCell ref="A2986:B2986"/>
    <mergeCell ref="G2986:G2991"/>
    <mergeCell ref="A2987:B2987"/>
    <mergeCell ref="A2988:B2988"/>
    <mergeCell ref="A2989:B2989"/>
    <mergeCell ref="A2990:B2990"/>
    <mergeCell ref="A2991:B2991"/>
    <mergeCell ref="A3020:B3020"/>
    <mergeCell ref="A3021:G3021"/>
    <mergeCell ref="A3022:B3022"/>
    <mergeCell ref="G3022:G3023"/>
    <mergeCell ref="A3023:B3023"/>
    <mergeCell ref="A3025:G3025"/>
    <mergeCell ref="A3012:B3012"/>
    <mergeCell ref="A3013:G3013"/>
    <mergeCell ref="A3014:B3014"/>
    <mergeCell ref="G3014:G3019"/>
    <mergeCell ref="A3015:B3015"/>
    <mergeCell ref="A3016:B3016"/>
    <mergeCell ref="A3017:B3017"/>
    <mergeCell ref="A3018:B3018"/>
    <mergeCell ref="A3019:B3019"/>
    <mergeCell ref="A3008:B3008"/>
    <mergeCell ref="C3008:E3008"/>
    <mergeCell ref="A3009:G3009"/>
    <mergeCell ref="A3010:B3010"/>
    <mergeCell ref="G3010:G3011"/>
    <mergeCell ref="A3011:B3011"/>
    <mergeCell ref="A3040:B3040"/>
    <mergeCell ref="A3041:G3041"/>
    <mergeCell ref="A3042:B3042"/>
    <mergeCell ref="G3042:G3047"/>
    <mergeCell ref="A3043:B3043"/>
    <mergeCell ref="A3044:B3044"/>
    <mergeCell ref="A3045:B3045"/>
    <mergeCell ref="A3046:B3046"/>
    <mergeCell ref="A3047:B3047"/>
    <mergeCell ref="A3036:B3036"/>
    <mergeCell ref="C3036:E3036"/>
    <mergeCell ref="A3037:G3037"/>
    <mergeCell ref="A3038:B3038"/>
    <mergeCell ref="G3038:G3039"/>
    <mergeCell ref="A3039:B3039"/>
    <mergeCell ref="A3026:B3026"/>
    <mergeCell ref="G3026:G3027"/>
    <mergeCell ref="A3027:B3027"/>
    <mergeCell ref="A3029:G3029"/>
    <mergeCell ref="A3030:F3030"/>
    <mergeCell ref="A3032:B3035"/>
    <mergeCell ref="C3032:G3033"/>
    <mergeCell ref="C3034:G3034"/>
    <mergeCell ref="C3035:E3035"/>
    <mergeCell ref="A3064:B3064"/>
    <mergeCell ref="C3064:E3064"/>
    <mergeCell ref="A3065:G3065"/>
    <mergeCell ref="A3066:B3066"/>
    <mergeCell ref="G3066:G3067"/>
    <mergeCell ref="A3067:B3067"/>
    <mergeCell ref="A3054:B3054"/>
    <mergeCell ref="G3054:G3055"/>
    <mergeCell ref="A3055:B3055"/>
    <mergeCell ref="A3057:G3057"/>
    <mergeCell ref="A3058:F3058"/>
    <mergeCell ref="A3060:B3063"/>
    <mergeCell ref="C3060:G3061"/>
    <mergeCell ref="C3062:G3062"/>
    <mergeCell ref="C3063:E3063"/>
    <mergeCell ref="A3048:B3048"/>
    <mergeCell ref="A3049:G3049"/>
    <mergeCell ref="A3050:B3050"/>
    <mergeCell ref="G3050:G3051"/>
    <mergeCell ref="A3051:B3051"/>
    <mergeCell ref="A3053:G3053"/>
    <mergeCell ref="A3082:G3082"/>
    <mergeCell ref="A3083:F3083"/>
    <mergeCell ref="A3085:B3088"/>
    <mergeCell ref="C3085:G3086"/>
    <mergeCell ref="C3087:G3087"/>
    <mergeCell ref="C3088:E3088"/>
    <mergeCell ref="A3073:G3073"/>
    <mergeCell ref="A3074:B3074"/>
    <mergeCell ref="G3074:G3075"/>
    <mergeCell ref="A3075:B3075"/>
    <mergeCell ref="A3077:G3077"/>
    <mergeCell ref="A3078:B3078"/>
    <mergeCell ref="G3078:G3080"/>
    <mergeCell ref="A3079:B3079"/>
    <mergeCell ref="A3068:B3068"/>
    <mergeCell ref="A3069:G3069"/>
    <mergeCell ref="A3070:B3070"/>
    <mergeCell ref="G3070:G3071"/>
    <mergeCell ref="A3071:B3071"/>
    <mergeCell ref="A3072:B3072"/>
    <mergeCell ref="A3099:G3099"/>
    <mergeCell ref="A3100:B3100"/>
    <mergeCell ref="G3100:G3101"/>
    <mergeCell ref="A3101:B3101"/>
    <mergeCell ref="A3103:G3103"/>
    <mergeCell ref="A3104:B3104"/>
    <mergeCell ref="G3104:G3105"/>
    <mergeCell ref="A3105:B3105"/>
    <mergeCell ref="A3094:B3094"/>
    <mergeCell ref="A3095:G3095"/>
    <mergeCell ref="A3096:B3096"/>
    <mergeCell ref="G3096:G3097"/>
    <mergeCell ref="A3097:B3097"/>
    <mergeCell ref="A3098:B3098"/>
    <mergeCell ref="A3089:B3089"/>
    <mergeCell ref="C3089:E3089"/>
    <mergeCell ref="A3090:G3090"/>
    <mergeCell ref="A3091:B3091"/>
    <mergeCell ref="G3091:G3093"/>
    <mergeCell ref="A3092:B3092"/>
    <mergeCell ref="A3093:B3093"/>
    <mergeCell ref="A3118:B3118"/>
    <mergeCell ref="A3119:G3119"/>
    <mergeCell ref="A3120:B3120"/>
    <mergeCell ref="G3120:G3121"/>
    <mergeCell ref="A3121:B3121"/>
    <mergeCell ref="A3122:B3122"/>
    <mergeCell ref="A3114:B3114"/>
    <mergeCell ref="C3114:E3114"/>
    <mergeCell ref="A3115:G3115"/>
    <mergeCell ref="A3116:B3116"/>
    <mergeCell ref="G3116:G3117"/>
    <mergeCell ref="A3117:B3117"/>
    <mergeCell ref="A3110:B3113"/>
    <mergeCell ref="C3110:G3111"/>
    <mergeCell ref="C3112:G3112"/>
    <mergeCell ref="C3113:E3113"/>
    <mergeCell ref="A3107:G3107"/>
    <mergeCell ref="A3108:F3108"/>
    <mergeCell ref="A3138:B3138"/>
    <mergeCell ref="C3138:E3138"/>
    <mergeCell ref="A3139:G3139"/>
    <mergeCell ref="A3140:B3140"/>
    <mergeCell ref="G3140:G3141"/>
    <mergeCell ref="A3141:B3141"/>
    <mergeCell ref="A3131:G3131"/>
    <mergeCell ref="A3132:F3132"/>
    <mergeCell ref="A3134:B3137"/>
    <mergeCell ref="C3134:G3135"/>
    <mergeCell ref="C3136:G3136"/>
    <mergeCell ref="C3137:E3137"/>
    <mergeCell ref="A3123:G3123"/>
    <mergeCell ref="A3124:B3124"/>
    <mergeCell ref="G3124:G3125"/>
    <mergeCell ref="A3125:B3125"/>
    <mergeCell ref="A3127:G3127"/>
    <mergeCell ref="A3128:B3128"/>
    <mergeCell ref="G3128:G3129"/>
    <mergeCell ref="A3129:B3129"/>
    <mergeCell ref="A3153:G3153"/>
    <mergeCell ref="A3154:B3154"/>
    <mergeCell ref="G3154:G3155"/>
    <mergeCell ref="A3155:B3155"/>
    <mergeCell ref="A3157:G3157"/>
    <mergeCell ref="A3158:F3158"/>
    <mergeCell ref="A3146:B3146"/>
    <mergeCell ref="A3147:B3147"/>
    <mergeCell ref="A3148:B3148"/>
    <mergeCell ref="A3149:G3149"/>
    <mergeCell ref="A3150:B3150"/>
    <mergeCell ref="G3150:G3151"/>
    <mergeCell ref="A3151:B3151"/>
    <mergeCell ref="A3142:B3142"/>
    <mergeCell ref="A3143:G3143"/>
    <mergeCell ref="A3144:B3144"/>
    <mergeCell ref="G3144:G3145"/>
    <mergeCell ref="A3145:B3145"/>
    <mergeCell ref="A3170:B3170"/>
    <mergeCell ref="G3170:G3171"/>
    <mergeCell ref="A3171:B3171"/>
    <mergeCell ref="A3172:B3172"/>
    <mergeCell ref="A3173:B3173"/>
    <mergeCell ref="A3165:G3165"/>
    <mergeCell ref="A3166:B3166"/>
    <mergeCell ref="G3166:G3167"/>
    <mergeCell ref="A3167:B3167"/>
    <mergeCell ref="A3168:B3168"/>
    <mergeCell ref="A3169:G3169"/>
    <mergeCell ref="A3160:B3163"/>
    <mergeCell ref="C3160:G3161"/>
    <mergeCell ref="C3162:G3162"/>
    <mergeCell ref="C3163:E3163"/>
    <mergeCell ref="A3164:B3164"/>
    <mergeCell ref="C3164:E3164"/>
    <mergeCell ref="A3190:B3190"/>
    <mergeCell ref="C3190:E3190"/>
    <mergeCell ref="A3191:G3191"/>
    <mergeCell ref="A3192:B3192"/>
    <mergeCell ref="G3192:G3193"/>
    <mergeCell ref="A3193:B3193"/>
    <mergeCell ref="A3180:B3180"/>
    <mergeCell ref="G3180:G3181"/>
    <mergeCell ref="A3181:B3181"/>
    <mergeCell ref="A3183:G3183"/>
    <mergeCell ref="A3184:F3184"/>
    <mergeCell ref="A3186:B3189"/>
    <mergeCell ref="C3186:G3187"/>
    <mergeCell ref="C3188:G3188"/>
    <mergeCell ref="C3189:E3189"/>
    <mergeCell ref="A3174:B3174"/>
    <mergeCell ref="A3175:G3175"/>
    <mergeCell ref="A3176:B3176"/>
    <mergeCell ref="G3176:G3177"/>
    <mergeCell ref="A3177:B3177"/>
    <mergeCell ref="A3179:G3179"/>
    <mergeCell ref="A3205:G3205"/>
    <mergeCell ref="A3206:B3206"/>
    <mergeCell ref="G3206:G3207"/>
    <mergeCell ref="A3207:B3207"/>
    <mergeCell ref="A3209:G3209"/>
    <mergeCell ref="A3210:F3210"/>
    <mergeCell ref="A3198:B3198"/>
    <mergeCell ref="A3199:B3199"/>
    <mergeCell ref="A3200:B3200"/>
    <mergeCell ref="A3201:G3201"/>
    <mergeCell ref="A3202:B3202"/>
    <mergeCell ref="G3202:G3203"/>
    <mergeCell ref="A3203:B3203"/>
    <mergeCell ref="A3194:B3194"/>
    <mergeCell ref="A3195:G3195"/>
    <mergeCell ref="A3196:B3196"/>
    <mergeCell ref="A3197:B3197"/>
    <mergeCell ref="G3196:G3199"/>
    <mergeCell ref="A3222:B3222"/>
    <mergeCell ref="G3222:G3224"/>
    <mergeCell ref="A3223:B3223"/>
    <mergeCell ref="A3224:B3224"/>
    <mergeCell ref="A3225:B3225"/>
    <mergeCell ref="A3226:B3226"/>
    <mergeCell ref="A3217:G3217"/>
    <mergeCell ref="A3218:B3218"/>
    <mergeCell ref="G3218:G3219"/>
    <mergeCell ref="A3219:B3219"/>
    <mergeCell ref="A3220:B3220"/>
    <mergeCell ref="A3221:G3221"/>
    <mergeCell ref="A3212:B3215"/>
    <mergeCell ref="C3212:G3213"/>
    <mergeCell ref="C3214:G3214"/>
    <mergeCell ref="C3215:E3215"/>
    <mergeCell ref="A3216:B3216"/>
    <mergeCell ref="C3216:E3216"/>
    <mergeCell ref="A3243:B3243"/>
    <mergeCell ref="C3243:E3243"/>
    <mergeCell ref="A3244:G3244"/>
    <mergeCell ref="A3245:B3245"/>
    <mergeCell ref="G3245:G3246"/>
    <mergeCell ref="A3246:B3246"/>
    <mergeCell ref="A3236:G3236"/>
    <mergeCell ref="A3237:F3237"/>
    <mergeCell ref="A3239:B3242"/>
    <mergeCell ref="C3239:G3240"/>
    <mergeCell ref="C3241:G3241"/>
    <mergeCell ref="C3242:E3242"/>
    <mergeCell ref="A3227:G3227"/>
    <mergeCell ref="A3228:B3228"/>
    <mergeCell ref="G3228:G3229"/>
    <mergeCell ref="A3229:B3229"/>
    <mergeCell ref="A3231:G3231"/>
    <mergeCell ref="A3232:B3232"/>
    <mergeCell ref="G3232:G3234"/>
    <mergeCell ref="A3233:B3233"/>
    <mergeCell ref="A3260:G3260"/>
    <mergeCell ref="A3261:B3261"/>
    <mergeCell ref="G3261:G3262"/>
    <mergeCell ref="A3262:B3262"/>
    <mergeCell ref="A3264:G3264"/>
    <mergeCell ref="A3265:F3265"/>
    <mergeCell ref="A3252:B3252"/>
    <mergeCell ref="A3253:G3253"/>
    <mergeCell ref="A3254:B3254"/>
    <mergeCell ref="G3254:G3258"/>
    <mergeCell ref="A3255:B3255"/>
    <mergeCell ref="A3256:B3256"/>
    <mergeCell ref="A3257:B3257"/>
    <mergeCell ref="A3258:B3258"/>
    <mergeCell ref="A3247:B3247"/>
    <mergeCell ref="A3248:G3248"/>
    <mergeCell ref="A3249:B3249"/>
    <mergeCell ref="G3249:G3251"/>
    <mergeCell ref="A3250:B3250"/>
    <mergeCell ref="A3251:B3251"/>
    <mergeCell ref="A3301:B3301"/>
    <mergeCell ref="G3301:G3302"/>
    <mergeCell ref="A3302:B3302"/>
    <mergeCell ref="A3303:B3303"/>
    <mergeCell ref="A3304:G3304"/>
    <mergeCell ref="A3305:B3305"/>
    <mergeCell ref="G3305:G3306"/>
    <mergeCell ref="A3306:B3306"/>
    <mergeCell ref="A3296:G3296"/>
    <mergeCell ref="A3297:B3297"/>
    <mergeCell ref="G3297:G3298"/>
    <mergeCell ref="A3298:B3298"/>
    <mergeCell ref="A3299:B3299"/>
    <mergeCell ref="A3300:G3300"/>
    <mergeCell ref="A3291:B3294"/>
    <mergeCell ref="C3291:G3292"/>
    <mergeCell ref="C3293:G3293"/>
    <mergeCell ref="C3294:E3294"/>
    <mergeCell ref="A3295:B3295"/>
    <mergeCell ref="C3295:E3295"/>
    <mergeCell ref="A3320:G3320"/>
    <mergeCell ref="A3321:B3321"/>
    <mergeCell ref="G3321:G3322"/>
    <mergeCell ref="A3322:B3322"/>
    <mergeCell ref="A3323:B3323"/>
    <mergeCell ref="A3324:G3324"/>
    <mergeCell ref="A3315:B3318"/>
    <mergeCell ref="C3315:G3316"/>
    <mergeCell ref="C3317:G3317"/>
    <mergeCell ref="C3318:E3318"/>
    <mergeCell ref="A3319:B3319"/>
    <mergeCell ref="C3319:E3319"/>
    <mergeCell ref="A3308:G3308"/>
    <mergeCell ref="A3309:B3309"/>
    <mergeCell ref="G3309:G3310"/>
    <mergeCell ref="A3310:B3310"/>
    <mergeCell ref="A3312:G3312"/>
    <mergeCell ref="A3313:F3313"/>
    <mergeCell ref="A3339:B3342"/>
    <mergeCell ref="C3339:G3340"/>
    <mergeCell ref="C3341:G3341"/>
    <mergeCell ref="C3342:E3342"/>
    <mergeCell ref="A3343:B3343"/>
    <mergeCell ref="C3343:E3343"/>
    <mergeCell ref="A3332:G3332"/>
    <mergeCell ref="A3333:B3333"/>
    <mergeCell ref="G3333:G3334"/>
    <mergeCell ref="A3334:B3334"/>
    <mergeCell ref="A3336:G3336"/>
    <mergeCell ref="A3337:F3337"/>
    <mergeCell ref="A3325:B3325"/>
    <mergeCell ref="G3325:G3326"/>
    <mergeCell ref="A3326:B3326"/>
    <mergeCell ref="A3327:B3327"/>
    <mergeCell ref="A3328:G3328"/>
    <mergeCell ref="A3329:B3329"/>
    <mergeCell ref="G3329:G3330"/>
    <mergeCell ref="A3330:B3330"/>
    <mergeCell ref="A3356:G3356"/>
    <mergeCell ref="A3357:B3357"/>
    <mergeCell ref="G3357:G3358"/>
    <mergeCell ref="A3358:B3358"/>
    <mergeCell ref="A3360:G3360"/>
    <mergeCell ref="A3361:F3361"/>
    <mergeCell ref="A3349:B3349"/>
    <mergeCell ref="G3349:G3350"/>
    <mergeCell ref="A3350:B3350"/>
    <mergeCell ref="A3351:B3351"/>
    <mergeCell ref="A3352:G3352"/>
    <mergeCell ref="A3353:B3353"/>
    <mergeCell ref="G3353:G3354"/>
    <mergeCell ref="A3354:B3354"/>
    <mergeCell ref="A3344:G3344"/>
    <mergeCell ref="A3345:B3345"/>
    <mergeCell ref="G3345:G3346"/>
    <mergeCell ref="A3346:B3346"/>
    <mergeCell ref="A3347:B3347"/>
    <mergeCell ref="A3348:G3348"/>
    <mergeCell ref="A3373:B3373"/>
    <mergeCell ref="G3373:G3374"/>
    <mergeCell ref="A3374:B3374"/>
    <mergeCell ref="A3375:B3375"/>
    <mergeCell ref="A3376:G3376"/>
    <mergeCell ref="A3377:B3377"/>
    <mergeCell ref="G3377:G3378"/>
    <mergeCell ref="A3378:B3378"/>
    <mergeCell ref="A3368:G3368"/>
    <mergeCell ref="A3369:B3369"/>
    <mergeCell ref="G3369:G3370"/>
    <mergeCell ref="A3370:B3370"/>
    <mergeCell ref="A3371:B3371"/>
    <mergeCell ref="A3372:G3372"/>
    <mergeCell ref="A3363:B3366"/>
    <mergeCell ref="C3363:G3364"/>
    <mergeCell ref="C3365:G3365"/>
    <mergeCell ref="C3366:E3366"/>
    <mergeCell ref="A3367:B3367"/>
    <mergeCell ref="C3367:E3367"/>
    <mergeCell ref="A3392:G3392"/>
    <mergeCell ref="A3393:B3393"/>
    <mergeCell ref="G3393:G3394"/>
    <mergeCell ref="A3394:B3394"/>
    <mergeCell ref="A3395:B3395"/>
    <mergeCell ref="A3396:G3396"/>
    <mergeCell ref="A3387:B3390"/>
    <mergeCell ref="C3387:G3388"/>
    <mergeCell ref="C3389:G3389"/>
    <mergeCell ref="C3390:E3390"/>
    <mergeCell ref="A3391:B3391"/>
    <mergeCell ref="C3391:E3391"/>
    <mergeCell ref="A3380:G3380"/>
    <mergeCell ref="A3381:B3381"/>
    <mergeCell ref="G3381:G3382"/>
    <mergeCell ref="A3382:B3382"/>
    <mergeCell ref="A3384:G3384"/>
    <mergeCell ref="A3385:F3385"/>
    <mergeCell ref="A3412:B3415"/>
    <mergeCell ref="C3412:G3413"/>
    <mergeCell ref="C3414:G3414"/>
    <mergeCell ref="C3415:E3415"/>
    <mergeCell ref="A3409:G3409"/>
    <mergeCell ref="A3410:F3410"/>
    <mergeCell ref="A3402:B3402"/>
    <mergeCell ref="G3402:G3403"/>
    <mergeCell ref="A3403:B3403"/>
    <mergeCell ref="A3405:G3405"/>
    <mergeCell ref="A3406:B3406"/>
    <mergeCell ref="G3406:G3407"/>
    <mergeCell ref="A3407:B3407"/>
    <mergeCell ref="A3397:B3397"/>
    <mergeCell ref="G3397:G3399"/>
    <mergeCell ref="A3398:B3398"/>
    <mergeCell ref="A3399:B3399"/>
    <mergeCell ref="A3400:B3400"/>
    <mergeCell ref="A3401:G3401"/>
    <mergeCell ref="A3426:B3426"/>
    <mergeCell ref="A3427:G3427"/>
    <mergeCell ref="A3428:B3428"/>
    <mergeCell ref="G3428:G3429"/>
    <mergeCell ref="A3429:B3429"/>
    <mergeCell ref="A3431:G3431"/>
    <mergeCell ref="A3420:B3420"/>
    <mergeCell ref="A3421:G3421"/>
    <mergeCell ref="A3422:B3422"/>
    <mergeCell ref="G3422:G3425"/>
    <mergeCell ref="A3423:B3423"/>
    <mergeCell ref="A3424:B3424"/>
    <mergeCell ref="A3425:B3425"/>
    <mergeCell ref="A3416:B3416"/>
    <mergeCell ref="C3416:E3416"/>
    <mergeCell ref="A3417:G3417"/>
    <mergeCell ref="A3418:B3418"/>
    <mergeCell ref="G3418:G3419"/>
    <mergeCell ref="A3419:B3419"/>
    <mergeCell ref="A3446:B3446"/>
    <mergeCell ref="A3447:G3447"/>
    <mergeCell ref="A3448:B3448"/>
    <mergeCell ref="G3448:G3450"/>
    <mergeCell ref="A3449:B3449"/>
    <mergeCell ref="A3450:B3450"/>
    <mergeCell ref="A3442:B3442"/>
    <mergeCell ref="C3442:E3442"/>
    <mergeCell ref="A3443:G3443"/>
    <mergeCell ref="A3444:B3444"/>
    <mergeCell ref="G3444:G3445"/>
    <mergeCell ref="A3445:B3445"/>
    <mergeCell ref="A3432:B3432"/>
    <mergeCell ref="G3432:G3433"/>
    <mergeCell ref="A3433:B3433"/>
    <mergeCell ref="A3435:G3435"/>
    <mergeCell ref="A3436:F3436"/>
    <mergeCell ref="A3438:B3441"/>
    <mergeCell ref="C3438:G3439"/>
    <mergeCell ref="C3440:G3440"/>
    <mergeCell ref="C3441:E3441"/>
    <mergeCell ref="A3467:B3467"/>
    <mergeCell ref="C3467:E3467"/>
    <mergeCell ref="A3468:G3468"/>
    <mergeCell ref="A3469:B3469"/>
    <mergeCell ref="G3469:G3470"/>
    <mergeCell ref="A3470:B3470"/>
    <mergeCell ref="A3457:B3457"/>
    <mergeCell ref="G3457:G3458"/>
    <mergeCell ref="A3458:B3458"/>
    <mergeCell ref="A3460:G3460"/>
    <mergeCell ref="A3461:F3461"/>
    <mergeCell ref="A3463:B3466"/>
    <mergeCell ref="C3463:G3464"/>
    <mergeCell ref="C3465:G3465"/>
    <mergeCell ref="C3466:E3466"/>
    <mergeCell ref="A3451:B3451"/>
    <mergeCell ref="A3452:G3452"/>
    <mergeCell ref="A3453:B3453"/>
    <mergeCell ref="G3453:G3454"/>
    <mergeCell ref="A3454:B3454"/>
    <mergeCell ref="A3456:G3456"/>
    <mergeCell ref="A3483:B3483"/>
    <mergeCell ref="G3483:G3485"/>
    <mergeCell ref="A3484:B3484"/>
    <mergeCell ref="A3487:G3487"/>
    <mergeCell ref="A3488:F3488"/>
    <mergeCell ref="A3490:B3493"/>
    <mergeCell ref="C3490:G3491"/>
    <mergeCell ref="C3492:G3492"/>
    <mergeCell ref="C3493:E3493"/>
    <mergeCell ref="A3477:B3477"/>
    <mergeCell ref="A3478:G3478"/>
    <mergeCell ref="A3479:B3479"/>
    <mergeCell ref="G3479:G3480"/>
    <mergeCell ref="A3480:B3480"/>
    <mergeCell ref="A3482:G3482"/>
    <mergeCell ref="A3471:B3471"/>
    <mergeCell ref="A3472:G3472"/>
    <mergeCell ref="A3473:B3473"/>
    <mergeCell ref="G3473:G3476"/>
    <mergeCell ref="A3474:B3474"/>
    <mergeCell ref="A3475:B3475"/>
    <mergeCell ref="A3476:B3476"/>
    <mergeCell ref="A3503:B3503"/>
    <mergeCell ref="A3504:G3504"/>
    <mergeCell ref="A3505:B3505"/>
    <mergeCell ref="G3505:G3506"/>
    <mergeCell ref="A3506:B3506"/>
    <mergeCell ref="A3508:G3508"/>
    <mergeCell ref="A3498:B3498"/>
    <mergeCell ref="A3499:G3499"/>
    <mergeCell ref="A3500:B3500"/>
    <mergeCell ref="G3500:G3502"/>
    <mergeCell ref="A3501:B3501"/>
    <mergeCell ref="A3502:B3502"/>
    <mergeCell ref="A3494:B3494"/>
    <mergeCell ref="C3494:E3494"/>
    <mergeCell ref="A3495:G3495"/>
    <mergeCell ref="A3496:B3496"/>
    <mergeCell ref="G3496:G3497"/>
    <mergeCell ref="A3497:B3497"/>
    <mergeCell ref="A3523:B3523"/>
    <mergeCell ref="A3524:G3524"/>
    <mergeCell ref="A3525:B3525"/>
    <mergeCell ref="G3525:G3526"/>
    <mergeCell ref="A3526:B3526"/>
    <mergeCell ref="A3527:B3527"/>
    <mergeCell ref="A3519:B3519"/>
    <mergeCell ref="C3519:E3519"/>
    <mergeCell ref="A3520:G3520"/>
    <mergeCell ref="A3521:B3521"/>
    <mergeCell ref="G3521:G3522"/>
    <mergeCell ref="A3522:B3522"/>
    <mergeCell ref="A3509:B3509"/>
    <mergeCell ref="G3509:G3510"/>
    <mergeCell ref="A3510:B3510"/>
    <mergeCell ref="A3512:G3512"/>
    <mergeCell ref="A3513:F3513"/>
    <mergeCell ref="A3515:B3518"/>
    <mergeCell ref="C3515:G3516"/>
    <mergeCell ref="C3517:G3517"/>
    <mergeCell ref="C3518:E3518"/>
    <mergeCell ref="A3544:B3544"/>
    <mergeCell ref="C3544:E3544"/>
    <mergeCell ref="A3545:G3545"/>
    <mergeCell ref="A3546:B3546"/>
    <mergeCell ref="G3546:G3547"/>
    <mergeCell ref="A3547:B3547"/>
    <mergeCell ref="A3536:G3536"/>
    <mergeCell ref="A3537:F3537"/>
    <mergeCell ref="A3540:B3543"/>
    <mergeCell ref="C3540:G3541"/>
    <mergeCell ref="C3542:G3542"/>
    <mergeCell ref="C3543:E3543"/>
    <mergeCell ref="A3528:G3528"/>
    <mergeCell ref="A3529:B3529"/>
    <mergeCell ref="G3529:G3530"/>
    <mergeCell ref="A3530:B3530"/>
    <mergeCell ref="A3532:G3532"/>
    <mergeCell ref="A3533:B3533"/>
    <mergeCell ref="G3533:G3534"/>
    <mergeCell ref="A3534:B3534"/>
    <mergeCell ref="A3559:B3559"/>
    <mergeCell ref="G3559:G3560"/>
    <mergeCell ref="A3560:B3560"/>
    <mergeCell ref="A3562:G3562"/>
    <mergeCell ref="A3563:F3563"/>
    <mergeCell ref="A3565:B3568"/>
    <mergeCell ref="C3565:G3566"/>
    <mergeCell ref="C3567:G3567"/>
    <mergeCell ref="C3568:E3568"/>
    <mergeCell ref="A3553:B3553"/>
    <mergeCell ref="A3554:G3554"/>
    <mergeCell ref="A3555:B3555"/>
    <mergeCell ref="G3555:G3556"/>
    <mergeCell ref="A3556:B3556"/>
    <mergeCell ref="A3558:G3558"/>
    <mergeCell ref="A3548:B3548"/>
    <mergeCell ref="A3549:G3549"/>
    <mergeCell ref="A3550:B3550"/>
    <mergeCell ref="G3550:G3552"/>
    <mergeCell ref="A3551:B3551"/>
    <mergeCell ref="A3552:B3552"/>
    <mergeCell ref="A3578:G3578"/>
    <mergeCell ref="A3579:B3579"/>
    <mergeCell ref="G3579:G3580"/>
    <mergeCell ref="A3580:B3580"/>
    <mergeCell ref="A3582:G3582"/>
    <mergeCell ref="A3583:B3583"/>
    <mergeCell ref="G3583:G3584"/>
    <mergeCell ref="A3584:B3584"/>
    <mergeCell ref="A3573:B3573"/>
    <mergeCell ref="A3574:G3574"/>
    <mergeCell ref="A3575:B3575"/>
    <mergeCell ref="G3575:G3576"/>
    <mergeCell ref="A3576:B3576"/>
    <mergeCell ref="A3577:B3577"/>
    <mergeCell ref="A3569:B3569"/>
    <mergeCell ref="C3569:E3569"/>
    <mergeCell ref="A3570:G3570"/>
    <mergeCell ref="A3571:B3571"/>
    <mergeCell ref="G3571:G3572"/>
    <mergeCell ref="A3572:B3572"/>
    <mergeCell ref="A3598:B3598"/>
    <mergeCell ref="A3599:G3599"/>
    <mergeCell ref="A3600:B3600"/>
    <mergeCell ref="G3600:G3601"/>
    <mergeCell ref="A3601:B3601"/>
    <mergeCell ref="A3602:B3602"/>
    <mergeCell ref="A3594:B3594"/>
    <mergeCell ref="C3594:E3594"/>
    <mergeCell ref="A3595:G3595"/>
    <mergeCell ref="A3596:B3596"/>
    <mergeCell ref="G3596:G3597"/>
    <mergeCell ref="A3597:B3597"/>
    <mergeCell ref="A3586:G3586"/>
    <mergeCell ref="A3587:F3587"/>
    <mergeCell ref="A3590:B3593"/>
    <mergeCell ref="C3590:G3591"/>
    <mergeCell ref="C3592:G3592"/>
    <mergeCell ref="C3593:E3593"/>
    <mergeCell ref="A3618:B3618"/>
    <mergeCell ref="C3618:E3618"/>
    <mergeCell ref="A3619:G3619"/>
    <mergeCell ref="A3620:B3620"/>
    <mergeCell ref="G3620:G3621"/>
    <mergeCell ref="A3621:B3621"/>
    <mergeCell ref="A3611:G3611"/>
    <mergeCell ref="A3612:F3612"/>
    <mergeCell ref="A3614:B3617"/>
    <mergeCell ref="C3614:G3615"/>
    <mergeCell ref="C3616:G3616"/>
    <mergeCell ref="C3617:E3617"/>
    <mergeCell ref="A3603:G3603"/>
    <mergeCell ref="A3604:B3604"/>
    <mergeCell ref="G3604:G3605"/>
    <mergeCell ref="A3605:B3605"/>
    <mergeCell ref="A3607:G3607"/>
    <mergeCell ref="A3608:B3608"/>
    <mergeCell ref="G3608:G3609"/>
    <mergeCell ref="A3609:B3609"/>
    <mergeCell ref="A3635:G3635"/>
    <mergeCell ref="A3636:F3636"/>
    <mergeCell ref="A3638:B3641"/>
    <mergeCell ref="C3638:G3639"/>
    <mergeCell ref="C3640:G3640"/>
    <mergeCell ref="C3641:E3641"/>
    <mergeCell ref="A3627:G3627"/>
    <mergeCell ref="A3628:B3628"/>
    <mergeCell ref="G3628:G3629"/>
    <mergeCell ref="A3629:B3629"/>
    <mergeCell ref="A3631:G3631"/>
    <mergeCell ref="A3632:B3632"/>
    <mergeCell ref="G3632:G3633"/>
    <mergeCell ref="A3633:B3633"/>
    <mergeCell ref="A3622:B3622"/>
    <mergeCell ref="A3623:G3623"/>
    <mergeCell ref="A3624:B3624"/>
    <mergeCell ref="G3624:G3625"/>
    <mergeCell ref="A3625:B3625"/>
    <mergeCell ref="A3626:B3626"/>
    <mergeCell ref="A3651:G3651"/>
    <mergeCell ref="A3652:B3652"/>
    <mergeCell ref="G3652:G3653"/>
    <mergeCell ref="A3653:B3653"/>
    <mergeCell ref="A3655:G3655"/>
    <mergeCell ref="A3656:B3656"/>
    <mergeCell ref="G3656:G3657"/>
    <mergeCell ref="A3657:B3657"/>
    <mergeCell ref="A3646:B3646"/>
    <mergeCell ref="A3647:G3647"/>
    <mergeCell ref="A3648:B3648"/>
    <mergeCell ref="G3648:G3649"/>
    <mergeCell ref="A3649:B3649"/>
    <mergeCell ref="A3650:B3650"/>
    <mergeCell ref="A3642:B3642"/>
    <mergeCell ref="C3642:E3642"/>
    <mergeCell ref="A3643:G3643"/>
    <mergeCell ref="A3644:B3644"/>
    <mergeCell ref="G3644:G3645"/>
    <mergeCell ref="A3645:B3645"/>
    <mergeCell ref="A3670:B3670"/>
    <mergeCell ref="A3671:G3671"/>
    <mergeCell ref="A3672:B3672"/>
    <mergeCell ref="G3672:G3673"/>
    <mergeCell ref="A3673:B3673"/>
    <mergeCell ref="A3674:B3674"/>
    <mergeCell ref="A3666:B3666"/>
    <mergeCell ref="C3666:E3666"/>
    <mergeCell ref="A3667:G3667"/>
    <mergeCell ref="A3668:B3668"/>
    <mergeCell ref="G3668:G3669"/>
    <mergeCell ref="A3669:B3669"/>
    <mergeCell ref="A3659:G3659"/>
    <mergeCell ref="A3660:F3660"/>
    <mergeCell ref="A3662:B3665"/>
    <mergeCell ref="C3662:G3663"/>
    <mergeCell ref="C3664:G3664"/>
    <mergeCell ref="C3665:E3665"/>
    <mergeCell ref="A3691:B3691"/>
    <mergeCell ref="C3691:E3691"/>
    <mergeCell ref="A3692:G3692"/>
    <mergeCell ref="A3693:B3693"/>
    <mergeCell ref="A3694:B3694"/>
    <mergeCell ref="A3687:B3690"/>
    <mergeCell ref="C3687:G3688"/>
    <mergeCell ref="C3689:G3689"/>
    <mergeCell ref="C3690:E3690"/>
    <mergeCell ref="A3683:G3683"/>
    <mergeCell ref="A3684:F3684"/>
    <mergeCell ref="A3675:G3675"/>
    <mergeCell ref="A3676:B3676"/>
    <mergeCell ref="G3676:G3677"/>
    <mergeCell ref="A3677:B3677"/>
    <mergeCell ref="A3679:G3679"/>
    <mergeCell ref="A3680:B3680"/>
    <mergeCell ref="G3680:G3681"/>
    <mergeCell ref="A3681:B3681"/>
    <mergeCell ref="A3711:B3711"/>
    <mergeCell ref="A3712:B3712"/>
    <mergeCell ref="A3713:B3713"/>
    <mergeCell ref="A3714:G3714"/>
    <mergeCell ref="A3715:B3715"/>
    <mergeCell ref="G3715:G3716"/>
    <mergeCell ref="A3716:B3716"/>
    <mergeCell ref="A3703:B3703"/>
    <mergeCell ref="A3704:B3704"/>
    <mergeCell ref="A3705:B3705"/>
    <mergeCell ref="A3706:B3706"/>
    <mergeCell ref="A3707:B3707"/>
    <mergeCell ref="A3708:B3708"/>
    <mergeCell ref="A3695:B3695"/>
    <mergeCell ref="A3696:G3696"/>
    <mergeCell ref="A3697:B3697"/>
    <mergeCell ref="G3697:G3712"/>
    <mergeCell ref="A3698:B3698"/>
    <mergeCell ref="A3699:B3699"/>
    <mergeCell ref="A3700:B3700"/>
    <mergeCell ref="A3701:B3701"/>
    <mergeCell ref="A3702:B3702"/>
    <mergeCell ref="A3709:B3709"/>
    <mergeCell ref="A3710:B3710"/>
    <mergeCell ref="A3730:G3730"/>
    <mergeCell ref="A3731:B3731"/>
    <mergeCell ref="A3732:B3732"/>
    <mergeCell ref="A3733:B3733"/>
    <mergeCell ref="A3734:G3734"/>
    <mergeCell ref="A3735:B3735"/>
    <mergeCell ref="G3735:G3738"/>
    <mergeCell ref="A3736:B3736"/>
    <mergeCell ref="A3737:B3737"/>
    <mergeCell ref="A3738:B3738"/>
    <mergeCell ref="A3725:B3728"/>
    <mergeCell ref="C3725:G3726"/>
    <mergeCell ref="C3727:G3727"/>
    <mergeCell ref="C3728:E3728"/>
    <mergeCell ref="A3729:B3729"/>
    <mergeCell ref="C3729:E3729"/>
    <mergeCell ref="A3718:G3718"/>
    <mergeCell ref="A3719:B3719"/>
    <mergeCell ref="G3719:G3720"/>
    <mergeCell ref="A3720:B3720"/>
    <mergeCell ref="A3722:G3722"/>
    <mergeCell ref="A3723:F3723"/>
    <mergeCell ref="A3752:B3755"/>
    <mergeCell ref="C3752:G3753"/>
    <mergeCell ref="C3754:G3754"/>
    <mergeCell ref="C3755:E3755"/>
    <mergeCell ref="A3756:B3756"/>
    <mergeCell ref="C3756:E3756"/>
    <mergeCell ref="A3744:G3744"/>
    <mergeCell ref="A3745:B3745"/>
    <mergeCell ref="G3745:G3747"/>
    <mergeCell ref="A3746:B3746"/>
    <mergeCell ref="A3749:G3749"/>
    <mergeCell ref="A3750:F3750"/>
    <mergeCell ref="A3739:B3739"/>
    <mergeCell ref="A3740:G3740"/>
    <mergeCell ref="A3741:B3741"/>
    <mergeCell ref="G3741:G3742"/>
    <mergeCell ref="A3742:B3742"/>
    <mergeCell ref="A3769:B3769"/>
    <mergeCell ref="A3770:G3770"/>
    <mergeCell ref="A3771:B3771"/>
    <mergeCell ref="G3771:G3772"/>
    <mergeCell ref="A3772:B3772"/>
    <mergeCell ref="A3774:G3774"/>
    <mergeCell ref="A3763:B3763"/>
    <mergeCell ref="G3763:G3768"/>
    <mergeCell ref="A3764:B3764"/>
    <mergeCell ref="A3765:B3765"/>
    <mergeCell ref="A3766:B3766"/>
    <mergeCell ref="A3767:B3767"/>
    <mergeCell ref="A3768:B3768"/>
    <mergeCell ref="A3757:G3757"/>
    <mergeCell ref="A3758:B3758"/>
    <mergeCell ref="A3759:B3759"/>
    <mergeCell ref="A3760:B3760"/>
    <mergeCell ref="A3761:B3761"/>
    <mergeCell ref="A3762:G3762"/>
    <mergeCell ref="A3789:B3789"/>
    <mergeCell ref="A3790:G3790"/>
    <mergeCell ref="A3791:B3791"/>
    <mergeCell ref="G3791:G3792"/>
    <mergeCell ref="A3792:B3792"/>
    <mergeCell ref="A3793:B3793"/>
    <mergeCell ref="A3785:B3785"/>
    <mergeCell ref="C3785:E3785"/>
    <mergeCell ref="A3786:G3786"/>
    <mergeCell ref="A3787:B3787"/>
    <mergeCell ref="G3787:G3788"/>
    <mergeCell ref="A3788:B3788"/>
    <mergeCell ref="A3775:B3775"/>
    <mergeCell ref="G3775:G3776"/>
    <mergeCell ref="A3776:B3776"/>
    <mergeCell ref="A3778:G3778"/>
    <mergeCell ref="A3779:F3779"/>
    <mergeCell ref="A3781:B3784"/>
    <mergeCell ref="C3781:G3782"/>
    <mergeCell ref="C3783:G3783"/>
    <mergeCell ref="C3784:E3784"/>
    <mergeCell ref="A3809:B3809"/>
    <mergeCell ref="C3809:E3809"/>
    <mergeCell ref="A3810:G3810"/>
    <mergeCell ref="A3811:B3811"/>
    <mergeCell ref="A3812:B3812"/>
    <mergeCell ref="A3813:B3813"/>
    <mergeCell ref="A3802:G3802"/>
    <mergeCell ref="A3803:F3803"/>
    <mergeCell ref="A3805:B3808"/>
    <mergeCell ref="C3805:G3806"/>
    <mergeCell ref="C3807:G3807"/>
    <mergeCell ref="C3808:E3808"/>
    <mergeCell ref="A3794:G3794"/>
    <mergeCell ref="A3795:B3795"/>
    <mergeCell ref="G3795:G3796"/>
    <mergeCell ref="A3796:B3796"/>
    <mergeCell ref="A3798:G3798"/>
    <mergeCell ref="A3799:B3799"/>
    <mergeCell ref="G3799:G3800"/>
    <mergeCell ref="A3800:B3800"/>
    <mergeCell ref="A3828:B3828"/>
    <mergeCell ref="G3828:G3829"/>
    <mergeCell ref="A3829:B3829"/>
    <mergeCell ref="A3831:G3831"/>
    <mergeCell ref="A3832:F3832"/>
    <mergeCell ref="A3834:B3837"/>
    <mergeCell ref="C3834:G3835"/>
    <mergeCell ref="C3836:G3836"/>
    <mergeCell ref="C3837:E3837"/>
    <mergeCell ref="A3822:B3822"/>
    <mergeCell ref="A3823:G3823"/>
    <mergeCell ref="A3824:B3824"/>
    <mergeCell ref="G3824:G3825"/>
    <mergeCell ref="A3825:B3825"/>
    <mergeCell ref="A3827:G3827"/>
    <mergeCell ref="A3814:B3814"/>
    <mergeCell ref="A3815:G3815"/>
    <mergeCell ref="A3816:B3816"/>
    <mergeCell ref="G3816:G3821"/>
    <mergeCell ref="A3817:B3817"/>
    <mergeCell ref="A3818:B3818"/>
    <mergeCell ref="A3819:B3819"/>
    <mergeCell ref="A3820:B3820"/>
    <mergeCell ref="A3821:B3821"/>
    <mergeCell ref="A3847:G3847"/>
    <mergeCell ref="A3848:B3848"/>
    <mergeCell ref="G3848:G3849"/>
    <mergeCell ref="A3849:B3849"/>
    <mergeCell ref="A3851:G3851"/>
    <mergeCell ref="A3852:B3852"/>
    <mergeCell ref="G3852:G3853"/>
    <mergeCell ref="A3853:B3853"/>
    <mergeCell ref="A3842:B3842"/>
    <mergeCell ref="A3843:G3843"/>
    <mergeCell ref="A3844:B3844"/>
    <mergeCell ref="G3844:G3845"/>
    <mergeCell ref="A3845:B3845"/>
    <mergeCell ref="A3846:B3846"/>
    <mergeCell ref="A3838:B3838"/>
    <mergeCell ref="C3838:E3838"/>
    <mergeCell ref="A3839:G3839"/>
    <mergeCell ref="A3840:B3840"/>
    <mergeCell ref="G3840:G3841"/>
    <mergeCell ref="A3841:B3841"/>
    <mergeCell ref="A3866:B3866"/>
    <mergeCell ref="A3867:G3867"/>
    <mergeCell ref="A3868:B3868"/>
    <mergeCell ref="G3868:G3869"/>
    <mergeCell ref="A3869:B3869"/>
    <mergeCell ref="A3870:B3870"/>
    <mergeCell ref="A3862:B3862"/>
    <mergeCell ref="C3862:E3862"/>
    <mergeCell ref="A3863:G3863"/>
    <mergeCell ref="A3864:B3864"/>
    <mergeCell ref="G3864:G3865"/>
    <mergeCell ref="A3865:B3865"/>
    <mergeCell ref="A3855:G3855"/>
    <mergeCell ref="A3856:F3856"/>
    <mergeCell ref="A3858:B3861"/>
    <mergeCell ref="C3858:G3859"/>
    <mergeCell ref="C3860:G3860"/>
    <mergeCell ref="C3861:E3861"/>
    <mergeCell ref="A3886:B3886"/>
    <mergeCell ref="C3886:E3886"/>
    <mergeCell ref="A3887:G3887"/>
    <mergeCell ref="A3888:B3888"/>
    <mergeCell ref="G3888:G3889"/>
    <mergeCell ref="A3889:B3889"/>
    <mergeCell ref="A3879:G3879"/>
    <mergeCell ref="A3880:F3880"/>
    <mergeCell ref="A3882:B3885"/>
    <mergeCell ref="C3882:G3883"/>
    <mergeCell ref="C3884:G3884"/>
    <mergeCell ref="C3885:E3885"/>
    <mergeCell ref="A3871:G3871"/>
    <mergeCell ref="A3872:B3872"/>
    <mergeCell ref="G3872:G3873"/>
    <mergeCell ref="A3873:B3873"/>
    <mergeCell ref="A3875:G3875"/>
    <mergeCell ref="A3876:B3876"/>
    <mergeCell ref="G3876:G3877"/>
    <mergeCell ref="A3903:G3903"/>
    <mergeCell ref="A3904:F3904"/>
    <mergeCell ref="A3906:B3909"/>
    <mergeCell ref="C3906:G3907"/>
    <mergeCell ref="C3908:G3908"/>
    <mergeCell ref="C3909:E3909"/>
    <mergeCell ref="A3895:G3895"/>
    <mergeCell ref="A3896:B3896"/>
    <mergeCell ref="G3896:G3897"/>
    <mergeCell ref="A3897:B3897"/>
    <mergeCell ref="A3899:G3899"/>
    <mergeCell ref="A3900:B3900"/>
    <mergeCell ref="G3900:G3901"/>
    <mergeCell ref="A3890:B3890"/>
    <mergeCell ref="A3891:G3891"/>
    <mergeCell ref="A3892:B3892"/>
    <mergeCell ref="G3892:G3893"/>
    <mergeCell ref="A3893:B3893"/>
    <mergeCell ref="A3894:B3894"/>
    <mergeCell ref="A3919:B3919"/>
    <mergeCell ref="A3920:B3920"/>
    <mergeCell ref="A3921:G3921"/>
    <mergeCell ref="A3922:B3922"/>
    <mergeCell ref="G3922:G3923"/>
    <mergeCell ref="A3923:B3923"/>
    <mergeCell ref="A3914:B3914"/>
    <mergeCell ref="A3915:G3915"/>
    <mergeCell ref="A3916:B3916"/>
    <mergeCell ref="G3916:G3917"/>
    <mergeCell ref="A3917:B3917"/>
    <mergeCell ref="A3918:B3918"/>
    <mergeCell ref="A3910:B3910"/>
    <mergeCell ref="C3910:E3910"/>
    <mergeCell ref="A3911:G3911"/>
    <mergeCell ref="A3912:B3912"/>
    <mergeCell ref="G3912:G3913"/>
    <mergeCell ref="A3913:B3913"/>
    <mergeCell ref="A3937:G3937"/>
    <mergeCell ref="A3938:B3938"/>
    <mergeCell ref="A3939:B3939"/>
    <mergeCell ref="A3940:B3940"/>
    <mergeCell ref="A3941:G3941"/>
    <mergeCell ref="A3942:B3942"/>
    <mergeCell ref="G3942:G3944"/>
    <mergeCell ref="A3943:B3943"/>
    <mergeCell ref="A3944:B3944"/>
    <mergeCell ref="A3932:B3935"/>
    <mergeCell ref="C3932:G3933"/>
    <mergeCell ref="C3934:G3934"/>
    <mergeCell ref="C3935:E3935"/>
    <mergeCell ref="A3936:B3936"/>
    <mergeCell ref="C3936:E3936"/>
    <mergeCell ref="A3925:G3925"/>
    <mergeCell ref="A3926:B3926"/>
    <mergeCell ref="G3926:G3927"/>
    <mergeCell ref="A3927:B3927"/>
    <mergeCell ref="A3929:G3929"/>
    <mergeCell ref="A3930:F3930"/>
    <mergeCell ref="A3957:B3960"/>
    <mergeCell ref="C3957:G3958"/>
    <mergeCell ref="C3959:G3959"/>
    <mergeCell ref="C3960:E3960"/>
    <mergeCell ref="A3961:B3961"/>
    <mergeCell ref="C3961:E3961"/>
    <mergeCell ref="A3950:G3950"/>
    <mergeCell ref="A3951:B3951"/>
    <mergeCell ref="G3951:G3952"/>
    <mergeCell ref="A3952:B3952"/>
    <mergeCell ref="A3954:G3954"/>
    <mergeCell ref="A3955:F3955"/>
    <mergeCell ref="A3945:B3945"/>
    <mergeCell ref="A3946:G3946"/>
    <mergeCell ref="A3947:B3947"/>
    <mergeCell ref="G3947:G3948"/>
    <mergeCell ref="A3948:B3948"/>
    <mergeCell ref="B3949:C3949"/>
    <mergeCell ref="A3977:G3977"/>
    <mergeCell ref="A3978:B3978"/>
    <mergeCell ref="G3978:G3979"/>
    <mergeCell ref="A3979:B3979"/>
    <mergeCell ref="A3981:G3981"/>
    <mergeCell ref="A3982:F3982"/>
    <mergeCell ref="A3971:B3971"/>
    <mergeCell ref="A3972:B3972"/>
    <mergeCell ref="A3973:G3973"/>
    <mergeCell ref="A3974:B3974"/>
    <mergeCell ref="G3974:G3975"/>
    <mergeCell ref="A3975:B3975"/>
    <mergeCell ref="A3962:G3962"/>
    <mergeCell ref="A3963:B3963"/>
    <mergeCell ref="A3964:B3964"/>
    <mergeCell ref="A3965:B3965"/>
    <mergeCell ref="A3966:G3966"/>
    <mergeCell ref="A3967:B3967"/>
    <mergeCell ref="G3967:G3971"/>
    <mergeCell ref="A3968:B3968"/>
    <mergeCell ref="A3969:B3969"/>
    <mergeCell ref="A3970:B3970"/>
    <mergeCell ref="A3994:B3994"/>
    <mergeCell ref="G3994:G3996"/>
    <mergeCell ref="A3995:B3995"/>
    <mergeCell ref="A3996:B3996"/>
    <mergeCell ref="A3997:B3997"/>
    <mergeCell ref="A3998:G3998"/>
    <mergeCell ref="A3989:G3989"/>
    <mergeCell ref="A3990:B3990"/>
    <mergeCell ref="G3990:G3991"/>
    <mergeCell ref="A3991:B3991"/>
    <mergeCell ref="A3992:B3992"/>
    <mergeCell ref="A3993:G3993"/>
    <mergeCell ref="A3984:B3987"/>
    <mergeCell ref="C3984:G3985"/>
    <mergeCell ref="C3986:G3986"/>
    <mergeCell ref="C3987:E3987"/>
    <mergeCell ref="A3988:B3988"/>
    <mergeCell ref="C3988:E3988"/>
    <mergeCell ref="A4014:B4014"/>
    <mergeCell ref="C4014:E4014"/>
    <mergeCell ref="A4015:G4015"/>
    <mergeCell ref="A4016:B4016"/>
    <mergeCell ref="G4016:G4017"/>
    <mergeCell ref="A4017:B4017"/>
    <mergeCell ref="A4007:G4007"/>
    <mergeCell ref="A4008:F4008"/>
    <mergeCell ref="A4010:B4013"/>
    <mergeCell ref="C4010:G4011"/>
    <mergeCell ref="C4012:G4012"/>
    <mergeCell ref="C4013:E4013"/>
    <mergeCell ref="A3999:B3999"/>
    <mergeCell ref="G3999:G4000"/>
    <mergeCell ref="A4000:B4000"/>
    <mergeCell ref="A4001:B4001"/>
    <mergeCell ref="A4002:G4002"/>
    <mergeCell ref="A4003:B4003"/>
    <mergeCell ref="G4003:G4005"/>
    <mergeCell ref="A4004:B4004"/>
    <mergeCell ref="A4028:G4028"/>
    <mergeCell ref="A4029:B4029"/>
    <mergeCell ref="G4029:G4031"/>
    <mergeCell ref="A4030:B4030"/>
    <mergeCell ref="A4033:G4033"/>
    <mergeCell ref="A4034:F4034"/>
    <mergeCell ref="A4023:B4023"/>
    <mergeCell ref="A4024:G4024"/>
    <mergeCell ref="A4025:B4025"/>
    <mergeCell ref="G4025:G4026"/>
    <mergeCell ref="A4026:B4026"/>
    <mergeCell ref="A4027:B4027"/>
    <mergeCell ref="A4018:B4018"/>
    <mergeCell ref="A4019:G4019"/>
    <mergeCell ref="A4020:B4020"/>
    <mergeCell ref="G4020:G4022"/>
    <mergeCell ref="A4021:B4021"/>
    <mergeCell ref="A4022:B4022"/>
    <mergeCell ref="A4047:B4047"/>
    <mergeCell ref="G4047:G4052"/>
    <mergeCell ref="A4048:B4048"/>
    <mergeCell ref="A4049:B4049"/>
    <mergeCell ref="A4050:B4050"/>
    <mergeCell ref="A4051:B4051"/>
    <mergeCell ref="A4052:B4052"/>
    <mergeCell ref="A4041:G4041"/>
    <mergeCell ref="A4042:B4042"/>
    <mergeCell ref="A4043:B4043"/>
    <mergeCell ref="A4044:B4044"/>
    <mergeCell ref="A4045:B4045"/>
    <mergeCell ref="A4046:G4046"/>
    <mergeCell ref="A4036:B4039"/>
    <mergeCell ref="C4036:G4037"/>
    <mergeCell ref="C4038:G4038"/>
    <mergeCell ref="C4039:E4039"/>
    <mergeCell ref="A4040:B4040"/>
    <mergeCell ref="C4040:E4040"/>
    <mergeCell ref="A4069:B4069"/>
    <mergeCell ref="C4069:E4069"/>
    <mergeCell ref="A4070:G4070"/>
    <mergeCell ref="A4071:B4071"/>
    <mergeCell ref="A4072:B4072"/>
    <mergeCell ref="A4073:B4073"/>
    <mergeCell ref="A4059:B4059"/>
    <mergeCell ref="G4059:G4060"/>
    <mergeCell ref="A4060:B4060"/>
    <mergeCell ref="A4062:G4062"/>
    <mergeCell ref="A4063:F4063"/>
    <mergeCell ref="A4065:B4068"/>
    <mergeCell ref="C4065:G4066"/>
    <mergeCell ref="C4067:G4067"/>
    <mergeCell ref="C4068:E4068"/>
    <mergeCell ref="A4053:B4053"/>
    <mergeCell ref="A4054:G4054"/>
    <mergeCell ref="A4055:B4055"/>
    <mergeCell ref="G4055:G4056"/>
    <mergeCell ref="A4056:B4056"/>
    <mergeCell ref="A4058:G4058"/>
    <mergeCell ref="A4087:B4087"/>
    <mergeCell ref="G4087:G4088"/>
    <mergeCell ref="A4088:B4088"/>
    <mergeCell ref="A4090:G4090"/>
    <mergeCell ref="A4091:F4091"/>
    <mergeCell ref="A4093:B4096"/>
    <mergeCell ref="C4093:G4094"/>
    <mergeCell ref="C4095:G4095"/>
    <mergeCell ref="C4096:E4096"/>
    <mergeCell ref="A4081:B4081"/>
    <mergeCell ref="A4082:G4082"/>
    <mergeCell ref="A4083:B4083"/>
    <mergeCell ref="G4083:G4084"/>
    <mergeCell ref="A4084:B4084"/>
    <mergeCell ref="A4086:G4086"/>
    <mergeCell ref="A4074:G4074"/>
    <mergeCell ref="A4075:B4075"/>
    <mergeCell ref="G4075:G4080"/>
    <mergeCell ref="A4076:B4076"/>
    <mergeCell ref="E4076:E4080"/>
    <mergeCell ref="F4076:F4080"/>
    <mergeCell ref="A4077:B4077"/>
    <mergeCell ref="A4078:B4078"/>
    <mergeCell ref="A4079:B4079"/>
    <mergeCell ref="A4080:B4080"/>
    <mergeCell ref="A4109:B4109"/>
    <mergeCell ref="A4110:G4110"/>
    <mergeCell ref="A4111:B4111"/>
    <mergeCell ref="G4111:G4112"/>
    <mergeCell ref="A4112:B4112"/>
    <mergeCell ref="A4114:G4114"/>
    <mergeCell ref="A4102:G4102"/>
    <mergeCell ref="A4103:B4103"/>
    <mergeCell ref="G4103:G4108"/>
    <mergeCell ref="A4104:B4104"/>
    <mergeCell ref="E4104:E4108"/>
    <mergeCell ref="F4104:F4108"/>
    <mergeCell ref="A4105:B4105"/>
    <mergeCell ref="A4106:B4106"/>
    <mergeCell ref="A4107:B4107"/>
    <mergeCell ref="A4108:B4108"/>
    <mergeCell ref="A4097:B4097"/>
    <mergeCell ref="C4097:E4097"/>
    <mergeCell ref="A4098:G4098"/>
    <mergeCell ref="A4099:B4099"/>
    <mergeCell ref="A4100:B4100"/>
    <mergeCell ref="A4101:B4101"/>
    <mergeCell ref="A4130:G4130"/>
    <mergeCell ref="A4131:B4131"/>
    <mergeCell ref="G4131:G4139"/>
    <mergeCell ref="A4132:B4132"/>
    <mergeCell ref="E4132:E4139"/>
    <mergeCell ref="F4132:F4139"/>
    <mergeCell ref="A4133:B4133"/>
    <mergeCell ref="A4134:B4134"/>
    <mergeCell ref="A4135:B4135"/>
    <mergeCell ref="A4136:B4136"/>
    <mergeCell ref="A4125:B4125"/>
    <mergeCell ref="C4125:E4125"/>
    <mergeCell ref="A4126:G4126"/>
    <mergeCell ref="A4127:B4127"/>
    <mergeCell ref="A4128:B4128"/>
    <mergeCell ref="A4129:B4129"/>
    <mergeCell ref="A4115:B4115"/>
    <mergeCell ref="G4115:G4116"/>
    <mergeCell ref="A4116:B4116"/>
    <mergeCell ref="A4118:G4118"/>
    <mergeCell ref="A4119:F4119"/>
    <mergeCell ref="A4121:B4124"/>
    <mergeCell ref="C4121:G4122"/>
    <mergeCell ref="C4123:G4123"/>
    <mergeCell ref="C4124:E4124"/>
    <mergeCell ref="A4152:B4155"/>
    <mergeCell ref="C4152:G4153"/>
    <mergeCell ref="C4154:G4154"/>
    <mergeCell ref="C4155:E4155"/>
    <mergeCell ref="A4156:B4156"/>
    <mergeCell ref="C4156:E4156"/>
    <mergeCell ref="A4145:G4145"/>
    <mergeCell ref="A4146:B4146"/>
    <mergeCell ref="G4146:G4147"/>
    <mergeCell ref="A4147:B4147"/>
    <mergeCell ref="A4149:G4149"/>
    <mergeCell ref="A4150:F4150"/>
    <mergeCell ref="A4137:B4137"/>
    <mergeCell ref="A4138:B4138"/>
    <mergeCell ref="A4139:B4139"/>
    <mergeCell ref="A4140:B4140"/>
    <mergeCell ref="A4141:G4141"/>
    <mergeCell ref="A4142:B4142"/>
    <mergeCell ref="G4142:G4143"/>
    <mergeCell ref="A4143:B4143"/>
    <mergeCell ref="A4170:B4170"/>
    <mergeCell ref="G4170:G4172"/>
    <mergeCell ref="A4171:B4171"/>
    <mergeCell ref="A4174:G4174"/>
    <mergeCell ref="A4175:F4175"/>
    <mergeCell ref="A4177:B4180"/>
    <mergeCell ref="C4177:G4178"/>
    <mergeCell ref="C4179:G4179"/>
    <mergeCell ref="C4180:E4180"/>
    <mergeCell ref="A4164:B4164"/>
    <mergeCell ref="A4165:G4165"/>
    <mergeCell ref="A4166:B4166"/>
    <mergeCell ref="G4166:G4167"/>
    <mergeCell ref="A4167:B4167"/>
    <mergeCell ref="A4169:G4169"/>
    <mergeCell ref="A4157:G4157"/>
    <mergeCell ref="A4158:B4158"/>
    <mergeCell ref="A4159:B4159"/>
    <mergeCell ref="A4160:B4160"/>
    <mergeCell ref="A4161:G4161"/>
    <mergeCell ref="A4162:B4162"/>
    <mergeCell ref="G4162:G4163"/>
    <mergeCell ref="A4163:B4163"/>
    <mergeCell ref="A4198:G4198"/>
    <mergeCell ref="A4199:F4199"/>
    <mergeCell ref="A4190:G4190"/>
    <mergeCell ref="A4191:B4191"/>
    <mergeCell ref="G4191:G4192"/>
    <mergeCell ref="A4192:B4192"/>
    <mergeCell ref="A4194:G4194"/>
    <mergeCell ref="A4195:B4195"/>
    <mergeCell ref="G4195:G4196"/>
    <mergeCell ref="A4196:B4196"/>
    <mergeCell ref="A4185:B4185"/>
    <mergeCell ref="A4186:G4186"/>
    <mergeCell ref="A4187:B4187"/>
    <mergeCell ref="G4187:G4188"/>
    <mergeCell ref="A4188:B4188"/>
    <mergeCell ref="A4189:B4189"/>
    <mergeCell ref="A4181:B4181"/>
    <mergeCell ref="C4181:E4181"/>
    <mergeCell ref="A4182:G4182"/>
    <mergeCell ref="A4183:B4183"/>
    <mergeCell ref="G4183:G4184"/>
    <mergeCell ref="A4184:B4184"/>
    <mergeCell ref="A2444:G2444"/>
    <mergeCell ref="A2445:B2445"/>
    <mergeCell ref="G2445:G2446"/>
    <mergeCell ref="G2519:G2525"/>
    <mergeCell ref="A2527:G2527"/>
    <mergeCell ref="A2528:B2528"/>
    <mergeCell ref="G2528:G2529"/>
    <mergeCell ref="A2128:G2128"/>
    <mergeCell ref="G2129:G2130"/>
    <mergeCell ref="A2130:B2130"/>
    <mergeCell ref="A2132:G2132"/>
    <mergeCell ref="G2133:G2134"/>
    <mergeCell ref="A2134:B2134"/>
    <mergeCell ref="A2136:G2136"/>
    <mergeCell ref="A2137:F2137"/>
    <mergeCell ref="G2149:G2159"/>
    <mergeCell ref="A2161:G2161"/>
    <mergeCell ref="G2162:G2163"/>
    <mergeCell ref="A2163:B2163"/>
    <mergeCell ref="A2165:G2165"/>
    <mergeCell ref="G2166:G2167"/>
    <mergeCell ref="A2167:B2167"/>
    <mergeCell ref="A2169:G2169"/>
    <mergeCell ref="A2143:B2143"/>
    <mergeCell ref="C2143:E2143"/>
    <mergeCell ref="A2139:B2142"/>
    <mergeCell ref="C2139:G2140"/>
    <mergeCell ref="C2141:G2141"/>
    <mergeCell ref="C2142:E2142"/>
    <mergeCell ref="A2129:B2129"/>
    <mergeCell ref="A2170:F2170"/>
    <mergeCell ref="A2495:B2495"/>
    <mergeCell ref="A2531:G2531"/>
    <mergeCell ref="A2532:B2532"/>
    <mergeCell ref="G2532:G2533"/>
    <mergeCell ref="A2419:G2419"/>
    <mergeCell ref="A2513:B2513"/>
    <mergeCell ref="C2513:E2513"/>
    <mergeCell ref="A2514:G2514"/>
    <mergeCell ref="A2515:B2515"/>
    <mergeCell ref="G2515:G2516"/>
    <mergeCell ref="A2516:B2516"/>
    <mergeCell ref="A2509:B2512"/>
    <mergeCell ref="C2509:G2510"/>
    <mergeCell ref="C2511:G2511"/>
    <mergeCell ref="C2512:E2512"/>
    <mergeCell ref="A2529:B2529"/>
    <mergeCell ref="A2521:B2521"/>
    <mergeCell ref="A2522:B2522"/>
    <mergeCell ref="A2523:B2523"/>
    <mergeCell ref="A2524:B2524"/>
    <mergeCell ref="A2525:B2525"/>
    <mergeCell ref="A2526:B2526"/>
    <mergeCell ref="A2517:B2517"/>
    <mergeCell ref="A2518:G2518"/>
    <mergeCell ref="A2519:B2519"/>
    <mergeCell ref="A2520:B2520"/>
    <mergeCell ref="A2503:B2503"/>
    <mergeCell ref="A2507:F2507"/>
    <mergeCell ref="A2496:B2496"/>
    <mergeCell ref="A2499:B2499"/>
    <mergeCell ref="A2492:B2492"/>
    <mergeCell ref="A2493:B2493"/>
    <mergeCell ref="A2494:B2494"/>
    <mergeCell ref="A574:G574"/>
    <mergeCell ref="A575:F575"/>
    <mergeCell ref="G1534:G1542"/>
    <mergeCell ref="A1544:G1544"/>
    <mergeCell ref="G1545:G1546"/>
    <mergeCell ref="G2401:G2409"/>
    <mergeCell ref="A2410:B2410"/>
    <mergeCell ref="A2411:G2411"/>
    <mergeCell ref="G2412:G2413"/>
    <mergeCell ref="A2413:B2413"/>
    <mergeCell ref="G1349:G1359"/>
    <mergeCell ref="A1360:B1360"/>
    <mergeCell ref="A1361:G1361"/>
    <mergeCell ref="G1362:G1363"/>
    <mergeCell ref="A1363:B1363"/>
    <mergeCell ref="A1365:G1365"/>
    <mergeCell ref="G1366:G1367"/>
    <mergeCell ref="A1367:B1367"/>
    <mergeCell ref="A2232:B2232"/>
    <mergeCell ref="G1565:G1571"/>
    <mergeCell ref="A1573:G1573"/>
    <mergeCell ref="G1574:G1575"/>
    <mergeCell ref="A1577:G1577"/>
    <mergeCell ref="G1578:G1579"/>
    <mergeCell ref="A2100:B2100"/>
    <mergeCell ref="G2100:G2101"/>
    <mergeCell ref="A2101:B2101"/>
    <mergeCell ref="A2103:G2103"/>
    <mergeCell ref="A2144:G2144"/>
    <mergeCell ref="A2145:B2145"/>
    <mergeCell ref="G2145:G2146"/>
    <mergeCell ref="A2146:B2146"/>
    <mergeCell ref="A3280:G3280"/>
    <mergeCell ref="A3281:B3281"/>
    <mergeCell ref="G3281:G3282"/>
    <mergeCell ref="A3282:B3282"/>
    <mergeCell ref="A3284:G3284"/>
    <mergeCell ref="A3285:B3285"/>
    <mergeCell ref="G3285:G3286"/>
    <mergeCell ref="A3286:B3286"/>
    <mergeCell ref="A3288:G3288"/>
    <mergeCell ref="A3289:F3289"/>
    <mergeCell ref="A3267:B3270"/>
    <mergeCell ref="C3267:G3268"/>
    <mergeCell ref="C3269:G3269"/>
    <mergeCell ref="C3270:E3270"/>
    <mergeCell ref="A3271:B3271"/>
    <mergeCell ref="C3271:E3271"/>
    <mergeCell ref="A3272:G3272"/>
    <mergeCell ref="A3273:B3273"/>
    <mergeCell ref="G3273:G3274"/>
    <mergeCell ref="A3274:B3274"/>
    <mergeCell ref="A3275:B3275"/>
    <mergeCell ref="A3276:G3276"/>
    <mergeCell ref="A3277:B3277"/>
    <mergeCell ref="G3277:G3278"/>
    <mergeCell ref="A3278:B3278"/>
    <mergeCell ref="A3279:B3279"/>
  </mergeCells>
  <pageMargins left="0.7" right="0.7" top="0.75" bottom="0.75" header="0.3" footer="0.3"/>
  <pageSetup paperSize="9" scale="68"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FF00"/>
    <pageSetUpPr fitToPage="1"/>
  </sheetPr>
  <dimension ref="A2:G200"/>
  <sheetViews>
    <sheetView topLeftCell="A153" workbookViewId="0">
      <selection activeCell="F210" sqref="F210"/>
    </sheetView>
  </sheetViews>
  <sheetFormatPr baseColWidth="10" defaultColWidth="10.6640625" defaultRowHeight="14.4"/>
  <cols>
    <col min="1" max="2" width="18.6640625" customWidth="1"/>
    <col min="3" max="7" width="16.6640625" customWidth="1"/>
  </cols>
  <sheetData>
    <row r="2" spans="1:7" s="2" customFormat="1" ht="116.25" customHeight="1">
      <c r="A2" s="177"/>
      <c r="B2" s="177"/>
      <c r="C2" s="922" t="s">
        <v>0</v>
      </c>
      <c r="D2" s="922"/>
      <c r="E2" s="922"/>
      <c r="F2" s="922"/>
      <c r="G2" s="923"/>
    </row>
    <row r="4" spans="1:7" s="2" customFormat="1" ht="15" customHeight="1">
      <c r="A4" s="970" t="s">
        <v>1</v>
      </c>
      <c r="B4" s="957"/>
      <c r="C4" s="953" t="s">
        <v>0</v>
      </c>
      <c r="D4" s="953"/>
      <c r="E4" s="953"/>
      <c r="F4" s="953"/>
      <c r="G4" s="1103"/>
    </row>
    <row r="5" spans="1:7" s="2" customFormat="1" ht="53.25" customHeight="1">
      <c r="A5" s="971"/>
      <c r="B5" s="957"/>
      <c r="C5" s="953"/>
      <c r="D5" s="953"/>
      <c r="E5" s="953"/>
      <c r="F5" s="953"/>
      <c r="G5" s="1103"/>
    </row>
    <row r="6" spans="1:7" s="2" customFormat="1" ht="15" customHeight="1">
      <c r="A6" s="971"/>
      <c r="B6" s="957"/>
      <c r="C6" s="956"/>
      <c r="D6" s="957"/>
      <c r="E6" s="957"/>
      <c r="F6" s="957"/>
      <c r="G6" s="958"/>
    </row>
    <row r="7" spans="1:7" s="2" customFormat="1" ht="15" customHeight="1">
      <c r="A7" s="971"/>
      <c r="B7" s="957"/>
      <c r="C7" s="959" t="s">
        <v>2</v>
      </c>
      <c r="D7" s="957"/>
      <c r="E7" s="957"/>
      <c r="F7" s="23" t="s">
        <v>3</v>
      </c>
      <c r="G7" s="24" t="s">
        <v>4</v>
      </c>
    </row>
    <row r="8" spans="1:7" s="2" customFormat="1" ht="123" customHeight="1">
      <c r="A8" s="1089" t="s">
        <v>939</v>
      </c>
      <c r="B8" s="944"/>
      <c r="C8" s="980" t="s">
        <v>337</v>
      </c>
      <c r="D8" s="944"/>
      <c r="E8" s="944"/>
      <c r="F8" s="51" t="s">
        <v>37</v>
      </c>
      <c r="G8" s="52">
        <v>1428.1700000000003</v>
      </c>
    </row>
    <row r="9" spans="1:7" s="2" customFormat="1" ht="15" customHeight="1">
      <c r="A9" s="1071" t="s">
        <v>5</v>
      </c>
      <c r="B9" s="944"/>
      <c r="C9" s="944"/>
      <c r="D9" s="944"/>
      <c r="E9" s="944"/>
      <c r="F9" s="944"/>
      <c r="G9" s="1072"/>
    </row>
    <row r="10" spans="1:7" s="2" customFormat="1" ht="15" customHeight="1">
      <c r="A10" s="1074" t="s">
        <v>2</v>
      </c>
      <c r="B10" s="944"/>
      <c r="C10" s="53" t="s">
        <v>3</v>
      </c>
      <c r="D10" s="53" t="s">
        <v>4</v>
      </c>
      <c r="E10" s="53" t="s">
        <v>6</v>
      </c>
      <c r="F10" s="53" t="s">
        <v>7</v>
      </c>
      <c r="G10" s="1075" t="s">
        <v>8</v>
      </c>
    </row>
    <row r="11" spans="1:7" s="2" customFormat="1" ht="15" customHeight="1">
      <c r="A11" s="947" t="s">
        <v>167</v>
      </c>
      <c r="B11" s="980"/>
      <c r="C11" s="51" t="s">
        <v>3</v>
      </c>
      <c r="D11" s="54">
        <v>0.05</v>
      </c>
      <c r="E11" s="17">
        <f>G31</f>
        <v>27341</v>
      </c>
      <c r="F11" s="55">
        <f>D11*E11</f>
        <v>1367.0500000000002</v>
      </c>
      <c r="G11" s="1072"/>
    </row>
    <row r="12" spans="1:7" s="2" customFormat="1" ht="15" customHeight="1">
      <c r="A12" s="947" t="s">
        <v>1561</v>
      </c>
      <c r="B12" s="944"/>
      <c r="C12" s="51" t="s">
        <v>60</v>
      </c>
      <c r="D12" s="54">
        <v>0.1</v>
      </c>
      <c r="E12" s="17">
        <f>'MAQUINARIA Y EQUIPOS'!F33</f>
        <v>130000</v>
      </c>
      <c r="F12" s="55">
        <f>D12*E12</f>
        <v>13000</v>
      </c>
      <c r="G12" s="1072"/>
    </row>
    <row r="13" spans="1:7" s="2" customFormat="1" ht="15" customHeight="1">
      <c r="A13" s="947" t="s">
        <v>305</v>
      </c>
      <c r="B13" s="944"/>
      <c r="C13" s="51" t="s">
        <v>60</v>
      </c>
      <c r="D13" s="54">
        <v>0.1</v>
      </c>
      <c r="E13" s="17">
        <f>'MAQUINARIA Y EQUIPOS'!F15</f>
        <v>92820</v>
      </c>
      <c r="F13" s="55">
        <f>D13*E13</f>
        <v>9282</v>
      </c>
      <c r="G13" s="1072"/>
    </row>
    <row r="14" spans="1:7" s="2" customFormat="1" ht="15" customHeight="1">
      <c r="A14" s="1079"/>
      <c r="B14" s="944"/>
      <c r="C14" s="56"/>
      <c r="D14" s="56"/>
      <c r="E14" s="56"/>
      <c r="F14" s="55"/>
      <c r="G14" s="57">
        <f>SUM(F10:F14)</f>
        <v>23649.05</v>
      </c>
    </row>
    <row r="15" spans="1:7" s="2" customFormat="1" ht="15" customHeight="1">
      <c r="A15" s="1071" t="s">
        <v>10</v>
      </c>
      <c r="B15" s="944"/>
      <c r="C15" s="944"/>
      <c r="D15" s="944"/>
      <c r="E15" s="944"/>
      <c r="F15" s="944"/>
      <c r="G15" s="1072"/>
    </row>
    <row r="16" spans="1:7" s="2" customFormat="1" ht="15" customHeight="1">
      <c r="A16" s="1074" t="s">
        <v>2</v>
      </c>
      <c r="B16" s="944"/>
      <c r="C16" s="53" t="s">
        <v>3</v>
      </c>
      <c r="D16" s="53" t="s">
        <v>4</v>
      </c>
      <c r="E16" s="53" t="s">
        <v>6</v>
      </c>
      <c r="F16" s="53" t="s">
        <v>11</v>
      </c>
      <c r="G16" s="1075" t="s">
        <v>8</v>
      </c>
    </row>
    <row r="17" spans="1:7" s="2" customFormat="1" ht="15" customHeight="1">
      <c r="A17" s="943" t="s">
        <v>339</v>
      </c>
      <c r="B17" s="1078"/>
      <c r="C17" s="51" t="s">
        <v>39</v>
      </c>
      <c r="D17" s="54">
        <v>0.08</v>
      </c>
      <c r="E17" s="17">
        <f>SUBANÁLISIS!G31</f>
        <v>570669.8666666667</v>
      </c>
      <c r="F17" s="55">
        <f>D17*E17</f>
        <v>45653.589333333337</v>
      </c>
      <c r="G17" s="1075"/>
    </row>
    <row r="18" spans="1:7" s="2" customFormat="1" ht="15" customHeight="1">
      <c r="A18" s="947" t="s">
        <v>340</v>
      </c>
      <c r="B18" s="944"/>
      <c r="C18" s="16" t="s">
        <v>39</v>
      </c>
      <c r="D18" s="54">
        <v>1.9E-3</v>
      </c>
      <c r="E18" s="17">
        <f>SUBANÁLISIS!G89</f>
        <v>431833.82500000001</v>
      </c>
      <c r="F18" s="55">
        <f t="shared" ref="F18:F23" si="0">E18*D18</f>
        <v>820.48426749999999</v>
      </c>
      <c r="G18" s="1075"/>
    </row>
    <row r="19" spans="1:7" s="2" customFormat="1" ht="15" customHeight="1">
      <c r="A19" s="947" t="s">
        <v>341</v>
      </c>
      <c r="B19" s="944"/>
      <c r="C19" s="16" t="s">
        <v>3</v>
      </c>
      <c r="D19" s="16">
        <v>1.3</v>
      </c>
      <c r="E19" s="17">
        <f>'INSUMOS '!E121</f>
        <v>59100</v>
      </c>
      <c r="F19" s="55">
        <f t="shared" si="0"/>
        <v>76830</v>
      </c>
      <c r="G19" s="1075"/>
    </row>
    <row r="20" spans="1:7" s="2" customFormat="1" ht="31.5" customHeight="1">
      <c r="A20" s="947" t="s">
        <v>342</v>
      </c>
      <c r="B20" s="944"/>
      <c r="C20" s="16" t="s">
        <v>100</v>
      </c>
      <c r="D20" s="16">
        <v>3</v>
      </c>
      <c r="E20" s="17">
        <f>'INSUMOS '!E141</f>
        <v>600</v>
      </c>
      <c r="F20" s="55">
        <f t="shared" si="0"/>
        <v>1800</v>
      </c>
      <c r="G20" s="1075"/>
    </row>
    <row r="21" spans="1:7" s="2" customFormat="1" ht="15" customHeight="1">
      <c r="A21" s="976" t="s">
        <v>63</v>
      </c>
      <c r="B21" s="977"/>
      <c r="C21" s="9" t="s">
        <v>3</v>
      </c>
      <c r="D21" s="16">
        <v>2.5</v>
      </c>
      <c r="E21" s="17">
        <f>'INSUMOS '!E21</f>
        <v>3244.1860465116279</v>
      </c>
      <c r="F21" s="55">
        <f t="shared" si="0"/>
        <v>8110.4651162790697</v>
      </c>
      <c r="G21" s="61"/>
    </row>
    <row r="22" spans="1:7" s="2" customFormat="1" ht="15" customHeight="1">
      <c r="A22" s="976" t="s">
        <v>64</v>
      </c>
      <c r="B22" s="977"/>
      <c r="C22" s="9" t="s">
        <v>37</v>
      </c>
      <c r="D22" s="58">
        <v>0.31</v>
      </c>
      <c r="E22" s="17">
        <f>'INSUMOS '!E23</f>
        <v>67049.18032786886</v>
      </c>
      <c r="F22" s="55">
        <f t="shared" si="0"/>
        <v>20785.245901639348</v>
      </c>
      <c r="G22" s="61"/>
    </row>
    <row r="23" spans="1:7" s="2" customFormat="1" ht="15" customHeight="1">
      <c r="A23" s="947"/>
      <c r="B23" s="944"/>
      <c r="C23" s="16"/>
      <c r="D23" s="58"/>
      <c r="E23" s="17"/>
      <c r="F23" s="55">
        <f t="shared" si="0"/>
        <v>0</v>
      </c>
      <c r="G23" s="57">
        <f>SUM(F16:F23)</f>
        <v>153999.78461875176</v>
      </c>
    </row>
    <row r="24" spans="1:7" s="2" customFormat="1" ht="15" customHeight="1">
      <c r="A24" s="1071" t="s">
        <v>15</v>
      </c>
      <c r="B24" s="944"/>
      <c r="C24" s="944"/>
      <c r="D24" s="944"/>
      <c r="E24" s="944"/>
      <c r="F24" s="944"/>
      <c r="G24" s="1072"/>
    </row>
    <row r="25" spans="1:7" s="2" customFormat="1" ht="15" customHeight="1">
      <c r="A25" s="1074" t="s">
        <v>2</v>
      </c>
      <c r="B25" s="944"/>
      <c r="C25" s="53" t="s">
        <v>3</v>
      </c>
      <c r="D25" s="53" t="s">
        <v>4</v>
      </c>
      <c r="E25" s="53" t="s">
        <v>6</v>
      </c>
      <c r="F25" s="53" t="s">
        <v>11</v>
      </c>
      <c r="G25" s="1075" t="s">
        <v>8</v>
      </c>
    </row>
    <row r="26" spans="1:7" s="2" customFormat="1" ht="15" customHeight="1">
      <c r="A26" s="943" t="s">
        <v>173</v>
      </c>
      <c r="B26" s="944"/>
      <c r="C26" s="16" t="s">
        <v>3</v>
      </c>
      <c r="D26" s="54">
        <v>3.5000000000000003E-2</v>
      </c>
      <c r="E26" s="17">
        <f>+G23</f>
        <v>153999.78461875176</v>
      </c>
      <c r="F26" s="55">
        <f>E26*D26</f>
        <v>5389.9924616563121</v>
      </c>
      <c r="G26" s="1075"/>
    </row>
    <row r="27" spans="1:7" s="2" customFormat="1" ht="15" customHeight="1">
      <c r="A27" s="943" t="s">
        <v>335</v>
      </c>
      <c r="B27" s="1078"/>
      <c r="C27" s="16" t="s">
        <v>3</v>
      </c>
      <c r="D27" s="54">
        <v>3.5000000000000003E-2</v>
      </c>
      <c r="E27" s="17">
        <f>G14</f>
        <v>23649.05</v>
      </c>
      <c r="F27" s="55">
        <f>E27*D27</f>
        <v>827.71675000000005</v>
      </c>
      <c r="G27" s="1075"/>
    </row>
    <row r="28" spans="1:7" s="2" customFormat="1" ht="15" customHeight="1">
      <c r="A28" s="59"/>
      <c r="B28" s="60"/>
      <c r="C28" s="60"/>
      <c r="D28" s="60"/>
      <c r="E28" s="60"/>
      <c r="F28" s="60"/>
      <c r="G28" s="57">
        <f>SUM(F26:F28)</f>
        <v>6217.7092116563126</v>
      </c>
    </row>
    <row r="29" spans="1:7" s="2" customFormat="1" ht="15" customHeight="1">
      <c r="A29" s="1071" t="s">
        <v>19</v>
      </c>
      <c r="B29" s="944"/>
      <c r="C29" s="944"/>
      <c r="D29" s="944"/>
      <c r="E29" s="944"/>
      <c r="F29" s="944"/>
      <c r="G29" s="1072"/>
    </row>
    <row r="30" spans="1:7" s="2" customFormat="1" ht="15" customHeight="1">
      <c r="A30" s="1074" t="s">
        <v>2</v>
      </c>
      <c r="B30" s="944"/>
      <c r="C30" s="53" t="s">
        <v>3</v>
      </c>
      <c r="D30" s="53" t="s">
        <v>4</v>
      </c>
      <c r="E30" s="53" t="s">
        <v>6</v>
      </c>
      <c r="F30" s="53" t="s">
        <v>11</v>
      </c>
      <c r="G30" s="456" t="s">
        <v>8</v>
      </c>
    </row>
    <row r="31" spans="1:7" s="2" customFormat="1" ht="15.75" customHeight="1">
      <c r="A31" s="978" t="str">
        <f>SALARIOS!$A$69</f>
        <v>CUADRILLA BB INSTALACIONES 1:1</v>
      </c>
      <c r="B31" s="979"/>
      <c r="C31" s="13" t="s">
        <v>1245</v>
      </c>
      <c r="D31" s="32">
        <v>1</v>
      </c>
      <c r="E31" s="13">
        <f>SALARIOS!$C$69</f>
        <v>27341</v>
      </c>
      <c r="F31" s="55">
        <f>+D31*E31</f>
        <v>27341</v>
      </c>
      <c r="G31" s="57">
        <f>SUM(F30:F31)</f>
        <v>27341</v>
      </c>
    </row>
    <row r="32" spans="1:7" s="2" customFormat="1" ht="15" customHeight="1">
      <c r="A32" s="1076" t="s">
        <v>25</v>
      </c>
      <c r="B32" s="944"/>
      <c r="C32" s="944"/>
      <c r="D32" s="944"/>
      <c r="E32" s="944"/>
      <c r="F32" s="944"/>
      <c r="G32" s="1072"/>
    </row>
    <row r="33" spans="1:7" s="2" customFormat="1" ht="15" customHeight="1">
      <c r="A33" s="1077"/>
      <c r="B33" s="944"/>
      <c r="C33" s="944"/>
      <c r="D33" s="944"/>
      <c r="E33" s="944"/>
      <c r="F33" s="944"/>
      <c r="G33" s="62">
        <f>G31+G28+G23+G14</f>
        <v>211207.54383040807</v>
      </c>
    </row>
    <row r="34" spans="1:7" s="2" customFormat="1" ht="15" customHeight="1">
      <c r="A34" s="63"/>
      <c r="B34" s="42"/>
      <c r="C34" s="42"/>
      <c r="D34" s="42"/>
      <c r="E34" s="42"/>
      <c r="F34" s="42"/>
      <c r="G34" s="64"/>
    </row>
    <row r="35" spans="1:7" s="2" customFormat="1" ht="15" customHeight="1">
      <c r="A35" s="970" t="s">
        <v>1</v>
      </c>
      <c r="B35" s="957"/>
      <c r="C35" s="953" t="s">
        <v>0</v>
      </c>
      <c r="D35" s="953"/>
      <c r="E35" s="953"/>
      <c r="F35" s="953"/>
      <c r="G35" s="1103"/>
    </row>
    <row r="36" spans="1:7" s="2" customFormat="1" ht="49.5" customHeight="1">
      <c r="A36" s="971"/>
      <c r="B36" s="957"/>
      <c r="C36" s="953"/>
      <c r="D36" s="953"/>
      <c r="E36" s="953"/>
      <c r="F36" s="953"/>
      <c r="G36" s="1103"/>
    </row>
    <row r="37" spans="1:7" s="2" customFormat="1" ht="15" customHeight="1">
      <c r="A37" s="971"/>
      <c r="B37" s="957"/>
      <c r="C37" s="956"/>
      <c r="D37" s="957"/>
      <c r="E37" s="957"/>
      <c r="F37" s="957"/>
      <c r="G37" s="958"/>
    </row>
    <row r="38" spans="1:7" s="2" customFormat="1" ht="15" customHeight="1">
      <c r="A38" s="971"/>
      <c r="B38" s="957"/>
      <c r="C38" s="959" t="s">
        <v>2</v>
      </c>
      <c r="D38" s="957"/>
      <c r="E38" s="957"/>
      <c r="F38" s="23" t="s">
        <v>3</v>
      </c>
      <c r="G38" s="24" t="s">
        <v>4</v>
      </c>
    </row>
    <row r="39" spans="1:7" s="2" customFormat="1" ht="34.799999999999997">
      <c r="A39" s="1089" t="s">
        <v>940</v>
      </c>
      <c r="B39" s="944"/>
      <c r="C39" s="980" t="s">
        <v>941</v>
      </c>
      <c r="D39" s="944"/>
      <c r="E39" s="944"/>
      <c r="F39" s="51" t="s">
        <v>37</v>
      </c>
      <c r="G39" s="52">
        <v>46.19</v>
      </c>
    </row>
    <row r="40" spans="1:7" s="2" customFormat="1" ht="15" customHeight="1">
      <c r="A40" s="1071" t="s">
        <v>5</v>
      </c>
      <c r="B40" s="944"/>
      <c r="C40" s="944"/>
      <c r="D40" s="944"/>
      <c r="E40" s="944"/>
      <c r="F40" s="944"/>
      <c r="G40" s="1072"/>
    </row>
    <row r="41" spans="1:7" s="2" customFormat="1" ht="15" customHeight="1">
      <c r="A41" s="1074" t="s">
        <v>2</v>
      </c>
      <c r="B41" s="944"/>
      <c r="C41" s="53" t="s">
        <v>3</v>
      </c>
      <c r="D41" s="53" t="s">
        <v>4</v>
      </c>
      <c r="E41" s="53" t="s">
        <v>6</v>
      </c>
      <c r="F41" s="53" t="s">
        <v>7</v>
      </c>
      <c r="G41" s="1075" t="s">
        <v>8</v>
      </c>
    </row>
    <row r="42" spans="1:7" s="2" customFormat="1" ht="15" customHeight="1">
      <c r="A42" s="947" t="s">
        <v>167</v>
      </c>
      <c r="B42" s="980"/>
      <c r="C42" s="51" t="s">
        <v>3</v>
      </c>
      <c r="D42" s="54">
        <v>0.05</v>
      </c>
      <c r="E42" s="17">
        <f>G59</f>
        <v>18734.5</v>
      </c>
      <c r="F42" s="55">
        <f>D42*E42</f>
        <v>936.72500000000002</v>
      </c>
      <c r="G42" s="1072"/>
    </row>
    <row r="43" spans="1:7" s="2" customFormat="1" ht="15" customHeight="1">
      <c r="A43" s="947" t="s">
        <v>329</v>
      </c>
      <c r="B43" s="944"/>
      <c r="C43" s="51" t="s">
        <v>60</v>
      </c>
      <c r="D43" s="54">
        <v>0.1</v>
      </c>
      <c r="E43" s="17">
        <f>'MAQUINARIA Y EQUIPOS'!F12</f>
        <v>48790</v>
      </c>
      <c r="F43" s="55">
        <f>D43*E43</f>
        <v>4879</v>
      </c>
      <c r="G43" s="1072"/>
    </row>
    <row r="44" spans="1:7" s="2" customFormat="1" ht="15" customHeight="1">
      <c r="A44" s="1079"/>
      <c r="B44" s="944"/>
      <c r="C44" s="56"/>
      <c r="D44" s="56"/>
      <c r="E44" s="56"/>
      <c r="F44" s="55"/>
      <c r="G44" s="57">
        <f>SUM(F41:F44)</f>
        <v>5815.7250000000004</v>
      </c>
    </row>
    <row r="45" spans="1:7" s="2" customFormat="1" ht="15" customHeight="1">
      <c r="A45" s="1071" t="s">
        <v>10</v>
      </c>
      <c r="B45" s="944"/>
      <c r="C45" s="944"/>
      <c r="D45" s="944"/>
      <c r="E45" s="944"/>
      <c r="F45" s="944"/>
      <c r="G45" s="1072"/>
    </row>
    <row r="46" spans="1:7" s="2" customFormat="1" ht="15" customHeight="1">
      <c r="A46" s="1074" t="s">
        <v>2</v>
      </c>
      <c r="B46" s="944"/>
      <c r="C46" s="53" t="s">
        <v>3</v>
      </c>
      <c r="D46" s="53" t="s">
        <v>4</v>
      </c>
      <c r="E46" s="53" t="s">
        <v>6</v>
      </c>
      <c r="F46" s="53" t="s">
        <v>11</v>
      </c>
      <c r="G46" s="1075" t="s">
        <v>8</v>
      </c>
    </row>
    <row r="47" spans="1:7" s="2" customFormat="1" ht="15" customHeight="1">
      <c r="A47" s="943" t="s">
        <v>942</v>
      </c>
      <c r="B47" s="1078"/>
      <c r="C47" s="51" t="s">
        <v>190</v>
      </c>
      <c r="D47" s="54">
        <v>0.02</v>
      </c>
      <c r="E47" s="17">
        <f>'INSUMOS '!E169</f>
        <v>40398</v>
      </c>
      <c r="F47" s="55">
        <f>D47*E47</f>
        <v>807.96</v>
      </c>
      <c r="G47" s="1075"/>
    </row>
    <row r="48" spans="1:7" s="2" customFormat="1" ht="15" customHeight="1">
      <c r="A48" s="947" t="s">
        <v>943</v>
      </c>
      <c r="B48" s="944"/>
      <c r="C48" s="16" t="s">
        <v>37</v>
      </c>
      <c r="D48" s="16">
        <v>1</v>
      </c>
      <c r="E48" s="17">
        <f>'INSUMOS '!E167</f>
        <v>314900</v>
      </c>
      <c r="F48" s="55">
        <f>E48*D48</f>
        <v>314900</v>
      </c>
      <c r="G48" s="1075"/>
    </row>
    <row r="49" spans="1:7" s="2" customFormat="1" ht="15" customHeight="1">
      <c r="A49" s="976" t="s">
        <v>63</v>
      </c>
      <c r="B49" s="977"/>
      <c r="C49" s="9" t="s">
        <v>3</v>
      </c>
      <c r="D49" s="16">
        <v>1.2</v>
      </c>
      <c r="E49" s="17">
        <f>'INSUMOS '!E20</f>
        <v>27900</v>
      </c>
      <c r="F49" s="55">
        <f>E49*D49</f>
        <v>33480</v>
      </c>
      <c r="G49" s="1075"/>
    </row>
    <row r="50" spans="1:7" s="2" customFormat="1" ht="15" customHeight="1">
      <c r="A50" s="976" t="s">
        <v>64</v>
      </c>
      <c r="B50" s="977"/>
      <c r="C50" s="9" t="s">
        <v>37</v>
      </c>
      <c r="D50" s="58">
        <v>0.15</v>
      </c>
      <c r="E50" s="17">
        <f>'INSUMOS '!E23</f>
        <v>67049.18032786886</v>
      </c>
      <c r="F50" s="55">
        <f>E50*D50</f>
        <v>10057.377049180328</v>
      </c>
      <c r="G50" s="1075"/>
    </row>
    <row r="51" spans="1:7" s="2" customFormat="1" ht="15" customHeight="1">
      <c r="A51" s="947"/>
      <c r="B51" s="944"/>
      <c r="C51" s="16"/>
      <c r="D51" s="58"/>
      <c r="E51" s="17"/>
      <c r="F51" s="55">
        <f>E51*D51</f>
        <v>0</v>
      </c>
      <c r="G51" s="57">
        <f>SUM(F46:F51)</f>
        <v>359245.33704918035</v>
      </c>
    </row>
    <row r="52" spans="1:7" s="2" customFormat="1" ht="15" customHeight="1">
      <c r="A52" s="1071" t="s">
        <v>15</v>
      </c>
      <c r="B52" s="944"/>
      <c r="C52" s="944"/>
      <c r="D52" s="944"/>
      <c r="E52" s="944"/>
      <c r="F52" s="944"/>
      <c r="G52" s="1072"/>
    </row>
    <row r="53" spans="1:7" s="2" customFormat="1" ht="15" customHeight="1">
      <c r="A53" s="1074" t="s">
        <v>2</v>
      </c>
      <c r="B53" s="944"/>
      <c r="C53" s="53" t="s">
        <v>3</v>
      </c>
      <c r="D53" s="53" t="s">
        <v>4</v>
      </c>
      <c r="E53" s="53" t="s">
        <v>6</v>
      </c>
      <c r="F53" s="53" t="s">
        <v>11</v>
      </c>
      <c r="G53" s="1075" t="s">
        <v>8</v>
      </c>
    </row>
    <row r="54" spans="1:7" s="2" customFormat="1" ht="15" customHeight="1">
      <c r="A54" s="943" t="s">
        <v>173</v>
      </c>
      <c r="B54" s="944"/>
      <c r="C54" s="16" t="s">
        <v>3</v>
      </c>
      <c r="D54" s="54">
        <v>3.5000000000000003E-2</v>
      </c>
      <c r="E54" s="17">
        <f>+G51</f>
        <v>359245.33704918035</v>
      </c>
      <c r="F54" s="55">
        <f>E54*D54</f>
        <v>12573.586796721313</v>
      </c>
      <c r="G54" s="1075"/>
    </row>
    <row r="55" spans="1:7" s="2" customFormat="1" ht="15" customHeight="1">
      <c r="A55" s="943" t="s">
        <v>335</v>
      </c>
      <c r="B55" s="1078"/>
      <c r="C55" s="16" t="s">
        <v>3</v>
      </c>
      <c r="D55" s="54">
        <v>3.5000000000000003E-2</v>
      </c>
      <c r="E55" s="17">
        <f>G44</f>
        <v>5815.7250000000004</v>
      </c>
      <c r="F55" s="55">
        <f>E55*D55</f>
        <v>203.55037500000003</v>
      </c>
      <c r="G55" s="1075"/>
    </row>
    <row r="56" spans="1:7" s="2" customFormat="1" ht="15" customHeight="1">
      <c r="A56" s="59"/>
      <c r="B56" s="60"/>
      <c r="C56" s="60"/>
      <c r="D56" s="60"/>
      <c r="E56" s="60"/>
      <c r="F56" s="60"/>
      <c r="G56" s="57">
        <f>SUM(F54:F56)</f>
        <v>12777.137171721313</v>
      </c>
    </row>
    <row r="57" spans="1:7" s="2" customFormat="1" ht="15" customHeight="1">
      <c r="A57" s="1071" t="s">
        <v>19</v>
      </c>
      <c r="B57" s="944"/>
      <c r="C57" s="944"/>
      <c r="D57" s="944"/>
      <c r="E57" s="944"/>
      <c r="F57" s="944"/>
      <c r="G57" s="1072"/>
    </row>
    <row r="58" spans="1:7" s="2" customFormat="1" ht="15" customHeight="1">
      <c r="A58" s="1074" t="s">
        <v>2</v>
      </c>
      <c r="B58" s="944"/>
      <c r="C58" s="53" t="s">
        <v>3</v>
      </c>
      <c r="D58" s="53" t="s">
        <v>4</v>
      </c>
      <c r="E58" s="53" t="s">
        <v>6</v>
      </c>
      <c r="F58" s="53" t="s">
        <v>11</v>
      </c>
      <c r="G58" s="456" t="s">
        <v>8</v>
      </c>
    </row>
    <row r="59" spans="1:7" s="2" customFormat="1" ht="15.75" customHeight="1">
      <c r="A59" s="978" t="str">
        <f>SALARIOS!$A$70</f>
        <v>CUADRILLA BB INSTALACIONES 1:2</v>
      </c>
      <c r="B59" s="979"/>
      <c r="C59" s="13" t="s">
        <v>1245</v>
      </c>
      <c r="D59" s="32">
        <v>0.5</v>
      </c>
      <c r="E59" s="13">
        <f>SALARIOS!$C$70</f>
        <v>37469</v>
      </c>
      <c r="F59" s="55">
        <f>+D59*E59</f>
        <v>18734.5</v>
      </c>
      <c r="G59" s="57">
        <f>SUM(F58:F59)</f>
        <v>18734.5</v>
      </c>
    </row>
    <row r="60" spans="1:7" s="2" customFormat="1" ht="15" customHeight="1">
      <c r="A60" s="1076" t="s">
        <v>25</v>
      </c>
      <c r="B60" s="944"/>
      <c r="C60" s="944"/>
      <c r="D60" s="944"/>
      <c r="E60" s="944"/>
      <c r="F60" s="944"/>
      <c r="G60" s="1072"/>
    </row>
    <row r="61" spans="1:7" s="2" customFormat="1" ht="15" customHeight="1">
      <c r="A61" s="1077"/>
      <c r="B61" s="944"/>
      <c r="C61" s="944"/>
      <c r="D61" s="944"/>
      <c r="E61" s="944"/>
      <c r="F61" s="944"/>
      <c r="G61" s="62">
        <f>G59+G56+G51+G44</f>
        <v>396572.69922090165</v>
      </c>
    </row>
    <row r="62" spans="1:7" s="2" customFormat="1" ht="15" customHeight="1">
      <c r="A62" s="63"/>
      <c r="B62" s="42"/>
      <c r="C62" s="42"/>
      <c r="D62" s="42"/>
      <c r="E62" s="42"/>
      <c r="F62" s="42"/>
      <c r="G62" s="64"/>
    </row>
    <row r="63" spans="1:7" s="2" customFormat="1" ht="15" customHeight="1">
      <c r="A63" s="970" t="s">
        <v>1</v>
      </c>
      <c r="B63" s="957"/>
      <c r="C63" s="953" t="s">
        <v>0</v>
      </c>
      <c r="D63" s="953"/>
      <c r="E63" s="953"/>
      <c r="F63" s="953"/>
      <c r="G63" s="1103"/>
    </row>
    <row r="64" spans="1:7" s="2" customFormat="1" ht="41.25" customHeight="1">
      <c r="A64" s="971"/>
      <c r="B64" s="957"/>
      <c r="C64" s="953"/>
      <c r="D64" s="953"/>
      <c r="E64" s="953"/>
      <c r="F64" s="953"/>
      <c r="G64" s="1103"/>
    </row>
    <row r="65" spans="1:7" s="2" customFormat="1" ht="15" customHeight="1">
      <c r="A65" s="971"/>
      <c r="B65" s="957"/>
      <c r="C65" s="956"/>
      <c r="D65" s="957"/>
      <c r="E65" s="957"/>
      <c r="F65" s="957"/>
      <c r="G65" s="958"/>
    </row>
    <row r="66" spans="1:7" s="2" customFormat="1" ht="15" customHeight="1">
      <c r="A66" s="971"/>
      <c r="B66" s="957"/>
      <c r="C66" s="959" t="s">
        <v>2</v>
      </c>
      <c r="D66" s="957"/>
      <c r="E66" s="957"/>
      <c r="F66" s="23" t="s">
        <v>3</v>
      </c>
      <c r="G66" s="24" t="s">
        <v>4</v>
      </c>
    </row>
    <row r="67" spans="1:7" s="2" customFormat="1" ht="34.799999999999997">
      <c r="A67" s="1089" t="s">
        <v>944</v>
      </c>
      <c r="B67" s="944"/>
      <c r="C67" s="980" t="s">
        <v>945</v>
      </c>
      <c r="D67" s="944"/>
      <c r="E67" s="944"/>
      <c r="F67" s="51" t="s">
        <v>37</v>
      </c>
      <c r="G67" s="52">
        <v>31.86</v>
      </c>
    </row>
    <row r="68" spans="1:7" s="2" customFormat="1" ht="15" customHeight="1">
      <c r="A68" s="1071" t="s">
        <v>5</v>
      </c>
      <c r="B68" s="944"/>
      <c r="C68" s="944"/>
      <c r="D68" s="944"/>
      <c r="E68" s="944"/>
      <c r="F68" s="944"/>
      <c r="G68" s="1072"/>
    </row>
    <row r="69" spans="1:7" s="2" customFormat="1" ht="15" customHeight="1">
      <c r="A69" s="1074" t="s">
        <v>2</v>
      </c>
      <c r="B69" s="944"/>
      <c r="C69" s="53" t="s">
        <v>3</v>
      </c>
      <c r="D69" s="53" t="s">
        <v>4</v>
      </c>
      <c r="E69" s="53" t="s">
        <v>6</v>
      </c>
      <c r="F69" s="53" t="s">
        <v>7</v>
      </c>
      <c r="G69" s="1075" t="s">
        <v>8</v>
      </c>
    </row>
    <row r="70" spans="1:7" s="2" customFormat="1" ht="15" customHeight="1">
      <c r="A70" s="947" t="s">
        <v>328</v>
      </c>
      <c r="B70" s="980"/>
      <c r="C70" s="51" t="s">
        <v>3</v>
      </c>
      <c r="D70" s="54">
        <v>0.05</v>
      </c>
      <c r="E70" s="17">
        <f>G84</f>
        <v>5064.5</v>
      </c>
      <c r="F70" s="55">
        <f>D70*E70</f>
        <v>253.22500000000002</v>
      </c>
      <c r="G70" s="1072"/>
    </row>
    <row r="71" spans="1:7" s="2" customFormat="1" ht="15" customHeight="1">
      <c r="A71" s="1079"/>
      <c r="B71" s="944"/>
      <c r="C71" s="56"/>
      <c r="D71" s="56"/>
      <c r="E71" s="56"/>
      <c r="F71" s="55"/>
      <c r="G71" s="57">
        <f>SUM(F69:F71)</f>
        <v>253.22500000000002</v>
      </c>
    </row>
    <row r="72" spans="1:7" s="2" customFormat="1" ht="15" customHeight="1">
      <c r="A72" s="1071" t="s">
        <v>10</v>
      </c>
      <c r="B72" s="944"/>
      <c r="C72" s="944"/>
      <c r="D72" s="944"/>
      <c r="E72" s="944"/>
      <c r="F72" s="944"/>
      <c r="G72" s="1072"/>
    </row>
    <row r="73" spans="1:7" s="2" customFormat="1" ht="15" customHeight="1">
      <c r="A73" s="1074" t="s">
        <v>2</v>
      </c>
      <c r="B73" s="944"/>
      <c r="C73" s="53" t="s">
        <v>3</v>
      </c>
      <c r="D73" s="53" t="s">
        <v>4</v>
      </c>
      <c r="E73" s="53" t="s">
        <v>6</v>
      </c>
      <c r="F73" s="53" t="s">
        <v>11</v>
      </c>
      <c r="G73" s="1075" t="s">
        <v>8</v>
      </c>
    </row>
    <row r="74" spans="1:7" s="2" customFormat="1" ht="15" customHeight="1">
      <c r="A74" s="943" t="s">
        <v>1361</v>
      </c>
      <c r="B74" s="1078"/>
      <c r="C74" s="51" t="s">
        <v>37</v>
      </c>
      <c r="D74" s="54">
        <v>1.2</v>
      </c>
      <c r="E74" s="17">
        <f>'INSUMOS '!E24</f>
        <v>3174.6857142857143</v>
      </c>
      <c r="F74" s="55">
        <f>D74*E74</f>
        <v>3809.6228571428569</v>
      </c>
      <c r="G74" s="1075"/>
    </row>
    <row r="75" spans="1:7" s="2" customFormat="1" ht="15" customHeight="1">
      <c r="A75" s="947" t="s">
        <v>946</v>
      </c>
      <c r="B75" s="944"/>
      <c r="C75" s="16" t="s">
        <v>39</v>
      </c>
      <c r="D75" s="16">
        <v>0.05</v>
      </c>
      <c r="E75" s="17">
        <f>'INSUMOS '!E171</f>
        <v>558750</v>
      </c>
      <c r="F75" s="55">
        <f>E75*D75</f>
        <v>27937.5</v>
      </c>
      <c r="G75" s="1075"/>
    </row>
    <row r="76" spans="1:7" s="2" customFormat="1" ht="15" customHeight="1">
      <c r="A76" s="947"/>
      <c r="B76" s="944"/>
      <c r="C76" s="16"/>
      <c r="D76" s="58"/>
      <c r="E76" s="17"/>
      <c r="F76" s="55"/>
      <c r="G76" s="57">
        <f>SUM(F73:F76)</f>
        <v>31747.122857142858</v>
      </c>
    </row>
    <row r="77" spans="1:7" s="2" customFormat="1" ht="15" customHeight="1">
      <c r="A77" s="1071" t="s">
        <v>15</v>
      </c>
      <c r="B77" s="944"/>
      <c r="C77" s="944"/>
      <c r="D77" s="944"/>
      <c r="E77" s="944"/>
      <c r="F77" s="944"/>
      <c r="G77" s="1072"/>
    </row>
    <row r="78" spans="1:7" s="2" customFormat="1" ht="15" customHeight="1">
      <c r="A78" s="1074" t="s">
        <v>2</v>
      </c>
      <c r="B78" s="944"/>
      <c r="C78" s="53" t="s">
        <v>3</v>
      </c>
      <c r="D78" s="53" t="s">
        <v>4</v>
      </c>
      <c r="E78" s="53" t="s">
        <v>6</v>
      </c>
      <c r="F78" s="53" t="s">
        <v>11</v>
      </c>
      <c r="G78" s="1075" t="s">
        <v>8</v>
      </c>
    </row>
    <row r="79" spans="1:7" s="2" customFormat="1" ht="15" customHeight="1">
      <c r="A79" s="943" t="s">
        <v>173</v>
      </c>
      <c r="B79" s="944"/>
      <c r="C79" s="16" t="s">
        <v>3</v>
      </c>
      <c r="D79" s="54">
        <v>3.5000000000000003E-2</v>
      </c>
      <c r="E79" s="17">
        <f>+G76</f>
        <v>31747.122857142858</v>
      </c>
      <c r="F79" s="55">
        <f>E79*D79</f>
        <v>1111.1493</v>
      </c>
      <c r="G79" s="1075"/>
    </row>
    <row r="80" spans="1:7" s="2" customFormat="1" ht="15" customHeight="1">
      <c r="A80" s="943" t="s">
        <v>335</v>
      </c>
      <c r="B80" s="1078"/>
      <c r="C80" s="16" t="s">
        <v>3</v>
      </c>
      <c r="D80" s="54">
        <v>3.5000000000000003E-2</v>
      </c>
      <c r="E80" s="17">
        <f>G71</f>
        <v>253.22500000000002</v>
      </c>
      <c r="F80" s="55">
        <f>E80*D80</f>
        <v>8.8628750000000025</v>
      </c>
      <c r="G80" s="1075"/>
    </row>
    <row r="81" spans="1:7" s="2" customFormat="1" ht="15" customHeight="1">
      <c r="A81" s="59"/>
      <c r="B81" s="60"/>
      <c r="C81" s="60"/>
      <c r="D81" s="60"/>
      <c r="E81" s="60"/>
      <c r="F81" s="60"/>
      <c r="G81" s="57">
        <f>SUM(F79:F81)</f>
        <v>1120.0121750000001</v>
      </c>
    </row>
    <row r="82" spans="1:7" s="2" customFormat="1" ht="15" customHeight="1">
      <c r="A82" s="1071" t="s">
        <v>19</v>
      </c>
      <c r="B82" s="944"/>
      <c r="C82" s="944"/>
      <c r="D82" s="944"/>
      <c r="E82" s="944"/>
      <c r="F82" s="944"/>
      <c r="G82" s="1072"/>
    </row>
    <row r="83" spans="1:7" s="2" customFormat="1" ht="15" customHeight="1">
      <c r="A83" s="1074" t="s">
        <v>2</v>
      </c>
      <c r="B83" s="944"/>
      <c r="C83" s="53" t="s">
        <v>3</v>
      </c>
      <c r="D83" s="53" t="s">
        <v>4</v>
      </c>
      <c r="E83" s="53" t="s">
        <v>6</v>
      </c>
      <c r="F83" s="53" t="s">
        <v>11</v>
      </c>
      <c r="G83" s="456" t="s">
        <v>8</v>
      </c>
    </row>
    <row r="84" spans="1:7" s="2" customFormat="1" ht="15.75" customHeight="1">
      <c r="A84" s="978" t="str">
        <f>SALARIOS!$A$66</f>
        <v>CUADRILLA BB INSTALACIONES 0:1</v>
      </c>
      <c r="B84" s="979"/>
      <c r="C84" s="13" t="s">
        <v>1245</v>
      </c>
      <c r="D84" s="32">
        <v>0.5</v>
      </c>
      <c r="E84" s="13">
        <f>SALARIOS!$C$66</f>
        <v>10129</v>
      </c>
      <c r="F84" s="55">
        <f>+D84*E84</f>
        <v>5064.5</v>
      </c>
      <c r="G84" s="57">
        <f>SUM(F83:F84)</f>
        <v>5064.5</v>
      </c>
    </row>
    <row r="85" spans="1:7" s="2" customFormat="1" ht="15" customHeight="1">
      <c r="A85" s="1076" t="s">
        <v>25</v>
      </c>
      <c r="B85" s="944"/>
      <c r="C85" s="944"/>
      <c r="D85" s="944"/>
      <c r="E85" s="944"/>
      <c r="F85" s="944"/>
      <c r="G85" s="1072"/>
    </row>
    <row r="86" spans="1:7" s="2" customFormat="1" ht="15" customHeight="1">
      <c r="A86" s="1077"/>
      <c r="B86" s="944"/>
      <c r="C86" s="944"/>
      <c r="D86" s="944"/>
      <c r="E86" s="944"/>
      <c r="F86" s="944"/>
      <c r="G86" s="62">
        <f>G84+G81+G76+G71</f>
        <v>38184.86003214286</v>
      </c>
    </row>
    <row r="87" spans="1:7" s="2" customFormat="1" ht="15" customHeight="1">
      <c r="A87" s="63"/>
      <c r="B87" s="42"/>
      <c r="C87" s="42"/>
      <c r="D87" s="42"/>
      <c r="E87" s="42"/>
      <c r="F87" s="42"/>
      <c r="G87" s="64"/>
    </row>
    <row r="88" spans="1:7" s="2" customFormat="1" ht="15" customHeight="1">
      <c r="A88" s="970" t="s">
        <v>1</v>
      </c>
      <c r="B88" s="957"/>
      <c r="C88" s="953" t="s">
        <v>0</v>
      </c>
      <c r="D88" s="953"/>
      <c r="E88" s="953"/>
      <c r="F88" s="953"/>
      <c r="G88" s="1103"/>
    </row>
    <row r="89" spans="1:7" s="2" customFormat="1" ht="45" customHeight="1">
      <c r="A89" s="971"/>
      <c r="B89" s="957"/>
      <c r="C89" s="953"/>
      <c r="D89" s="953"/>
      <c r="E89" s="953"/>
      <c r="F89" s="953"/>
      <c r="G89" s="1103"/>
    </row>
    <row r="90" spans="1:7" s="2" customFormat="1" ht="15" customHeight="1">
      <c r="A90" s="971"/>
      <c r="B90" s="957"/>
      <c r="C90" s="956"/>
      <c r="D90" s="957"/>
      <c r="E90" s="957"/>
      <c r="F90" s="957"/>
      <c r="G90" s="958"/>
    </row>
    <row r="91" spans="1:7" s="2" customFormat="1" ht="15" customHeight="1">
      <c r="A91" s="971"/>
      <c r="B91" s="957"/>
      <c r="C91" s="959" t="s">
        <v>2</v>
      </c>
      <c r="D91" s="957"/>
      <c r="E91" s="957"/>
      <c r="F91" s="23" t="s">
        <v>3</v>
      </c>
      <c r="G91" s="24" t="s">
        <v>4</v>
      </c>
    </row>
    <row r="92" spans="1:7" s="2" customFormat="1" ht="34.799999999999997">
      <c r="A92" s="1089" t="s">
        <v>947</v>
      </c>
      <c r="B92" s="944"/>
      <c r="C92" s="980" t="s">
        <v>948</v>
      </c>
      <c r="D92" s="944"/>
      <c r="E92" s="944"/>
      <c r="F92" s="51" t="s">
        <v>37</v>
      </c>
      <c r="G92" s="52">
        <v>1.25</v>
      </c>
    </row>
    <row r="93" spans="1:7" s="2" customFormat="1" ht="15" customHeight="1">
      <c r="A93" s="1071" t="s">
        <v>5</v>
      </c>
      <c r="B93" s="944"/>
      <c r="C93" s="944"/>
      <c r="D93" s="944"/>
      <c r="E93" s="944"/>
      <c r="F93" s="944"/>
      <c r="G93" s="1072"/>
    </row>
    <row r="94" spans="1:7" s="2" customFormat="1" ht="15" customHeight="1">
      <c r="A94" s="1074" t="s">
        <v>2</v>
      </c>
      <c r="B94" s="944"/>
      <c r="C94" s="53" t="s">
        <v>3</v>
      </c>
      <c r="D94" s="53" t="s">
        <v>4</v>
      </c>
      <c r="E94" s="53" t="s">
        <v>6</v>
      </c>
      <c r="F94" s="53" t="s">
        <v>7</v>
      </c>
      <c r="G94" s="1075" t="s">
        <v>8</v>
      </c>
    </row>
    <row r="95" spans="1:7" s="2" customFormat="1" ht="15" customHeight="1">
      <c r="A95" s="947" t="s">
        <v>328</v>
      </c>
      <c r="B95" s="980"/>
      <c r="C95" s="51" t="s">
        <v>3</v>
      </c>
      <c r="D95" s="54">
        <v>0.05</v>
      </c>
      <c r="E95" s="17">
        <f>G109</f>
        <v>6077.4</v>
      </c>
      <c r="F95" s="55">
        <f>D95*E95</f>
        <v>303.87</v>
      </c>
      <c r="G95" s="1072"/>
    </row>
    <row r="96" spans="1:7" s="2" customFormat="1" ht="15" customHeight="1">
      <c r="A96" s="1079"/>
      <c r="B96" s="944"/>
      <c r="C96" s="56"/>
      <c r="D96" s="56"/>
      <c r="E96" s="56"/>
      <c r="F96" s="55"/>
      <c r="G96" s="57">
        <f>SUM(F94:F96)</f>
        <v>303.87</v>
      </c>
    </row>
    <row r="97" spans="1:7" s="2" customFormat="1" ht="15" customHeight="1">
      <c r="A97" s="1071" t="s">
        <v>10</v>
      </c>
      <c r="B97" s="944"/>
      <c r="C97" s="944"/>
      <c r="D97" s="944"/>
      <c r="E97" s="944"/>
      <c r="F97" s="944"/>
      <c r="G97" s="1072"/>
    </row>
    <row r="98" spans="1:7" s="2" customFormat="1" ht="15" customHeight="1">
      <c r="A98" s="1074" t="s">
        <v>2</v>
      </c>
      <c r="B98" s="944"/>
      <c r="C98" s="53" t="s">
        <v>3</v>
      </c>
      <c r="D98" s="53" t="s">
        <v>4</v>
      </c>
      <c r="E98" s="53" t="s">
        <v>6</v>
      </c>
      <c r="F98" s="53" t="s">
        <v>11</v>
      </c>
      <c r="G98" s="1075" t="s">
        <v>8</v>
      </c>
    </row>
    <row r="99" spans="1:7" s="2" customFormat="1" ht="15" customHeight="1">
      <c r="A99" s="943" t="s">
        <v>1361</v>
      </c>
      <c r="B99" s="1078"/>
      <c r="C99" s="51" t="s">
        <v>37</v>
      </c>
      <c r="D99" s="54">
        <v>1.2</v>
      </c>
      <c r="E99" s="17">
        <f>'INSUMOS '!E24</f>
        <v>3174.6857142857143</v>
      </c>
      <c r="F99" s="55">
        <f>D99*E99</f>
        <v>3809.6228571428569</v>
      </c>
      <c r="G99" s="1075"/>
    </row>
    <row r="100" spans="1:7" s="2" customFormat="1" ht="15" customHeight="1">
      <c r="A100" s="947" t="s">
        <v>949</v>
      </c>
      <c r="B100" s="944"/>
      <c r="C100" s="16" t="s">
        <v>950</v>
      </c>
      <c r="D100" s="16">
        <v>0.05</v>
      </c>
      <c r="E100" s="17">
        <f>'INSUMOS '!E172</f>
        <v>51964</v>
      </c>
      <c r="F100" s="55">
        <f>E100*D100</f>
        <v>2598.2000000000003</v>
      </c>
      <c r="G100" s="1075"/>
    </row>
    <row r="101" spans="1:7" s="2" customFormat="1" ht="15" customHeight="1">
      <c r="A101" s="947"/>
      <c r="B101" s="944"/>
      <c r="C101" s="16"/>
      <c r="D101" s="58"/>
      <c r="E101" s="17"/>
      <c r="F101" s="55"/>
      <c r="G101" s="57">
        <f>SUM(F98:F101)</f>
        <v>6407.8228571428572</v>
      </c>
    </row>
    <row r="102" spans="1:7" s="2" customFormat="1" ht="15" customHeight="1">
      <c r="A102" s="1071" t="s">
        <v>15</v>
      </c>
      <c r="B102" s="944"/>
      <c r="C102" s="944"/>
      <c r="D102" s="944"/>
      <c r="E102" s="944"/>
      <c r="F102" s="944"/>
      <c r="G102" s="1072"/>
    </row>
    <row r="103" spans="1:7" s="2" customFormat="1" ht="15" customHeight="1">
      <c r="A103" s="1074" t="s">
        <v>2</v>
      </c>
      <c r="B103" s="944"/>
      <c r="C103" s="53" t="s">
        <v>3</v>
      </c>
      <c r="D103" s="53" t="s">
        <v>4</v>
      </c>
      <c r="E103" s="53" t="s">
        <v>6</v>
      </c>
      <c r="F103" s="53" t="s">
        <v>11</v>
      </c>
      <c r="G103" s="1075" t="s">
        <v>8</v>
      </c>
    </row>
    <row r="104" spans="1:7" s="2" customFormat="1" ht="15" customHeight="1">
      <c r="A104" s="943" t="s">
        <v>173</v>
      </c>
      <c r="B104" s="944"/>
      <c r="C104" s="16" t="s">
        <v>3</v>
      </c>
      <c r="D104" s="54">
        <v>3.5000000000000003E-2</v>
      </c>
      <c r="E104" s="17">
        <f>+G101</f>
        <v>6407.8228571428572</v>
      </c>
      <c r="F104" s="55">
        <f>E104*D104</f>
        <v>224.27380000000002</v>
      </c>
      <c r="G104" s="1075"/>
    </row>
    <row r="105" spans="1:7" s="2" customFormat="1" ht="15" customHeight="1">
      <c r="A105" s="943" t="s">
        <v>335</v>
      </c>
      <c r="B105" s="1078"/>
      <c r="C105" s="16" t="s">
        <v>3</v>
      </c>
      <c r="D105" s="54">
        <v>3.5000000000000003E-2</v>
      </c>
      <c r="E105" s="17">
        <f>G96</f>
        <v>303.87</v>
      </c>
      <c r="F105" s="55">
        <f>E105*D105</f>
        <v>10.635450000000001</v>
      </c>
      <c r="G105" s="1075"/>
    </row>
    <row r="106" spans="1:7" s="2" customFormat="1" ht="15" customHeight="1">
      <c r="A106" s="59"/>
      <c r="B106" s="60"/>
      <c r="C106" s="60"/>
      <c r="D106" s="60"/>
      <c r="E106" s="60"/>
      <c r="F106" s="60"/>
      <c r="G106" s="57">
        <f>SUM(F104:F106)</f>
        <v>234.90925000000001</v>
      </c>
    </row>
    <row r="107" spans="1:7" s="2" customFormat="1" ht="15" customHeight="1">
      <c r="A107" s="1071" t="s">
        <v>19</v>
      </c>
      <c r="B107" s="944"/>
      <c r="C107" s="944"/>
      <c r="D107" s="944"/>
      <c r="E107" s="944"/>
      <c r="F107" s="944"/>
      <c r="G107" s="1072"/>
    </row>
    <row r="108" spans="1:7" s="2" customFormat="1" ht="15" customHeight="1">
      <c r="A108" s="1074" t="s">
        <v>2</v>
      </c>
      <c r="B108" s="944"/>
      <c r="C108" s="53" t="s">
        <v>3</v>
      </c>
      <c r="D108" s="53" t="s">
        <v>4</v>
      </c>
      <c r="E108" s="53" t="s">
        <v>6</v>
      </c>
      <c r="F108" s="53" t="s">
        <v>11</v>
      </c>
      <c r="G108" s="456" t="s">
        <v>8</v>
      </c>
    </row>
    <row r="109" spans="1:7" s="2" customFormat="1" ht="15.75" customHeight="1">
      <c r="A109" s="978" t="str">
        <f>SALARIOS!$A$66</f>
        <v>CUADRILLA BB INSTALACIONES 0:1</v>
      </c>
      <c r="B109" s="979"/>
      <c r="C109" s="13" t="s">
        <v>1245</v>
      </c>
      <c r="D109" s="32">
        <v>0.6</v>
      </c>
      <c r="E109" s="13">
        <f>SALARIOS!$C$66</f>
        <v>10129</v>
      </c>
      <c r="F109" s="55">
        <f>+D109*E109</f>
        <v>6077.4</v>
      </c>
      <c r="G109" s="57">
        <f>SUM(F108:F109)</f>
        <v>6077.4</v>
      </c>
    </row>
    <row r="110" spans="1:7" s="2" customFormat="1" ht="15" customHeight="1">
      <c r="A110" s="1076" t="s">
        <v>25</v>
      </c>
      <c r="B110" s="944"/>
      <c r="C110" s="944"/>
      <c r="D110" s="944"/>
      <c r="E110" s="944"/>
      <c r="F110" s="944"/>
      <c r="G110" s="1072"/>
    </row>
    <row r="111" spans="1:7" s="2" customFormat="1" ht="15" customHeight="1">
      <c r="A111" s="1077"/>
      <c r="B111" s="944"/>
      <c r="C111" s="944"/>
      <c r="D111" s="944"/>
      <c r="E111" s="944"/>
      <c r="F111" s="944"/>
      <c r="G111" s="62">
        <f>G109+G106+G101+G96</f>
        <v>13024.002107142858</v>
      </c>
    </row>
    <row r="112" spans="1:7" s="2" customFormat="1" ht="15" customHeight="1">
      <c r="A112" s="63"/>
      <c r="B112" s="42"/>
      <c r="C112" s="42"/>
      <c r="D112" s="42"/>
      <c r="E112" s="42"/>
      <c r="F112" s="42"/>
      <c r="G112" s="64"/>
    </row>
    <row r="113" spans="1:7" s="2" customFormat="1" ht="15" customHeight="1">
      <c r="A113" s="970" t="s">
        <v>1</v>
      </c>
      <c r="B113" s="957"/>
      <c r="C113" s="953" t="s">
        <v>0</v>
      </c>
      <c r="D113" s="953"/>
      <c r="E113" s="953"/>
      <c r="F113" s="953"/>
      <c r="G113" s="1103"/>
    </row>
    <row r="114" spans="1:7" s="2" customFormat="1" ht="49.5" customHeight="1">
      <c r="A114" s="971"/>
      <c r="B114" s="957"/>
      <c r="C114" s="953"/>
      <c r="D114" s="953"/>
      <c r="E114" s="953"/>
      <c r="F114" s="953"/>
      <c r="G114" s="1103"/>
    </row>
    <row r="115" spans="1:7" s="2" customFormat="1" ht="15" customHeight="1">
      <c r="A115" s="971"/>
      <c r="B115" s="957"/>
      <c r="C115" s="956"/>
      <c r="D115" s="957"/>
      <c r="E115" s="957"/>
      <c r="F115" s="957"/>
      <c r="G115" s="958"/>
    </row>
    <row r="116" spans="1:7" s="2" customFormat="1" ht="15" customHeight="1">
      <c r="A116" s="971"/>
      <c r="B116" s="957"/>
      <c r="C116" s="959" t="s">
        <v>2</v>
      </c>
      <c r="D116" s="957"/>
      <c r="E116" s="957"/>
      <c r="F116" s="23" t="s">
        <v>3</v>
      </c>
      <c r="G116" s="24" t="s">
        <v>4</v>
      </c>
    </row>
    <row r="117" spans="1:7" s="2" customFormat="1" ht="34.799999999999997">
      <c r="A117" s="1089" t="s">
        <v>951</v>
      </c>
      <c r="B117" s="944"/>
      <c r="C117" s="980" t="s">
        <v>952</v>
      </c>
      <c r="D117" s="944"/>
      <c r="E117" s="944"/>
      <c r="F117" s="51" t="s">
        <v>37</v>
      </c>
      <c r="G117" s="52">
        <v>1.25</v>
      </c>
    </row>
    <row r="118" spans="1:7" s="2" customFormat="1" ht="15" customHeight="1">
      <c r="A118" s="1071" t="s">
        <v>5</v>
      </c>
      <c r="B118" s="944"/>
      <c r="C118" s="944"/>
      <c r="D118" s="944"/>
      <c r="E118" s="944"/>
      <c r="F118" s="944"/>
      <c r="G118" s="1072"/>
    </row>
    <row r="119" spans="1:7" s="2" customFormat="1" ht="15" customHeight="1">
      <c r="A119" s="1074" t="s">
        <v>2</v>
      </c>
      <c r="B119" s="944"/>
      <c r="C119" s="53" t="s">
        <v>3</v>
      </c>
      <c r="D119" s="53" t="s">
        <v>4</v>
      </c>
      <c r="E119" s="53" t="s">
        <v>6</v>
      </c>
      <c r="F119" s="53" t="s">
        <v>7</v>
      </c>
      <c r="G119" s="1075" t="s">
        <v>8</v>
      </c>
    </row>
    <row r="120" spans="1:7" s="2" customFormat="1" ht="15" customHeight="1">
      <c r="A120" s="947" t="s">
        <v>328</v>
      </c>
      <c r="B120" s="980"/>
      <c r="C120" s="51" t="s">
        <v>3</v>
      </c>
      <c r="D120" s="54">
        <v>0.05</v>
      </c>
      <c r="E120" s="17">
        <f>G133</f>
        <v>27341</v>
      </c>
      <c r="F120" s="55">
        <f>D120*E120</f>
        <v>1367.0500000000002</v>
      </c>
      <c r="G120" s="1072"/>
    </row>
    <row r="121" spans="1:7" s="2" customFormat="1" ht="15" customHeight="1">
      <c r="A121" s="1079"/>
      <c r="B121" s="944"/>
      <c r="C121" s="56"/>
      <c r="D121" s="56"/>
      <c r="E121" s="56"/>
      <c r="F121" s="55"/>
      <c r="G121" s="57">
        <f>SUM(F119:F121)</f>
        <v>1367.0500000000002</v>
      </c>
    </row>
    <row r="122" spans="1:7" s="2" customFormat="1" ht="15" customHeight="1">
      <c r="A122" s="1071" t="s">
        <v>10</v>
      </c>
      <c r="B122" s="944"/>
      <c r="C122" s="944"/>
      <c r="D122" s="944"/>
      <c r="E122" s="944"/>
      <c r="F122" s="944"/>
      <c r="G122" s="1072"/>
    </row>
    <row r="123" spans="1:7" s="2" customFormat="1" ht="15" customHeight="1">
      <c r="A123" s="1074" t="s">
        <v>2</v>
      </c>
      <c r="B123" s="944"/>
      <c r="C123" s="53" t="s">
        <v>3</v>
      </c>
      <c r="D123" s="53" t="s">
        <v>4</v>
      </c>
      <c r="E123" s="53" t="s">
        <v>6</v>
      </c>
      <c r="F123" s="53" t="s">
        <v>11</v>
      </c>
      <c r="G123" s="1075" t="s">
        <v>8</v>
      </c>
    </row>
    <row r="124" spans="1:7" s="2" customFormat="1" ht="15" customHeight="1">
      <c r="A124" s="947" t="s">
        <v>953</v>
      </c>
      <c r="B124" s="944"/>
      <c r="C124" s="16" t="s">
        <v>37</v>
      </c>
      <c r="D124" s="16">
        <v>1</v>
      </c>
      <c r="E124" s="17">
        <f>'INSUMOS '!E180</f>
        <v>361282.05128205125</v>
      </c>
      <c r="F124" s="55">
        <f>E124*D124</f>
        <v>361282.05128205125</v>
      </c>
      <c r="G124" s="1075"/>
    </row>
    <row r="125" spans="1:7" s="2" customFormat="1" ht="15" customHeight="1">
      <c r="A125" s="947" t="s">
        <v>954</v>
      </c>
      <c r="B125" s="980"/>
      <c r="C125" s="16" t="s">
        <v>100</v>
      </c>
      <c r="D125" s="16">
        <v>8.8000000000000007</v>
      </c>
      <c r="E125" s="17">
        <f>'INSUMOS '!E178</f>
        <v>34300.858152448258</v>
      </c>
      <c r="F125" s="55">
        <f>E125*D125</f>
        <v>301847.55174154468</v>
      </c>
      <c r="G125" s="61"/>
    </row>
    <row r="126" spans="1:7" s="2" customFormat="1" ht="15" customHeight="1">
      <c r="A126" s="947"/>
      <c r="B126" s="944"/>
      <c r="C126" s="16"/>
      <c r="D126" s="58"/>
      <c r="E126" s="17"/>
      <c r="F126" s="55"/>
      <c r="G126" s="57">
        <f>SUM(F123:F126)</f>
        <v>663129.60302359588</v>
      </c>
    </row>
    <row r="127" spans="1:7" s="2" customFormat="1" ht="15" customHeight="1">
      <c r="A127" s="1071" t="s">
        <v>15</v>
      </c>
      <c r="B127" s="944"/>
      <c r="C127" s="944"/>
      <c r="D127" s="944"/>
      <c r="E127" s="944"/>
      <c r="F127" s="944"/>
      <c r="G127" s="1072"/>
    </row>
    <row r="128" spans="1:7" s="2" customFormat="1" ht="15" customHeight="1">
      <c r="A128" s="1074" t="s">
        <v>2</v>
      </c>
      <c r="B128" s="944"/>
      <c r="C128" s="53" t="s">
        <v>3</v>
      </c>
      <c r="D128" s="53" t="s">
        <v>4</v>
      </c>
      <c r="E128" s="53" t="s">
        <v>6</v>
      </c>
      <c r="F128" s="53" t="s">
        <v>11</v>
      </c>
      <c r="G128" s="1075" t="s">
        <v>8</v>
      </c>
    </row>
    <row r="129" spans="1:7" s="2" customFormat="1" ht="15" customHeight="1">
      <c r="A129" s="943" t="s">
        <v>955</v>
      </c>
      <c r="B129" s="944"/>
      <c r="C129" s="16" t="s">
        <v>3</v>
      </c>
      <c r="D129" s="54">
        <v>3.5000000000000003E-2</v>
      </c>
      <c r="E129" s="17">
        <f>+G126</f>
        <v>663129.60302359588</v>
      </c>
      <c r="F129" s="55">
        <f>E129*D129</f>
        <v>23209.536105825857</v>
      </c>
      <c r="G129" s="1075"/>
    </row>
    <row r="130" spans="1:7" s="2" customFormat="1" ht="15" customHeight="1">
      <c r="A130" s="59"/>
      <c r="B130" s="60"/>
      <c r="C130" s="60"/>
      <c r="D130" s="60"/>
      <c r="E130" s="60"/>
      <c r="F130" s="60"/>
      <c r="G130" s="57">
        <f>SUM(F129:F130)</f>
        <v>23209.536105825857</v>
      </c>
    </row>
    <row r="131" spans="1:7" s="2" customFormat="1" ht="15" customHeight="1">
      <c r="A131" s="1071" t="s">
        <v>19</v>
      </c>
      <c r="B131" s="944"/>
      <c r="C131" s="944"/>
      <c r="D131" s="944"/>
      <c r="E131" s="944"/>
      <c r="F131" s="944"/>
      <c r="G131" s="1072"/>
    </row>
    <row r="132" spans="1:7" s="2" customFormat="1" ht="15" customHeight="1">
      <c r="A132" s="1074" t="s">
        <v>2</v>
      </c>
      <c r="B132" s="944"/>
      <c r="C132" s="53" t="s">
        <v>3</v>
      </c>
      <c r="D132" s="53" t="s">
        <v>4</v>
      </c>
      <c r="E132" s="53" t="s">
        <v>6</v>
      </c>
      <c r="F132" s="53" t="s">
        <v>11</v>
      </c>
      <c r="G132" s="456" t="s">
        <v>8</v>
      </c>
    </row>
    <row r="133" spans="1:7" s="2" customFormat="1" ht="15.75" customHeight="1">
      <c r="A133" s="978" t="str">
        <f>SALARIOS!$A$69</f>
        <v>CUADRILLA BB INSTALACIONES 1:1</v>
      </c>
      <c r="B133" s="979"/>
      <c r="C133" s="13" t="s">
        <v>1245</v>
      </c>
      <c r="D133" s="32">
        <v>1</v>
      </c>
      <c r="E133" s="13">
        <f>SALARIOS!$C$69</f>
        <v>27341</v>
      </c>
      <c r="F133" s="55">
        <f>+D133*E133</f>
        <v>27341</v>
      </c>
      <c r="G133" s="57">
        <f>SUM(F132:F133)</f>
        <v>27341</v>
      </c>
    </row>
    <row r="134" spans="1:7" s="2" customFormat="1" ht="15" customHeight="1">
      <c r="A134" s="1076" t="s">
        <v>25</v>
      </c>
      <c r="B134" s="944"/>
      <c r="C134" s="944"/>
      <c r="D134" s="944"/>
      <c r="E134" s="944"/>
      <c r="F134" s="944"/>
      <c r="G134" s="1072"/>
    </row>
    <row r="135" spans="1:7" s="2" customFormat="1" ht="15" customHeight="1">
      <c r="A135" s="1077"/>
      <c r="B135" s="944"/>
      <c r="C135" s="944"/>
      <c r="D135" s="944"/>
      <c r="E135" s="944"/>
      <c r="F135" s="944"/>
      <c r="G135" s="62">
        <f>G133+G130+G126+G121</f>
        <v>715047.18912942172</v>
      </c>
    </row>
    <row r="136" spans="1:7" s="2" customFormat="1" ht="15" customHeight="1">
      <c r="A136" s="63"/>
      <c r="B136" s="42"/>
      <c r="C136" s="42"/>
      <c r="D136" s="42"/>
      <c r="E136" s="42"/>
      <c r="F136" s="42"/>
      <c r="G136" s="64"/>
    </row>
    <row r="137" spans="1:7" s="2" customFormat="1" ht="15" customHeight="1">
      <c r="A137" s="970" t="s">
        <v>1</v>
      </c>
      <c r="B137" s="957"/>
      <c r="C137" s="953" t="s">
        <v>0</v>
      </c>
      <c r="D137" s="953"/>
      <c r="E137" s="953"/>
      <c r="F137" s="953"/>
      <c r="G137" s="1103"/>
    </row>
    <row r="138" spans="1:7" s="2" customFormat="1" ht="51" customHeight="1">
      <c r="A138" s="971"/>
      <c r="B138" s="957"/>
      <c r="C138" s="953"/>
      <c r="D138" s="953"/>
      <c r="E138" s="953"/>
      <c r="F138" s="953"/>
      <c r="G138" s="1103"/>
    </row>
    <row r="139" spans="1:7" s="2" customFormat="1" ht="15" customHeight="1">
      <c r="A139" s="971"/>
      <c r="B139" s="957"/>
      <c r="C139" s="956"/>
      <c r="D139" s="957"/>
      <c r="E139" s="957"/>
      <c r="F139" s="957"/>
      <c r="G139" s="958"/>
    </row>
    <row r="140" spans="1:7" s="2" customFormat="1" ht="15" customHeight="1">
      <c r="A140" s="971"/>
      <c r="B140" s="957"/>
      <c r="C140" s="959" t="s">
        <v>2</v>
      </c>
      <c r="D140" s="957"/>
      <c r="E140" s="957"/>
      <c r="F140" s="23" t="s">
        <v>3</v>
      </c>
      <c r="G140" s="24" t="s">
        <v>4</v>
      </c>
    </row>
    <row r="141" spans="1:7" s="2" customFormat="1" ht="34.799999999999997">
      <c r="A141" s="1089" t="s">
        <v>956</v>
      </c>
      <c r="B141" s="944"/>
      <c r="C141" s="980" t="s">
        <v>957</v>
      </c>
      <c r="D141" s="944"/>
      <c r="E141" s="944"/>
      <c r="F141" s="51" t="s">
        <v>37</v>
      </c>
      <c r="G141" s="52">
        <v>1.26</v>
      </c>
    </row>
    <row r="142" spans="1:7" s="2" customFormat="1" ht="15" customHeight="1">
      <c r="A142" s="1071" t="s">
        <v>5</v>
      </c>
      <c r="B142" s="944"/>
      <c r="C142" s="944"/>
      <c r="D142" s="944"/>
      <c r="E142" s="944"/>
      <c r="F142" s="944"/>
      <c r="G142" s="1072"/>
    </row>
    <row r="143" spans="1:7" s="2" customFormat="1" ht="15" customHeight="1">
      <c r="A143" s="1074" t="s">
        <v>2</v>
      </c>
      <c r="B143" s="944"/>
      <c r="C143" s="53" t="s">
        <v>3</v>
      </c>
      <c r="D143" s="53" t="s">
        <v>4</v>
      </c>
      <c r="E143" s="53" t="s">
        <v>6</v>
      </c>
      <c r="F143" s="53" t="s">
        <v>7</v>
      </c>
      <c r="G143" s="1075" t="s">
        <v>8</v>
      </c>
    </row>
    <row r="144" spans="1:7" s="2" customFormat="1" ht="15" customHeight="1">
      <c r="A144" s="947" t="s">
        <v>328</v>
      </c>
      <c r="B144" s="980"/>
      <c r="C144" s="51" t="s">
        <v>3</v>
      </c>
      <c r="D144" s="54">
        <v>0.05</v>
      </c>
      <c r="E144" s="17">
        <f>G157</f>
        <v>5064.5</v>
      </c>
      <c r="F144" s="55">
        <f>D144*E144</f>
        <v>253.22500000000002</v>
      </c>
      <c r="G144" s="1072"/>
    </row>
    <row r="145" spans="1:7" s="2" customFormat="1" ht="15" customHeight="1">
      <c r="A145" s="1079"/>
      <c r="B145" s="944"/>
      <c r="C145" s="56"/>
      <c r="D145" s="56"/>
      <c r="E145" s="56"/>
      <c r="F145" s="55"/>
      <c r="G145" s="57">
        <f>SUM(F143:F145)</f>
        <v>253.22500000000002</v>
      </c>
    </row>
    <row r="146" spans="1:7" s="2" customFormat="1" ht="15" customHeight="1">
      <c r="A146" s="1071" t="s">
        <v>10</v>
      </c>
      <c r="B146" s="944"/>
      <c r="C146" s="944"/>
      <c r="D146" s="944"/>
      <c r="E146" s="944"/>
      <c r="F146" s="944"/>
      <c r="G146" s="1072"/>
    </row>
    <row r="147" spans="1:7" s="2" customFormat="1" ht="15" customHeight="1">
      <c r="A147" s="1074" t="s">
        <v>2</v>
      </c>
      <c r="B147" s="944"/>
      <c r="C147" s="53" t="s">
        <v>3</v>
      </c>
      <c r="D147" s="53" t="s">
        <v>4</v>
      </c>
      <c r="E147" s="53" t="s">
        <v>6</v>
      </c>
      <c r="F147" s="53" t="s">
        <v>11</v>
      </c>
      <c r="G147" s="1075" t="s">
        <v>8</v>
      </c>
    </row>
    <row r="148" spans="1:7" s="2" customFormat="1" ht="15" customHeight="1">
      <c r="A148" s="943" t="s">
        <v>958</v>
      </c>
      <c r="B148" s="1078"/>
      <c r="C148" s="51" t="s">
        <v>39</v>
      </c>
      <c r="D148" s="54">
        <v>0.05</v>
      </c>
      <c r="E148" s="17">
        <f>'INSUMOS '!E175</f>
        <v>2642857.1428571427</v>
      </c>
      <c r="F148" s="55">
        <f>D148*E148</f>
        <v>132142.85714285713</v>
      </c>
      <c r="G148" s="1075"/>
    </row>
    <row r="149" spans="1:7" s="2" customFormat="1" ht="15" customHeight="1">
      <c r="A149" s="947" t="s">
        <v>959</v>
      </c>
      <c r="B149" s="944"/>
      <c r="C149" s="16" t="s">
        <v>37</v>
      </c>
      <c r="D149" s="16">
        <v>1</v>
      </c>
      <c r="E149" s="17">
        <f>'INSUMOS '!E176</f>
        <v>15210</v>
      </c>
      <c r="F149" s="55">
        <f>E149*D149</f>
        <v>15210</v>
      </c>
      <c r="G149" s="1075"/>
    </row>
    <row r="150" spans="1:7" s="2" customFormat="1" ht="15" customHeight="1">
      <c r="A150" s="947"/>
      <c r="B150" s="944"/>
      <c r="C150" s="16"/>
      <c r="D150" s="58"/>
      <c r="E150" s="17"/>
      <c r="F150" s="55"/>
      <c r="G150" s="57">
        <f>SUM(F147:F150)</f>
        <v>147352.85714285713</v>
      </c>
    </row>
    <row r="151" spans="1:7" s="2" customFormat="1" ht="15" customHeight="1">
      <c r="A151" s="1071" t="s">
        <v>15</v>
      </c>
      <c r="B151" s="944"/>
      <c r="C151" s="944"/>
      <c r="D151" s="944"/>
      <c r="E151" s="944"/>
      <c r="F151" s="944"/>
      <c r="G151" s="1072"/>
    </row>
    <row r="152" spans="1:7" s="2" customFormat="1" ht="15" customHeight="1">
      <c r="A152" s="1074" t="s">
        <v>2</v>
      </c>
      <c r="B152" s="944"/>
      <c r="C152" s="53" t="s">
        <v>3</v>
      </c>
      <c r="D152" s="53" t="s">
        <v>4</v>
      </c>
      <c r="E152" s="53" t="s">
        <v>6</v>
      </c>
      <c r="F152" s="53" t="s">
        <v>11</v>
      </c>
      <c r="G152" s="1075" t="s">
        <v>8</v>
      </c>
    </row>
    <row r="153" spans="1:7" s="2" customFormat="1" ht="15" customHeight="1">
      <c r="A153" s="943" t="s">
        <v>191</v>
      </c>
      <c r="B153" s="944"/>
      <c r="C153" s="16" t="s">
        <v>3</v>
      </c>
      <c r="D153" s="54">
        <v>3.5000000000000003E-2</v>
      </c>
      <c r="E153" s="17">
        <f>+G150</f>
        <v>147352.85714285713</v>
      </c>
      <c r="F153" s="55">
        <f>E153*D153</f>
        <v>5157.3500000000004</v>
      </c>
      <c r="G153" s="1075"/>
    </row>
    <row r="154" spans="1:7" s="2" customFormat="1" ht="15" customHeight="1">
      <c r="A154" s="59"/>
      <c r="B154" s="60"/>
      <c r="C154" s="60"/>
      <c r="D154" s="60"/>
      <c r="E154" s="60"/>
      <c r="F154" s="60"/>
      <c r="G154" s="57">
        <f>SUM(F153:F154)</f>
        <v>5157.3500000000004</v>
      </c>
    </row>
    <row r="155" spans="1:7" s="2" customFormat="1" ht="15" customHeight="1">
      <c r="A155" s="1071" t="s">
        <v>19</v>
      </c>
      <c r="B155" s="944"/>
      <c r="C155" s="944"/>
      <c r="D155" s="944"/>
      <c r="E155" s="944"/>
      <c r="F155" s="944"/>
      <c r="G155" s="1072"/>
    </row>
    <row r="156" spans="1:7" s="2" customFormat="1" ht="15" customHeight="1">
      <c r="A156" s="1074" t="s">
        <v>2</v>
      </c>
      <c r="B156" s="944"/>
      <c r="C156" s="53" t="s">
        <v>3</v>
      </c>
      <c r="D156" s="53" t="s">
        <v>4</v>
      </c>
      <c r="E156" s="53" t="s">
        <v>6</v>
      </c>
      <c r="F156" s="53" t="s">
        <v>11</v>
      </c>
      <c r="G156" s="456" t="s">
        <v>8</v>
      </c>
    </row>
    <row r="157" spans="1:7" s="2" customFormat="1" ht="15.75" customHeight="1">
      <c r="A157" s="978" t="str">
        <f>SALARIOS!$A$66</f>
        <v>CUADRILLA BB INSTALACIONES 0:1</v>
      </c>
      <c r="B157" s="979"/>
      <c r="C157" s="13" t="s">
        <v>1245</v>
      </c>
      <c r="D157" s="32">
        <v>0.5</v>
      </c>
      <c r="E157" s="13">
        <f>SALARIOS!$C$66</f>
        <v>10129</v>
      </c>
      <c r="F157" s="55">
        <f>+D157*E157</f>
        <v>5064.5</v>
      </c>
      <c r="G157" s="57">
        <f>SUM(F156:F157)</f>
        <v>5064.5</v>
      </c>
    </row>
    <row r="158" spans="1:7" s="2" customFormat="1" ht="15" customHeight="1">
      <c r="A158" s="1076" t="s">
        <v>25</v>
      </c>
      <c r="B158" s="944"/>
      <c r="C158" s="944"/>
      <c r="D158" s="944"/>
      <c r="E158" s="944"/>
      <c r="F158" s="944"/>
      <c r="G158" s="1072"/>
    </row>
    <row r="159" spans="1:7" s="2" customFormat="1" ht="17.399999999999999">
      <c r="A159" s="1077"/>
      <c r="B159" s="944"/>
      <c r="C159" s="944"/>
      <c r="D159" s="944"/>
      <c r="E159" s="944"/>
      <c r="F159" s="944"/>
      <c r="G159" s="62">
        <f>G157+G154+G150+G145</f>
        <v>157827.93214285714</v>
      </c>
    </row>
    <row r="160" spans="1:7" s="2" customFormat="1" ht="15" customHeight="1">
      <c r="A160" s="63"/>
      <c r="B160" s="42"/>
      <c r="C160" s="42"/>
      <c r="D160" s="42"/>
      <c r="E160" s="42"/>
      <c r="F160" s="42"/>
      <c r="G160" s="64"/>
    </row>
    <row r="161" spans="1:7" s="2" customFormat="1" ht="15" customHeight="1">
      <c r="A161" s="970" t="s">
        <v>1</v>
      </c>
      <c r="B161" s="957"/>
      <c r="C161" s="953" t="s">
        <v>0</v>
      </c>
      <c r="D161" s="953"/>
      <c r="E161" s="953"/>
      <c r="F161" s="953"/>
      <c r="G161" s="1103"/>
    </row>
    <row r="162" spans="1:7" s="2" customFormat="1" ht="47.25" customHeight="1">
      <c r="A162" s="971"/>
      <c r="B162" s="957"/>
      <c r="C162" s="953"/>
      <c r="D162" s="953"/>
      <c r="E162" s="953"/>
      <c r="F162" s="953"/>
      <c r="G162" s="1103"/>
    </row>
    <row r="163" spans="1:7" s="2" customFormat="1" ht="15" customHeight="1">
      <c r="A163" s="971"/>
      <c r="B163" s="957"/>
      <c r="C163" s="956"/>
      <c r="D163" s="957"/>
      <c r="E163" s="957"/>
      <c r="F163" s="957"/>
      <c r="G163" s="958"/>
    </row>
    <row r="164" spans="1:7" s="2" customFormat="1" ht="15" customHeight="1">
      <c r="A164" s="971"/>
      <c r="B164" s="957"/>
      <c r="C164" s="959" t="s">
        <v>2</v>
      </c>
      <c r="D164" s="957"/>
      <c r="E164" s="957"/>
      <c r="F164" s="23" t="s">
        <v>3</v>
      </c>
      <c r="G164" s="24" t="s">
        <v>4</v>
      </c>
    </row>
    <row r="165" spans="1:7" s="2" customFormat="1" ht="34.799999999999997">
      <c r="A165" s="1089" t="s">
        <v>960</v>
      </c>
      <c r="B165" s="944"/>
      <c r="C165" s="980" t="s">
        <v>961</v>
      </c>
      <c r="D165" s="944"/>
      <c r="E165" s="944"/>
      <c r="F165" s="51" t="s">
        <v>37</v>
      </c>
      <c r="G165" s="52">
        <v>14.94</v>
      </c>
    </row>
    <row r="166" spans="1:7" s="2" customFormat="1" ht="15" customHeight="1">
      <c r="A166" s="1071" t="s">
        <v>5</v>
      </c>
      <c r="B166" s="944"/>
      <c r="C166" s="944"/>
      <c r="D166" s="944"/>
      <c r="E166" s="944"/>
      <c r="F166" s="944"/>
      <c r="G166" s="1072"/>
    </row>
    <row r="167" spans="1:7" s="2" customFormat="1" ht="15" customHeight="1">
      <c r="A167" s="1074" t="s">
        <v>2</v>
      </c>
      <c r="B167" s="944"/>
      <c r="C167" s="53" t="s">
        <v>3</v>
      </c>
      <c r="D167" s="53" t="s">
        <v>4</v>
      </c>
      <c r="E167" s="53" t="s">
        <v>6</v>
      </c>
      <c r="F167" s="53" t="s">
        <v>7</v>
      </c>
      <c r="G167" s="1075" t="s">
        <v>8</v>
      </c>
    </row>
    <row r="168" spans="1:7" s="2" customFormat="1" ht="15" customHeight="1">
      <c r="A168" s="947" t="s">
        <v>328</v>
      </c>
      <c r="B168" s="980"/>
      <c r="C168" s="51" t="s">
        <v>3</v>
      </c>
      <c r="D168" s="54">
        <v>0.05</v>
      </c>
      <c r="E168" s="17">
        <f>G189</f>
        <v>27341</v>
      </c>
      <c r="F168" s="55">
        <f>D168*E168</f>
        <v>1367.0500000000002</v>
      </c>
      <c r="G168" s="1072"/>
    </row>
    <row r="169" spans="1:7" s="2" customFormat="1" ht="15" customHeight="1">
      <c r="A169" s="947" t="s">
        <v>101</v>
      </c>
      <c r="B169" s="980"/>
      <c r="C169" s="51" t="s">
        <v>60</v>
      </c>
      <c r="D169" s="54">
        <v>0.08</v>
      </c>
      <c r="E169" s="17">
        <f>'MAQUINARIA Y EQUIPOS'!F19</f>
        <v>45763.829999999994</v>
      </c>
      <c r="F169" s="55">
        <f>D169*E169</f>
        <v>3661.1063999999997</v>
      </c>
      <c r="G169" s="123"/>
    </row>
    <row r="170" spans="1:7" s="2" customFormat="1" ht="15" customHeight="1">
      <c r="A170" s="947" t="s">
        <v>329</v>
      </c>
      <c r="B170" s="980"/>
      <c r="C170" s="51" t="s">
        <v>60</v>
      </c>
      <c r="D170" s="54">
        <v>0.1</v>
      </c>
      <c r="E170" s="17">
        <f>'MAQUINARIA Y EQUIPOS'!F12</f>
        <v>48790</v>
      </c>
      <c r="F170" s="55">
        <f>D170*E170</f>
        <v>4879</v>
      </c>
      <c r="G170" s="123"/>
    </row>
    <row r="171" spans="1:7" s="2" customFormat="1" ht="15" customHeight="1">
      <c r="A171" s="947" t="s">
        <v>1562</v>
      </c>
      <c r="B171" s="980"/>
      <c r="C171" s="51" t="s">
        <v>60</v>
      </c>
      <c r="D171" s="54">
        <v>2.1000000000000001E-2</v>
      </c>
      <c r="E171" s="17">
        <f>'MAQUINARIA Y EQUIPOS'!F8</f>
        <v>77350</v>
      </c>
      <c r="F171" s="55">
        <f>D171*E171</f>
        <v>1624.3500000000001</v>
      </c>
      <c r="G171" s="123"/>
    </row>
    <row r="172" spans="1:7" s="2" customFormat="1" ht="15" customHeight="1">
      <c r="A172" s="1079"/>
      <c r="B172" s="944"/>
      <c r="C172" s="56"/>
      <c r="D172" s="56"/>
      <c r="E172" s="56"/>
      <c r="F172" s="55"/>
      <c r="G172" s="57">
        <f>SUM(F167:F172)</f>
        <v>11531.5064</v>
      </c>
    </row>
    <row r="173" spans="1:7" s="2" customFormat="1" ht="15" customHeight="1">
      <c r="A173" s="1071" t="s">
        <v>10</v>
      </c>
      <c r="B173" s="944"/>
      <c r="C173" s="944"/>
      <c r="D173" s="944"/>
      <c r="E173" s="944"/>
      <c r="F173" s="944"/>
      <c r="G173" s="1072"/>
    </row>
    <row r="174" spans="1:7" s="2" customFormat="1" ht="15" customHeight="1">
      <c r="A174" s="1074" t="s">
        <v>2</v>
      </c>
      <c r="B174" s="944"/>
      <c r="C174" s="53" t="s">
        <v>3</v>
      </c>
      <c r="D174" s="53" t="s">
        <v>4</v>
      </c>
      <c r="E174" s="53" t="s">
        <v>6</v>
      </c>
      <c r="F174" s="53" t="s">
        <v>11</v>
      </c>
      <c r="G174" s="1075" t="s">
        <v>8</v>
      </c>
    </row>
    <row r="175" spans="1:7" s="2" customFormat="1" ht="15" customHeight="1">
      <c r="A175" s="943" t="s">
        <v>1361</v>
      </c>
      <c r="B175" s="1078"/>
      <c r="C175" s="51" t="s">
        <v>37</v>
      </c>
      <c r="D175" s="54">
        <v>1.2</v>
      </c>
      <c r="E175" s="17">
        <f>'INSUMOS '!E24</f>
        <v>3174.6857142857143</v>
      </c>
      <c r="F175" s="55">
        <f>D175*E175</f>
        <v>3809.6228571428569</v>
      </c>
      <c r="G175" s="1075"/>
    </row>
    <row r="176" spans="1:7" s="2" customFormat="1" ht="15" customHeight="1">
      <c r="A176" s="943" t="s">
        <v>332</v>
      </c>
      <c r="B176" s="1078"/>
      <c r="C176" s="51" t="s">
        <v>39</v>
      </c>
      <c r="D176" s="54">
        <v>0.08</v>
      </c>
      <c r="E176" s="17">
        <f>SUBANÁLISIS!G31</f>
        <v>570669.8666666667</v>
      </c>
      <c r="F176" s="55">
        <f>D176*E176</f>
        <v>45653.589333333337</v>
      </c>
      <c r="G176" s="1075"/>
    </row>
    <row r="177" spans="1:7" s="2" customFormat="1" ht="15" customHeight="1">
      <c r="A177" s="943" t="s">
        <v>118</v>
      </c>
      <c r="B177" s="1078"/>
      <c r="C177" s="51" t="s">
        <v>37</v>
      </c>
      <c r="D177" s="54">
        <v>1.2</v>
      </c>
      <c r="E177" s="17">
        <f>'INSUMOS '!E58</f>
        <v>6304.9645390070918</v>
      </c>
      <c r="F177" s="55">
        <f>D177*E177</f>
        <v>7565.9574468085102</v>
      </c>
      <c r="G177" s="1075"/>
    </row>
    <row r="178" spans="1:7" s="2" customFormat="1" ht="15" customHeight="1">
      <c r="A178" s="976" t="s">
        <v>63</v>
      </c>
      <c r="B178" s="977"/>
      <c r="C178" s="9" t="s">
        <v>3</v>
      </c>
      <c r="D178" s="16">
        <v>2.1</v>
      </c>
      <c r="E178" s="17">
        <f>'INSUMOS '!E21</f>
        <v>3244.1860465116279</v>
      </c>
      <c r="F178" s="55">
        <f>E178*D178</f>
        <v>6812.7906976744189</v>
      </c>
      <c r="G178" s="1075"/>
    </row>
    <row r="179" spans="1:7" s="2" customFormat="1" ht="15" customHeight="1">
      <c r="A179" s="976" t="s">
        <v>64</v>
      </c>
      <c r="B179" s="977"/>
      <c r="C179" s="9" t="s">
        <v>37</v>
      </c>
      <c r="D179" s="58">
        <v>0.25</v>
      </c>
      <c r="E179" s="17">
        <f>'INSUMOS '!E23</f>
        <v>67049.18032786886</v>
      </c>
      <c r="F179" s="55">
        <f>E179*D179</f>
        <v>16762.295081967215</v>
      </c>
      <c r="G179" s="1075"/>
    </row>
    <row r="180" spans="1:7" s="2" customFormat="1" ht="15" customHeight="1">
      <c r="A180" s="947" t="s">
        <v>334</v>
      </c>
      <c r="B180" s="944"/>
      <c r="C180" s="16" t="s">
        <v>39</v>
      </c>
      <c r="D180" s="16">
        <v>0.02</v>
      </c>
      <c r="E180" s="17">
        <f>'INSUMOS '!E311</f>
        <v>408750</v>
      </c>
      <c r="F180" s="55">
        <f>E180*D180</f>
        <v>8175</v>
      </c>
      <c r="G180" s="1075"/>
    </row>
    <row r="181" spans="1:7" s="2" customFormat="1" ht="15" customHeight="1">
      <c r="A181" s="947"/>
      <c r="B181" s="944"/>
      <c r="C181" s="16"/>
      <c r="D181" s="58"/>
      <c r="E181" s="17"/>
      <c r="F181" s="55"/>
      <c r="G181" s="57">
        <f>SUM(F174:F181)</f>
        <v>88779.255416926346</v>
      </c>
    </row>
    <row r="182" spans="1:7" s="2" customFormat="1" ht="15" customHeight="1">
      <c r="A182" s="1071" t="s">
        <v>15</v>
      </c>
      <c r="B182" s="944"/>
      <c r="C182" s="944"/>
      <c r="D182" s="944"/>
      <c r="E182" s="944"/>
      <c r="F182" s="944"/>
      <c r="G182" s="1072"/>
    </row>
    <row r="183" spans="1:7" s="2" customFormat="1" ht="15" customHeight="1">
      <c r="A183" s="1074" t="s">
        <v>2</v>
      </c>
      <c r="B183" s="944"/>
      <c r="C183" s="53" t="s">
        <v>3</v>
      </c>
      <c r="D183" s="53" t="s">
        <v>4</v>
      </c>
      <c r="E183" s="53" t="s">
        <v>6</v>
      </c>
      <c r="F183" s="53" t="s">
        <v>11</v>
      </c>
      <c r="G183" s="1075" t="s">
        <v>8</v>
      </c>
    </row>
    <row r="184" spans="1:7" s="2" customFormat="1" ht="15" customHeight="1">
      <c r="A184" s="943" t="s">
        <v>173</v>
      </c>
      <c r="B184" s="944"/>
      <c r="C184" s="16" t="s">
        <v>3</v>
      </c>
      <c r="D184" s="54">
        <v>3.5000000000000003E-2</v>
      </c>
      <c r="E184" s="17">
        <f>+G181</f>
        <v>88779.255416926346</v>
      </c>
      <c r="F184" s="55">
        <f>E184*D184</f>
        <v>3107.2739395924223</v>
      </c>
      <c r="G184" s="1075"/>
    </row>
    <row r="185" spans="1:7" s="2" customFormat="1" ht="15" customHeight="1">
      <c r="A185" s="943" t="s">
        <v>335</v>
      </c>
      <c r="B185" s="1078"/>
      <c r="C185" s="16" t="s">
        <v>3</v>
      </c>
      <c r="D185" s="54">
        <v>3.5000000000000003E-2</v>
      </c>
      <c r="E185" s="17">
        <f>G172</f>
        <v>11531.5064</v>
      </c>
      <c r="F185" s="55">
        <f>E185*D185</f>
        <v>403.60272400000002</v>
      </c>
      <c r="G185" s="1075"/>
    </row>
    <row r="186" spans="1:7" s="2" customFormat="1" ht="15" customHeight="1">
      <c r="A186" s="59"/>
      <c r="B186" s="60"/>
      <c r="C186" s="60"/>
      <c r="D186" s="60"/>
      <c r="E186" s="60"/>
      <c r="F186" s="60"/>
      <c r="G186" s="57">
        <f>SUM(F184:F186)</f>
        <v>3510.8766635924221</v>
      </c>
    </row>
    <row r="187" spans="1:7" s="2" customFormat="1" ht="15" customHeight="1">
      <c r="A187" s="1071" t="s">
        <v>19</v>
      </c>
      <c r="B187" s="944"/>
      <c r="C187" s="944"/>
      <c r="D187" s="944"/>
      <c r="E187" s="944"/>
      <c r="F187" s="944"/>
      <c r="G187" s="1072"/>
    </row>
    <row r="188" spans="1:7" s="2" customFormat="1" ht="15" customHeight="1">
      <c r="A188" s="1074" t="s">
        <v>2</v>
      </c>
      <c r="B188" s="944"/>
      <c r="C188" s="53" t="s">
        <v>3</v>
      </c>
      <c r="D188" s="53" t="s">
        <v>4</v>
      </c>
      <c r="E188" s="53" t="s">
        <v>6</v>
      </c>
      <c r="F188" s="53" t="s">
        <v>11</v>
      </c>
      <c r="G188" s="456" t="s">
        <v>8</v>
      </c>
    </row>
    <row r="189" spans="1:7" s="2" customFormat="1" ht="15.75" customHeight="1">
      <c r="A189" s="978" t="str">
        <f>SALARIOS!$A$69</f>
        <v>CUADRILLA BB INSTALACIONES 1:1</v>
      </c>
      <c r="B189" s="979"/>
      <c r="C189" s="13" t="s">
        <v>1245</v>
      </c>
      <c r="D189" s="32">
        <v>1</v>
      </c>
      <c r="E189" s="13">
        <f>SALARIOS!$C$69</f>
        <v>27341</v>
      </c>
      <c r="F189" s="55">
        <f>+D189*E189</f>
        <v>27341</v>
      </c>
      <c r="G189" s="57">
        <f>SUM(F188:F189)</f>
        <v>27341</v>
      </c>
    </row>
    <row r="190" spans="1:7" s="2" customFormat="1" ht="15" customHeight="1">
      <c r="A190" s="1076" t="s">
        <v>25</v>
      </c>
      <c r="B190" s="944"/>
      <c r="C190" s="944"/>
      <c r="D190" s="944"/>
      <c r="E190" s="944"/>
      <c r="F190" s="944"/>
      <c r="G190" s="1072"/>
    </row>
    <row r="191" spans="1:7" s="2" customFormat="1" ht="15" customHeight="1">
      <c r="A191" s="1077"/>
      <c r="B191" s="944"/>
      <c r="C191" s="944"/>
      <c r="D191" s="944"/>
      <c r="E191" s="944"/>
      <c r="F191" s="944"/>
      <c r="G191" s="62">
        <f>G189+G186+G181+G172</f>
        <v>131162.63848051877</v>
      </c>
    </row>
    <row r="192" spans="1:7">
      <c r="B192" s="468"/>
      <c r="F192" s="455"/>
    </row>
    <row r="193" spans="2:4">
      <c r="B193" s="620"/>
    </row>
    <row r="194" spans="2:4">
      <c r="B194" s="620"/>
      <c r="D194" s="480"/>
    </row>
    <row r="195" spans="2:4">
      <c r="B195" s="455"/>
    </row>
    <row r="196" spans="2:4">
      <c r="B196" s="455"/>
    </row>
    <row r="197" spans="2:4">
      <c r="B197" s="455"/>
    </row>
    <row r="198" spans="2:4">
      <c r="B198" s="455"/>
    </row>
    <row r="199" spans="2:4">
      <c r="B199" s="455"/>
    </row>
    <row r="200" spans="2:4">
      <c r="B200" s="455"/>
    </row>
  </sheetData>
  <mergeCells count="204">
    <mergeCell ref="A188:B188"/>
    <mergeCell ref="A189:B189"/>
    <mergeCell ref="A59:B59"/>
    <mergeCell ref="A83:B83"/>
    <mergeCell ref="A84:B84"/>
    <mergeCell ref="A108:B108"/>
    <mergeCell ref="A109:B109"/>
    <mergeCell ref="A132:B132"/>
    <mergeCell ref="A133:B133"/>
    <mergeCell ref="A156:B156"/>
    <mergeCell ref="A157:B157"/>
    <mergeCell ref="A67:B67"/>
    <mergeCell ref="A93:G93"/>
    <mergeCell ref="A94:B94"/>
    <mergeCell ref="G94:G95"/>
    <mergeCell ref="A95:B95"/>
    <mergeCell ref="A96:B96"/>
    <mergeCell ref="A97:G97"/>
    <mergeCell ref="A98:B98"/>
    <mergeCell ref="G98:G100"/>
    <mergeCell ref="A99:B99"/>
    <mergeCell ref="A100:B100"/>
    <mergeCell ref="C63:G64"/>
    <mergeCell ref="C65:G65"/>
    <mergeCell ref="A4:B7"/>
    <mergeCell ref="C4:G5"/>
    <mergeCell ref="C6:G6"/>
    <mergeCell ref="C7:E7"/>
    <mergeCell ref="A39:B39"/>
    <mergeCell ref="C39:E39"/>
    <mergeCell ref="C37:G37"/>
    <mergeCell ref="C38:E38"/>
    <mergeCell ref="A21:B21"/>
    <mergeCell ref="A22:B22"/>
    <mergeCell ref="A8:B8"/>
    <mergeCell ref="C8:E8"/>
    <mergeCell ref="A9:G9"/>
    <mergeCell ref="A10:B10"/>
    <mergeCell ref="G10:G13"/>
    <mergeCell ref="A11:B11"/>
    <mergeCell ref="A12:B12"/>
    <mergeCell ref="A13:B13"/>
    <mergeCell ref="A14:B14"/>
    <mergeCell ref="A15:G15"/>
    <mergeCell ref="A16:B16"/>
    <mergeCell ref="G16:G20"/>
    <mergeCell ref="A17:B17"/>
    <mergeCell ref="A18:B18"/>
    <mergeCell ref="C66:E66"/>
    <mergeCell ref="A23:B23"/>
    <mergeCell ref="A24:G24"/>
    <mergeCell ref="A25:B25"/>
    <mergeCell ref="G25:G27"/>
    <mergeCell ref="A26:B26"/>
    <mergeCell ref="A27:B27"/>
    <mergeCell ref="A40:G40"/>
    <mergeCell ref="A41:B41"/>
    <mergeCell ref="G41:G43"/>
    <mergeCell ref="A42:B42"/>
    <mergeCell ref="A43:B43"/>
    <mergeCell ref="A29:G29"/>
    <mergeCell ref="A32:G32"/>
    <mergeCell ref="A33:F33"/>
    <mergeCell ref="A35:B38"/>
    <mergeCell ref="C35:G36"/>
    <mergeCell ref="A61:F61"/>
    <mergeCell ref="A63:B66"/>
    <mergeCell ref="A30:B30"/>
    <mergeCell ref="A31:B31"/>
    <mergeCell ref="A58:B58"/>
    <mergeCell ref="A19:B19"/>
    <mergeCell ref="A20:B20"/>
    <mergeCell ref="A76:B76"/>
    <mergeCell ref="A77:G77"/>
    <mergeCell ref="A78:B78"/>
    <mergeCell ref="G78:G80"/>
    <mergeCell ref="A79:B79"/>
    <mergeCell ref="A80:B80"/>
    <mergeCell ref="A44:B44"/>
    <mergeCell ref="A45:G45"/>
    <mergeCell ref="A46:B46"/>
    <mergeCell ref="G46:G50"/>
    <mergeCell ref="A47:B47"/>
    <mergeCell ref="A48:B48"/>
    <mergeCell ref="A49:B49"/>
    <mergeCell ref="A50:B50"/>
    <mergeCell ref="A51:B51"/>
    <mergeCell ref="A52:G52"/>
    <mergeCell ref="A53:B53"/>
    <mergeCell ref="G53:G55"/>
    <mergeCell ref="A54:B54"/>
    <mergeCell ref="A55:B55"/>
    <mergeCell ref="A57:G57"/>
    <mergeCell ref="A60:G60"/>
    <mergeCell ref="C67:E67"/>
    <mergeCell ref="A68:G68"/>
    <mergeCell ref="A69:B69"/>
    <mergeCell ref="G69:G70"/>
    <mergeCell ref="A70:B70"/>
    <mergeCell ref="A71:B71"/>
    <mergeCell ref="A72:G72"/>
    <mergeCell ref="A73:B73"/>
    <mergeCell ref="G73:G75"/>
    <mergeCell ref="A74:B74"/>
    <mergeCell ref="A75:B75"/>
    <mergeCell ref="A86:F86"/>
    <mergeCell ref="A88:B91"/>
    <mergeCell ref="C88:G89"/>
    <mergeCell ref="C90:G90"/>
    <mergeCell ref="C91:E91"/>
    <mergeCell ref="A82:G82"/>
    <mergeCell ref="A85:G85"/>
    <mergeCell ref="A92:B92"/>
    <mergeCell ref="C92:E92"/>
    <mergeCell ref="A113:B116"/>
    <mergeCell ref="C113:G114"/>
    <mergeCell ref="C115:G115"/>
    <mergeCell ref="C116:E116"/>
    <mergeCell ref="A117:B117"/>
    <mergeCell ref="C117:E117"/>
    <mergeCell ref="A118:G118"/>
    <mergeCell ref="A119:B119"/>
    <mergeCell ref="G119:G120"/>
    <mergeCell ref="A120:B120"/>
    <mergeCell ref="A101:B101"/>
    <mergeCell ref="A102:G102"/>
    <mergeCell ref="A103:B103"/>
    <mergeCell ref="G103:G105"/>
    <mergeCell ref="A104:B104"/>
    <mergeCell ref="A105:B105"/>
    <mergeCell ref="A107:G107"/>
    <mergeCell ref="A110:G110"/>
    <mergeCell ref="A111:F111"/>
    <mergeCell ref="A150:B150"/>
    <mergeCell ref="A151:G151"/>
    <mergeCell ref="A152:B152"/>
    <mergeCell ref="G152:G153"/>
    <mergeCell ref="A153:B153"/>
    <mergeCell ref="A155:G155"/>
    <mergeCell ref="A121:B121"/>
    <mergeCell ref="A122:G122"/>
    <mergeCell ref="A123:B123"/>
    <mergeCell ref="G123:G124"/>
    <mergeCell ref="A124:B124"/>
    <mergeCell ref="A125:B125"/>
    <mergeCell ref="A126:B126"/>
    <mergeCell ref="A127:G127"/>
    <mergeCell ref="A128:B128"/>
    <mergeCell ref="G128:G129"/>
    <mergeCell ref="A129:B129"/>
    <mergeCell ref="A131:G131"/>
    <mergeCell ref="A134:G134"/>
    <mergeCell ref="A135:F135"/>
    <mergeCell ref="A137:B140"/>
    <mergeCell ref="C137:G138"/>
    <mergeCell ref="C139:G139"/>
    <mergeCell ref="C140:E140"/>
    <mergeCell ref="A141:B141"/>
    <mergeCell ref="C141:E141"/>
    <mergeCell ref="A142:G142"/>
    <mergeCell ref="A143:B143"/>
    <mergeCell ref="G143:G144"/>
    <mergeCell ref="A144:B144"/>
    <mergeCell ref="A145:B145"/>
    <mergeCell ref="A146:G146"/>
    <mergeCell ref="A147:B147"/>
    <mergeCell ref="G147:G149"/>
    <mergeCell ref="A148:B148"/>
    <mergeCell ref="A149:B149"/>
    <mergeCell ref="A168:B168"/>
    <mergeCell ref="A169:B169"/>
    <mergeCell ref="A170:B170"/>
    <mergeCell ref="A171:B171"/>
    <mergeCell ref="A172:B172"/>
    <mergeCell ref="A173:G173"/>
    <mergeCell ref="A174:B174"/>
    <mergeCell ref="G174:G180"/>
    <mergeCell ref="A175:B175"/>
    <mergeCell ref="A176:B176"/>
    <mergeCell ref="A177:B177"/>
    <mergeCell ref="A184:B184"/>
    <mergeCell ref="A185:B185"/>
    <mergeCell ref="C2:G2"/>
    <mergeCell ref="A187:G187"/>
    <mergeCell ref="A190:G190"/>
    <mergeCell ref="A191:F191"/>
    <mergeCell ref="A178:B178"/>
    <mergeCell ref="A179:B179"/>
    <mergeCell ref="A180:B180"/>
    <mergeCell ref="A181:B181"/>
    <mergeCell ref="A182:G182"/>
    <mergeCell ref="A183:B183"/>
    <mergeCell ref="G183:G185"/>
    <mergeCell ref="A158:G158"/>
    <mergeCell ref="A159:F159"/>
    <mergeCell ref="A161:B164"/>
    <mergeCell ref="C161:G162"/>
    <mergeCell ref="C163:G163"/>
    <mergeCell ref="C164:E164"/>
    <mergeCell ref="A165:B165"/>
    <mergeCell ref="C165:E165"/>
    <mergeCell ref="A166:G166"/>
    <mergeCell ref="A167:B167"/>
    <mergeCell ref="G167:G168"/>
  </mergeCells>
  <pageMargins left="0.7" right="0.7" top="0.75" bottom="0.75" header="0.3" footer="0.3"/>
  <pageSetup paperSize="9" scale="72" fitToHeight="0"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V106"/>
  <sheetViews>
    <sheetView topLeftCell="A83" workbookViewId="0">
      <selection activeCell="L47" sqref="L47"/>
    </sheetView>
  </sheetViews>
  <sheetFormatPr baseColWidth="10" defaultColWidth="10.6640625" defaultRowHeight="13.2"/>
  <cols>
    <col min="1" max="1" width="35" style="179" customWidth="1"/>
    <col min="2" max="2" width="12.88671875" style="179" bestFit="1" customWidth="1"/>
    <col min="3" max="3" width="12.5546875" style="179" bestFit="1" customWidth="1"/>
    <col min="4" max="4" width="16.33203125" style="179" bestFit="1" customWidth="1"/>
    <col min="5" max="5" width="12.88671875" style="179" bestFit="1" customWidth="1"/>
    <col min="6" max="6" width="17.88671875" style="179" bestFit="1" customWidth="1"/>
    <col min="7" max="7" width="12.88671875" style="179" bestFit="1" customWidth="1"/>
    <col min="8" max="8" width="17.88671875" style="179" bestFit="1" customWidth="1"/>
    <col min="9" max="9" width="12.88671875" style="179" bestFit="1" customWidth="1"/>
    <col min="10" max="10" width="16.33203125" style="179" bestFit="1" customWidth="1"/>
    <col min="11" max="11" width="16.109375" style="179" customWidth="1"/>
    <col min="12" max="12" width="17.109375" style="179" customWidth="1"/>
    <col min="13" max="13" width="11.44140625" style="179"/>
    <col min="14" max="14" width="12.5546875" style="179" bestFit="1" customWidth="1"/>
    <col min="15" max="15" width="11.44140625" style="179"/>
    <col min="16" max="16" width="12.5546875" style="179" bestFit="1" customWidth="1"/>
    <col min="17" max="256" width="11.44140625" style="179"/>
    <col min="257" max="257" width="35" style="179" customWidth="1"/>
    <col min="258" max="258" width="20.33203125" style="179" customWidth="1"/>
    <col min="259" max="259" width="12.44140625" style="179" bestFit="1" customWidth="1"/>
    <col min="260" max="260" width="16.109375" style="179" bestFit="1" customWidth="1"/>
    <col min="261" max="261" width="12.6640625" style="179" bestFit="1" customWidth="1"/>
    <col min="262" max="262" width="17.6640625" style="179" bestFit="1" customWidth="1"/>
    <col min="263" max="263" width="12.6640625" style="179" bestFit="1" customWidth="1"/>
    <col min="264" max="264" width="17.6640625" style="179" bestFit="1" customWidth="1"/>
    <col min="265" max="265" width="12.6640625" style="179" bestFit="1" customWidth="1"/>
    <col min="266" max="266" width="16.109375" style="179" bestFit="1" customWidth="1"/>
    <col min="267" max="267" width="16.109375" style="179" customWidth="1"/>
    <col min="268" max="268" width="17.109375" style="179" customWidth="1"/>
    <col min="269" max="512" width="11.44140625" style="179"/>
    <col min="513" max="513" width="35" style="179" customWidth="1"/>
    <col min="514" max="514" width="20.33203125" style="179" customWidth="1"/>
    <col min="515" max="515" width="12.44140625" style="179" bestFit="1" customWidth="1"/>
    <col min="516" max="516" width="16.109375" style="179" bestFit="1" customWidth="1"/>
    <col min="517" max="517" width="12.6640625" style="179" bestFit="1" customWidth="1"/>
    <col min="518" max="518" width="17.6640625" style="179" bestFit="1" customWidth="1"/>
    <col min="519" max="519" width="12.6640625" style="179" bestFit="1" customWidth="1"/>
    <col min="520" max="520" width="17.6640625" style="179" bestFit="1" customWidth="1"/>
    <col min="521" max="521" width="12.6640625" style="179" bestFit="1" customWidth="1"/>
    <col min="522" max="522" width="16.109375" style="179" bestFit="1" customWidth="1"/>
    <col min="523" max="523" width="16.109375" style="179" customWidth="1"/>
    <col min="524" max="524" width="17.109375" style="179" customWidth="1"/>
    <col min="525" max="768" width="11.44140625" style="179"/>
    <col min="769" max="769" width="35" style="179" customWidth="1"/>
    <col min="770" max="770" width="20.33203125" style="179" customWidth="1"/>
    <col min="771" max="771" width="12.44140625" style="179" bestFit="1" customWidth="1"/>
    <col min="772" max="772" width="16.109375" style="179" bestFit="1" customWidth="1"/>
    <col min="773" max="773" width="12.6640625" style="179" bestFit="1" customWidth="1"/>
    <col min="774" max="774" width="17.6640625" style="179" bestFit="1" customWidth="1"/>
    <col min="775" max="775" width="12.6640625" style="179" bestFit="1" customWidth="1"/>
    <col min="776" max="776" width="17.6640625" style="179" bestFit="1" customWidth="1"/>
    <col min="777" max="777" width="12.6640625" style="179" bestFit="1" customWidth="1"/>
    <col min="778" max="778" width="16.109375" style="179" bestFit="1" customWidth="1"/>
    <col min="779" max="779" width="16.109375" style="179" customWidth="1"/>
    <col min="780" max="780" width="17.109375" style="179" customWidth="1"/>
    <col min="781" max="1024" width="11.44140625" style="179"/>
    <col min="1025" max="1025" width="35" style="179" customWidth="1"/>
    <col min="1026" max="1026" width="20.33203125" style="179" customWidth="1"/>
    <col min="1027" max="1027" width="12.44140625" style="179" bestFit="1" customWidth="1"/>
    <col min="1028" max="1028" width="16.109375" style="179" bestFit="1" customWidth="1"/>
    <col min="1029" max="1029" width="12.6640625" style="179" bestFit="1" customWidth="1"/>
    <col min="1030" max="1030" width="17.6640625" style="179" bestFit="1" customWidth="1"/>
    <col min="1031" max="1031" width="12.6640625" style="179" bestFit="1" customWidth="1"/>
    <col min="1032" max="1032" width="17.6640625" style="179" bestFit="1" customWidth="1"/>
    <col min="1033" max="1033" width="12.6640625" style="179" bestFit="1" customWidth="1"/>
    <col min="1034" max="1034" width="16.109375" style="179" bestFit="1" customWidth="1"/>
    <col min="1035" max="1035" width="16.109375" style="179" customWidth="1"/>
    <col min="1036" max="1036" width="17.109375" style="179" customWidth="1"/>
    <col min="1037" max="1280" width="11.44140625" style="179"/>
    <col min="1281" max="1281" width="35" style="179" customWidth="1"/>
    <col min="1282" max="1282" width="20.33203125" style="179" customWidth="1"/>
    <col min="1283" max="1283" width="12.44140625" style="179" bestFit="1" customWidth="1"/>
    <col min="1284" max="1284" width="16.109375" style="179" bestFit="1" customWidth="1"/>
    <col min="1285" max="1285" width="12.6640625" style="179" bestFit="1" customWidth="1"/>
    <col min="1286" max="1286" width="17.6640625" style="179" bestFit="1" customWidth="1"/>
    <col min="1287" max="1287" width="12.6640625" style="179" bestFit="1" customWidth="1"/>
    <col min="1288" max="1288" width="17.6640625" style="179" bestFit="1" customWidth="1"/>
    <col min="1289" max="1289" width="12.6640625" style="179" bestFit="1" customWidth="1"/>
    <col min="1290" max="1290" width="16.109375" style="179" bestFit="1" customWidth="1"/>
    <col min="1291" max="1291" width="16.109375" style="179" customWidth="1"/>
    <col min="1292" max="1292" width="17.109375" style="179" customWidth="1"/>
    <col min="1293" max="1536" width="11.44140625" style="179"/>
    <col min="1537" max="1537" width="35" style="179" customWidth="1"/>
    <col min="1538" max="1538" width="20.33203125" style="179" customWidth="1"/>
    <col min="1539" max="1539" width="12.44140625" style="179" bestFit="1" customWidth="1"/>
    <col min="1540" max="1540" width="16.109375" style="179" bestFit="1" customWidth="1"/>
    <col min="1541" max="1541" width="12.6640625" style="179" bestFit="1" customWidth="1"/>
    <col min="1542" max="1542" width="17.6640625" style="179" bestFit="1" customWidth="1"/>
    <col min="1543" max="1543" width="12.6640625" style="179" bestFit="1" customWidth="1"/>
    <col min="1544" max="1544" width="17.6640625" style="179" bestFit="1" customWidth="1"/>
    <col min="1545" max="1545" width="12.6640625" style="179" bestFit="1" customWidth="1"/>
    <col min="1546" max="1546" width="16.109375" style="179" bestFit="1" customWidth="1"/>
    <col min="1547" max="1547" width="16.109375" style="179" customWidth="1"/>
    <col min="1548" max="1548" width="17.109375" style="179" customWidth="1"/>
    <col min="1549" max="1792" width="11.44140625" style="179"/>
    <col min="1793" max="1793" width="35" style="179" customWidth="1"/>
    <col min="1794" max="1794" width="20.33203125" style="179" customWidth="1"/>
    <col min="1795" max="1795" width="12.44140625" style="179" bestFit="1" customWidth="1"/>
    <col min="1796" max="1796" width="16.109375" style="179" bestFit="1" customWidth="1"/>
    <col min="1797" max="1797" width="12.6640625" style="179" bestFit="1" customWidth="1"/>
    <col min="1798" max="1798" width="17.6640625" style="179" bestFit="1" customWidth="1"/>
    <col min="1799" max="1799" width="12.6640625" style="179" bestFit="1" customWidth="1"/>
    <col min="1800" max="1800" width="17.6640625" style="179" bestFit="1" customWidth="1"/>
    <col min="1801" max="1801" width="12.6640625" style="179" bestFit="1" customWidth="1"/>
    <col min="1802" max="1802" width="16.109375" style="179" bestFit="1" customWidth="1"/>
    <col min="1803" max="1803" width="16.109375" style="179" customWidth="1"/>
    <col min="1804" max="1804" width="17.109375" style="179" customWidth="1"/>
    <col min="1805" max="2048" width="11.44140625" style="179"/>
    <col min="2049" max="2049" width="35" style="179" customWidth="1"/>
    <col min="2050" max="2050" width="20.33203125" style="179" customWidth="1"/>
    <col min="2051" max="2051" width="12.44140625" style="179" bestFit="1" customWidth="1"/>
    <col min="2052" max="2052" width="16.109375" style="179" bestFit="1" customWidth="1"/>
    <col min="2053" max="2053" width="12.6640625" style="179" bestFit="1" customWidth="1"/>
    <col min="2054" max="2054" width="17.6640625" style="179" bestFit="1" customWidth="1"/>
    <col min="2055" max="2055" width="12.6640625" style="179" bestFit="1" customWidth="1"/>
    <col min="2056" max="2056" width="17.6640625" style="179" bestFit="1" customWidth="1"/>
    <col min="2057" max="2057" width="12.6640625" style="179" bestFit="1" customWidth="1"/>
    <col min="2058" max="2058" width="16.109375" style="179" bestFit="1" customWidth="1"/>
    <col min="2059" max="2059" width="16.109375" style="179" customWidth="1"/>
    <col min="2060" max="2060" width="17.109375" style="179" customWidth="1"/>
    <col min="2061" max="2304" width="11.44140625" style="179"/>
    <col min="2305" max="2305" width="35" style="179" customWidth="1"/>
    <col min="2306" max="2306" width="20.33203125" style="179" customWidth="1"/>
    <col min="2307" max="2307" width="12.44140625" style="179" bestFit="1" customWidth="1"/>
    <col min="2308" max="2308" width="16.109375" style="179" bestFit="1" customWidth="1"/>
    <col min="2309" max="2309" width="12.6640625" style="179" bestFit="1" customWidth="1"/>
    <col min="2310" max="2310" width="17.6640625" style="179" bestFit="1" customWidth="1"/>
    <col min="2311" max="2311" width="12.6640625" style="179" bestFit="1" customWidth="1"/>
    <col min="2312" max="2312" width="17.6640625" style="179" bestFit="1" customWidth="1"/>
    <col min="2313" max="2313" width="12.6640625" style="179" bestFit="1" customWidth="1"/>
    <col min="2314" max="2314" width="16.109375" style="179" bestFit="1" customWidth="1"/>
    <col min="2315" max="2315" width="16.109375" style="179" customWidth="1"/>
    <col min="2316" max="2316" width="17.109375" style="179" customWidth="1"/>
    <col min="2317" max="2560" width="11.44140625" style="179"/>
    <col min="2561" max="2561" width="35" style="179" customWidth="1"/>
    <col min="2562" max="2562" width="20.33203125" style="179" customWidth="1"/>
    <col min="2563" max="2563" width="12.44140625" style="179" bestFit="1" customWidth="1"/>
    <col min="2564" max="2564" width="16.109375" style="179" bestFit="1" customWidth="1"/>
    <col min="2565" max="2565" width="12.6640625" style="179" bestFit="1" customWidth="1"/>
    <col min="2566" max="2566" width="17.6640625" style="179" bestFit="1" customWidth="1"/>
    <col min="2567" max="2567" width="12.6640625" style="179" bestFit="1" customWidth="1"/>
    <col min="2568" max="2568" width="17.6640625" style="179" bestFit="1" customWidth="1"/>
    <col min="2569" max="2569" width="12.6640625" style="179" bestFit="1" customWidth="1"/>
    <col min="2570" max="2570" width="16.109375" style="179" bestFit="1" customWidth="1"/>
    <col min="2571" max="2571" width="16.109375" style="179" customWidth="1"/>
    <col min="2572" max="2572" width="17.109375" style="179" customWidth="1"/>
    <col min="2573" max="2816" width="11.44140625" style="179"/>
    <col min="2817" max="2817" width="35" style="179" customWidth="1"/>
    <col min="2818" max="2818" width="20.33203125" style="179" customWidth="1"/>
    <col min="2819" max="2819" width="12.44140625" style="179" bestFit="1" customWidth="1"/>
    <col min="2820" max="2820" width="16.109375" style="179" bestFit="1" customWidth="1"/>
    <col min="2821" max="2821" width="12.6640625" style="179" bestFit="1" customWidth="1"/>
    <col min="2822" max="2822" width="17.6640625" style="179" bestFit="1" customWidth="1"/>
    <col min="2823" max="2823" width="12.6640625" style="179" bestFit="1" customWidth="1"/>
    <col min="2824" max="2824" width="17.6640625" style="179" bestFit="1" customWidth="1"/>
    <col min="2825" max="2825" width="12.6640625" style="179" bestFit="1" customWidth="1"/>
    <col min="2826" max="2826" width="16.109375" style="179" bestFit="1" customWidth="1"/>
    <col min="2827" max="2827" width="16.109375" style="179" customWidth="1"/>
    <col min="2828" max="2828" width="17.109375" style="179" customWidth="1"/>
    <col min="2829" max="3072" width="11.44140625" style="179"/>
    <col min="3073" max="3073" width="35" style="179" customWidth="1"/>
    <col min="3074" max="3074" width="20.33203125" style="179" customWidth="1"/>
    <col min="3075" max="3075" width="12.44140625" style="179" bestFit="1" customWidth="1"/>
    <col min="3076" max="3076" width="16.109375" style="179" bestFit="1" customWidth="1"/>
    <col min="3077" max="3077" width="12.6640625" style="179" bestFit="1" customWidth="1"/>
    <col min="3078" max="3078" width="17.6640625" style="179" bestFit="1" customWidth="1"/>
    <col min="3079" max="3079" width="12.6640625" style="179" bestFit="1" customWidth="1"/>
    <col min="3080" max="3080" width="17.6640625" style="179" bestFit="1" customWidth="1"/>
    <col min="3081" max="3081" width="12.6640625" style="179" bestFit="1" customWidth="1"/>
    <col min="3082" max="3082" width="16.109375" style="179" bestFit="1" customWidth="1"/>
    <col min="3083" max="3083" width="16.109375" style="179" customWidth="1"/>
    <col min="3084" max="3084" width="17.109375" style="179" customWidth="1"/>
    <col min="3085" max="3328" width="11.44140625" style="179"/>
    <col min="3329" max="3329" width="35" style="179" customWidth="1"/>
    <col min="3330" max="3330" width="20.33203125" style="179" customWidth="1"/>
    <col min="3331" max="3331" width="12.44140625" style="179" bestFit="1" customWidth="1"/>
    <col min="3332" max="3332" width="16.109375" style="179" bestFit="1" customWidth="1"/>
    <col min="3333" max="3333" width="12.6640625" style="179" bestFit="1" customWidth="1"/>
    <col min="3334" max="3334" width="17.6640625" style="179" bestFit="1" customWidth="1"/>
    <col min="3335" max="3335" width="12.6640625" style="179" bestFit="1" customWidth="1"/>
    <col min="3336" max="3336" width="17.6640625" style="179" bestFit="1" customWidth="1"/>
    <col min="3337" max="3337" width="12.6640625" style="179" bestFit="1" customWidth="1"/>
    <col min="3338" max="3338" width="16.109375" style="179" bestFit="1" customWidth="1"/>
    <col min="3339" max="3339" width="16.109375" style="179" customWidth="1"/>
    <col min="3340" max="3340" width="17.109375" style="179" customWidth="1"/>
    <col min="3341" max="3584" width="11.44140625" style="179"/>
    <col min="3585" max="3585" width="35" style="179" customWidth="1"/>
    <col min="3586" max="3586" width="20.33203125" style="179" customWidth="1"/>
    <col min="3587" max="3587" width="12.44140625" style="179" bestFit="1" customWidth="1"/>
    <col min="3588" max="3588" width="16.109375" style="179" bestFit="1" customWidth="1"/>
    <col min="3589" max="3589" width="12.6640625" style="179" bestFit="1" customWidth="1"/>
    <col min="3590" max="3590" width="17.6640625" style="179" bestFit="1" customWidth="1"/>
    <col min="3591" max="3591" width="12.6640625" style="179" bestFit="1" customWidth="1"/>
    <col min="3592" max="3592" width="17.6640625" style="179" bestFit="1" customWidth="1"/>
    <col min="3593" max="3593" width="12.6640625" style="179" bestFit="1" customWidth="1"/>
    <col min="3594" max="3594" width="16.109375" style="179" bestFit="1" customWidth="1"/>
    <col min="3595" max="3595" width="16.109375" style="179" customWidth="1"/>
    <col min="3596" max="3596" width="17.109375" style="179" customWidth="1"/>
    <col min="3597" max="3840" width="11.44140625" style="179"/>
    <col min="3841" max="3841" width="35" style="179" customWidth="1"/>
    <col min="3842" max="3842" width="20.33203125" style="179" customWidth="1"/>
    <col min="3843" max="3843" width="12.44140625" style="179" bestFit="1" customWidth="1"/>
    <col min="3844" max="3844" width="16.109375" style="179" bestFit="1" customWidth="1"/>
    <col min="3845" max="3845" width="12.6640625" style="179" bestFit="1" customWidth="1"/>
    <col min="3846" max="3846" width="17.6640625" style="179" bestFit="1" customWidth="1"/>
    <col min="3847" max="3847" width="12.6640625" style="179" bestFit="1" customWidth="1"/>
    <col min="3848" max="3848" width="17.6640625" style="179" bestFit="1" customWidth="1"/>
    <col min="3849" max="3849" width="12.6640625" style="179" bestFit="1" customWidth="1"/>
    <col min="3850" max="3850" width="16.109375" style="179" bestFit="1" customWidth="1"/>
    <col min="3851" max="3851" width="16.109375" style="179" customWidth="1"/>
    <col min="3852" max="3852" width="17.109375" style="179" customWidth="1"/>
    <col min="3853" max="4096" width="11.44140625" style="179"/>
    <col min="4097" max="4097" width="35" style="179" customWidth="1"/>
    <col min="4098" max="4098" width="20.33203125" style="179" customWidth="1"/>
    <col min="4099" max="4099" width="12.44140625" style="179" bestFit="1" customWidth="1"/>
    <col min="4100" max="4100" width="16.109375" style="179" bestFit="1" customWidth="1"/>
    <col min="4101" max="4101" width="12.6640625" style="179" bestFit="1" customWidth="1"/>
    <col min="4102" max="4102" width="17.6640625" style="179" bestFit="1" customWidth="1"/>
    <col min="4103" max="4103" width="12.6640625" style="179" bestFit="1" customWidth="1"/>
    <col min="4104" max="4104" width="17.6640625" style="179" bestFit="1" customWidth="1"/>
    <col min="4105" max="4105" width="12.6640625" style="179" bestFit="1" customWidth="1"/>
    <col min="4106" max="4106" width="16.109375" style="179" bestFit="1" customWidth="1"/>
    <col min="4107" max="4107" width="16.109375" style="179" customWidth="1"/>
    <col min="4108" max="4108" width="17.109375" style="179" customWidth="1"/>
    <col min="4109" max="4352" width="11.44140625" style="179"/>
    <col min="4353" max="4353" width="35" style="179" customWidth="1"/>
    <col min="4354" max="4354" width="20.33203125" style="179" customWidth="1"/>
    <col min="4355" max="4355" width="12.44140625" style="179" bestFit="1" customWidth="1"/>
    <col min="4356" max="4356" width="16.109375" style="179" bestFit="1" customWidth="1"/>
    <col min="4357" max="4357" width="12.6640625" style="179" bestFit="1" customWidth="1"/>
    <col min="4358" max="4358" width="17.6640625" style="179" bestFit="1" customWidth="1"/>
    <col min="4359" max="4359" width="12.6640625" style="179" bestFit="1" customWidth="1"/>
    <col min="4360" max="4360" width="17.6640625" style="179" bestFit="1" customWidth="1"/>
    <col min="4361" max="4361" width="12.6640625" style="179" bestFit="1" customWidth="1"/>
    <col min="4362" max="4362" width="16.109375" style="179" bestFit="1" customWidth="1"/>
    <col min="4363" max="4363" width="16.109375" style="179" customWidth="1"/>
    <col min="4364" max="4364" width="17.109375" style="179" customWidth="1"/>
    <col min="4365" max="4608" width="11.44140625" style="179"/>
    <col min="4609" max="4609" width="35" style="179" customWidth="1"/>
    <col min="4610" max="4610" width="20.33203125" style="179" customWidth="1"/>
    <col min="4611" max="4611" width="12.44140625" style="179" bestFit="1" customWidth="1"/>
    <col min="4612" max="4612" width="16.109375" style="179" bestFit="1" customWidth="1"/>
    <col min="4613" max="4613" width="12.6640625" style="179" bestFit="1" customWidth="1"/>
    <col min="4614" max="4614" width="17.6640625" style="179" bestFit="1" customWidth="1"/>
    <col min="4615" max="4615" width="12.6640625" style="179" bestFit="1" customWidth="1"/>
    <col min="4616" max="4616" width="17.6640625" style="179" bestFit="1" customWidth="1"/>
    <col min="4617" max="4617" width="12.6640625" style="179" bestFit="1" customWidth="1"/>
    <col min="4618" max="4618" width="16.109375" style="179" bestFit="1" customWidth="1"/>
    <col min="4619" max="4619" width="16.109375" style="179" customWidth="1"/>
    <col min="4620" max="4620" width="17.109375" style="179" customWidth="1"/>
    <col min="4621" max="4864" width="11.44140625" style="179"/>
    <col min="4865" max="4865" width="35" style="179" customWidth="1"/>
    <col min="4866" max="4866" width="20.33203125" style="179" customWidth="1"/>
    <col min="4867" max="4867" width="12.44140625" style="179" bestFit="1" customWidth="1"/>
    <col min="4868" max="4868" width="16.109375" style="179" bestFit="1" customWidth="1"/>
    <col min="4869" max="4869" width="12.6640625" style="179" bestFit="1" customWidth="1"/>
    <col min="4870" max="4870" width="17.6640625" style="179" bestFit="1" customWidth="1"/>
    <col min="4871" max="4871" width="12.6640625" style="179" bestFit="1" customWidth="1"/>
    <col min="4872" max="4872" width="17.6640625" style="179" bestFit="1" customWidth="1"/>
    <col min="4873" max="4873" width="12.6640625" style="179" bestFit="1" customWidth="1"/>
    <col min="4874" max="4874" width="16.109375" style="179" bestFit="1" customWidth="1"/>
    <col min="4875" max="4875" width="16.109375" style="179" customWidth="1"/>
    <col min="4876" max="4876" width="17.109375" style="179" customWidth="1"/>
    <col min="4877" max="5120" width="11.44140625" style="179"/>
    <col min="5121" max="5121" width="35" style="179" customWidth="1"/>
    <col min="5122" max="5122" width="20.33203125" style="179" customWidth="1"/>
    <col min="5123" max="5123" width="12.44140625" style="179" bestFit="1" customWidth="1"/>
    <col min="5124" max="5124" width="16.109375" style="179" bestFit="1" customWidth="1"/>
    <col min="5125" max="5125" width="12.6640625" style="179" bestFit="1" customWidth="1"/>
    <col min="5126" max="5126" width="17.6640625" style="179" bestFit="1" customWidth="1"/>
    <col min="5127" max="5127" width="12.6640625" style="179" bestFit="1" customWidth="1"/>
    <col min="5128" max="5128" width="17.6640625" style="179" bestFit="1" customWidth="1"/>
    <col min="5129" max="5129" width="12.6640625" style="179" bestFit="1" customWidth="1"/>
    <col min="5130" max="5130" width="16.109375" style="179" bestFit="1" customWidth="1"/>
    <col min="5131" max="5131" width="16.109375" style="179" customWidth="1"/>
    <col min="5132" max="5132" width="17.109375" style="179" customWidth="1"/>
    <col min="5133" max="5376" width="11.44140625" style="179"/>
    <col min="5377" max="5377" width="35" style="179" customWidth="1"/>
    <col min="5378" max="5378" width="20.33203125" style="179" customWidth="1"/>
    <col min="5379" max="5379" width="12.44140625" style="179" bestFit="1" customWidth="1"/>
    <col min="5380" max="5380" width="16.109375" style="179" bestFit="1" customWidth="1"/>
    <col min="5381" max="5381" width="12.6640625" style="179" bestFit="1" customWidth="1"/>
    <col min="5382" max="5382" width="17.6640625" style="179" bestFit="1" customWidth="1"/>
    <col min="5383" max="5383" width="12.6640625" style="179" bestFit="1" customWidth="1"/>
    <col min="5384" max="5384" width="17.6640625" style="179" bestFit="1" customWidth="1"/>
    <col min="5385" max="5385" width="12.6640625" style="179" bestFit="1" customWidth="1"/>
    <col min="5386" max="5386" width="16.109375" style="179" bestFit="1" customWidth="1"/>
    <col min="5387" max="5387" width="16.109375" style="179" customWidth="1"/>
    <col min="5388" max="5388" width="17.109375" style="179" customWidth="1"/>
    <col min="5389" max="5632" width="11.44140625" style="179"/>
    <col min="5633" max="5633" width="35" style="179" customWidth="1"/>
    <col min="5634" max="5634" width="20.33203125" style="179" customWidth="1"/>
    <col min="5635" max="5635" width="12.44140625" style="179" bestFit="1" customWidth="1"/>
    <col min="5636" max="5636" width="16.109375" style="179" bestFit="1" customWidth="1"/>
    <col min="5637" max="5637" width="12.6640625" style="179" bestFit="1" customWidth="1"/>
    <col min="5638" max="5638" width="17.6640625" style="179" bestFit="1" customWidth="1"/>
    <col min="5639" max="5639" width="12.6640625" style="179" bestFit="1" customWidth="1"/>
    <col min="5640" max="5640" width="17.6640625" style="179" bestFit="1" customWidth="1"/>
    <col min="5641" max="5641" width="12.6640625" style="179" bestFit="1" customWidth="1"/>
    <col min="5642" max="5642" width="16.109375" style="179" bestFit="1" customWidth="1"/>
    <col min="5643" max="5643" width="16.109375" style="179" customWidth="1"/>
    <col min="5644" max="5644" width="17.109375" style="179" customWidth="1"/>
    <col min="5645" max="5888" width="11.44140625" style="179"/>
    <col min="5889" max="5889" width="35" style="179" customWidth="1"/>
    <col min="5890" max="5890" width="20.33203125" style="179" customWidth="1"/>
    <col min="5891" max="5891" width="12.44140625" style="179" bestFit="1" customWidth="1"/>
    <col min="5892" max="5892" width="16.109375" style="179" bestFit="1" customWidth="1"/>
    <col min="5893" max="5893" width="12.6640625" style="179" bestFit="1" customWidth="1"/>
    <col min="5894" max="5894" width="17.6640625" style="179" bestFit="1" customWidth="1"/>
    <col min="5895" max="5895" width="12.6640625" style="179" bestFit="1" customWidth="1"/>
    <col min="5896" max="5896" width="17.6640625" style="179" bestFit="1" customWidth="1"/>
    <col min="5897" max="5897" width="12.6640625" style="179" bestFit="1" customWidth="1"/>
    <col min="5898" max="5898" width="16.109375" style="179" bestFit="1" customWidth="1"/>
    <col min="5899" max="5899" width="16.109375" style="179" customWidth="1"/>
    <col min="5900" max="5900" width="17.109375" style="179" customWidth="1"/>
    <col min="5901" max="6144" width="11.44140625" style="179"/>
    <col min="6145" max="6145" width="35" style="179" customWidth="1"/>
    <col min="6146" max="6146" width="20.33203125" style="179" customWidth="1"/>
    <col min="6147" max="6147" width="12.44140625" style="179" bestFit="1" customWidth="1"/>
    <col min="6148" max="6148" width="16.109375" style="179" bestFit="1" customWidth="1"/>
    <col min="6149" max="6149" width="12.6640625" style="179" bestFit="1" customWidth="1"/>
    <col min="6150" max="6150" width="17.6640625" style="179" bestFit="1" customWidth="1"/>
    <col min="6151" max="6151" width="12.6640625" style="179" bestFit="1" customWidth="1"/>
    <col min="6152" max="6152" width="17.6640625" style="179" bestFit="1" customWidth="1"/>
    <col min="6153" max="6153" width="12.6640625" style="179" bestFit="1" customWidth="1"/>
    <col min="6154" max="6154" width="16.109375" style="179" bestFit="1" customWidth="1"/>
    <col min="6155" max="6155" width="16.109375" style="179" customWidth="1"/>
    <col min="6156" max="6156" width="17.109375" style="179" customWidth="1"/>
    <col min="6157" max="6400" width="11.44140625" style="179"/>
    <col min="6401" max="6401" width="35" style="179" customWidth="1"/>
    <col min="6402" max="6402" width="20.33203125" style="179" customWidth="1"/>
    <col min="6403" max="6403" width="12.44140625" style="179" bestFit="1" customWidth="1"/>
    <col min="6404" max="6404" width="16.109375" style="179" bestFit="1" customWidth="1"/>
    <col min="6405" max="6405" width="12.6640625" style="179" bestFit="1" customWidth="1"/>
    <col min="6406" max="6406" width="17.6640625" style="179" bestFit="1" customWidth="1"/>
    <col min="6407" max="6407" width="12.6640625" style="179" bestFit="1" customWidth="1"/>
    <col min="6408" max="6408" width="17.6640625" style="179" bestFit="1" customWidth="1"/>
    <col min="6409" max="6409" width="12.6640625" style="179" bestFit="1" customWidth="1"/>
    <col min="6410" max="6410" width="16.109375" style="179" bestFit="1" customWidth="1"/>
    <col min="6411" max="6411" width="16.109375" style="179" customWidth="1"/>
    <col min="6412" max="6412" width="17.109375" style="179" customWidth="1"/>
    <col min="6413" max="6656" width="11.44140625" style="179"/>
    <col min="6657" max="6657" width="35" style="179" customWidth="1"/>
    <col min="6658" max="6658" width="20.33203125" style="179" customWidth="1"/>
    <col min="6659" max="6659" width="12.44140625" style="179" bestFit="1" customWidth="1"/>
    <col min="6660" max="6660" width="16.109375" style="179" bestFit="1" customWidth="1"/>
    <col min="6661" max="6661" width="12.6640625" style="179" bestFit="1" customWidth="1"/>
    <col min="6662" max="6662" width="17.6640625" style="179" bestFit="1" customWidth="1"/>
    <col min="6663" max="6663" width="12.6640625" style="179" bestFit="1" customWidth="1"/>
    <col min="6664" max="6664" width="17.6640625" style="179" bestFit="1" customWidth="1"/>
    <col min="6665" max="6665" width="12.6640625" style="179" bestFit="1" customWidth="1"/>
    <col min="6666" max="6666" width="16.109375" style="179" bestFit="1" customWidth="1"/>
    <col min="6667" max="6667" width="16.109375" style="179" customWidth="1"/>
    <col min="6668" max="6668" width="17.109375" style="179" customWidth="1"/>
    <col min="6669" max="6912" width="11.44140625" style="179"/>
    <col min="6913" max="6913" width="35" style="179" customWidth="1"/>
    <col min="6914" max="6914" width="20.33203125" style="179" customWidth="1"/>
    <col min="6915" max="6915" width="12.44140625" style="179" bestFit="1" customWidth="1"/>
    <col min="6916" max="6916" width="16.109375" style="179" bestFit="1" customWidth="1"/>
    <col min="6917" max="6917" width="12.6640625" style="179" bestFit="1" customWidth="1"/>
    <col min="6918" max="6918" width="17.6640625" style="179" bestFit="1" customWidth="1"/>
    <col min="6919" max="6919" width="12.6640625" style="179" bestFit="1" customWidth="1"/>
    <col min="6920" max="6920" width="17.6640625" style="179" bestFit="1" customWidth="1"/>
    <col min="6921" max="6921" width="12.6640625" style="179" bestFit="1" customWidth="1"/>
    <col min="6922" max="6922" width="16.109375" style="179" bestFit="1" customWidth="1"/>
    <col min="6923" max="6923" width="16.109375" style="179" customWidth="1"/>
    <col min="6924" max="6924" width="17.109375" style="179" customWidth="1"/>
    <col min="6925" max="7168" width="11.44140625" style="179"/>
    <col min="7169" max="7169" width="35" style="179" customWidth="1"/>
    <col min="7170" max="7170" width="20.33203125" style="179" customWidth="1"/>
    <col min="7171" max="7171" width="12.44140625" style="179" bestFit="1" customWidth="1"/>
    <col min="7172" max="7172" width="16.109375" style="179" bestFit="1" customWidth="1"/>
    <col min="7173" max="7173" width="12.6640625" style="179" bestFit="1" customWidth="1"/>
    <col min="7174" max="7174" width="17.6640625" style="179" bestFit="1" customWidth="1"/>
    <col min="7175" max="7175" width="12.6640625" style="179" bestFit="1" customWidth="1"/>
    <col min="7176" max="7176" width="17.6640625" style="179" bestFit="1" customWidth="1"/>
    <col min="7177" max="7177" width="12.6640625" style="179" bestFit="1" customWidth="1"/>
    <col min="7178" max="7178" width="16.109375" style="179" bestFit="1" customWidth="1"/>
    <col min="7179" max="7179" width="16.109375" style="179" customWidth="1"/>
    <col min="7180" max="7180" width="17.109375" style="179" customWidth="1"/>
    <col min="7181" max="7424" width="11.44140625" style="179"/>
    <col min="7425" max="7425" width="35" style="179" customWidth="1"/>
    <col min="7426" max="7426" width="20.33203125" style="179" customWidth="1"/>
    <col min="7427" max="7427" width="12.44140625" style="179" bestFit="1" customWidth="1"/>
    <col min="7428" max="7428" width="16.109375" style="179" bestFit="1" customWidth="1"/>
    <col min="7429" max="7429" width="12.6640625" style="179" bestFit="1" customWidth="1"/>
    <col min="7430" max="7430" width="17.6640625" style="179" bestFit="1" customWidth="1"/>
    <col min="7431" max="7431" width="12.6640625" style="179" bestFit="1" customWidth="1"/>
    <col min="7432" max="7432" width="17.6640625" style="179" bestFit="1" customWidth="1"/>
    <col min="7433" max="7433" width="12.6640625" style="179" bestFit="1" customWidth="1"/>
    <col min="7434" max="7434" width="16.109375" style="179" bestFit="1" customWidth="1"/>
    <col min="7435" max="7435" width="16.109375" style="179" customWidth="1"/>
    <col min="7436" max="7436" width="17.109375" style="179" customWidth="1"/>
    <col min="7437" max="7680" width="11.44140625" style="179"/>
    <col min="7681" max="7681" width="35" style="179" customWidth="1"/>
    <col min="7682" max="7682" width="20.33203125" style="179" customWidth="1"/>
    <col min="7683" max="7683" width="12.44140625" style="179" bestFit="1" customWidth="1"/>
    <col min="7684" max="7684" width="16.109375" style="179" bestFit="1" customWidth="1"/>
    <col min="7685" max="7685" width="12.6640625" style="179" bestFit="1" customWidth="1"/>
    <col min="7686" max="7686" width="17.6640625" style="179" bestFit="1" customWidth="1"/>
    <col min="7687" max="7687" width="12.6640625" style="179" bestFit="1" customWidth="1"/>
    <col min="7688" max="7688" width="17.6640625" style="179" bestFit="1" customWidth="1"/>
    <col min="7689" max="7689" width="12.6640625" style="179" bestFit="1" customWidth="1"/>
    <col min="7690" max="7690" width="16.109375" style="179" bestFit="1" customWidth="1"/>
    <col min="7691" max="7691" width="16.109375" style="179" customWidth="1"/>
    <col min="7692" max="7692" width="17.109375" style="179" customWidth="1"/>
    <col min="7693" max="7936" width="11.44140625" style="179"/>
    <col min="7937" max="7937" width="35" style="179" customWidth="1"/>
    <col min="7938" max="7938" width="20.33203125" style="179" customWidth="1"/>
    <col min="7939" max="7939" width="12.44140625" style="179" bestFit="1" customWidth="1"/>
    <col min="7940" max="7940" width="16.109375" style="179" bestFit="1" customWidth="1"/>
    <col min="7941" max="7941" width="12.6640625" style="179" bestFit="1" customWidth="1"/>
    <col min="7942" max="7942" width="17.6640625" style="179" bestFit="1" customWidth="1"/>
    <col min="7943" max="7943" width="12.6640625" style="179" bestFit="1" customWidth="1"/>
    <col min="7944" max="7944" width="17.6640625" style="179" bestFit="1" customWidth="1"/>
    <col min="7945" max="7945" width="12.6640625" style="179" bestFit="1" customWidth="1"/>
    <col min="7946" max="7946" width="16.109375" style="179" bestFit="1" customWidth="1"/>
    <col min="7947" max="7947" width="16.109375" style="179" customWidth="1"/>
    <col min="7948" max="7948" width="17.109375" style="179" customWidth="1"/>
    <col min="7949" max="8192" width="11.44140625" style="179"/>
    <col min="8193" max="8193" width="35" style="179" customWidth="1"/>
    <col min="8194" max="8194" width="20.33203125" style="179" customWidth="1"/>
    <col min="8195" max="8195" width="12.44140625" style="179" bestFit="1" customWidth="1"/>
    <col min="8196" max="8196" width="16.109375" style="179" bestFit="1" customWidth="1"/>
    <col min="8197" max="8197" width="12.6640625" style="179" bestFit="1" customWidth="1"/>
    <col min="8198" max="8198" width="17.6640625" style="179" bestFit="1" customWidth="1"/>
    <col min="8199" max="8199" width="12.6640625" style="179" bestFit="1" customWidth="1"/>
    <col min="8200" max="8200" width="17.6640625" style="179" bestFit="1" customWidth="1"/>
    <col min="8201" max="8201" width="12.6640625" style="179" bestFit="1" customWidth="1"/>
    <col min="8202" max="8202" width="16.109375" style="179" bestFit="1" customWidth="1"/>
    <col min="8203" max="8203" width="16.109375" style="179" customWidth="1"/>
    <col min="8204" max="8204" width="17.109375" style="179" customWidth="1"/>
    <col min="8205" max="8448" width="11.44140625" style="179"/>
    <col min="8449" max="8449" width="35" style="179" customWidth="1"/>
    <col min="8450" max="8450" width="20.33203125" style="179" customWidth="1"/>
    <col min="8451" max="8451" width="12.44140625" style="179" bestFit="1" customWidth="1"/>
    <col min="8452" max="8452" width="16.109375" style="179" bestFit="1" customWidth="1"/>
    <col min="8453" max="8453" width="12.6640625" style="179" bestFit="1" customWidth="1"/>
    <col min="8454" max="8454" width="17.6640625" style="179" bestFit="1" customWidth="1"/>
    <col min="8455" max="8455" width="12.6640625" style="179" bestFit="1" customWidth="1"/>
    <col min="8456" max="8456" width="17.6640625" style="179" bestFit="1" customWidth="1"/>
    <col min="8457" max="8457" width="12.6640625" style="179" bestFit="1" customWidth="1"/>
    <col min="8458" max="8458" width="16.109375" style="179" bestFit="1" customWidth="1"/>
    <col min="8459" max="8459" width="16.109375" style="179" customWidth="1"/>
    <col min="8460" max="8460" width="17.109375" style="179" customWidth="1"/>
    <col min="8461" max="8704" width="11.44140625" style="179"/>
    <col min="8705" max="8705" width="35" style="179" customWidth="1"/>
    <col min="8706" max="8706" width="20.33203125" style="179" customWidth="1"/>
    <col min="8707" max="8707" width="12.44140625" style="179" bestFit="1" customWidth="1"/>
    <col min="8708" max="8708" width="16.109375" style="179" bestFit="1" customWidth="1"/>
    <col min="8709" max="8709" width="12.6640625" style="179" bestFit="1" customWidth="1"/>
    <col min="8710" max="8710" width="17.6640625" style="179" bestFit="1" customWidth="1"/>
    <col min="8711" max="8711" width="12.6640625" style="179" bestFit="1" customWidth="1"/>
    <col min="8712" max="8712" width="17.6640625" style="179" bestFit="1" customWidth="1"/>
    <col min="8713" max="8713" width="12.6640625" style="179" bestFit="1" customWidth="1"/>
    <col min="8714" max="8714" width="16.109375" style="179" bestFit="1" customWidth="1"/>
    <col min="8715" max="8715" width="16.109375" style="179" customWidth="1"/>
    <col min="8716" max="8716" width="17.109375" style="179" customWidth="1"/>
    <col min="8717" max="8960" width="11.44140625" style="179"/>
    <col min="8961" max="8961" width="35" style="179" customWidth="1"/>
    <col min="8962" max="8962" width="20.33203125" style="179" customWidth="1"/>
    <col min="8963" max="8963" width="12.44140625" style="179" bestFit="1" customWidth="1"/>
    <col min="8964" max="8964" width="16.109375" style="179" bestFit="1" customWidth="1"/>
    <col min="8965" max="8965" width="12.6640625" style="179" bestFit="1" customWidth="1"/>
    <col min="8966" max="8966" width="17.6640625" style="179" bestFit="1" customWidth="1"/>
    <col min="8967" max="8967" width="12.6640625" style="179" bestFit="1" customWidth="1"/>
    <col min="8968" max="8968" width="17.6640625" style="179" bestFit="1" customWidth="1"/>
    <col min="8969" max="8969" width="12.6640625" style="179" bestFit="1" customWidth="1"/>
    <col min="8970" max="8970" width="16.109375" style="179" bestFit="1" customWidth="1"/>
    <col min="8971" max="8971" width="16.109375" style="179" customWidth="1"/>
    <col min="8972" max="8972" width="17.109375" style="179" customWidth="1"/>
    <col min="8973" max="9216" width="11.44140625" style="179"/>
    <col min="9217" max="9217" width="35" style="179" customWidth="1"/>
    <col min="9218" max="9218" width="20.33203125" style="179" customWidth="1"/>
    <col min="9219" max="9219" width="12.44140625" style="179" bestFit="1" customWidth="1"/>
    <col min="9220" max="9220" width="16.109375" style="179" bestFit="1" customWidth="1"/>
    <col min="9221" max="9221" width="12.6640625" style="179" bestFit="1" customWidth="1"/>
    <col min="9222" max="9222" width="17.6640625" style="179" bestFit="1" customWidth="1"/>
    <col min="9223" max="9223" width="12.6640625" style="179" bestFit="1" customWidth="1"/>
    <col min="9224" max="9224" width="17.6640625" style="179" bestFit="1" customWidth="1"/>
    <col min="9225" max="9225" width="12.6640625" style="179" bestFit="1" customWidth="1"/>
    <col min="9226" max="9226" width="16.109375" style="179" bestFit="1" customWidth="1"/>
    <col min="9227" max="9227" width="16.109375" style="179" customWidth="1"/>
    <col min="9228" max="9228" width="17.109375" style="179" customWidth="1"/>
    <col min="9229" max="9472" width="11.44140625" style="179"/>
    <col min="9473" max="9473" width="35" style="179" customWidth="1"/>
    <col min="9474" max="9474" width="20.33203125" style="179" customWidth="1"/>
    <col min="9475" max="9475" width="12.44140625" style="179" bestFit="1" customWidth="1"/>
    <col min="9476" max="9476" width="16.109375" style="179" bestFit="1" customWidth="1"/>
    <col min="9477" max="9477" width="12.6640625" style="179" bestFit="1" customWidth="1"/>
    <col min="9478" max="9478" width="17.6640625" style="179" bestFit="1" customWidth="1"/>
    <col min="9479" max="9479" width="12.6640625" style="179" bestFit="1" customWidth="1"/>
    <col min="9480" max="9480" width="17.6640625" style="179" bestFit="1" customWidth="1"/>
    <col min="9481" max="9481" width="12.6640625" style="179" bestFit="1" customWidth="1"/>
    <col min="9482" max="9482" width="16.109375" style="179" bestFit="1" customWidth="1"/>
    <col min="9483" max="9483" width="16.109375" style="179" customWidth="1"/>
    <col min="9484" max="9484" width="17.109375" style="179" customWidth="1"/>
    <col min="9485" max="9728" width="11.44140625" style="179"/>
    <col min="9729" max="9729" width="35" style="179" customWidth="1"/>
    <col min="9730" max="9730" width="20.33203125" style="179" customWidth="1"/>
    <col min="9731" max="9731" width="12.44140625" style="179" bestFit="1" customWidth="1"/>
    <col min="9732" max="9732" width="16.109375" style="179" bestFit="1" customWidth="1"/>
    <col min="9733" max="9733" width="12.6640625" style="179" bestFit="1" customWidth="1"/>
    <col min="9734" max="9734" width="17.6640625" style="179" bestFit="1" customWidth="1"/>
    <col min="9735" max="9735" width="12.6640625" style="179" bestFit="1" customWidth="1"/>
    <col min="9736" max="9736" width="17.6640625" style="179" bestFit="1" customWidth="1"/>
    <col min="9737" max="9737" width="12.6640625" style="179" bestFit="1" customWidth="1"/>
    <col min="9738" max="9738" width="16.109375" style="179" bestFit="1" customWidth="1"/>
    <col min="9739" max="9739" width="16.109375" style="179" customWidth="1"/>
    <col min="9740" max="9740" width="17.109375" style="179" customWidth="1"/>
    <col min="9741" max="9984" width="11.44140625" style="179"/>
    <col min="9985" max="9985" width="35" style="179" customWidth="1"/>
    <col min="9986" max="9986" width="20.33203125" style="179" customWidth="1"/>
    <col min="9987" max="9987" width="12.44140625" style="179" bestFit="1" customWidth="1"/>
    <col min="9988" max="9988" width="16.109375" style="179" bestFit="1" customWidth="1"/>
    <col min="9989" max="9989" width="12.6640625" style="179" bestFit="1" customWidth="1"/>
    <col min="9990" max="9990" width="17.6640625" style="179" bestFit="1" customWidth="1"/>
    <col min="9991" max="9991" width="12.6640625" style="179" bestFit="1" customWidth="1"/>
    <col min="9992" max="9992" width="17.6640625" style="179" bestFit="1" customWidth="1"/>
    <col min="9993" max="9993" width="12.6640625" style="179" bestFit="1" customWidth="1"/>
    <col min="9994" max="9994" width="16.109375" style="179" bestFit="1" customWidth="1"/>
    <col min="9995" max="9995" width="16.109375" style="179" customWidth="1"/>
    <col min="9996" max="9996" width="17.109375" style="179" customWidth="1"/>
    <col min="9997" max="10240" width="11.44140625" style="179"/>
    <col min="10241" max="10241" width="35" style="179" customWidth="1"/>
    <col min="10242" max="10242" width="20.33203125" style="179" customWidth="1"/>
    <col min="10243" max="10243" width="12.44140625" style="179" bestFit="1" customWidth="1"/>
    <col min="10244" max="10244" width="16.109375" style="179" bestFit="1" customWidth="1"/>
    <col min="10245" max="10245" width="12.6640625" style="179" bestFit="1" customWidth="1"/>
    <col min="10246" max="10246" width="17.6640625" style="179" bestFit="1" customWidth="1"/>
    <col min="10247" max="10247" width="12.6640625" style="179" bestFit="1" customWidth="1"/>
    <col min="10248" max="10248" width="17.6640625" style="179" bestFit="1" customWidth="1"/>
    <col min="10249" max="10249" width="12.6640625" style="179" bestFit="1" customWidth="1"/>
    <col min="10250" max="10250" width="16.109375" style="179" bestFit="1" customWidth="1"/>
    <col min="10251" max="10251" width="16.109375" style="179" customWidth="1"/>
    <col min="10252" max="10252" width="17.109375" style="179" customWidth="1"/>
    <col min="10253" max="10496" width="11.44140625" style="179"/>
    <col min="10497" max="10497" width="35" style="179" customWidth="1"/>
    <col min="10498" max="10498" width="20.33203125" style="179" customWidth="1"/>
    <col min="10499" max="10499" width="12.44140625" style="179" bestFit="1" customWidth="1"/>
    <col min="10500" max="10500" width="16.109375" style="179" bestFit="1" customWidth="1"/>
    <col min="10501" max="10501" width="12.6640625" style="179" bestFit="1" customWidth="1"/>
    <col min="10502" max="10502" width="17.6640625" style="179" bestFit="1" customWidth="1"/>
    <col min="10503" max="10503" width="12.6640625" style="179" bestFit="1" customWidth="1"/>
    <col min="10504" max="10504" width="17.6640625" style="179" bestFit="1" customWidth="1"/>
    <col min="10505" max="10505" width="12.6640625" style="179" bestFit="1" customWidth="1"/>
    <col min="10506" max="10506" width="16.109375" style="179" bestFit="1" customWidth="1"/>
    <col min="10507" max="10507" width="16.109375" style="179" customWidth="1"/>
    <col min="10508" max="10508" width="17.109375" style="179" customWidth="1"/>
    <col min="10509" max="10752" width="11.44140625" style="179"/>
    <col min="10753" max="10753" width="35" style="179" customWidth="1"/>
    <col min="10754" max="10754" width="20.33203125" style="179" customWidth="1"/>
    <col min="10755" max="10755" width="12.44140625" style="179" bestFit="1" customWidth="1"/>
    <col min="10756" max="10756" width="16.109375" style="179" bestFit="1" customWidth="1"/>
    <col min="10757" max="10757" width="12.6640625" style="179" bestFit="1" customWidth="1"/>
    <col min="10758" max="10758" width="17.6640625" style="179" bestFit="1" customWidth="1"/>
    <col min="10759" max="10759" width="12.6640625" style="179" bestFit="1" customWidth="1"/>
    <col min="10760" max="10760" width="17.6640625" style="179" bestFit="1" customWidth="1"/>
    <col min="10761" max="10761" width="12.6640625" style="179" bestFit="1" customWidth="1"/>
    <col min="10762" max="10762" width="16.109375" style="179" bestFit="1" customWidth="1"/>
    <col min="10763" max="10763" width="16.109375" style="179" customWidth="1"/>
    <col min="10764" max="10764" width="17.109375" style="179" customWidth="1"/>
    <col min="10765" max="11008" width="11.44140625" style="179"/>
    <col min="11009" max="11009" width="35" style="179" customWidth="1"/>
    <col min="11010" max="11010" width="20.33203125" style="179" customWidth="1"/>
    <col min="11011" max="11011" width="12.44140625" style="179" bestFit="1" customWidth="1"/>
    <col min="11012" max="11012" width="16.109375" style="179" bestFit="1" customWidth="1"/>
    <col min="11013" max="11013" width="12.6640625" style="179" bestFit="1" customWidth="1"/>
    <col min="11014" max="11014" width="17.6640625" style="179" bestFit="1" customWidth="1"/>
    <col min="11015" max="11015" width="12.6640625" style="179" bestFit="1" customWidth="1"/>
    <col min="11016" max="11016" width="17.6640625" style="179" bestFit="1" customWidth="1"/>
    <col min="11017" max="11017" width="12.6640625" style="179" bestFit="1" customWidth="1"/>
    <col min="11018" max="11018" width="16.109375" style="179" bestFit="1" customWidth="1"/>
    <col min="11019" max="11019" width="16.109375" style="179" customWidth="1"/>
    <col min="11020" max="11020" width="17.109375" style="179" customWidth="1"/>
    <col min="11021" max="11264" width="11.44140625" style="179"/>
    <col min="11265" max="11265" width="35" style="179" customWidth="1"/>
    <col min="11266" max="11266" width="20.33203125" style="179" customWidth="1"/>
    <col min="11267" max="11267" width="12.44140625" style="179" bestFit="1" customWidth="1"/>
    <col min="11268" max="11268" width="16.109375" style="179" bestFit="1" customWidth="1"/>
    <col min="11269" max="11269" width="12.6640625" style="179" bestFit="1" customWidth="1"/>
    <col min="11270" max="11270" width="17.6640625" style="179" bestFit="1" customWidth="1"/>
    <col min="11271" max="11271" width="12.6640625" style="179" bestFit="1" customWidth="1"/>
    <col min="11272" max="11272" width="17.6640625" style="179" bestFit="1" customWidth="1"/>
    <col min="11273" max="11273" width="12.6640625" style="179" bestFit="1" customWidth="1"/>
    <col min="11274" max="11274" width="16.109375" style="179" bestFit="1" customWidth="1"/>
    <col min="11275" max="11275" width="16.109375" style="179" customWidth="1"/>
    <col min="11276" max="11276" width="17.109375" style="179" customWidth="1"/>
    <col min="11277" max="11520" width="11.44140625" style="179"/>
    <col min="11521" max="11521" width="35" style="179" customWidth="1"/>
    <col min="11522" max="11522" width="20.33203125" style="179" customWidth="1"/>
    <col min="11523" max="11523" width="12.44140625" style="179" bestFit="1" customWidth="1"/>
    <col min="11524" max="11524" width="16.109375" style="179" bestFit="1" customWidth="1"/>
    <col min="11525" max="11525" width="12.6640625" style="179" bestFit="1" customWidth="1"/>
    <col min="11526" max="11526" width="17.6640625" style="179" bestFit="1" customWidth="1"/>
    <col min="11527" max="11527" width="12.6640625" style="179" bestFit="1" customWidth="1"/>
    <col min="11528" max="11528" width="17.6640625" style="179" bestFit="1" customWidth="1"/>
    <col min="11529" max="11529" width="12.6640625" style="179" bestFit="1" customWidth="1"/>
    <col min="11530" max="11530" width="16.109375" style="179" bestFit="1" customWidth="1"/>
    <col min="11531" max="11531" width="16.109375" style="179" customWidth="1"/>
    <col min="11532" max="11532" width="17.109375" style="179" customWidth="1"/>
    <col min="11533" max="11776" width="11.44140625" style="179"/>
    <col min="11777" max="11777" width="35" style="179" customWidth="1"/>
    <col min="11778" max="11778" width="20.33203125" style="179" customWidth="1"/>
    <col min="11779" max="11779" width="12.44140625" style="179" bestFit="1" customWidth="1"/>
    <col min="11780" max="11780" width="16.109375" style="179" bestFit="1" customWidth="1"/>
    <col min="11781" max="11781" width="12.6640625" style="179" bestFit="1" customWidth="1"/>
    <col min="11782" max="11782" width="17.6640625" style="179" bestFit="1" customWidth="1"/>
    <col min="11783" max="11783" width="12.6640625" style="179" bestFit="1" customWidth="1"/>
    <col min="11784" max="11784" width="17.6640625" style="179" bestFit="1" customWidth="1"/>
    <col min="11785" max="11785" width="12.6640625" style="179" bestFit="1" customWidth="1"/>
    <col min="11786" max="11786" width="16.109375" style="179" bestFit="1" customWidth="1"/>
    <col min="11787" max="11787" width="16.109375" style="179" customWidth="1"/>
    <col min="11788" max="11788" width="17.109375" style="179" customWidth="1"/>
    <col min="11789" max="12032" width="11.44140625" style="179"/>
    <col min="12033" max="12033" width="35" style="179" customWidth="1"/>
    <col min="12034" max="12034" width="20.33203125" style="179" customWidth="1"/>
    <col min="12035" max="12035" width="12.44140625" style="179" bestFit="1" customWidth="1"/>
    <col min="12036" max="12036" width="16.109375" style="179" bestFit="1" customWidth="1"/>
    <col min="12037" max="12037" width="12.6640625" style="179" bestFit="1" customWidth="1"/>
    <col min="12038" max="12038" width="17.6640625" style="179" bestFit="1" customWidth="1"/>
    <col min="12039" max="12039" width="12.6640625" style="179" bestFit="1" customWidth="1"/>
    <col min="12040" max="12040" width="17.6640625" style="179" bestFit="1" customWidth="1"/>
    <col min="12041" max="12041" width="12.6640625" style="179" bestFit="1" customWidth="1"/>
    <col min="12042" max="12042" width="16.109375" style="179" bestFit="1" customWidth="1"/>
    <col min="12043" max="12043" width="16.109375" style="179" customWidth="1"/>
    <col min="12044" max="12044" width="17.109375" style="179" customWidth="1"/>
    <col min="12045" max="12288" width="11.44140625" style="179"/>
    <col min="12289" max="12289" width="35" style="179" customWidth="1"/>
    <col min="12290" max="12290" width="20.33203125" style="179" customWidth="1"/>
    <col min="12291" max="12291" width="12.44140625" style="179" bestFit="1" customWidth="1"/>
    <col min="12292" max="12292" width="16.109375" style="179" bestFit="1" customWidth="1"/>
    <col min="12293" max="12293" width="12.6640625" style="179" bestFit="1" customWidth="1"/>
    <col min="12294" max="12294" width="17.6640625" style="179" bestFit="1" customWidth="1"/>
    <col min="12295" max="12295" width="12.6640625" style="179" bestFit="1" customWidth="1"/>
    <col min="12296" max="12296" width="17.6640625" style="179" bestFit="1" customWidth="1"/>
    <col min="12297" max="12297" width="12.6640625" style="179" bestFit="1" customWidth="1"/>
    <col min="12298" max="12298" width="16.109375" style="179" bestFit="1" customWidth="1"/>
    <col min="12299" max="12299" width="16.109375" style="179" customWidth="1"/>
    <col min="12300" max="12300" width="17.109375" style="179" customWidth="1"/>
    <col min="12301" max="12544" width="11.44140625" style="179"/>
    <col min="12545" max="12545" width="35" style="179" customWidth="1"/>
    <col min="12546" max="12546" width="20.33203125" style="179" customWidth="1"/>
    <col min="12547" max="12547" width="12.44140625" style="179" bestFit="1" customWidth="1"/>
    <col min="12548" max="12548" width="16.109375" style="179" bestFit="1" customWidth="1"/>
    <col min="12549" max="12549" width="12.6640625" style="179" bestFit="1" customWidth="1"/>
    <col min="12550" max="12550" width="17.6640625" style="179" bestFit="1" customWidth="1"/>
    <col min="12551" max="12551" width="12.6640625" style="179" bestFit="1" customWidth="1"/>
    <col min="12552" max="12552" width="17.6640625" style="179" bestFit="1" customWidth="1"/>
    <col min="12553" max="12553" width="12.6640625" style="179" bestFit="1" customWidth="1"/>
    <col min="12554" max="12554" width="16.109375" style="179" bestFit="1" customWidth="1"/>
    <col min="12555" max="12555" width="16.109375" style="179" customWidth="1"/>
    <col min="12556" max="12556" width="17.109375" style="179" customWidth="1"/>
    <col min="12557" max="12800" width="11.44140625" style="179"/>
    <col min="12801" max="12801" width="35" style="179" customWidth="1"/>
    <col min="12802" max="12802" width="20.33203125" style="179" customWidth="1"/>
    <col min="12803" max="12803" width="12.44140625" style="179" bestFit="1" customWidth="1"/>
    <col min="12804" max="12804" width="16.109375" style="179" bestFit="1" customWidth="1"/>
    <col min="12805" max="12805" width="12.6640625" style="179" bestFit="1" customWidth="1"/>
    <col min="12806" max="12806" width="17.6640625" style="179" bestFit="1" customWidth="1"/>
    <col min="12807" max="12807" width="12.6640625" style="179" bestFit="1" customWidth="1"/>
    <col min="12808" max="12808" width="17.6640625" style="179" bestFit="1" customWidth="1"/>
    <col min="12809" max="12809" width="12.6640625" style="179" bestFit="1" customWidth="1"/>
    <col min="12810" max="12810" width="16.109375" style="179" bestFit="1" customWidth="1"/>
    <col min="12811" max="12811" width="16.109375" style="179" customWidth="1"/>
    <col min="12812" max="12812" width="17.109375" style="179" customWidth="1"/>
    <col min="12813" max="13056" width="11.44140625" style="179"/>
    <col min="13057" max="13057" width="35" style="179" customWidth="1"/>
    <col min="13058" max="13058" width="20.33203125" style="179" customWidth="1"/>
    <col min="13059" max="13059" width="12.44140625" style="179" bestFit="1" customWidth="1"/>
    <col min="13060" max="13060" width="16.109375" style="179" bestFit="1" customWidth="1"/>
    <col min="13061" max="13061" width="12.6640625" style="179" bestFit="1" customWidth="1"/>
    <col min="13062" max="13062" width="17.6640625" style="179" bestFit="1" customWidth="1"/>
    <col min="13063" max="13063" width="12.6640625" style="179" bestFit="1" customWidth="1"/>
    <col min="13064" max="13064" width="17.6640625" style="179" bestFit="1" customWidth="1"/>
    <col min="13065" max="13065" width="12.6640625" style="179" bestFit="1" customWidth="1"/>
    <col min="13066" max="13066" width="16.109375" style="179" bestFit="1" customWidth="1"/>
    <col min="13067" max="13067" width="16.109375" style="179" customWidth="1"/>
    <col min="13068" max="13068" width="17.109375" style="179" customWidth="1"/>
    <col min="13069" max="13312" width="11.44140625" style="179"/>
    <col min="13313" max="13313" width="35" style="179" customWidth="1"/>
    <col min="13314" max="13314" width="20.33203125" style="179" customWidth="1"/>
    <col min="13315" max="13315" width="12.44140625" style="179" bestFit="1" customWidth="1"/>
    <col min="13316" max="13316" width="16.109375" style="179" bestFit="1" customWidth="1"/>
    <col min="13317" max="13317" width="12.6640625" style="179" bestFit="1" customWidth="1"/>
    <col min="13318" max="13318" width="17.6640625" style="179" bestFit="1" customWidth="1"/>
    <col min="13319" max="13319" width="12.6640625" style="179" bestFit="1" customWidth="1"/>
    <col min="13320" max="13320" width="17.6640625" style="179" bestFit="1" customWidth="1"/>
    <col min="13321" max="13321" width="12.6640625" style="179" bestFit="1" customWidth="1"/>
    <col min="13322" max="13322" width="16.109375" style="179" bestFit="1" customWidth="1"/>
    <col min="13323" max="13323" width="16.109375" style="179" customWidth="1"/>
    <col min="13324" max="13324" width="17.109375" style="179" customWidth="1"/>
    <col min="13325" max="13568" width="11.44140625" style="179"/>
    <col min="13569" max="13569" width="35" style="179" customWidth="1"/>
    <col min="13570" max="13570" width="20.33203125" style="179" customWidth="1"/>
    <col min="13571" max="13571" width="12.44140625" style="179" bestFit="1" customWidth="1"/>
    <col min="13572" max="13572" width="16.109375" style="179" bestFit="1" customWidth="1"/>
    <col min="13573" max="13573" width="12.6640625" style="179" bestFit="1" customWidth="1"/>
    <col min="13574" max="13574" width="17.6640625" style="179" bestFit="1" customWidth="1"/>
    <col min="13575" max="13575" width="12.6640625" style="179" bestFit="1" customWidth="1"/>
    <col min="13576" max="13576" width="17.6640625" style="179" bestFit="1" customWidth="1"/>
    <col min="13577" max="13577" width="12.6640625" style="179" bestFit="1" customWidth="1"/>
    <col min="13578" max="13578" width="16.109375" style="179" bestFit="1" customWidth="1"/>
    <col min="13579" max="13579" width="16.109375" style="179" customWidth="1"/>
    <col min="13580" max="13580" width="17.109375" style="179" customWidth="1"/>
    <col min="13581" max="13824" width="11.44140625" style="179"/>
    <col min="13825" max="13825" width="35" style="179" customWidth="1"/>
    <col min="13826" max="13826" width="20.33203125" style="179" customWidth="1"/>
    <col min="13827" max="13827" width="12.44140625" style="179" bestFit="1" customWidth="1"/>
    <col min="13828" max="13828" width="16.109375" style="179" bestFit="1" customWidth="1"/>
    <col min="13829" max="13829" width="12.6640625" style="179" bestFit="1" customWidth="1"/>
    <col min="13830" max="13830" width="17.6640625" style="179" bestFit="1" customWidth="1"/>
    <col min="13831" max="13831" width="12.6640625" style="179" bestFit="1" customWidth="1"/>
    <col min="13832" max="13832" width="17.6640625" style="179" bestFit="1" customWidth="1"/>
    <col min="13833" max="13833" width="12.6640625" style="179" bestFit="1" customWidth="1"/>
    <col min="13834" max="13834" width="16.109375" style="179" bestFit="1" customWidth="1"/>
    <col min="13835" max="13835" width="16.109375" style="179" customWidth="1"/>
    <col min="13836" max="13836" width="17.109375" style="179" customWidth="1"/>
    <col min="13837" max="14080" width="11.44140625" style="179"/>
    <col min="14081" max="14081" width="35" style="179" customWidth="1"/>
    <col min="14082" max="14082" width="20.33203125" style="179" customWidth="1"/>
    <col min="14083" max="14083" width="12.44140625" style="179" bestFit="1" customWidth="1"/>
    <col min="14084" max="14084" width="16.109375" style="179" bestFit="1" customWidth="1"/>
    <col min="14085" max="14085" width="12.6640625" style="179" bestFit="1" customWidth="1"/>
    <col min="14086" max="14086" width="17.6640625" style="179" bestFit="1" customWidth="1"/>
    <col min="14087" max="14087" width="12.6640625" style="179" bestFit="1" customWidth="1"/>
    <col min="14088" max="14088" width="17.6640625" style="179" bestFit="1" customWidth="1"/>
    <col min="14089" max="14089" width="12.6640625" style="179" bestFit="1" customWidth="1"/>
    <col min="14090" max="14090" width="16.109375" style="179" bestFit="1" customWidth="1"/>
    <col min="14091" max="14091" width="16.109375" style="179" customWidth="1"/>
    <col min="14092" max="14092" width="17.109375" style="179" customWidth="1"/>
    <col min="14093" max="14336" width="11.44140625" style="179"/>
    <col min="14337" max="14337" width="35" style="179" customWidth="1"/>
    <col min="14338" max="14338" width="20.33203125" style="179" customWidth="1"/>
    <col min="14339" max="14339" width="12.44140625" style="179" bestFit="1" customWidth="1"/>
    <col min="14340" max="14340" width="16.109375" style="179" bestFit="1" customWidth="1"/>
    <col min="14341" max="14341" width="12.6640625" style="179" bestFit="1" customWidth="1"/>
    <col min="14342" max="14342" width="17.6640625" style="179" bestFit="1" customWidth="1"/>
    <col min="14343" max="14343" width="12.6640625" style="179" bestFit="1" customWidth="1"/>
    <col min="14344" max="14344" width="17.6640625" style="179" bestFit="1" customWidth="1"/>
    <col min="14345" max="14345" width="12.6640625" style="179" bestFit="1" customWidth="1"/>
    <col min="14346" max="14346" width="16.109375" style="179" bestFit="1" customWidth="1"/>
    <col min="14347" max="14347" width="16.109375" style="179" customWidth="1"/>
    <col min="14348" max="14348" width="17.109375" style="179" customWidth="1"/>
    <col min="14349" max="14592" width="11.44140625" style="179"/>
    <col min="14593" max="14593" width="35" style="179" customWidth="1"/>
    <col min="14594" max="14594" width="20.33203125" style="179" customWidth="1"/>
    <col min="14595" max="14595" width="12.44140625" style="179" bestFit="1" customWidth="1"/>
    <col min="14596" max="14596" width="16.109375" style="179" bestFit="1" customWidth="1"/>
    <col min="14597" max="14597" width="12.6640625" style="179" bestFit="1" customWidth="1"/>
    <col min="14598" max="14598" width="17.6640625" style="179" bestFit="1" customWidth="1"/>
    <col min="14599" max="14599" width="12.6640625" style="179" bestFit="1" customWidth="1"/>
    <col min="14600" max="14600" width="17.6640625" style="179" bestFit="1" customWidth="1"/>
    <col min="14601" max="14601" width="12.6640625" style="179" bestFit="1" customWidth="1"/>
    <col min="14602" max="14602" width="16.109375" style="179" bestFit="1" customWidth="1"/>
    <col min="14603" max="14603" width="16.109375" style="179" customWidth="1"/>
    <col min="14604" max="14604" width="17.109375" style="179" customWidth="1"/>
    <col min="14605" max="14848" width="11.44140625" style="179"/>
    <col min="14849" max="14849" width="35" style="179" customWidth="1"/>
    <col min="14850" max="14850" width="20.33203125" style="179" customWidth="1"/>
    <col min="14851" max="14851" width="12.44140625" style="179" bestFit="1" customWidth="1"/>
    <col min="14852" max="14852" width="16.109375" style="179" bestFit="1" customWidth="1"/>
    <col min="14853" max="14853" width="12.6640625" style="179" bestFit="1" customWidth="1"/>
    <col min="14854" max="14854" width="17.6640625" style="179" bestFit="1" customWidth="1"/>
    <col min="14855" max="14855" width="12.6640625" style="179" bestFit="1" customWidth="1"/>
    <col min="14856" max="14856" width="17.6640625" style="179" bestFit="1" customWidth="1"/>
    <col min="14857" max="14857" width="12.6640625" style="179" bestFit="1" customWidth="1"/>
    <col min="14858" max="14858" width="16.109375" style="179" bestFit="1" customWidth="1"/>
    <col min="14859" max="14859" width="16.109375" style="179" customWidth="1"/>
    <col min="14860" max="14860" width="17.109375" style="179" customWidth="1"/>
    <col min="14861" max="15104" width="11.44140625" style="179"/>
    <col min="15105" max="15105" width="35" style="179" customWidth="1"/>
    <col min="15106" max="15106" width="20.33203125" style="179" customWidth="1"/>
    <col min="15107" max="15107" width="12.44140625" style="179" bestFit="1" customWidth="1"/>
    <col min="15108" max="15108" width="16.109375" style="179" bestFit="1" customWidth="1"/>
    <col min="15109" max="15109" width="12.6640625" style="179" bestFit="1" customWidth="1"/>
    <col min="15110" max="15110" width="17.6640625" style="179" bestFit="1" customWidth="1"/>
    <col min="15111" max="15111" width="12.6640625" style="179" bestFit="1" customWidth="1"/>
    <col min="15112" max="15112" width="17.6640625" style="179" bestFit="1" customWidth="1"/>
    <col min="15113" max="15113" width="12.6640625" style="179" bestFit="1" customWidth="1"/>
    <col min="15114" max="15114" width="16.109375" style="179" bestFit="1" customWidth="1"/>
    <col min="15115" max="15115" width="16.109375" style="179" customWidth="1"/>
    <col min="15116" max="15116" width="17.109375" style="179" customWidth="1"/>
    <col min="15117" max="15360" width="11.44140625" style="179"/>
    <col min="15361" max="15361" width="35" style="179" customWidth="1"/>
    <col min="15362" max="15362" width="20.33203125" style="179" customWidth="1"/>
    <col min="15363" max="15363" width="12.44140625" style="179" bestFit="1" customWidth="1"/>
    <col min="15364" max="15364" width="16.109375" style="179" bestFit="1" customWidth="1"/>
    <col min="15365" max="15365" width="12.6640625" style="179" bestFit="1" customWidth="1"/>
    <col min="15366" max="15366" width="17.6640625" style="179" bestFit="1" customWidth="1"/>
    <col min="15367" max="15367" width="12.6640625" style="179" bestFit="1" customWidth="1"/>
    <col min="15368" max="15368" width="17.6640625" style="179" bestFit="1" customWidth="1"/>
    <col min="15369" max="15369" width="12.6640625" style="179" bestFit="1" customWidth="1"/>
    <col min="15370" max="15370" width="16.109375" style="179" bestFit="1" customWidth="1"/>
    <col min="15371" max="15371" width="16.109375" style="179" customWidth="1"/>
    <col min="15372" max="15372" width="17.109375" style="179" customWidth="1"/>
    <col min="15373" max="15616" width="11.44140625" style="179"/>
    <col min="15617" max="15617" width="35" style="179" customWidth="1"/>
    <col min="15618" max="15618" width="20.33203125" style="179" customWidth="1"/>
    <col min="15619" max="15619" width="12.44140625" style="179" bestFit="1" customWidth="1"/>
    <col min="15620" max="15620" width="16.109375" style="179" bestFit="1" customWidth="1"/>
    <col min="15621" max="15621" width="12.6640625" style="179" bestFit="1" customWidth="1"/>
    <col min="15622" max="15622" width="17.6640625" style="179" bestFit="1" customWidth="1"/>
    <col min="15623" max="15623" width="12.6640625" style="179" bestFit="1" customWidth="1"/>
    <col min="15624" max="15624" width="17.6640625" style="179" bestFit="1" customWidth="1"/>
    <col min="15625" max="15625" width="12.6640625" style="179" bestFit="1" customWidth="1"/>
    <col min="15626" max="15626" width="16.109375" style="179" bestFit="1" customWidth="1"/>
    <col min="15627" max="15627" width="16.109375" style="179" customWidth="1"/>
    <col min="15628" max="15628" width="17.109375" style="179" customWidth="1"/>
    <col min="15629" max="15872" width="11.44140625" style="179"/>
    <col min="15873" max="15873" width="35" style="179" customWidth="1"/>
    <col min="15874" max="15874" width="20.33203125" style="179" customWidth="1"/>
    <col min="15875" max="15875" width="12.44140625" style="179" bestFit="1" customWidth="1"/>
    <col min="15876" max="15876" width="16.109375" style="179" bestFit="1" customWidth="1"/>
    <col min="15877" max="15877" width="12.6640625" style="179" bestFit="1" customWidth="1"/>
    <col min="15878" max="15878" width="17.6640625" style="179" bestFit="1" customWidth="1"/>
    <col min="15879" max="15879" width="12.6640625" style="179" bestFit="1" customWidth="1"/>
    <col min="15880" max="15880" width="17.6640625" style="179" bestFit="1" customWidth="1"/>
    <col min="15881" max="15881" width="12.6640625" style="179" bestFit="1" customWidth="1"/>
    <col min="15882" max="15882" width="16.109375" style="179" bestFit="1" customWidth="1"/>
    <col min="15883" max="15883" width="16.109375" style="179" customWidth="1"/>
    <col min="15884" max="15884" width="17.109375" style="179" customWidth="1"/>
    <col min="15885" max="16128" width="11.44140625" style="179"/>
    <col min="16129" max="16129" width="35" style="179" customWidth="1"/>
    <col min="16130" max="16130" width="20.33203125" style="179" customWidth="1"/>
    <col min="16131" max="16131" width="12.44140625" style="179" bestFit="1" customWidth="1"/>
    <col min="16132" max="16132" width="16.109375" style="179" bestFit="1" customWidth="1"/>
    <col min="16133" max="16133" width="12.6640625" style="179" bestFit="1" customWidth="1"/>
    <col min="16134" max="16134" width="17.6640625" style="179" bestFit="1" customWidth="1"/>
    <col min="16135" max="16135" width="12.6640625" style="179" bestFit="1" customWidth="1"/>
    <col min="16136" max="16136" width="17.6640625" style="179" bestFit="1" customWidth="1"/>
    <col min="16137" max="16137" width="12.6640625" style="179" bestFit="1" customWidth="1"/>
    <col min="16138" max="16138" width="16.109375" style="179" bestFit="1" customWidth="1"/>
    <col min="16139" max="16139" width="16.109375" style="179" customWidth="1"/>
    <col min="16140" max="16140" width="17.109375" style="179" customWidth="1"/>
    <col min="16141" max="16384" width="11.44140625" style="179"/>
  </cols>
  <sheetData>
    <row r="1" spans="1:12">
      <c r="A1" s="178"/>
      <c r="B1" s="178"/>
      <c r="C1" s="178"/>
      <c r="D1" s="178"/>
      <c r="E1" s="178"/>
      <c r="F1" s="178"/>
      <c r="G1" s="178"/>
      <c r="H1" s="178"/>
      <c r="I1" s="178"/>
      <c r="J1" s="178"/>
    </row>
    <row r="2" spans="1:12" ht="17.399999999999999">
      <c r="A2" s="1159" t="s">
        <v>2795</v>
      </c>
      <c r="B2" s="1159"/>
      <c r="C2" s="1159"/>
      <c r="D2" s="1159"/>
      <c r="E2" s="1159"/>
      <c r="F2" s="1159"/>
      <c r="G2" s="1159"/>
      <c r="H2" s="1159"/>
      <c r="I2" s="1159"/>
      <c r="J2" s="1159"/>
      <c r="K2" s="1159"/>
    </row>
    <row r="3" spans="1:12" ht="17.399999999999999">
      <c r="A3" s="180"/>
      <c r="B3" s="180"/>
      <c r="C3" s="180"/>
      <c r="D3" s="180"/>
      <c r="E3" s="180"/>
      <c r="F3" s="180"/>
      <c r="G3" s="180"/>
      <c r="H3" s="180"/>
      <c r="I3" s="180"/>
      <c r="J3" s="180"/>
    </row>
    <row r="4" spans="1:12">
      <c r="A4" s="178"/>
      <c r="B4" s="178"/>
      <c r="C4" s="178"/>
      <c r="D4" s="178"/>
      <c r="E4" s="178"/>
      <c r="F4" s="1161" t="s">
        <v>1167</v>
      </c>
      <c r="G4" s="1161"/>
      <c r="H4" s="1161" t="s">
        <v>1168</v>
      </c>
      <c r="I4" s="1161"/>
      <c r="J4" s="1161" t="s">
        <v>1169</v>
      </c>
      <c r="K4" s="1161"/>
      <c r="L4" s="178"/>
    </row>
    <row r="5" spans="1:12">
      <c r="A5" s="1162" t="s">
        <v>1170</v>
      </c>
      <c r="B5" s="1162"/>
      <c r="C5" s="1162"/>
      <c r="D5" s="1163" t="s">
        <v>1171</v>
      </c>
      <c r="E5" s="1163"/>
      <c r="F5" s="1163" t="s">
        <v>1172</v>
      </c>
      <c r="G5" s="1163"/>
      <c r="H5" s="1163" t="s">
        <v>2796</v>
      </c>
      <c r="I5" s="1164"/>
      <c r="J5" s="1163" t="s">
        <v>1173</v>
      </c>
      <c r="K5" s="1164"/>
      <c r="L5" s="181"/>
    </row>
    <row r="6" spans="1:12">
      <c r="A6" s="1162"/>
      <c r="B6" s="1162"/>
      <c r="C6" s="1162"/>
      <c r="D6" s="182" t="s">
        <v>1174</v>
      </c>
      <c r="E6" s="182" t="s">
        <v>1175</v>
      </c>
      <c r="F6" s="182" t="s">
        <v>1174</v>
      </c>
      <c r="G6" s="182" t="s">
        <v>1175</v>
      </c>
      <c r="H6" s="182" t="s">
        <v>1174</v>
      </c>
      <c r="I6" s="183" t="s">
        <v>1175</v>
      </c>
      <c r="J6" s="182" t="s">
        <v>1174</v>
      </c>
      <c r="K6" s="183" t="s">
        <v>1175</v>
      </c>
      <c r="L6" s="184"/>
    </row>
    <row r="7" spans="1:12">
      <c r="A7" s="1162"/>
      <c r="B7" s="1162"/>
      <c r="C7" s="1162"/>
      <c r="D7" s="185"/>
      <c r="E7" s="185"/>
      <c r="F7" s="185"/>
      <c r="G7" s="185"/>
      <c r="H7" s="185"/>
      <c r="I7" s="186"/>
      <c r="J7" s="185"/>
      <c r="K7" s="186"/>
      <c r="L7" s="187"/>
    </row>
    <row r="8" spans="1:12">
      <c r="A8" s="1160" t="s">
        <v>1176</v>
      </c>
      <c r="B8" s="1160"/>
      <c r="C8" s="1160"/>
      <c r="D8" s="188">
        <v>1160000</v>
      </c>
      <c r="E8" s="189" t="s">
        <v>1177</v>
      </c>
      <c r="F8" s="190">
        <f>D8</f>
        <v>1160000</v>
      </c>
      <c r="G8" s="189" t="s">
        <v>1177</v>
      </c>
      <c r="H8" s="190">
        <f>+D8*1.8</f>
        <v>2088000</v>
      </c>
      <c r="I8" s="191" t="s">
        <v>1177</v>
      </c>
      <c r="J8" s="190">
        <v>2000000</v>
      </c>
      <c r="K8" s="191" t="s">
        <v>1177</v>
      </c>
      <c r="L8" s="192"/>
    </row>
    <row r="9" spans="1:12">
      <c r="A9" s="1160" t="s">
        <v>1178</v>
      </c>
      <c r="B9" s="1160"/>
      <c r="C9" s="1160"/>
      <c r="D9" s="188">
        <v>140606</v>
      </c>
      <c r="E9" s="189" t="s">
        <v>1179</v>
      </c>
      <c r="F9" s="190">
        <f>+D9</f>
        <v>140606</v>
      </c>
      <c r="G9" s="189" t="s">
        <v>1179</v>
      </c>
      <c r="H9" s="190">
        <f>+D9</f>
        <v>140606</v>
      </c>
      <c r="I9" s="191" t="s">
        <v>1179</v>
      </c>
      <c r="J9" s="190">
        <f>+F9</f>
        <v>140606</v>
      </c>
      <c r="K9" s="191" t="s">
        <v>1179</v>
      </c>
      <c r="L9" s="192"/>
    </row>
    <row r="10" spans="1:12">
      <c r="A10" s="1160" t="s">
        <v>1180</v>
      </c>
      <c r="B10" s="1160"/>
      <c r="C10" s="1160"/>
      <c r="D10" s="190">
        <f>SUM(D8:D9)</f>
        <v>1300606</v>
      </c>
      <c r="E10" s="189" t="s">
        <v>1181</v>
      </c>
      <c r="F10" s="190">
        <f>SUM(F8:F9)</f>
        <v>1300606</v>
      </c>
      <c r="G10" s="189" t="s">
        <v>1181</v>
      </c>
      <c r="H10" s="190">
        <f>SUM(H8:H9)</f>
        <v>2228606</v>
      </c>
      <c r="I10" s="191" t="s">
        <v>1181</v>
      </c>
      <c r="J10" s="190">
        <f>SUM(J8:J9)</f>
        <v>2140606</v>
      </c>
      <c r="K10" s="191" t="s">
        <v>1181</v>
      </c>
      <c r="L10" s="192"/>
    </row>
    <row r="11" spans="1:12">
      <c r="A11" s="1160" t="s">
        <v>1182</v>
      </c>
      <c r="B11" s="1160"/>
      <c r="C11" s="1160"/>
      <c r="D11" s="190">
        <f>ROUND(+D8/30*360,0)</f>
        <v>13920000</v>
      </c>
      <c r="E11" s="189" t="s">
        <v>1183</v>
      </c>
      <c r="F11" s="190">
        <f>ROUND(+F8/30*360,0)</f>
        <v>13920000</v>
      </c>
      <c r="G11" s="189" t="s">
        <v>1183</v>
      </c>
      <c r="H11" s="190">
        <f>ROUND(+H8/30*360,0)</f>
        <v>25056000</v>
      </c>
      <c r="I11" s="191" t="s">
        <v>1183</v>
      </c>
      <c r="J11" s="190">
        <f>ROUND(+J8/30*360,0)</f>
        <v>24000000</v>
      </c>
      <c r="K11" s="191" t="s">
        <v>1183</v>
      </c>
      <c r="L11" s="192"/>
    </row>
    <row r="12" spans="1:12">
      <c r="A12" s="1160" t="s">
        <v>1184</v>
      </c>
      <c r="B12" s="1160"/>
      <c r="C12" s="1160"/>
      <c r="D12" s="190">
        <f>+D11+D9*12</f>
        <v>15607272</v>
      </c>
      <c r="E12" s="189" t="s">
        <v>1185</v>
      </c>
      <c r="F12" s="190">
        <f>+F11+F9*12</f>
        <v>15607272</v>
      </c>
      <c r="G12" s="189" t="s">
        <v>1185</v>
      </c>
      <c r="H12" s="190">
        <f>+H11+H9*12</f>
        <v>26743272</v>
      </c>
      <c r="I12" s="191" t="s">
        <v>1185</v>
      </c>
      <c r="J12" s="190">
        <f>+J11+J9*12</f>
        <v>25687272</v>
      </c>
      <c r="K12" s="191" t="s">
        <v>1185</v>
      </c>
      <c r="L12" s="192"/>
    </row>
    <row r="13" spans="1:12">
      <c r="A13" s="1160" t="s">
        <v>1186</v>
      </c>
      <c r="B13" s="1160"/>
      <c r="C13" s="1160"/>
      <c r="D13" s="190">
        <f>+(D9/30*(365-18-3-15))</f>
        <v>1541979.1333333333</v>
      </c>
      <c r="E13" s="189"/>
      <c r="F13" s="190">
        <f>+D13</f>
        <v>1541979.1333333333</v>
      </c>
      <c r="G13" s="185"/>
      <c r="H13" s="190">
        <f>+F13</f>
        <v>1541979.1333333333</v>
      </c>
      <c r="I13" s="186"/>
      <c r="J13" s="190">
        <f>+H13</f>
        <v>1541979.1333333333</v>
      </c>
      <c r="K13" s="186"/>
      <c r="L13" s="192"/>
    </row>
    <row r="14" spans="1:12">
      <c r="A14" s="193"/>
      <c r="B14" s="194"/>
      <c r="C14" s="194"/>
      <c r="D14" s="194"/>
      <c r="E14" s="194"/>
      <c r="F14" s="194"/>
      <c r="G14" s="194"/>
      <c r="H14" s="194"/>
      <c r="I14" s="194"/>
      <c r="J14" s="194"/>
      <c r="K14" s="194"/>
      <c r="L14" s="178"/>
    </row>
    <row r="15" spans="1:12">
      <c r="A15" s="195"/>
      <c r="B15" s="196"/>
      <c r="C15" s="196"/>
      <c r="D15" s="196"/>
      <c r="E15" s="196"/>
      <c r="F15" s="196"/>
      <c r="G15" s="196"/>
      <c r="H15" s="196"/>
      <c r="I15" s="196"/>
      <c r="J15" s="196"/>
      <c r="K15" s="196"/>
      <c r="L15" s="178"/>
    </row>
    <row r="16" spans="1:12">
      <c r="A16" s="197" t="s">
        <v>1187</v>
      </c>
      <c r="B16" s="197" t="s">
        <v>1188</v>
      </c>
      <c r="C16" s="197" t="s">
        <v>1189</v>
      </c>
      <c r="D16" s="197" t="s">
        <v>1190</v>
      </c>
      <c r="E16" s="197" t="s">
        <v>900</v>
      </c>
      <c r="F16" s="197" t="s">
        <v>1190</v>
      </c>
      <c r="G16" s="197" t="s">
        <v>900</v>
      </c>
      <c r="H16" s="197" t="s">
        <v>1190</v>
      </c>
      <c r="I16" s="198" t="s">
        <v>900</v>
      </c>
      <c r="J16" s="197" t="s">
        <v>1190</v>
      </c>
      <c r="K16" s="198" t="s">
        <v>900</v>
      </c>
      <c r="L16" s="199"/>
    </row>
    <row r="17" spans="1:14">
      <c r="A17" s="200" t="s">
        <v>1170</v>
      </c>
      <c r="B17" s="185"/>
      <c r="C17" s="185"/>
      <c r="D17" s="185"/>
      <c r="E17" s="185"/>
      <c r="F17" s="185"/>
      <c r="G17" s="185"/>
      <c r="H17" s="185"/>
      <c r="I17" s="186"/>
      <c r="J17" s="185"/>
      <c r="K17" s="186"/>
      <c r="L17" s="187"/>
    </row>
    <row r="18" spans="1:14">
      <c r="A18" s="185" t="s">
        <v>1191</v>
      </c>
      <c r="B18" s="185"/>
      <c r="C18" s="185"/>
      <c r="D18" s="201">
        <f>+D11</f>
        <v>13920000</v>
      </c>
      <c r="E18" s="202">
        <v>1</v>
      </c>
      <c r="F18" s="201">
        <f>+F11</f>
        <v>13920000</v>
      </c>
      <c r="G18" s="202">
        <v>1</v>
      </c>
      <c r="H18" s="201">
        <f>+H11</f>
        <v>25056000</v>
      </c>
      <c r="I18" s="203">
        <v>1</v>
      </c>
      <c r="J18" s="201">
        <f>+J11</f>
        <v>24000000</v>
      </c>
      <c r="K18" s="203">
        <v>1</v>
      </c>
      <c r="L18" s="204"/>
    </row>
    <row r="19" spans="1:14">
      <c r="A19" s="185" t="s">
        <v>1192</v>
      </c>
      <c r="B19" s="185"/>
      <c r="C19" s="185"/>
      <c r="D19" s="201">
        <f>+$D$9*12</f>
        <v>1687272</v>
      </c>
      <c r="E19" s="205">
        <f>+D19/D18</f>
        <v>0.12121206896551724</v>
      </c>
      <c r="F19" s="201">
        <f>+$D$9*12</f>
        <v>1687272</v>
      </c>
      <c r="G19" s="205">
        <f>+F19/$F$18</f>
        <v>0.12121206896551724</v>
      </c>
      <c r="H19" s="201">
        <f>+$D$9*12</f>
        <v>1687272</v>
      </c>
      <c r="I19" s="206">
        <f>+H19/$H$18</f>
        <v>6.7340038314176245E-2</v>
      </c>
      <c r="J19" s="201">
        <f>+$D$9*12</f>
        <v>1687272</v>
      </c>
      <c r="K19" s="206">
        <f>+J19/$H$18</f>
        <v>6.7340038314176245E-2</v>
      </c>
      <c r="L19" s="204"/>
    </row>
    <row r="20" spans="1:14">
      <c r="A20" s="200" t="s">
        <v>22</v>
      </c>
      <c r="B20" s="185"/>
      <c r="C20" s="185"/>
      <c r="D20" s="185"/>
      <c r="E20" s="205"/>
      <c r="F20" s="185"/>
      <c r="G20" s="205"/>
      <c r="H20" s="185"/>
      <c r="I20" s="206"/>
      <c r="J20" s="185"/>
      <c r="K20" s="206"/>
      <c r="L20" s="187"/>
    </row>
    <row r="21" spans="1:14">
      <c r="A21" s="185" t="s">
        <v>1193</v>
      </c>
      <c r="B21" s="185" t="s">
        <v>1185</v>
      </c>
      <c r="C21" s="185" t="s">
        <v>1194</v>
      </c>
      <c r="D21" s="190">
        <f>ROUND(+D12*36/365,0)</f>
        <v>1539347</v>
      </c>
      <c r="E21" s="205">
        <f>D21/$D$18</f>
        <v>0.11058527298850575</v>
      </c>
      <c r="F21" s="190">
        <f>ROUND(+F12*36/365,0)</f>
        <v>1539347</v>
      </c>
      <c r="G21" s="205">
        <f t="shared" ref="G21:G38" si="0">+F21/$F$18</f>
        <v>0.11058527298850575</v>
      </c>
      <c r="H21" s="190">
        <f>ROUND(+H12*36/365,0)</f>
        <v>2637693</v>
      </c>
      <c r="I21" s="206">
        <f t="shared" ref="I21:I38" si="1">+H21/$H$18</f>
        <v>0.10527191091954023</v>
      </c>
      <c r="J21" s="190">
        <f>ROUND(+J12*36/365,0)</f>
        <v>2533539</v>
      </c>
      <c r="K21" s="206">
        <f>+J21/$J$18</f>
        <v>0.10556412499999999</v>
      </c>
      <c r="L21" s="192"/>
    </row>
    <row r="22" spans="1:14" ht="13.8">
      <c r="A22" s="185" t="s">
        <v>1195</v>
      </c>
      <c r="B22" s="185" t="s">
        <v>1196</v>
      </c>
      <c r="C22" s="207">
        <v>0.12</v>
      </c>
      <c r="D22" s="190">
        <f>ROUND(+D21*$C$22,0)</f>
        <v>184722</v>
      </c>
      <c r="E22" s="205">
        <f t="shared" ref="E22:E38" si="2">D22/$D$18</f>
        <v>1.3270258620689656E-2</v>
      </c>
      <c r="F22" s="190">
        <f>ROUND(+F21*$C$22,0)</f>
        <v>184722</v>
      </c>
      <c r="G22" s="205">
        <f t="shared" si="0"/>
        <v>1.3270258620689656E-2</v>
      </c>
      <c r="H22" s="190">
        <f>ROUND(+H21*$C$22,0)</f>
        <v>316523</v>
      </c>
      <c r="I22" s="206">
        <f t="shared" si="1"/>
        <v>1.2632622924648786E-2</v>
      </c>
      <c r="J22" s="190">
        <f>ROUND(+J21*$C$22,0)</f>
        <v>304025</v>
      </c>
      <c r="K22" s="206">
        <f>+J22/$J$18</f>
        <v>1.2667708333333333E-2</v>
      </c>
      <c r="L22" s="192"/>
    </row>
    <row r="23" spans="1:14" ht="13.8">
      <c r="A23" s="185" t="s">
        <v>1197</v>
      </c>
      <c r="B23" s="185" t="s">
        <v>1177</v>
      </c>
      <c r="C23" s="207">
        <v>0.5</v>
      </c>
      <c r="D23" s="190">
        <f>ROUND(+D8*C23,0)</f>
        <v>580000</v>
      </c>
      <c r="E23" s="205">
        <f t="shared" si="2"/>
        <v>4.1666666666666664E-2</v>
      </c>
      <c r="F23" s="190">
        <f>+F8*$C$23</f>
        <v>580000</v>
      </c>
      <c r="G23" s="205">
        <f t="shared" si="0"/>
        <v>4.1666666666666664E-2</v>
      </c>
      <c r="H23" s="190">
        <f>+H8*$C$23</f>
        <v>1044000</v>
      </c>
      <c r="I23" s="206">
        <f t="shared" si="1"/>
        <v>4.1666666666666664E-2</v>
      </c>
      <c r="J23" s="190">
        <f>+J8*$C$23</f>
        <v>1000000</v>
      </c>
      <c r="K23" s="206">
        <f>+J23/$J$18</f>
        <v>4.1666666666666664E-2</v>
      </c>
      <c r="L23" s="192"/>
    </row>
    <row r="24" spans="1:14" ht="13.8">
      <c r="A24" s="185" t="s">
        <v>1198</v>
      </c>
      <c r="B24" s="185" t="s">
        <v>1181</v>
      </c>
      <c r="C24" s="207">
        <v>1</v>
      </c>
      <c r="D24" s="190">
        <f>ROUND(+D10*$C$24,0)</f>
        <v>1300606</v>
      </c>
      <c r="E24" s="205">
        <f t="shared" si="2"/>
        <v>9.3434339080459769E-2</v>
      </c>
      <c r="F24" s="190">
        <f>+F10*$C$24</f>
        <v>1300606</v>
      </c>
      <c r="G24" s="205">
        <f t="shared" si="0"/>
        <v>9.3434339080459769E-2</v>
      </c>
      <c r="H24" s="190">
        <f>+H10*$C$24</f>
        <v>2228606</v>
      </c>
      <c r="I24" s="206">
        <f t="shared" si="1"/>
        <v>8.8945003192848024E-2</v>
      </c>
      <c r="J24" s="190">
        <f>+J10*$C$24</f>
        <v>2140606</v>
      </c>
      <c r="K24" s="206">
        <f>+J24/$J$18</f>
        <v>8.9191916666666662E-2</v>
      </c>
      <c r="L24" s="192"/>
    </row>
    <row r="25" spans="1:14">
      <c r="A25" s="200" t="s">
        <v>1199</v>
      </c>
      <c r="B25" s="185"/>
      <c r="C25" s="185"/>
      <c r="D25" s="185"/>
      <c r="E25" s="205"/>
      <c r="F25" s="185"/>
      <c r="G25" s="205"/>
      <c r="H25" s="185"/>
      <c r="I25" s="206"/>
      <c r="J25" s="185"/>
      <c r="K25" s="206"/>
      <c r="L25" s="187"/>
    </row>
    <row r="26" spans="1:14" ht="13.8">
      <c r="A26" s="185" t="s">
        <v>1200</v>
      </c>
      <c r="B26" s="208">
        <f>N32</f>
        <v>153300</v>
      </c>
      <c r="C26" s="185">
        <v>3</v>
      </c>
      <c r="D26" s="190">
        <f>+ROUND($C$26*$B$26,0)</f>
        <v>459900</v>
      </c>
      <c r="E26" s="205">
        <f t="shared" si="2"/>
        <v>3.3038793103448275E-2</v>
      </c>
      <c r="F26" s="190">
        <f>+ROUND($C$26*$B$26,0)</f>
        <v>459900</v>
      </c>
      <c r="G26" s="205">
        <f t="shared" si="0"/>
        <v>3.3038793103448275E-2</v>
      </c>
      <c r="H26" s="190">
        <f>+ROUND($C$26*$B$26,0)</f>
        <v>459900</v>
      </c>
      <c r="I26" s="206">
        <f t="shared" si="1"/>
        <v>1.8354885057471265E-2</v>
      </c>
      <c r="J26" s="190">
        <f>+ROUND($C$26*$B$26,0)</f>
        <v>459900</v>
      </c>
      <c r="K26" s="206">
        <f>+J26/$J$18</f>
        <v>1.9162499999999999E-2</v>
      </c>
      <c r="L26" s="192"/>
    </row>
    <row r="27" spans="1:14" ht="13.8">
      <c r="A27" s="185" t="s">
        <v>1201</v>
      </c>
      <c r="B27" s="185" t="s">
        <v>1183</v>
      </c>
      <c r="C27" s="207">
        <v>5.0000000000000001E-3</v>
      </c>
      <c r="D27" s="190">
        <f>+ROUND($D$11*C27,0)</f>
        <v>69600</v>
      </c>
      <c r="E27" s="205">
        <f t="shared" si="2"/>
        <v>5.0000000000000001E-3</v>
      </c>
      <c r="F27" s="190">
        <f>+ROUND($F$11*$C$27,0)</f>
        <v>69600</v>
      </c>
      <c r="G27" s="205">
        <f t="shared" si="0"/>
        <v>5.0000000000000001E-3</v>
      </c>
      <c r="H27" s="190">
        <f>+ROUND($H$11*$C$27,0)</f>
        <v>125280</v>
      </c>
      <c r="I27" s="206">
        <f t="shared" si="1"/>
        <v>5.0000000000000001E-3</v>
      </c>
      <c r="J27" s="190">
        <f>+ROUND($H$11*$C$27,0)</f>
        <v>125280</v>
      </c>
      <c r="K27" s="206">
        <f>+J27/$J$18</f>
        <v>5.2199999999999998E-3</v>
      </c>
      <c r="L27" s="192"/>
    </row>
    <row r="28" spans="1:14" ht="13.8">
      <c r="A28" s="185" t="s">
        <v>1202</v>
      </c>
      <c r="B28" s="208">
        <f>N42</f>
        <v>520200</v>
      </c>
      <c r="C28" s="185">
        <v>1</v>
      </c>
      <c r="D28" s="190">
        <f>+ROUND($C$28*$B$28,0)</f>
        <v>520200</v>
      </c>
      <c r="E28" s="205">
        <f>D28/$D$18</f>
        <v>3.7370689655172415E-2</v>
      </c>
      <c r="F28" s="190">
        <f>+ROUND($C$28*$B$28,0)</f>
        <v>520200</v>
      </c>
      <c r="G28" s="205">
        <f>+F28/$F$18</f>
        <v>3.7370689655172415E-2</v>
      </c>
      <c r="H28" s="190">
        <f>+ROUND($C$28*$B$28,0)</f>
        <v>520200</v>
      </c>
      <c r="I28" s="206">
        <f>+H28/$H$18</f>
        <v>2.0761494252873564E-2</v>
      </c>
      <c r="J28" s="190">
        <f>+ROUND($C$28*$B$28,0)</f>
        <v>520200</v>
      </c>
      <c r="K28" s="206">
        <f>+J28/$J$18</f>
        <v>2.1675E-2</v>
      </c>
      <c r="L28" s="192"/>
    </row>
    <row r="29" spans="1:14">
      <c r="A29" s="200" t="s">
        <v>1203</v>
      </c>
      <c r="B29" s="185"/>
      <c r="C29" s="185"/>
      <c r="D29" s="185"/>
      <c r="E29" s="205"/>
      <c r="F29" s="190"/>
      <c r="G29" s="205"/>
      <c r="H29" s="185"/>
      <c r="I29" s="206"/>
      <c r="J29" s="185"/>
      <c r="K29" s="206"/>
      <c r="L29" s="187"/>
      <c r="M29" s="1157" t="s">
        <v>1204</v>
      </c>
      <c r="N29" s="1158"/>
    </row>
    <row r="30" spans="1:14" ht="13.8">
      <c r="A30" s="185" t="s">
        <v>1205</v>
      </c>
      <c r="B30" s="185" t="s">
        <v>1183</v>
      </c>
      <c r="C30" s="207">
        <v>0.16</v>
      </c>
      <c r="D30" s="190">
        <f>+ROUND($D$11*C30,0)</f>
        <v>2227200</v>
      </c>
      <c r="E30" s="205">
        <f t="shared" si="2"/>
        <v>0.16</v>
      </c>
      <c r="F30" s="190">
        <f>ROUND(+$F$11*C30,0)</f>
        <v>2227200</v>
      </c>
      <c r="G30" s="205">
        <f t="shared" si="0"/>
        <v>0.16</v>
      </c>
      <c r="H30" s="190">
        <f>ROUND(+$H$11*C30,0)</f>
        <v>4008960</v>
      </c>
      <c r="I30" s="206">
        <f t="shared" si="1"/>
        <v>0.16</v>
      </c>
      <c r="J30" s="190">
        <f>ROUND(+$H$11*E30,0)</f>
        <v>4008960</v>
      </c>
      <c r="K30" s="206">
        <f>+J30/$J$18</f>
        <v>0.16703999999999999</v>
      </c>
      <c r="L30" s="192"/>
      <c r="M30" s="209" t="s">
        <v>1206</v>
      </c>
      <c r="N30" s="210">
        <v>75000</v>
      </c>
    </row>
    <row r="31" spans="1:14" ht="13.8">
      <c r="A31" s="185" t="s">
        <v>1207</v>
      </c>
      <c r="B31" s="185" t="s">
        <v>1183</v>
      </c>
      <c r="C31" s="207">
        <v>0.125</v>
      </c>
      <c r="D31" s="190">
        <f>+D18*C31</f>
        <v>1740000</v>
      </c>
      <c r="E31" s="205">
        <v>0.125</v>
      </c>
      <c r="F31" s="190">
        <f>+F18*$C$31</f>
        <v>1740000</v>
      </c>
      <c r="G31" s="205">
        <v>0.125</v>
      </c>
      <c r="H31" s="190">
        <f>+H18*$C$31</f>
        <v>3132000</v>
      </c>
      <c r="I31" s="205">
        <v>0.125</v>
      </c>
      <c r="J31" s="190">
        <f>+J18*$C$31</f>
        <v>3000000</v>
      </c>
      <c r="K31" s="206">
        <f>+J31/$J$18</f>
        <v>0.125</v>
      </c>
      <c r="L31" s="192"/>
      <c r="M31" s="209" t="s">
        <v>1208</v>
      </c>
      <c r="N31" s="210">
        <v>78300</v>
      </c>
    </row>
    <row r="32" spans="1:14" ht="13.8">
      <c r="A32" s="185" t="s">
        <v>1209</v>
      </c>
      <c r="B32" s="185" t="s">
        <v>1183</v>
      </c>
      <c r="C32" s="207">
        <v>6.9599999999999995E-2</v>
      </c>
      <c r="D32" s="190">
        <f>+ROUND($D$11*C32,0)</f>
        <v>968832</v>
      </c>
      <c r="E32" s="205">
        <f t="shared" si="2"/>
        <v>6.9599999999999995E-2</v>
      </c>
      <c r="F32" s="190">
        <f>ROUND(+$F$11*C32,0)</f>
        <v>968832</v>
      </c>
      <c r="G32" s="205">
        <f t="shared" si="0"/>
        <v>6.9599999999999995E-2</v>
      </c>
      <c r="H32" s="190">
        <f>ROUND(+$H$11*C32,0)</f>
        <v>1743898</v>
      </c>
      <c r="I32" s="206">
        <f t="shared" si="1"/>
        <v>6.9600015964240106E-2</v>
      </c>
      <c r="J32" s="190">
        <f>ROUND(+$J$11*E32,0)</f>
        <v>1670400</v>
      </c>
      <c r="K32" s="206">
        <f>+J32/$J$18</f>
        <v>6.9599999999999995E-2</v>
      </c>
      <c r="L32" s="192"/>
      <c r="M32" s="211"/>
      <c r="N32" s="212">
        <f>SUM(N30:N31)</f>
        <v>153300</v>
      </c>
    </row>
    <row r="33" spans="1:16">
      <c r="A33" s="200" t="s">
        <v>1210</v>
      </c>
      <c r="B33" s="185"/>
      <c r="C33" s="185"/>
      <c r="D33" s="185"/>
      <c r="E33" s="205"/>
      <c r="F33" s="190"/>
      <c r="G33" s="205"/>
      <c r="H33" s="190"/>
      <c r="I33" s="206"/>
      <c r="J33" s="190"/>
      <c r="K33" s="206"/>
      <c r="L33" s="187"/>
    </row>
    <row r="34" spans="1:16" ht="13.8">
      <c r="A34" s="185" t="s">
        <v>1211</v>
      </c>
      <c r="B34" s="185" t="s">
        <v>1183</v>
      </c>
      <c r="C34" s="207"/>
      <c r="D34" s="190">
        <f>+ROUND($D$11*C34,0)</f>
        <v>0</v>
      </c>
      <c r="E34" s="205">
        <f t="shared" si="2"/>
        <v>0</v>
      </c>
      <c r="F34" s="190">
        <f>ROUND(+$F$11*C34,0)</f>
        <v>0</v>
      </c>
      <c r="G34" s="205">
        <f t="shared" si="0"/>
        <v>0</v>
      </c>
      <c r="H34" s="190">
        <f>ROUND(+$H$11*C34,0)</f>
        <v>0</v>
      </c>
      <c r="I34" s="206">
        <f t="shared" si="1"/>
        <v>0</v>
      </c>
      <c r="J34" s="190">
        <f>ROUND(+$H$11*E34,0)</f>
        <v>0</v>
      </c>
      <c r="K34" s="206">
        <f>+J34/$H$18</f>
        <v>0</v>
      </c>
      <c r="L34" s="192"/>
    </row>
    <row r="35" spans="1:16" ht="13.8">
      <c r="A35" s="185" t="s">
        <v>1212</v>
      </c>
      <c r="B35" s="185"/>
      <c r="C35" s="207"/>
      <c r="D35" s="190">
        <f>+$D$8/40*12</f>
        <v>348000</v>
      </c>
      <c r="E35" s="205">
        <f t="shared" si="2"/>
        <v>2.5000000000000001E-2</v>
      </c>
      <c r="F35" s="190">
        <f>+$D$8/40*12</f>
        <v>348000</v>
      </c>
      <c r="G35" s="205">
        <f t="shared" si="0"/>
        <v>2.5000000000000001E-2</v>
      </c>
      <c r="H35" s="190">
        <f>+$D$8/40*12</f>
        <v>348000</v>
      </c>
      <c r="I35" s="206">
        <f t="shared" si="1"/>
        <v>1.3888888888888888E-2</v>
      </c>
      <c r="J35" s="190">
        <f>+$D$8/40*12</f>
        <v>348000</v>
      </c>
      <c r="K35" s="206">
        <f>+J35/$H$18</f>
        <v>1.3888888888888888E-2</v>
      </c>
      <c r="L35" s="192"/>
      <c r="M35" s="213" t="s">
        <v>1202</v>
      </c>
      <c r="N35" s="214"/>
    </row>
    <row r="36" spans="1:16" ht="13.8">
      <c r="A36" s="200" t="s">
        <v>1213</v>
      </c>
      <c r="B36" s="185"/>
      <c r="C36" s="185"/>
      <c r="D36" s="185"/>
      <c r="E36" s="205"/>
      <c r="F36" s="190"/>
      <c r="G36" s="205"/>
      <c r="H36" s="185"/>
      <c r="I36" s="206"/>
      <c r="J36" s="185"/>
      <c r="K36" s="206"/>
      <c r="L36" s="187"/>
      <c r="M36" s="209" t="s">
        <v>1214</v>
      </c>
      <c r="N36" s="210">
        <v>33900</v>
      </c>
    </row>
    <row r="37" spans="1:16" ht="13.8">
      <c r="A37" s="185" t="s">
        <v>1215</v>
      </c>
      <c r="B37" s="185" t="s">
        <v>1183</v>
      </c>
      <c r="C37" s="207">
        <v>0.03</v>
      </c>
      <c r="D37" s="190">
        <f>+ROUND($D$11*C37,0)</f>
        <v>417600</v>
      </c>
      <c r="E37" s="205">
        <f t="shared" si="2"/>
        <v>0.03</v>
      </c>
      <c r="F37" s="190">
        <f>ROUND(+$F$11*C37,0)</f>
        <v>417600</v>
      </c>
      <c r="G37" s="205">
        <f t="shared" si="0"/>
        <v>0.03</v>
      </c>
      <c r="H37" s="190">
        <f>ROUND(+$H$11*C37,0)</f>
        <v>751680</v>
      </c>
      <c r="I37" s="206">
        <f t="shared" si="1"/>
        <v>0.03</v>
      </c>
      <c r="J37" s="190">
        <f>ROUND(+$H$11*E37,0)</f>
        <v>751680</v>
      </c>
      <c r="K37" s="206">
        <f>+J37/$H$18</f>
        <v>0.03</v>
      </c>
      <c r="L37" s="192"/>
      <c r="M37" s="209" t="s">
        <v>1216</v>
      </c>
      <c r="N37" s="210">
        <v>38600</v>
      </c>
    </row>
    <row r="38" spans="1:16" ht="13.8">
      <c r="A38" s="185" t="s">
        <v>1217</v>
      </c>
      <c r="B38" s="185" t="s">
        <v>1183</v>
      </c>
      <c r="C38" s="207">
        <v>0.04</v>
      </c>
      <c r="D38" s="190">
        <f>+ROUND($D$11*C38,0)</f>
        <v>556800</v>
      </c>
      <c r="E38" s="205">
        <f t="shared" si="2"/>
        <v>0.04</v>
      </c>
      <c r="F38" s="190">
        <f>ROUND(+$F$11*C38,0)</f>
        <v>556800</v>
      </c>
      <c r="G38" s="205">
        <f t="shared" si="0"/>
        <v>0.04</v>
      </c>
      <c r="H38" s="190">
        <f>ROUND(+$H$11*C38,0)</f>
        <v>1002240</v>
      </c>
      <c r="I38" s="206">
        <f t="shared" si="1"/>
        <v>0.04</v>
      </c>
      <c r="J38" s="190">
        <f>ROUND(+$H$11*E38,0)</f>
        <v>1002240</v>
      </c>
      <c r="K38" s="206">
        <f>+J38/$H$18</f>
        <v>0.04</v>
      </c>
      <c r="L38" s="192"/>
      <c r="M38" s="209" t="s">
        <v>1218</v>
      </c>
      <c r="N38" s="210">
        <v>22000</v>
      </c>
    </row>
    <row r="39" spans="1:16" ht="13.8">
      <c r="A39" s="200" t="s">
        <v>1219</v>
      </c>
      <c r="B39" s="185"/>
      <c r="C39" s="185"/>
      <c r="D39" s="201">
        <f t="shared" ref="D39:K39" si="3">SUM(D18:D38)</f>
        <v>26520079</v>
      </c>
      <c r="E39" s="205">
        <f t="shared" si="3"/>
        <v>1.9051780890804595</v>
      </c>
      <c r="F39" s="201">
        <f t="shared" si="3"/>
        <v>26520079</v>
      </c>
      <c r="G39" s="205">
        <f t="shared" si="3"/>
        <v>1.9051780890804595</v>
      </c>
      <c r="H39" s="201">
        <f t="shared" si="3"/>
        <v>45062252</v>
      </c>
      <c r="I39" s="205">
        <f t="shared" si="3"/>
        <v>1.7984615261813535</v>
      </c>
      <c r="J39" s="201">
        <f t="shared" si="3"/>
        <v>43552102</v>
      </c>
      <c r="K39" s="205">
        <f t="shared" si="3"/>
        <v>1.8080168438697315</v>
      </c>
      <c r="L39" s="204"/>
      <c r="M39" s="209" t="s">
        <v>1220</v>
      </c>
      <c r="N39" s="210">
        <v>57700</v>
      </c>
    </row>
    <row r="40" spans="1:16" ht="13.8">
      <c r="A40" s="178"/>
      <c r="B40" s="178"/>
      <c r="C40" s="178"/>
      <c r="D40" s="178"/>
      <c r="E40" s="178"/>
      <c r="F40" s="178"/>
      <c r="G40" s="178"/>
      <c r="H40" s="178"/>
      <c r="I40" s="178"/>
      <c r="J40" s="178"/>
      <c r="K40" s="178"/>
      <c r="L40" s="178"/>
      <c r="M40" s="209" t="s">
        <v>1221</v>
      </c>
      <c r="N40" s="210">
        <v>302000</v>
      </c>
    </row>
    <row r="41" spans="1:16" ht="13.8">
      <c r="A41" s="178" t="s">
        <v>1222</v>
      </c>
      <c r="B41" s="178"/>
      <c r="C41" s="178"/>
      <c r="D41" s="215">
        <f>ROUND(+D39/12,0)</f>
        <v>2210007</v>
      </c>
      <c r="E41" s="178"/>
      <c r="F41" s="216">
        <f>ROUND(+F39/12,0)</f>
        <v>2210007</v>
      </c>
      <c r="G41" s="217"/>
      <c r="H41" s="216">
        <f>ROUND(+H39/12,0)</f>
        <v>3755188</v>
      </c>
      <c r="I41" s="178"/>
      <c r="J41" s="216">
        <f>ROUND(+J39/12,0)</f>
        <v>3629342</v>
      </c>
      <c r="K41" s="178"/>
      <c r="L41" s="218"/>
      <c r="M41" s="209" t="s">
        <v>1223</v>
      </c>
      <c r="N41" s="210">
        <v>66000</v>
      </c>
    </row>
    <row r="42" spans="1:16">
      <c r="A42" s="178"/>
      <c r="B42" s="178"/>
      <c r="C42" s="178"/>
      <c r="D42" s="178"/>
      <c r="E42" s="178"/>
      <c r="F42" s="217"/>
      <c r="G42" s="217"/>
      <c r="H42" s="217"/>
      <c r="I42" s="178"/>
      <c r="J42" s="217"/>
      <c r="K42" s="178"/>
      <c r="L42" s="178"/>
      <c r="M42" s="211"/>
      <c r="N42" s="212">
        <f>SUM(N36:N41)</f>
        <v>520200</v>
      </c>
    </row>
    <row r="43" spans="1:16" ht="13.8">
      <c r="A43" s="178" t="s">
        <v>1224</v>
      </c>
      <c r="B43" s="178"/>
      <c r="C43" s="178"/>
      <c r="D43" s="215">
        <f>+ROUND(D41/30,0)</f>
        <v>73667</v>
      </c>
      <c r="E43" s="178"/>
      <c r="F43" s="216">
        <f>+ROUND(F41/30,0)</f>
        <v>73667</v>
      </c>
      <c r="G43" s="217"/>
      <c r="H43" s="216">
        <f>+ROUND(H41/30,0)</f>
        <v>125173</v>
      </c>
      <c r="I43" s="178"/>
      <c r="J43" s="216">
        <f>+ROUND(J41/30,0)</f>
        <v>120978</v>
      </c>
    </row>
    <row r="44" spans="1:16">
      <c r="A44" s="178"/>
      <c r="B44" s="178"/>
      <c r="C44" s="178"/>
      <c r="D44" s="178"/>
      <c r="E44" s="178"/>
      <c r="F44" s="217"/>
      <c r="G44" s="217"/>
      <c r="H44" s="217"/>
      <c r="I44" s="178"/>
      <c r="J44" s="217"/>
    </row>
    <row r="45" spans="1:16">
      <c r="A45" s="219" t="s">
        <v>2742</v>
      </c>
      <c r="B45" s="220">
        <v>8</v>
      </c>
      <c r="C45" s="217"/>
      <c r="D45" s="216">
        <f>+ROUND(D43/B45,0)</f>
        <v>9208</v>
      </c>
      <c r="E45" s="217"/>
      <c r="F45" s="623">
        <f>+ROUND(F43/B45,0)</f>
        <v>9208</v>
      </c>
      <c r="G45" s="217"/>
      <c r="H45" s="623">
        <f>+ROUND(H43/B45,0)</f>
        <v>15647</v>
      </c>
      <c r="I45" s="178"/>
      <c r="J45" s="623">
        <f>+ROUND(J43/B45,0)</f>
        <v>15122</v>
      </c>
    </row>
    <row r="46" spans="1:16" ht="13.8" thickBot="1">
      <c r="A46" s="178"/>
      <c r="B46" s="178"/>
      <c r="C46" s="178"/>
      <c r="D46" s="178" t="s">
        <v>1225</v>
      </c>
      <c r="E46" s="178"/>
      <c r="F46" s="178" t="s">
        <v>1226</v>
      </c>
      <c r="G46" s="178"/>
      <c r="H46" s="178" t="s">
        <v>1227</v>
      </c>
      <c r="I46" s="178"/>
      <c r="J46" s="178" t="s">
        <v>1228</v>
      </c>
    </row>
    <row r="47" spans="1:16" ht="34.799999999999997" thickBot="1">
      <c r="A47" s="221" t="s">
        <v>1229</v>
      </c>
      <c r="B47" s="221" t="s">
        <v>1168</v>
      </c>
      <c r="C47" s="222" t="s">
        <v>1167</v>
      </c>
      <c r="D47" s="223" t="s">
        <v>1294</v>
      </c>
      <c r="E47" s="224"/>
      <c r="F47" s="223" t="s">
        <v>1295</v>
      </c>
      <c r="G47" s="224"/>
      <c r="H47" s="223" t="s">
        <v>1230</v>
      </c>
      <c r="I47" s="224"/>
      <c r="J47" s="223" t="s">
        <v>1231</v>
      </c>
      <c r="L47" s="225" t="s">
        <v>1232</v>
      </c>
      <c r="N47" s="223" t="s">
        <v>1233</v>
      </c>
      <c r="P47" s="223" t="s">
        <v>1233</v>
      </c>
    </row>
    <row r="48" spans="1:16" ht="13.8" thickBot="1">
      <c r="A48" s="226" t="s">
        <v>1234</v>
      </c>
      <c r="B48" s="227">
        <v>0</v>
      </c>
      <c r="C48" s="228">
        <v>1</v>
      </c>
      <c r="D48" s="229">
        <f>+ROUND($B48*$H$45+$C48*$F$45,0)</f>
        <v>9208</v>
      </c>
      <c r="E48" s="178"/>
      <c r="F48" s="230">
        <f>+ROUND(D48*1.1,0)</f>
        <v>10129</v>
      </c>
      <c r="G48" s="178"/>
      <c r="H48" s="230">
        <f t="shared" ref="H48:H55" si="4">+ROUND(D48*1.15,0)</f>
        <v>10589</v>
      </c>
      <c r="I48" s="178"/>
      <c r="J48" s="230">
        <f>+ROUND(D48*1.2,0)</f>
        <v>11050</v>
      </c>
      <c r="L48" s="231">
        <f>+J45+D49*1.2</f>
        <v>37221.199999999997</v>
      </c>
      <c r="N48" s="229">
        <f>+ROUND($B48*$H$45+$C48*$F$45,0)</f>
        <v>9208</v>
      </c>
      <c r="P48" s="229">
        <f>+ROUND($B48*$H$45*1.15+$C48*$F$45,0)</f>
        <v>9208</v>
      </c>
    </row>
    <row r="49" spans="1:22">
      <c r="A49" s="232" t="s">
        <v>1235</v>
      </c>
      <c r="B49" s="233">
        <v>0</v>
      </c>
      <c r="C49" s="234">
        <v>2</v>
      </c>
      <c r="D49" s="235">
        <f>+ROUND(B$48*$H$45+C49*$F$45,0)</f>
        <v>18416</v>
      </c>
      <c r="E49" s="178"/>
      <c r="F49" s="236">
        <f t="shared" ref="F49:F55" si="5">+ROUND(D49*1.1,0)</f>
        <v>20258</v>
      </c>
      <c r="G49" s="178"/>
      <c r="H49" s="236">
        <f t="shared" si="4"/>
        <v>21178</v>
      </c>
      <c r="I49" s="178"/>
      <c r="J49" s="236">
        <f t="shared" ref="J49:J55" si="6">+ROUND(D49*1.2,0)</f>
        <v>22099</v>
      </c>
      <c r="N49" s="236">
        <f>+ROUND($B49*$H$45+$C49*$F$45,0)</f>
        <v>18416</v>
      </c>
      <c r="P49" s="236">
        <f t="shared" ref="P49:P55" si="7">+ROUND($B49*$H$45*1.15+$C49*$F$45,0)</f>
        <v>18416</v>
      </c>
    </row>
    <row r="50" spans="1:22">
      <c r="A50" s="232" t="s">
        <v>1236</v>
      </c>
      <c r="B50" s="233">
        <v>1</v>
      </c>
      <c r="C50" s="234">
        <v>0</v>
      </c>
      <c r="D50" s="235">
        <f t="shared" ref="D50:D55" si="8">+ROUND(B50*$H$45+C50*$F$45,0)</f>
        <v>15647</v>
      </c>
      <c r="E50" s="178"/>
      <c r="F50" s="236">
        <f t="shared" si="5"/>
        <v>17212</v>
      </c>
      <c r="G50" s="178"/>
      <c r="H50" s="236">
        <f t="shared" si="4"/>
        <v>17994</v>
      </c>
      <c r="I50" s="178"/>
      <c r="J50" s="236">
        <f t="shared" si="6"/>
        <v>18776</v>
      </c>
      <c r="N50" s="236">
        <f t="shared" ref="N50:N55" si="9">+ROUND($B50*$H$45+$C50*$F$45,0)</f>
        <v>15647</v>
      </c>
      <c r="P50" s="236">
        <f t="shared" si="7"/>
        <v>17994</v>
      </c>
    </row>
    <row r="51" spans="1:22">
      <c r="A51" s="232" t="s">
        <v>1237</v>
      </c>
      <c r="B51" s="233">
        <v>1</v>
      </c>
      <c r="C51" s="234">
        <v>1</v>
      </c>
      <c r="D51" s="235">
        <f t="shared" si="8"/>
        <v>24855</v>
      </c>
      <c r="E51" s="178"/>
      <c r="F51" s="236">
        <f t="shared" si="5"/>
        <v>27341</v>
      </c>
      <c r="G51" s="178"/>
      <c r="H51" s="236">
        <f t="shared" si="4"/>
        <v>28583</v>
      </c>
      <c r="I51" s="178"/>
      <c r="J51" s="236">
        <f t="shared" si="6"/>
        <v>29826</v>
      </c>
      <c r="N51" s="236">
        <f t="shared" si="9"/>
        <v>24855</v>
      </c>
      <c r="P51" s="236">
        <f t="shared" si="7"/>
        <v>27202</v>
      </c>
    </row>
    <row r="52" spans="1:22">
      <c r="A52" s="232" t="s">
        <v>1238</v>
      </c>
      <c r="B52" s="233">
        <v>1</v>
      </c>
      <c r="C52" s="234">
        <v>2</v>
      </c>
      <c r="D52" s="235">
        <f t="shared" si="8"/>
        <v>34063</v>
      </c>
      <c r="E52" s="178"/>
      <c r="F52" s="236">
        <f t="shared" si="5"/>
        <v>37469</v>
      </c>
      <c r="G52" s="178"/>
      <c r="H52" s="236">
        <f t="shared" si="4"/>
        <v>39172</v>
      </c>
      <c r="I52" s="178"/>
      <c r="J52" s="236">
        <f t="shared" si="6"/>
        <v>40876</v>
      </c>
      <c r="N52" s="236">
        <f t="shared" si="9"/>
        <v>34063</v>
      </c>
      <c r="P52" s="236">
        <f t="shared" si="7"/>
        <v>36410</v>
      </c>
    </row>
    <row r="53" spans="1:22">
      <c r="A53" s="232" t="s">
        <v>1239</v>
      </c>
      <c r="B53" s="233">
        <v>1</v>
      </c>
      <c r="C53" s="234">
        <v>3</v>
      </c>
      <c r="D53" s="235">
        <f t="shared" si="8"/>
        <v>43271</v>
      </c>
      <c r="E53" s="178"/>
      <c r="F53" s="236">
        <f t="shared" si="5"/>
        <v>47598</v>
      </c>
      <c r="G53" s="178"/>
      <c r="H53" s="236">
        <f t="shared" si="4"/>
        <v>49762</v>
      </c>
      <c r="I53" s="178"/>
      <c r="J53" s="236">
        <f t="shared" si="6"/>
        <v>51925</v>
      </c>
      <c r="N53" s="236">
        <f t="shared" si="9"/>
        <v>43271</v>
      </c>
      <c r="P53" s="236">
        <f t="shared" si="7"/>
        <v>45618</v>
      </c>
    </row>
    <row r="54" spans="1:22">
      <c r="A54" s="232" t="s">
        <v>1240</v>
      </c>
      <c r="B54" s="233">
        <v>1</v>
      </c>
      <c r="C54" s="234">
        <v>4</v>
      </c>
      <c r="D54" s="235">
        <f t="shared" si="8"/>
        <v>52479</v>
      </c>
      <c r="E54" s="178"/>
      <c r="F54" s="236">
        <f t="shared" si="5"/>
        <v>57727</v>
      </c>
      <c r="G54" s="178"/>
      <c r="H54" s="236">
        <f t="shared" si="4"/>
        <v>60351</v>
      </c>
      <c r="I54" s="178"/>
      <c r="J54" s="236">
        <f t="shared" si="6"/>
        <v>62975</v>
      </c>
      <c r="N54" s="236">
        <f t="shared" si="9"/>
        <v>52479</v>
      </c>
      <c r="P54" s="236">
        <f t="shared" si="7"/>
        <v>54826</v>
      </c>
    </row>
    <row r="55" spans="1:22" ht="13.8" thickBot="1">
      <c r="A55" s="237" t="s">
        <v>1241</v>
      </c>
      <c r="B55" s="238">
        <v>1</v>
      </c>
      <c r="C55" s="239">
        <v>5</v>
      </c>
      <c r="D55" s="240">
        <f t="shared" si="8"/>
        <v>61687</v>
      </c>
      <c r="E55" s="178"/>
      <c r="F55" s="241">
        <f t="shared" si="5"/>
        <v>67856</v>
      </c>
      <c r="G55" s="178"/>
      <c r="H55" s="241">
        <f t="shared" si="4"/>
        <v>70940</v>
      </c>
      <c r="I55" s="178"/>
      <c r="J55" s="241">
        <f t="shared" si="6"/>
        <v>74024</v>
      </c>
      <c r="N55" s="241">
        <f t="shared" si="9"/>
        <v>61687</v>
      </c>
      <c r="P55" s="241">
        <f t="shared" si="7"/>
        <v>64034</v>
      </c>
      <c r="V55" s="179" t="s">
        <v>1242</v>
      </c>
    </row>
    <row r="56" spans="1:22">
      <c r="A56" s="178"/>
      <c r="B56" s="178"/>
      <c r="C56" s="178"/>
      <c r="D56" s="178"/>
      <c r="E56" s="178"/>
      <c r="F56" s="242"/>
      <c r="G56" s="178"/>
      <c r="H56" s="242"/>
      <c r="I56" s="178"/>
      <c r="J56" s="178"/>
    </row>
    <row r="57" spans="1:22">
      <c r="A57" s="243" t="s">
        <v>1243</v>
      </c>
      <c r="B57" s="243" t="s">
        <v>458</v>
      </c>
      <c r="C57" s="243" t="s">
        <v>1174</v>
      </c>
      <c r="D57" s="178"/>
      <c r="E57" s="178"/>
      <c r="F57" s="242"/>
      <c r="G57" s="178"/>
      <c r="H57" s="242"/>
      <c r="I57" s="178"/>
      <c r="J57" s="178"/>
    </row>
    <row r="58" spans="1:22">
      <c r="A58" s="244" t="s">
        <v>1244</v>
      </c>
      <c r="B58" s="245" t="s">
        <v>1245</v>
      </c>
      <c r="C58" s="246">
        <f>D48</f>
        <v>9208</v>
      </c>
      <c r="D58" s="247"/>
      <c r="E58" s="247"/>
      <c r="F58" s="247"/>
      <c r="G58" s="247"/>
      <c r="H58" s="247"/>
      <c r="I58" s="247"/>
      <c r="J58" s="247"/>
    </row>
    <row r="59" spans="1:22">
      <c r="A59" s="244" t="s">
        <v>1246</v>
      </c>
      <c r="B59" s="245" t="s">
        <v>1245</v>
      </c>
      <c r="C59" s="246">
        <f t="shared" ref="C59:C65" si="10">D49</f>
        <v>18416</v>
      </c>
      <c r="D59" s="247"/>
      <c r="E59" s="247"/>
      <c r="F59" s="247"/>
      <c r="G59" s="247"/>
      <c r="H59" s="247"/>
      <c r="I59" s="247"/>
      <c r="J59" s="247"/>
    </row>
    <row r="60" spans="1:22">
      <c r="A60" s="244" t="s">
        <v>1247</v>
      </c>
      <c r="B60" s="245" t="s">
        <v>1245</v>
      </c>
      <c r="C60" s="246">
        <f t="shared" si="10"/>
        <v>15647</v>
      </c>
      <c r="D60" s="247"/>
      <c r="E60" s="247"/>
      <c r="F60" s="247"/>
      <c r="G60" s="247"/>
      <c r="H60" s="247"/>
      <c r="I60" s="247"/>
      <c r="J60" s="247"/>
    </row>
    <row r="61" spans="1:22">
      <c r="A61" s="244" t="s">
        <v>1248</v>
      </c>
      <c r="B61" s="245" t="s">
        <v>1245</v>
      </c>
      <c r="C61" s="246">
        <f t="shared" si="10"/>
        <v>24855</v>
      </c>
      <c r="D61" s="247"/>
      <c r="E61" s="247"/>
      <c r="F61" s="247"/>
      <c r="G61" s="247"/>
      <c r="H61" s="247"/>
      <c r="I61" s="247"/>
      <c r="J61" s="247"/>
    </row>
    <row r="62" spans="1:22">
      <c r="A62" s="244" t="s">
        <v>1249</v>
      </c>
      <c r="B62" s="245" t="s">
        <v>1245</v>
      </c>
      <c r="C62" s="246">
        <f t="shared" si="10"/>
        <v>34063</v>
      </c>
      <c r="D62" s="247"/>
      <c r="E62" s="247"/>
      <c r="F62" s="247"/>
      <c r="G62" s="247"/>
      <c r="H62" s="247"/>
      <c r="I62" s="247"/>
      <c r="J62" s="247"/>
    </row>
    <row r="63" spans="1:22">
      <c r="A63" s="244" t="s">
        <v>1250</v>
      </c>
      <c r="B63" s="245" t="s">
        <v>1245</v>
      </c>
      <c r="C63" s="246">
        <f t="shared" si="10"/>
        <v>43271</v>
      </c>
      <c r="D63" s="247"/>
      <c r="E63" s="247"/>
      <c r="F63" s="247"/>
      <c r="G63" s="247"/>
      <c r="H63" s="247"/>
      <c r="I63" s="247"/>
      <c r="J63" s="247"/>
    </row>
    <row r="64" spans="1:22">
      <c r="A64" s="244" t="s">
        <v>1251</v>
      </c>
      <c r="B64" s="245" t="s">
        <v>1245</v>
      </c>
      <c r="C64" s="246">
        <f t="shared" si="10"/>
        <v>52479</v>
      </c>
      <c r="D64" s="247"/>
      <c r="E64" s="247"/>
      <c r="F64" s="247"/>
      <c r="G64" s="247"/>
      <c r="H64" s="247"/>
      <c r="I64" s="247"/>
      <c r="J64" s="247"/>
    </row>
    <row r="65" spans="1:10">
      <c r="A65" s="244" t="s">
        <v>1252</v>
      </c>
      <c r="B65" s="245" t="s">
        <v>1245</v>
      </c>
      <c r="C65" s="246">
        <f t="shared" si="10"/>
        <v>61687</v>
      </c>
      <c r="D65" s="247"/>
      <c r="E65" s="247"/>
      <c r="F65" s="247"/>
      <c r="G65" s="247"/>
      <c r="H65" s="247"/>
      <c r="I65" s="247"/>
      <c r="J65" s="247"/>
    </row>
    <row r="66" spans="1:10">
      <c r="A66" s="185" t="s">
        <v>1253</v>
      </c>
      <c r="B66" s="248" t="s">
        <v>1245</v>
      </c>
      <c r="C66" s="201">
        <f>F48</f>
        <v>10129</v>
      </c>
      <c r="D66" s="178"/>
      <c r="E66" s="178"/>
      <c r="F66" s="178"/>
      <c r="G66" s="178"/>
      <c r="H66" s="178"/>
      <c r="I66" s="178"/>
      <c r="J66" s="178"/>
    </row>
    <row r="67" spans="1:10">
      <c r="A67" s="185" t="s">
        <v>1254</v>
      </c>
      <c r="B67" s="248" t="s">
        <v>1245</v>
      </c>
      <c r="C67" s="201">
        <f t="shared" ref="C67:C73" si="11">F49</f>
        <v>20258</v>
      </c>
      <c r="D67" s="178"/>
      <c r="E67" s="178"/>
      <c r="F67" s="178"/>
      <c r="G67" s="178"/>
      <c r="H67" s="178"/>
      <c r="I67" s="178"/>
      <c r="J67" s="178"/>
    </row>
    <row r="68" spans="1:10">
      <c r="A68" s="185" t="s">
        <v>1255</v>
      </c>
      <c r="B68" s="248" t="s">
        <v>1245</v>
      </c>
      <c r="C68" s="201">
        <f t="shared" si="11"/>
        <v>17212</v>
      </c>
      <c r="D68" s="178"/>
      <c r="E68" s="178"/>
      <c r="F68" s="178"/>
      <c r="G68" s="178"/>
      <c r="H68" s="178"/>
      <c r="I68" s="178"/>
      <c r="J68" s="178"/>
    </row>
    <row r="69" spans="1:10">
      <c r="A69" s="185" t="s">
        <v>1256</v>
      </c>
      <c r="B69" s="248" t="s">
        <v>1245</v>
      </c>
      <c r="C69" s="201">
        <f t="shared" si="11"/>
        <v>27341</v>
      </c>
      <c r="D69" s="178"/>
      <c r="E69" s="178"/>
      <c r="F69" s="178"/>
      <c r="G69" s="178"/>
      <c r="H69" s="178"/>
      <c r="I69" s="178"/>
      <c r="J69" s="178"/>
    </row>
    <row r="70" spans="1:10">
      <c r="A70" s="185" t="s">
        <v>1257</v>
      </c>
      <c r="B70" s="248" t="s">
        <v>1245</v>
      </c>
      <c r="C70" s="201">
        <f t="shared" si="11"/>
        <v>37469</v>
      </c>
      <c r="D70" s="178"/>
      <c r="E70" s="178"/>
      <c r="F70" s="178"/>
      <c r="G70" s="178"/>
      <c r="H70" s="178"/>
      <c r="I70" s="178"/>
      <c r="J70" s="178"/>
    </row>
    <row r="71" spans="1:10">
      <c r="A71" s="185" t="s">
        <v>1258</v>
      </c>
      <c r="B71" s="248" t="s">
        <v>1245</v>
      </c>
      <c r="C71" s="201">
        <f t="shared" si="11"/>
        <v>47598</v>
      </c>
      <c r="D71" s="178"/>
      <c r="E71" s="178"/>
      <c r="F71" s="178"/>
      <c r="G71" s="178"/>
      <c r="H71" s="178"/>
      <c r="I71" s="178"/>
      <c r="J71" s="178"/>
    </row>
    <row r="72" spans="1:10">
      <c r="A72" s="185" t="s">
        <v>1259</v>
      </c>
      <c r="B72" s="248" t="s">
        <v>1245</v>
      </c>
      <c r="C72" s="201">
        <f t="shared" si="11"/>
        <v>57727</v>
      </c>
      <c r="D72" s="178"/>
      <c r="E72" s="178"/>
      <c r="F72" s="178"/>
      <c r="G72" s="178"/>
      <c r="H72" s="178"/>
      <c r="I72" s="178"/>
      <c r="J72" s="178"/>
    </row>
    <row r="73" spans="1:10">
      <c r="A73" s="185" t="s">
        <v>1260</v>
      </c>
      <c r="B73" s="248" t="s">
        <v>1245</v>
      </c>
      <c r="C73" s="201">
        <f t="shared" si="11"/>
        <v>67856</v>
      </c>
      <c r="D73" s="178"/>
      <c r="E73" s="178"/>
      <c r="F73" s="178"/>
      <c r="G73" s="178"/>
      <c r="H73" s="178"/>
      <c r="I73" s="178"/>
      <c r="J73" s="178"/>
    </row>
    <row r="74" spans="1:10">
      <c r="A74" s="244" t="s">
        <v>1261</v>
      </c>
      <c r="B74" s="245" t="s">
        <v>1245</v>
      </c>
      <c r="C74" s="246">
        <f>H48</f>
        <v>10589</v>
      </c>
      <c r="D74" s="178"/>
      <c r="E74" s="178"/>
      <c r="F74" s="178"/>
      <c r="G74" s="178"/>
      <c r="H74" s="178"/>
      <c r="I74" s="178"/>
      <c r="J74" s="178"/>
    </row>
    <row r="75" spans="1:10">
      <c r="A75" s="244" t="s">
        <v>1262</v>
      </c>
      <c r="B75" s="245" t="s">
        <v>1245</v>
      </c>
      <c r="C75" s="246">
        <f t="shared" ref="C75:C81" si="12">H49</f>
        <v>21178</v>
      </c>
      <c r="D75" s="178"/>
      <c r="E75" s="178"/>
      <c r="F75" s="178"/>
      <c r="G75" s="178"/>
      <c r="H75" s="178"/>
      <c r="I75" s="178"/>
      <c r="J75" s="178"/>
    </row>
    <row r="76" spans="1:10">
      <c r="A76" s="244" t="s">
        <v>1263</v>
      </c>
      <c r="B76" s="245" t="s">
        <v>1245</v>
      </c>
      <c r="C76" s="246">
        <f t="shared" si="12"/>
        <v>17994</v>
      </c>
      <c r="D76" s="178"/>
      <c r="E76" s="178"/>
      <c r="F76" s="178"/>
      <c r="G76" s="178"/>
      <c r="H76" s="178"/>
      <c r="I76" s="178"/>
      <c r="J76" s="178"/>
    </row>
    <row r="77" spans="1:10">
      <c r="A77" s="244" t="s">
        <v>1264</v>
      </c>
      <c r="B77" s="245" t="s">
        <v>1245</v>
      </c>
      <c r="C77" s="246">
        <f t="shared" si="12"/>
        <v>28583</v>
      </c>
      <c r="D77" s="178"/>
      <c r="E77" s="178"/>
      <c r="F77" s="178"/>
      <c r="G77" s="178"/>
      <c r="H77" s="178"/>
      <c r="I77" s="178"/>
      <c r="J77" s="178"/>
    </row>
    <row r="78" spans="1:10">
      <c r="A78" s="244" t="s">
        <v>1265</v>
      </c>
      <c r="B78" s="245" t="s">
        <v>1245</v>
      </c>
      <c r="C78" s="246">
        <f t="shared" si="12"/>
        <v>39172</v>
      </c>
      <c r="D78" s="178"/>
      <c r="E78" s="178"/>
      <c r="F78" s="178"/>
      <c r="G78" s="178"/>
      <c r="H78" s="178"/>
      <c r="I78" s="178"/>
      <c r="J78" s="178"/>
    </row>
    <row r="79" spans="1:10">
      <c r="A79" s="244" t="s">
        <v>1266</v>
      </c>
      <c r="B79" s="245" t="s">
        <v>1245</v>
      </c>
      <c r="C79" s="246">
        <f t="shared" si="12"/>
        <v>49762</v>
      </c>
      <c r="D79" s="178"/>
      <c r="E79" s="178"/>
      <c r="F79" s="178"/>
      <c r="G79" s="178"/>
      <c r="H79" s="178"/>
      <c r="I79" s="178"/>
      <c r="J79" s="178"/>
    </row>
    <row r="80" spans="1:10">
      <c r="A80" s="244" t="s">
        <v>1267</v>
      </c>
      <c r="B80" s="245" t="s">
        <v>1245</v>
      </c>
      <c r="C80" s="246">
        <f t="shared" si="12"/>
        <v>60351</v>
      </c>
      <c r="D80" s="178"/>
      <c r="E80" s="178"/>
      <c r="F80" s="178"/>
      <c r="G80" s="178"/>
      <c r="H80" s="178"/>
      <c r="I80" s="178"/>
      <c r="J80" s="178"/>
    </row>
    <row r="81" spans="1:10">
      <c r="A81" s="244" t="s">
        <v>1268</v>
      </c>
      <c r="B81" s="245" t="s">
        <v>1245</v>
      </c>
      <c r="C81" s="246">
        <f t="shared" si="12"/>
        <v>70940</v>
      </c>
      <c r="D81" s="178"/>
      <c r="E81" s="178"/>
      <c r="F81" s="178"/>
      <c r="G81" s="178"/>
      <c r="H81" s="178"/>
      <c r="I81" s="178"/>
      <c r="J81" s="178"/>
    </row>
    <row r="82" spans="1:10">
      <c r="A82" s="185" t="s">
        <v>1269</v>
      </c>
      <c r="B82" s="248" t="s">
        <v>1245</v>
      </c>
      <c r="C82" s="201">
        <f>J48</f>
        <v>11050</v>
      </c>
      <c r="D82" s="178"/>
      <c r="E82" s="178"/>
      <c r="F82" s="178"/>
      <c r="G82" s="178"/>
      <c r="H82" s="178"/>
      <c r="I82" s="178"/>
      <c r="J82" s="178"/>
    </row>
    <row r="83" spans="1:10">
      <c r="A83" s="185" t="s">
        <v>1270</v>
      </c>
      <c r="B83" s="248" t="s">
        <v>1245</v>
      </c>
      <c r="C83" s="201">
        <f t="shared" ref="C83:C88" si="13">J49</f>
        <v>22099</v>
      </c>
      <c r="D83" s="178"/>
      <c r="E83" s="178"/>
      <c r="F83" s="178"/>
      <c r="G83" s="178"/>
      <c r="H83" s="178"/>
      <c r="I83" s="178"/>
      <c r="J83" s="178"/>
    </row>
    <row r="84" spans="1:10">
      <c r="A84" s="185" t="s">
        <v>1271</v>
      </c>
      <c r="B84" s="248" t="s">
        <v>1245</v>
      </c>
      <c r="C84" s="201">
        <f t="shared" si="13"/>
        <v>18776</v>
      </c>
      <c r="D84" s="178"/>
      <c r="E84" s="178"/>
      <c r="F84" s="178"/>
      <c r="G84" s="178"/>
      <c r="H84" s="178"/>
      <c r="I84" s="178"/>
      <c r="J84" s="178"/>
    </row>
    <row r="85" spans="1:10">
      <c r="A85" s="185" t="s">
        <v>1272</v>
      </c>
      <c r="B85" s="248" t="s">
        <v>1245</v>
      </c>
      <c r="C85" s="201">
        <f t="shared" si="13"/>
        <v>29826</v>
      </c>
      <c r="D85" s="178"/>
      <c r="E85" s="178"/>
      <c r="F85" s="178"/>
      <c r="G85" s="178"/>
      <c r="H85" s="178"/>
      <c r="I85" s="178"/>
      <c r="J85" s="178"/>
    </row>
    <row r="86" spans="1:10">
      <c r="A86" s="185" t="s">
        <v>1273</v>
      </c>
      <c r="B86" s="248" t="s">
        <v>1245</v>
      </c>
      <c r="C86" s="201">
        <f t="shared" si="13"/>
        <v>40876</v>
      </c>
      <c r="D86" s="178"/>
      <c r="E86" s="178"/>
      <c r="F86" s="178"/>
      <c r="G86" s="178"/>
      <c r="H86" s="178"/>
      <c r="I86" s="178"/>
      <c r="J86" s="178"/>
    </row>
    <row r="87" spans="1:10">
      <c r="A87" s="185" t="s">
        <v>1274</v>
      </c>
      <c r="B87" s="248" t="s">
        <v>1245</v>
      </c>
      <c r="C87" s="201">
        <f t="shared" si="13"/>
        <v>51925</v>
      </c>
      <c r="D87" s="178"/>
      <c r="E87" s="178"/>
      <c r="F87" s="178"/>
      <c r="G87" s="178"/>
      <c r="H87" s="178"/>
      <c r="I87" s="178"/>
      <c r="J87" s="178"/>
    </row>
    <row r="88" spans="1:10">
      <c r="A88" s="185" t="s">
        <v>1275</v>
      </c>
      <c r="B88" s="248" t="s">
        <v>1245</v>
      </c>
      <c r="C88" s="201">
        <f t="shared" si="13"/>
        <v>62975</v>
      </c>
      <c r="D88" s="178"/>
      <c r="E88" s="178"/>
      <c r="F88" s="178"/>
      <c r="G88" s="178"/>
      <c r="H88" s="178"/>
      <c r="I88" s="178"/>
      <c r="J88" s="178"/>
    </row>
    <row r="89" spans="1:10">
      <c r="A89" s="185" t="s">
        <v>1276</v>
      </c>
      <c r="B89" s="248" t="s">
        <v>1245</v>
      </c>
      <c r="C89" s="201">
        <f>J55</f>
        <v>74024</v>
      </c>
      <c r="D89" s="178"/>
      <c r="E89" s="178"/>
      <c r="F89" s="178"/>
      <c r="G89" s="178"/>
      <c r="H89" s="178"/>
      <c r="I89" s="178"/>
      <c r="J89" s="178"/>
    </row>
    <row r="90" spans="1:10">
      <c r="A90" s="249" t="s">
        <v>1277</v>
      </c>
      <c r="B90" s="250" t="s">
        <v>1245</v>
      </c>
      <c r="C90" s="251">
        <f>+L48</f>
        <v>37221.199999999997</v>
      </c>
    </row>
    <row r="91" spans="1:10">
      <c r="A91" s="185" t="s">
        <v>1278</v>
      </c>
      <c r="B91" s="248" t="s">
        <v>1245</v>
      </c>
      <c r="C91" s="201">
        <f>+N48</f>
        <v>9208</v>
      </c>
    </row>
    <row r="92" spans="1:10">
      <c r="A92" s="185" t="s">
        <v>1279</v>
      </c>
      <c r="B92" s="248" t="s">
        <v>1245</v>
      </c>
      <c r="C92" s="201">
        <f t="shared" ref="C92:C98" si="14">+N49</f>
        <v>18416</v>
      </c>
    </row>
    <row r="93" spans="1:10">
      <c r="A93" s="185" t="s">
        <v>1280</v>
      </c>
      <c r="B93" s="248" t="s">
        <v>1245</v>
      </c>
      <c r="C93" s="201">
        <f t="shared" si="14"/>
        <v>15647</v>
      </c>
    </row>
    <row r="94" spans="1:10">
      <c r="A94" s="185" t="s">
        <v>1281</v>
      </c>
      <c r="B94" s="248" t="s">
        <v>1245</v>
      </c>
      <c r="C94" s="201">
        <f t="shared" si="14"/>
        <v>24855</v>
      </c>
    </row>
    <row r="95" spans="1:10">
      <c r="A95" s="185" t="s">
        <v>1282</v>
      </c>
      <c r="B95" s="248" t="s">
        <v>1245</v>
      </c>
      <c r="C95" s="201">
        <f t="shared" si="14"/>
        <v>34063</v>
      </c>
    </row>
    <row r="96" spans="1:10">
      <c r="A96" s="185" t="s">
        <v>1283</v>
      </c>
      <c r="B96" s="248" t="s">
        <v>1245</v>
      </c>
      <c r="C96" s="201">
        <f t="shared" si="14"/>
        <v>43271</v>
      </c>
    </row>
    <row r="97" spans="1:3">
      <c r="A97" s="185" t="s">
        <v>1284</v>
      </c>
      <c r="B97" s="248" t="s">
        <v>1245</v>
      </c>
      <c r="C97" s="201">
        <f t="shared" si="14"/>
        <v>52479</v>
      </c>
    </row>
    <row r="98" spans="1:3">
      <c r="A98" s="185" t="s">
        <v>1285</v>
      </c>
      <c r="B98" s="248" t="s">
        <v>1245</v>
      </c>
      <c r="C98" s="201">
        <f t="shared" si="14"/>
        <v>61687</v>
      </c>
    </row>
    <row r="99" spans="1:3">
      <c r="A99" s="185" t="s">
        <v>1286</v>
      </c>
      <c r="B99" s="248" t="s">
        <v>1245</v>
      </c>
      <c r="C99" s="252">
        <f>+P48</f>
        <v>9208</v>
      </c>
    </row>
    <row r="100" spans="1:3">
      <c r="A100" s="185" t="s">
        <v>1287</v>
      </c>
      <c r="B100" s="248" t="s">
        <v>1245</v>
      </c>
      <c r="C100" s="252">
        <f t="shared" ref="C100:C106" si="15">+P49</f>
        <v>18416</v>
      </c>
    </row>
    <row r="101" spans="1:3">
      <c r="A101" s="185" t="s">
        <v>1288</v>
      </c>
      <c r="B101" s="248" t="s">
        <v>1245</v>
      </c>
      <c r="C101" s="252">
        <f t="shared" si="15"/>
        <v>17994</v>
      </c>
    </row>
    <row r="102" spans="1:3">
      <c r="A102" s="185" t="s">
        <v>1289</v>
      </c>
      <c r="B102" s="248" t="s">
        <v>1245</v>
      </c>
      <c r="C102" s="252">
        <f t="shared" si="15"/>
        <v>27202</v>
      </c>
    </row>
    <row r="103" spans="1:3">
      <c r="A103" s="185" t="s">
        <v>1290</v>
      </c>
      <c r="B103" s="248" t="s">
        <v>1245</v>
      </c>
      <c r="C103" s="252">
        <f t="shared" si="15"/>
        <v>36410</v>
      </c>
    </row>
    <row r="104" spans="1:3">
      <c r="A104" s="185" t="s">
        <v>1291</v>
      </c>
      <c r="B104" s="248" t="s">
        <v>1245</v>
      </c>
      <c r="C104" s="252">
        <f t="shared" si="15"/>
        <v>45618</v>
      </c>
    </row>
    <row r="105" spans="1:3">
      <c r="A105" s="185" t="s">
        <v>1292</v>
      </c>
      <c r="B105" s="248" t="s">
        <v>1245</v>
      </c>
      <c r="C105" s="252">
        <f t="shared" si="15"/>
        <v>54826</v>
      </c>
    </row>
    <row r="106" spans="1:3">
      <c r="A106" s="185" t="s">
        <v>1293</v>
      </c>
      <c r="B106" s="248" t="s">
        <v>1245</v>
      </c>
      <c r="C106" s="252">
        <f t="shared" si="15"/>
        <v>64034</v>
      </c>
    </row>
  </sheetData>
  <mergeCells count="16">
    <mergeCell ref="M29:N29"/>
    <mergeCell ref="A2:K2"/>
    <mergeCell ref="A8:C8"/>
    <mergeCell ref="A9:C9"/>
    <mergeCell ref="A10:C10"/>
    <mergeCell ref="A11:C11"/>
    <mergeCell ref="A12:C12"/>
    <mergeCell ref="A13:C13"/>
    <mergeCell ref="F4:G4"/>
    <mergeCell ref="H4:I4"/>
    <mergeCell ref="J4:K4"/>
    <mergeCell ref="A5:C7"/>
    <mergeCell ref="D5:E5"/>
    <mergeCell ref="F5:G5"/>
    <mergeCell ref="H5:I5"/>
    <mergeCell ref="J5:K5"/>
  </mergeCells>
  <pageMargins left="0.7" right="0.7" top="0.75" bottom="0.75" header="0.3" footer="0.3"/>
  <pageSetup paperSize="9" orientation="portrait" horizontalDpi="0"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XFD996"/>
  <sheetViews>
    <sheetView topLeftCell="A40" workbookViewId="0">
      <selection activeCell="I61" sqref="I61"/>
    </sheetView>
  </sheetViews>
  <sheetFormatPr baseColWidth="10" defaultColWidth="14.44140625" defaultRowHeight="15"/>
  <cols>
    <col min="1" max="1" width="6.6640625" style="484" customWidth="1"/>
    <col min="2" max="2" width="56.109375" style="484" customWidth="1"/>
    <col min="3" max="3" width="10.109375" style="484" customWidth="1"/>
    <col min="4" max="4" width="12.44140625" style="484" customWidth="1"/>
    <col min="5" max="5" width="16.33203125" style="484" bestFit="1" customWidth="1"/>
    <col min="6" max="6" width="18.5546875" style="484" customWidth="1"/>
    <col min="7" max="7" width="16.6640625" style="484" bestFit="1" customWidth="1"/>
    <col min="8" max="8" width="11.88671875" style="484" customWidth="1"/>
    <col min="9" max="9" width="23.44140625" style="484" customWidth="1"/>
    <col min="10" max="10" width="17.6640625" style="484" customWidth="1"/>
    <col min="11" max="11" width="11" style="484" bestFit="1" customWidth="1"/>
    <col min="12" max="12" width="11.44140625" style="484" customWidth="1"/>
    <col min="13" max="13" width="58.44140625" style="484" customWidth="1"/>
    <col min="14" max="18" width="11.44140625" style="484" customWidth="1"/>
    <col min="19" max="19" width="14.109375" style="484" bestFit="1" customWidth="1"/>
    <col min="20" max="29" width="11.44140625" style="484" customWidth="1"/>
    <col min="30" max="16384" width="14.44140625" style="484"/>
  </cols>
  <sheetData>
    <row r="1" spans="1:29" ht="17.25" customHeight="1">
      <c r="A1" s="869" t="s">
        <v>2673</v>
      </c>
      <c r="B1" s="870"/>
      <c r="C1" s="870"/>
      <c r="D1" s="870"/>
      <c r="E1" s="870"/>
      <c r="F1" s="870"/>
      <c r="G1" s="870"/>
      <c r="H1" s="870"/>
      <c r="I1" s="871"/>
      <c r="J1" s="482"/>
      <c r="K1" s="483"/>
      <c r="L1" s="483"/>
      <c r="M1" s="483"/>
      <c r="N1" s="483"/>
      <c r="O1" s="483"/>
      <c r="P1" s="483"/>
      <c r="Q1" s="483"/>
      <c r="R1" s="483"/>
      <c r="S1" s="483"/>
      <c r="T1" s="483"/>
      <c r="U1" s="483"/>
    </row>
    <row r="2" spans="1:29" ht="28.5" customHeight="1">
      <c r="A2" s="872" t="s">
        <v>2382</v>
      </c>
      <c r="B2" s="873"/>
      <c r="C2" s="873"/>
      <c r="D2" s="873"/>
      <c r="E2" s="873"/>
      <c r="F2" s="873"/>
      <c r="G2" s="873"/>
      <c r="H2" s="873"/>
      <c r="I2" s="874"/>
      <c r="J2" s="482"/>
      <c r="K2" s="483"/>
      <c r="L2" s="483"/>
      <c r="M2" s="483"/>
      <c r="N2" s="483"/>
      <c r="O2" s="483"/>
      <c r="P2" s="483"/>
      <c r="Q2" s="483"/>
      <c r="R2" s="483"/>
      <c r="S2" s="483"/>
      <c r="T2" s="483"/>
      <c r="U2" s="483"/>
    </row>
    <row r="3" spans="1:29" ht="15.75" customHeight="1">
      <c r="A3" s="875" t="s">
        <v>2674</v>
      </c>
      <c r="B3" s="876"/>
      <c r="C3" s="876"/>
      <c r="D3" s="876"/>
      <c r="E3" s="876"/>
      <c r="F3" s="876"/>
      <c r="G3" s="876"/>
      <c r="H3" s="876"/>
      <c r="I3" s="877"/>
      <c r="J3" s="485"/>
      <c r="K3" s="486"/>
      <c r="L3" s="486"/>
      <c r="M3" s="486"/>
      <c r="N3" s="486"/>
      <c r="O3" s="486"/>
      <c r="P3" s="486"/>
      <c r="Q3" s="486"/>
      <c r="R3" s="486"/>
      <c r="S3" s="486"/>
      <c r="T3" s="486"/>
      <c r="U3" s="486"/>
    </row>
    <row r="4" spans="1:29" ht="16.5" customHeight="1">
      <c r="A4" s="878"/>
      <c r="B4" s="879"/>
      <c r="C4" s="879"/>
      <c r="D4" s="879"/>
      <c r="E4" s="879"/>
      <c r="F4" s="879"/>
      <c r="G4" s="879"/>
      <c r="H4" s="879"/>
      <c r="I4" s="877"/>
      <c r="J4" s="485"/>
      <c r="K4" s="486"/>
      <c r="L4" s="486"/>
      <c r="M4" s="486"/>
      <c r="N4" s="486"/>
      <c r="O4" s="486"/>
      <c r="P4" s="486"/>
      <c r="Q4" s="486"/>
      <c r="R4" s="486"/>
      <c r="S4" s="486"/>
      <c r="T4" s="486"/>
      <c r="U4" s="486"/>
    </row>
    <row r="5" spans="1:29" ht="12.75" customHeight="1">
      <c r="A5" s="878"/>
      <c r="B5" s="876"/>
      <c r="C5" s="876"/>
      <c r="D5" s="876"/>
      <c r="E5" s="876"/>
      <c r="F5" s="876"/>
      <c r="G5" s="876"/>
      <c r="H5" s="876"/>
      <c r="I5" s="877"/>
      <c r="J5" s="485"/>
      <c r="K5" s="486"/>
      <c r="L5" s="486"/>
      <c r="M5" s="486"/>
      <c r="N5" s="486"/>
      <c r="O5" s="486"/>
      <c r="P5" s="486"/>
      <c r="Q5" s="486"/>
      <c r="R5" s="486"/>
      <c r="S5" s="486"/>
      <c r="T5" s="486"/>
      <c r="U5" s="486"/>
    </row>
    <row r="6" spans="1:29" ht="24" customHeight="1">
      <c r="A6" s="872" t="s">
        <v>2383</v>
      </c>
      <c r="B6" s="873"/>
      <c r="C6" s="873"/>
      <c r="D6" s="873"/>
      <c r="E6" s="873"/>
      <c r="F6" s="873"/>
      <c r="G6" s="873"/>
      <c r="H6" s="873"/>
      <c r="I6" s="874"/>
      <c r="J6" s="485"/>
      <c r="K6" s="486"/>
      <c r="L6" s="483"/>
      <c r="M6" s="483"/>
      <c r="N6" s="483"/>
      <c r="O6" s="483"/>
      <c r="P6" s="483"/>
      <c r="Q6" s="483"/>
      <c r="R6" s="486"/>
      <c r="S6" s="486"/>
      <c r="T6" s="486"/>
      <c r="U6" s="486"/>
    </row>
    <row r="7" spans="1:29" ht="29.25" hidden="1" customHeight="1">
      <c r="A7" s="872" t="s">
        <v>2675</v>
      </c>
      <c r="B7" s="873"/>
      <c r="C7" s="873"/>
      <c r="D7" s="873"/>
      <c r="E7" s="873"/>
      <c r="F7" s="873"/>
      <c r="G7" s="873"/>
      <c r="H7" s="873"/>
      <c r="I7" s="874"/>
      <c r="J7" s="487"/>
      <c r="K7" s="488"/>
      <c r="L7" s="483"/>
      <c r="M7" s="483"/>
      <c r="N7" s="483"/>
      <c r="O7" s="483"/>
      <c r="P7" s="483"/>
      <c r="Q7" s="483"/>
      <c r="R7" s="488"/>
      <c r="S7" s="488"/>
      <c r="T7" s="488"/>
      <c r="U7" s="488"/>
    </row>
    <row r="8" spans="1:29" ht="30.75" customHeight="1">
      <c r="A8" s="880"/>
      <c r="B8" s="881"/>
      <c r="C8" s="881"/>
      <c r="D8" s="881"/>
      <c r="E8" s="881"/>
      <c r="F8" s="881"/>
      <c r="G8" s="881"/>
      <c r="H8" s="881"/>
      <c r="I8" s="882"/>
      <c r="J8" s="482"/>
      <c r="K8" s="483"/>
      <c r="L8" s="483"/>
      <c r="M8" s="483"/>
      <c r="N8" s="483"/>
      <c r="O8" s="483"/>
      <c r="P8" s="483"/>
      <c r="Q8" s="483"/>
      <c r="R8" s="483"/>
      <c r="S8" s="483"/>
      <c r="T8" s="483"/>
      <c r="U8" s="483"/>
    </row>
    <row r="9" spans="1:29" ht="48.75" customHeight="1">
      <c r="A9" s="489" t="s">
        <v>2373</v>
      </c>
      <c r="B9" s="490" t="s">
        <v>2374</v>
      </c>
      <c r="C9" s="490" t="s">
        <v>998</v>
      </c>
      <c r="D9" s="491" t="s">
        <v>2375</v>
      </c>
      <c r="E9" s="492" t="s">
        <v>2676</v>
      </c>
      <c r="F9" s="493" t="s">
        <v>2677</v>
      </c>
      <c r="G9" s="491" t="s">
        <v>2678</v>
      </c>
      <c r="H9" s="491" t="s">
        <v>2679</v>
      </c>
      <c r="I9" s="494" t="s">
        <v>2680</v>
      </c>
      <c r="J9" s="482"/>
      <c r="K9" s="483"/>
      <c r="L9" s="483"/>
      <c r="M9" s="483"/>
      <c r="N9" s="483"/>
      <c r="O9" s="483"/>
      <c r="P9" s="483"/>
      <c r="Q9" s="483"/>
      <c r="R9" s="483"/>
      <c r="S9" s="483"/>
      <c r="T9" s="483"/>
      <c r="U9" s="483"/>
      <c r="V9" s="483"/>
      <c r="W9" s="483"/>
      <c r="X9" s="483"/>
      <c r="Y9" s="483"/>
      <c r="Z9" s="483"/>
      <c r="AA9" s="483"/>
      <c r="AB9" s="483"/>
      <c r="AC9" s="483"/>
    </row>
    <row r="10" spans="1:29" ht="19.5" customHeight="1">
      <c r="A10" s="495">
        <v>1</v>
      </c>
      <c r="B10" s="864" t="s">
        <v>2681</v>
      </c>
      <c r="C10" s="864"/>
      <c r="D10" s="864"/>
      <c r="E10" s="864"/>
      <c r="F10" s="864"/>
      <c r="G10" s="864"/>
      <c r="H10" s="864"/>
      <c r="I10" s="865"/>
      <c r="J10" s="496"/>
      <c r="K10" s="497"/>
      <c r="L10" s="483"/>
      <c r="M10" s="483"/>
      <c r="N10" s="483"/>
      <c r="O10" s="483"/>
      <c r="P10" s="483"/>
      <c r="Q10" s="483"/>
      <c r="R10" s="497"/>
      <c r="S10" s="497"/>
      <c r="T10" s="497"/>
      <c r="U10" s="497"/>
      <c r="V10" s="497"/>
      <c r="W10" s="497"/>
      <c r="X10" s="497"/>
      <c r="Y10" s="497"/>
      <c r="Z10" s="497"/>
      <c r="AA10" s="497"/>
      <c r="AB10" s="497"/>
      <c r="AC10" s="497"/>
    </row>
    <row r="11" spans="1:29" ht="24.75" customHeight="1">
      <c r="A11" s="451">
        <v>1.1000000000000001</v>
      </c>
      <c r="B11" s="716" t="s">
        <v>2682</v>
      </c>
      <c r="C11" s="498" t="s">
        <v>1620</v>
      </c>
      <c r="D11" s="498">
        <v>1</v>
      </c>
      <c r="E11" s="499">
        <v>6500000</v>
      </c>
      <c r="F11" s="500">
        <v>1.58</v>
      </c>
      <c r="G11" s="500">
        <v>0.5</v>
      </c>
      <c r="H11" s="501">
        <v>8</v>
      </c>
      <c r="I11" s="502">
        <f>ROUND(D11*E11*F11*G11*H11,0)</f>
        <v>41080000</v>
      </c>
      <c r="J11" s="482"/>
      <c r="K11" s="483"/>
      <c r="L11" s="483"/>
      <c r="M11" s="483"/>
      <c r="N11" s="483"/>
      <c r="O11" s="483"/>
      <c r="P11" s="483"/>
      <c r="Q11" s="483"/>
      <c r="R11" s="483"/>
      <c r="S11" s="483"/>
      <c r="T11" s="483"/>
      <c r="U11" s="483"/>
      <c r="V11" s="483"/>
      <c r="W11" s="483"/>
      <c r="X11" s="483"/>
      <c r="Y11" s="483"/>
      <c r="Z11" s="483"/>
      <c r="AA11" s="483"/>
      <c r="AB11" s="483"/>
      <c r="AC11" s="483"/>
    </row>
    <row r="12" spans="1:29" ht="29.25" customHeight="1">
      <c r="A12" s="451">
        <v>1.2</v>
      </c>
      <c r="B12" s="716" t="s">
        <v>2685</v>
      </c>
      <c r="C12" s="498" t="s">
        <v>1620</v>
      </c>
      <c r="D12" s="498">
        <v>1</v>
      </c>
      <c r="E12" s="499">
        <v>3500000</v>
      </c>
      <c r="F12" s="500">
        <v>1.58</v>
      </c>
      <c r="G12" s="498">
        <v>1</v>
      </c>
      <c r="H12" s="504">
        <v>8</v>
      </c>
      <c r="I12" s="502">
        <f>ROUND(D12*E12*F12*G12*H12,0)</f>
        <v>44240000</v>
      </c>
      <c r="J12" s="482"/>
      <c r="K12" s="483"/>
      <c r="L12" s="483"/>
      <c r="M12" s="483"/>
      <c r="N12" s="483"/>
      <c r="O12" s="483"/>
      <c r="P12" s="483"/>
      <c r="Q12" s="483"/>
      <c r="R12" s="483"/>
      <c r="S12" s="483"/>
      <c r="T12" s="483"/>
      <c r="U12" s="483"/>
      <c r="V12" s="483"/>
      <c r="W12" s="483"/>
      <c r="X12" s="483"/>
      <c r="Y12" s="483"/>
      <c r="Z12" s="483"/>
      <c r="AA12" s="483"/>
      <c r="AB12" s="483"/>
      <c r="AC12" s="483"/>
    </row>
    <row r="13" spans="1:29" ht="29.25" customHeight="1">
      <c r="A13" s="451">
        <v>1.3</v>
      </c>
      <c r="B13" s="716" t="s">
        <v>2686</v>
      </c>
      <c r="C13" s="498" t="s">
        <v>1620</v>
      </c>
      <c r="D13" s="498">
        <v>1</v>
      </c>
      <c r="E13" s="499">
        <v>2500000</v>
      </c>
      <c r="F13" s="500">
        <v>1.58</v>
      </c>
      <c r="G13" s="498">
        <v>1</v>
      </c>
      <c r="H13" s="504">
        <v>8</v>
      </c>
      <c r="I13" s="502">
        <f>ROUND(D13*E13*F13*G13*H13,0)</f>
        <v>31600000</v>
      </c>
      <c r="J13" s="482"/>
      <c r="K13" s="483"/>
      <c r="L13" s="483"/>
      <c r="M13" s="483"/>
      <c r="N13" s="483"/>
      <c r="O13" s="483"/>
      <c r="P13" s="483"/>
      <c r="Q13" s="483"/>
      <c r="R13" s="483"/>
      <c r="S13" s="483"/>
      <c r="T13" s="483"/>
      <c r="U13" s="483"/>
      <c r="V13" s="483"/>
      <c r="W13" s="483"/>
      <c r="X13" s="483"/>
      <c r="Y13" s="483"/>
      <c r="Z13" s="483"/>
      <c r="AA13" s="483"/>
      <c r="AB13" s="483"/>
      <c r="AC13" s="483"/>
    </row>
    <row r="14" spans="1:29" ht="26.25" customHeight="1">
      <c r="A14" s="495">
        <v>2</v>
      </c>
      <c r="B14" s="864" t="s">
        <v>2684</v>
      </c>
      <c r="C14" s="864"/>
      <c r="D14" s="864"/>
      <c r="E14" s="864"/>
      <c r="F14" s="864"/>
      <c r="G14" s="864"/>
      <c r="H14" s="864"/>
      <c r="I14" s="865"/>
      <c r="J14" s="496"/>
      <c r="K14" s="497"/>
      <c r="L14" s="497"/>
      <c r="M14" s="497"/>
      <c r="N14" s="497"/>
      <c r="O14" s="497"/>
      <c r="P14" s="497"/>
      <c r="Q14" s="497"/>
      <c r="R14" s="497"/>
      <c r="S14" s="497"/>
      <c r="T14" s="497"/>
      <c r="U14" s="497"/>
      <c r="V14" s="497"/>
      <c r="W14" s="497"/>
      <c r="X14" s="497"/>
      <c r="Y14" s="497"/>
      <c r="Z14" s="497"/>
      <c r="AA14" s="497"/>
      <c r="AB14" s="497"/>
      <c r="AC14" s="497"/>
    </row>
    <row r="15" spans="1:29" ht="31.5" customHeight="1">
      <c r="A15" s="451">
        <v>2.1</v>
      </c>
      <c r="B15" s="716" t="s">
        <v>2743</v>
      </c>
      <c r="C15" s="498" t="s">
        <v>1620</v>
      </c>
      <c r="D15" s="498">
        <v>1</v>
      </c>
      <c r="E15" s="499">
        <v>2500000</v>
      </c>
      <c r="F15" s="500">
        <v>1.58</v>
      </c>
      <c r="G15" s="498">
        <v>0.5</v>
      </c>
      <c r="H15" s="504">
        <v>8</v>
      </c>
      <c r="I15" s="502">
        <f>ROUND(D15*E15*F15*G15*H15,0)</f>
        <v>15800000</v>
      </c>
      <c r="J15" s="482"/>
      <c r="K15" s="483"/>
      <c r="L15" s="483"/>
      <c r="M15" s="483"/>
      <c r="N15" s="483"/>
      <c r="O15" s="483"/>
      <c r="P15" s="483"/>
      <c r="Q15" s="483"/>
      <c r="R15" s="483"/>
      <c r="S15" s="483"/>
      <c r="T15" s="483"/>
      <c r="U15" s="483"/>
      <c r="V15" s="483"/>
      <c r="W15" s="483"/>
      <c r="X15" s="483"/>
      <c r="Y15" s="483"/>
      <c r="Z15" s="483"/>
      <c r="AA15" s="483"/>
      <c r="AB15" s="483"/>
      <c r="AC15" s="483"/>
    </row>
    <row r="16" spans="1:29" ht="33" customHeight="1">
      <c r="A16" s="451">
        <v>2.2000000000000002</v>
      </c>
      <c r="B16" s="716" t="s">
        <v>2688</v>
      </c>
      <c r="C16" s="498" t="s">
        <v>1620</v>
      </c>
      <c r="D16" s="498">
        <v>1</v>
      </c>
      <c r="E16" s="499">
        <v>1200000</v>
      </c>
      <c r="F16" s="500">
        <v>1.78</v>
      </c>
      <c r="G16" s="498">
        <v>1</v>
      </c>
      <c r="H16" s="504">
        <v>8</v>
      </c>
      <c r="I16" s="502">
        <f>ROUND(D16*E16*F16*G16*H16,0)</f>
        <v>17088000</v>
      </c>
      <c r="J16" s="482"/>
      <c r="K16" s="483"/>
      <c r="L16" s="483"/>
      <c r="M16" s="483"/>
      <c r="N16" s="483"/>
      <c r="O16" s="483"/>
      <c r="P16" s="483"/>
      <c r="Q16" s="483"/>
      <c r="R16" s="483"/>
      <c r="S16" s="483"/>
      <c r="T16" s="483"/>
      <c r="U16" s="483"/>
      <c r="V16" s="483"/>
      <c r="W16" s="483"/>
      <c r="X16" s="483"/>
      <c r="Y16" s="483"/>
      <c r="Z16" s="483"/>
      <c r="AA16" s="483"/>
      <c r="AB16" s="483"/>
      <c r="AC16" s="483"/>
    </row>
    <row r="17" spans="1:16384" ht="69" customHeight="1">
      <c r="A17" s="451">
        <v>2.2999999999999998</v>
      </c>
      <c r="B17" s="716" t="s">
        <v>2798</v>
      </c>
      <c r="C17" s="498" t="s">
        <v>2683</v>
      </c>
      <c r="D17" s="498">
        <v>1</v>
      </c>
      <c r="E17" s="499">
        <v>2500000</v>
      </c>
      <c r="F17" s="500">
        <v>1.58</v>
      </c>
      <c r="G17" s="498">
        <v>1</v>
      </c>
      <c r="H17" s="504">
        <v>8</v>
      </c>
      <c r="I17" s="502">
        <f>ROUND(D17*E17*H17*G17*F17,0)</f>
        <v>31600000</v>
      </c>
      <c r="J17" s="482"/>
      <c r="K17" s="483"/>
      <c r="L17" s="483"/>
      <c r="M17" s="483"/>
      <c r="N17" s="483"/>
      <c r="O17" s="483"/>
      <c r="P17" s="483"/>
      <c r="Q17" s="483"/>
      <c r="R17" s="483"/>
      <c r="S17" s="483"/>
      <c r="T17" s="483"/>
      <c r="U17" s="483"/>
      <c r="V17" s="483"/>
      <c r="W17" s="483"/>
      <c r="X17" s="483"/>
      <c r="Y17" s="483"/>
      <c r="Z17" s="483"/>
      <c r="AA17" s="483"/>
      <c r="AB17" s="483"/>
      <c r="AC17" s="483"/>
    </row>
    <row r="18" spans="1:16384" s="643" customFormat="1" ht="63.6" customHeight="1">
      <c r="A18" s="451" t="s">
        <v>2799</v>
      </c>
      <c r="B18" s="716" t="s">
        <v>2800</v>
      </c>
      <c r="C18" s="498" t="s">
        <v>2683</v>
      </c>
      <c r="D18" s="498">
        <v>1</v>
      </c>
      <c r="E18" s="499">
        <v>2500000</v>
      </c>
      <c r="F18" s="500">
        <v>1.58</v>
      </c>
      <c r="G18" s="498">
        <v>1</v>
      </c>
      <c r="H18" s="504">
        <v>8</v>
      </c>
      <c r="I18" s="502">
        <f>ROUND(D18*E18*H18*G18*F18,0)</f>
        <v>31600000</v>
      </c>
      <c r="J18" s="482"/>
      <c r="K18" s="483"/>
      <c r="L18" s="483"/>
      <c r="M18" s="483"/>
      <c r="N18" s="483"/>
      <c r="O18" s="483"/>
      <c r="P18" s="483"/>
      <c r="Q18" s="483"/>
      <c r="R18" s="483"/>
      <c r="S18" s="483"/>
      <c r="T18" s="483"/>
      <c r="U18" s="483"/>
      <c r="V18" s="483"/>
      <c r="W18" s="483"/>
      <c r="X18" s="483"/>
      <c r="Y18" s="483"/>
      <c r="Z18" s="483"/>
      <c r="AA18" s="483"/>
      <c r="AB18" s="483"/>
      <c r="AC18" s="483"/>
    </row>
    <row r="19" spans="1:16384" ht="21" customHeight="1">
      <c r="A19" s="495">
        <v>3</v>
      </c>
      <c r="B19" s="864" t="s">
        <v>2689</v>
      </c>
      <c r="C19" s="864"/>
      <c r="D19" s="864"/>
      <c r="E19" s="864"/>
      <c r="F19" s="864"/>
      <c r="G19" s="864"/>
      <c r="H19" s="864"/>
      <c r="I19" s="865"/>
      <c r="J19" s="505"/>
      <c r="K19" s="506"/>
      <c r="L19" s="506"/>
      <c r="M19" s="506"/>
      <c r="N19" s="506"/>
      <c r="O19" s="506"/>
      <c r="P19" s="506"/>
      <c r="Q19" s="506"/>
      <c r="R19" s="506"/>
      <c r="S19" s="506"/>
      <c r="T19" s="506"/>
      <c r="U19" s="506"/>
      <c r="V19" s="506"/>
      <c r="W19" s="506"/>
      <c r="X19" s="506"/>
      <c r="Y19" s="506"/>
      <c r="Z19" s="506"/>
      <c r="AA19" s="506"/>
      <c r="AB19" s="506"/>
      <c r="AC19" s="506"/>
    </row>
    <row r="20" spans="1:16384" ht="34.5" customHeight="1">
      <c r="A20" s="507">
        <v>3.1</v>
      </c>
      <c r="B20" s="716" t="s">
        <v>2687</v>
      </c>
      <c r="C20" s="498" t="s">
        <v>1620</v>
      </c>
      <c r="D20" s="498">
        <v>1</v>
      </c>
      <c r="E20" s="499">
        <v>3800000</v>
      </c>
      <c r="F20" s="500">
        <v>1.58</v>
      </c>
      <c r="G20" s="498">
        <v>0.5</v>
      </c>
      <c r="H20" s="504">
        <v>8</v>
      </c>
      <c r="I20" s="502">
        <f>ROUND(D20*E20*F20*G20*H20,0)</f>
        <v>24016000</v>
      </c>
      <c r="J20" s="496"/>
      <c r="K20" s="497"/>
      <c r="L20" s="497"/>
      <c r="M20" s="497"/>
      <c r="N20" s="497"/>
      <c r="O20" s="497"/>
      <c r="P20" s="497"/>
      <c r="Q20" s="497"/>
      <c r="R20" s="497"/>
      <c r="S20" s="497"/>
      <c r="T20" s="497"/>
      <c r="U20" s="497"/>
      <c r="V20" s="497"/>
      <c r="W20" s="497"/>
      <c r="X20" s="497"/>
      <c r="Y20" s="497"/>
      <c r="Z20" s="497"/>
      <c r="AA20" s="497"/>
      <c r="AB20" s="497"/>
      <c r="AC20" s="497"/>
    </row>
    <row r="21" spans="1:16384" ht="30" customHeight="1">
      <c r="A21" s="495">
        <v>4</v>
      </c>
      <c r="B21" s="866" t="s">
        <v>2690</v>
      </c>
      <c r="C21" s="867"/>
      <c r="D21" s="867"/>
      <c r="E21" s="867"/>
      <c r="F21" s="867"/>
      <c r="G21" s="867"/>
      <c r="H21" s="867"/>
      <c r="I21" s="868"/>
      <c r="J21" s="496"/>
      <c r="K21" s="497"/>
      <c r="L21" s="497"/>
      <c r="M21" s="497"/>
      <c r="N21" s="497"/>
      <c r="O21" s="497"/>
      <c r="P21" s="497"/>
      <c r="Q21" s="497"/>
      <c r="R21" s="497"/>
      <c r="S21" s="497"/>
      <c r="T21" s="497"/>
      <c r="U21" s="497"/>
      <c r="V21" s="497"/>
      <c r="W21" s="497"/>
      <c r="X21" s="497"/>
      <c r="Y21" s="497"/>
      <c r="Z21" s="497"/>
      <c r="AA21" s="497"/>
      <c r="AB21" s="497"/>
      <c r="AC21" s="497"/>
    </row>
    <row r="22" spans="1:16384" ht="34.5" customHeight="1">
      <c r="A22" s="507">
        <v>4.0999999999999996</v>
      </c>
      <c r="B22" s="716" t="s">
        <v>2691</v>
      </c>
      <c r="C22" s="498" t="s">
        <v>1620</v>
      </c>
      <c r="D22" s="498">
        <v>1</v>
      </c>
      <c r="E22" s="499">
        <v>1635347</v>
      </c>
      <c r="F22" s="504">
        <v>1.78</v>
      </c>
      <c r="G22" s="498">
        <v>1</v>
      </c>
      <c r="H22" s="501">
        <v>8</v>
      </c>
      <c r="I22" s="502">
        <f>E22*F22*G22*H22</f>
        <v>23287341.280000001</v>
      </c>
      <c r="J22" s="508"/>
      <c r="K22" s="498"/>
      <c r="L22" s="498"/>
      <c r="M22" s="499"/>
      <c r="N22" s="498"/>
      <c r="O22" s="498"/>
      <c r="P22" s="501">
        <v>6.75</v>
      </c>
      <c r="Q22" s="486">
        <v>5.0999999999999996</v>
      </c>
      <c r="R22" s="452" t="s">
        <v>2691</v>
      </c>
      <c r="S22" s="498" t="s">
        <v>1620</v>
      </c>
      <c r="T22" s="498">
        <v>1</v>
      </c>
      <c r="U22" s="499">
        <v>1500000</v>
      </c>
      <c r="V22" s="498">
        <v>1.58</v>
      </c>
      <c r="W22" s="498">
        <v>1</v>
      </c>
      <c r="X22" s="501">
        <v>6.75</v>
      </c>
      <c r="Y22" s="486">
        <v>5.0999999999999996</v>
      </c>
      <c r="Z22" s="452" t="s">
        <v>2691</v>
      </c>
      <c r="AA22" s="498" t="s">
        <v>1620</v>
      </c>
      <c r="AB22" s="498">
        <v>1</v>
      </c>
      <c r="AC22" s="499">
        <v>1500000</v>
      </c>
      <c r="AD22" s="498">
        <v>1.58</v>
      </c>
      <c r="AE22" s="498">
        <v>1</v>
      </c>
      <c r="AF22" s="501">
        <v>6.75</v>
      </c>
      <c r="AG22" s="486">
        <v>5.0999999999999996</v>
      </c>
      <c r="AH22" s="452" t="s">
        <v>2691</v>
      </c>
      <c r="AI22" s="498" t="s">
        <v>1620</v>
      </c>
      <c r="AJ22" s="498">
        <v>1</v>
      </c>
      <c r="AK22" s="499">
        <v>1500000</v>
      </c>
      <c r="AL22" s="498">
        <v>1.58</v>
      </c>
      <c r="AM22" s="498">
        <v>1</v>
      </c>
      <c r="AN22" s="501">
        <v>6.75</v>
      </c>
      <c r="AO22" s="486">
        <v>5.0999999999999996</v>
      </c>
      <c r="AP22" s="452" t="s">
        <v>2691</v>
      </c>
      <c r="AQ22" s="498" t="s">
        <v>1620</v>
      </c>
      <c r="AR22" s="498">
        <v>1</v>
      </c>
      <c r="AS22" s="499">
        <v>1500000</v>
      </c>
      <c r="AT22" s="498">
        <v>1.58</v>
      </c>
      <c r="AU22" s="498">
        <v>1</v>
      </c>
      <c r="AV22" s="501">
        <v>6.75</v>
      </c>
      <c r="AW22" s="486">
        <v>5.0999999999999996</v>
      </c>
      <c r="AX22" s="452" t="s">
        <v>2691</v>
      </c>
      <c r="AY22" s="498" t="s">
        <v>1620</v>
      </c>
      <c r="AZ22" s="498">
        <v>1</v>
      </c>
      <c r="BA22" s="499">
        <v>1500000</v>
      </c>
      <c r="BB22" s="498">
        <v>1.58</v>
      </c>
      <c r="BC22" s="498">
        <v>1</v>
      </c>
      <c r="BD22" s="501">
        <v>6.75</v>
      </c>
      <c r="BE22" s="486">
        <v>5.0999999999999996</v>
      </c>
      <c r="BF22" s="452" t="s">
        <v>2691</v>
      </c>
      <c r="BG22" s="498" t="s">
        <v>1620</v>
      </c>
      <c r="BH22" s="498">
        <v>1</v>
      </c>
      <c r="BI22" s="499">
        <v>1500000</v>
      </c>
      <c r="BJ22" s="498">
        <v>1.58</v>
      </c>
      <c r="BK22" s="498">
        <v>1</v>
      </c>
      <c r="BL22" s="501">
        <v>6.75</v>
      </c>
      <c r="BM22" s="486">
        <v>5.0999999999999996</v>
      </c>
      <c r="BN22" s="452" t="s">
        <v>2691</v>
      </c>
      <c r="BO22" s="498" t="s">
        <v>1620</v>
      </c>
      <c r="BP22" s="498">
        <v>1</v>
      </c>
      <c r="BQ22" s="499">
        <v>1500000</v>
      </c>
      <c r="BR22" s="498">
        <v>1.58</v>
      </c>
      <c r="BS22" s="498">
        <v>1</v>
      </c>
      <c r="BT22" s="501">
        <v>6.75</v>
      </c>
      <c r="BU22" s="486">
        <v>5.0999999999999996</v>
      </c>
      <c r="BV22" s="452" t="s">
        <v>2691</v>
      </c>
      <c r="BW22" s="498" t="s">
        <v>1620</v>
      </c>
      <c r="BX22" s="498">
        <v>1</v>
      </c>
      <c r="BY22" s="499">
        <v>1500000</v>
      </c>
      <c r="BZ22" s="498">
        <v>1.58</v>
      </c>
      <c r="CA22" s="498">
        <v>1</v>
      </c>
      <c r="CB22" s="501">
        <v>6.75</v>
      </c>
      <c r="CC22" s="486">
        <v>5.0999999999999996</v>
      </c>
      <c r="CD22" s="452" t="s">
        <v>2691</v>
      </c>
      <c r="CE22" s="498" t="s">
        <v>1620</v>
      </c>
      <c r="CF22" s="498">
        <v>1</v>
      </c>
      <c r="CG22" s="499">
        <v>1500000</v>
      </c>
      <c r="CH22" s="498">
        <v>1.58</v>
      </c>
      <c r="CI22" s="498">
        <v>1</v>
      </c>
      <c r="CJ22" s="501">
        <v>6.75</v>
      </c>
      <c r="CK22" s="486">
        <v>5.0999999999999996</v>
      </c>
      <c r="CL22" s="452" t="s">
        <v>2691</v>
      </c>
      <c r="CM22" s="498" t="s">
        <v>1620</v>
      </c>
      <c r="CN22" s="498">
        <v>1</v>
      </c>
      <c r="CO22" s="499">
        <v>1500000</v>
      </c>
      <c r="CP22" s="498">
        <v>1.58</v>
      </c>
      <c r="CQ22" s="498">
        <v>1</v>
      </c>
      <c r="CR22" s="501">
        <v>6.75</v>
      </c>
      <c r="CS22" s="486">
        <v>5.0999999999999996</v>
      </c>
      <c r="CT22" s="452" t="s">
        <v>2691</v>
      </c>
      <c r="CU22" s="498" t="s">
        <v>1620</v>
      </c>
      <c r="CV22" s="498">
        <v>1</v>
      </c>
      <c r="CW22" s="499">
        <v>1500000</v>
      </c>
      <c r="CX22" s="498">
        <v>1.58</v>
      </c>
      <c r="CY22" s="498">
        <v>1</v>
      </c>
      <c r="CZ22" s="501">
        <v>6.75</v>
      </c>
      <c r="DA22" s="486">
        <v>5.0999999999999996</v>
      </c>
      <c r="DB22" s="452" t="s">
        <v>2691</v>
      </c>
      <c r="DC22" s="498" t="s">
        <v>1620</v>
      </c>
      <c r="DD22" s="498">
        <v>1</v>
      </c>
      <c r="DE22" s="499">
        <v>1500000</v>
      </c>
      <c r="DF22" s="498">
        <v>1.58</v>
      </c>
      <c r="DG22" s="498">
        <v>1</v>
      </c>
      <c r="DH22" s="501">
        <v>6.75</v>
      </c>
      <c r="DI22" s="486">
        <v>5.0999999999999996</v>
      </c>
      <c r="DJ22" s="452" t="s">
        <v>2691</v>
      </c>
      <c r="DK22" s="498" t="s">
        <v>1620</v>
      </c>
      <c r="DL22" s="498">
        <v>1</v>
      </c>
      <c r="DM22" s="499">
        <v>1500000</v>
      </c>
      <c r="DN22" s="498">
        <v>1.58</v>
      </c>
      <c r="DO22" s="498">
        <v>1</v>
      </c>
      <c r="DP22" s="501">
        <v>6.75</v>
      </c>
      <c r="DQ22" s="486">
        <v>5.0999999999999996</v>
      </c>
      <c r="DR22" s="452" t="s">
        <v>2691</v>
      </c>
      <c r="DS22" s="498" t="s">
        <v>1620</v>
      </c>
      <c r="DT22" s="498">
        <v>1</v>
      </c>
      <c r="DU22" s="499">
        <v>1500000</v>
      </c>
      <c r="DV22" s="498">
        <v>1.58</v>
      </c>
      <c r="DW22" s="498">
        <v>1</v>
      </c>
      <c r="DX22" s="501">
        <v>6.75</v>
      </c>
      <c r="DY22" s="486">
        <v>5.0999999999999996</v>
      </c>
      <c r="DZ22" s="452" t="s">
        <v>2691</v>
      </c>
      <c r="EA22" s="498" t="s">
        <v>1620</v>
      </c>
      <c r="EB22" s="498">
        <v>1</v>
      </c>
      <c r="EC22" s="499">
        <v>1500000</v>
      </c>
      <c r="ED22" s="498">
        <v>1.58</v>
      </c>
      <c r="EE22" s="498">
        <v>1</v>
      </c>
      <c r="EF22" s="501">
        <v>6.75</v>
      </c>
      <c r="EG22" s="486">
        <v>5.0999999999999996</v>
      </c>
      <c r="EH22" s="452" t="s">
        <v>2691</v>
      </c>
      <c r="EI22" s="498" t="s">
        <v>1620</v>
      </c>
      <c r="EJ22" s="498">
        <v>1</v>
      </c>
      <c r="EK22" s="499">
        <v>1500000</v>
      </c>
      <c r="EL22" s="498">
        <v>1.58</v>
      </c>
      <c r="EM22" s="498">
        <v>1</v>
      </c>
      <c r="EN22" s="501">
        <v>6.75</v>
      </c>
      <c r="EO22" s="486">
        <v>5.0999999999999996</v>
      </c>
      <c r="EP22" s="452" t="s">
        <v>2691</v>
      </c>
      <c r="EQ22" s="498" t="s">
        <v>1620</v>
      </c>
      <c r="ER22" s="498">
        <v>1</v>
      </c>
      <c r="ES22" s="499">
        <v>1500000</v>
      </c>
      <c r="ET22" s="498">
        <v>1.58</v>
      </c>
      <c r="EU22" s="498">
        <v>1</v>
      </c>
      <c r="EV22" s="501">
        <v>6.75</v>
      </c>
      <c r="EW22" s="486">
        <v>5.0999999999999996</v>
      </c>
      <c r="EX22" s="452" t="s">
        <v>2691</v>
      </c>
      <c r="EY22" s="498" t="s">
        <v>1620</v>
      </c>
      <c r="EZ22" s="498">
        <v>1</v>
      </c>
      <c r="FA22" s="499">
        <v>1500000</v>
      </c>
      <c r="FB22" s="498">
        <v>1.58</v>
      </c>
      <c r="FC22" s="498">
        <v>1</v>
      </c>
      <c r="FD22" s="501">
        <v>6.75</v>
      </c>
      <c r="FE22" s="486">
        <v>5.0999999999999996</v>
      </c>
      <c r="FF22" s="452" t="s">
        <v>2691</v>
      </c>
      <c r="FG22" s="498" t="s">
        <v>1620</v>
      </c>
      <c r="FH22" s="498">
        <v>1</v>
      </c>
      <c r="FI22" s="499">
        <v>1500000</v>
      </c>
      <c r="FJ22" s="498">
        <v>1.58</v>
      </c>
      <c r="FK22" s="498">
        <v>1</v>
      </c>
      <c r="FL22" s="501">
        <v>6.75</v>
      </c>
      <c r="FM22" s="486">
        <v>5.0999999999999996</v>
      </c>
      <c r="FN22" s="452" t="s">
        <v>2691</v>
      </c>
      <c r="FO22" s="498" t="s">
        <v>1620</v>
      </c>
      <c r="FP22" s="498">
        <v>1</v>
      </c>
      <c r="FQ22" s="499">
        <v>1500000</v>
      </c>
      <c r="FR22" s="498">
        <v>1.58</v>
      </c>
      <c r="FS22" s="498">
        <v>1</v>
      </c>
      <c r="FT22" s="501">
        <v>6.75</v>
      </c>
      <c r="FU22" s="486">
        <v>5.0999999999999996</v>
      </c>
      <c r="FV22" s="452" t="s">
        <v>2691</v>
      </c>
      <c r="FW22" s="498" t="s">
        <v>1620</v>
      </c>
      <c r="FX22" s="498">
        <v>1</v>
      </c>
      <c r="FY22" s="499">
        <v>1500000</v>
      </c>
      <c r="FZ22" s="498">
        <v>1.58</v>
      </c>
      <c r="GA22" s="498">
        <v>1</v>
      </c>
      <c r="GB22" s="501">
        <v>6.75</v>
      </c>
      <c r="GC22" s="486">
        <v>5.0999999999999996</v>
      </c>
      <c r="GD22" s="452" t="s">
        <v>2691</v>
      </c>
      <c r="GE22" s="498" t="s">
        <v>1620</v>
      </c>
      <c r="GF22" s="498">
        <v>1</v>
      </c>
      <c r="GG22" s="499">
        <v>1500000</v>
      </c>
      <c r="GH22" s="498">
        <v>1.58</v>
      </c>
      <c r="GI22" s="498">
        <v>1</v>
      </c>
      <c r="GJ22" s="501">
        <v>6.75</v>
      </c>
      <c r="GK22" s="486">
        <v>5.0999999999999996</v>
      </c>
      <c r="GL22" s="452" t="s">
        <v>2691</v>
      </c>
      <c r="GM22" s="498" t="s">
        <v>1620</v>
      </c>
      <c r="GN22" s="498">
        <v>1</v>
      </c>
      <c r="GO22" s="499">
        <v>1500000</v>
      </c>
      <c r="GP22" s="498">
        <v>1.58</v>
      </c>
      <c r="GQ22" s="498">
        <v>1</v>
      </c>
      <c r="GR22" s="501">
        <v>6.75</v>
      </c>
      <c r="GS22" s="486">
        <v>5.0999999999999996</v>
      </c>
      <c r="GT22" s="452" t="s">
        <v>2691</v>
      </c>
      <c r="GU22" s="498" t="s">
        <v>1620</v>
      </c>
      <c r="GV22" s="498">
        <v>1</v>
      </c>
      <c r="GW22" s="499">
        <v>1500000</v>
      </c>
      <c r="GX22" s="498">
        <v>1.58</v>
      </c>
      <c r="GY22" s="498">
        <v>1</v>
      </c>
      <c r="GZ22" s="501">
        <v>6.75</v>
      </c>
      <c r="HA22" s="486">
        <v>5.0999999999999996</v>
      </c>
      <c r="HB22" s="452" t="s">
        <v>2691</v>
      </c>
      <c r="HC22" s="498" t="s">
        <v>1620</v>
      </c>
      <c r="HD22" s="498">
        <v>1</v>
      </c>
      <c r="HE22" s="499">
        <v>1500000</v>
      </c>
      <c r="HF22" s="498">
        <v>1.58</v>
      </c>
      <c r="HG22" s="498">
        <v>1</v>
      </c>
      <c r="HH22" s="501">
        <v>6.75</v>
      </c>
      <c r="HI22" s="486">
        <v>5.0999999999999996</v>
      </c>
      <c r="HJ22" s="452" t="s">
        <v>2691</v>
      </c>
      <c r="HK22" s="498" t="s">
        <v>1620</v>
      </c>
      <c r="HL22" s="498">
        <v>1</v>
      </c>
      <c r="HM22" s="499">
        <v>1500000</v>
      </c>
      <c r="HN22" s="498">
        <v>1.58</v>
      </c>
      <c r="HO22" s="498">
        <v>1</v>
      </c>
      <c r="HP22" s="501">
        <v>6.75</v>
      </c>
      <c r="HQ22" s="486">
        <v>5.0999999999999996</v>
      </c>
      <c r="HR22" s="452" t="s">
        <v>2691</v>
      </c>
      <c r="HS22" s="498" t="s">
        <v>1620</v>
      </c>
      <c r="HT22" s="498">
        <v>1</v>
      </c>
      <c r="HU22" s="499">
        <v>1500000</v>
      </c>
      <c r="HV22" s="498">
        <v>1.58</v>
      </c>
      <c r="HW22" s="498">
        <v>1</v>
      </c>
      <c r="HX22" s="501">
        <v>6.75</v>
      </c>
      <c r="HY22" s="486">
        <v>5.0999999999999996</v>
      </c>
      <c r="HZ22" s="452" t="s">
        <v>2691</v>
      </c>
      <c r="IA22" s="498" t="s">
        <v>1620</v>
      </c>
      <c r="IB22" s="498">
        <v>1</v>
      </c>
      <c r="IC22" s="499">
        <v>1500000</v>
      </c>
      <c r="ID22" s="498">
        <v>1.58</v>
      </c>
      <c r="IE22" s="498">
        <v>1</v>
      </c>
      <c r="IF22" s="501">
        <v>6.75</v>
      </c>
      <c r="IG22" s="486">
        <v>5.0999999999999996</v>
      </c>
      <c r="IH22" s="452" t="s">
        <v>2691</v>
      </c>
      <c r="II22" s="498" t="s">
        <v>1620</v>
      </c>
      <c r="IJ22" s="498">
        <v>1</v>
      </c>
      <c r="IK22" s="499">
        <v>1500000</v>
      </c>
      <c r="IL22" s="498">
        <v>1.58</v>
      </c>
      <c r="IM22" s="498">
        <v>1</v>
      </c>
      <c r="IN22" s="501">
        <v>6.75</v>
      </c>
      <c r="IO22" s="486">
        <v>5.0999999999999996</v>
      </c>
      <c r="IP22" s="452" t="s">
        <v>2691</v>
      </c>
      <c r="IQ22" s="498" t="s">
        <v>1620</v>
      </c>
      <c r="IR22" s="498">
        <v>1</v>
      </c>
      <c r="IS22" s="499">
        <v>1500000</v>
      </c>
      <c r="IT22" s="498">
        <v>1.58</v>
      </c>
      <c r="IU22" s="498">
        <v>1</v>
      </c>
      <c r="IV22" s="501">
        <v>6.75</v>
      </c>
      <c r="IW22" s="486">
        <v>5.0999999999999996</v>
      </c>
      <c r="IX22" s="452" t="s">
        <v>2691</v>
      </c>
      <c r="IY22" s="498" t="s">
        <v>1620</v>
      </c>
      <c r="IZ22" s="498">
        <v>1</v>
      </c>
      <c r="JA22" s="499">
        <v>1500000</v>
      </c>
      <c r="JB22" s="498">
        <v>1.58</v>
      </c>
      <c r="JC22" s="498">
        <v>1</v>
      </c>
      <c r="JD22" s="501">
        <v>6.75</v>
      </c>
      <c r="JE22" s="486">
        <v>5.0999999999999996</v>
      </c>
      <c r="JF22" s="452" t="s">
        <v>2691</v>
      </c>
      <c r="JG22" s="498" t="s">
        <v>1620</v>
      </c>
      <c r="JH22" s="498">
        <v>1</v>
      </c>
      <c r="JI22" s="499">
        <v>1500000</v>
      </c>
      <c r="JJ22" s="498">
        <v>1.58</v>
      </c>
      <c r="JK22" s="498">
        <v>1</v>
      </c>
      <c r="JL22" s="501">
        <v>6.75</v>
      </c>
      <c r="JM22" s="486">
        <v>5.0999999999999996</v>
      </c>
      <c r="JN22" s="452" t="s">
        <v>2691</v>
      </c>
      <c r="JO22" s="498" t="s">
        <v>1620</v>
      </c>
      <c r="JP22" s="498">
        <v>1</v>
      </c>
      <c r="JQ22" s="499">
        <v>1500000</v>
      </c>
      <c r="JR22" s="498">
        <v>1.58</v>
      </c>
      <c r="JS22" s="498">
        <v>1</v>
      </c>
      <c r="JT22" s="501">
        <v>6.75</v>
      </c>
      <c r="JU22" s="486">
        <v>5.0999999999999996</v>
      </c>
      <c r="JV22" s="452" t="s">
        <v>2691</v>
      </c>
      <c r="JW22" s="498" t="s">
        <v>1620</v>
      </c>
      <c r="JX22" s="498">
        <v>1</v>
      </c>
      <c r="JY22" s="499">
        <v>1500000</v>
      </c>
      <c r="JZ22" s="498">
        <v>1.58</v>
      </c>
      <c r="KA22" s="498">
        <v>1</v>
      </c>
      <c r="KB22" s="501">
        <v>6.75</v>
      </c>
      <c r="KC22" s="486">
        <v>5.0999999999999996</v>
      </c>
      <c r="KD22" s="452" t="s">
        <v>2691</v>
      </c>
      <c r="KE22" s="498" t="s">
        <v>1620</v>
      </c>
      <c r="KF22" s="498">
        <v>1</v>
      </c>
      <c r="KG22" s="499">
        <v>1500000</v>
      </c>
      <c r="KH22" s="498">
        <v>1.58</v>
      </c>
      <c r="KI22" s="498">
        <v>1</v>
      </c>
      <c r="KJ22" s="501">
        <v>6.75</v>
      </c>
      <c r="KK22" s="486">
        <v>5.0999999999999996</v>
      </c>
      <c r="KL22" s="452" t="s">
        <v>2691</v>
      </c>
      <c r="KM22" s="498" t="s">
        <v>1620</v>
      </c>
      <c r="KN22" s="498">
        <v>1</v>
      </c>
      <c r="KO22" s="499">
        <v>1500000</v>
      </c>
      <c r="KP22" s="498">
        <v>1.58</v>
      </c>
      <c r="KQ22" s="498">
        <v>1</v>
      </c>
      <c r="KR22" s="501">
        <v>6.75</v>
      </c>
      <c r="KS22" s="486">
        <v>5.0999999999999996</v>
      </c>
      <c r="KT22" s="452" t="s">
        <v>2691</v>
      </c>
      <c r="KU22" s="498" t="s">
        <v>1620</v>
      </c>
      <c r="KV22" s="498">
        <v>1</v>
      </c>
      <c r="KW22" s="499">
        <v>1500000</v>
      </c>
      <c r="KX22" s="498">
        <v>1.58</v>
      </c>
      <c r="KY22" s="498">
        <v>1</v>
      </c>
      <c r="KZ22" s="501">
        <v>6.75</v>
      </c>
      <c r="LA22" s="486">
        <v>5.0999999999999996</v>
      </c>
      <c r="LB22" s="452" t="s">
        <v>2691</v>
      </c>
      <c r="LC22" s="498" t="s">
        <v>1620</v>
      </c>
      <c r="LD22" s="498">
        <v>1</v>
      </c>
      <c r="LE22" s="499">
        <v>1500000</v>
      </c>
      <c r="LF22" s="498">
        <v>1.58</v>
      </c>
      <c r="LG22" s="498">
        <v>1</v>
      </c>
      <c r="LH22" s="501">
        <v>6.75</v>
      </c>
      <c r="LI22" s="486">
        <v>5.0999999999999996</v>
      </c>
      <c r="LJ22" s="452" t="s">
        <v>2691</v>
      </c>
      <c r="LK22" s="498" t="s">
        <v>1620</v>
      </c>
      <c r="LL22" s="498">
        <v>1</v>
      </c>
      <c r="LM22" s="499">
        <v>1500000</v>
      </c>
      <c r="LN22" s="498">
        <v>1.58</v>
      </c>
      <c r="LO22" s="498">
        <v>1</v>
      </c>
      <c r="LP22" s="501">
        <v>6.75</v>
      </c>
      <c r="LQ22" s="486">
        <v>5.0999999999999996</v>
      </c>
      <c r="LR22" s="452" t="s">
        <v>2691</v>
      </c>
      <c r="LS22" s="498" t="s">
        <v>1620</v>
      </c>
      <c r="LT22" s="498">
        <v>1</v>
      </c>
      <c r="LU22" s="499">
        <v>1500000</v>
      </c>
      <c r="LV22" s="498">
        <v>1.58</v>
      </c>
      <c r="LW22" s="498">
        <v>1</v>
      </c>
      <c r="LX22" s="501">
        <v>6.75</v>
      </c>
      <c r="LY22" s="486">
        <v>5.0999999999999996</v>
      </c>
      <c r="LZ22" s="452" t="s">
        <v>2691</v>
      </c>
      <c r="MA22" s="498" t="s">
        <v>1620</v>
      </c>
      <c r="MB22" s="498">
        <v>1</v>
      </c>
      <c r="MC22" s="499">
        <v>1500000</v>
      </c>
      <c r="MD22" s="498">
        <v>1.58</v>
      </c>
      <c r="ME22" s="498">
        <v>1</v>
      </c>
      <c r="MF22" s="501">
        <v>6.75</v>
      </c>
      <c r="MG22" s="486">
        <v>5.0999999999999996</v>
      </c>
      <c r="MH22" s="452" t="s">
        <v>2691</v>
      </c>
      <c r="MI22" s="498" t="s">
        <v>1620</v>
      </c>
      <c r="MJ22" s="498">
        <v>1</v>
      </c>
      <c r="MK22" s="499">
        <v>1500000</v>
      </c>
      <c r="ML22" s="498">
        <v>1.58</v>
      </c>
      <c r="MM22" s="498">
        <v>1</v>
      </c>
      <c r="MN22" s="501">
        <v>6.75</v>
      </c>
      <c r="MO22" s="486">
        <v>5.0999999999999996</v>
      </c>
      <c r="MP22" s="452" t="s">
        <v>2691</v>
      </c>
      <c r="MQ22" s="498" t="s">
        <v>1620</v>
      </c>
      <c r="MR22" s="498">
        <v>1</v>
      </c>
      <c r="MS22" s="499">
        <v>1500000</v>
      </c>
      <c r="MT22" s="498">
        <v>1.58</v>
      </c>
      <c r="MU22" s="498">
        <v>1</v>
      </c>
      <c r="MV22" s="501">
        <v>6.75</v>
      </c>
      <c r="MW22" s="486">
        <v>5.0999999999999996</v>
      </c>
      <c r="MX22" s="452" t="s">
        <v>2691</v>
      </c>
      <c r="MY22" s="498" t="s">
        <v>1620</v>
      </c>
      <c r="MZ22" s="498">
        <v>1</v>
      </c>
      <c r="NA22" s="499">
        <v>1500000</v>
      </c>
      <c r="NB22" s="498">
        <v>1.58</v>
      </c>
      <c r="NC22" s="498">
        <v>1</v>
      </c>
      <c r="ND22" s="501">
        <v>6.75</v>
      </c>
      <c r="NE22" s="486">
        <v>5.0999999999999996</v>
      </c>
      <c r="NF22" s="452" t="s">
        <v>2691</v>
      </c>
      <c r="NG22" s="498" t="s">
        <v>1620</v>
      </c>
      <c r="NH22" s="498">
        <v>1</v>
      </c>
      <c r="NI22" s="499">
        <v>1500000</v>
      </c>
      <c r="NJ22" s="498">
        <v>1.58</v>
      </c>
      <c r="NK22" s="498">
        <v>1</v>
      </c>
      <c r="NL22" s="501">
        <v>6.75</v>
      </c>
      <c r="NM22" s="486">
        <v>5.0999999999999996</v>
      </c>
      <c r="NN22" s="452" t="s">
        <v>2691</v>
      </c>
      <c r="NO22" s="498" t="s">
        <v>1620</v>
      </c>
      <c r="NP22" s="498">
        <v>1</v>
      </c>
      <c r="NQ22" s="499">
        <v>1500000</v>
      </c>
      <c r="NR22" s="498">
        <v>1.58</v>
      </c>
      <c r="NS22" s="498">
        <v>1</v>
      </c>
      <c r="NT22" s="501">
        <v>6.75</v>
      </c>
      <c r="NU22" s="486">
        <v>5.0999999999999996</v>
      </c>
      <c r="NV22" s="452" t="s">
        <v>2691</v>
      </c>
      <c r="NW22" s="498" t="s">
        <v>1620</v>
      </c>
      <c r="NX22" s="498">
        <v>1</v>
      </c>
      <c r="NY22" s="499">
        <v>1500000</v>
      </c>
      <c r="NZ22" s="498">
        <v>1.58</v>
      </c>
      <c r="OA22" s="498">
        <v>1</v>
      </c>
      <c r="OB22" s="501">
        <v>6.75</v>
      </c>
      <c r="OC22" s="486">
        <v>5.0999999999999996</v>
      </c>
      <c r="OD22" s="452" t="s">
        <v>2691</v>
      </c>
      <c r="OE22" s="498" t="s">
        <v>1620</v>
      </c>
      <c r="OF22" s="498">
        <v>1</v>
      </c>
      <c r="OG22" s="499">
        <v>1500000</v>
      </c>
      <c r="OH22" s="498">
        <v>1.58</v>
      </c>
      <c r="OI22" s="498">
        <v>1</v>
      </c>
      <c r="OJ22" s="501">
        <v>6.75</v>
      </c>
      <c r="OK22" s="486">
        <v>5.0999999999999996</v>
      </c>
      <c r="OL22" s="452" t="s">
        <v>2691</v>
      </c>
      <c r="OM22" s="498" t="s">
        <v>1620</v>
      </c>
      <c r="ON22" s="498">
        <v>1</v>
      </c>
      <c r="OO22" s="499">
        <v>1500000</v>
      </c>
      <c r="OP22" s="498">
        <v>1.58</v>
      </c>
      <c r="OQ22" s="498">
        <v>1</v>
      </c>
      <c r="OR22" s="501">
        <v>6.75</v>
      </c>
      <c r="OS22" s="486">
        <v>5.0999999999999996</v>
      </c>
      <c r="OT22" s="452" t="s">
        <v>2691</v>
      </c>
      <c r="OU22" s="498" t="s">
        <v>1620</v>
      </c>
      <c r="OV22" s="498">
        <v>1</v>
      </c>
      <c r="OW22" s="499">
        <v>1500000</v>
      </c>
      <c r="OX22" s="498">
        <v>1.58</v>
      </c>
      <c r="OY22" s="498">
        <v>1</v>
      </c>
      <c r="OZ22" s="501">
        <v>6.75</v>
      </c>
      <c r="PA22" s="486">
        <v>5.0999999999999996</v>
      </c>
      <c r="PB22" s="452" t="s">
        <v>2691</v>
      </c>
      <c r="PC22" s="498" t="s">
        <v>1620</v>
      </c>
      <c r="PD22" s="498">
        <v>1</v>
      </c>
      <c r="PE22" s="499">
        <v>1500000</v>
      </c>
      <c r="PF22" s="498">
        <v>1.58</v>
      </c>
      <c r="PG22" s="498">
        <v>1</v>
      </c>
      <c r="PH22" s="501">
        <v>6.75</v>
      </c>
      <c r="PI22" s="486">
        <v>5.0999999999999996</v>
      </c>
      <c r="PJ22" s="452" t="s">
        <v>2691</v>
      </c>
      <c r="PK22" s="498" t="s">
        <v>1620</v>
      </c>
      <c r="PL22" s="498">
        <v>1</v>
      </c>
      <c r="PM22" s="499">
        <v>1500000</v>
      </c>
      <c r="PN22" s="498">
        <v>1.58</v>
      </c>
      <c r="PO22" s="498">
        <v>1</v>
      </c>
      <c r="PP22" s="501">
        <v>6.75</v>
      </c>
      <c r="PQ22" s="486">
        <v>5.0999999999999996</v>
      </c>
      <c r="PR22" s="452" t="s">
        <v>2691</v>
      </c>
      <c r="PS22" s="498" t="s">
        <v>1620</v>
      </c>
      <c r="PT22" s="498">
        <v>1</v>
      </c>
      <c r="PU22" s="499">
        <v>1500000</v>
      </c>
      <c r="PV22" s="498">
        <v>1.58</v>
      </c>
      <c r="PW22" s="498">
        <v>1</v>
      </c>
      <c r="PX22" s="501">
        <v>6.75</v>
      </c>
      <c r="PY22" s="486">
        <v>5.0999999999999996</v>
      </c>
      <c r="PZ22" s="452" t="s">
        <v>2691</v>
      </c>
      <c r="QA22" s="498" t="s">
        <v>1620</v>
      </c>
      <c r="QB22" s="498">
        <v>1</v>
      </c>
      <c r="QC22" s="499">
        <v>1500000</v>
      </c>
      <c r="QD22" s="498">
        <v>1.58</v>
      </c>
      <c r="QE22" s="498">
        <v>1</v>
      </c>
      <c r="QF22" s="501">
        <v>6.75</v>
      </c>
      <c r="QG22" s="486">
        <v>5.0999999999999996</v>
      </c>
      <c r="QH22" s="452" t="s">
        <v>2691</v>
      </c>
      <c r="QI22" s="498" t="s">
        <v>1620</v>
      </c>
      <c r="QJ22" s="498">
        <v>1</v>
      </c>
      <c r="QK22" s="499">
        <v>1500000</v>
      </c>
      <c r="QL22" s="498">
        <v>1.58</v>
      </c>
      <c r="QM22" s="498">
        <v>1</v>
      </c>
      <c r="QN22" s="501">
        <v>6.75</v>
      </c>
      <c r="QO22" s="486">
        <v>5.0999999999999996</v>
      </c>
      <c r="QP22" s="452" t="s">
        <v>2691</v>
      </c>
      <c r="QQ22" s="498" t="s">
        <v>1620</v>
      </c>
      <c r="QR22" s="498">
        <v>1</v>
      </c>
      <c r="QS22" s="499">
        <v>1500000</v>
      </c>
      <c r="QT22" s="498">
        <v>1.58</v>
      </c>
      <c r="QU22" s="498">
        <v>1</v>
      </c>
      <c r="QV22" s="501">
        <v>6.75</v>
      </c>
      <c r="QW22" s="486">
        <v>5.0999999999999996</v>
      </c>
      <c r="QX22" s="452" t="s">
        <v>2691</v>
      </c>
      <c r="QY22" s="498" t="s">
        <v>1620</v>
      </c>
      <c r="QZ22" s="498">
        <v>1</v>
      </c>
      <c r="RA22" s="499">
        <v>1500000</v>
      </c>
      <c r="RB22" s="498">
        <v>1.58</v>
      </c>
      <c r="RC22" s="498">
        <v>1</v>
      </c>
      <c r="RD22" s="501">
        <v>6.75</v>
      </c>
      <c r="RE22" s="486">
        <v>5.0999999999999996</v>
      </c>
      <c r="RF22" s="452" t="s">
        <v>2691</v>
      </c>
      <c r="RG22" s="498" t="s">
        <v>1620</v>
      </c>
      <c r="RH22" s="498">
        <v>1</v>
      </c>
      <c r="RI22" s="499">
        <v>1500000</v>
      </c>
      <c r="RJ22" s="498">
        <v>1.58</v>
      </c>
      <c r="RK22" s="498">
        <v>1</v>
      </c>
      <c r="RL22" s="501">
        <v>6.75</v>
      </c>
      <c r="RM22" s="486">
        <v>5.0999999999999996</v>
      </c>
      <c r="RN22" s="452" t="s">
        <v>2691</v>
      </c>
      <c r="RO22" s="498" t="s">
        <v>1620</v>
      </c>
      <c r="RP22" s="498">
        <v>1</v>
      </c>
      <c r="RQ22" s="499">
        <v>1500000</v>
      </c>
      <c r="RR22" s="498">
        <v>1.58</v>
      </c>
      <c r="RS22" s="498">
        <v>1</v>
      </c>
      <c r="RT22" s="501">
        <v>6.75</v>
      </c>
      <c r="RU22" s="486">
        <v>5.0999999999999996</v>
      </c>
      <c r="RV22" s="452" t="s">
        <v>2691</v>
      </c>
      <c r="RW22" s="498" t="s">
        <v>1620</v>
      </c>
      <c r="RX22" s="498">
        <v>1</v>
      </c>
      <c r="RY22" s="499">
        <v>1500000</v>
      </c>
      <c r="RZ22" s="498">
        <v>1.58</v>
      </c>
      <c r="SA22" s="498">
        <v>1</v>
      </c>
      <c r="SB22" s="501">
        <v>6.75</v>
      </c>
      <c r="SC22" s="486">
        <v>5.0999999999999996</v>
      </c>
      <c r="SD22" s="452" t="s">
        <v>2691</v>
      </c>
      <c r="SE22" s="498" t="s">
        <v>1620</v>
      </c>
      <c r="SF22" s="498">
        <v>1</v>
      </c>
      <c r="SG22" s="499">
        <v>1500000</v>
      </c>
      <c r="SH22" s="498">
        <v>1.58</v>
      </c>
      <c r="SI22" s="498">
        <v>1</v>
      </c>
      <c r="SJ22" s="501">
        <v>6.75</v>
      </c>
      <c r="SK22" s="486">
        <v>5.0999999999999996</v>
      </c>
      <c r="SL22" s="452" t="s">
        <v>2691</v>
      </c>
      <c r="SM22" s="498" t="s">
        <v>1620</v>
      </c>
      <c r="SN22" s="498">
        <v>1</v>
      </c>
      <c r="SO22" s="499">
        <v>1500000</v>
      </c>
      <c r="SP22" s="498">
        <v>1.58</v>
      </c>
      <c r="SQ22" s="498">
        <v>1</v>
      </c>
      <c r="SR22" s="501">
        <v>6.75</v>
      </c>
      <c r="SS22" s="486">
        <v>5.0999999999999996</v>
      </c>
      <c r="ST22" s="452" t="s">
        <v>2691</v>
      </c>
      <c r="SU22" s="498" t="s">
        <v>1620</v>
      </c>
      <c r="SV22" s="498">
        <v>1</v>
      </c>
      <c r="SW22" s="499">
        <v>1500000</v>
      </c>
      <c r="SX22" s="498">
        <v>1.58</v>
      </c>
      <c r="SY22" s="498">
        <v>1</v>
      </c>
      <c r="SZ22" s="501">
        <v>6.75</v>
      </c>
      <c r="TA22" s="486">
        <v>5.0999999999999996</v>
      </c>
      <c r="TB22" s="452" t="s">
        <v>2691</v>
      </c>
      <c r="TC22" s="498" t="s">
        <v>1620</v>
      </c>
      <c r="TD22" s="498">
        <v>1</v>
      </c>
      <c r="TE22" s="499">
        <v>1500000</v>
      </c>
      <c r="TF22" s="498">
        <v>1.58</v>
      </c>
      <c r="TG22" s="498">
        <v>1</v>
      </c>
      <c r="TH22" s="501">
        <v>6.75</v>
      </c>
      <c r="TI22" s="486">
        <v>5.0999999999999996</v>
      </c>
      <c r="TJ22" s="452" t="s">
        <v>2691</v>
      </c>
      <c r="TK22" s="498" t="s">
        <v>1620</v>
      </c>
      <c r="TL22" s="498">
        <v>1</v>
      </c>
      <c r="TM22" s="499">
        <v>1500000</v>
      </c>
      <c r="TN22" s="498">
        <v>1.58</v>
      </c>
      <c r="TO22" s="498">
        <v>1</v>
      </c>
      <c r="TP22" s="501">
        <v>6.75</v>
      </c>
      <c r="TQ22" s="486">
        <v>5.0999999999999996</v>
      </c>
      <c r="TR22" s="452" t="s">
        <v>2691</v>
      </c>
      <c r="TS22" s="498" t="s">
        <v>1620</v>
      </c>
      <c r="TT22" s="498">
        <v>1</v>
      </c>
      <c r="TU22" s="499">
        <v>1500000</v>
      </c>
      <c r="TV22" s="498">
        <v>1.58</v>
      </c>
      <c r="TW22" s="498">
        <v>1</v>
      </c>
      <c r="TX22" s="501">
        <v>6.75</v>
      </c>
      <c r="TY22" s="486">
        <v>5.0999999999999996</v>
      </c>
      <c r="TZ22" s="452" t="s">
        <v>2691</v>
      </c>
      <c r="UA22" s="498" t="s">
        <v>1620</v>
      </c>
      <c r="UB22" s="498">
        <v>1</v>
      </c>
      <c r="UC22" s="499">
        <v>1500000</v>
      </c>
      <c r="UD22" s="498">
        <v>1.58</v>
      </c>
      <c r="UE22" s="498">
        <v>1</v>
      </c>
      <c r="UF22" s="501">
        <v>6.75</v>
      </c>
      <c r="UG22" s="486">
        <v>5.0999999999999996</v>
      </c>
      <c r="UH22" s="452" t="s">
        <v>2691</v>
      </c>
      <c r="UI22" s="498" t="s">
        <v>1620</v>
      </c>
      <c r="UJ22" s="498">
        <v>1</v>
      </c>
      <c r="UK22" s="499">
        <v>1500000</v>
      </c>
      <c r="UL22" s="498">
        <v>1.58</v>
      </c>
      <c r="UM22" s="498">
        <v>1</v>
      </c>
      <c r="UN22" s="501">
        <v>6.75</v>
      </c>
      <c r="UO22" s="486">
        <v>5.0999999999999996</v>
      </c>
      <c r="UP22" s="452" t="s">
        <v>2691</v>
      </c>
      <c r="UQ22" s="498" t="s">
        <v>1620</v>
      </c>
      <c r="UR22" s="498">
        <v>1</v>
      </c>
      <c r="US22" s="499">
        <v>1500000</v>
      </c>
      <c r="UT22" s="498">
        <v>1.58</v>
      </c>
      <c r="UU22" s="498">
        <v>1</v>
      </c>
      <c r="UV22" s="501">
        <v>6.75</v>
      </c>
      <c r="UW22" s="486">
        <v>5.0999999999999996</v>
      </c>
      <c r="UX22" s="452" t="s">
        <v>2691</v>
      </c>
      <c r="UY22" s="498" t="s">
        <v>1620</v>
      </c>
      <c r="UZ22" s="498">
        <v>1</v>
      </c>
      <c r="VA22" s="499">
        <v>1500000</v>
      </c>
      <c r="VB22" s="498">
        <v>1.58</v>
      </c>
      <c r="VC22" s="498">
        <v>1</v>
      </c>
      <c r="VD22" s="501">
        <v>6.75</v>
      </c>
      <c r="VE22" s="486">
        <v>5.0999999999999996</v>
      </c>
      <c r="VF22" s="452" t="s">
        <v>2691</v>
      </c>
      <c r="VG22" s="498" t="s">
        <v>1620</v>
      </c>
      <c r="VH22" s="498">
        <v>1</v>
      </c>
      <c r="VI22" s="499">
        <v>1500000</v>
      </c>
      <c r="VJ22" s="498">
        <v>1.58</v>
      </c>
      <c r="VK22" s="498">
        <v>1</v>
      </c>
      <c r="VL22" s="501">
        <v>6.75</v>
      </c>
      <c r="VM22" s="486">
        <v>5.0999999999999996</v>
      </c>
      <c r="VN22" s="452" t="s">
        <v>2691</v>
      </c>
      <c r="VO22" s="498" t="s">
        <v>1620</v>
      </c>
      <c r="VP22" s="498">
        <v>1</v>
      </c>
      <c r="VQ22" s="499">
        <v>1500000</v>
      </c>
      <c r="VR22" s="498">
        <v>1.58</v>
      </c>
      <c r="VS22" s="498">
        <v>1</v>
      </c>
      <c r="VT22" s="501">
        <v>6.75</v>
      </c>
      <c r="VU22" s="486">
        <v>5.0999999999999996</v>
      </c>
      <c r="VV22" s="452" t="s">
        <v>2691</v>
      </c>
      <c r="VW22" s="498" t="s">
        <v>1620</v>
      </c>
      <c r="VX22" s="498">
        <v>1</v>
      </c>
      <c r="VY22" s="499">
        <v>1500000</v>
      </c>
      <c r="VZ22" s="498">
        <v>1.58</v>
      </c>
      <c r="WA22" s="498">
        <v>1</v>
      </c>
      <c r="WB22" s="501">
        <v>6.75</v>
      </c>
      <c r="WC22" s="486">
        <v>5.0999999999999996</v>
      </c>
      <c r="WD22" s="452" t="s">
        <v>2691</v>
      </c>
      <c r="WE22" s="498" t="s">
        <v>1620</v>
      </c>
      <c r="WF22" s="498">
        <v>1</v>
      </c>
      <c r="WG22" s="499">
        <v>1500000</v>
      </c>
      <c r="WH22" s="498">
        <v>1.58</v>
      </c>
      <c r="WI22" s="498">
        <v>1</v>
      </c>
      <c r="WJ22" s="501">
        <v>6.75</v>
      </c>
      <c r="WK22" s="486">
        <v>5.0999999999999996</v>
      </c>
      <c r="WL22" s="452" t="s">
        <v>2691</v>
      </c>
      <c r="WM22" s="498" t="s">
        <v>1620</v>
      </c>
      <c r="WN22" s="498">
        <v>1</v>
      </c>
      <c r="WO22" s="499">
        <v>1500000</v>
      </c>
      <c r="WP22" s="498">
        <v>1.58</v>
      </c>
      <c r="WQ22" s="498">
        <v>1</v>
      </c>
      <c r="WR22" s="501">
        <v>6.75</v>
      </c>
      <c r="WS22" s="486">
        <v>5.0999999999999996</v>
      </c>
      <c r="WT22" s="452" t="s">
        <v>2691</v>
      </c>
      <c r="WU22" s="498" t="s">
        <v>1620</v>
      </c>
      <c r="WV22" s="498">
        <v>1</v>
      </c>
      <c r="WW22" s="499">
        <v>1500000</v>
      </c>
      <c r="WX22" s="498">
        <v>1.58</v>
      </c>
      <c r="WY22" s="498">
        <v>1</v>
      </c>
      <c r="WZ22" s="501">
        <v>6.75</v>
      </c>
      <c r="XA22" s="486">
        <v>5.0999999999999996</v>
      </c>
      <c r="XB22" s="452" t="s">
        <v>2691</v>
      </c>
      <c r="XC22" s="498" t="s">
        <v>1620</v>
      </c>
      <c r="XD22" s="498">
        <v>1</v>
      </c>
      <c r="XE22" s="499">
        <v>1500000</v>
      </c>
      <c r="XF22" s="498">
        <v>1.58</v>
      </c>
      <c r="XG22" s="498">
        <v>1</v>
      </c>
      <c r="XH22" s="501">
        <v>6.75</v>
      </c>
      <c r="XI22" s="486">
        <v>5.0999999999999996</v>
      </c>
      <c r="XJ22" s="452" t="s">
        <v>2691</v>
      </c>
      <c r="XK22" s="498" t="s">
        <v>1620</v>
      </c>
      <c r="XL22" s="498">
        <v>1</v>
      </c>
      <c r="XM22" s="499">
        <v>1500000</v>
      </c>
      <c r="XN22" s="498">
        <v>1.58</v>
      </c>
      <c r="XO22" s="498">
        <v>1</v>
      </c>
      <c r="XP22" s="501">
        <v>6.75</v>
      </c>
      <c r="XQ22" s="486">
        <v>5.0999999999999996</v>
      </c>
      <c r="XR22" s="452" t="s">
        <v>2691</v>
      </c>
      <c r="XS22" s="498" t="s">
        <v>1620</v>
      </c>
      <c r="XT22" s="498">
        <v>1</v>
      </c>
      <c r="XU22" s="499">
        <v>1500000</v>
      </c>
      <c r="XV22" s="498">
        <v>1.58</v>
      </c>
      <c r="XW22" s="498">
        <v>1</v>
      </c>
      <c r="XX22" s="501">
        <v>6.75</v>
      </c>
      <c r="XY22" s="486">
        <v>5.0999999999999996</v>
      </c>
      <c r="XZ22" s="452" t="s">
        <v>2691</v>
      </c>
      <c r="YA22" s="498" t="s">
        <v>1620</v>
      </c>
      <c r="YB22" s="498">
        <v>1</v>
      </c>
      <c r="YC22" s="499">
        <v>1500000</v>
      </c>
      <c r="YD22" s="498">
        <v>1.58</v>
      </c>
      <c r="YE22" s="498">
        <v>1</v>
      </c>
      <c r="YF22" s="501">
        <v>6.75</v>
      </c>
      <c r="YG22" s="486">
        <v>5.0999999999999996</v>
      </c>
      <c r="YH22" s="452" t="s">
        <v>2691</v>
      </c>
      <c r="YI22" s="498" t="s">
        <v>1620</v>
      </c>
      <c r="YJ22" s="498">
        <v>1</v>
      </c>
      <c r="YK22" s="499">
        <v>1500000</v>
      </c>
      <c r="YL22" s="498">
        <v>1.58</v>
      </c>
      <c r="YM22" s="498">
        <v>1</v>
      </c>
      <c r="YN22" s="501">
        <v>6.75</v>
      </c>
      <c r="YO22" s="486">
        <v>5.0999999999999996</v>
      </c>
      <c r="YP22" s="452" t="s">
        <v>2691</v>
      </c>
      <c r="YQ22" s="498" t="s">
        <v>1620</v>
      </c>
      <c r="YR22" s="498">
        <v>1</v>
      </c>
      <c r="YS22" s="499">
        <v>1500000</v>
      </c>
      <c r="YT22" s="498">
        <v>1.58</v>
      </c>
      <c r="YU22" s="498">
        <v>1</v>
      </c>
      <c r="YV22" s="501">
        <v>6.75</v>
      </c>
      <c r="YW22" s="486">
        <v>5.0999999999999996</v>
      </c>
      <c r="YX22" s="452" t="s">
        <v>2691</v>
      </c>
      <c r="YY22" s="498" t="s">
        <v>1620</v>
      </c>
      <c r="YZ22" s="498">
        <v>1</v>
      </c>
      <c r="ZA22" s="499">
        <v>1500000</v>
      </c>
      <c r="ZB22" s="498">
        <v>1.58</v>
      </c>
      <c r="ZC22" s="498">
        <v>1</v>
      </c>
      <c r="ZD22" s="501">
        <v>6.75</v>
      </c>
      <c r="ZE22" s="486">
        <v>5.0999999999999996</v>
      </c>
      <c r="ZF22" s="452" t="s">
        <v>2691</v>
      </c>
      <c r="ZG22" s="498" t="s">
        <v>1620</v>
      </c>
      <c r="ZH22" s="498">
        <v>1</v>
      </c>
      <c r="ZI22" s="499">
        <v>1500000</v>
      </c>
      <c r="ZJ22" s="498">
        <v>1.58</v>
      </c>
      <c r="ZK22" s="498">
        <v>1</v>
      </c>
      <c r="ZL22" s="501">
        <v>6.75</v>
      </c>
      <c r="ZM22" s="486">
        <v>5.0999999999999996</v>
      </c>
      <c r="ZN22" s="452" t="s">
        <v>2691</v>
      </c>
      <c r="ZO22" s="498" t="s">
        <v>1620</v>
      </c>
      <c r="ZP22" s="498">
        <v>1</v>
      </c>
      <c r="ZQ22" s="499">
        <v>1500000</v>
      </c>
      <c r="ZR22" s="498">
        <v>1.58</v>
      </c>
      <c r="ZS22" s="498">
        <v>1</v>
      </c>
      <c r="ZT22" s="501">
        <v>6.75</v>
      </c>
      <c r="ZU22" s="486">
        <v>5.0999999999999996</v>
      </c>
      <c r="ZV22" s="452" t="s">
        <v>2691</v>
      </c>
      <c r="ZW22" s="498" t="s">
        <v>1620</v>
      </c>
      <c r="ZX22" s="498">
        <v>1</v>
      </c>
      <c r="ZY22" s="499">
        <v>1500000</v>
      </c>
      <c r="ZZ22" s="498">
        <v>1.58</v>
      </c>
      <c r="AAA22" s="498">
        <v>1</v>
      </c>
      <c r="AAB22" s="501">
        <v>6.75</v>
      </c>
      <c r="AAC22" s="486">
        <v>5.0999999999999996</v>
      </c>
      <c r="AAD22" s="452" t="s">
        <v>2691</v>
      </c>
      <c r="AAE22" s="498" t="s">
        <v>1620</v>
      </c>
      <c r="AAF22" s="498">
        <v>1</v>
      </c>
      <c r="AAG22" s="499">
        <v>1500000</v>
      </c>
      <c r="AAH22" s="498">
        <v>1.58</v>
      </c>
      <c r="AAI22" s="498">
        <v>1</v>
      </c>
      <c r="AAJ22" s="501">
        <v>6.75</v>
      </c>
      <c r="AAK22" s="486">
        <v>5.0999999999999996</v>
      </c>
      <c r="AAL22" s="452" t="s">
        <v>2691</v>
      </c>
      <c r="AAM22" s="498" t="s">
        <v>1620</v>
      </c>
      <c r="AAN22" s="498">
        <v>1</v>
      </c>
      <c r="AAO22" s="499">
        <v>1500000</v>
      </c>
      <c r="AAP22" s="498">
        <v>1.58</v>
      </c>
      <c r="AAQ22" s="498">
        <v>1</v>
      </c>
      <c r="AAR22" s="501">
        <v>6.75</v>
      </c>
      <c r="AAS22" s="486">
        <v>5.0999999999999996</v>
      </c>
      <c r="AAT22" s="452" t="s">
        <v>2691</v>
      </c>
      <c r="AAU22" s="498" t="s">
        <v>1620</v>
      </c>
      <c r="AAV22" s="498">
        <v>1</v>
      </c>
      <c r="AAW22" s="499">
        <v>1500000</v>
      </c>
      <c r="AAX22" s="498">
        <v>1.58</v>
      </c>
      <c r="AAY22" s="498">
        <v>1</v>
      </c>
      <c r="AAZ22" s="501">
        <v>6.75</v>
      </c>
      <c r="ABA22" s="486">
        <v>5.0999999999999996</v>
      </c>
      <c r="ABB22" s="452" t="s">
        <v>2691</v>
      </c>
      <c r="ABC22" s="498" t="s">
        <v>1620</v>
      </c>
      <c r="ABD22" s="498">
        <v>1</v>
      </c>
      <c r="ABE22" s="499">
        <v>1500000</v>
      </c>
      <c r="ABF22" s="498">
        <v>1.58</v>
      </c>
      <c r="ABG22" s="498">
        <v>1</v>
      </c>
      <c r="ABH22" s="501">
        <v>6.75</v>
      </c>
      <c r="ABI22" s="486">
        <v>5.0999999999999996</v>
      </c>
      <c r="ABJ22" s="452" t="s">
        <v>2691</v>
      </c>
      <c r="ABK22" s="498" t="s">
        <v>1620</v>
      </c>
      <c r="ABL22" s="498">
        <v>1</v>
      </c>
      <c r="ABM22" s="499">
        <v>1500000</v>
      </c>
      <c r="ABN22" s="498">
        <v>1.58</v>
      </c>
      <c r="ABO22" s="498">
        <v>1</v>
      </c>
      <c r="ABP22" s="501">
        <v>6.75</v>
      </c>
      <c r="ABQ22" s="486">
        <v>5.0999999999999996</v>
      </c>
      <c r="ABR22" s="452" t="s">
        <v>2691</v>
      </c>
      <c r="ABS22" s="498" t="s">
        <v>1620</v>
      </c>
      <c r="ABT22" s="498">
        <v>1</v>
      </c>
      <c r="ABU22" s="499">
        <v>1500000</v>
      </c>
      <c r="ABV22" s="498">
        <v>1.58</v>
      </c>
      <c r="ABW22" s="498">
        <v>1</v>
      </c>
      <c r="ABX22" s="501">
        <v>6.75</v>
      </c>
      <c r="ABY22" s="486">
        <v>5.0999999999999996</v>
      </c>
      <c r="ABZ22" s="452" t="s">
        <v>2691</v>
      </c>
      <c r="ACA22" s="498" t="s">
        <v>1620</v>
      </c>
      <c r="ACB22" s="498">
        <v>1</v>
      </c>
      <c r="ACC22" s="499">
        <v>1500000</v>
      </c>
      <c r="ACD22" s="498">
        <v>1.58</v>
      </c>
      <c r="ACE22" s="498">
        <v>1</v>
      </c>
      <c r="ACF22" s="501">
        <v>6.75</v>
      </c>
      <c r="ACG22" s="486">
        <v>5.0999999999999996</v>
      </c>
      <c r="ACH22" s="452" t="s">
        <v>2691</v>
      </c>
      <c r="ACI22" s="498" t="s">
        <v>1620</v>
      </c>
      <c r="ACJ22" s="498">
        <v>1</v>
      </c>
      <c r="ACK22" s="499">
        <v>1500000</v>
      </c>
      <c r="ACL22" s="498">
        <v>1.58</v>
      </c>
      <c r="ACM22" s="498">
        <v>1</v>
      </c>
      <c r="ACN22" s="501">
        <v>6.75</v>
      </c>
      <c r="ACO22" s="486">
        <v>5.0999999999999996</v>
      </c>
      <c r="ACP22" s="452" t="s">
        <v>2691</v>
      </c>
      <c r="ACQ22" s="498" t="s">
        <v>1620</v>
      </c>
      <c r="ACR22" s="498">
        <v>1</v>
      </c>
      <c r="ACS22" s="499">
        <v>1500000</v>
      </c>
      <c r="ACT22" s="498">
        <v>1.58</v>
      </c>
      <c r="ACU22" s="498">
        <v>1</v>
      </c>
      <c r="ACV22" s="501">
        <v>6.75</v>
      </c>
      <c r="ACW22" s="486">
        <v>5.0999999999999996</v>
      </c>
      <c r="ACX22" s="452" t="s">
        <v>2691</v>
      </c>
      <c r="ACY22" s="498" t="s">
        <v>1620</v>
      </c>
      <c r="ACZ22" s="498">
        <v>1</v>
      </c>
      <c r="ADA22" s="499">
        <v>1500000</v>
      </c>
      <c r="ADB22" s="498">
        <v>1.58</v>
      </c>
      <c r="ADC22" s="498">
        <v>1</v>
      </c>
      <c r="ADD22" s="501">
        <v>6.75</v>
      </c>
      <c r="ADE22" s="486">
        <v>5.0999999999999996</v>
      </c>
      <c r="ADF22" s="452" t="s">
        <v>2691</v>
      </c>
      <c r="ADG22" s="498" t="s">
        <v>1620</v>
      </c>
      <c r="ADH22" s="498">
        <v>1</v>
      </c>
      <c r="ADI22" s="499">
        <v>1500000</v>
      </c>
      <c r="ADJ22" s="498">
        <v>1.58</v>
      </c>
      <c r="ADK22" s="498">
        <v>1</v>
      </c>
      <c r="ADL22" s="501">
        <v>6.75</v>
      </c>
      <c r="ADM22" s="486">
        <v>5.0999999999999996</v>
      </c>
      <c r="ADN22" s="452" t="s">
        <v>2691</v>
      </c>
      <c r="ADO22" s="498" t="s">
        <v>1620</v>
      </c>
      <c r="ADP22" s="498">
        <v>1</v>
      </c>
      <c r="ADQ22" s="499">
        <v>1500000</v>
      </c>
      <c r="ADR22" s="498">
        <v>1.58</v>
      </c>
      <c r="ADS22" s="498">
        <v>1</v>
      </c>
      <c r="ADT22" s="501">
        <v>6.75</v>
      </c>
      <c r="ADU22" s="486">
        <v>5.0999999999999996</v>
      </c>
      <c r="ADV22" s="452" t="s">
        <v>2691</v>
      </c>
      <c r="ADW22" s="498" t="s">
        <v>1620</v>
      </c>
      <c r="ADX22" s="498">
        <v>1</v>
      </c>
      <c r="ADY22" s="499">
        <v>1500000</v>
      </c>
      <c r="ADZ22" s="498">
        <v>1.58</v>
      </c>
      <c r="AEA22" s="498">
        <v>1</v>
      </c>
      <c r="AEB22" s="501">
        <v>6.75</v>
      </c>
      <c r="AEC22" s="486">
        <v>5.0999999999999996</v>
      </c>
      <c r="AED22" s="452" t="s">
        <v>2691</v>
      </c>
      <c r="AEE22" s="498" t="s">
        <v>1620</v>
      </c>
      <c r="AEF22" s="498">
        <v>1</v>
      </c>
      <c r="AEG22" s="499">
        <v>1500000</v>
      </c>
      <c r="AEH22" s="498">
        <v>1.58</v>
      </c>
      <c r="AEI22" s="498">
        <v>1</v>
      </c>
      <c r="AEJ22" s="501">
        <v>6.75</v>
      </c>
      <c r="AEK22" s="486">
        <v>5.0999999999999996</v>
      </c>
      <c r="AEL22" s="452" t="s">
        <v>2691</v>
      </c>
      <c r="AEM22" s="498" t="s">
        <v>1620</v>
      </c>
      <c r="AEN22" s="498">
        <v>1</v>
      </c>
      <c r="AEO22" s="499">
        <v>1500000</v>
      </c>
      <c r="AEP22" s="498">
        <v>1.58</v>
      </c>
      <c r="AEQ22" s="498">
        <v>1</v>
      </c>
      <c r="AER22" s="501">
        <v>6.75</v>
      </c>
      <c r="AES22" s="486">
        <v>5.0999999999999996</v>
      </c>
      <c r="AET22" s="452" t="s">
        <v>2691</v>
      </c>
      <c r="AEU22" s="498" t="s">
        <v>1620</v>
      </c>
      <c r="AEV22" s="498">
        <v>1</v>
      </c>
      <c r="AEW22" s="499">
        <v>1500000</v>
      </c>
      <c r="AEX22" s="498">
        <v>1.58</v>
      </c>
      <c r="AEY22" s="498">
        <v>1</v>
      </c>
      <c r="AEZ22" s="501">
        <v>6.75</v>
      </c>
      <c r="AFA22" s="486">
        <v>5.0999999999999996</v>
      </c>
      <c r="AFB22" s="452" t="s">
        <v>2691</v>
      </c>
      <c r="AFC22" s="498" t="s">
        <v>1620</v>
      </c>
      <c r="AFD22" s="498">
        <v>1</v>
      </c>
      <c r="AFE22" s="499">
        <v>1500000</v>
      </c>
      <c r="AFF22" s="498">
        <v>1.58</v>
      </c>
      <c r="AFG22" s="498">
        <v>1</v>
      </c>
      <c r="AFH22" s="501">
        <v>6.75</v>
      </c>
      <c r="AFI22" s="486">
        <v>5.0999999999999996</v>
      </c>
      <c r="AFJ22" s="452" t="s">
        <v>2691</v>
      </c>
      <c r="AFK22" s="498" t="s">
        <v>1620</v>
      </c>
      <c r="AFL22" s="498">
        <v>1</v>
      </c>
      <c r="AFM22" s="499">
        <v>1500000</v>
      </c>
      <c r="AFN22" s="498">
        <v>1.58</v>
      </c>
      <c r="AFO22" s="498">
        <v>1</v>
      </c>
      <c r="AFP22" s="501">
        <v>6.75</v>
      </c>
      <c r="AFQ22" s="486">
        <v>5.0999999999999996</v>
      </c>
      <c r="AFR22" s="452" t="s">
        <v>2691</v>
      </c>
      <c r="AFS22" s="498" t="s">
        <v>1620</v>
      </c>
      <c r="AFT22" s="498">
        <v>1</v>
      </c>
      <c r="AFU22" s="499">
        <v>1500000</v>
      </c>
      <c r="AFV22" s="498">
        <v>1.58</v>
      </c>
      <c r="AFW22" s="498">
        <v>1</v>
      </c>
      <c r="AFX22" s="501">
        <v>6.75</v>
      </c>
      <c r="AFY22" s="486">
        <v>5.0999999999999996</v>
      </c>
      <c r="AFZ22" s="452" t="s">
        <v>2691</v>
      </c>
      <c r="AGA22" s="498" t="s">
        <v>1620</v>
      </c>
      <c r="AGB22" s="498">
        <v>1</v>
      </c>
      <c r="AGC22" s="499">
        <v>1500000</v>
      </c>
      <c r="AGD22" s="498">
        <v>1.58</v>
      </c>
      <c r="AGE22" s="498">
        <v>1</v>
      </c>
      <c r="AGF22" s="501">
        <v>6.75</v>
      </c>
      <c r="AGG22" s="486">
        <v>5.0999999999999996</v>
      </c>
      <c r="AGH22" s="452" t="s">
        <v>2691</v>
      </c>
      <c r="AGI22" s="498" t="s">
        <v>1620</v>
      </c>
      <c r="AGJ22" s="498">
        <v>1</v>
      </c>
      <c r="AGK22" s="499">
        <v>1500000</v>
      </c>
      <c r="AGL22" s="498">
        <v>1.58</v>
      </c>
      <c r="AGM22" s="498">
        <v>1</v>
      </c>
      <c r="AGN22" s="501">
        <v>6.75</v>
      </c>
      <c r="AGO22" s="486">
        <v>5.0999999999999996</v>
      </c>
      <c r="AGP22" s="452" t="s">
        <v>2691</v>
      </c>
      <c r="AGQ22" s="498" t="s">
        <v>1620</v>
      </c>
      <c r="AGR22" s="498">
        <v>1</v>
      </c>
      <c r="AGS22" s="499">
        <v>1500000</v>
      </c>
      <c r="AGT22" s="498">
        <v>1.58</v>
      </c>
      <c r="AGU22" s="498">
        <v>1</v>
      </c>
      <c r="AGV22" s="501">
        <v>6.75</v>
      </c>
      <c r="AGW22" s="486">
        <v>5.0999999999999996</v>
      </c>
      <c r="AGX22" s="452" t="s">
        <v>2691</v>
      </c>
      <c r="AGY22" s="498" t="s">
        <v>1620</v>
      </c>
      <c r="AGZ22" s="498">
        <v>1</v>
      </c>
      <c r="AHA22" s="499">
        <v>1500000</v>
      </c>
      <c r="AHB22" s="498">
        <v>1.58</v>
      </c>
      <c r="AHC22" s="498">
        <v>1</v>
      </c>
      <c r="AHD22" s="501">
        <v>6.75</v>
      </c>
      <c r="AHE22" s="486">
        <v>5.0999999999999996</v>
      </c>
      <c r="AHF22" s="452" t="s">
        <v>2691</v>
      </c>
      <c r="AHG22" s="498" t="s">
        <v>1620</v>
      </c>
      <c r="AHH22" s="498">
        <v>1</v>
      </c>
      <c r="AHI22" s="499">
        <v>1500000</v>
      </c>
      <c r="AHJ22" s="498">
        <v>1.58</v>
      </c>
      <c r="AHK22" s="498">
        <v>1</v>
      </c>
      <c r="AHL22" s="501">
        <v>6.75</v>
      </c>
      <c r="AHM22" s="486">
        <v>5.0999999999999996</v>
      </c>
      <c r="AHN22" s="452" t="s">
        <v>2691</v>
      </c>
      <c r="AHO22" s="498" t="s">
        <v>1620</v>
      </c>
      <c r="AHP22" s="498">
        <v>1</v>
      </c>
      <c r="AHQ22" s="499">
        <v>1500000</v>
      </c>
      <c r="AHR22" s="498">
        <v>1.58</v>
      </c>
      <c r="AHS22" s="498">
        <v>1</v>
      </c>
      <c r="AHT22" s="501">
        <v>6.75</v>
      </c>
      <c r="AHU22" s="486">
        <v>5.0999999999999996</v>
      </c>
      <c r="AHV22" s="452" t="s">
        <v>2691</v>
      </c>
      <c r="AHW22" s="498" t="s">
        <v>1620</v>
      </c>
      <c r="AHX22" s="498">
        <v>1</v>
      </c>
      <c r="AHY22" s="499">
        <v>1500000</v>
      </c>
      <c r="AHZ22" s="498">
        <v>1.58</v>
      </c>
      <c r="AIA22" s="498">
        <v>1</v>
      </c>
      <c r="AIB22" s="501">
        <v>6.75</v>
      </c>
      <c r="AIC22" s="486">
        <v>5.0999999999999996</v>
      </c>
      <c r="AID22" s="452" t="s">
        <v>2691</v>
      </c>
      <c r="AIE22" s="498" t="s">
        <v>1620</v>
      </c>
      <c r="AIF22" s="498">
        <v>1</v>
      </c>
      <c r="AIG22" s="499">
        <v>1500000</v>
      </c>
      <c r="AIH22" s="498">
        <v>1.58</v>
      </c>
      <c r="AII22" s="498">
        <v>1</v>
      </c>
      <c r="AIJ22" s="501">
        <v>6.75</v>
      </c>
      <c r="AIK22" s="486">
        <v>5.0999999999999996</v>
      </c>
      <c r="AIL22" s="452" t="s">
        <v>2691</v>
      </c>
      <c r="AIM22" s="498" t="s">
        <v>1620</v>
      </c>
      <c r="AIN22" s="498">
        <v>1</v>
      </c>
      <c r="AIO22" s="499">
        <v>1500000</v>
      </c>
      <c r="AIP22" s="498">
        <v>1.58</v>
      </c>
      <c r="AIQ22" s="498">
        <v>1</v>
      </c>
      <c r="AIR22" s="501">
        <v>6.75</v>
      </c>
      <c r="AIS22" s="486">
        <v>5.0999999999999996</v>
      </c>
      <c r="AIT22" s="452" t="s">
        <v>2691</v>
      </c>
      <c r="AIU22" s="498" t="s">
        <v>1620</v>
      </c>
      <c r="AIV22" s="498">
        <v>1</v>
      </c>
      <c r="AIW22" s="499">
        <v>1500000</v>
      </c>
      <c r="AIX22" s="498">
        <v>1.58</v>
      </c>
      <c r="AIY22" s="498">
        <v>1</v>
      </c>
      <c r="AIZ22" s="501">
        <v>6.75</v>
      </c>
      <c r="AJA22" s="486">
        <v>5.0999999999999996</v>
      </c>
      <c r="AJB22" s="452" t="s">
        <v>2691</v>
      </c>
      <c r="AJC22" s="498" t="s">
        <v>1620</v>
      </c>
      <c r="AJD22" s="498">
        <v>1</v>
      </c>
      <c r="AJE22" s="499">
        <v>1500000</v>
      </c>
      <c r="AJF22" s="498">
        <v>1.58</v>
      </c>
      <c r="AJG22" s="498">
        <v>1</v>
      </c>
      <c r="AJH22" s="501">
        <v>6.75</v>
      </c>
      <c r="AJI22" s="486">
        <v>5.0999999999999996</v>
      </c>
      <c r="AJJ22" s="452" t="s">
        <v>2691</v>
      </c>
      <c r="AJK22" s="498" t="s">
        <v>1620</v>
      </c>
      <c r="AJL22" s="498">
        <v>1</v>
      </c>
      <c r="AJM22" s="499">
        <v>1500000</v>
      </c>
      <c r="AJN22" s="498">
        <v>1.58</v>
      </c>
      <c r="AJO22" s="498">
        <v>1</v>
      </c>
      <c r="AJP22" s="501">
        <v>6.75</v>
      </c>
      <c r="AJQ22" s="486">
        <v>5.0999999999999996</v>
      </c>
      <c r="AJR22" s="452" t="s">
        <v>2691</v>
      </c>
      <c r="AJS22" s="498" t="s">
        <v>1620</v>
      </c>
      <c r="AJT22" s="498">
        <v>1</v>
      </c>
      <c r="AJU22" s="499">
        <v>1500000</v>
      </c>
      <c r="AJV22" s="498">
        <v>1.58</v>
      </c>
      <c r="AJW22" s="498">
        <v>1</v>
      </c>
      <c r="AJX22" s="501">
        <v>6.75</v>
      </c>
      <c r="AJY22" s="486">
        <v>5.0999999999999996</v>
      </c>
      <c r="AJZ22" s="452" t="s">
        <v>2691</v>
      </c>
      <c r="AKA22" s="498" t="s">
        <v>1620</v>
      </c>
      <c r="AKB22" s="498">
        <v>1</v>
      </c>
      <c r="AKC22" s="499">
        <v>1500000</v>
      </c>
      <c r="AKD22" s="498">
        <v>1.58</v>
      </c>
      <c r="AKE22" s="498">
        <v>1</v>
      </c>
      <c r="AKF22" s="501">
        <v>6.75</v>
      </c>
      <c r="AKG22" s="486">
        <v>5.0999999999999996</v>
      </c>
      <c r="AKH22" s="452" t="s">
        <v>2691</v>
      </c>
      <c r="AKI22" s="498" t="s">
        <v>1620</v>
      </c>
      <c r="AKJ22" s="498">
        <v>1</v>
      </c>
      <c r="AKK22" s="499">
        <v>1500000</v>
      </c>
      <c r="AKL22" s="498">
        <v>1.58</v>
      </c>
      <c r="AKM22" s="498">
        <v>1</v>
      </c>
      <c r="AKN22" s="501">
        <v>6.75</v>
      </c>
      <c r="AKO22" s="486">
        <v>5.0999999999999996</v>
      </c>
      <c r="AKP22" s="452" t="s">
        <v>2691</v>
      </c>
      <c r="AKQ22" s="498" t="s">
        <v>1620</v>
      </c>
      <c r="AKR22" s="498">
        <v>1</v>
      </c>
      <c r="AKS22" s="499">
        <v>1500000</v>
      </c>
      <c r="AKT22" s="498">
        <v>1.58</v>
      </c>
      <c r="AKU22" s="498">
        <v>1</v>
      </c>
      <c r="AKV22" s="501">
        <v>6.75</v>
      </c>
      <c r="AKW22" s="486">
        <v>5.0999999999999996</v>
      </c>
      <c r="AKX22" s="452" t="s">
        <v>2691</v>
      </c>
      <c r="AKY22" s="498" t="s">
        <v>1620</v>
      </c>
      <c r="AKZ22" s="498">
        <v>1</v>
      </c>
      <c r="ALA22" s="499">
        <v>1500000</v>
      </c>
      <c r="ALB22" s="498">
        <v>1.58</v>
      </c>
      <c r="ALC22" s="498">
        <v>1</v>
      </c>
      <c r="ALD22" s="501">
        <v>6.75</v>
      </c>
      <c r="ALE22" s="486">
        <v>5.0999999999999996</v>
      </c>
      <c r="ALF22" s="452" t="s">
        <v>2691</v>
      </c>
      <c r="ALG22" s="498" t="s">
        <v>1620</v>
      </c>
      <c r="ALH22" s="498">
        <v>1</v>
      </c>
      <c r="ALI22" s="499">
        <v>1500000</v>
      </c>
      <c r="ALJ22" s="498">
        <v>1.58</v>
      </c>
      <c r="ALK22" s="498">
        <v>1</v>
      </c>
      <c r="ALL22" s="501">
        <v>6.75</v>
      </c>
      <c r="ALM22" s="486">
        <v>5.0999999999999996</v>
      </c>
      <c r="ALN22" s="452" t="s">
        <v>2691</v>
      </c>
      <c r="ALO22" s="498" t="s">
        <v>1620</v>
      </c>
      <c r="ALP22" s="498">
        <v>1</v>
      </c>
      <c r="ALQ22" s="499">
        <v>1500000</v>
      </c>
      <c r="ALR22" s="498">
        <v>1.58</v>
      </c>
      <c r="ALS22" s="498">
        <v>1</v>
      </c>
      <c r="ALT22" s="501">
        <v>6.75</v>
      </c>
      <c r="ALU22" s="486">
        <v>5.0999999999999996</v>
      </c>
      <c r="ALV22" s="452" t="s">
        <v>2691</v>
      </c>
      <c r="ALW22" s="498" t="s">
        <v>1620</v>
      </c>
      <c r="ALX22" s="498">
        <v>1</v>
      </c>
      <c r="ALY22" s="499">
        <v>1500000</v>
      </c>
      <c r="ALZ22" s="498">
        <v>1.58</v>
      </c>
      <c r="AMA22" s="498">
        <v>1</v>
      </c>
      <c r="AMB22" s="501">
        <v>6.75</v>
      </c>
      <c r="AMC22" s="486">
        <v>5.0999999999999996</v>
      </c>
      <c r="AMD22" s="452" t="s">
        <v>2691</v>
      </c>
      <c r="AME22" s="498" t="s">
        <v>1620</v>
      </c>
      <c r="AMF22" s="498">
        <v>1</v>
      </c>
      <c r="AMG22" s="499">
        <v>1500000</v>
      </c>
      <c r="AMH22" s="498">
        <v>1.58</v>
      </c>
      <c r="AMI22" s="498">
        <v>1</v>
      </c>
      <c r="AMJ22" s="501">
        <v>6.75</v>
      </c>
      <c r="AMK22" s="486">
        <v>5.0999999999999996</v>
      </c>
      <c r="AML22" s="452" t="s">
        <v>2691</v>
      </c>
      <c r="AMM22" s="498" t="s">
        <v>1620</v>
      </c>
      <c r="AMN22" s="498">
        <v>1</v>
      </c>
      <c r="AMO22" s="499">
        <v>1500000</v>
      </c>
      <c r="AMP22" s="498">
        <v>1.58</v>
      </c>
      <c r="AMQ22" s="498">
        <v>1</v>
      </c>
      <c r="AMR22" s="501">
        <v>6.75</v>
      </c>
      <c r="AMS22" s="486">
        <v>5.0999999999999996</v>
      </c>
      <c r="AMT22" s="452" t="s">
        <v>2691</v>
      </c>
      <c r="AMU22" s="498" t="s">
        <v>1620</v>
      </c>
      <c r="AMV22" s="498">
        <v>1</v>
      </c>
      <c r="AMW22" s="499">
        <v>1500000</v>
      </c>
      <c r="AMX22" s="498">
        <v>1.58</v>
      </c>
      <c r="AMY22" s="498">
        <v>1</v>
      </c>
      <c r="AMZ22" s="501">
        <v>6.75</v>
      </c>
      <c r="ANA22" s="486">
        <v>5.0999999999999996</v>
      </c>
      <c r="ANB22" s="452" t="s">
        <v>2691</v>
      </c>
      <c r="ANC22" s="498" t="s">
        <v>1620</v>
      </c>
      <c r="AND22" s="498">
        <v>1</v>
      </c>
      <c r="ANE22" s="499">
        <v>1500000</v>
      </c>
      <c r="ANF22" s="498">
        <v>1.58</v>
      </c>
      <c r="ANG22" s="498">
        <v>1</v>
      </c>
      <c r="ANH22" s="501">
        <v>6.75</v>
      </c>
      <c r="ANI22" s="486">
        <v>5.0999999999999996</v>
      </c>
      <c r="ANJ22" s="452" t="s">
        <v>2691</v>
      </c>
      <c r="ANK22" s="498" t="s">
        <v>1620</v>
      </c>
      <c r="ANL22" s="498">
        <v>1</v>
      </c>
      <c r="ANM22" s="499">
        <v>1500000</v>
      </c>
      <c r="ANN22" s="498">
        <v>1.58</v>
      </c>
      <c r="ANO22" s="498">
        <v>1</v>
      </c>
      <c r="ANP22" s="501">
        <v>6.75</v>
      </c>
      <c r="ANQ22" s="486">
        <v>5.0999999999999996</v>
      </c>
      <c r="ANR22" s="452" t="s">
        <v>2691</v>
      </c>
      <c r="ANS22" s="498" t="s">
        <v>1620</v>
      </c>
      <c r="ANT22" s="498">
        <v>1</v>
      </c>
      <c r="ANU22" s="499">
        <v>1500000</v>
      </c>
      <c r="ANV22" s="498">
        <v>1.58</v>
      </c>
      <c r="ANW22" s="498">
        <v>1</v>
      </c>
      <c r="ANX22" s="501">
        <v>6.75</v>
      </c>
      <c r="ANY22" s="486">
        <v>5.0999999999999996</v>
      </c>
      <c r="ANZ22" s="452" t="s">
        <v>2691</v>
      </c>
      <c r="AOA22" s="498" t="s">
        <v>1620</v>
      </c>
      <c r="AOB22" s="498">
        <v>1</v>
      </c>
      <c r="AOC22" s="499">
        <v>1500000</v>
      </c>
      <c r="AOD22" s="498">
        <v>1.58</v>
      </c>
      <c r="AOE22" s="498">
        <v>1</v>
      </c>
      <c r="AOF22" s="501">
        <v>6.75</v>
      </c>
      <c r="AOG22" s="486">
        <v>5.0999999999999996</v>
      </c>
      <c r="AOH22" s="452" t="s">
        <v>2691</v>
      </c>
      <c r="AOI22" s="498" t="s">
        <v>1620</v>
      </c>
      <c r="AOJ22" s="498">
        <v>1</v>
      </c>
      <c r="AOK22" s="499">
        <v>1500000</v>
      </c>
      <c r="AOL22" s="498">
        <v>1.58</v>
      </c>
      <c r="AOM22" s="498">
        <v>1</v>
      </c>
      <c r="AON22" s="501">
        <v>6.75</v>
      </c>
      <c r="AOO22" s="486">
        <v>5.0999999999999996</v>
      </c>
      <c r="AOP22" s="452" t="s">
        <v>2691</v>
      </c>
      <c r="AOQ22" s="498" t="s">
        <v>1620</v>
      </c>
      <c r="AOR22" s="498">
        <v>1</v>
      </c>
      <c r="AOS22" s="499">
        <v>1500000</v>
      </c>
      <c r="AOT22" s="498">
        <v>1.58</v>
      </c>
      <c r="AOU22" s="498">
        <v>1</v>
      </c>
      <c r="AOV22" s="501">
        <v>6.75</v>
      </c>
      <c r="AOW22" s="486">
        <v>5.0999999999999996</v>
      </c>
      <c r="AOX22" s="452" t="s">
        <v>2691</v>
      </c>
      <c r="AOY22" s="498" t="s">
        <v>1620</v>
      </c>
      <c r="AOZ22" s="498">
        <v>1</v>
      </c>
      <c r="APA22" s="499">
        <v>1500000</v>
      </c>
      <c r="APB22" s="498">
        <v>1.58</v>
      </c>
      <c r="APC22" s="498">
        <v>1</v>
      </c>
      <c r="APD22" s="501">
        <v>6.75</v>
      </c>
      <c r="APE22" s="486">
        <v>5.0999999999999996</v>
      </c>
      <c r="APF22" s="452" t="s">
        <v>2691</v>
      </c>
      <c r="APG22" s="498" t="s">
        <v>1620</v>
      </c>
      <c r="APH22" s="498">
        <v>1</v>
      </c>
      <c r="API22" s="499">
        <v>1500000</v>
      </c>
      <c r="APJ22" s="498">
        <v>1.58</v>
      </c>
      <c r="APK22" s="498">
        <v>1</v>
      </c>
      <c r="APL22" s="501">
        <v>6.75</v>
      </c>
      <c r="APM22" s="486">
        <v>5.0999999999999996</v>
      </c>
      <c r="APN22" s="452" t="s">
        <v>2691</v>
      </c>
      <c r="APO22" s="498" t="s">
        <v>1620</v>
      </c>
      <c r="APP22" s="498">
        <v>1</v>
      </c>
      <c r="APQ22" s="499">
        <v>1500000</v>
      </c>
      <c r="APR22" s="498">
        <v>1.58</v>
      </c>
      <c r="APS22" s="498">
        <v>1</v>
      </c>
      <c r="APT22" s="501">
        <v>6.75</v>
      </c>
      <c r="APU22" s="486">
        <v>5.0999999999999996</v>
      </c>
      <c r="APV22" s="452" t="s">
        <v>2691</v>
      </c>
      <c r="APW22" s="498" t="s">
        <v>1620</v>
      </c>
      <c r="APX22" s="498">
        <v>1</v>
      </c>
      <c r="APY22" s="499">
        <v>1500000</v>
      </c>
      <c r="APZ22" s="498">
        <v>1.58</v>
      </c>
      <c r="AQA22" s="498">
        <v>1</v>
      </c>
      <c r="AQB22" s="501">
        <v>6.75</v>
      </c>
      <c r="AQC22" s="486">
        <v>5.0999999999999996</v>
      </c>
      <c r="AQD22" s="452" t="s">
        <v>2691</v>
      </c>
      <c r="AQE22" s="498" t="s">
        <v>1620</v>
      </c>
      <c r="AQF22" s="498">
        <v>1</v>
      </c>
      <c r="AQG22" s="499">
        <v>1500000</v>
      </c>
      <c r="AQH22" s="498">
        <v>1.58</v>
      </c>
      <c r="AQI22" s="498">
        <v>1</v>
      </c>
      <c r="AQJ22" s="501">
        <v>6.75</v>
      </c>
      <c r="AQK22" s="486">
        <v>5.0999999999999996</v>
      </c>
      <c r="AQL22" s="452" t="s">
        <v>2691</v>
      </c>
      <c r="AQM22" s="498" t="s">
        <v>1620</v>
      </c>
      <c r="AQN22" s="498">
        <v>1</v>
      </c>
      <c r="AQO22" s="499">
        <v>1500000</v>
      </c>
      <c r="AQP22" s="498">
        <v>1.58</v>
      </c>
      <c r="AQQ22" s="498">
        <v>1</v>
      </c>
      <c r="AQR22" s="501">
        <v>6.75</v>
      </c>
      <c r="AQS22" s="486">
        <v>5.0999999999999996</v>
      </c>
      <c r="AQT22" s="452" t="s">
        <v>2691</v>
      </c>
      <c r="AQU22" s="498" t="s">
        <v>1620</v>
      </c>
      <c r="AQV22" s="498">
        <v>1</v>
      </c>
      <c r="AQW22" s="499">
        <v>1500000</v>
      </c>
      <c r="AQX22" s="498">
        <v>1.58</v>
      </c>
      <c r="AQY22" s="498">
        <v>1</v>
      </c>
      <c r="AQZ22" s="501">
        <v>6.75</v>
      </c>
      <c r="ARA22" s="486">
        <v>5.0999999999999996</v>
      </c>
      <c r="ARB22" s="452" t="s">
        <v>2691</v>
      </c>
      <c r="ARC22" s="498" t="s">
        <v>1620</v>
      </c>
      <c r="ARD22" s="498">
        <v>1</v>
      </c>
      <c r="ARE22" s="499">
        <v>1500000</v>
      </c>
      <c r="ARF22" s="498">
        <v>1.58</v>
      </c>
      <c r="ARG22" s="498">
        <v>1</v>
      </c>
      <c r="ARH22" s="501">
        <v>6.75</v>
      </c>
      <c r="ARI22" s="486">
        <v>5.0999999999999996</v>
      </c>
      <c r="ARJ22" s="452" t="s">
        <v>2691</v>
      </c>
      <c r="ARK22" s="498" t="s">
        <v>1620</v>
      </c>
      <c r="ARL22" s="498">
        <v>1</v>
      </c>
      <c r="ARM22" s="499">
        <v>1500000</v>
      </c>
      <c r="ARN22" s="498">
        <v>1.58</v>
      </c>
      <c r="ARO22" s="498">
        <v>1</v>
      </c>
      <c r="ARP22" s="501">
        <v>6.75</v>
      </c>
      <c r="ARQ22" s="486">
        <v>5.0999999999999996</v>
      </c>
      <c r="ARR22" s="452" t="s">
        <v>2691</v>
      </c>
      <c r="ARS22" s="498" t="s">
        <v>1620</v>
      </c>
      <c r="ART22" s="498">
        <v>1</v>
      </c>
      <c r="ARU22" s="499">
        <v>1500000</v>
      </c>
      <c r="ARV22" s="498">
        <v>1.58</v>
      </c>
      <c r="ARW22" s="498">
        <v>1</v>
      </c>
      <c r="ARX22" s="501">
        <v>6.75</v>
      </c>
      <c r="ARY22" s="486">
        <v>5.0999999999999996</v>
      </c>
      <c r="ARZ22" s="452" t="s">
        <v>2691</v>
      </c>
      <c r="ASA22" s="498" t="s">
        <v>1620</v>
      </c>
      <c r="ASB22" s="498">
        <v>1</v>
      </c>
      <c r="ASC22" s="499">
        <v>1500000</v>
      </c>
      <c r="ASD22" s="498">
        <v>1.58</v>
      </c>
      <c r="ASE22" s="498">
        <v>1</v>
      </c>
      <c r="ASF22" s="501">
        <v>6.75</v>
      </c>
      <c r="ASG22" s="486">
        <v>5.0999999999999996</v>
      </c>
      <c r="ASH22" s="452" t="s">
        <v>2691</v>
      </c>
      <c r="ASI22" s="498" t="s">
        <v>1620</v>
      </c>
      <c r="ASJ22" s="498">
        <v>1</v>
      </c>
      <c r="ASK22" s="499">
        <v>1500000</v>
      </c>
      <c r="ASL22" s="498">
        <v>1.58</v>
      </c>
      <c r="ASM22" s="498">
        <v>1</v>
      </c>
      <c r="ASN22" s="501">
        <v>6.75</v>
      </c>
      <c r="ASO22" s="486">
        <v>5.0999999999999996</v>
      </c>
      <c r="ASP22" s="452" t="s">
        <v>2691</v>
      </c>
      <c r="ASQ22" s="498" t="s">
        <v>1620</v>
      </c>
      <c r="ASR22" s="498">
        <v>1</v>
      </c>
      <c r="ASS22" s="499">
        <v>1500000</v>
      </c>
      <c r="AST22" s="498">
        <v>1.58</v>
      </c>
      <c r="ASU22" s="498">
        <v>1</v>
      </c>
      <c r="ASV22" s="501">
        <v>6.75</v>
      </c>
      <c r="ASW22" s="486">
        <v>5.0999999999999996</v>
      </c>
      <c r="ASX22" s="452" t="s">
        <v>2691</v>
      </c>
      <c r="ASY22" s="498" t="s">
        <v>1620</v>
      </c>
      <c r="ASZ22" s="498">
        <v>1</v>
      </c>
      <c r="ATA22" s="499">
        <v>1500000</v>
      </c>
      <c r="ATB22" s="498">
        <v>1.58</v>
      </c>
      <c r="ATC22" s="498">
        <v>1</v>
      </c>
      <c r="ATD22" s="501">
        <v>6.75</v>
      </c>
      <c r="ATE22" s="486">
        <v>5.0999999999999996</v>
      </c>
      <c r="ATF22" s="452" t="s">
        <v>2691</v>
      </c>
      <c r="ATG22" s="498" t="s">
        <v>1620</v>
      </c>
      <c r="ATH22" s="498">
        <v>1</v>
      </c>
      <c r="ATI22" s="499">
        <v>1500000</v>
      </c>
      <c r="ATJ22" s="498">
        <v>1.58</v>
      </c>
      <c r="ATK22" s="498">
        <v>1</v>
      </c>
      <c r="ATL22" s="501">
        <v>6.75</v>
      </c>
      <c r="ATM22" s="486">
        <v>5.0999999999999996</v>
      </c>
      <c r="ATN22" s="452" t="s">
        <v>2691</v>
      </c>
      <c r="ATO22" s="498" t="s">
        <v>1620</v>
      </c>
      <c r="ATP22" s="498">
        <v>1</v>
      </c>
      <c r="ATQ22" s="499">
        <v>1500000</v>
      </c>
      <c r="ATR22" s="498">
        <v>1.58</v>
      </c>
      <c r="ATS22" s="498">
        <v>1</v>
      </c>
      <c r="ATT22" s="501">
        <v>6.75</v>
      </c>
      <c r="ATU22" s="486">
        <v>5.0999999999999996</v>
      </c>
      <c r="ATV22" s="452" t="s">
        <v>2691</v>
      </c>
      <c r="ATW22" s="498" t="s">
        <v>1620</v>
      </c>
      <c r="ATX22" s="498">
        <v>1</v>
      </c>
      <c r="ATY22" s="499">
        <v>1500000</v>
      </c>
      <c r="ATZ22" s="498">
        <v>1.58</v>
      </c>
      <c r="AUA22" s="498">
        <v>1</v>
      </c>
      <c r="AUB22" s="501">
        <v>6.75</v>
      </c>
      <c r="AUC22" s="486">
        <v>5.0999999999999996</v>
      </c>
      <c r="AUD22" s="452" t="s">
        <v>2691</v>
      </c>
      <c r="AUE22" s="498" t="s">
        <v>1620</v>
      </c>
      <c r="AUF22" s="498">
        <v>1</v>
      </c>
      <c r="AUG22" s="499">
        <v>1500000</v>
      </c>
      <c r="AUH22" s="498">
        <v>1.58</v>
      </c>
      <c r="AUI22" s="498">
        <v>1</v>
      </c>
      <c r="AUJ22" s="501">
        <v>6.75</v>
      </c>
      <c r="AUK22" s="486">
        <v>5.0999999999999996</v>
      </c>
      <c r="AUL22" s="452" t="s">
        <v>2691</v>
      </c>
      <c r="AUM22" s="498" t="s">
        <v>1620</v>
      </c>
      <c r="AUN22" s="498">
        <v>1</v>
      </c>
      <c r="AUO22" s="499">
        <v>1500000</v>
      </c>
      <c r="AUP22" s="498">
        <v>1.58</v>
      </c>
      <c r="AUQ22" s="498">
        <v>1</v>
      </c>
      <c r="AUR22" s="501">
        <v>6.75</v>
      </c>
      <c r="AUS22" s="486">
        <v>5.0999999999999996</v>
      </c>
      <c r="AUT22" s="452" t="s">
        <v>2691</v>
      </c>
      <c r="AUU22" s="498" t="s">
        <v>1620</v>
      </c>
      <c r="AUV22" s="498">
        <v>1</v>
      </c>
      <c r="AUW22" s="499">
        <v>1500000</v>
      </c>
      <c r="AUX22" s="498">
        <v>1.58</v>
      </c>
      <c r="AUY22" s="498">
        <v>1</v>
      </c>
      <c r="AUZ22" s="501">
        <v>6.75</v>
      </c>
      <c r="AVA22" s="486">
        <v>5.0999999999999996</v>
      </c>
      <c r="AVB22" s="452" t="s">
        <v>2691</v>
      </c>
      <c r="AVC22" s="498" t="s">
        <v>1620</v>
      </c>
      <c r="AVD22" s="498">
        <v>1</v>
      </c>
      <c r="AVE22" s="499">
        <v>1500000</v>
      </c>
      <c r="AVF22" s="498">
        <v>1.58</v>
      </c>
      <c r="AVG22" s="498">
        <v>1</v>
      </c>
      <c r="AVH22" s="501">
        <v>6.75</v>
      </c>
      <c r="AVI22" s="486">
        <v>5.0999999999999996</v>
      </c>
      <c r="AVJ22" s="452" t="s">
        <v>2691</v>
      </c>
      <c r="AVK22" s="498" t="s">
        <v>1620</v>
      </c>
      <c r="AVL22" s="498">
        <v>1</v>
      </c>
      <c r="AVM22" s="499">
        <v>1500000</v>
      </c>
      <c r="AVN22" s="498">
        <v>1.58</v>
      </c>
      <c r="AVO22" s="498">
        <v>1</v>
      </c>
      <c r="AVP22" s="501">
        <v>6.75</v>
      </c>
      <c r="AVQ22" s="486">
        <v>5.0999999999999996</v>
      </c>
      <c r="AVR22" s="452" t="s">
        <v>2691</v>
      </c>
      <c r="AVS22" s="498" t="s">
        <v>1620</v>
      </c>
      <c r="AVT22" s="498">
        <v>1</v>
      </c>
      <c r="AVU22" s="499">
        <v>1500000</v>
      </c>
      <c r="AVV22" s="498">
        <v>1.58</v>
      </c>
      <c r="AVW22" s="498">
        <v>1</v>
      </c>
      <c r="AVX22" s="501">
        <v>6.75</v>
      </c>
      <c r="AVY22" s="486">
        <v>5.0999999999999996</v>
      </c>
      <c r="AVZ22" s="452" t="s">
        <v>2691</v>
      </c>
      <c r="AWA22" s="498" t="s">
        <v>1620</v>
      </c>
      <c r="AWB22" s="498">
        <v>1</v>
      </c>
      <c r="AWC22" s="499">
        <v>1500000</v>
      </c>
      <c r="AWD22" s="498">
        <v>1.58</v>
      </c>
      <c r="AWE22" s="498">
        <v>1</v>
      </c>
      <c r="AWF22" s="501">
        <v>6.75</v>
      </c>
      <c r="AWG22" s="486">
        <v>5.0999999999999996</v>
      </c>
      <c r="AWH22" s="452" t="s">
        <v>2691</v>
      </c>
      <c r="AWI22" s="498" t="s">
        <v>1620</v>
      </c>
      <c r="AWJ22" s="498">
        <v>1</v>
      </c>
      <c r="AWK22" s="499">
        <v>1500000</v>
      </c>
      <c r="AWL22" s="498">
        <v>1.58</v>
      </c>
      <c r="AWM22" s="498">
        <v>1</v>
      </c>
      <c r="AWN22" s="501">
        <v>6.75</v>
      </c>
      <c r="AWO22" s="486">
        <v>5.0999999999999996</v>
      </c>
      <c r="AWP22" s="452" t="s">
        <v>2691</v>
      </c>
      <c r="AWQ22" s="498" t="s">
        <v>1620</v>
      </c>
      <c r="AWR22" s="498">
        <v>1</v>
      </c>
      <c r="AWS22" s="499">
        <v>1500000</v>
      </c>
      <c r="AWT22" s="498">
        <v>1.58</v>
      </c>
      <c r="AWU22" s="498">
        <v>1</v>
      </c>
      <c r="AWV22" s="501">
        <v>6.75</v>
      </c>
      <c r="AWW22" s="486">
        <v>5.0999999999999996</v>
      </c>
      <c r="AWX22" s="452" t="s">
        <v>2691</v>
      </c>
      <c r="AWY22" s="498" t="s">
        <v>1620</v>
      </c>
      <c r="AWZ22" s="498">
        <v>1</v>
      </c>
      <c r="AXA22" s="499">
        <v>1500000</v>
      </c>
      <c r="AXB22" s="498">
        <v>1.58</v>
      </c>
      <c r="AXC22" s="498">
        <v>1</v>
      </c>
      <c r="AXD22" s="501">
        <v>6.75</v>
      </c>
      <c r="AXE22" s="486">
        <v>5.0999999999999996</v>
      </c>
      <c r="AXF22" s="452" t="s">
        <v>2691</v>
      </c>
      <c r="AXG22" s="498" t="s">
        <v>1620</v>
      </c>
      <c r="AXH22" s="498">
        <v>1</v>
      </c>
      <c r="AXI22" s="499">
        <v>1500000</v>
      </c>
      <c r="AXJ22" s="498">
        <v>1.58</v>
      </c>
      <c r="AXK22" s="498">
        <v>1</v>
      </c>
      <c r="AXL22" s="501">
        <v>6.75</v>
      </c>
      <c r="AXM22" s="486">
        <v>5.0999999999999996</v>
      </c>
      <c r="AXN22" s="452" t="s">
        <v>2691</v>
      </c>
      <c r="AXO22" s="498" t="s">
        <v>1620</v>
      </c>
      <c r="AXP22" s="498">
        <v>1</v>
      </c>
      <c r="AXQ22" s="499">
        <v>1500000</v>
      </c>
      <c r="AXR22" s="498">
        <v>1.58</v>
      </c>
      <c r="AXS22" s="498">
        <v>1</v>
      </c>
      <c r="AXT22" s="501">
        <v>6.75</v>
      </c>
      <c r="AXU22" s="486">
        <v>5.0999999999999996</v>
      </c>
      <c r="AXV22" s="452" t="s">
        <v>2691</v>
      </c>
      <c r="AXW22" s="498" t="s">
        <v>1620</v>
      </c>
      <c r="AXX22" s="498">
        <v>1</v>
      </c>
      <c r="AXY22" s="499">
        <v>1500000</v>
      </c>
      <c r="AXZ22" s="498">
        <v>1.58</v>
      </c>
      <c r="AYA22" s="498">
        <v>1</v>
      </c>
      <c r="AYB22" s="501">
        <v>6.75</v>
      </c>
      <c r="AYC22" s="486">
        <v>5.0999999999999996</v>
      </c>
      <c r="AYD22" s="452" t="s">
        <v>2691</v>
      </c>
      <c r="AYE22" s="498" t="s">
        <v>1620</v>
      </c>
      <c r="AYF22" s="498">
        <v>1</v>
      </c>
      <c r="AYG22" s="499">
        <v>1500000</v>
      </c>
      <c r="AYH22" s="498">
        <v>1.58</v>
      </c>
      <c r="AYI22" s="498">
        <v>1</v>
      </c>
      <c r="AYJ22" s="501">
        <v>6.75</v>
      </c>
      <c r="AYK22" s="486">
        <v>5.0999999999999996</v>
      </c>
      <c r="AYL22" s="452" t="s">
        <v>2691</v>
      </c>
      <c r="AYM22" s="498" t="s">
        <v>1620</v>
      </c>
      <c r="AYN22" s="498">
        <v>1</v>
      </c>
      <c r="AYO22" s="499">
        <v>1500000</v>
      </c>
      <c r="AYP22" s="498">
        <v>1.58</v>
      </c>
      <c r="AYQ22" s="498">
        <v>1</v>
      </c>
      <c r="AYR22" s="501">
        <v>6.75</v>
      </c>
      <c r="AYS22" s="486">
        <v>5.0999999999999996</v>
      </c>
      <c r="AYT22" s="452" t="s">
        <v>2691</v>
      </c>
      <c r="AYU22" s="498" t="s">
        <v>1620</v>
      </c>
      <c r="AYV22" s="498">
        <v>1</v>
      </c>
      <c r="AYW22" s="499">
        <v>1500000</v>
      </c>
      <c r="AYX22" s="498">
        <v>1.58</v>
      </c>
      <c r="AYY22" s="498">
        <v>1</v>
      </c>
      <c r="AYZ22" s="501">
        <v>6.75</v>
      </c>
      <c r="AZA22" s="486">
        <v>5.0999999999999996</v>
      </c>
      <c r="AZB22" s="452" t="s">
        <v>2691</v>
      </c>
      <c r="AZC22" s="498" t="s">
        <v>1620</v>
      </c>
      <c r="AZD22" s="498">
        <v>1</v>
      </c>
      <c r="AZE22" s="499">
        <v>1500000</v>
      </c>
      <c r="AZF22" s="498">
        <v>1.58</v>
      </c>
      <c r="AZG22" s="498">
        <v>1</v>
      </c>
      <c r="AZH22" s="501">
        <v>6.75</v>
      </c>
      <c r="AZI22" s="486">
        <v>5.0999999999999996</v>
      </c>
      <c r="AZJ22" s="452" t="s">
        <v>2691</v>
      </c>
      <c r="AZK22" s="498" t="s">
        <v>1620</v>
      </c>
      <c r="AZL22" s="498">
        <v>1</v>
      </c>
      <c r="AZM22" s="499">
        <v>1500000</v>
      </c>
      <c r="AZN22" s="498">
        <v>1.58</v>
      </c>
      <c r="AZO22" s="498">
        <v>1</v>
      </c>
      <c r="AZP22" s="501">
        <v>6.75</v>
      </c>
      <c r="AZQ22" s="486">
        <v>5.0999999999999996</v>
      </c>
      <c r="AZR22" s="452" t="s">
        <v>2691</v>
      </c>
      <c r="AZS22" s="498" t="s">
        <v>1620</v>
      </c>
      <c r="AZT22" s="498">
        <v>1</v>
      </c>
      <c r="AZU22" s="499">
        <v>1500000</v>
      </c>
      <c r="AZV22" s="498">
        <v>1.58</v>
      </c>
      <c r="AZW22" s="498">
        <v>1</v>
      </c>
      <c r="AZX22" s="501">
        <v>6.75</v>
      </c>
      <c r="AZY22" s="486">
        <v>5.0999999999999996</v>
      </c>
      <c r="AZZ22" s="452" t="s">
        <v>2691</v>
      </c>
      <c r="BAA22" s="498" t="s">
        <v>1620</v>
      </c>
      <c r="BAB22" s="498">
        <v>1</v>
      </c>
      <c r="BAC22" s="499">
        <v>1500000</v>
      </c>
      <c r="BAD22" s="498">
        <v>1.58</v>
      </c>
      <c r="BAE22" s="498">
        <v>1</v>
      </c>
      <c r="BAF22" s="501">
        <v>6.75</v>
      </c>
      <c r="BAG22" s="486">
        <v>5.0999999999999996</v>
      </c>
      <c r="BAH22" s="452" t="s">
        <v>2691</v>
      </c>
      <c r="BAI22" s="498" t="s">
        <v>1620</v>
      </c>
      <c r="BAJ22" s="498">
        <v>1</v>
      </c>
      <c r="BAK22" s="499">
        <v>1500000</v>
      </c>
      <c r="BAL22" s="498">
        <v>1.58</v>
      </c>
      <c r="BAM22" s="498">
        <v>1</v>
      </c>
      <c r="BAN22" s="501">
        <v>6.75</v>
      </c>
      <c r="BAO22" s="486">
        <v>5.0999999999999996</v>
      </c>
      <c r="BAP22" s="452" t="s">
        <v>2691</v>
      </c>
      <c r="BAQ22" s="498" t="s">
        <v>1620</v>
      </c>
      <c r="BAR22" s="498">
        <v>1</v>
      </c>
      <c r="BAS22" s="499">
        <v>1500000</v>
      </c>
      <c r="BAT22" s="498">
        <v>1.58</v>
      </c>
      <c r="BAU22" s="498">
        <v>1</v>
      </c>
      <c r="BAV22" s="501">
        <v>6.75</v>
      </c>
      <c r="BAW22" s="486">
        <v>5.0999999999999996</v>
      </c>
      <c r="BAX22" s="452" t="s">
        <v>2691</v>
      </c>
      <c r="BAY22" s="498" t="s">
        <v>1620</v>
      </c>
      <c r="BAZ22" s="498">
        <v>1</v>
      </c>
      <c r="BBA22" s="499">
        <v>1500000</v>
      </c>
      <c r="BBB22" s="498">
        <v>1.58</v>
      </c>
      <c r="BBC22" s="498">
        <v>1</v>
      </c>
      <c r="BBD22" s="501">
        <v>6.75</v>
      </c>
      <c r="BBE22" s="486">
        <v>5.0999999999999996</v>
      </c>
      <c r="BBF22" s="452" t="s">
        <v>2691</v>
      </c>
      <c r="BBG22" s="498" t="s">
        <v>1620</v>
      </c>
      <c r="BBH22" s="498">
        <v>1</v>
      </c>
      <c r="BBI22" s="499">
        <v>1500000</v>
      </c>
      <c r="BBJ22" s="498">
        <v>1.58</v>
      </c>
      <c r="BBK22" s="498">
        <v>1</v>
      </c>
      <c r="BBL22" s="501">
        <v>6.75</v>
      </c>
      <c r="BBM22" s="486">
        <v>5.0999999999999996</v>
      </c>
      <c r="BBN22" s="452" t="s">
        <v>2691</v>
      </c>
      <c r="BBO22" s="498" t="s">
        <v>1620</v>
      </c>
      <c r="BBP22" s="498">
        <v>1</v>
      </c>
      <c r="BBQ22" s="499">
        <v>1500000</v>
      </c>
      <c r="BBR22" s="498">
        <v>1.58</v>
      </c>
      <c r="BBS22" s="498">
        <v>1</v>
      </c>
      <c r="BBT22" s="501">
        <v>6.75</v>
      </c>
      <c r="BBU22" s="486">
        <v>5.0999999999999996</v>
      </c>
      <c r="BBV22" s="452" t="s">
        <v>2691</v>
      </c>
      <c r="BBW22" s="498" t="s">
        <v>1620</v>
      </c>
      <c r="BBX22" s="498">
        <v>1</v>
      </c>
      <c r="BBY22" s="499">
        <v>1500000</v>
      </c>
      <c r="BBZ22" s="498">
        <v>1.58</v>
      </c>
      <c r="BCA22" s="498">
        <v>1</v>
      </c>
      <c r="BCB22" s="501">
        <v>6.75</v>
      </c>
      <c r="BCC22" s="486">
        <v>5.0999999999999996</v>
      </c>
      <c r="BCD22" s="452" t="s">
        <v>2691</v>
      </c>
      <c r="BCE22" s="498" t="s">
        <v>1620</v>
      </c>
      <c r="BCF22" s="498">
        <v>1</v>
      </c>
      <c r="BCG22" s="499">
        <v>1500000</v>
      </c>
      <c r="BCH22" s="498">
        <v>1.58</v>
      </c>
      <c r="BCI22" s="498">
        <v>1</v>
      </c>
      <c r="BCJ22" s="501">
        <v>6.75</v>
      </c>
      <c r="BCK22" s="486">
        <v>5.0999999999999996</v>
      </c>
      <c r="BCL22" s="452" t="s">
        <v>2691</v>
      </c>
      <c r="BCM22" s="498" t="s">
        <v>1620</v>
      </c>
      <c r="BCN22" s="498">
        <v>1</v>
      </c>
      <c r="BCO22" s="499">
        <v>1500000</v>
      </c>
      <c r="BCP22" s="498">
        <v>1.58</v>
      </c>
      <c r="BCQ22" s="498">
        <v>1</v>
      </c>
      <c r="BCR22" s="501">
        <v>6.75</v>
      </c>
      <c r="BCS22" s="486">
        <v>5.0999999999999996</v>
      </c>
      <c r="BCT22" s="452" t="s">
        <v>2691</v>
      </c>
      <c r="BCU22" s="498" t="s">
        <v>1620</v>
      </c>
      <c r="BCV22" s="498">
        <v>1</v>
      </c>
      <c r="BCW22" s="499">
        <v>1500000</v>
      </c>
      <c r="BCX22" s="498">
        <v>1.58</v>
      </c>
      <c r="BCY22" s="498">
        <v>1</v>
      </c>
      <c r="BCZ22" s="501">
        <v>6.75</v>
      </c>
      <c r="BDA22" s="486">
        <v>5.0999999999999996</v>
      </c>
      <c r="BDB22" s="452" t="s">
        <v>2691</v>
      </c>
      <c r="BDC22" s="498" t="s">
        <v>1620</v>
      </c>
      <c r="BDD22" s="498">
        <v>1</v>
      </c>
      <c r="BDE22" s="499">
        <v>1500000</v>
      </c>
      <c r="BDF22" s="498">
        <v>1.58</v>
      </c>
      <c r="BDG22" s="498">
        <v>1</v>
      </c>
      <c r="BDH22" s="501">
        <v>6.75</v>
      </c>
      <c r="BDI22" s="486">
        <v>5.0999999999999996</v>
      </c>
      <c r="BDJ22" s="452" t="s">
        <v>2691</v>
      </c>
      <c r="BDK22" s="498" t="s">
        <v>1620</v>
      </c>
      <c r="BDL22" s="498">
        <v>1</v>
      </c>
      <c r="BDM22" s="499">
        <v>1500000</v>
      </c>
      <c r="BDN22" s="498">
        <v>1.58</v>
      </c>
      <c r="BDO22" s="498">
        <v>1</v>
      </c>
      <c r="BDP22" s="501">
        <v>6.75</v>
      </c>
      <c r="BDQ22" s="486">
        <v>5.0999999999999996</v>
      </c>
      <c r="BDR22" s="452" t="s">
        <v>2691</v>
      </c>
      <c r="BDS22" s="498" t="s">
        <v>1620</v>
      </c>
      <c r="BDT22" s="498">
        <v>1</v>
      </c>
      <c r="BDU22" s="499">
        <v>1500000</v>
      </c>
      <c r="BDV22" s="498">
        <v>1.58</v>
      </c>
      <c r="BDW22" s="498">
        <v>1</v>
      </c>
      <c r="BDX22" s="501">
        <v>6.75</v>
      </c>
      <c r="BDY22" s="486">
        <v>5.0999999999999996</v>
      </c>
      <c r="BDZ22" s="452" t="s">
        <v>2691</v>
      </c>
      <c r="BEA22" s="498" t="s">
        <v>1620</v>
      </c>
      <c r="BEB22" s="498">
        <v>1</v>
      </c>
      <c r="BEC22" s="499">
        <v>1500000</v>
      </c>
      <c r="BED22" s="498">
        <v>1.58</v>
      </c>
      <c r="BEE22" s="498">
        <v>1</v>
      </c>
      <c r="BEF22" s="501">
        <v>6.75</v>
      </c>
      <c r="BEG22" s="486">
        <v>5.0999999999999996</v>
      </c>
      <c r="BEH22" s="452" t="s">
        <v>2691</v>
      </c>
      <c r="BEI22" s="498" t="s">
        <v>1620</v>
      </c>
      <c r="BEJ22" s="498">
        <v>1</v>
      </c>
      <c r="BEK22" s="499">
        <v>1500000</v>
      </c>
      <c r="BEL22" s="498">
        <v>1.58</v>
      </c>
      <c r="BEM22" s="498">
        <v>1</v>
      </c>
      <c r="BEN22" s="501">
        <v>6.75</v>
      </c>
      <c r="BEO22" s="486">
        <v>5.0999999999999996</v>
      </c>
      <c r="BEP22" s="452" t="s">
        <v>2691</v>
      </c>
      <c r="BEQ22" s="498" t="s">
        <v>1620</v>
      </c>
      <c r="BER22" s="498">
        <v>1</v>
      </c>
      <c r="BES22" s="499">
        <v>1500000</v>
      </c>
      <c r="BET22" s="498">
        <v>1.58</v>
      </c>
      <c r="BEU22" s="498">
        <v>1</v>
      </c>
      <c r="BEV22" s="501">
        <v>6.75</v>
      </c>
      <c r="BEW22" s="486">
        <v>5.0999999999999996</v>
      </c>
      <c r="BEX22" s="452" t="s">
        <v>2691</v>
      </c>
      <c r="BEY22" s="498" t="s">
        <v>1620</v>
      </c>
      <c r="BEZ22" s="498">
        <v>1</v>
      </c>
      <c r="BFA22" s="499">
        <v>1500000</v>
      </c>
      <c r="BFB22" s="498">
        <v>1.58</v>
      </c>
      <c r="BFC22" s="498">
        <v>1</v>
      </c>
      <c r="BFD22" s="501">
        <v>6.75</v>
      </c>
      <c r="BFE22" s="486">
        <v>5.0999999999999996</v>
      </c>
      <c r="BFF22" s="452" t="s">
        <v>2691</v>
      </c>
      <c r="BFG22" s="498" t="s">
        <v>1620</v>
      </c>
      <c r="BFH22" s="498">
        <v>1</v>
      </c>
      <c r="BFI22" s="499">
        <v>1500000</v>
      </c>
      <c r="BFJ22" s="498">
        <v>1.58</v>
      </c>
      <c r="BFK22" s="498">
        <v>1</v>
      </c>
      <c r="BFL22" s="501">
        <v>6.75</v>
      </c>
      <c r="BFM22" s="486">
        <v>5.0999999999999996</v>
      </c>
      <c r="BFN22" s="452" t="s">
        <v>2691</v>
      </c>
      <c r="BFO22" s="498" t="s">
        <v>1620</v>
      </c>
      <c r="BFP22" s="498">
        <v>1</v>
      </c>
      <c r="BFQ22" s="499">
        <v>1500000</v>
      </c>
      <c r="BFR22" s="498">
        <v>1.58</v>
      </c>
      <c r="BFS22" s="498">
        <v>1</v>
      </c>
      <c r="BFT22" s="501">
        <v>6.75</v>
      </c>
      <c r="BFU22" s="486">
        <v>5.0999999999999996</v>
      </c>
      <c r="BFV22" s="452" t="s">
        <v>2691</v>
      </c>
      <c r="BFW22" s="498" t="s">
        <v>1620</v>
      </c>
      <c r="BFX22" s="498">
        <v>1</v>
      </c>
      <c r="BFY22" s="499">
        <v>1500000</v>
      </c>
      <c r="BFZ22" s="498">
        <v>1.58</v>
      </c>
      <c r="BGA22" s="498">
        <v>1</v>
      </c>
      <c r="BGB22" s="501">
        <v>6.75</v>
      </c>
      <c r="BGC22" s="486">
        <v>5.0999999999999996</v>
      </c>
      <c r="BGD22" s="452" t="s">
        <v>2691</v>
      </c>
      <c r="BGE22" s="498" t="s">
        <v>1620</v>
      </c>
      <c r="BGF22" s="498">
        <v>1</v>
      </c>
      <c r="BGG22" s="499">
        <v>1500000</v>
      </c>
      <c r="BGH22" s="498">
        <v>1.58</v>
      </c>
      <c r="BGI22" s="498">
        <v>1</v>
      </c>
      <c r="BGJ22" s="501">
        <v>6.75</v>
      </c>
      <c r="BGK22" s="486">
        <v>5.0999999999999996</v>
      </c>
      <c r="BGL22" s="452" t="s">
        <v>2691</v>
      </c>
      <c r="BGM22" s="498" t="s">
        <v>1620</v>
      </c>
      <c r="BGN22" s="498">
        <v>1</v>
      </c>
      <c r="BGO22" s="499">
        <v>1500000</v>
      </c>
      <c r="BGP22" s="498">
        <v>1.58</v>
      </c>
      <c r="BGQ22" s="498">
        <v>1</v>
      </c>
      <c r="BGR22" s="501">
        <v>6.75</v>
      </c>
      <c r="BGS22" s="486">
        <v>5.0999999999999996</v>
      </c>
      <c r="BGT22" s="452" t="s">
        <v>2691</v>
      </c>
      <c r="BGU22" s="498" t="s">
        <v>1620</v>
      </c>
      <c r="BGV22" s="498">
        <v>1</v>
      </c>
      <c r="BGW22" s="499">
        <v>1500000</v>
      </c>
      <c r="BGX22" s="498">
        <v>1.58</v>
      </c>
      <c r="BGY22" s="498">
        <v>1</v>
      </c>
      <c r="BGZ22" s="501">
        <v>6.75</v>
      </c>
      <c r="BHA22" s="486">
        <v>5.0999999999999996</v>
      </c>
      <c r="BHB22" s="452" t="s">
        <v>2691</v>
      </c>
      <c r="BHC22" s="498" t="s">
        <v>1620</v>
      </c>
      <c r="BHD22" s="498">
        <v>1</v>
      </c>
      <c r="BHE22" s="499">
        <v>1500000</v>
      </c>
      <c r="BHF22" s="498">
        <v>1.58</v>
      </c>
      <c r="BHG22" s="498">
        <v>1</v>
      </c>
      <c r="BHH22" s="501">
        <v>6.75</v>
      </c>
      <c r="BHI22" s="486">
        <v>5.0999999999999996</v>
      </c>
      <c r="BHJ22" s="452" t="s">
        <v>2691</v>
      </c>
      <c r="BHK22" s="498" t="s">
        <v>1620</v>
      </c>
      <c r="BHL22" s="498">
        <v>1</v>
      </c>
      <c r="BHM22" s="499">
        <v>1500000</v>
      </c>
      <c r="BHN22" s="498">
        <v>1.58</v>
      </c>
      <c r="BHO22" s="498">
        <v>1</v>
      </c>
      <c r="BHP22" s="501">
        <v>6.75</v>
      </c>
      <c r="BHQ22" s="486">
        <v>5.0999999999999996</v>
      </c>
      <c r="BHR22" s="452" t="s">
        <v>2691</v>
      </c>
      <c r="BHS22" s="498" t="s">
        <v>1620</v>
      </c>
      <c r="BHT22" s="498">
        <v>1</v>
      </c>
      <c r="BHU22" s="499">
        <v>1500000</v>
      </c>
      <c r="BHV22" s="498">
        <v>1.58</v>
      </c>
      <c r="BHW22" s="498">
        <v>1</v>
      </c>
      <c r="BHX22" s="501">
        <v>6.75</v>
      </c>
      <c r="BHY22" s="486">
        <v>5.0999999999999996</v>
      </c>
      <c r="BHZ22" s="452" t="s">
        <v>2691</v>
      </c>
      <c r="BIA22" s="498" t="s">
        <v>1620</v>
      </c>
      <c r="BIB22" s="498">
        <v>1</v>
      </c>
      <c r="BIC22" s="499">
        <v>1500000</v>
      </c>
      <c r="BID22" s="498">
        <v>1.58</v>
      </c>
      <c r="BIE22" s="498">
        <v>1</v>
      </c>
      <c r="BIF22" s="501">
        <v>6.75</v>
      </c>
      <c r="BIG22" s="486">
        <v>5.0999999999999996</v>
      </c>
      <c r="BIH22" s="452" t="s">
        <v>2691</v>
      </c>
      <c r="BII22" s="498" t="s">
        <v>1620</v>
      </c>
      <c r="BIJ22" s="498">
        <v>1</v>
      </c>
      <c r="BIK22" s="499">
        <v>1500000</v>
      </c>
      <c r="BIL22" s="498">
        <v>1.58</v>
      </c>
      <c r="BIM22" s="498">
        <v>1</v>
      </c>
      <c r="BIN22" s="501">
        <v>6.75</v>
      </c>
      <c r="BIO22" s="486">
        <v>5.0999999999999996</v>
      </c>
      <c r="BIP22" s="452" t="s">
        <v>2691</v>
      </c>
      <c r="BIQ22" s="498" t="s">
        <v>1620</v>
      </c>
      <c r="BIR22" s="498">
        <v>1</v>
      </c>
      <c r="BIS22" s="499">
        <v>1500000</v>
      </c>
      <c r="BIT22" s="498">
        <v>1.58</v>
      </c>
      <c r="BIU22" s="498">
        <v>1</v>
      </c>
      <c r="BIV22" s="501">
        <v>6.75</v>
      </c>
      <c r="BIW22" s="486">
        <v>5.0999999999999996</v>
      </c>
      <c r="BIX22" s="452" t="s">
        <v>2691</v>
      </c>
      <c r="BIY22" s="498" t="s">
        <v>1620</v>
      </c>
      <c r="BIZ22" s="498">
        <v>1</v>
      </c>
      <c r="BJA22" s="499">
        <v>1500000</v>
      </c>
      <c r="BJB22" s="498">
        <v>1.58</v>
      </c>
      <c r="BJC22" s="498">
        <v>1</v>
      </c>
      <c r="BJD22" s="501">
        <v>6.75</v>
      </c>
      <c r="BJE22" s="486">
        <v>5.0999999999999996</v>
      </c>
      <c r="BJF22" s="452" t="s">
        <v>2691</v>
      </c>
      <c r="BJG22" s="498" t="s">
        <v>1620</v>
      </c>
      <c r="BJH22" s="498">
        <v>1</v>
      </c>
      <c r="BJI22" s="499">
        <v>1500000</v>
      </c>
      <c r="BJJ22" s="498">
        <v>1.58</v>
      </c>
      <c r="BJK22" s="498">
        <v>1</v>
      </c>
      <c r="BJL22" s="501">
        <v>6.75</v>
      </c>
      <c r="BJM22" s="486">
        <v>5.0999999999999996</v>
      </c>
      <c r="BJN22" s="452" t="s">
        <v>2691</v>
      </c>
      <c r="BJO22" s="498" t="s">
        <v>1620</v>
      </c>
      <c r="BJP22" s="498">
        <v>1</v>
      </c>
      <c r="BJQ22" s="499">
        <v>1500000</v>
      </c>
      <c r="BJR22" s="498">
        <v>1.58</v>
      </c>
      <c r="BJS22" s="498">
        <v>1</v>
      </c>
      <c r="BJT22" s="501">
        <v>6.75</v>
      </c>
      <c r="BJU22" s="486">
        <v>5.0999999999999996</v>
      </c>
      <c r="BJV22" s="452" t="s">
        <v>2691</v>
      </c>
      <c r="BJW22" s="498" t="s">
        <v>1620</v>
      </c>
      <c r="BJX22" s="498">
        <v>1</v>
      </c>
      <c r="BJY22" s="499">
        <v>1500000</v>
      </c>
      <c r="BJZ22" s="498">
        <v>1.58</v>
      </c>
      <c r="BKA22" s="498">
        <v>1</v>
      </c>
      <c r="BKB22" s="501">
        <v>6.75</v>
      </c>
      <c r="BKC22" s="486">
        <v>5.0999999999999996</v>
      </c>
      <c r="BKD22" s="452" t="s">
        <v>2691</v>
      </c>
      <c r="BKE22" s="498" t="s">
        <v>1620</v>
      </c>
      <c r="BKF22" s="498">
        <v>1</v>
      </c>
      <c r="BKG22" s="499">
        <v>1500000</v>
      </c>
      <c r="BKH22" s="498">
        <v>1.58</v>
      </c>
      <c r="BKI22" s="498">
        <v>1</v>
      </c>
      <c r="BKJ22" s="501">
        <v>6.75</v>
      </c>
      <c r="BKK22" s="486">
        <v>5.0999999999999996</v>
      </c>
      <c r="BKL22" s="452" t="s">
        <v>2691</v>
      </c>
      <c r="BKM22" s="498" t="s">
        <v>1620</v>
      </c>
      <c r="BKN22" s="498">
        <v>1</v>
      </c>
      <c r="BKO22" s="499">
        <v>1500000</v>
      </c>
      <c r="BKP22" s="498">
        <v>1.58</v>
      </c>
      <c r="BKQ22" s="498">
        <v>1</v>
      </c>
      <c r="BKR22" s="501">
        <v>6.75</v>
      </c>
      <c r="BKS22" s="486">
        <v>5.0999999999999996</v>
      </c>
      <c r="BKT22" s="452" t="s">
        <v>2691</v>
      </c>
      <c r="BKU22" s="498" t="s">
        <v>1620</v>
      </c>
      <c r="BKV22" s="498">
        <v>1</v>
      </c>
      <c r="BKW22" s="499">
        <v>1500000</v>
      </c>
      <c r="BKX22" s="498">
        <v>1.58</v>
      </c>
      <c r="BKY22" s="498">
        <v>1</v>
      </c>
      <c r="BKZ22" s="501">
        <v>6.75</v>
      </c>
      <c r="BLA22" s="486">
        <v>5.0999999999999996</v>
      </c>
      <c r="BLB22" s="452" t="s">
        <v>2691</v>
      </c>
      <c r="BLC22" s="498" t="s">
        <v>1620</v>
      </c>
      <c r="BLD22" s="498">
        <v>1</v>
      </c>
      <c r="BLE22" s="499">
        <v>1500000</v>
      </c>
      <c r="BLF22" s="498">
        <v>1.58</v>
      </c>
      <c r="BLG22" s="498">
        <v>1</v>
      </c>
      <c r="BLH22" s="501">
        <v>6.75</v>
      </c>
      <c r="BLI22" s="486">
        <v>5.0999999999999996</v>
      </c>
      <c r="BLJ22" s="452" t="s">
        <v>2691</v>
      </c>
      <c r="BLK22" s="498" t="s">
        <v>1620</v>
      </c>
      <c r="BLL22" s="498">
        <v>1</v>
      </c>
      <c r="BLM22" s="499">
        <v>1500000</v>
      </c>
      <c r="BLN22" s="498">
        <v>1.58</v>
      </c>
      <c r="BLO22" s="498">
        <v>1</v>
      </c>
      <c r="BLP22" s="501">
        <v>6.75</v>
      </c>
      <c r="BLQ22" s="486">
        <v>5.0999999999999996</v>
      </c>
      <c r="BLR22" s="452" t="s">
        <v>2691</v>
      </c>
      <c r="BLS22" s="498" t="s">
        <v>1620</v>
      </c>
      <c r="BLT22" s="498">
        <v>1</v>
      </c>
      <c r="BLU22" s="499">
        <v>1500000</v>
      </c>
      <c r="BLV22" s="498">
        <v>1.58</v>
      </c>
      <c r="BLW22" s="498">
        <v>1</v>
      </c>
      <c r="BLX22" s="501">
        <v>6.75</v>
      </c>
      <c r="BLY22" s="486">
        <v>5.0999999999999996</v>
      </c>
      <c r="BLZ22" s="452" t="s">
        <v>2691</v>
      </c>
      <c r="BMA22" s="498" t="s">
        <v>1620</v>
      </c>
      <c r="BMB22" s="498">
        <v>1</v>
      </c>
      <c r="BMC22" s="499">
        <v>1500000</v>
      </c>
      <c r="BMD22" s="498">
        <v>1.58</v>
      </c>
      <c r="BME22" s="498">
        <v>1</v>
      </c>
      <c r="BMF22" s="501">
        <v>6.75</v>
      </c>
      <c r="BMG22" s="486">
        <v>5.0999999999999996</v>
      </c>
      <c r="BMH22" s="452" t="s">
        <v>2691</v>
      </c>
      <c r="BMI22" s="498" t="s">
        <v>1620</v>
      </c>
      <c r="BMJ22" s="498">
        <v>1</v>
      </c>
      <c r="BMK22" s="499">
        <v>1500000</v>
      </c>
      <c r="BML22" s="498">
        <v>1.58</v>
      </c>
      <c r="BMM22" s="498">
        <v>1</v>
      </c>
      <c r="BMN22" s="501">
        <v>6.75</v>
      </c>
      <c r="BMO22" s="486">
        <v>5.0999999999999996</v>
      </c>
      <c r="BMP22" s="452" t="s">
        <v>2691</v>
      </c>
      <c r="BMQ22" s="498" t="s">
        <v>1620</v>
      </c>
      <c r="BMR22" s="498">
        <v>1</v>
      </c>
      <c r="BMS22" s="499">
        <v>1500000</v>
      </c>
      <c r="BMT22" s="498">
        <v>1.58</v>
      </c>
      <c r="BMU22" s="498">
        <v>1</v>
      </c>
      <c r="BMV22" s="501">
        <v>6.75</v>
      </c>
      <c r="BMW22" s="486">
        <v>5.0999999999999996</v>
      </c>
      <c r="BMX22" s="452" t="s">
        <v>2691</v>
      </c>
      <c r="BMY22" s="498" t="s">
        <v>1620</v>
      </c>
      <c r="BMZ22" s="498">
        <v>1</v>
      </c>
      <c r="BNA22" s="499">
        <v>1500000</v>
      </c>
      <c r="BNB22" s="498">
        <v>1.58</v>
      </c>
      <c r="BNC22" s="498">
        <v>1</v>
      </c>
      <c r="BND22" s="501">
        <v>6.75</v>
      </c>
      <c r="BNE22" s="486">
        <v>5.0999999999999996</v>
      </c>
      <c r="BNF22" s="452" t="s">
        <v>2691</v>
      </c>
      <c r="BNG22" s="498" t="s">
        <v>1620</v>
      </c>
      <c r="BNH22" s="498">
        <v>1</v>
      </c>
      <c r="BNI22" s="499">
        <v>1500000</v>
      </c>
      <c r="BNJ22" s="498">
        <v>1.58</v>
      </c>
      <c r="BNK22" s="498">
        <v>1</v>
      </c>
      <c r="BNL22" s="501">
        <v>6.75</v>
      </c>
      <c r="BNM22" s="486">
        <v>5.0999999999999996</v>
      </c>
      <c r="BNN22" s="452" t="s">
        <v>2691</v>
      </c>
      <c r="BNO22" s="498" t="s">
        <v>1620</v>
      </c>
      <c r="BNP22" s="498">
        <v>1</v>
      </c>
      <c r="BNQ22" s="499">
        <v>1500000</v>
      </c>
      <c r="BNR22" s="498">
        <v>1.58</v>
      </c>
      <c r="BNS22" s="498">
        <v>1</v>
      </c>
      <c r="BNT22" s="501">
        <v>6.75</v>
      </c>
      <c r="BNU22" s="486">
        <v>5.0999999999999996</v>
      </c>
      <c r="BNV22" s="452" t="s">
        <v>2691</v>
      </c>
      <c r="BNW22" s="498" t="s">
        <v>1620</v>
      </c>
      <c r="BNX22" s="498">
        <v>1</v>
      </c>
      <c r="BNY22" s="499">
        <v>1500000</v>
      </c>
      <c r="BNZ22" s="498">
        <v>1.58</v>
      </c>
      <c r="BOA22" s="498">
        <v>1</v>
      </c>
      <c r="BOB22" s="501">
        <v>6.75</v>
      </c>
      <c r="BOC22" s="486">
        <v>5.0999999999999996</v>
      </c>
      <c r="BOD22" s="452" t="s">
        <v>2691</v>
      </c>
      <c r="BOE22" s="498" t="s">
        <v>1620</v>
      </c>
      <c r="BOF22" s="498">
        <v>1</v>
      </c>
      <c r="BOG22" s="499">
        <v>1500000</v>
      </c>
      <c r="BOH22" s="498">
        <v>1.58</v>
      </c>
      <c r="BOI22" s="498">
        <v>1</v>
      </c>
      <c r="BOJ22" s="501">
        <v>6.75</v>
      </c>
      <c r="BOK22" s="486">
        <v>5.0999999999999996</v>
      </c>
      <c r="BOL22" s="452" t="s">
        <v>2691</v>
      </c>
      <c r="BOM22" s="498" t="s">
        <v>1620</v>
      </c>
      <c r="BON22" s="498">
        <v>1</v>
      </c>
      <c r="BOO22" s="499">
        <v>1500000</v>
      </c>
      <c r="BOP22" s="498">
        <v>1.58</v>
      </c>
      <c r="BOQ22" s="498">
        <v>1</v>
      </c>
      <c r="BOR22" s="501">
        <v>6.75</v>
      </c>
      <c r="BOS22" s="486">
        <v>5.0999999999999996</v>
      </c>
      <c r="BOT22" s="452" t="s">
        <v>2691</v>
      </c>
      <c r="BOU22" s="498" t="s">
        <v>1620</v>
      </c>
      <c r="BOV22" s="498">
        <v>1</v>
      </c>
      <c r="BOW22" s="499">
        <v>1500000</v>
      </c>
      <c r="BOX22" s="498">
        <v>1.58</v>
      </c>
      <c r="BOY22" s="498">
        <v>1</v>
      </c>
      <c r="BOZ22" s="501">
        <v>6.75</v>
      </c>
      <c r="BPA22" s="486">
        <v>5.0999999999999996</v>
      </c>
      <c r="BPB22" s="452" t="s">
        <v>2691</v>
      </c>
      <c r="BPC22" s="498" t="s">
        <v>1620</v>
      </c>
      <c r="BPD22" s="498">
        <v>1</v>
      </c>
      <c r="BPE22" s="499">
        <v>1500000</v>
      </c>
      <c r="BPF22" s="498">
        <v>1.58</v>
      </c>
      <c r="BPG22" s="498">
        <v>1</v>
      </c>
      <c r="BPH22" s="501">
        <v>6.75</v>
      </c>
      <c r="BPI22" s="486">
        <v>5.0999999999999996</v>
      </c>
      <c r="BPJ22" s="452" t="s">
        <v>2691</v>
      </c>
      <c r="BPK22" s="498" t="s">
        <v>1620</v>
      </c>
      <c r="BPL22" s="498">
        <v>1</v>
      </c>
      <c r="BPM22" s="499">
        <v>1500000</v>
      </c>
      <c r="BPN22" s="498">
        <v>1.58</v>
      </c>
      <c r="BPO22" s="498">
        <v>1</v>
      </c>
      <c r="BPP22" s="501">
        <v>6.75</v>
      </c>
      <c r="BPQ22" s="486">
        <v>5.0999999999999996</v>
      </c>
      <c r="BPR22" s="452" t="s">
        <v>2691</v>
      </c>
      <c r="BPS22" s="498" t="s">
        <v>1620</v>
      </c>
      <c r="BPT22" s="498">
        <v>1</v>
      </c>
      <c r="BPU22" s="499">
        <v>1500000</v>
      </c>
      <c r="BPV22" s="498">
        <v>1.58</v>
      </c>
      <c r="BPW22" s="498">
        <v>1</v>
      </c>
      <c r="BPX22" s="501">
        <v>6.75</v>
      </c>
      <c r="BPY22" s="486">
        <v>5.0999999999999996</v>
      </c>
      <c r="BPZ22" s="452" t="s">
        <v>2691</v>
      </c>
      <c r="BQA22" s="498" t="s">
        <v>1620</v>
      </c>
      <c r="BQB22" s="498">
        <v>1</v>
      </c>
      <c r="BQC22" s="499">
        <v>1500000</v>
      </c>
      <c r="BQD22" s="498">
        <v>1.58</v>
      </c>
      <c r="BQE22" s="498">
        <v>1</v>
      </c>
      <c r="BQF22" s="501">
        <v>6.75</v>
      </c>
      <c r="BQG22" s="486">
        <v>5.0999999999999996</v>
      </c>
      <c r="BQH22" s="452" t="s">
        <v>2691</v>
      </c>
      <c r="BQI22" s="498" t="s">
        <v>1620</v>
      </c>
      <c r="BQJ22" s="498">
        <v>1</v>
      </c>
      <c r="BQK22" s="499">
        <v>1500000</v>
      </c>
      <c r="BQL22" s="498">
        <v>1.58</v>
      </c>
      <c r="BQM22" s="498">
        <v>1</v>
      </c>
      <c r="BQN22" s="501">
        <v>6.75</v>
      </c>
      <c r="BQO22" s="486">
        <v>5.0999999999999996</v>
      </c>
      <c r="BQP22" s="452" t="s">
        <v>2691</v>
      </c>
      <c r="BQQ22" s="498" t="s">
        <v>1620</v>
      </c>
      <c r="BQR22" s="498">
        <v>1</v>
      </c>
      <c r="BQS22" s="499">
        <v>1500000</v>
      </c>
      <c r="BQT22" s="498">
        <v>1.58</v>
      </c>
      <c r="BQU22" s="498">
        <v>1</v>
      </c>
      <c r="BQV22" s="501">
        <v>6.75</v>
      </c>
      <c r="BQW22" s="486">
        <v>5.0999999999999996</v>
      </c>
      <c r="BQX22" s="452" t="s">
        <v>2691</v>
      </c>
      <c r="BQY22" s="498" t="s">
        <v>1620</v>
      </c>
      <c r="BQZ22" s="498">
        <v>1</v>
      </c>
      <c r="BRA22" s="499">
        <v>1500000</v>
      </c>
      <c r="BRB22" s="498">
        <v>1.58</v>
      </c>
      <c r="BRC22" s="498">
        <v>1</v>
      </c>
      <c r="BRD22" s="501">
        <v>6.75</v>
      </c>
      <c r="BRE22" s="486">
        <v>5.0999999999999996</v>
      </c>
      <c r="BRF22" s="452" t="s">
        <v>2691</v>
      </c>
      <c r="BRG22" s="498" t="s">
        <v>1620</v>
      </c>
      <c r="BRH22" s="498">
        <v>1</v>
      </c>
      <c r="BRI22" s="499">
        <v>1500000</v>
      </c>
      <c r="BRJ22" s="498">
        <v>1.58</v>
      </c>
      <c r="BRK22" s="498">
        <v>1</v>
      </c>
      <c r="BRL22" s="501">
        <v>6.75</v>
      </c>
      <c r="BRM22" s="486">
        <v>5.0999999999999996</v>
      </c>
      <c r="BRN22" s="452" t="s">
        <v>2691</v>
      </c>
      <c r="BRO22" s="498" t="s">
        <v>1620</v>
      </c>
      <c r="BRP22" s="498">
        <v>1</v>
      </c>
      <c r="BRQ22" s="499">
        <v>1500000</v>
      </c>
      <c r="BRR22" s="498">
        <v>1.58</v>
      </c>
      <c r="BRS22" s="498">
        <v>1</v>
      </c>
      <c r="BRT22" s="501">
        <v>6.75</v>
      </c>
      <c r="BRU22" s="486">
        <v>5.0999999999999996</v>
      </c>
      <c r="BRV22" s="452" t="s">
        <v>2691</v>
      </c>
      <c r="BRW22" s="498" t="s">
        <v>1620</v>
      </c>
      <c r="BRX22" s="498">
        <v>1</v>
      </c>
      <c r="BRY22" s="499">
        <v>1500000</v>
      </c>
      <c r="BRZ22" s="498">
        <v>1.58</v>
      </c>
      <c r="BSA22" s="498">
        <v>1</v>
      </c>
      <c r="BSB22" s="501">
        <v>6.75</v>
      </c>
      <c r="BSC22" s="486">
        <v>5.0999999999999996</v>
      </c>
      <c r="BSD22" s="452" t="s">
        <v>2691</v>
      </c>
      <c r="BSE22" s="498" t="s">
        <v>1620</v>
      </c>
      <c r="BSF22" s="498">
        <v>1</v>
      </c>
      <c r="BSG22" s="499">
        <v>1500000</v>
      </c>
      <c r="BSH22" s="498">
        <v>1.58</v>
      </c>
      <c r="BSI22" s="498">
        <v>1</v>
      </c>
      <c r="BSJ22" s="501">
        <v>6.75</v>
      </c>
      <c r="BSK22" s="486">
        <v>5.0999999999999996</v>
      </c>
      <c r="BSL22" s="452" t="s">
        <v>2691</v>
      </c>
      <c r="BSM22" s="498" t="s">
        <v>1620</v>
      </c>
      <c r="BSN22" s="498">
        <v>1</v>
      </c>
      <c r="BSO22" s="499">
        <v>1500000</v>
      </c>
      <c r="BSP22" s="498">
        <v>1.58</v>
      </c>
      <c r="BSQ22" s="498">
        <v>1</v>
      </c>
      <c r="BSR22" s="501">
        <v>6.75</v>
      </c>
      <c r="BSS22" s="486">
        <v>5.0999999999999996</v>
      </c>
      <c r="BST22" s="452" t="s">
        <v>2691</v>
      </c>
      <c r="BSU22" s="498" t="s">
        <v>1620</v>
      </c>
      <c r="BSV22" s="498">
        <v>1</v>
      </c>
      <c r="BSW22" s="499">
        <v>1500000</v>
      </c>
      <c r="BSX22" s="498">
        <v>1.58</v>
      </c>
      <c r="BSY22" s="498">
        <v>1</v>
      </c>
      <c r="BSZ22" s="501">
        <v>6.75</v>
      </c>
      <c r="BTA22" s="486">
        <v>5.0999999999999996</v>
      </c>
      <c r="BTB22" s="452" t="s">
        <v>2691</v>
      </c>
      <c r="BTC22" s="498" t="s">
        <v>1620</v>
      </c>
      <c r="BTD22" s="498">
        <v>1</v>
      </c>
      <c r="BTE22" s="499">
        <v>1500000</v>
      </c>
      <c r="BTF22" s="498">
        <v>1.58</v>
      </c>
      <c r="BTG22" s="498">
        <v>1</v>
      </c>
      <c r="BTH22" s="501">
        <v>6.75</v>
      </c>
      <c r="BTI22" s="486">
        <v>5.0999999999999996</v>
      </c>
      <c r="BTJ22" s="452" t="s">
        <v>2691</v>
      </c>
      <c r="BTK22" s="498" t="s">
        <v>1620</v>
      </c>
      <c r="BTL22" s="498">
        <v>1</v>
      </c>
      <c r="BTM22" s="499">
        <v>1500000</v>
      </c>
      <c r="BTN22" s="498">
        <v>1.58</v>
      </c>
      <c r="BTO22" s="498">
        <v>1</v>
      </c>
      <c r="BTP22" s="501">
        <v>6.75</v>
      </c>
      <c r="BTQ22" s="486">
        <v>5.0999999999999996</v>
      </c>
      <c r="BTR22" s="452" t="s">
        <v>2691</v>
      </c>
      <c r="BTS22" s="498" t="s">
        <v>1620</v>
      </c>
      <c r="BTT22" s="498">
        <v>1</v>
      </c>
      <c r="BTU22" s="499">
        <v>1500000</v>
      </c>
      <c r="BTV22" s="498">
        <v>1.58</v>
      </c>
      <c r="BTW22" s="498">
        <v>1</v>
      </c>
      <c r="BTX22" s="501">
        <v>6.75</v>
      </c>
      <c r="BTY22" s="486">
        <v>5.0999999999999996</v>
      </c>
      <c r="BTZ22" s="452" t="s">
        <v>2691</v>
      </c>
      <c r="BUA22" s="498" t="s">
        <v>1620</v>
      </c>
      <c r="BUB22" s="498">
        <v>1</v>
      </c>
      <c r="BUC22" s="499">
        <v>1500000</v>
      </c>
      <c r="BUD22" s="498">
        <v>1.58</v>
      </c>
      <c r="BUE22" s="498">
        <v>1</v>
      </c>
      <c r="BUF22" s="501">
        <v>6.75</v>
      </c>
      <c r="BUG22" s="486">
        <v>5.0999999999999996</v>
      </c>
      <c r="BUH22" s="452" t="s">
        <v>2691</v>
      </c>
      <c r="BUI22" s="498" t="s">
        <v>1620</v>
      </c>
      <c r="BUJ22" s="498">
        <v>1</v>
      </c>
      <c r="BUK22" s="499">
        <v>1500000</v>
      </c>
      <c r="BUL22" s="498">
        <v>1.58</v>
      </c>
      <c r="BUM22" s="498">
        <v>1</v>
      </c>
      <c r="BUN22" s="501">
        <v>6.75</v>
      </c>
      <c r="BUO22" s="486">
        <v>5.0999999999999996</v>
      </c>
      <c r="BUP22" s="452" t="s">
        <v>2691</v>
      </c>
      <c r="BUQ22" s="498" t="s">
        <v>1620</v>
      </c>
      <c r="BUR22" s="498">
        <v>1</v>
      </c>
      <c r="BUS22" s="499">
        <v>1500000</v>
      </c>
      <c r="BUT22" s="498">
        <v>1.58</v>
      </c>
      <c r="BUU22" s="498">
        <v>1</v>
      </c>
      <c r="BUV22" s="501">
        <v>6.75</v>
      </c>
      <c r="BUW22" s="486">
        <v>5.0999999999999996</v>
      </c>
      <c r="BUX22" s="452" t="s">
        <v>2691</v>
      </c>
      <c r="BUY22" s="498" t="s">
        <v>1620</v>
      </c>
      <c r="BUZ22" s="498">
        <v>1</v>
      </c>
      <c r="BVA22" s="499">
        <v>1500000</v>
      </c>
      <c r="BVB22" s="498">
        <v>1.58</v>
      </c>
      <c r="BVC22" s="498">
        <v>1</v>
      </c>
      <c r="BVD22" s="501">
        <v>6.75</v>
      </c>
      <c r="BVE22" s="486">
        <v>5.0999999999999996</v>
      </c>
      <c r="BVF22" s="452" t="s">
        <v>2691</v>
      </c>
      <c r="BVG22" s="498" t="s">
        <v>1620</v>
      </c>
      <c r="BVH22" s="498">
        <v>1</v>
      </c>
      <c r="BVI22" s="499">
        <v>1500000</v>
      </c>
      <c r="BVJ22" s="498">
        <v>1.58</v>
      </c>
      <c r="BVK22" s="498">
        <v>1</v>
      </c>
      <c r="BVL22" s="501">
        <v>6.75</v>
      </c>
      <c r="BVM22" s="486">
        <v>5.0999999999999996</v>
      </c>
      <c r="BVN22" s="452" t="s">
        <v>2691</v>
      </c>
      <c r="BVO22" s="498" t="s">
        <v>1620</v>
      </c>
      <c r="BVP22" s="498">
        <v>1</v>
      </c>
      <c r="BVQ22" s="499">
        <v>1500000</v>
      </c>
      <c r="BVR22" s="498">
        <v>1.58</v>
      </c>
      <c r="BVS22" s="498">
        <v>1</v>
      </c>
      <c r="BVT22" s="501">
        <v>6.75</v>
      </c>
      <c r="BVU22" s="486">
        <v>5.0999999999999996</v>
      </c>
      <c r="BVV22" s="452" t="s">
        <v>2691</v>
      </c>
      <c r="BVW22" s="498" t="s">
        <v>1620</v>
      </c>
      <c r="BVX22" s="498">
        <v>1</v>
      </c>
      <c r="BVY22" s="499">
        <v>1500000</v>
      </c>
      <c r="BVZ22" s="498">
        <v>1.58</v>
      </c>
      <c r="BWA22" s="498">
        <v>1</v>
      </c>
      <c r="BWB22" s="501">
        <v>6.75</v>
      </c>
      <c r="BWC22" s="486">
        <v>5.0999999999999996</v>
      </c>
      <c r="BWD22" s="452" t="s">
        <v>2691</v>
      </c>
      <c r="BWE22" s="498" t="s">
        <v>1620</v>
      </c>
      <c r="BWF22" s="498">
        <v>1</v>
      </c>
      <c r="BWG22" s="499">
        <v>1500000</v>
      </c>
      <c r="BWH22" s="498">
        <v>1.58</v>
      </c>
      <c r="BWI22" s="498">
        <v>1</v>
      </c>
      <c r="BWJ22" s="501">
        <v>6.75</v>
      </c>
      <c r="BWK22" s="486">
        <v>5.0999999999999996</v>
      </c>
      <c r="BWL22" s="452" t="s">
        <v>2691</v>
      </c>
      <c r="BWM22" s="498" t="s">
        <v>1620</v>
      </c>
      <c r="BWN22" s="498">
        <v>1</v>
      </c>
      <c r="BWO22" s="499">
        <v>1500000</v>
      </c>
      <c r="BWP22" s="498">
        <v>1.58</v>
      </c>
      <c r="BWQ22" s="498">
        <v>1</v>
      </c>
      <c r="BWR22" s="501">
        <v>6.75</v>
      </c>
      <c r="BWS22" s="486">
        <v>5.0999999999999996</v>
      </c>
      <c r="BWT22" s="452" t="s">
        <v>2691</v>
      </c>
      <c r="BWU22" s="498" t="s">
        <v>1620</v>
      </c>
      <c r="BWV22" s="498">
        <v>1</v>
      </c>
      <c r="BWW22" s="499">
        <v>1500000</v>
      </c>
      <c r="BWX22" s="498">
        <v>1.58</v>
      </c>
      <c r="BWY22" s="498">
        <v>1</v>
      </c>
      <c r="BWZ22" s="501">
        <v>6.75</v>
      </c>
      <c r="BXA22" s="486">
        <v>5.0999999999999996</v>
      </c>
      <c r="BXB22" s="452" t="s">
        <v>2691</v>
      </c>
      <c r="BXC22" s="498" t="s">
        <v>1620</v>
      </c>
      <c r="BXD22" s="498">
        <v>1</v>
      </c>
      <c r="BXE22" s="499">
        <v>1500000</v>
      </c>
      <c r="BXF22" s="498">
        <v>1.58</v>
      </c>
      <c r="BXG22" s="498">
        <v>1</v>
      </c>
      <c r="BXH22" s="501">
        <v>6.75</v>
      </c>
      <c r="BXI22" s="486">
        <v>5.0999999999999996</v>
      </c>
      <c r="BXJ22" s="452" t="s">
        <v>2691</v>
      </c>
      <c r="BXK22" s="498" t="s">
        <v>1620</v>
      </c>
      <c r="BXL22" s="498">
        <v>1</v>
      </c>
      <c r="BXM22" s="499">
        <v>1500000</v>
      </c>
      <c r="BXN22" s="498">
        <v>1.58</v>
      </c>
      <c r="BXO22" s="498">
        <v>1</v>
      </c>
      <c r="BXP22" s="501">
        <v>6.75</v>
      </c>
      <c r="BXQ22" s="486">
        <v>5.0999999999999996</v>
      </c>
      <c r="BXR22" s="452" t="s">
        <v>2691</v>
      </c>
      <c r="BXS22" s="498" t="s">
        <v>1620</v>
      </c>
      <c r="BXT22" s="498">
        <v>1</v>
      </c>
      <c r="BXU22" s="499">
        <v>1500000</v>
      </c>
      <c r="BXV22" s="498">
        <v>1.58</v>
      </c>
      <c r="BXW22" s="498">
        <v>1</v>
      </c>
      <c r="BXX22" s="501">
        <v>6.75</v>
      </c>
      <c r="BXY22" s="486">
        <v>5.0999999999999996</v>
      </c>
      <c r="BXZ22" s="452" t="s">
        <v>2691</v>
      </c>
      <c r="BYA22" s="498" t="s">
        <v>1620</v>
      </c>
      <c r="BYB22" s="498">
        <v>1</v>
      </c>
      <c r="BYC22" s="499">
        <v>1500000</v>
      </c>
      <c r="BYD22" s="498">
        <v>1.58</v>
      </c>
      <c r="BYE22" s="498">
        <v>1</v>
      </c>
      <c r="BYF22" s="501">
        <v>6.75</v>
      </c>
      <c r="BYG22" s="486">
        <v>5.0999999999999996</v>
      </c>
      <c r="BYH22" s="452" t="s">
        <v>2691</v>
      </c>
      <c r="BYI22" s="498" t="s">
        <v>1620</v>
      </c>
      <c r="BYJ22" s="498">
        <v>1</v>
      </c>
      <c r="BYK22" s="499">
        <v>1500000</v>
      </c>
      <c r="BYL22" s="498">
        <v>1.58</v>
      </c>
      <c r="BYM22" s="498">
        <v>1</v>
      </c>
      <c r="BYN22" s="501">
        <v>6.75</v>
      </c>
      <c r="BYO22" s="486">
        <v>5.0999999999999996</v>
      </c>
      <c r="BYP22" s="452" t="s">
        <v>2691</v>
      </c>
      <c r="BYQ22" s="498" t="s">
        <v>1620</v>
      </c>
      <c r="BYR22" s="498">
        <v>1</v>
      </c>
      <c r="BYS22" s="499">
        <v>1500000</v>
      </c>
      <c r="BYT22" s="498">
        <v>1.58</v>
      </c>
      <c r="BYU22" s="498">
        <v>1</v>
      </c>
      <c r="BYV22" s="501">
        <v>6.75</v>
      </c>
      <c r="BYW22" s="486">
        <v>5.0999999999999996</v>
      </c>
      <c r="BYX22" s="452" t="s">
        <v>2691</v>
      </c>
      <c r="BYY22" s="498" t="s">
        <v>1620</v>
      </c>
      <c r="BYZ22" s="498">
        <v>1</v>
      </c>
      <c r="BZA22" s="499">
        <v>1500000</v>
      </c>
      <c r="BZB22" s="498">
        <v>1.58</v>
      </c>
      <c r="BZC22" s="498">
        <v>1</v>
      </c>
      <c r="BZD22" s="501">
        <v>6.75</v>
      </c>
      <c r="BZE22" s="486">
        <v>5.0999999999999996</v>
      </c>
      <c r="BZF22" s="452" t="s">
        <v>2691</v>
      </c>
      <c r="BZG22" s="498" t="s">
        <v>1620</v>
      </c>
      <c r="BZH22" s="498">
        <v>1</v>
      </c>
      <c r="BZI22" s="499">
        <v>1500000</v>
      </c>
      <c r="BZJ22" s="498">
        <v>1.58</v>
      </c>
      <c r="BZK22" s="498">
        <v>1</v>
      </c>
      <c r="BZL22" s="501">
        <v>6.75</v>
      </c>
      <c r="BZM22" s="486">
        <v>5.0999999999999996</v>
      </c>
      <c r="BZN22" s="452" t="s">
        <v>2691</v>
      </c>
      <c r="BZO22" s="498" t="s">
        <v>1620</v>
      </c>
      <c r="BZP22" s="498">
        <v>1</v>
      </c>
      <c r="BZQ22" s="499">
        <v>1500000</v>
      </c>
      <c r="BZR22" s="498">
        <v>1.58</v>
      </c>
      <c r="BZS22" s="498">
        <v>1</v>
      </c>
      <c r="BZT22" s="501">
        <v>6.75</v>
      </c>
      <c r="BZU22" s="486">
        <v>5.0999999999999996</v>
      </c>
      <c r="BZV22" s="452" t="s">
        <v>2691</v>
      </c>
      <c r="BZW22" s="498" t="s">
        <v>1620</v>
      </c>
      <c r="BZX22" s="498">
        <v>1</v>
      </c>
      <c r="BZY22" s="499">
        <v>1500000</v>
      </c>
      <c r="BZZ22" s="498">
        <v>1.58</v>
      </c>
      <c r="CAA22" s="498">
        <v>1</v>
      </c>
      <c r="CAB22" s="501">
        <v>6.75</v>
      </c>
      <c r="CAC22" s="486">
        <v>5.0999999999999996</v>
      </c>
      <c r="CAD22" s="452" t="s">
        <v>2691</v>
      </c>
      <c r="CAE22" s="498" t="s">
        <v>1620</v>
      </c>
      <c r="CAF22" s="498">
        <v>1</v>
      </c>
      <c r="CAG22" s="499">
        <v>1500000</v>
      </c>
      <c r="CAH22" s="498">
        <v>1.58</v>
      </c>
      <c r="CAI22" s="498">
        <v>1</v>
      </c>
      <c r="CAJ22" s="501">
        <v>6.75</v>
      </c>
      <c r="CAK22" s="486">
        <v>5.0999999999999996</v>
      </c>
      <c r="CAL22" s="452" t="s">
        <v>2691</v>
      </c>
      <c r="CAM22" s="498" t="s">
        <v>1620</v>
      </c>
      <c r="CAN22" s="498">
        <v>1</v>
      </c>
      <c r="CAO22" s="499">
        <v>1500000</v>
      </c>
      <c r="CAP22" s="498">
        <v>1.58</v>
      </c>
      <c r="CAQ22" s="498">
        <v>1</v>
      </c>
      <c r="CAR22" s="501">
        <v>6.75</v>
      </c>
      <c r="CAS22" s="486">
        <v>5.0999999999999996</v>
      </c>
      <c r="CAT22" s="452" t="s">
        <v>2691</v>
      </c>
      <c r="CAU22" s="498" t="s">
        <v>1620</v>
      </c>
      <c r="CAV22" s="498">
        <v>1</v>
      </c>
      <c r="CAW22" s="499">
        <v>1500000</v>
      </c>
      <c r="CAX22" s="498">
        <v>1.58</v>
      </c>
      <c r="CAY22" s="498">
        <v>1</v>
      </c>
      <c r="CAZ22" s="501">
        <v>6.75</v>
      </c>
      <c r="CBA22" s="486">
        <v>5.0999999999999996</v>
      </c>
      <c r="CBB22" s="452" t="s">
        <v>2691</v>
      </c>
      <c r="CBC22" s="498" t="s">
        <v>1620</v>
      </c>
      <c r="CBD22" s="498">
        <v>1</v>
      </c>
      <c r="CBE22" s="499">
        <v>1500000</v>
      </c>
      <c r="CBF22" s="498">
        <v>1.58</v>
      </c>
      <c r="CBG22" s="498">
        <v>1</v>
      </c>
      <c r="CBH22" s="501">
        <v>6.75</v>
      </c>
      <c r="CBI22" s="486">
        <v>5.0999999999999996</v>
      </c>
      <c r="CBJ22" s="452" t="s">
        <v>2691</v>
      </c>
      <c r="CBK22" s="498" t="s">
        <v>1620</v>
      </c>
      <c r="CBL22" s="498">
        <v>1</v>
      </c>
      <c r="CBM22" s="499">
        <v>1500000</v>
      </c>
      <c r="CBN22" s="498">
        <v>1.58</v>
      </c>
      <c r="CBO22" s="498">
        <v>1</v>
      </c>
      <c r="CBP22" s="501">
        <v>6.75</v>
      </c>
      <c r="CBQ22" s="486">
        <v>5.0999999999999996</v>
      </c>
      <c r="CBR22" s="452" t="s">
        <v>2691</v>
      </c>
      <c r="CBS22" s="498" t="s">
        <v>1620</v>
      </c>
      <c r="CBT22" s="498">
        <v>1</v>
      </c>
      <c r="CBU22" s="499">
        <v>1500000</v>
      </c>
      <c r="CBV22" s="498">
        <v>1.58</v>
      </c>
      <c r="CBW22" s="498">
        <v>1</v>
      </c>
      <c r="CBX22" s="501">
        <v>6.75</v>
      </c>
      <c r="CBY22" s="486">
        <v>5.0999999999999996</v>
      </c>
      <c r="CBZ22" s="452" t="s">
        <v>2691</v>
      </c>
      <c r="CCA22" s="498" t="s">
        <v>1620</v>
      </c>
      <c r="CCB22" s="498">
        <v>1</v>
      </c>
      <c r="CCC22" s="499">
        <v>1500000</v>
      </c>
      <c r="CCD22" s="498">
        <v>1.58</v>
      </c>
      <c r="CCE22" s="498">
        <v>1</v>
      </c>
      <c r="CCF22" s="501">
        <v>6.75</v>
      </c>
      <c r="CCG22" s="486">
        <v>5.0999999999999996</v>
      </c>
      <c r="CCH22" s="452" t="s">
        <v>2691</v>
      </c>
      <c r="CCI22" s="498" t="s">
        <v>1620</v>
      </c>
      <c r="CCJ22" s="498">
        <v>1</v>
      </c>
      <c r="CCK22" s="499">
        <v>1500000</v>
      </c>
      <c r="CCL22" s="498">
        <v>1.58</v>
      </c>
      <c r="CCM22" s="498">
        <v>1</v>
      </c>
      <c r="CCN22" s="501">
        <v>6.75</v>
      </c>
      <c r="CCO22" s="486">
        <v>5.0999999999999996</v>
      </c>
      <c r="CCP22" s="452" t="s">
        <v>2691</v>
      </c>
      <c r="CCQ22" s="498" t="s">
        <v>1620</v>
      </c>
      <c r="CCR22" s="498">
        <v>1</v>
      </c>
      <c r="CCS22" s="499">
        <v>1500000</v>
      </c>
      <c r="CCT22" s="498">
        <v>1.58</v>
      </c>
      <c r="CCU22" s="498">
        <v>1</v>
      </c>
      <c r="CCV22" s="501">
        <v>6.75</v>
      </c>
      <c r="CCW22" s="486">
        <v>5.0999999999999996</v>
      </c>
      <c r="CCX22" s="452" t="s">
        <v>2691</v>
      </c>
      <c r="CCY22" s="498" t="s">
        <v>1620</v>
      </c>
      <c r="CCZ22" s="498">
        <v>1</v>
      </c>
      <c r="CDA22" s="499">
        <v>1500000</v>
      </c>
      <c r="CDB22" s="498">
        <v>1.58</v>
      </c>
      <c r="CDC22" s="498">
        <v>1</v>
      </c>
      <c r="CDD22" s="501">
        <v>6.75</v>
      </c>
      <c r="CDE22" s="486">
        <v>5.0999999999999996</v>
      </c>
      <c r="CDF22" s="452" t="s">
        <v>2691</v>
      </c>
      <c r="CDG22" s="498" t="s">
        <v>1620</v>
      </c>
      <c r="CDH22" s="498">
        <v>1</v>
      </c>
      <c r="CDI22" s="499">
        <v>1500000</v>
      </c>
      <c r="CDJ22" s="498">
        <v>1.58</v>
      </c>
      <c r="CDK22" s="498">
        <v>1</v>
      </c>
      <c r="CDL22" s="501">
        <v>6.75</v>
      </c>
      <c r="CDM22" s="486">
        <v>5.0999999999999996</v>
      </c>
      <c r="CDN22" s="452" t="s">
        <v>2691</v>
      </c>
      <c r="CDO22" s="498" t="s">
        <v>1620</v>
      </c>
      <c r="CDP22" s="498">
        <v>1</v>
      </c>
      <c r="CDQ22" s="499">
        <v>1500000</v>
      </c>
      <c r="CDR22" s="498">
        <v>1.58</v>
      </c>
      <c r="CDS22" s="498">
        <v>1</v>
      </c>
      <c r="CDT22" s="501">
        <v>6.75</v>
      </c>
      <c r="CDU22" s="486">
        <v>5.0999999999999996</v>
      </c>
      <c r="CDV22" s="452" t="s">
        <v>2691</v>
      </c>
      <c r="CDW22" s="498" t="s">
        <v>1620</v>
      </c>
      <c r="CDX22" s="498">
        <v>1</v>
      </c>
      <c r="CDY22" s="499">
        <v>1500000</v>
      </c>
      <c r="CDZ22" s="498">
        <v>1.58</v>
      </c>
      <c r="CEA22" s="498">
        <v>1</v>
      </c>
      <c r="CEB22" s="501">
        <v>6.75</v>
      </c>
      <c r="CEC22" s="486">
        <v>5.0999999999999996</v>
      </c>
      <c r="CED22" s="452" t="s">
        <v>2691</v>
      </c>
      <c r="CEE22" s="498" t="s">
        <v>1620</v>
      </c>
      <c r="CEF22" s="498">
        <v>1</v>
      </c>
      <c r="CEG22" s="499">
        <v>1500000</v>
      </c>
      <c r="CEH22" s="498">
        <v>1.58</v>
      </c>
      <c r="CEI22" s="498">
        <v>1</v>
      </c>
      <c r="CEJ22" s="501">
        <v>6.75</v>
      </c>
      <c r="CEK22" s="486">
        <v>5.0999999999999996</v>
      </c>
      <c r="CEL22" s="452" t="s">
        <v>2691</v>
      </c>
      <c r="CEM22" s="498" t="s">
        <v>1620</v>
      </c>
      <c r="CEN22" s="498">
        <v>1</v>
      </c>
      <c r="CEO22" s="499">
        <v>1500000</v>
      </c>
      <c r="CEP22" s="498">
        <v>1.58</v>
      </c>
      <c r="CEQ22" s="498">
        <v>1</v>
      </c>
      <c r="CER22" s="501">
        <v>6.75</v>
      </c>
      <c r="CES22" s="486">
        <v>5.0999999999999996</v>
      </c>
      <c r="CET22" s="452" t="s">
        <v>2691</v>
      </c>
      <c r="CEU22" s="498" t="s">
        <v>1620</v>
      </c>
      <c r="CEV22" s="498">
        <v>1</v>
      </c>
      <c r="CEW22" s="499">
        <v>1500000</v>
      </c>
      <c r="CEX22" s="498">
        <v>1.58</v>
      </c>
      <c r="CEY22" s="498">
        <v>1</v>
      </c>
      <c r="CEZ22" s="501">
        <v>6.75</v>
      </c>
      <c r="CFA22" s="486">
        <v>5.0999999999999996</v>
      </c>
      <c r="CFB22" s="452" t="s">
        <v>2691</v>
      </c>
      <c r="CFC22" s="498" t="s">
        <v>1620</v>
      </c>
      <c r="CFD22" s="498">
        <v>1</v>
      </c>
      <c r="CFE22" s="499">
        <v>1500000</v>
      </c>
      <c r="CFF22" s="498">
        <v>1.58</v>
      </c>
      <c r="CFG22" s="498">
        <v>1</v>
      </c>
      <c r="CFH22" s="501">
        <v>6.75</v>
      </c>
      <c r="CFI22" s="486">
        <v>5.0999999999999996</v>
      </c>
      <c r="CFJ22" s="452" t="s">
        <v>2691</v>
      </c>
      <c r="CFK22" s="498" t="s">
        <v>1620</v>
      </c>
      <c r="CFL22" s="498">
        <v>1</v>
      </c>
      <c r="CFM22" s="499">
        <v>1500000</v>
      </c>
      <c r="CFN22" s="498">
        <v>1.58</v>
      </c>
      <c r="CFO22" s="498">
        <v>1</v>
      </c>
      <c r="CFP22" s="501">
        <v>6.75</v>
      </c>
      <c r="CFQ22" s="486">
        <v>5.0999999999999996</v>
      </c>
      <c r="CFR22" s="452" t="s">
        <v>2691</v>
      </c>
      <c r="CFS22" s="498" t="s">
        <v>1620</v>
      </c>
      <c r="CFT22" s="498">
        <v>1</v>
      </c>
      <c r="CFU22" s="499">
        <v>1500000</v>
      </c>
      <c r="CFV22" s="498">
        <v>1.58</v>
      </c>
      <c r="CFW22" s="498">
        <v>1</v>
      </c>
      <c r="CFX22" s="501">
        <v>6.75</v>
      </c>
      <c r="CFY22" s="486">
        <v>5.0999999999999996</v>
      </c>
      <c r="CFZ22" s="452" t="s">
        <v>2691</v>
      </c>
      <c r="CGA22" s="498" t="s">
        <v>1620</v>
      </c>
      <c r="CGB22" s="498">
        <v>1</v>
      </c>
      <c r="CGC22" s="499">
        <v>1500000</v>
      </c>
      <c r="CGD22" s="498">
        <v>1.58</v>
      </c>
      <c r="CGE22" s="498">
        <v>1</v>
      </c>
      <c r="CGF22" s="501">
        <v>6.75</v>
      </c>
      <c r="CGG22" s="486">
        <v>5.0999999999999996</v>
      </c>
      <c r="CGH22" s="452" t="s">
        <v>2691</v>
      </c>
      <c r="CGI22" s="498" t="s">
        <v>1620</v>
      </c>
      <c r="CGJ22" s="498">
        <v>1</v>
      </c>
      <c r="CGK22" s="499">
        <v>1500000</v>
      </c>
      <c r="CGL22" s="498">
        <v>1.58</v>
      </c>
      <c r="CGM22" s="498">
        <v>1</v>
      </c>
      <c r="CGN22" s="501">
        <v>6.75</v>
      </c>
      <c r="CGO22" s="486">
        <v>5.0999999999999996</v>
      </c>
      <c r="CGP22" s="452" t="s">
        <v>2691</v>
      </c>
      <c r="CGQ22" s="498" t="s">
        <v>1620</v>
      </c>
      <c r="CGR22" s="498">
        <v>1</v>
      </c>
      <c r="CGS22" s="499">
        <v>1500000</v>
      </c>
      <c r="CGT22" s="498">
        <v>1.58</v>
      </c>
      <c r="CGU22" s="498">
        <v>1</v>
      </c>
      <c r="CGV22" s="501">
        <v>6.75</v>
      </c>
      <c r="CGW22" s="486">
        <v>5.0999999999999996</v>
      </c>
      <c r="CGX22" s="452" t="s">
        <v>2691</v>
      </c>
      <c r="CGY22" s="498" t="s">
        <v>1620</v>
      </c>
      <c r="CGZ22" s="498">
        <v>1</v>
      </c>
      <c r="CHA22" s="499">
        <v>1500000</v>
      </c>
      <c r="CHB22" s="498">
        <v>1.58</v>
      </c>
      <c r="CHC22" s="498">
        <v>1</v>
      </c>
      <c r="CHD22" s="501">
        <v>6.75</v>
      </c>
      <c r="CHE22" s="486">
        <v>5.0999999999999996</v>
      </c>
      <c r="CHF22" s="452" t="s">
        <v>2691</v>
      </c>
      <c r="CHG22" s="498" t="s">
        <v>1620</v>
      </c>
      <c r="CHH22" s="498">
        <v>1</v>
      </c>
      <c r="CHI22" s="499">
        <v>1500000</v>
      </c>
      <c r="CHJ22" s="498">
        <v>1.58</v>
      </c>
      <c r="CHK22" s="498">
        <v>1</v>
      </c>
      <c r="CHL22" s="501">
        <v>6.75</v>
      </c>
      <c r="CHM22" s="486">
        <v>5.0999999999999996</v>
      </c>
      <c r="CHN22" s="452" t="s">
        <v>2691</v>
      </c>
      <c r="CHO22" s="498" t="s">
        <v>1620</v>
      </c>
      <c r="CHP22" s="498">
        <v>1</v>
      </c>
      <c r="CHQ22" s="499">
        <v>1500000</v>
      </c>
      <c r="CHR22" s="498">
        <v>1.58</v>
      </c>
      <c r="CHS22" s="498">
        <v>1</v>
      </c>
      <c r="CHT22" s="501">
        <v>6.75</v>
      </c>
      <c r="CHU22" s="486">
        <v>5.0999999999999996</v>
      </c>
      <c r="CHV22" s="452" t="s">
        <v>2691</v>
      </c>
      <c r="CHW22" s="498" t="s">
        <v>1620</v>
      </c>
      <c r="CHX22" s="498">
        <v>1</v>
      </c>
      <c r="CHY22" s="499">
        <v>1500000</v>
      </c>
      <c r="CHZ22" s="498">
        <v>1.58</v>
      </c>
      <c r="CIA22" s="498">
        <v>1</v>
      </c>
      <c r="CIB22" s="501">
        <v>6.75</v>
      </c>
      <c r="CIC22" s="486">
        <v>5.0999999999999996</v>
      </c>
      <c r="CID22" s="452" t="s">
        <v>2691</v>
      </c>
      <c r="CIE22" s="498" t="s">
        <v>1620</v>
      </c>
      <c r="CIF22" s="498">
        <v>1</v>
      </c>
      <c r="CIG22" s="499">
        <v>1500000</v>
      </c>
      <c r="CIH22" s="498">
        <v>1.58</v>
      </c>
      <c r="CII22" s="498">
        <v>1</v>
      </c>
      <c r="CIJ22" s="501">
        <v>6.75</v>
      </c>
      <c r="CIK22" s="486">
        <v>5.0999999999999996</v>
      </c>
      <c r="CIL22" s="452" t="s">
        <v>2691</v>
      </c>
      <c r="CIM22" s="498" t="s">
        <v>1620</v>
      </c>
      <c r="CIN22" s="498">
        <v>1</v>
      </c>
      <c r="CIO22" s="499">
        <v>1500000</v>
      </c>
      <c r="CIP22" s="498">
        <v>1.58</v>
      </c>
      <c r="CIQ22" s="498">
        <v>1</v>
      </c>
      <c r="CIR22" s="501">
        <v>6.75</v>
      </c>
      <c r="CIS22" s="486">
        <v>5.0999999999999996</v>
      </c>
      <c r="CIT22" s="452" t="s">
        <v>2691</v>
      </c>
      <c r="CIU22" s="498" t="s">
        <v>1620</v>
      </c>
      <c r="CIV22" s="498">
        <v>1</v>
      </c>
      <c r="CIW22" s="499">
        <v>1500000</v>
      </c>
      <c r="CIX22" s="498">
        <v>1.58</v>
      </c>
      <c r="CIY22" s="498">
        <v>1</v>
      </c>
      <c r="CIZ22" s="501">
        <v>6.75</v>
      </c>
      <c r="CJA22" s="486">
        <v>5.0999999999999996</v>
      </c>
      <c r="CJB22" s="452" t="s">
        <v>2691</v>
      </c>
      <c r="CJC22" s="498" t="s">
        <v>1620</v>
      </c>
      <c r="CJD22" s="498">
        <v>1</v>
      </c>
      <c r="CJE22" s="499">
        <v>1500000</v>
      </c>
      <c r="CJF22" s="498">
        <v>1.58</v>
      </c>
      <c r="CJG22" s="498">
        <v>1</v>
      </c>
      <c r="CJH22" s="501">
        <v>6.75</v>
      </c>
      <c r="CJI22" s="486">
        <v>5.0999999999999996</v>
      </c>
      <c r="CJJ22" s="452" t="s">
        <v>2691</v>
      </c>
      <c r="CJK22" s="498" t="s">
        <v>1620</v>
      </c>
      <c r="CJL22" s="498">
        <v>1</v>
      </c>
      <c r="CJM22" s="499">
        <v>1500000</v>
      </c>
      <c r="CJN22" s="498">
        <v>1.58</v>
      </c>
      <c r="CJO22" s="498">
        <v>1</v>
      </c>
      <c r="CJP22" s="501">
        <v>6.75</v>
      </c>
      <c r="CJQ22" s="486">
        <v>5.0999999999999996</v>
      </c>
      <c r="CJR22" s="452" t="s">
        <v>2691</v>
      </c>
      <c r="CJS22" s="498" t="s">
        <v>1620</v>
      </c>
      <c r="CJT22" s="498">
        <v>1</v>
      </c>
      <c r="CJU22" s="499">
        <v>1500000</v>
      </c>
      <c r="CJV22" s="498">
        <v>1.58</v>
      </c>
      <c r="CJW22" s="498">
        <v>1</v>
      </c>
      <c r="CJX22" s="501">
        <v>6.75</v>
      </c>
      <c r="CJY22" s="486">
        <v>5.0999999999999996</v>
      </c>
      <c r="CJZ22" s="452" t="s">
        <v>2691</v>
      </c>
      <c r="CKA22" s="498" t="s">
        <v>1620</v>
      </c>
      <c r="CKB22" s="498">
        <v>1</v>
      </c>
      <c r="CKC22" s="499">
        <v>1500000</v>
      </c>
      <c r="CKD22" s="498">
        <v>1.58</v>
      </c>
      <c r="CKE22" s="498">
        <v>1</v>
      </c>
      <c r="CKF22" s="501">
        <v>6.75</v>
      </c>
      <c r="CKG22" s="486">
        <v>5.0999999999999996</v>
      </c>
      <c r="CKH22" s="452" t="s">
        <v>2691</v>
      </c>
      <c r="CKI22" s="498" t="s">
        <v>1620</v>
      </c>
      <c r="CKJ22" s="498">
        <v>1</v>
      </c>
      <c r="CKK22" s="499">
        <v>1500000</v>
      </c>
      <c r="CKL22" s="498">
        <v>1.58</v>
      </c>
      <c r="CKM22" s="498">
        <v>1</v>
      </c>
      <c r="CKN22" s="501">
        <v>6.75</v>
      </c>
      <c r="CKO22" s="486">
        <v>5.0999999999999996</v>
      </c>
      <c r="CKP22" s="452" t="s">
        <v>2691</v>
      </c>
      <c r="CKQ22" s="498" t="s">
        <v>1620</v>
      </c>
      <c r="CKR22" s="498">
        <v>1</v>
      </c>
      <c r="CKS22" s="499">
        <v>1500000</v>
      </c>
      <c r="CKT22" s="498">
        <v>1.58</v>
      </c>
      <c r="CKU22" s="498">
        <v>1</v>
      </c>
      <c r="CKV22" s="501">
        <v>6.75</v>
      </c>
      <c r="CKW22" s="486">
        <v>5.0999999999999996</v>
      </c>
      <c r="CKX22" s="452" t="s">
        <v>2691</v>
      </c>
      <c r="CKY22" s="498" t="s">
        <v>1620</v>
      </c>
      <c r="CKZ22" s="498">
        <v>1</v>
      </c>
      <c r="CLA22" s="499">
        <v>1500000</v>
      </c>
      <c r="CLB22" s="498">
        <v>1.58</v>
      </c>
      <c r="CLC22" s="498">
        <v>1</v>
      </c>
      <c r="CLD22" s="501">
        <v>6.75</v>
      </c>
      <c r="CLE22" s="486">
        <v>5.0999999999999996</v>
      </c>
      <c r="CLF22" s="452" t="s">
        <v>2691</v>
      </c>
      <c r="CLG22" s="498" t="s">
        <v>1620</v>
      </c>
      <c r="CLH22" s="498">
        <v>1</v>
      </c>
      <c r="CLI22" s="499">
        <v>1500000</v>
      </c>
      <c r="CLJ22" s="498">
        <v>1.58</v>
      </c>
      <c r="CLK22" s="498">
        <v>1</v>
      </c>
      <c r="CLL22" s="501">
        <v>6.75</v>
      </c>
      <c r="CLM22" s="486">
        <v>5.0999999999999996</v>
      </c>
      <c r="CLN22" s="452" t="s">
        <v>2691</v>
      </c>
      <c r="CLO22" s="498" t="s">
        <v>1620</v>
      </c>
      <c r="CLP22" s="498">
        <v>1</v>
      </c>
      <c r="CLQ22" s="499">
        <v>1500000</v>
      </c>
      <c r="CLR22" s="498">
        <v>1.58</v>
      </c>
      <c r="CLS22" s="498">
        <v>1</v>
      </c>
      <c r="CLT22" s="501">
        <v>6.75</v>
      </c>
      <c r="CLU22" s="486">
        <v>5.0999999999999996</v>
      </c>
      <c r="CLV22" s="452" t="s">
        <v>2691</v>
      </c>
      <c r="CLW22" s="498" t="s">
        <v>1620</v>
      </c>
      <c r="CLX22" s="498">
        <v>1</v>
      </c>
      <c r="CLY22" s="499">
        <v>1500000</v>
      </c>
      <c r="CLZ22" s="498">
        <v>1.58</v>
      </c>
      <c r="CMA22" s="498">
        <v>1</v>
      </c>
      <c r="CMB22" s="501">
        <v>6.75</v>
      </c>
      <c r="CMC22" s="486">
        <v>5.0999999999999996</v>
      </c>
      <c r="CMD22" s="452" t="s">
        <v>2691</v>
      </c>
      <c r="CME22" s="498" t="s">
        <v>1620</v>
      </c>
      <c r="CMF22" s="498">
        <v>1</v>
      </c>
      <c r="CMG22" s="499">
        <v>1500000</v>
      </c>
      <c r="CMH22" s="498">
        <v>1.58</v>
      </c>
      <c r="CMI22" s="498">
        <v>1</v>
      </c>
      <c r="CMJ22" s="501">
        <v>6.75</v>
      </c>
      <c r="CMK22" s="486">
        <v>5.0999999999999996</v>
      </c>
      <c r="CML22" s="452" t="s">
        <v>2691</v>
      </c>
      <c r="CMM22" s="498" t="s">
        <v>1620</v>
      </c>
      <c r="CMN22" s="498">
        <v>1</v>
      </c>
      <c r="CMO22" s="499">
        <v>1500000</v>
      </c>
      <c r="CMP22" s="498">
        <v>1.58</v>
      </c>
      <c r="CMQ22" s="498">
        <v>1</v>
      </c>
      <c r="CMR22" s="501">
        <v>6.75</v>
      </c>
      <c r="CMS22" s="486">
        <v>5.0999999999999996</v>
      </c>
      <c r="CMT22" s="452" t="s">
        <v>2691</v>
      </c>
      <c r="CMU22" s="498" t="s">
        <v>1620</v>
      </c>
      <c r="CMV22" s="498">
        <v>1</v>
      </c>
      <c r="CMW22" s="499">
        <v>1500000</v>
      </c>
      <c r="CMX22" s="498">
        <v>1.58</v>
      </c>
      <c r="CMY22" s="498">
        <v>1</v>
      </c>
      <c r="CMZ22" s="501">
        <v>6.75</v>
      </c>
      <c r="CNA22" s="486">
        <v>5.0999999999999996</v>
      </c>
      <c r="CNB22" s="452" t="s">
        <v>2691</v>
      </c>
      <c r="CNC22" s="498" t="s">
        <v>1620</v>
      </c>
      <c r="CND22" s="498">
        <v>1</v>
      </c>
      <c r="CNE22" s="499">
        <v>1500000</v>
      </c>
      <c r="CNF22" s="498">
        <v>1.58</v>
      </c>
      <c r="CNG22" s="498">
        <v>1</v>
      </c>
      <c r="CNH22" s="501">
        <v>6.75</v>
      </c>
      <c r="CNI22" s="486">
        <v>5.0999999999999996</v>
      </c>
      <c r="CNJ22" s="452" t="s">
        <v>2691</v>
      </c>
      <c r="CNK22" s="498" t="s">
        <v>1620</v>
      </c>
      <c r="CNL22" s="498">
        <v>1</v>
      </c>
      <c r="CNM22" s="499">
        <v>1500000</v>
      </c>
      <c r="CNN22" s="498">
        <v>1.58</v>
      </c>
      <c r="CNO22" s="498">
        <v>1</v>
      </c>
      <c r="CNP22" s="501">
        <v>6.75</v>
      </c>
      <c r="CNQ22" s="486">
        <v>5.0999999999999996</v>
      </c>
      <c r="CNR22" s="452" t="s">
        <v>2691</v>
      </c>
      <c r="CNS22" s="498" t="s">
        <v>1620</v>
      </c>
      <c r="CNT22" s="498">
        <v>1</v>
      </c>
      <c r="CNU22" s="499">
        <v>1500000</v>
      </c>
      <c r="CNV22" s="498">
        <v>1.58</v>
      </c>
      <c r="CNW22" s="498">
        <v>1</v>
      </c>
      <c r="CNX22" s="501">
        <v>6.75</v>
      </c>
      <c r="CNY22" s="486">
        <v>5.0999999999999996</v>
      </c>
      <c r="CNZ22" s="452" t="s">
        <v>2691</v>
      </c>
      <c r="COA22" s="498" t="s">
        <v>1620</v>
      </c>
      <c r="COB22" s="498">
        <v>1</v>
      </c>
      <c r="COC22" s="499">
        <v>1500000</v>
      </c>
      <c r="COD22" s="498">
        <v>1.58</v>
      </c>
      <c r="COE22" s="498">
        <v>1</v>
      </c>
      <c r="COF22" s="501">
        <v>6.75</v>
      </c>
      <c r="COG22" s="486">
        <v>5.0999999999999996</v>
      </c>
      <c r="COH22" s="452" t="s">
        <v>2691</v>
      </c>
      <c r="COI22" s="498" t="s">
        <v>1620</v>
      </c>
      <c r="COJ22" s="498">
        <v>1</v>
      </c>
      <c r="COK22" s="499">
        <v>1500000</v>
      </c>
      <c r="COL22" s="498">
        <v>1.58</v>
      </c>
      <c r="COM22" s="498">
        <v>1</v>
      </c>
      <c r="CON22" s="501">
        <v>6.75</v>
      </c>
      <c r="COO22" s="486">
        <v>5.0999999999999996</v>
      </c>
      <c r="COP22" s="452" t="s">
        <v>2691</v>
      </c>
      <c r="COQ22" s="498" t="s">
        <v>1620</v>
      </c>
      <c r="COR22" s="498">
        <v>1</v>
      </c>
      <c r="COS22" s="499">
        <v>1500000</v>
      </c>
      <c r="COT22" s="498">
        <v>1.58</v>
      </c>
      <c r="COU22" s="498">
        <v>1</v>
      </c>
      <c r="COV22" s="501">
        <v>6.75</v>
      </c>
      <c r="COW22" s="486">
        <v>5.0999999999999996</v>
      </c>
      <c r="COX22" s="452" t="s">
        <v>2691</v>
      </c>
      <c r="COY22" s="498" t="s">
        <v>1620</v>
      </c>
      <c r="COZ22" s="498">
        <v>1</v>
      </c>
      <c r="CPA22" s="499">
        <v>1500000</v>
      </c>
      <c r="CPB22" s="498">
        <v>1.58</v>
      </c>
      <c r="CPC22" s="498">
        <v>1</v>
      </c>
      <c r="CPD22" s="501">
        <v>6.75</v>
      </c>
      <c r="CPE22" s="486">
        <v>5.0999999999999996</v>
      </c>
      <c r="CPF22" s="452" t="s">
        <v>2691</v>
      </c>
      <c r="CPG22" s="498" t="s">
        <v>1620</v>
      </c>
      <c r="CPH22" s="498">
        <v>1</v>
      </c>
      <c r="CPI22" s="499">
        <v>1500000</v>
      </c>
      <c r="CPJ22" s="498">
        <v>1.58</v>
      </c>
      <c r="CPK22" s="498">
        <v>1</v>
      </c>
      <c r="CPL22" s="501">
        <v>6.75</v>
      </c>
      <c r="CPM22" s="486">
        <v>5.0999999999999996</v>
      </c>
      <c r="CPN22" s="452" t="s">
        <v>2691</v>
      </c>
      <c r="CPO22" s="498" t="s">
        <v>1620</v>
      </c>
      <c r="CPP22" s="498">
        <v>1</v>
      </c>
      <c r="CPQ22" s="499">
        <v>1500000</v>
      </c>
      <c r="CPR22" s="498">
        <v>1.58</v>
      </c>
      <c r="CPS22" s="498">
        <v>1</v>
      </c>
      <c r="CPT22" s="501">
        <v>6.75</v>
      </c>
      <c r="CPU22" s="486">
        <v>5.0999999999999996</v>
      </c>
      <c r="CPV22" s="452" t="s">
        <v>2691</v>
      </c>
      <c r="CPW22" s="498" t="s">
        <v>1620</v>
      </c>
      <c r="CPX22" s="498">
        <v>1</v>
      </c>
      <c r="CPY22" s="499">
        <v>1500000</v>
      </c>
      <c r="CPZ22" s="498">
        <v>1.58</v>
      </c>
      <c r="CQA22" s="498">
        <v>1</v>
      </c>
      <c r="CQB22" s="501">
        <v>6.75</v>
      </c>
      <c r="CQC22" s="486">
        <v>5.0999999999999996</v>
      </c>
      <c r="CQD22" s="452" t="s">
        <v>2691</v>
      </c>
      <c r="CQE22" s="498" t="s">
        <v>1620</v>
      </c>
      <c r="CQF22" s="498">
        <v>1</v>
      </c>
      <c r="CQG22" s="499">
        <v>1500000</v>
      </c>
      <c r="CQH22" s="498">
        <v>1.58</v>
      </c>
      <c r="CQI22" s="498">
        <v>1</v>
      </c>
      <c r="CQJ22" s="501">
        <v>6.75</v>
      </c>
      <c r="CQK22" s="486">
        <v>5.0999999999999996</v>
      </c>
      <c r="CQL22" s="452" t="s">
        <v>2691</v>
      </c>
      <c r="CQM22" s="498" t="s">
        <v>1620</v>
      </c>
      <c r="CQN22" s="498">
        <v>1</v>
      </c>
      <c r="CQO22" s="499">
        <v>1500000</v>
      </c>
      <c r="CQP22" s="498">
        <v>1.58</v>
      </c>
      <c r="CQQ22" s="498">
        <v>1</v>
      </c>
      <c r="CQR22" s="501">
        <v>6.75</v>
      </c>
      <c r="CQS22" s="486">
        <v>5.0999999999999996</v>
      </c>
      <c r="CQT22" s="452" t="s">
        <v>2691</v>
      </c>
      <c r="CQU22" s="498" t="s">
        <v>1620</v>
      </c>
      <c r="CQV22" s="498">
        <v>1</v>
      </c>
      <c r="CQW22" s="499">
        <v>1500000</v>
      </c>
      <c r="CQX22" s="498">
        <v>1.58</v>
      </c>
      <c r="CQY22" s="498">
        <v>1</v>
      </c>
      <c r="CQZ22" s="501">
        <v>6.75</v>
      </c>
      <c r="CRA22" s="486">
        <v>5.0999999999999996</v>
      </c>
      <c r="CRB22" s="452" t="s">
        <v>2691</v>
      </c>
      <c r="CRC22" s="498" t="s">
        <v>1620</v>
      </c>
      <c r="CRD22" s="498">
        <v>1</v>
      </c>
      <c r="CRE22" s="499">
        <v>1500000</v>
      </c>
      <c r="CRF22" s="498">
        <v>1.58</v>
      </c>
      <c r="CRG22" s="498">
        <v>1</v>
      </c>
      <c r="CRH22" s="501">
        <v>6.75</v>
      </c>
      <c r="CRI22" s="486">
        <v>5.0999999999999996</v>
      </c>
      <c r="CRJ22" s="452" t="s">
        <v>2691</v>
      </c>
      <c r="CRK22" s="498" t="s">
        <v>1620</v>
      </c>
      <c r="CRL22" s="498">
        <v>1</v>
      </c>
      <c r="CRM22" s="499">
        <v>1500000</v>
      </c>
      <c r="CRN22" s="498">
        <v>1.58</v>
      </c>
      <c r="CRO22" s="498">
        <v>1</v>
      </c>
      <c r="CRP22" s="501">
        <v>6.75</v>
      </c>
      <c r="CRQ22" s="486">
        <v>5.0999999999999996</v>
      </c>
      <c r="CRR22" s="452" t="s">
        <v>2691</v>
      </c>
      <c r="CRS22" s="498" t="s">
        <v>1620</v>
      </c>
      <c r="CRT22" s="498">
        <v>1</v>
      </c>
      <c r="CRU22" s="499">
        <v>1500000</v>
      </c>
      <c r="CRV22" s="498">
        <v>1.58</v>
      </c>
      <c r="CRW22" s="498">
        <v>1</v>
      </c>
      <c r="CRX22" s="501">
        <v>6.75</v>
      </c>
      <c r="CRY22" s="486">
        <v>5.0999999999999996</v>
      </c>
      <c r="CRZ22" s="452" t="s">
        <v>2691</v>
      </c>
      <c r="CSA22" s="498" t="s">
        <v>1620</v>
      </c>
      <c r="CSB22" s="498">
        <v>1</v>
      </c>
      <c r="CSC22" s="499">
        <v>1500000</v>
      </c>
      <c r="CSD22" s="498">
        <v>1.58</v>
      </c>
      <c r="CSE22" s="498">
        <v>1</v>
      </c>
      <c r="CSF22" s="501">
        <v>6.75</v>
      </c>
      <c r="CSG22" s="486">
        <v>5.0999999999999996</v>
      </c>
      <c r="CSH22" s="452" t="s">
        <v>2691</v>
      </c>
      <c r="CSI22" s="498" t="s">
        <v>1620</v>
      </c>
      <c r="CSJ22" s="498">
        <v>1</v>
      </c>
      <c r="CSK22" s="499">
        <v>1500000</v>
      </c>
      <c r="CSL22" s="498">
        <v>1.58</v>
      </c>
      <c r="CSM22" s="498">
        <v>1</v>
      </c>
      <c r="CSN22" s="501">
        <v>6.75</v>
      </c>
      <c r="CSO22" s="486">
        <v>5.0999999999999996</v>
      </c>
      <c r="CSP22" s="452" t="s">
        <v>2691</v>
      </c>
      <c r="CSQ22" s="498" t="s">
        <v>1620</v>
      </c>
      <c r="CSR22" s="498">
        <v>1</v>
      </c>
      <c r="CSS22" s="499">
        <v>1500000</v>
      </c>
      <c r="CST22" s="498">
        <v>1.58</v>
      </c>
      <c r="CSU22" s="498">
        <v>1</v>
      </c>
      <c r="CSV22" s="501">
        <v>6.75</v>
      </c>
      <c r="CSW22" s="486">
        <v>5.0999999999999996</v>
      </c>
      <c r="CSX22" s="452" t="s">
        <v>2691</v>
      </c>
      <c r="CSY22" s="498" t="s">
        <v>1620</v>
      </c>
      <c r="CSZ22" s="498">
        <v>1</v>
      </c>
      <c r="CTA22" s="499">
        <v>1500000</v>
      </c>
      <c r="CTB22" s="498">
        <v>1.58</v>
      </c>
      <c r="CTC22" s="498">
        <v>1</v>
      </c>
      <c r="CTD22" s="501">
        <v>6.75</v>
      </c>
      <c r="CTE22" s="486">
        <v>5.0999999999999996</v>
      </c>
      <c r="CTF22" s="452" t="s">
        <v>2691</v>
      </c>
      <c r="CTG22" s="498" t="s">
        <v>1620</v>
      </c>
      <c r="CTH22" s="498">
        <v>1</v>
      </c>
      <c r="CTI22" s="499">
        <v>1500000</v>
      </c>
      <c r="CTJ22" s="498">
        <v>1.58</v>
      </c>
      <c r="CTK22" s="498">
        <v>1</v>
      </c>
      <c r="CTL22" s="501">
        <v>6.75</v>
      </c>
      <c r="CTM22" s="486">
        <v>5.0999999999999996</v>
      </c>
      <c r="CTN22" s="452" t="s">
        <v>2691</v>
      </c>
      <c r="CTO22" s="498" t="s">
        <v>1620</v>
      </c>
      <c r="CTP22" s="498">
        <v>1</v>
      </c>
      <c r="CTQ22" s="499">
        <v>1500000</v>
      </c>
      <c r="CTR22" s="498">
        <v>1.58</v>
      </c>
      <c r="CTS22" s="498">
        <v>1</v>
      </c>
      <c r="CTT22" s="501">
        <v>6.75</v>
      </c>
      <c r="CTU22" s="486">
        <v>5.0999999999999996</v>
      </c>
      <c r="CTV22" s="452" t="s">
        <v>2691</v>
      </c>
      <c r="CTW22" s="498" t="s">
        <v>1620</v>
      </c>
      <c r="CTX22" s="498">
        <v>1</v>
      </c>
      <c r="CTY22" s="499">
        <v>1500000</v>
      </c>
      <c r="CTZ22" s="498">
        <v>1.58</v>
      </c>
      <c r="CUA22" s="498">
        <v>1</v>
      </c>
      <c r="CUB22" s="501">
        <v>6.75</v>
      </c>
      <c r="CUC22" s="486">
        <v>5.0999999999999996</v>
      </c>
      <c r="CUD22" s="452" t="s">
        <v>2691</v>
      </c>
      <c r="CUE22" s="498" t="s">
        <v>1620</v>
      </c>
      <c r="CUF22" s="498">
        <v>1</v>
      </c>
      <c r="CUG22" s="499">
        <v>1500000</v>
      </c>
      <c r="CUH22" s="498">
        <v>1.58</v>
      </c>
      <c r="CUI22" s="498">
        <v>1</v>
      </c>
      <c r="CUJ22" s="501">
        <v>6.75</v>
      </c>
      <c r="CUK22" s="486">
        <v>5.0999999999999996</v>
      </c>
      <c r="CUL22" s="452" t="s">
        <v>2691</v>
      </c>
      <c r="CUM22" s="498" t="s">
        <v>1620</v>
      </c>
      <c r="CUN22" s="498">
        <v>1</v>
      </c>
      <c r="CUO22" s="499">
        <v>1500000</v>
      </c>
      <c r="CUP22" s="498">
        <v>1.58</v>
      </c>
      <c r="CUQ22" s="498">
        <v>1</v>
      </c>
      <c r="CUR22" s="501">
        <v>6.75</v>
      </c>
      <c r="CUS22" s="486">
        <v>5.0999999999999996</v>
      </c>
      <c r="CUT22" s="452" t="s">
        <v>2691</v>
      </c>
      <c r="CUU22" s="498" t="s">
        <v>1620</v>
      </c>
      <c r="CUV22" s="498">
        <v>1</v>
      </c>
      <c r="CUW22" s="499">
        <v>1500000</v>
      </c>
      <c r="CUX22" s="498">
        <v>1.58</v>
      </c>
      <c r="CUY22" s="498">
        <v>1</v>
      </c>
      <c r="CUZ22" s="501">
        <v>6.75</v>
      </c>
      <c r="CVA22" s="486">
        <v>5.0999999999999996</v>
      </c>
      <c r="CVB22" s="452" t="s">
        <v>2691</v>
      </c>
      <c r="CVC22" s="498" t="s">
        <v>1620</v>
      </c>
      <c r="CVD22" s="498">
        <v>1</v>
      </c>
      <c r="CVE22" s="499">
        <v>1500000</v>
      </c>
      <c r="CVF22" s="498">
        <v>1.58</v>
      </c>
      <c r="CVG22" s="498">
        <v>1</v>
      </c>
      <c r="CVH22" s="501">
        <v>6.75</v>
      </c>
      <c r="CVI22" s="486">
        <v>5.0999999999999996</v>
      </c>
      <c r="CVJ22" s="452" t="s">
        <v>2691</v>
      </c>
      <c r="CVK22" s="498" t="s">
        <v>1620</v>
      </c>
      <c r="CVL22" s="498">
        <v>1</v>
      </c>
      <c r="CVM22" s="499">
        <v>1500000</v>
      </c>
      <c r="CVN22" s="498">
        <v>1.58</v>
      </c>
      <c r="CVO22" s="498">
        <v>1</v>
      </c>
      <c r="CVP22" s="501">
        <v>6.75</v>
      </c>
      <c r="CVQ22" s="486">
        <v>5.0999999999999996</v>
      </c>
      <c r="CVR22" s="452" t="s">
        <v>2691</v>
      </c>
      <c r="CVS22" s="498" t="s">
        <v>1620</v>
      </c>
      <c r="CVT22" s="498">
        <v>1</v>
      </c>
      <c r="CVU22" s="499">
        <v>1500000</v>
      </c>
      <c r="CVV22" s="498">
        <v>1.58</v>
      </c>
      <c r="CVW22" s="498">
        <v>1</v>
      </c>
      <c r="CVX22" s="501">
        <v>6.75</v>
      </c>
      <c r="CVY22" s="486">
        <v>5.0999999999999996</v>
      </c>
      <c r="CVZ22" s="452" t="s">
        <v>2691</v>
      </c>
      <c r="CWA22" s="498" t="s">
        <v>1620</v>
      </c>
      <c r="CWB22" s="498">
        <v>1</v>
      </c>
      <c r="CWC22" s="499">
        <v>1500000</v>
      </c>
      <c r="CWD22" s="498">
        <v>1.58</v>
      </c>
      <c r="CWE22" s="498">
        <v>1</v>
      </c>
      <c r="CWF22" s="501">
        <v>6.75</v>
      </c>
      <c r="CWG22" s="486">
        <v>5.0999999999999996</v>
      </c>
      <c r="CWH22" s="452" t="s">
        <v>2691</v>
      </c>
      <c r="CWI22" s="498" t="s">
        <v>1620</v>
      </c>
      <c r="CWJ22" s="498">
        <v>1</v>
      </c>
      <c r="CWK22" s="499">
        <v>1500000</v>
      </c>
      <c r="CWL22" s="498">
        <v>1.58</v>
      </c>
      <c r="CWM22" s="498">
        <v>1</v>
      </c>
      <c r="CWN22" s="501">
        <v>6.75</v>
      </c>
      <c r="CWO22" s="486">
        <v>5.0999999999999996</v>
      </c>
      <c r="CWP22" s="452" t="s">
        <v>2691</v>
      </c>
      <c r="CWQ22" s="498" t="s">
        <v>1620</v>
      </c>
      <c r="CWR22" s="498">
        <v>1</v>
      </c>
      <c r="CWS22" s="499">
        <v>1500000</v>
      </c>
      <c r="CWT22" s="498">
        <v>1.58</v>
      </c>
      <c r="CWU22" s="498">
        <v>1</v>
      </c>
      <c r="CWV22" s="501">
        <v>6.75</v>
      </c>
      <c r="CWW22" s="486">
        <v>5.0999999999999996</v>
      </c>
      <c r="CWX22" s="452" t="s">
        <v>2691</v>
      </c>
      <c r="CWY22" s="498" t="s">
        <v>1620</v>
      </c>
      <c r="CWZ22" s="498">
        <v>1</v>
      </c>
      <c r="CXA22" s="499">
        <v>1500000</v>
      </c>
      <c r="CXB22" s="498">
        <v>1.58</v>
      </c>
      <c r="CXC22" s="498">
        <v>1</v>
      </c>
      <c r="CXD22" s="501">
        <v>6.75</v>
      </c>
      <c r="CXE22" s="486">
        <v>5.0999999999999996</v>
      </c>
      <c r="CXF22" s="452" t="s">
        <v>2691</v>
      </c>
      <c r="CXG22" s="498" t="s">
        <v>1620</v>
      </c>
      <c r="CXH22" s="498">
        <v>1</v>
      </c>
      <c r="CXI22" s="499">
        <v>1500000</v>
      </c>
      <c r="CXJ22" s="498">
        <v>1.58</v>
      </c>
      <c r="CXK22" s="498">
        <v>1</v>
      </c>
      <c r="CXL22" s="501">
        <v>6.75</v>
      </c>
      <c r="CXM22" s="486">
        <v>5.0999999999999996</v>
      </c>
      <c r="CXN22" s="452" t="s">
        <v>2691</v>
      </c>
      <c r="CXO22" s="498" t="s">
        <v>1620</v>
      </c>
      <c r="CXP22" s="498">
        <v>1</v>
      </c>
      <c r="CXQ22" s="499">
        <v>1500000</v>
      </c>
      <c r="CXR22" s="498">
        <v>1.58</v>
      </c>
      <c r="CXS22" s="498">
        <v>1</v>
      </c>
      <c r="CXT22" s="501">
        <v>6.75</v>
      </c>
      <c r="CXU22" s="486">
        <v>5.0999999999999996</v>
      </c>
      <c r="CXV22" s="452" t="s">
        <v>2691</v>
      </c>
      <c r="CXW22" s="498" t="s">
        <v>1620</v>
      </c>
      <c r="CXX22" s="498">
        <v>1</v>
      </c>
      <c r="CXY22" s="499">
        <v>1500000</v>
      </c>
      <c r="CXZ22" s="498">
        <v>1.58</v>
      </c>
      <c r="CYA22" s="498">
        <v>1</v>
      </c>
      <c r="CYB22" s="501">
        <v>6.75</v>
      </c>
      <c r="CYC22" s="486">
        <v>5.0999999999999996</v>
      </c>
      <c r="CYD22" s="452" t="s">
        <v>2691</v>
      </c>
      <c r="CYE22" s="498" t="s">
        <v>1620</v>
      </c>
      <c r="CYF22" s="498">
        <v>1</v>
      </c>
      <c r="CYG22" s="499">
        <v>1500000</v>
      </c>
      <c r="CYH22" s="498">
        <v>1.58</v>
      </c>
      <c r="CYI22" s="498">
        <v>1</v>
      </c>
      <c r="CYJ22" s="501">
        <v>6.75</v>
      </c>
      <c r="CYK22" s="486">
        <v>5.0999999999999996</v>
      </c>
      <c r="CYL22" s="452" t="s">
        <v>2691</v>
      </c>
      <c r="CYM22" s="498" t="s">
        <v>1620</v>
      </c>
      <c r="CYN22" s="498">
        <v>1</v>
      </c>
      <c r="CYO22" s="499">
        <v>1500000</v>
      </c>
      <c r="CYP22" s="498">
        <v>1.58</v>
      </c>
      <c r="CYQ22" s="498">
        <v>1</v>
      </c>
      <c r="CYR22" s="501">
        <v>6.75</v>
      </c>
      <c r="CYS22" s="486">
        <v>5.0999999999999996</v>
      </c>
      <c r="CYT22" s="452" t="s">
        <v>2691</v>
      </c>
      <c r="CYU22" s="498" t="s">
        <v>1620</v>
      </c>
      <c r="CYV22" s="498">
        <v>1</v>
      </c>
      <c r="CYW22" s="499">
        <v>1500000</v>
      </c>
      <c r="CYX22" s="498">
        <v>1.58</v>
      </c>
      <c r="CYY22" s="498">
        <v>1</v>
      </c>
      <c r="CYZ22" s="501">
        <v>6.75</v>
      </c>
      <c r="CZA22" s="486">
        <v>5.0999999999999996</v>
      </c>
      <c r="CZB22" s="452" t="s">
        <v>2691</v>
      </c>
      <c r="CZC22" s="498" t="s">
        <v>1620</v>
      </c>
      <c r="CZD22" s="498">
        <v>1</v>
      </c>
      <c r="CZE22" s="499">
        <v>1500000</v>
      </c>
      <c r="CZF22" s="498">
        <v>1.58</v>
      </c>
      <c r="CZG22" s="498">
        <v>1</v>
      </c>
      <c r="CZH22" s="501">
        <v>6.75</v>
      </c>
      <c r="CZI22" s="486">
        <v>5.0999999999999996</v>
      </c>
      <c r="CZJ22" s="452" t="s">
        <v>2691</v>
      </c>
      <c r="CZK22" s="498" t="s">
        <v>1620</v>
      </c>
      <c r="CZL22" s="498">
        <v>1</v>
      </c>
      <c r="CZM22" s="499">
        <v>1500000</v>
      </c>
      <c r="CZN22" s="498">
        <v>1.58</v>
      </c>
      <c r="CZO22" s="498">
        <v>1</v>
      </c>
      <c r="CZP22" s="501">
        <v>6.75</v>
      </c>
      <c r="CZQ22" s="486">
        <v>5.0999999999999996</v>
      </c>
      <c r="CZR22" s="452" t="s">
        <v>2691</v>
      </c>
      <c r="CZS22" s="498" t="s">
        <v>1620</v>
      </c>
      <c r="CZT22" s="498">
        <v>1</v>
      </c>
      <c r="CZU22" s="499">
        <v>1500000</v>
      </c>
      <c r="CZV22" s="498">
        <v>1.58</v>
      </c>
      <c r="CZW22" s="498">
        <v>1</v>
      </c>
      <c r="CZX22" s="501">
        <v>6.75</v>
      </c>
      <c r="CZY22" s="486">
        <v>5.0999999999999996</v>
      </c>
      <c r="CZZ22" s="452" t="s">
        <v>2691</v>
      </c>
      <c r="DAA22" s="498" t="s">
        <v>1620</v>
      </c>
      <c r="DAB22" s="498">
        <v>1</v>
      </c>
      <c r="DAC22" s="499">
        <v>1500000</v>
      </c>
      <c r="DAD22" s="498">
        <v>1.58</v>
      </c>
      <c r="DAE22" s="498">
        <v>1</v>
      </c>
      <c r="DAF22" s="501">
        <v>6.75</v>
      </c>
      <c r="DAG22" s="486">
        <v>5.0999999999999996</v>
      </c>
      <c r="DAH22" s="452" t="s">
        <v>2691</v>
      </c>
      <c r="DAI22" s="498" t="s">
        <v>1620</v>
      </c>
      <c r="DAJ22" s="498">
        <v>1</v>
      </c>
      <c r="DAK22" s="499">
        <v>1500000</v>
      </c>
      <c r="DAL22" s="498">
        <v>1.58</v>
      </c>
      <c r="DAM22" s="498">
        <v>1</v>
      </c>
      <c r="DAN22" s="501">
        <v>6.75</v>
      </c>
      <c r="DAO22" s="486">
        <v>5.0999999999999996</v>
      </c>
      <c r="DAP22" s="452" t="s">
        <v>2691</v>
      </c>
      <c r="DAQ22" s="498" t="s">
        <v>1620</v>
      </c>
      <c r="DAR22" s="498">
        <v>1</v>
      </c>
      <c r="DAS22" s="499">
        <v>1500000</v>
      </c>
      <c r="DAT22" s="498">
        <v>1.58</v>
      </c>
      <c r="DAU22" s="498">
        <v>1</v>
      </c>
      <c r="DAV22" s="501">
        <v>6.75</v>
      </c>
      <c r="DAW22" s="486">
        <v>5.0999999999999996</v>
      </c>
      <c r="DAX22" s="452" t="s">
        <v>2691</v>
      </c>
      <c r="DAY22" s="498" t="s">
        <v>1620</v>
      </c>
      <c r="DAZ22" s="498">
        <v>1</v>
      </c>
      <c r="DBA22" s="499">
        <v>1500000</v>
      </c>
      <c r="DBB22" s="498">
        <v>1.58</v>
      </c>
      <c r="DBC22" s="498">
        <v>1</v>
      </c>
      <c r="DBD22" s="501">
        <v>6.75</v>
      </c>
      <c r="DBE22" s="486">
        <v>5.0999999999999996</v>
      </c>
      <c r="DBF22" s="452" t="s">
        <v>2691</v>
      </c>
      <c r="DBG22" s="498" t="s">
        <v>1620</v>
      </c>
      <c r="DBH22" s="498">
        <v>1</v>
      </c>
      <c r="DBI22" s="499">
        <v>1500000</v>
      </c>
      <c r="DBJ22" s="498">
        <v>1.58</v>
      </c>
      <c r="DBK22" s="498">
        <v>1</v>
      </c>
      <c r="DBL22" s="501">
        <v>6.75</v>
      </c>
      <c r="DBM22" s="486">
        <v>5.0999999999999996</v>
      </c>
      <c r="DBN22" s="452" t="s">
        <v>2691</v>
      </c>
      <c r="DBO22" s="498" t="s">
        <v>1620</v>
      </c>
      <c r="DBP22" s="498">
        <v>1</v>
      </c>
      <c r="DBQ22" s="499">
        <v>1500000</v>
      </c>
      <c r="DBR22" s="498">
        <v>1.58</v>
      </c>
      <c r="DBS22" s="498">
        <v>1</v>
      </c>
      <c r="DBT22" s="501">
        <v>6.75</v>
      </c>
      <c r="DBU22" s="486">
        <v>5.0999999999999996</v>
      </c>
      <c r="DBV22" s="452" t="s">
        <v>2691</v>
      </c>
      <c r="DBW22" s="498" t="s">
        <v>1620</v>
      </c>
      <c r="DBX22" s="498">
        <v>1</v>
      </c>
      <c r="DBY22" s="499">
        <v>1500000</v>
      </c>
      <c r="DBZ22" s="498">
        <v>1.58</v>
      </c>
      <c r="DCA22" s="498">
        <v>1</v>
      </c>
      <c r="DCB22" s="501">
        <v>6.75</v>
      </c>
      <c r="DCC22" s="486">
        <v>5.0999999999999996</v>
      </c>
      <c r="DCD22" s="452" t="s">
        <v>2691</v>
      </c>
      <c r="DCE22" s="498" t="s">
        <v>1620</v>
      </c>
      <c r="DCF22" s="498">
        <v>1</v>
      </c>
      <c r="DCG22" s="499">
        <v>1500000</v>
      </c>
      <c r="DCH22" s="498">
        <v>1.58</v>
      </c>
      <c r="DCI22" s="498">
        <v>1</v>
      </c>
      <c r="DCJ22" s="501">
        <v>6.75</v>
      </c>
      <c r="DCK22" s="486">
        <v>5.0999999999999996</v>
      </c>
      <c r="DCL22" s="452" t="s">
        <v>2691</v>
      </c>
      <c r="DCM22" s="498" t="s">
        <v>1620</v>
      </c>
      <c r="DCN22" s="498">
        <v>1</v>
      </c>
      <c r="DCO22" s="499">
        <v>1500000</v>
      </c>
      <c r="DCP22" s="498">
        <v>1.58</v>
      </c>
      <c r="DCQ22" s="498">
        <v>1</v>
      </c>
      <c r="DCR22" s="501">
        <v>6.75</v>
      </c>
      <c r="DCS22" s="486">
        <v>5.0999999999999996</v>
      </c>
      <c r="DCT22" s="452" t="s">
        <v>2691</v>
      </c>
      <c r="DCU22" s="498" t="s">
        <v>1620</v>
      </c>
      <c r="DCV22" s="498">
        <v>1</v>
      </c>
      <c r="DCW22" s="499">
        <v>1500000</v>
      </c>
      <c r="DCX22" s="498">
        <v>1.58</v>
      </c>
      <c r="DCY22" s="498">
        <v>1</v>
      </c>
      <c r="DCZ22" s="501">
        <v>6.75</v>
      </c>
      <c r="DDA22" s="486">
        <v>5.0999999999999996</v>
      </c>
      <c r="DDB22" s="452" t="s">
        <v>2691</v>
      </c>
      <c r="DDC22" s="498" t="s">
        <v>1620</v>
      </c>
      <c r="DDD22" s="498">
        <v>1</v>
      </c>
      <c r="DDE22" s="499">
        <v>1500000</v>
      </c>
      <c r="DDF22" s="498">
        <v>1.58</v>
      </c>
      <c r="DDG22" s="498">
        <v>1</v>
      </c>
      <c r="DDH22" s="501">
        <v>6.75</v>
      </c>
      <c r="DDI22" s="486">
        <v>5.0999999999999996</v>
      </c>
      <c r="DDJ22" s="452" t="s">
        <v>2691</v>
      </c>
      <c r="DDK22" s="498" t="s">
        <v>1620</v>
      </c>
      <c r="DDL22" s="498">
        <v>1</v>
      </c>
      <c r="DDM22" s="499">
        <v>1500000</v>
      </c>
      <c r="DDN22" s="498">
        <v>1.58</v>
      </c>
      <c r="DDO22" s="498">
        <v>1</v>
      </c>
      <c r="DDP22" s="501">
        <v>6.75</v>
      </c>
      <c r="DDQ22" s="486">
        <v>5.0999999999999996</v>
      </c>
      <c r="DDR22" s="452" t="s">
        <v>2691</v>
      </c>
      <c r="DDS22" s="498" t="s">
        <v>1620</v>
      </c>
      <c r="DDT22" s="498">
        <v>1</v>
      </c>
      <c r="DDU22" s="499">
        <v>1500000</v>
      </c>
      <c r="DDV22" s="498">
        <v>1.58</v>
      </c>
      <c r="DDW22" s="498">
        <v>1</v>
      </c>
      <c r="DDX22" s="501">
        <v>6.75</v>
      </c>
      <c r="DDY22" s="486">
        <v>5.0999999999999996</v>
      </c>
      <c r="DDZ22" s="452" t="s">
        <v>2691</v>
      </c>
      <c r="DEA22" s="498" t="s">
        <v>1620</v>
      </c>
      <c r="DEB22" s="498">
        <v>1</v>
      </c>
      <c r="DEC22" s="499">
        <v>1500000</v>
      </c>
      <c r="DED22" s="498">
        <v>1.58</v>
      </c>
      <c r="DEE22" s="498">
        <v>1</v>
      </c>
      <c r="DEF22" s="501">
        <v>6.75</v>
      </c>
      <c r="DEG22" s="486">
        <v>5.0999999999999996</v>
      </c>
      <c r="DEH22" s="452" t="s">
        <v>2691</v>
      </c>
      <c r="DEI22" s="498" t="s">
        <v>1620</v>
      </c>
      <c r="DEJ22" s="498">
        <v>1</v>
      </c>
      <c r="DEK22" s="499">
        <v>1500000</v>
      </c>
      <c r="DEL22" s="498">
        <v>1.58</v>
      </c>
      <c r="DEM22" s="498">
        <v>1</v>
      </c>
      <c r="DEN22" s="501">
        <v>6.75</v>
      </c>
      <c r="DEO22" s="486">
        <v>5.0999999999999996</v>
      </c>
      <c r="DEP22" s="452" t="s">
        <v>2691</v>
      </c>
      <c r="DEQ22" s="498" t="s">
        <v>1620</v>
      </c>
      <c r="DER22" s="498">
        <v>1</v>
      </c>
      <c r="DES22" s="499">
        <v>1500000</v>
      </c>
      <c r="DET22" s="498">
        <v>1.58</v>
      </c>
      <c r="DEU22" s="498">
        <v>1</v>
      </c>
      <c r="DEV22" s="501">
        <v>6.75</v>
      </c>
      <c r="DEW22" s="486">
        <v>5.0999999999999996</v>
      </c>
      <c r="DEX22" s="452" t="s">
        <v>2691</v>
      </c>
      <c r="DEY22" s="498" t="s">
        <v>1620</v>
      </c>
      <c r="DEZ22" s="498">
        <v>1</v>
      </c>
      <c r="DFA22" s="499">
        <v>1500000</v>
      </c>
      <c r="DFB22" s="498">
        <v>1.58</v>
      </c>
      <c r="DFC22" s="498">
        <v>1</v>
      </c>
      <c r="DFD22" s="501">
        <v>6.75</v>
      </c>
      <c r="DFE22" s="486">
        <v>5.0999999999999996</v>
      </c>
      <c r="DFF22" s="452" t="s">
        <v>2691</v>
      </c>
      <c r="DFG22" s="498" t="s">
        <v>1620</v>
      </c>
      <c r="DFH22" s="498">
        <v>1</v>
      </c>
      <c r="DFI22" s="499">
        <v>1500000</v>
      </c>
      <c r="DFJ22" s="498">
        <v>1.58</v>
      </c>
      <c r="DFK22" s="498">
        <v>1</v>
      </c>
      <c r="DFL22" s="501">
        <v>6.75</v>
      </c>
      <c r="DFM22" s="486">
        <v>5.0999999999999996</v>
      </c>
      <c r="DFN22" s="452" t="s">
        <v>2691</v>
      </c>
      <c r="DFO22" s="498" t="s">
        <v>1620</v>
      </c>
      <c r="DFP22" s="498">
        <v>1</v>
      </c>
      <c r="DFQ22" s="499">
        <v>1500000</v>
      </c>
      <c r="DFR22" s="498">
        <v>1.58</v>
      </c>
      <c r="DFS22" s="498">
        <v>1</v>
      </c>
      <c r="DFT22" s="501">
        <v>6.75</v>
      </c>
      <c r="DFU22" s="486">
        <v>5.0999999999999996</v>
      </c>
      <c r="DFV22" s="452" t="s">
        <v>2691</v>
      </c>
      <c r="DFW22" s="498" t="s">
        <v>1620</v>
      </c>
      <c r="DFX22" s="498">
        <v>1</v>
      </c>
      <c r="DFY22" s="499">
        <v>1500000</v>
      </c>
      <c r="DFZ22" s="498">
        <v>1.58</v>
      </c>
      <c r="DGA22" s="498">
        <v>1</v>
      </c>
      <c r="DGB22" s="501">
        <v>6.75</v>
      </c>
      <c r="DGC22" s="486">
        <v>5.0999999999999996</v>
      </c>
      <c r="DGD22" s="452" t="s">
        <v>2691</v>
      </c>
      <c r="DGE22" s="498" t="s">
        <v>1620</v>
      </c>
      <c r="DGF22" s="498">
        <v>1</v>
      </c>
      <c r="DGG22" s="499">
        <v>1500000</v>
      </c>
      <c r="DGH22" s="498">
        <v>1.58</v>
      </c>
      <c r="DGI22" s="498">
        <v>1</v>
      </c>
      <c r="DGJ22" s="501">
        <v>6.75</v>
      </c>
      <c r="DGK22" s="486">
        <v>5.0999999999999996</v>
      </c>
      <c r="DGL22" s="452" t="s">
        <v>2691</v>
      </c>
      <c r="DGM22" s="498" t="s">
        <v>1620</v>
      </c>
      <c r="DGN22" s="498">
        <v>1</v>
      </c>
      <c r="DGO22" s="499">
        <v>1500000</v>
      </c>
      <c r="DGP22" s="498">
        <v>1.58</v>
      </c>
      <c r="DGQ22" s="498">
        <v>1</v>
      </c>
      <c r="DGR22" s="501">
        <v>6.75</v>
      </c>
      <c r="DGS22" s="486">
        <v>5.0999999999999996</v>
      </c>
      <c r="DGT22" s="452" t="s">
        <v>2691</v>
      </c>
      <c r="DGU22" s="498" t="s">
        <v>1620</v>
      </c>
      <c r="DGV22" s="498">
        <v>1</v>
      </c>
      <c r="DGW22" s="499">
        <v>1500000</v>
      </c>
      <c r="DGX22" s="498">
        <v>1.58</v>
      </c>
      <c r="DGY22" s="498">
        <v>1</v>
      </c>
      <c r="DGZ22" s="501">
        <v>6.75</v>
      </c>
      <c r="DHA22" s="486">
        <v>5.0999999999999996</v>
      </c>
      <c r="DHB22" s="452" t="s">
        <v>2691</v>
      </c>
      <c r="DHC22" s="498" t="s">
        <v>1620</v>
      </c>
      <c r="DHD22" s="498">
        <v>1</v>
      </c>
      <c r="DHE22" s="499">
        <v>1500000</v>
      </c>
      <c r="DHF22" s="498">
        <v>1.58</v>
      </c>
      <c r="DHG22" s="498">
        <v>1</v>
      </c>
      <c r="DHH22" s="501">
        <v>6.75</v>
      </c>
      <c r="DHI22" s="486">
        <v>5.0999999999999996</v>
      </c>
      <c r="DHJ22" s="452" t="s">
        <v>2691</v>
      </c>
      <c r="DHK22" s="498" t="s">
        <v>1620</v>
      </c>
      <c r="DHL22" s="498">
        <v>1</v>
      </c>
      <c r="DHM22" s="499">
        <v>1500000</v>
      </c>
      <c r="DHN22" s="498">
        <v>1.58</v>
      </c>
      <c r="DHO22" s="498">
        <v>1</v>
      </c>
      <c r="DHP22" s="501">
        <v>6.75</v>
      </c>
      <c r="DHQ22" s="486">
        <v>5.0999999999999996</v>
      </c>
      <c r="DHR22" s="452" t="s">
        <v>2691</v>
      </c>
      <c r="DHS22" s="498" t="s">
        <v>1620</v>
      </c>
      <c r="DHT22" s="498">
        <v>1</v>
      </c>
      <c r="DHU22" s="499">
        <v>1500000</v>
      </c>
      <c r="DHV22" s="498">
        <v>1.58</v>
      </c>
      <c r="DHW22" s="498">
        <v>1</v>
      </c>
      <c r="DHX22" s="501">
        <v>6.75</v>
      </c>
      <c r="DHY22" s="486">
        <v>5.0999999999999996</v>
      </c>
      <c r="DHZ22" s="452" t="s">
        <v>2691</v>
      </c>
      <c r="DIA22" s="498" t="s">
        <v>1620</v>
      </c>
      <c r="DIB22" s="498">
        <v>1</v>
      </c>
      <c r="DIC22" s="499">
        <v>1500000</v>
      </c>
      <c r="DID22" s="498">
        <v>1.58</v>
      </c>
      <c r="DIE22" s="498">
        <v>1</v>
      </c>
      <c r="DIF22" s="501">
        <v>6.75</v>
      </c>
      <c r="DIG22" s="486">
        <v>5.0999999999999996</v>
      </c>
      <c r="DIH22" s="452" t="s">
        <v>2691</v>
      </c>
      <c r="DII22" s="498" t="s">
        <v>1620</v>
      </c>
      <c r="DIJ22" s="498">
        <v>1</v>
      </c>
      <c r="DIK22" s="499">
        <v>1500000</v>
      </c>
      <c r="DIL22" s="498">
        <v>1.58</v>
      </c>
      <c r="DIM22" s="498">
        <v>1</v>
      </c>
      <c r="DIN22" s="501">
        <v>6.75</v>
      </c>
      <c r="DIO22" s="486">
        <v>5.0999999999999996</v>
      </c>
      <c r="DIP22" s="452" t="s">
        <v>2691</v>
      </c>
      <c r="DIQ22" s="498" t="s">
        <v>1620</v>
      </c>
      <c r="DIR22" s="498">
        <v>1</v>
      </c>
      <c r="DIS22" s="499">
        <v>1500000</v>
      </c>
      <c r="DIT22" s="498">
        <v>1.58</v>
      </c>
      <c r="DIU22" s="498">
        <v>1</v>
      </c>
      <c r="DIV22" s="501">
        <v>6.75</v>
      </c>
      <c r="DIW22" s="486">
        <v>5.0999999999999996</v>
      </c>
      <c r="DIX22" s="452" t="s">
        <v>2691</v>
      </c>
      <c r="DIY22" s="498" t="s">
        <v>1620</v>
      </c>
      <c r="DIZ22" s="498">
        <v>1</v>
      </c>
      <c r="DJA22" s="499">
        <v>1500000</v>
      </c>
      <c r="DJB22" s="498">
        <v>1.58</v>
      </c>
      <c r="DJC22" s="498">
        <v>1</v>
      </c>
      <c r="DJD22" s="501">
        <v>6.75</v>
      </c>
      <c r="DJE22" s="486">
        <v>5.0999999999999996</v>
      </c>
      <c r="DJF22" s="452" t="s">
        <v>2691</v>
      </c>
      <c r="DJG22" s="498" t="s">
        <v>1620</v>
      </c>
      <c r="DJH22" s="498">
        <v>1</v>
      </c>
      <c r="DJI22" s="499">
        <v>1500000</v>
      </c>
      <c r="DJJ22" s="498">
        <v>1.58</v>
      </c>
      <c r="DJK22" s="498">
        <v>1</v>
      </c>
      <c r="DJL22" s="501">
        <v>6.75</v>
      </c>
      <c r="DJM22" s="486">
        <v>5.0999999999999996</v>
      </c>
      <c r="DJN22" s="452" t="s">
        <v>2691</v>
      </c>
      <c r="DJO22" s="498" t="s">
        <v>1620</v>
      </c>
      <c r="DJP22" s="498">
        <v>1</v>
      </c>
      <c r="DJQ22" s="499">
        <v>1500000</v>
      </c>
      <c r="DJR22" s="498">
        <v>1.58</v>
      </c>
      <c r="DJS22" s="498">
        <v>1</v>
      </c>
      <c r="DJT22" s="501">
        <v>6.75</v>
      </c>
      <c r="DJU22" s="486">
        <v>5.0999999999999996</v>
      </c>
      <c r="DJV22" s="452" t="s">
        <v>2691</v>
      </c>
      <c r="DJW22" s="498" t="s">
        <v>1620</v>
      </c>
      <c r="DJX22" s="498">
        <v>1</v>
      </c>
      <c r="DJY22" s="499">
        <v>1500000</v>
      </c>
      <c r="DJZ22" s="498">
        <v>1.58</v>
      </c>
      <c r="DKA22" s="498">
        <v>1</v>
      </c>
      <c r="DKB22" s="501">
        <v>6.75</v>
      </c>
      <c r="DKC22" s="486">
        <v>5.0999999999999996</v>
      </c>
      <c r="DKD22" s="452" t="s">
        <v>2691</v>
      </c>
      <c r="DKE22" s="498" t="s">
        <v>1620</v>
      </c>
      <c r="DKF22" s="498">
        <v>1</v>
      </c>
      <c r="DKG22" s="499">
        <v>1500000</v>
      </c>
      <c r="DKH22" s="498">
        <v>1.58</v>
      </c>
      <c r="DKI22" s="498">
        <v>1</v>
      </c>
      <c r="DKJ22" s="501">
        <v>6.75</v>
      </c>
      <c r="DKK22" s="486">
        <v>5.0999999999999996</v>
      </c>
      <c r="DKL22" s="452" t="s">
        <v>2691</v>
      </c>
      <c r="DKM22" s="498" t="s">
        <v>1620</v>
      </c>
      <c r="DKN22" s="498">
        <v>1</v>
      </c>
      <c r="DKO22" s="499">
        <v>1500000</v>
      </c>
      <c r="DKP22" s="498">
        <v>1.58</v>
      </c>
      <c r="DKQ22" s="498">
        <v>1</v>
      </c>
      <c r="DKR22" s="501">
        <v>6.75</v>
      </c>
      <c r="DKS22" s="486">
        <v>5.0999999999999996</v>
      </c>
      <c r="DKT22" s="452" t="s">
        <v>2691</v>
      </c>
      <c r="DKU22" s="498" t="s">
        <v>1620</v>
      </c>
      <c r="DKV22" s="498">
        <v>1</v>
      </c>
      <c r="DKW22" s="499">
        <v>1500000</v>
      </c>
      <c r="DKX22" s="498">
        <v>1.58</v>
      </c>
      <c r="DKY22" s="498">
        <v>1</v>
      </c>
      <c r="DKZ22" s="501">
        <v>6.75</v>
      </c>
      <c r="DLA22" s="486">
        <v>5.0999999999999996</v>
      </c>
      <c r="DLB22" s="452" t="s">
        <v>2691</v>
      </c>
      <c r="DLC22" s="498" t="s">
        <v>1620</v>
      </c>
      <c r="DLD22" s="498">
        <v>1</v>
      </c>
      <c r="DLE22" s="499">
        <v>1500000</v>
      </c>
      <c r="DLF22" s="498">
        <v>1.58</v>
      </c>
      <c r="DLG22" s="498">
        <v>1</v>
      </c>
      <c r="DLH22" s="501">
        <v>6.75</v>
      </c>
      <c r="DLI22" s="486">
        <v>5.0999999999999996</v>
      </c>
      <c r="DLJ22" s="452" t="s">
        <v>2691</v>
      </c>
      <c r="DLK22" s="498" t="s">
        <v>1620</v>
      </c>
      <c r="DLL22" s="498">
        <v>1</v>
      </c>
      <c r="DLM22" s="499">
        <v>1500000</v>
      </c>
      <c r="DLN22" s="498">
        <v>1.58</v>
      </c>
      <c r="DLO22" s="498">
        <v>1</v>
      </c>
      <c r="DLP22" s="501">
        <v>6.75</v>
      </c>
      <c r="DLQ22" s="486">
        <v>5.0999999999999996</v>
      </c>
      <c r="DLR22" s="452" t="s">
        <v>2691</v>
      </c>
      <c r="DLS22" s="498" t="s">
        <v>1620</v>
      </c>
      <c r="DLT22" s="498">
        <v>1</v>
      </c>
      <c r="DLU22" s="499">
        <v>1500000</v>
      </c>
      <c r="DLV22" s="498">
        <v>1.58</v>
      </c>
      <c r="DLW22" s="498">
        <v>1</v>
      </c>
      <c r="DLX22" s="501">
        <v>6.75</v>
      </c>
      <c r="DLY22" s="486">
        <v>5.0999999999999996</v>
      </c>
      <c r="DLZ22" s="452" t="s">
        <v>2691</v>
      </c>
      <c r="DMA22" s="498" t="s">
        <v>1620</v>
      </c>
      <c r="DMB22" s="498">
        <v>1</v>
      </c>
      <c r="DMC22" s="499">
        <v>1500000</v>
      </c>
      <c r="DMD22" s="498">
        <v>1.58</v>
      </c>
      <c r="DME22" s="498">
        <v>1</v>
      </c>
      <c r="DMF22" s="501">
        <v>6.75</v>
      </c>
      <c r="DMG22" s="486">
        <v>5.0999999999999996</v>
      </c>
      <c r="DMH22" s="452" t="s">
        <v>2691</v>
      </c>
      <c r="DMI22" s="498" t="s">
        <v>1620</v>
      </c>
      <c r="DMJ22" s="498">
        <v>1</v>
      </c>
      <c r="DMK22" s="499">
        <v>1500000</v>
      </c>
      <c r="DML22" s="498">
        <v>1.58</v>
      </c>
      <c r="DMM22" s="498">
        <v>1</v>
      </c>
      <c r="DMN22" s="501">
        <v>6.75</v>
      </c>
      <c r="DMO22" s="486">
        <v>5.0999999999999996</v>
      </c>
      <c r="DMP22" s="452" t="s">
        <v>2691</v>
      </c>
      <c r="DMQ22" s="498" t="s">
        <v>1620</v>
      </c>
      <c r="DMR22" s="498">
        <v>1</v>
      </c>
      <c r="DMS22" s="499">
        <v>1500000</v>
      </c>
      <c r="DMT22" s="498">
        <v>1.58</v>
      </c>
      <c r="DMU22" s="498">
        <v>1</v>
      </c>
      <c r="DMV22" s="501">
        <v>6.75</v>
      </c>
      <c r="DMW22" s="486">
        <v>5.0999999999999996</v>
      </c>
      <c r="DMX22" s="452" t="s">
        <v>2691</v>
      </c>
      <c r="DMY22" s="498" t="s">
        <v>1620</v>
      </c>
      <c r="DMZ22" s="498">
        <v>1</v>
      </c>
      <c r="DNA22" s="499">
        <v>1500000</v>
      </c>
      <c r="DNB22" s="498">
        <v>1.58</v>
      </c>
      <c r="DNC22" s="498">
        <v>1</v>
      </c>
      <c r="DND22" s="501">
        <v>6.75</v>
      </c>
      <c r="DNE22" s="486">
        <v>5.0999999999999996</v>
      </c>
      <c r="DNF22" s="452" t="s">
        <v>2691</v>
      </c>
      <c r="DNG22" s="498" t="s">
        <v>1620</v>
      </c>
      <c r="DNH22" s="498">
        <v>1</v>
      </c>
      <c r="DNI22" s="499">
        <v>1500000</v>
      </c>
      <c r="DNJ22" s="498">
        <v>1.58</v>
      </c>
      <c r="DNK22" s="498">
        <v>1</v>
      </c>
      <c r="DNL22" s="501">
        <v>6.75</v>
      </c>
      <c r="DNM22" s="486">
        <v>5.0999999999999996</v>
      </c>
      <c r="DNN22" s="452" t="s">
        <v>2691</v>
      </c>
      <c r="DNO22" s="498" t="s">
        <v>1620</v>
      </c>
      <c r="DNP22" s="498">
        <v>1</v>
      </c>
      <c r="DNQ22" s="499">
        <v>1500000</v>
      </c>
      <c r="DNR22" s="498">
        <v>1.58</v>
      </c>
      <c r="DNS22" s="498">
        <v>1</v>
      </c>
      <c r="DNT22" s="501">
        <v>6.75</v>
      </c>
      <c r="DNU22" s="486">
        <v>5.0999999999999996</v>
      </c>
      <c r="DNV22" s="452" t="s">
        <v>2691</v>
      </c>
      <c r="DNW22" s="498" t="s">
        <v>1620</v>
      </c>
      <c r="DNX22" s="498">
        <v>1</v>
      </c>
      <c r="DNY22" s="499">
        <v>1500000</v>
      </c>
      <c r="DNZ22" s="498">
        <v>1.58</v>
      </c>
      <c r="DOA22" s="498">
        <v>1</v>
      </c>
      <c r="DOB22" s="501">
        <v>6.75</v>
      </c>
      <c r="DOC22" s="486">
        <v>5.0999999999999996</v>
      </c>
      <c r="DOD22" s="452" t="s">
        <v>2691</v>
      </c>
      <c r="DOE22" s="498" t="s">
        <v>1620</v>
      </c>
      <c r="DOF22" s="498">
        <v>1</v>
      </c>
      <c r="DOG22" s="499">
        <v>1500000</v>
      </c>
      <c r="DOH22" s="498">
        <v>1.58</v>
      </c>
      <c r="DOI22" s="498">
        <v>1</v>
      </c>
      <c r="DOJ22" s="501">
        <v>6.75</v>
      </c>
      <c r="DOK22" s="486">
        <v>5.0999999999999996</v>
      </c>
      <c r="DOL22" s="452" t="s">
        <v>2691</v>
      </c>
      <c r="DOM22" s="498" t="s">
        <v>1620</v>
      </c>
      <c r="DON22" s="498">
        <v>1</v>
      </c>
      <c r="DOO22" s="499">
        <v>1500000</v>
      </c>
      <c r="DOP22" s="498">
        <v>1.58</v>
      </c>
      <c r="DOQ22" s="498">
        <v>1</v>
      </c>
      <c r="DOR22" s="501">
        <v>6.75</v>
      </c>
      <c r="DOS22" s="486">
        <v>5.0999999999999996</v>
      </c>
      <c r="DOT22" s="452" t="s">
        <v>2691</v>
      </c>
      <c r="DOU22" s="498" t="s">
        <v>1620</v>
      </c>
      <c r="DOV22" s="498">
        <v>1</v>
      </c>
      <c r="DOW22" s="499">
        <v>1500000</v>
      </c>
      <c r="DOX22" s="498">
        <v>1.58</v>
      </c>
      <c r="DOY22" s="498">
        <v>1</v>
      </c>
      <c r="DOZ22" s="501">
        <v>6.75</v>
      </c>
      <c r="DPA22" s="486">
        <v>5.0999999999999996</v>
      </c>
      <c r="DPB22" s="452" t="s">
        <v>2691</v>
      </c>
      <c r="DPC22" s="498" t="s">
        <v>1620</v>
      </c>
      <c r="DPD22" s="498">
        <v>1</v>
      </c>
      <c r="DPE22" s="499">
        <v>1500000</v>
      </c>
      <c r="DPF22" s="498">
        <v>1.58</v>
      </c>
      <c r="DPG22" s="498">
        <v>1</v>
      </c>
      <c r="DPH22" s="501">
        <v>6.75</v>
      </c>
      <c r="DPI22" s="486">
        <v>5.0999999999999996</v>
      </c>
      <c r="DPJ22" s="452" t="s">
        <v>2691</v>
      </c>
      <c r="DPK22" s="498" t="s">
        <v>1620</v>
      </c>
      <c r="DPL22" s="498">
        <v>1</v>
      </c>
      <c r="DPM22" s="499">
        <v>1500000</v>
      </c>
      <c r="DPN22" s="498">
        <v>1.58</v>
      </c>
      <c r="DPO22" s="498">
        <v>1</v>
      </c>
      <c r="DPP22" s="501">
        <v>6.75</v>
      </c>
      <c r="DPQ22" s="486">
        <v>5.0999999999999996</v>
      </c>
      <c r="DPR22" s="452" t="s">
        <v>2691</v>
      </c>
      <c r="DPS22" s="498" t="s">
        <v>1620</v>
      </c>
      <c r="DPT22" s="498">
        <v>1</v>
      </c>
      <c r="DPU22" s="499">
        <v>1500000</v>
      </c>
      <c r="DPV22" s="498">
        <v>1.58</v>
      </c>
      <c r="DPW22" s="498">
        <v>1</v>
      </c>
      <c r="DPX22" s="501">
        <v>6.75</v>
      </c>
      <c r="DPY22" s="486">
        <v>5.0999999999999996</v>
      </c>
      <c r="DPZ22" s="452" t="s">
        <v>2691</v>
      </c>
      <c r="DQA22" s="498" t="s">
        <v>1620</v>
      </c>
      <c r="DQB22" s="498">
        <v>1</v>
      </c>
      <c r="DQC22" s="499">
        <v>1500000</v>
      </c>
      <c r="DQD22" s="498">
        <v>1.58</v>
      </c>
      <c r="DQE22" s="498">
        <v>1</v>
      </c>
      <c r="DQF22" s="501">
        <v>6.75</v>
      </c>
      <c r="DQG22" s="486">
        <v>5.0999999999999996</v>
      </c>
      <c r="DQH22" s="452" t="s">
        <v>2691</v>
      </c>
      <c r="DQI22" s="498" t="s">
        <v>1620</v>
      </c>
      <c r="DQJ22" s="498">
        <v>1</v>
      </c>
      <c r="DQK22" s="499">
        <v>1500000</v>
      </c>
      <c r="DQL22" s="498">
        <v>1.58</v>
      </c>
      <c r="DQM22" s="498">
        <v>1</v>
      </c>
      <c r="DQN22" s="501">
        <v>6.75</v>
      </c>
      <c r="DQO22" s="486">
        <v>5.0999999999999996</v>
      </c>
      <c r="DQP22" s="452" t="s">
        <v>2691</v>
      </c>
      <c r="DQQ22" s="498" t="s">
        <v>1620</v>
      </c>
      <c r="DQR22" s="498">
        <v>1</v>
      </c>
      <c r="DQS22" s="499">
        <v>1500000</v>
      </c>
      <c r="DQT22" s="498">
        <v>1.58</v>
      </c>
      <c r="DQU22" s="498">
        <v>1</v>
      </c>
      <c r="DQV22" s="501">
        <v>6.75</v>
      </c>
      <c r="DQW22" s="486">
        <v>5.0999999999999996</v>
      </c>
      <c r="DQX22" s="452" t="s">
        <v>2691</v>
      </c>
      <c r="DQY22" s="498" t="s">
        <v>1620</v>
      </c>
      <c r="DQZ22" s="498">
        <v>1</v>
      </c>
      <c r="DRA22" s="499">
        <v>1500000</v>
      </c>
      <c r="DRB22" s="498">
        <v>1.58</v>
      </c>
      <c r="DRC22" s="498">
        <v>1</v>
      </c>
      <c r="DRD22" s="501">
        <v>6.75</v>
      </c>
      <c r="DRE22" s="486">
        <v>5.0999999999999996</v>
      </c>
      <c r="DRF22" s="452" t="s">
        <v>2691</v>
      </c>
      <c r="DRG22" s="498" t="s">
        <v>1620</v>
      </c>
      <c r="DRH22" s="498">
        <v>1</v>
      </c>
      <c r="DRI22" s="499">
        <v>1500000</v>
      </c>
      <c r="DRJ22" s="498">
        <v>1.58</v>
      </c>
      <c r="DRK22" s="498">
        <v>1</v>
      </c>
      <c r="DRL22" s="501">
        <v>6.75</v>
      </c>
      <c r="DRM22" s="486">
        <v>5.0999999999999996</v>
      </c>
      <c r="DRN22" s="452" t="s">
        <v>2691</v>
      </c>
      <c r="DRO22" s="498" t="s">
        <v>1620</v>
      </c>
      <c r="DRP22" s="498">
        <v>1</v>
      </c>
      <c r="DRQ22" s="499">
        <v>1500000</v>
      </c>
      <c r="DRR22" s="498">
        <v>1.58</v>
      </c>
      <c r="DRS22" s="498">
        <v>1</v>
      </c>
      <c r="DRT22" s="501">
        <v>6.75</v>
      </c>
      <c r="DRU22" s="486">
        <v>5.0999999999999996</v>
      </c>
      <c r="DRV22" s="452" t="s">
        <v>2691</v>
      </c>
      <c r="DRW22" s="498" t="s">
        <v>1620</v>
      </c>
      <c r="DRX22" s="498">
        <v>1</v>
      </c>
      <c r="DRY22" s="499">
        <v>1500000</v>
      </c>
      <c r="DRZ22" s="498">
        <v>1.58</v>
      </c>
      <c r="DSA22" s="498">
        <v>1</v>
      </c>
      <c r="DSB22" s="501">
        <v>6.75</v>
      </c>
      <c r="DSC22" s="486">
        <v>5.0999999999999996</v>
      </c>
      <c r="DSD22" s="452" t="s">
        <v>2691</v>
      </c>
      <c r="DSE22" s="498" t="s">
        <v>1620</v>
      </c>
      <c r="DSF22" s="498">
        <v>1</v>
      </c>
      <c r="DSG22" s="499">
        <v>1500000</v>
      </c>
      <c r="DSH22" s="498">
        <v>1.58</v>
      </c>
      <c r="DSI22" s="498">
        <v>1</v>
      </c>
      <c r="DSJ22" s="501">
        <v>6.75</v>
      </c>
      <c r="DSK22" s="486">
        <v>5.0999999999999996</v>
      </c>
      <c r="DSL22" s="452" t="s">
        <v>2691</v>
      </c>
      <c r="DSM22" s="498" t="s">
        <v>1620</v>
      </c>
      <c r="DSN22" s="498">
        <v>1</v>
      </c>
      <c r="DSO22" s="499">
        <v>1500000</v>
      </c>
      <c r="DSP22" s="498">
        <v>1.58</v>
      </c>
      <c r="DSQ22" s="498">
        <v>1</v>
      </c>
      <c r="DSR22" s="501">
        <v>6.75</v>
      </c>
      <c r="DSS22" s="486">
        <v>5.0999999999999996</v>
      </c>
      <c r="DST22" s="452" t="s">
        <v>2691</v>
      </c>
      <c r="DSU22" s="498" t="s">
        <v>1620</v>
      </c>
      <c r="DSV22" s="498">
        <v>1</v>
      </c>
      <c r="DSW22" s="499">
        <v>1500000</v>
      </c>
      <c r="DSX22" s="498">
        <v>1.58</v>
      </c>
      <c r="DSY22" s="498">
        <v>1</v>
      </c>
      <c r="DSZ22" s="501">
        <v>6.75</v>
      </c>
      <c r="DTA22" s="486">
        <v>5.0999999999999996</v>
      </c>
      <c r="DTB22" s="452" t="s">
        <v>2691</v>
      </c>
      <c r="DTC22" s="498" t="s">
        <v>1620</v>
      </c>
      <c r="DTD22" s="498">
        <v>1</v>
      </c>
      <c r="DTE22" s="499">
        <v>1500000</v>
      </c>
      <c r="DTF22" s="498">
        <v>1.58</v>
      </c>
      <c r="DTG22" s="498">
        <v>1</v>
      </c>
      <c r="DTH22" s="501">
        <v>6.75</v>
      </c>
      <c r="DTI22" s="486">
        <v>5.0999999999999996</v>
      </c>
      <c r="DTJ22" s="452" t="s">
        <v>2691</v>
      </c>
      <c r="DTK22" s="498" t="s">
        <v>1620</v>
      </c>
      <c r="DTL22" s="498">
        <v>1</v>
      </c>
      <c r="DTM22" s="499">
        <v>1500000</v>
      </c>
      <c r="DTN22" s="498">
        <v>1.58</v>
      </c>
      <c r="DTO22" s="498">
        <v>1</v>
      </c>
      <c r="DTP22" s="501">
        <v>6.75</v>
      </c>
      <c r="DTQ22" s="486">
        <v>5.0999999999999996</v>
      </c>
      <c r="DTR22" s="452" t="s">
        <v>2691</v>
      </c>
      <c r="DTS22" s="498" t="s">
        <v>1620</v>
      </c>
      <c r="DTT22" s="498">
        <v>1</v>
      </c>
      <c r="DTU22" s="499">
        <v>1500000</v>
      </c>
      <c r="DTV22" s="498">
        <v>1.58</v>
      </c>
      <c r="DTW22" s="498">
        <v>1</v>
      </c>
      <c r="DTX22" s="501">
        <v>6.75</v>
      </c>
      <c r="DTY22" s="486">
        <v>5.0999999999999996</v>
      </c>
      <c r="DTZ22" s="452" t="s">
        <v>2691</v>
      </c>
      <c r="DUA22" s="498" t="s">
        <v>1620</v>
      </c>
      <c r="DUB22" s="498">
        <v>1</v>
      </c>
      <c r="DUC22" s="499">
        <v>1500000</v>
      </c>
      <c r="DUD22" s="498">
        <v>1.58</v>
      </c>
      <c r="DUE22" s="498">
        <v>1</v>
      </c>
      <c r="DUF22" s="501">
        <v>6.75</v>
      </c>
      <c r="DUG22" s="486">
        <v>5.0999999999999996</v>
      </c>
      <c r="DUH22" s="452" t="s">
        <v>2691</v>
      </c>
      <c r="DUI22" s="498" t="s">
        <v>1620</v>
      </c>
      <c r="DUJ22" s="498">
        <v>1</v>
      </c>
      <c r="DUK22" s="499">
        <v>1500000</v>
      </c>
      <c r="DUL22" s="498">
        <v>1.58</v>
      </c>
      <c r="DUM22" s="498">
        <v>1</v>
      </c>
      <c r="DUN22" s="501">
        <v>6.75</v>
      </c>
      <c r="DUO22" s="486">
        <v>5.0999999999999996</v>
      </c>
      <c r="DUP22" s="452" t="s">
        <v>2691</v>
      </c>
      <c r="DUQ22" s="498" t="s">
        <v>1620</v>
      </c>
      <c r="DUR22" s="498">
        <v>1</v>
      </c>
      <c r="DUS22" s="499">
        <v>1500000</v>
      </c>
      <c r="DUT22" s="498">
        <v>1.58</v>
      </c>
      <c r="DUU22" s="498">
        <v>1</v>
      </c>
      <c r="DUV22" s="501">
        <v>6.75</v>
      </c>
      <c r="DUW22" s="486">
        <v>5.0999999999999996</v>
      </c>
      <c r="DUX22" s="452" t="s">
        <v>2691</v>
      </c>
      <c r="DUY22" s="498" t="s">
        <v>1620</v>
      </c>
      <c r="DUZ22" s="498">
        <v>1</v>
      </c>
      <c r="DVA22" s="499">
        <v>1500000</v>
      </c>
      <c r="DVB22" s="498">
        <v>1.58</v>
      </c>
      <c r="DVC22" s="498">
        <v>1</v>
      </c>
      <c r="DVD22" s="501">
        <v>6.75</v>
      </c>
      <c r="DVE22" s="486">
        <v>5.0999999999999996</v>
      </c>
      <c r="DVF22" s="452" t="s">
        <v>2691</v>
      </c>
      <c r="DVG22" s="498" t="s">
        <v>1620</v>
      </c>
      <c r="DVH22" s="498">
        <v>1</v>
      </c>
      <c r="DVI22" s="499">
        <v>1500000</v>
      </c>
      <c r="DVJ22" s="498">
        <v>1.58</v>
      </c>
      <c r="DVK22" s="498">
        <v>1</v>
      </c>
      <c r="DVL22" s="501">
        <v>6.75</v>
      </c>
      <c r="DVM22" s="486">
        <v>5.0999999999999996</v>
      </c>
      <c r="DVN22" s="452" t="s">
        <v>2691</v>
      </c>
      <c r="DVO22" s="498" t="s">
        <v>1620</v>
      </c>
      <c r="DVP22" s="498">
        <v>1</v>
      </c>
      <c r="DVQ22" s="499">
        <v>1500000</v>
      </c>
      <c r="DVR22" s="498">
        <v>1.58</v>
      </c>
      <c r="DVS22" s="498">
        <v>1</v>
      </c>
      <c r="DVT22" s="501">
        <v>6.75</v>
      </c>
      <c r="DVU22" s="486">
        <v>5.0999999999999996</v>
      </c>
      <c r="DVV22" s="452" t="s">
        <v>2691</v>
      </c>
      <c r="DVW22" s="498" t="s">
        <v>1620</v>
      </c>
      <c r="DVX22" s="498">
        <v>1</v>
      </c>
      <c r="DVY22" s="499">
        <v>1500000</v>
      </c>
      <c r="DVZ22" s="498">
        <v>1.58</v>
      </c>
      <c r="DWA22" s="498">
        <v>1</v>
      </c>
      <c r="DWB22" s="501">
        <v>6.75</v>
      </c>
      <c r="DWC22" s="486">
        <v>5.0999999999999996</v>
      </c>
      <c r="DWD22" s="452" t="s">
        <v>2691</v>
      </c>
      <c r="DWE22" s="498" t="s">
        <v>1620</v>
      </c>
      <c r="DWF22" s="498">
        <v>1</v>
      </c>
      <c r="DWG22" s="499">
        <v>1500000</v>
      </c>
      <c r="DWH22" s="498">
        <v>1.58</v>
      </c>
      <c r="DWI22" s="498">
        <v>1</v>
      </c>
      <c r="DWJ22" s="501">
        <v>6.75</v>
      </c>
      <c r="DWK22" s="486">
        <v>5.0999999999999996</v>
      </c>
      <c r="DWL22" s="452" t="s">
        <v>2691</v>
      </c>
      <c r="DWM22" s="498" t="s">
        <v>1620</v>
      </c>
      <c r="DWN22" s="498">
        <v>1</v>
      </c>
      <c r="DWO22" s="499">
        <v>1500000</v>
      </c>
      <c r="DWP22" s="498">
        <v>1.58</v>
      </c>
      <c r="DWQ22" s="498">
        <v>1</v>
      </c>
      <c r="DWR22" s="501">
        <v>6.75</v>
      </c>
      <c r="DWS22" s="486">
        <v>5.0999999999999996</v>
      </c>
      <c r="DWT22" s="452" t="s">
        <v>2691</v>
      </c>
      <c r="DWU22" s="498" t="s">
        <v>1620</v>
      </c>
      <c r="DWV22" s="498">
        <v>1</v>
      </c>
      <c r="DWW22" s="499">
        <v>1500000</v>
      </c>
      <c r="DWX22" s="498">
        <v>1.58</v>
      </c>
      <c r="DWY22" s="498">
        <v>1</v>
      </c>
      <c r="DWZ22" s="501">
        <v>6.75</v>
      </c>
      <c r="DXA22" s="486">
        <v>5.0999999999999996</v>
      </c>
      <c r="DXB22" s="452" t="s">
        <v>2691</v>
      </c>
      <c r="DXC22" s="498" t="s">
        <v>1620</v>
      </c>
      <c r="DXD22" s="498">
        <v>1</v>
      </c>
      <c r="DXE22" s="499">
        <v>1500000</v>
      </c>
      <c r="DXF22" s="498">
        <v>1.58</v>
      </c>
      <c r="DXG22" s="498">
        <v>1</v>
      </c>
      <c r="DXH22" s="501">
        <v>6.75</v>
      </c>
      <c r="DXI22" s="486">
        <v>5.0999999999999996</v>
      </c>
      <c r="DXJ22" s="452" t="s">
        <v>2691</v>
      </c>
      <c r="DXK22" s="498" t="s">
        <v>1620</v>
      </c>
      <c r="DXL22" s="498">
        <v>1</v>
      </c>
      <c r="DXM22" s="499">
        <v>1500000</v>
      </c>
      <c r="DXN22" s="498">
        <v>1.58</v>
      </c>
      <c r="DXO22" s="498">
        <v>1</v>
      </c>
      <c r="DXP22" s="501">
        <v>6.75</v>
      </c>
      <c r="DXQ22" s="486">
        <v>5.0999999999999996</v>
      </c>
      <c r="DXR22" s="452" t="s">
        <v>2691</v>
      </c>
      <c r="DXS22" s="498" t="s">
        <v>1620</v>
      </c>
      <c r="DXT22" s="498">
        <v>1</v>
      </c>
      <c r="DXU22" s="499">
        <v>1500000</v>
      </c>
      <c r="DXV22" s="498">
        <v>1.58</v>
      </c>
      <c r="DXW22" s="498">
        <v>1</v>
      </c>
      <c r="DXX22" s="501">
        <v>6.75</v>
      </c>
      <c r="DXY22" s="486">
        <v>5.0999999999999996</v>
      </c>
      <c r="DXZ22" s="452" t="s">
        <v>2691</v>
      </c>
      <c r="DYA22" s="498" t="s">
        <v>1620</v>
      </c>
      <c r="DYB22" s="498">
        <v>1</v>
      </c>
      <c r="DYC22" s="499">
        <v>1500000</v>
      </c>
      <c r="DYD22" s="498">
        <v>1.58</v>
      </c>
      <c r="DYE22" s="498">
        <v>1</v>
      </c>
      <c r="DYF22" s="501">
        <v>6.75</v>
      </c>
      <c r="DYG22" s="486">
        <v>5.0999999999999996</v>
      </c>
      <c r="DYH22" s="452" t="s">
        <v>2691</v>
      </c>
      <c r="DYI22" s="498" t="s">
        <v>1620</v>
      </c>
      <c r="DYJ22" s="498">
        <v>1</v>
      </c>
      <c r="DYK22" s="499">
        <v>1500000</v>
      </c>
      <c r="DYL22" s="498">
        <v>1.58</v>
      </c>
      <c r="DYM22" s="498">
        <v>1</v>
      </c>
      <c r="DYN22" s="501">
        <v>6.75</v>
      </c>
      <c r="DYO22" s="486">
        <v>5.0999999999999996</v>
      </c>
      <c r="DYP22" s="452" t="s">
        <v>2691</v>
      </c>
      <c r="DYQ22" s="498" t="s">
        <v>1620</v>
      </c>
      <c r="DYR22" s="498">
        <v>1</v>
      </c>
      <c r="DYS22" s="499">
        <v>1500000</v>
      </c>
      <c r="DYT22" s="498">
        <v>1.58</v>
      </c>
      <c r="DYU22" s="498">
        <v>1</v>
      </c>
      <c r="DYV22" s="501">
        <v>6.75</v>
      </c>
      <c r="DYW22" s="486">
        <v>5.0999999999999996</v>
      </c>
      <c r="DYX22" s="452" t="s">
        <v>2691</v>
      </c>
      <c r="DYY22" s="498" t="s">
        <v>1620</v>
      </c>
      <c r="DYZ22" s="498">
        <v>1</v>
      </c>
      <c r="DZA22" s="499">
        <v>1500000</v>
      </c>
      <c r="DZB22" s="498">
        <v>1.58</v>
      </c>
      <c r="DZC22" s="498">
        <v>1</v>
      </c>
      <c r="DZD22" s="501">
        <v>6.75</v>
      </c>
      <c r="DZE22" s="486">
        <v>5.0999999999999996</v>
      </c>
      <c r="DZF22" s="452" t="s">
        <v>2691</v>
      </c>
      <c r="DZG22" s="498" t="s">
        <v>1620</v>
      </c>
      <c r="DZH22" s="498">
        <v>1</v>
      </c>
      <c r="DZI22" s="499">
        <v>1500000</v>
      </c>
      <c r="DZJ22" s="498">
        <v>1.58</v>
      </c>
      <c r="DZK22" s="498">
        <v>1</v>
      </c>
      <c r="DZL22" s="501">
        <v>6.75</v>
      </c>
      <c r="DZM22" s="486">
        <v>5.0999999999999996</v>
      </c>
      <c r="DZN22" s="452" t="s">
        <v>2691</v>
      </c>
      <c r="DZO22" s="498" t="s">
        <v>1620</v>
      </c>
      <c r="DZP22" s="498">
        <v>1</v>
      </c>
      <c r="DZQ22" s="499">
        <v>1500000</v>
      </c>
      <c r="DZR22" s="498">
        <v>1.58</v>
      </c>
      <c r="DZS22" s="498">
        <v>1</v>
      </c>
      <c r="DZT22" s="501">
        <v>6.75</v>
      </c>
      <c r="DZU22" s="486">
        <v>5.0999999999999996</v>
      </c>
      <c r="DZV22" s="452" t="s">
        <v>2691</v>
      </c>
      <c r="DZW22" s="498" t="s">
        <v>1620</v>
      </c>
      <c r="DZX22" s="498">
        <v>1</v>
      </c>
      <c r="DZY22" s="499">
        <v>1500000</v>
      </c>
      <c r="DZZ22" s="498">
        <v>1.58</v>
      </c>
      <c r="EAA22" s="498">
        <v>1</v>
      </c>
      <c r="EAB22" s="501">
        <v>6.75</v>
      </c>
      <c r="EAC22" s="486">
        <v>5.0999999999999996</v>
      </c>
      <c r="EAD22" s="452" t="s">
        <v>2691</v>
      </c>
      <c r="EAE22" s="498" t="s">
        <v>1620</v>
      </c>
      <c r="EAF22" s="498">
        <v>1</v>
      </c>
      <c r="EAG22" s="499">
        <v>1500000</v>
      </c>
      <c r="EAH22" s="498">
        <v>1.58</v>
      </c>
      <c r="EAI22" s="498">
        <v>1</v>
      </c>
      <c r="EAJ22" s="501">
        <v>6.75</v>
      </c>
      <c r="EAK22" s="486">
        <v>5.0999999999999996</v>
      </c>
      <c r="EAL22" s="452" t="s">
        <v>2691</v>
      </c>
      <c r="EAM22" s="498" t="s">
        <v>1620</v>
      </c>
      <c r="EAN22" s="498">
        <v>1</v>
      </c>
      <c r="EAO22" s="499">
        <v>1500000</v>
      </c>
      <c r="EAP22" s="498">
        <v>1.58</v>
      </c>
      <c r="EAQ22" s="498">
        <v>1</v>
      </c>
      <c r="EAR22" s="501">
        <v>6.75</v>
      </c>
      <c r="EAS22" s="486">
        <v>5.0999999999999996</v>
      </c>
      <c r="EAT22" s="452" t="s">
        <v>2691</v>
      </c>
      <c r="EAU22" s="498" t="s">
        <v>1620</v>
      </c>
      <c r="EAV22" s="498">
        <v>1</v>
      </c>
      <c r="EAW22" s="499">
        <v>1500000</v>
      </c>
      <c r="EAX22" s="498">
        <v>1.58</v>
      </c>
      <c r="EAY22" s="498">
        <v>1</v>
      </c>
      <c r="EAZ22" s="501">
        <v>6.75</v>
      </c>
      <c r="EBA22" s="486">
        <v>5.0999999999999996</v>
      </c>
      <c r="EBB22" s="452" t="s">
        <v>2691</v>
      </c>
      <c r="EBC22" s="498" t="s">
        <v>1620</v>
      </c>
      <c r="EBD22" s="498">
        <v>1</v>
      </c>
      <c r="EBE22" s="499">
        <v>1500000</v>
      </c>
      <c r="EBF22" s="498">
        <v>1.58</v>
      </c>
      <c r="EBG22" s="498">
        <v>1</v>
      </c>
      <c r="EBH22" s="501">
        <v>6.75</v>
      </c>
      <c r="EBI22" s="486">
        <v>5.0999999999999996</v>
      </c>
      <c r="EBJ22" s="452" t="s">
        <v>2691</v>
      </c>
      <c r="EBK22" s="498" t="s">
        <v>1620</v>
      </c>
      <c r="EBL22" s="498">
        <v>1</v>
      </c>
      <c r="EBM22" s="499">
        <v>1500000</v>
      </c>
      <c r="EBN22" s="498">
        <v>1.58</v>
      </c>
      <c r="EBO22" s="498">
        <v>1</v>
      </c>
      <c r="EBP22" s="501">
        <v>6.75</v>
      </c>
      <c r="EBQ22" s="486">
        <v>5.0999999999999996</v>
      </c>
      <c r="EBR22" s="452" t="s">
        <v>2691</v>
      </c>
      <c r="EBS22" s="498" t="s">
        <v>1620</v>
      </c>
      <c r="EBT22" s="498">
        <v>1</v>
      </c>
      <c r="EBU22" s="499">
        <v>1500000</v>
      </c>
      <c r="EBV22" s="498">
        <v>1.58</v>
      </c>
      <c r="EBW22" s="498">
        <v>1</v>
      </c>
      <c r="EBX22" s="501">
        <v>6.75</v>
      </c>
      <c r="EBY22" s="486">
        <v>5.0999999999999996</v>
      </c>
      <c r="EBZ22" s="452" t="s">
        <v>2691</v>
      </c>
      <c r="ECA22" s="498" t="s">
        <v>1620</v>
      </c>
      <c r="ECB22" s="498">
        <v>1</v>
      </c>
      <c r="ECC22" s="499">
        <v>1500000</v>
      </c>
      <c r="ECD22" s="498">
        <v>1.58</v>
      </c>
      <c r="ECE22" s="498">
        <v>1</v>
      </c>
      <c r="ECF22" s="501">
        <v>6.75</v>
      </c>
      <c r="ECG22" s="486">
        <v>5.0999999999999996</v>
      </c>
      <c r="ECH22" s="452" t="s">
        <v>2691</v>
      </c>
      <c r="ECI22" s="498" t="s">
        <v>1620</v>
      </c>
      <c r="ECJ22" s="498">
        <v>1</v>
      </c>
      <c r="ECK22" s="499">
        <v>1500000</v>
      </c>
      <c r="ECL22" s="498">
        <v>1.58</v>
      </c>
      <c r="ECM22" s="498">
        <v>1</v>
      </c>
      <c r="ECN22" s="501">
        <v>6.75</v>
      </c>
      <c r="ECO22" s="486">
        <v>5.0999999999999996</v>
      </c>
      <c r="ECP22" s="452" t="s">
        <v>2691</v>
      </c>
      <c r="ECQ22" s="498" t="s">
        <v>1620</v>
      </c>
      <c r="ECR22" s="498">
        <v>1</v>
      </c>
      <c r="ECS22" s="499">
        <v>1500000</v>
      </c>
      <c r="ECT22" s="498">
        <v>1.58</v>
      </c>
      <c r="ECU22" s="498">
        <v>1</v>
      </c>
      <c r="ECV22" s="501">
        <v>6.75</v>
      </c>
      <c r="ECW22" s="486">
        <v>5.0999999999999996</v>
      </c>
      <c r="ECX22" s="452" t="s">
        <v>2691</v>
      </c>
      <c r="ECY22" s="498" t="s">
        <v>1620</v>
      </c>
      <c r="ECZ22" s="498">
        <v>1</v>
      </c>
      <c r="EDA22" s="499">
        <v>1500000</v>
      </c>
      <c r="EDB22" s="498">
        <v>1.58</v>
      </c>
      <c r="EDC22" s="498">
        <v>1</v>
      </c>
      <c r="EDD22" s="501">
        <v>6.75</v>
      </c>
      <c r="EDE22" s="486">
        <v>5.0999999999999996</v>
      </c>
      <c r="EDF22" s="452" t="s">
        <v>2691</v>
      </c>
      <c r="EDG22" s="498" t="s">
        <v>1620</v>
      </c>
      <c r="EDH22" s="498">
        <v>1</v>
      </c>
      <c r="EDI22" s="499">
        <v>1500000</v>
      </c>
      <c r="EDJ22" s="498">
        <v>1.58</v>
      </c>
      <c r="EDK22" s="498">
        <v>1</v>
      </c>
      <c r="EDL22" s="501">
        <v>6.75</v>
      </c>
      <c r="EDM22" s="486">
        <v>5.0999999999999996</v>
      </c>
      <c r="EDN22" s="452" t="s">
        <v>2691</v>
      </c>
      <c r="EDO22" s="498" t="s">
        <v>1620</v>
      </c>
      <c r="EDP22" s="498">
        <v>1</v>
      </c>
      <c r="EDQ22" s="499">
        <v>1500000</v>
      </c>
      <c r="EDR22" s="498">
        <v>1.58</v>
      </c>
      <c r="EDS22" s="498">
        <v>1</v>
      </c>
      <c r="EDT22" s="501">
        <v>6.75</v>
      </c>
      <c r="EDU22" s="486">
        <v>5.0999999999999996</v>
      </c>
      <c r="EDV22" s="452" t="s">
        <v>2691</v>
      </c>
      <c r="EDW22" s="498" t="s">
        <v>1620</v>
      </c>
      <c r="EDX22" s="498">
        <v>1</v>
      </c>
      <c r="EDY22" s="499">
        <v>1500000</v>
      </c>
      <c r="EDZ22" s="498">
        <v>1.58</v>
      </c>
      <c r="EEA22" s="498">
        <v>1</v>
      </c>
      <c r="EEB22" s="501">
        <v>6.75</v>
      </c>
      <c r="EEC22" s="486">
        <v>5.0999999999999996</v>
      </c>
      <c r="EED22" s="452" t="s">
        <v>2691</v>
      </c>
      <c r="EEE22" s="498" t="s">
        <v>1620</v>
      </c>
      <c r="EEF22" s="498">
        <v>1</v>
      </c>
      <c r="EEG22" s="499">
        <v>1500000</v>
      </c>
      <c r="EEH22" s="498">
        <v>1.58</v>
      </c>
      <c r="EEI22" s="498">
        <v>1</v>
      </c>
      <c r="EEJ22" s="501">
        <v>6.75</v>
      </c>
      <c r="EEK22" s="486">
        <v>5.0999999999999996</v>
      </c>
      <c r="EEL22" s="452" t="s">
        <v>2691</v>
      </c>
      <c r="EEM22" s="498" t="s">
        <v>1620</v>
      </c>
      <c r="EEN22" s="498">
        <v>1</v>
      </c>
      <c r="EEO22" s="499">
        <v>1500000</v>
      </c>
      <c r="EEP22" s="498">
        <v>1.58</v>
      </c>
      <c r="EEQ22" s="498">
        <v>1</v>
      </c>
      <c r="EER22" s="501">
        <v>6.75</v>
      </c>
      <c r="EES22" s="486">
        <v>5.0999999999999996</v>
      </c>
      <c r="EET22" s="452" t="s">
        <v>2691</v>
      </c>
      <c r="EEU22" s="498" t="s">
        <v>1620</v>
      </c>
      <c r="EEV22" s="498">
        <v>1</v>
      </c>
      <c r="EEW22" s="499">
        <v>1500000</v>
      </c>
      <c r="EEX22" s="498">
        <v>1.58</v>
      </c>
      <c r="EEY22" s="498">
        <v>1</v>
      </c>
      <c r="EEZ22" s="501">
        <v>6.75</v>
      </c>
      <c r="EFA22" s="486">
        <v>5.0999999999999996</v>
      </c>
      <c r="EFB22" s="452" t="s">
        <v>2691</v>
      </c>
      <c r="EFC22" s="498" t="s">
        <v>1620</v>
      </c>
      <c r="EFD22" s="498">
        <v>1</v>
      </c>
      <c r="EFE22" s="499">
        <v>1500000</v>
      </c>
      <c r="EFF22" s="498">
        <v>1.58</v>
      </c>
      <c r="EFG22" s="498">
        <v>1</v>
      </c>
      <c r="EFH22" s="501">
        <v>6.75</v>
      </c>
      <c r="EFI22" s="486">
        <v>5.0999999999999996</v>
      </c>
      <c r="EFJ22" s="452" t="s">
        <v>2691</v>
      </c>
      <c r="EFK22" s="498" t="s">
        <v>1620</v>
      </c>
      <c r="EFL22" s="498">
        <v>1</v>
      </c>
      <c r="EFM22" s="499">
        <v>1500000</v>
      </c>
      <c r="EFN22" s="498">
        <v>1.58</v>
      </c>
      <c r="EFO22" s="498">
        <v>1</v>
      </c>
      <c r="EFP22" s="501">
        <v>6.75</v>
      </c>
      <c r="EFQ22" s="486">
        <v>5.0999999999999996</v>
      </c>
      <c r="EFR22" s="452" t="s">
        <v>2691</v>
      </c>
      <c r="EFS22" s="498" t="s">
        <v>1620</v>
      </c>
      <c r="EFT22" s="498">
        <v>1</v>
      </c>
      <c r="EFU22" s="499">
        <v>1500000</v>
      </c>
      <c r="EFV22" s="498">
        <v>1.58</v>
      </c>
      <c r="EFW22" s="498">
        <v>1</v>
      </c>
      <c r="EFX22" s="501">
        <v>6.75</v>
      </c>
      <c r="EFY22" s="486">
        <v>5.0999999999999996</v>
      </c>
      <c r="EFZ22" s="452" t="s">
        <v>2691</v>
      </c>
      <c r="EGA22" s="498" t="s">
        <v>1620</v>
      </c>
      <c r="EGB22" s="498">
        <v>1</v>
      </c>
      <c r="EGC22" s="499">
        <v>1500000</v>
      </c>
      <c r="EGD22" s="498">
        <v>1.58</v>
      </c>
      <c r="EGE22" s="498">
        <v>1</v>
      </c>
      <c r="EGF22" s="501">
        <v>6.75</v>
      </c>
      <c r="EGG22" s="486">
        <v>5.0999999999999996</v>
      </c>
      <c r="EGH22" s="452" t="s">
        <v>2691</v>
      </c>
      <c r="EGI22" s="498" t="s">
        <v>1620</v>
      </c>
      <c r="EGJ22" s="498">
        <v>1</v>
      </c>
      <c r="EGK22" s="499">
        <v>1500000</v>
      </c>
      <c r="EGL22" s="498">
        <v>1.58</v>
      </c>
      <c r="EGM22" s="498">
        <v>1</v>
      </c>
      <c r="EGN22" s="501">
        <v>6.75</v>
      </c>
      <c r="EGO22" s="486">
        <v>5.0999999999999996</v>
      </c>
      <c r="EGP22" s="452" t="s">
        <v>2691</v>
      </c>
      <c r="EGQ22" s="498" t="s">
        <v>1620</v>
      </c>
      <c r="EGR22" s="498">
        <v>1</v>
      </c>
      <c r="EGS22" s="499">
        <v>1500000</v>
      </c>
      <c r="EGT22" s="498">
        <v>1.58</v>
      </c>
      <c r="EGU22" s="498">
        <v>1</v>
      </c>
      <c r="EGV22" s="501">
        <v>6.75</v>
      </c>
      <c r="EGW22" s="486">
        <v>5.0999999999999996</v>
      </c>
      <c r="EGX22" s="452" t="s">
        <v>2691</v>
      </c>
      <c r="EGY22" s="498" t="s">
        <v>1620</v>
      </c>
      <c r="EGZ22" s="498">
        <v>1</v>
      </c>
      <c r="EHA22" s="499">
        <v>1500000</v>
      </c>
      <c r="EHB22" s="498">
        <v>1.58</v>
      </c>
      <c r="EHC22" s="498">
        <v>1</v>
      </c>
      <c r="EHD22" s="501">
        <v>6.75</v>
      </c>
      <c r="EHE22" s="486">
        <v>5.0999999999999996</v>
      </c>
      <c r="EHF22" s="452" t="s">
        <v>2691</v>
      </c>
      <c r="EHG22" s="498" t="s">
        <v>1620</v>
      </c>
      <c r="EHH22" s="498">
        <v>1</v>
      </c>
      <c r="EHI22" s="499">
        <v>1500000</v>
      </c>
      <c r="EHJ22" s="498">
        <v>1.58</v>
      </c>
      <c r="EHK22" s="498">
        <v>1</v>
      </c>
      <c r="EHL22" s="501">
        <v>6.75</v>
      </c>
      <c r="EHM22" s="486">
        <v>5.0999999999999996</v>
      </c>
      <c r="EHN22" s="452" t="s">
        <v>2691</v>
      </c>
      <c r="EHO22" s="498" t="s">
        <v>1620</v>
      </c>
      <c r="EHP22" s="498">
        <v>1</v>
      </c>
      <c r="EHQ22" s="499">
        <v>1500000</v>
      </c>
      <c r="EHR22" s="498">
        <v>1.58</v>
      </c>
      <c r="EHS22" s="498">
        <v>1</v>
      </c>
      <c r="EHT22" s="501">
        <v>6.75</v>
      </c>
      <c r="EHU22" s="486">
        <v>5.0999999999999996</v>
      </c>
      <c r="EHV22" s="452" t="s">
        <v>2691</v>
      </c>
      <c r="EHW22" s="498" t="s">
        <v>1620</v>
      </c>
      <c r="EHX22" s="498">
        <v>1</v>
      </c>
      <c r="EHY22" s="499">
        <v>1500000</v>
      </c>
      <c r="EHZ22" s="498">
        <v>1.58</v>
      </c>
      <c r="EIA22" s="498">
        <v>1</v>
      </c>
      <c r="EIB22" s="501">
        <v>6.75</v>
      </c>
      <c r="EIC22" s="486">
        <v>5.0999999999999996</v>
      </c>
      <c r="EID22" s="452" t="s">
        <v>2691</v>
      </c>
      <c r="EIE22" s="498" t="s">
        <v>1620</v>
      </c>
      <c r="EIF22" s="498">
        <v>1</v>
      </c>
      <c r="EIG22" s="499">
        <v>1500000</v>
      </c>
      <c r="EIH22" s="498">
        <v>1.58</v>
      </c>
      <c r="EII22" s="498">
        <v>1</v>
      </c>
      <c r="EIJ22" s="501">
        <v>6.75</v>
      </c>
      <c r="EIK22" s="486">
        <v>5.0999999999999996</v>
      </c>
      <c r="EIL22" s="452" t="s">
        <v>2691</v>
      </c>
      <c r="EIM22" s="498" t="s">
        <v>1620</v>
      </c>
      <c r="EIN22" s="498">
        <v>1</v>
      </c>
      <c r="EIO22" s="499">
        <v>1500000</v>
      </c>
      <c r="EIP22" s="498">
        <v>1.58</v>
      </c>
      <c r="EIQ22" s="498">
        <v>1</v>
      </c>
      <c r="EIR22" s="501">
        <v>6.75</v>
      </c>
      <c r="EIS22" s="486">
        <v>5.0999999999999996</v>
      </c>
      <c r="EIT22" s="452" t="s">
        <v>2691</v>
      </c>
      <c r="EIU22" s="498" t="s">
        <v>1620</v>
      </c>
      <c r="EIV22" s="498">
        <v>1</v>
      </c>
      <c r="EIW22" s="499">
        <v>1500000</v>
      </c>
      <c r="EIX22" s="498">
        <v>1.58</v>
      </c>
      <c r="EIY22" s="498">
        <v>1</v>
      </c>
      <c r="EIZ22" s="501">
        <v>6.75</v>
      </c>
      <c r="EJA22" s="486">
        <v>5.0999999999999996</v>
      </c>
      <c r="EJB22" s="452" t="s">
        <v>2691</v>
      </c>
      <c r="EJC22" s="498" t="s">
        <v>1620</v>
      </c>
      <c r="EJD22" s="498">
        <v>1</v>
      </c>
      <c r="EJE22" s="499">
        <v>1500000</v>
      </c>
      <c r="EJF22" s="498">
        <v>1.58</v>
      </c>
      <c r="EJG22" s="498">
        <v>1</v>
      </c>
      <c r="EJH22" s="501">
        <v>6.75</v>
      </c>
      <c r="EJI22" s="486">
        <v>5.0999999999999996</v>
      </c>
      <c r="EJJ22" s="452" t="s">
        <v>2691</v>
      </c>
      <c r="EJK22" s="498" t="s">
        <v>1620</v>
      </c>
      <c r="EJL22" s="498">
        <v>1</v>
      </c>
      <c r="EJM22" s="499">
        <v>1500000</v>
      </c>
      <c r="EJN22" s="498">
        <v>1.58</v>
      </c>
      <c r="EJO22" s="498">
        <v>1</v>
      </c>
      <c r="EJP22" s="501">
        <v>6.75</v>
      </c>
      <c r="EJQ22" s="486">
        <v>5.0999999999999996</v>
      </c>
      <c r="EJR22" s="452" t="s">
        <v>2691</v>
      </c>
      <c r="EJS22" s="498" t="s">
        <v>1620</v>
      </c>
      <c r="EJT22" s="498">
        <v>1</v>
      </c>
      <c r="EJU22" s="499">
        <v>1500000</v>
      </c>
      <c r="EJV22" s="498">
        <v>1.58</v>
      </c>
      <c r="EJW22" s="498">
        <v>1</v>
      </c>
      <c r="EJX22" s="501">
        <v>6.75</v>
      </c>
      <c r="EJY22" s="486">
        <v>5.0999999999999996</v>
      </c>
      <c r="EJZ22" s="452" t="s">
        <v>2691</v>
      </c>
      <c r="EKA22" s="498" t="s">
        <v>1620</v>
      </c>
      <c r="EKB22" s="498">
        <v>1</v>
      </c>
      <c r="EKC22" s="499">
        <v>1500000</v>
      </c>
      <c r="EKD22" s="498">
        <v>1.58</v>
      </c>
      <c r="EKE22" s="498">
        <v>1</v>
      </c>
      <c r="EKF22" s="501">
        <v>6.75</v>
      </c>
      <c r="EKG22" s="486">
        <v>5.0999999999999996</v>
      </c>
      <c r="EKH22" s="452" t="s">
        <v>2691</v>
      </c>
      <c r="EKI22" s="498" t="s">
        <v>1620</v>
      </c>
      <c r="EKJ22" s="498">
        <v>1</v>
      </c>
      <c r="EKK22" s="499">
        <v>1500000</v>
      </c>
      <c r="EKL22" s="498">
        <v>1.58</v>
      </c>
      <c r="EKM22" s="498">
        <v>1</v>
      </c>
      <c r="EKN22" s="501">
        <v>6.75</v>
      </c>
      <c r="EKO22" s="486">
        <v>5.0999999999999996</v>
      </c>
      <c r="EKP22" s="452" t="s">
        <v>2691</v>
      </c>
      <c r="EKQ22" s="498" t="s">
        <v>1620</v>
      </c>
      <c r="EKR22" s="498">
        <v>1</v>
      </c>
      <c r="EKS22" s="499">
        <v>1500000</v>
      </c>
      <c r="EKT22" s="498">
        <v>1.58</v>
      </c>
      <c r="EKU22" s="498">
        <v>1</v>
      </c>
      <c r="EKV22" s="501">
        <v>6.75</v>
      </c>
      <c r="EKW22" s="486">
        <v>5.0999999999999996</v>
      </c>
      <c r="EKX22" s="452" t="s">
        <v>2691</v>
      </c>
      <c r="EKY22" s="498" t="s">
        <v>1620</v>
      </c>
      <c r="EKZ22" s="498">
        <v>1</v>
      </c>
      <c r="ELA22" s="499">
        <v>1500000</v>
      </c>
      <c r="ELB22" s="498">
        <v>1.58</v>
      </c>
      <c r="ELC22" s="498">
        <v>1</v>
      </c>
      <c r="ELD22" s="501">
        <v>6.75</v>
      </c>
      <c r="ELE22" s="486">
        <v>5.0999999999999996</v>
      </c>
      <c r="ELF22" s="452" t="s">
        <v>2691</v>
      </c>
      <c r="ELG22" s="498" t="s">
        <v>1620</v>
      </c>
      <c r="ELH22" s="498">
        <v>1</v>
      </c>
      <c r="ELI22" s="499">
        <v>1500000</v>
      </c>
      <c r="ELJ22" s="498">
        <v>1.58</v>
      </c>
      <c r="ELK22" s="498">
        <v>1</v>
      </c>
      <c r="ELL22" s="501">
        <v>6.75</v>
      </c>
      <c r="ELM22" s="486">
        <v>5.0999999999999996</v>
      </c>
      <c r="ELN22" s="452" t="s">
        <v>2691</v>
      </c>
      <c r="ELO22" s="498" t="s">
        <v>1620</v>
      </c>
      <c r="ELP22" s="498">
        <v>1</v>
      </c>
      <c r="ELQ22" s="499">
        <v>1500000</v>
      </c>
      <c r="ELR22" s="498">
        <v>1.58</v>
      </c>
      <c r="ELS22" s="498">
        <v>1</v>
      </c>
      <c r="ELT22" s="501">
        <v>6.75</v>
      </c>
      <c r="ELU22" s="486">
        <v>5.0999999999999996</v>
      </c>
      <c r="ELV22" s="452" t="s">
        <v>2691</v>
      </c>
      <c r="ELW22" s="498" t="s">
        <v>1620</v>
      </c>
      <c r="ELX22" s="498">
        <v>1</v>
      </c>
      <c r="ELY22" s="499">
        <v>1500000</v>
      </c>
      <c r="ELZ22" s="498">
        <v>1.58</v>
      </c>
      <c r="EMA22" s="498">
        <v>1</v>
      </c>
      <c r="EMB22" s="501">
        <v>6.75</v>
      </c>
      <c r="EMC22" s="486">
        <v>5.0999999999999996</v>
      </c>
      <c r="EMD22" s="452" t="s">
        <v>2691</v>
      </c>
      <c r="EME22" s="498" t="s">
        <v>1620</v>
      </c>
      <c r="EMF22" s="498">
        <v>1</v>
      </c>
      <c r="EMG22" s="499">
        <v>1500000</v>
      </c>
      <c r="EMH22" s="498">
        <v>1.58</v>
      </c>
      <c r="EMI22" s="498">
        <v>1</v>
      </c>
      <c r="EMJ22" s="501">
        <v>6.75</v>
      </c>
      <c r="EMK22" s="486">
        <v>5.0999999999999996</v>
      </c>
      <c r="EML22" s="452" t="s">
        <v>2691</v>
      </c>
      <c r="EMM22" s="498" t="s">
        <v>1620</v>
      </c>
      <c r="EMN22" s="498">
        <v>1</v>
      </c>
      <c r="EMO22" s="499">
        <v>1500000</v>
      </c>
      <c r="EMP22" s="498">
        <v>1.58</v>
      </c>
      <c r="EMQ22" s="498">
        <v>1</v>
      </c>
      <c r="EMR22" s="501">
        <v>6.75</v>
      </c>
      <c r="EMS22" s="486">
        <v>5.0999999999999996</v>
      </c>
      <c r="EMT22" s="452" t="s">
        <v>2691</v>
      </c>
      <c r="EMU22" s="498" t="s">
        <v>1620</v>
      </c>
      <c r="EMV22" s="498">
        <v>1</v>
      </c>
      <c r="EMW22" s="499">
        <v>1500000</v>
      </c>
      <c r="EMX22" s="498">
        <v>1.58</v>
      </c>
      <c r="EMY22" s="498">
        <v>1</v>
      </c>
      <c r="EMZ22" s="501">
        <v>6.75</v>
      </c>
      <c r="ENA22" s="486">
        <v>5.0999999999999996</v>
      </c>
      <c r="ENB22" s="452" t="s">
        <v>2691</v>
      </c>
      <c r="ENC22" s="498" t="s">
        <v>1620</v>
      </c>
      <c r="END22" s="498">
        <v>1</v>
      </c>
      <c r="ENE22" s="499">
        <v>1500000</v>
      </c>
      <c r="ENF22" s="498">
        <v>1.58</v>
      </c>
      <c r="ENG22" s="498">
        <v>1</v>
      </c>
      <c r="ENH22" s="501">
        <v>6.75</v>
      </c>
      <c r="ENI22" s="486">
        <v>5.0999999999999996</v>
      </c>
      <c r="ENJ22" s="452" t="s">
        <v>2691</v>
      </c>
      <c r="ENK22" s="498" t="s">
        <v>1620</v>
      </c>
      <c r="ENL22" s="498">
        <v>1</v>
      </c>
      <c r="ENM22" s="499">
        <v>1500000</v>
      </c>
      <c r="ENN22" s="498">
        <v>1.58</v>
      </c>
      <c r="ENO22" s="498">
        <v>1</v>
      </c>
      <c r="ENP22" s="501">
        <v>6.75</v>
      </c>
      <c r="ENQ22" s="486">
        <v>5.0999999999999996</v>
      </c>
      <c r="ENR22" s="452" t="s">
        <v>2691</v>
      </c>
      <c r="ENS22" s="498" t="s">
        <v>1620</v>
      </c>
      <c r="ENT22" s="498">
        <v>1</v>
      </c>
      <c r="ENU22" s="499">
        <v>1500000</v>
      </c>
      <c r="ENV22" s="498">
        <v>1.58</v>
      </c>
      <c r="ENW22" s="498">
        <v>1</v>
      </c>
      <c r="ENX22" s="501">
        <v>6.75</v>
      </c>
      <c r="ENY22" s="486">
        <v>5.0999999999999996</v>
      </c>
      <c r="ENZ22" s="452" t="s">
        <v>2691</v>
      </c>
      <c r="EOA22" s="498" t="s">
        <v>1620</v>
      </c>
      <c r="EOB22" s="498">
        <v>1</v>
      </c>
      <c r="EOC22" s="499">
        <v>1500000</v>
      </c>
      <c r="EOD22" s="498">
        <v>1.58</v>
      </c>
      <c r="EOE22" s="498">
        <v>1</v>
      </c>
      <c r="EOF22" s="501">
        <v>6.75</v>
      </c>
      <c r="EOG22" s="486">
        <v>5.0999999999999996</v>
      </c>
      <c r="EOH22" s="452" t="s">
        <v>2691</v>
      </c>
      <c r="EOI22" s="498" t="s">
        <v>1620</v>
      </c>
      <c r="EOJ22" s="498">
        <v>1</v>
      </c>
      <c r="EOK22" s="499">
        <v>1500000</v>
      </c>
      <c r="EOL22" s="498">
        <v>1.58</v>
      </c>
      <c r="EOM22" s="498">
        <v>1</v>
      </c>
      <c r="EON22" s="501">
        <v>6.75</v>
      </c>
      <c r="EOO22" s="486">
        <v>5.0999999999999996</v>
      </c>
      <c r="EOP22" s="452" t="s">
        <v>2691</v>
      </c>
      <c r="EOQ22" s="498" t="s">
        <v>1620</v>
      </c>
      <c r="EOR22" s="498">
        <v>1</v>
      </c>
      <c r="EOS22" s="499">
        <v>1500000</v>
      </c>
      <c r="EOT22" s="498">
        <v>1.58</v>
      </c>
      <c r="EOU22" s="498">
        <v>1</v>
      </c>
      <c r="EOV22" s="501">
        <v>6.75</v>
      </c>
      <c r="EOW22" s="486">
        <v>5.0999999999999996</v>
      </c>
      <c r="EOX22" s="452" t="s">
        <v>2691</v>
      </c>
      <c r="EOY22" s="498" t="s">
        <v>1620</v>
      </c>
      <c r="EOZ22" s="498">
        <v>1</v>
      </c>
      <c r="EPA22" s="499">
        <v>1500000</v>
      </c>
      <c r="EPB22" s="498">
        <v>1.58</v>
      </c>
      <c r="EPC22" s="498">
        <v>1</v>
      </c>
      <c r="EPD22" s="501">
        <v>6.75</v>
      </c>
      <c r="EPE22" s="486">
        <v>5.0999999999999996</v>
      </c>
      <c r="EPF22" s="452" t="s">
        <v>2691</v>
      </c>
      <c r="EPG22" s="498" t="s">
        <v>1620</v>
      </c>
      <c r="EPH22" s="498">
        <v>1</v>
      </c>
      <c r="EPI22" s="499">
        <v>1500000</v>
      </c>
      <c r="EPJ22" s="498">
        <v>1.58</v>
      </c>
      <c r="EPK22" s="498">
        <v>1</v>
      </c>
      <c r="EPL22" s="501">
        <v>6.75</v>
      </c>
      <c r="EPM22" s="486">
        <v>5.0999999999999996</v>
      </c>
      <c r="EPN22" s="452" t="s">
        <v>2691</v>
      </c>
      <c r="EPO22" s="498" t="s">
        <v>1620</v>
      </c>
      <c r="EPP22" s="498">
        <v>1</v>
      </c>
      <c r="EPQ22" s="499">
        <v>1500000</v>
      </c>
      <c r="EPR22" s="498">
        <v>1.58</v>
      </c>
      <c r="EPS22" s="498">
        <v>1</v>
      </c>
      <c r="EPT22" s="501">
        <v>6.75</v>
      </c>
      <c r="EPU22" s="486">
        <v>5.0999999999999996</v>
      </c>
      <c r="EPV22" s="452" t="s">
        <v>2691</v>
      </c>
      <c r="EPW22" s="498" t="s">
        <v>1620</v>
      </c>
      <c r="EPX22" s="498">
        <v>1</v>
      </c>
      <c r="EPY22" s="499">
        <v>1500000</v>
      </c>
      <c r="EPZ22" s="498">
        <v>1.58</v>
      </c>
      <c r="EQA22" s="498">
        <v>1</v>
      </c>
      <c r="EQB22" s="501">
        <v>6.75</v>
      </c>
      <c r="EQC22" s="486">
        <v>5.0999999999999996</v>
      </c>
      <c r="EQD22" s="452" t="s">
        <v>2691</v>
      </c>
      <c r="EQE22" s="498" t="s">
        <v>1620</v>
      </c>
      <c r="EQF22" s="498">
        <v>1</v>
      </c>
      <c r="EQG22" s="499">
        <v>1500000</v>
      </c>
      <c r="EQH22" s="498">
        <v>1.58</v>
      </c>
      <c r="EQI22" s="498">
        <v>1</v>
      </c>
      <c r="EQJ22" s="501">
        <v>6.75</v>
      </c>
      <c r="EQK22" s="486">
        <v>5.0999999999999996</v>
      </c>
      <c r="EQL22" s="452" t="s">
        <v>2691</v>
      </c>
      <c r="EQM22" s="498" t="s">
        <v>1620</v>
      </c>
      <c r="EQN22" s="498">
        <v>1</v>
      </c>
      <c r="EQO22" s="499">
        <v>1500000</v>
      </c>
      <c r="EQP22" s="498">
        <v>1.58</v>
      </c>
      <c r="EQQ22" s="498">
        <v>1</v>
      </c>
      <c r="EQR22" s="501">
        <v>6.75</v>
      </c>
      <c r="EQS22" s="486">
        <v>5.0999999999999996</v>
      </c>
      <c r="EQT22" s="452" t="s">
        <v>2691</v>
      </c>
      <c r="EQU22" s="498" t="s">
        <v>1620</v>
      </c>
      <c r="EQV22" s="498">
        <v>1</v>
      </c>
      <c r="EQW22" s="499">
        <v>1500000</v>
      </c>
      <c r="EQX22" s="498">
        <v>1.58</v>
      </c>
      <c r="EQY22" s="498">
        <v>1</v>
      </c>
      <c r="EQZ22" s="501">
        <v>6.75</v>
      </c>
      <c r="ERA22" s="486">
        <v>5.0999999999999996</v>
      </c>
      <c r="ERB22" s="452" t="s">
        <v>2691</v>
      </c>
      <c r="ERC22" s="498" t="s">
        <v>1620</v>
      </c>
      <c r="ERD22" s="498">
        <v>1</v>
      </c>
      <c r="ERE22" s="499">
        <v>1500000</v>
      </c>
      <c r="ERF22" s="498">
        <v>1.58</v>
      </c>
      <c r="ERG22" s="498">
        <v>1</v>
      </c>
      <c r="ERH22" s="501">
        <v>6.75</v>
      </c>
      <c r="ERI22" s="486">
        <v>5.0999999999999996</v>
      </c>
      <c r="ERJ22" s="452" t="s">
        <v>2691</v>
      </c>
      <c r="ERK22" s="498" t="s">
        <v>1620</v>
      </c>
      <c r="ERL22" s="498">
        <v>1</v>
      </c>
      <c r="ERM22" s="499">
        <v>1500000</v>
      </c>
      <c r="ERN22" s="498">
        <v>1.58</v>
      </c>
      <c r="ERO22" s="498">
        <v>1</v>
      </c>
      <c r="ERP22" s="501">
        <v>6.75</v>
      </c>
      <c r="ERQ22" s="486">
        <v>5.0999999999999996</v>
      </c>
      <c r="ERR22" s="452" t="s">
        <v>2691</v>
      </c>
      <c r="ERS22" s="498" t="s">
        <v>1620</v>
      </c>
      <c r="ERT22" s="498">
        <v>1</v>
      </c>
      <c r="ERU22" s="499">
        <v>1500000</v>
      </c>
      <c r="ERV22" s="498">
        <v>1.58</v>
      </c>
      <c r="ERW22" s="498">
        <v>1</v>
      </c>
      <c r="ERX22" s="501">
        <v>6.75</v>
      </c>
      <c r="ERY22" s="486">
        <v>5.0999999999999996</v>
      </c>
      <c r="ERZ22" s="452" t="s">
        <v>2691</v>
      </c>
      <c r="ESA22" s="498" t="s">
        <v>1620</v>
      </c>
      <c r="ESB22" s="498">
        <v>1</v>
      </c>
      <c r="ESC22" s="499">
        <v>1500000</v>
      </c>
      <c r="ESD22" s="498">
        <v>1.58</v>
      </c>
      <c r="ESE22" s="498">
        <v>1</v>
      </c>
      <c r="ESF22" s="501">
        <v>6.75</v>
      </c>
      <c r="ESG22" s="486">
        <v>5.0999999999999996</v>
      </c>
      <c r="ESH22" s="452" t="s">
        <v>2691</v>
      </c>
      <c r="ESI22" s="498" t="s">
        <v>1620</v>
      </c>
      <c r="ESJ22" s="498">
        <v>1</v>
      </c>
      <c r="ESK22" s="499">
        <v>1500000</v>
      </c>
      <c r="ESL22" s="498">
        <v>1.58</v>
      </c>
      <c r="ESM22" s="498">
        <v>1</v>
      </c>
      <c r="ESN22" s="501">
        <v>6.75</v>
      </c>
      <c r="ESO22" s="486">
        <v>5.0999999999999996</v>
      </c>
      <c r="ESP22" s="452" t="s">
        <v>2691</v>
      </c>
      <c r="ESQ22" s="498" t="s">
        <v>1620</v>
      </c>
      <c r="ESR22" s="498">
        <v>1</v>
      </c>
      <c r="ESS22" s="499">
        <v>1500000</v>
      </c>
      <c r="EST22" s="498">
        <v>1.58</v>
      </c>
      <c r="ESU22" s="498">
        <v>1</v>
      </c>
      <c r="ESV22" s="501">
        <v>6.75</v>
      </c>
      <c r="ESW22" s="486">
        <v>5.0999999999999996</v>
      </c>
      <c r="ESX22" s="452" t="s">
        <v>2691</v>
      </c>
      <c r="ESY22" s="498" t="s">
        <v>1620</v>
      </c>
      <c r="ESZ22" s="498">
        <v>1</v>
      </c>
      <c r="ETA22" s="499">
        <v>1500000</v>
      </c>
      <c r="ETB22" s="498">
        <v>1.58</v>
      </c>
      <c r="ETC22" s="498">
        <v>1</v>
      </c>
      <c r="ETD22" s="501">
        <v>6.75</v>
      </c>
      <c r="ETE22" s="486">
        <v>5.0999999999999996</v>
      </c>
      <c r="ETF22" s="452" t="s">
        <v>2691</v>
      </c>
      <c r="ETG22" s="498" t="s">
        <v>1620</v>
      </c>
      <c r="ETH22" s="498">
        <v>1</v>
      </c>
      <c r="ETI22" s="499">
        <v>1500000</v>
      </c>
      <c r="ETJ22" s="498">
        <v>1.58</v>
      </c>
      <c r="ETK22" s="498">
        <v>1</v>
      </c>
      <c r="ETL22" s="501">
        <v>6.75</v>
      </c>
      <c r="ETM22" s="486">
        <v>5.0999999999999996</v>
      </c>
      <c r="ETN22" s="452" t="s">
        <v>2691</v>
      </c>
      <c r="ETO22" s="498" t="s">
        <v>1620</v>
      </c>
      <c r="ETP22" s="498">
        <v>1</v>
      </c>
      <c r="ETQ22" s="499">
        <v>1500000</v>
      </c>
      <c r="ETR22" s="498">
        <v>1.58</v>
      </c>
      <c r="ETS22" s="498">
        <v>1</v>
      </c>
      <c r="ETT22" s="501">
        <v>6.75</v>
      </c>
      <c r="ETU22" s="486">
        <v>5.0999999999999996</v>
      </c>
      <c r="ETV22" s="452" t="s">
        <v>2691</v>
      </c>
      <c r="ETW22" s="498" t="s">
        <v>1620</v>
      </c>
      <c r="ETX22" s="498">
        <v>1</v>
      </c>
      <c r="ETY22" s="499">
        <v>1500000</v>
      </c>
      <c r="ETZ22" s="498">
        <v>1.58</v>
      </c>
      <c r="EUA22" s="498">
        <v>1</v>
      </c>
      <c r="EUB22" s="501">
        <v>6.75</v>
      </c>
      <c r="EUC22" s="486">
        <v>5.0999999999999996</v>
      </c>
      <c r="EUD22" s="452" t="s">
        <v>2691</v>
      </c>
      <c r="EUE22" s="498" t="s">
        <v>1620</v>
      </c>
      <c r="EUF22" s="498">
        <v>1</v>
      </c>
      <c r="EUG22" s="499">
        <v>1500000</v>
      </c>
      <c r="EUH22" s="498">
        <v>1.58</v>
      </c>
      <c r="EUI22" s="498">
        <v>1</v>
      </c>
      <c r="EUJ22" s="501">
        <v>6.75</v>
      </c>
      <c r="EUK22" s="486">
        <v>5.0999999999999996</v>
      </c>
      <c r="EUL22" s="452" t="s">
        <v>2691</v>
      </c>
      <c r="EUM22" s="498" t="s">
        <v>1620</v>
      </c>
      <c r="EUN22" s="498">
        <v>1</v>
      </c>
      <c r="EUO22" s="499">
        <v>1500000</v>
      </c>
      <c r="EUP22" s="498">
        <v>1.58</v>
      </c>
      <c r="EUQ22" s="498">
        <v>1</v>
      </c>
      <c r="EUR22" s="501">
        <v>6.75</v>
      </c>
      <c r="EUS22" s="486">
        <v>5.0999999999999996</v>
      </c>
      <c r="EUT22" s="452" t="s">
        <v>2691</v>
      </c>
      <c r="EUU22" s="498" t="s">
        <v>1620</v>
      </c>
      <c r="EUV22" s="498">
        <v>1</v>
      </c>
      <c r="EUW22" s="499">
        <v>1500000</v>
      </c>
      <c r="EUX22" s="498">
        <v>1.58</v>
      </c>
      <c r="EUY22" s="498">
        <v>1</v>
      </c>
      <c r="EUZ22" s="501">
        <v>6.75</v>
      </c>
      <c r="EVA22" s="486">
        <v>5.0999999999999996</v>
      </c>
      <c r="EVB22" s="452" t="s">
        <v>2691</v>
      </c>
      <c r="EVC22" s="498" t="s">
        <v>1620</v>
      </c>
      <c r="EVD22" s="498">
        <v>1</v>
      </c>
      <c r="EVE22" s="499">
        <v>1500000</v>
      </c>
      <c r="EVF22" s="498">
        <v>1.58</v>
      </c>
      <c r="EVG22" s="498">
        <v>1</v>
      </c>
      <c r="EVH22" s="501">
        <v>6.75</v>
      </c>
      <c r="EVI22" s="486">
        <v>5.0999999999999996</v>
      </c>
      <c r="EVJ22" s="452" t="s">
        <v>2691</v>
      </c>
      <c r="EVK22" s="498" t="s">
        <v>1620</v>
      </c>
      <c r="EVL22" s="498">
        <v>1</v>
      </c>
      <c r="EVM22" s="499">
        <v>1500000</v>
      </c>
      <c r="EVN22" s="498">
        <v>1.58</v>
      </c>
      <c r="EVO22" s="498">
        <v>1</v>
      </c>
      <c r="EVP22" s="501">
        <v>6.75</v>
      </c>
      <c r="EVQ22" s="486">
        <v>5.0999999999999996</v>
      </c>
      <c r="EVR22" s="452" t="s">
        <v>2691</v>
      </c>
      <c r="EVS22" s="498" t="s">
        <v>1620</v>
      </c>
      <c r="EVT22" s="498">
        <v>1</v>
      </c>
      <c r="EVU22" s="499">
        <v>1500000</v>
      </c>
      <c r="EVV22" s="498">
        <v>1.58</v>
      </c>
      <c r="EVW22" s="498">
        <v>1</v>
      </c>
      <c r="EVX22" s="501">
        <v>6.75</v>
      </c>
      <c r="EVY22" s="486">
        <v>5.0999999999999996</v>
      </c>
      <c r="EVZ22" s="452" t="s">
        <v>2691</v>
      </c>
      <c r="EWA22" s="498" t="s">
        <v>1620</v>
      </c>
      <c r="EWB22" s="498">
        <v>1</v>
      </c>
      <c r="EWC22" s="499">
        <v>1500000</v>
      </c>
      <c r="EWD22" s="498">
        <v>1.58</v>
      </c>
      <c r="EWE22" s="498">
        <v>1</v>
      </c>
      <c r="EWF22" s="501">
        <v>6.75</v>
      </c>
      <c r="EWG22" s="486">
        <v>5.0999999999999996</v>
      </c>
      <c r="EWH22" s="452" t="s">
        <v>2691</v>
      </c>
      <c r="EWI22" s="498" t="s">
        <v>1620</v>
      </c>
      <c r="EWJ22" s="498">
        <v>1</v>
      </c>
      <c r="EWK22" s="499">
        <v>1500000</v>
      </c>
      <c r="EWL22" s="498">
        <v>1.58</v>
      </c>
      <c r="EWM22" s="498">
        <v>1</v>
      </c>
      <c r="EWN22" s="501">
        <v>6.75</v>
      </c>
      <c r="EWO22" s="486">
        <v>5.0999999999999996</v>
      </c>
      <c r="EWP22" s="452" t="s">
        <v>2691</v>
      </c>
      <c r="EWQ22" s="498" t="s">
        <v>1620</v>
      </c>
      <c r="EWR22" s="498">
        <v>1</v>
      </c>
      <c r="EWS22" s="499">
        <v>1500000</v>
      </c>
      <c r="EWT22" s="498">
        <v>1.58</v>
      </c>
      <c r="EWU22" s="498">
        <v>1</v>
      </c>
      <c r="EWV22" s="501">
        <v>6.75</v>
      </c>
      <c r="EWW22" s="486">
        <v>5.0999999999999996</v>
      </c>
      <c r="EWX22" s="452" t="s">
        <v>2691</v>
      </c>
      <c r="EWY22" s="498" t="s">
        <v>1620</v>
      </c>
      <c r="EWZ22" s="498">
        <v>1</v>
      </c>
      <c r="EXA22" s="499">
        <v>1500000</v>
      </c>
      <c r="EXB22" s="498">
        <v>1.58</v>
      </c>
      <c r="EXC22" s="498">
        <v>1</v>
      </c>
      <c r="EXD22" s="501">
        <v>6.75</v>
      </c>
      <c r="EXE22" s="486">
        <v>5.0999999999999996</v>
      </c>
      <c r="EXF22" s="452" t="s">
        <v>2691</v>
      </c>
      <c r="EXG22" s="498" t="s">
        <v>1620</v>
      </c>
      <c r="EXH22" s="498">
        <v>1</v>
      </c>
      <c r="EXI22" s="499">
        <v>1500000</v>
      </c>
      <c r="EXJ22" s="498">
        <v>1.58</v>
      </c>
      <c r="EXK22" s="498">
        <v>1</v>
      </c>
      <c r="EXL22" s="501">
        <v>6.75</v>
      </c>
      <c r="EXM22" s="486">
        <v>5.0999999999999996</v>
      </c>
      <c r="EXN22" s="452" t="s">
        <v>2691</v>
      </c>
      <c r="EXO22" s="498" t="s">
        <v>1620</v>
      </c>
      <c r="EXP22" s="498">
        <v>1</v>
      </c>
      <c r="EXQ22" s="499">
        <v>1500000</v>
      </c>
      <c r="EXR22" s="498">
        <v>1.58</v>
      </c>
      <c r="EXS22" s="498">
        <v>1</v>
      </c>
      <c r="EXT22" s="501">
        <v>6.75</v>
      </c>
      <c r="EXU22" s="486">
        <v>5.0999999999999996</v>
      </c>
      <c r="EXV22" s="452" t="s">
        <v>2691</v>
      </c>
      <c r="EXW22" s="498" t="s">
        <v>1620</v>
      </c>
      <c r="EXX22" s="498">
        <v>1</v>
      </c>
      <c r="EXY22" s="499">
        <v>1500000</v>
      </c>
      <c r="EXZ22" s="498">
        <v>1.58</v>
      </c>
      <c r="EYA22" s="498">
        <v>1</v>
      </c>
      <c r="EYB22" s="501">
        <v>6.75</v>
      </c>
      <c r="EYC22" s="486">
        <v>5.0999999999999996</v>
      </c>
      <c r="EYD22" s="452" t="s">
        <v>2691</v>
      </c>
      <c r="EYE22" s="498" t="s">
        <v>1620</v>
      </c>
      <c r="EYF22" s="498">
        <v>1</v>
      </c>
      <c r="EYG22" s="499">
        <v>1500000</v>
      </c>
      <c r="EYH22" s="498">
        <v>1.58</v>
      </c>
      <c r="EYI22" s="498">
        <v>1</v>
      </c>
      <c r="EYJ22" s="501">
        <v>6.75</v>
      </c>
      <c r="EYK22" s="486">
        <v>5.0999999999999996</v>
      </c>
      <c r="EYL22" s="452" t="s">
        <v>2691</v>
      </c>
      <c r="EYM22" s="498" t="s">
        <v>1620</v>
      </c>
      <c r="EYN22" s="498">
        <v>1</v>
      </c>
      <c r="EYO22" s="499">
        <v>1500000</v>
      </c>
      <c r="EYP22" s="498">
        <v>1.58</v>
      </c>
      <c r="EYQ22" s="498">
        <v>1</v>
      </c>
      <c r="EYR22" s="501">
        <v>6.75</v>
      </c>
      <c r="EYS22" s="486">
        <v>5.0999999999999996</v>
      </c>
      <c r="EYT22" s="452" t="s">
        <v>2691</v>
      </c>
      <c r="EYU22" s="498" t="s">
        <v>1620</v>
      </c>
      <c r="EYV22" s="498">
        <v>1</v>
      </c>
      <c r="EYW22" s="499">
        <v>1500000</v>
      </c>
      <c r="EYX22" s="498">
        <v>1.58</v>
      </c>
      <c r="EYY22" s="498">
        <v>1</v>
      </c>
      <c r="EYZ22" s="501">
        <v>6.75</v>
      </c>
      <c r="EZA22" s="486">
        <v>5.0999999999999996</v>
      </c>
      <c r="EZB22" s="452" t="s">
        <v>2691</v>
      </c>
      <c r="EZC22" s="498" t="s">
        <v>1620</v>
      </c>
      <c r="EZD22" s="498">
        <v>1</v>
      </c>
      <c r="EZE22" s="499">
        <v>1500000</v>
      </c>
      <c r="EZF22" s="498">
        <v>1.58</v>
      </c>
      <c r="EZG22" s="498">
        <v>1</v>
      </c>
      <c r="EZH22" s="501">
        <v>6.75</v>
      </c>
      <c r="EZI22" s="486">
        <v>5.0999999999999996</v>
      </c>
      <c r="EZJ22" s="452" t="s">
        <v>2691</v>
      </c>
      <c r="EZK22" s="498" t="s">
        <v>1620</v>
      </c>
      <c r="EZL22" s="498">
        <v>1</v>
      </c>
      <c r="EZM22" s="499">
        <v>1500000</v>
      </c>
      <c r="EZN22" s="498">
        <v>1.58</v>
      </c>
      <c r="EZO22" s="498">
        <v>1</v>
      </c>
      <c r="EZP22" s="501">
        <v>6.75</v>
      </c>
      <c r="EZQ22" s="486">
        <v>5.0999999999999996</v>
      </c>
      <c r="EZR22" s="452" t="s">
        <v>2691</v>
      </c>
      <c r="EZS22" s="498" t="s">
        <v>1620</v>
      </c>
      <c r="EZT22" s="498">
        <v>1</v>
      </c>
      <c r="EZU22" s="499">
        <v>1500000</v>
      </c>
      <c r="EZV22" s="498">
        <v>1.58</v>
      </c>
      <c r="EZW22" s="498">
        <v>1</v>
      </c>
      <c r="EZX22" s="501">
        <v>6.75</v>
      </c>
      <c r="EZY22" s="486">
        <v>5.0999999999999996</v>
      </c>
      <c r="EZZ22" s="452" t="s">
        <v>2691</v>
      </c>
      <c r="FAA22" s="498" t="s">
        <v>1620</v>
      </c>
      <c r="FAB22" s="498">
        <v>1</v>
      </c>
      <c r="FAC22" s="499">
        <v>1500000</v>
      </c>
      <c r="FAD22" s="498">
        <v>1.58</v>
      </c>
      <c r="FAE22" s="498">
        <v>1</v>
      </c>
      <c r="FAF22" s="501">
        <v>6.75</v>
      </c>
      <c r="FAG22" s="486">
        <v>5.0999999999999996</v>
      </c>
      <c r="FAH22" s="452" t="s">
        <v>2691</v>
      </c>
      <c r="FAI22" s="498" t="s">
        <v>1620</v>
      </c>
      <c r="FAJ22" s="498">
        <v>1</v>
      </c>
      <c r="FAK22" s="499">
        <v>1500000</v>
      </c>
      <c r="FAL22" s="498">
        <v>1.58</v>
      </c>
      <c r="FAM22" s="498">
        <v>1</v>
      </c>
      <c r="FAN22" s="501">
        <v>6.75</v>
      </c>
      <c r="FAO22" s="486">
        <v>5.0999999999999996</v>
      </c>
      <c r="FAP22" s="452" t="s">
        <v>2691</v>
      </c>
      <c r="FAQ22" s="498" t="s">
        <v>1620</v>
      </c>
      <c r="FAR22" s="498">
        <v>1</v>
      </c>
      <c r="FAS22" s="499">
        <v>1500000</v>
      </c>
      <c r="FAT22" s="498">
        <v>1.58</v>
      </c>
      <c r="FAU22" s="498">
        <v>1</v>
      </c>
      <c r="FAV22" s="501">
        <v>6.75</v>
      </c>
      <c r="FAW22" s="486">
        <v>5.0999999999999996</v>
      </c>
      <c r="FAX22" s="452" t="s">
        <v>2691</v>
      </c>
      <c r="FAY22" s="498" t="s">
        <v>1620</v>
      </c>
      <c r="FAZ22" s="498">
        <v>1</v>
      </c>
      <c r="FBA22" s="499">
        <v>1500000</v>
      </c>
      <c r="FBB22" s="498">
        <v>1.58</v>
      </c>
      <c r="FBC22" s="498">
        <v>1</v>
      </c>
      <c r="FBD22" s="501">
        <v>6.75</v>
      </c>
      <c r="FBE22" s="486">
        <v>5.0999999999999996</v>
      </c>
      <c r="FBF22" s="452" t="s">
        <v>2691</v>
      </c>
      <c r="FBG22" s="498" t="s">
        <v>1620</v>
      </c>
      <c r="FBH22" s="498">
        <v>1</v>
      </c>
      <c r="FBI22" s="499">
        <v>1500000</v>
      </c>
      <c r="FBJ22" s="498">
        <v>1.58</v>
      </c>
      <c r="FBK22" s="498">
        <v>1</v>
      </c>
      <c r="FBL22" s="501">
        <v>6.75</v>
      </c>
      <c r="FBM22" s="486">
        <v>5.0999999999999996</v>
      </c>
      <c r="FBN22" s="452" t="s">
        <v>2691</v>
      </c>
      <c r="FBO22" s="498" t="s">
        <v>1620</v>
      </c>
      <c r="FBP22" s="498">
        <v>1</v>
      </c>
      <c r="FBQ22" s="499">
        <v>1500000</v>
      </c>
      <c r="FBR22" s="498">
        <v>1.58</v>
      </c>
      <c r="FBS22" s="498">
        <v>1</v>
      </c>
      <c r="FBT22" s="501">
        <v>6.75</v>
      </c>
      <c r="FBU22" s="486">
        <v>5.0999999999999996</v>
      </c>
      <c r="FBV22" s="452" t="s">
        <v>2691</v>
      </c>
      <c r="FBW22" s="498" t="s">
        <v>1620</v>
      </c>
      <c r="FBX22" s="498">
        <v>1</v>
      </c>
      <c r="FBY22" s="499">
        <v>1500000</v>
      </c>
      <c r="FBZ22" s="498">
        <v>1.58</v>
      </c>
      <c r="FCA22" s="498">
        <v>1</v>
      </c>
      <c r="FCB22" s="501">
        <v>6.75</v>
      </c>
      <c r="FCC22" s="486">
        <v>5.0999999999999996</v>
      </c>
      <c r="FCD22" s="452" t="s">
        <v>2691</v>
      </c>
      <c r="FCE22" s="498" t="s">
        <v>1620</v>
      </c>
      <c r="FCF22" s="498">
        <v>1</v>
      </c>
      <c r="FCG22" s="499">
        <v>1500000</v>
      </c>
      <c r="FCH22" s="498">
        <v>1.58</v>
      </c>
      <c r="FCI22" s="498">
        <v>1</v>
      </c>
      <c r="FCJ22" s="501">
        <v>6.75</v>
      </c>
      <c r="FCK22" s="486">
        <v>5.0999999999999996</v>
      </c>
      <c r="FCL22" s="452" t="s">
        <v>2691</v>
      </c>
      <c r="FCM22" s="498" t="s">
        <v>1620</v>
      </c>
      <c r="FCN22" s="498">
        <v>1</v>
      </c>
      <c r="FCO22" s="499">
        <v>1500000</v>
      </c>
      <c r="FCP22" s="498">
        <v>1.58</v>
      </c>
      <c r="FCQ22" s="498">
        <v>1</v>
      </c>
      <c r="FCR22" s="501">
        <v>6.75</v>
      </c>
      <c r="FCS22" s="486">
        <v>5.0999999999999996</v>
      </c>
      <c r="FCT22" s="452" t="s">
        <v>2691</v>
      </c>
      <c r="FCU22" s="498" t="s">
        <v>1620</v>
      </c>
      <c r="FCV22" s="498">
        <v>1</v>
      </c>
      <c r="FCW22" s="499">
        <v>1500000</v>
      </c>
      <c r="FCX22" s="498">
        <v>1.58</v>
      </c>
      <c r="FCY22" s="498">
        <v>1</v>
      </c>
      <c r="FCZ22" s="501">
        <v>6.75</v>
      </c>
      <c r="FDA22" s="486">
        <v>5.0999999999999996</v>
      </c>
      <c r="FDB22" s="452" t="s">
        <v>2691</v>
      </c>
      <c r="FDC22" s="498" t="s">
        <v>1620</v>
      </c>
      <c r="FDD22" s="498">
        <v>1</v>
      </c>
      <c r="FDE22" s="499">
        <v>1500000</v>
      </c>
      <c r="FDF22" s="498">
        <v>1.58</v>
      </c>
      <c r="FDG22" s="498">
        <v>1</v>
      </c>
      <c r="FDH22" s="501">
        <v>6.75</v>
      </c>
      <c r="FDI22" s="486">
        <v>5.0999999999999996</v>
      </c>
      <c r="FDJ22" s="452" t="s">
        <v>2691</v>
      </c>
      <c r="FDK22" s="498" t="s">
        <v>1620</v>
      </c>
      <c r="FDL22" s="498">
        <v>1</v>
      </c>
      <c r="FDM22" s="499">
        <v>1500000</v>
      </c>
      <c r="FDN22" s="498">
        <v>1.58</v>
      </c>
      <c r="FDO22" s="498">
        <v>1</v>
      </c>
      <c r="FDP22" s="501">
        <v>6.75</v>
      </c>
      <c r="FDQ22" s="486">
        <v>5.0999999999999996</v>
      </c>
      <c r="FDR22" s="452" t="s">
        <v>2691</v>
      </c>
      <c r="FDS22" s="498" t="s">
        <v>1620</v>
      </c>
      <c r="FDT22" s="498">
        <v>1</v>
      </c>
      <c r="FDU22" s="499">
        <v>1500000</v>
      </c>
      <c r="FDV22" s="498">
        <v>1.58</v>
      </c>
      <c r="FDW22" s="498">
        <v>1</v>
      </c>
      <c r="FDX22" s="501">
        <v>6.75</v>
      </c>
      <c r="FDY22" s="486">
        <v>5.0999999999999996</v>
      </c>
      <c r="FDZ22" s="452" t="s">
        <v>2691</v>
      </c>
      <c r="FEA22" s="498" t="s">
        <v>1620</v>
      </c>
      <c r="FEB22" s="498">
        <v>1</v>
      </c>
      <c r="FEC22" s="499">
        <v>1500000</v>
      </c>
      <c r="FED22" s="498">
        <v>1.58</v>
      </c>
      <c r="FEE22" s="498">
        <v>1</v>
      </c>
      <c r="FEF22" s="501">
        <v>6.75</v>
      </c>
      <c r="FEG22" s="486">
        <v>5.0999999999999996</v>
      </c>
      <c r="FEH22" s="452" t="s">
        <v>2691</v>
      </c>
      <c r="FEI22" s="498" t="s">
        <v>1620</v>
      </c>
      <c r="FEJ22" s="498">
        <v>1</v>
      </c>
      <c r="FEK22" s="499">
        <v>1500000</v>
      </c>
      <c r="FEL22" s="498">
        <v>1.58</v>
      </c>
      <c r="FEM22" s="498">
        <v>1</v>
      </c>
      <c r="FEN22" s="501">
        <v>6.75</v>
      </c>
      <c r="FEO22" s="486">
        <v>5.0999999999999996</v>
      </c>
      <c r="FEP22" s="452" t="s">
        <v>2691</v>
      </c>
      <c r="FEQ22" s="498" t="s">
        <v>1620</v>
      </c>
      <c r="FER22" s="498">
        <v>1</v>
      </c>
      <c r="FES22" s="499">
        <v>1500000</v>
      </c>
      <c r="FET22" s="498">
        <v>1.58</v>
      </c>
      <c r="FEU22" s="498">
        <v>1</v>
      </c>
      <c r="FEV22" s="501">
        <v>6.75</v>
      </c>
      <c r="FEW22" s="486">
        <v>5.0999999999999996</v>
      </c>
      <c r="FEX22" s="452" t="s">
        <v>2691</v>
      </c>
      <c r="FEY22" s="498" t="s">
        <v>1620</v>
      </c>
      <c r="FEZ22" s="498">
        <v>1</v>
      </c>
      <c r="FFA22" s="499">
        <v>1500000</v>
      </c>
      <c r="FFB22" s="498">
        <v>1.58</v>
      </c>
      <c r="FFC22" s="498">
        <v>1</v>
      </c>
      <c r="FFD22" s="501">
        <v>6.75</v>
      </c>
      <c r="FFE22" s="486">
        <v>5.0999999999999996</v>
      </c>
      <c r="FFF22" s="452" t="s">
        <v>2691</v>
      </c>
      <c r="FFG22" s="498" t="s">
        <v>1620</v>
      </c>
      <c r="FFH22" s="498">
        <v>1</v>
      </c>
      <c r="FFI22" s="499">
        <v>1500000</v>
      </c>
      <c r="FFJ22" s="498">
        <v>1.58</v>
      </c>
      <c r="FFK22" s="498">
        <v>1</v>
      </c>
      <c r="FFL22" s="501">
        <v>6.75</v>
      </c>
      <c r="FFM22" s="486">
        <v>5.0999999999999996</v>
      </c>
      <c r="FFN22" s="452" t="s">
        <v>2691</v>
      </c>
      <c r="FFO22" s="498" t="s">
        <v>1620</v>
      </c>
      <c r="FFP22" s="498">
        <v>1</v>
      </c>
      <c r="FFQ22" s="499">
        <v>1500000</v>
      </c>
      <c r="FFR22" s="498">
        <v>1.58</v>
      </c>
      <c r="FFS22" s="498">
        <v>1</v>
      </c>
      <c r="FFT22" s="501">
        <v>6.75</v>
      </c>
      <c r="FFU22" s="486">
        <v>5.0999999999999996</v>
      </c>
      <c r="FFV22" s="452" t="s">
        <v>2691</v>
      </c>
      <c r="FFW22" s="498" t="s">
        <v>1620</v>
      </c>
      <c r="FFX22" s="498">
        <v>1</v>
      </c>
      <c r="FFY22" s="499">
        <v>1500000</v>
      </c>
      <c r="FFZ22" s="498">
        <v>1.58</v>
      </c>
      <c r="FGA22" s="498">
        <v>1</v>
      </c>
      <c r="FGB22" s="501">
        <v>6.75</v>
      </c>
      <c r="FGC22" s="486">
        <v>5.0999999999999996</v>
      </c>
      <c r="FGD22" s="452" t="s">
        <v>2691</v>
      </c>
      <c r="FGE22" s="498" t="s">
        <v>1620</v>
      </c>
      <c r="FGF22" s="498">
        <v>1</v>
      </c>
      <c r="FGG22" s="499">
        <v>1500000</v>
      </c>
      <c r="FGH22" s="498">
        <v>1.58</v>
      </c>
      <c r="FGI22" s="498">
        <v>1</v>
      </c>
      <c r="FGJ22" s="501">
        <v>6.75</v>
      </c>
      <c r="FGK22" s="486">
        <v>5.0999999999999996</v>
      </c>
      <c r="FGL22" s="452" t="s">
        <v>2691</v>
      </c>
      <c r="FGM22" s="498" t="s">
        <v>1620</v>
      </c>
      <c r="FGN22" s="498">
        <v>1</v>
      </c>
      <c r="FGO22" s="499">
        <v>1500000</v>
      </c>
      <c r="FGP22" s="498">
        <v>1.58</v>
      </c>
      <c r="FGQ22" s="498">
        <v>1</v>
      </c>
      <c r="FGR22" s="501">
        <v>6.75</v>
      </c>
      <c r="FGS22" s="486">
        <v>5.0999999999999996</v>
      </c>
      <c r="FGT22" s="452" t="s">
        <v>2691</v>
      </c>
      <c r="FGU22" s="498" t="s">
        <v>1620</v>
      </c>
      <c r="FGV22" s="498">
        <v>1</v>
      </c>
      <c r="FGW22" s="499">
        <v>1500000</v>
      </c>
      <c r="FGX22" s="498">
        <v>1.58</v>
      </c>
      <c r="FGY22" s="498">
        <v>1</v>
      </c>
      <c r="FGZ22" s="501">
        <v>6.75</v>
      </c>
      <c r="FHA22" s="486">
        <v>5.0999999999999996</v>
      </c>
      <c r="FHB22" s="452" t="s">
        <v>2691</v>
      </c>
      <c r="FHC22" s="498" t="s">
        <v>1620</v>
      </c>
      <c r="FHD22" s="498">
        <v>1</v>
      </c>
      <c r="FHE22" s="499">
        <v>1500000</v>
      </c>
      <c r="FHF22" s="498">
        <v>1.58</v>
      </c>
      <c r="FHG22" s="498">
        <v>1</v>
      </c>
      <c r="FHH22" s="501">
        <v>6.75</v>
      </c>
      <c r="FHI22" s="486">
        <v>5.0999999999999996</v>
      </c>
      <c r="FHJ22" s="452" t="s">
        <v>2691</v>
      </c>
      <c r="FHK22" s="498" t="s">
        <v>1620</v>
      </c>
      <c r="FHL22" s="498">
        <v>1</v>
      </c>
      <c r="FHM22" s="499">
        <v>1500000</v>
      </c>
      <c r="FHN22" s="498">
        <v>1.58</v>
      </c>
      <c r="FHO22" s="498">
        <v>1</v>
      </c>
      <c r="FHP22" s="501">
        <v>6.75</v>
      </c>
      <c r="FHQ22" s="486">
        <v>5.0999999999999996</v>
      </c>
      <c r="FHR22" s="452" t="s">
        <v>2691</v>
      </c>
      <c r="FHS22" s="498" t="s">
        <v>1620</v>
      </c>
      <c r="FHT22" s="498">
        <v>1</v>
      </c>
      <c r="FHU22" s="499">
        <v>1500000</v>
      </c>
      <c r="FHV22" s="498">
        <v>1.58</v>
      </c>
      <c r="FHW22" s="498">
        <v>1</v>
      </c>
      <c r="FHX22" s="501">
        <v>6.75</v>
      </c>
      <c r="FHY22" s="486">
        <v>5.0999999999999996</v>
      </c>
      <c r="FHZ22" s="452" t="s">
        <v>2691</v>
      </c>
      <c r="FIA22" s="498" t="s">
        <v>1620</v>
      </c>
      <c r="FIB22" s="498">
        <v>1</v>
      </c>
      <c r="FIC22" s="499">
        <v>1500000</v>
      </c>
      <c r="FID22" s="498">
        <v>1.58</v>
      </c>
      <c r="FIE22" s="498">
        <v>1</v>
      </c>
      <c r="FIF22" s="501">
        <v>6.75</v>
      </c>
      <c r="FIG22" s="486">
        <v>5.0999999999999996</v>
      </c>
      <c r="FIH22" s="452" t="s">
        <v>2691</v>
      </c>
      <c r="FII22" s="498" t="s">
        <v>1620</v>
      </c>
      <c r="FIJ22" s="498">
        <v>1</v>
      </c>
      <c r="FIK22" s="499">
        <v>1500000</v>
      </c>
      <c r="FIL22" s="498">
        <v>1.58</v>
      </c>
      <c r="FIM22" s="498">
        <v>1</v>
      </c>
      <c r="FIN22" s="501">
        <v>6.75</v>
      </c>
      <c r="FIO22" s="486">
        <v>5.0999999999999996</v>
      </c>
      <c r="FIP22" s="452" t="s">
        <v>2691</v>
      </c>
      <c r="FIQ22" s="498" t="s">
        <v>1620</v>
      </c>
      <c r="FIR22" s="498">
        <v>1</v>
      </c>
      <c r="FIS22" s="499">
        <v>1500000</v>
      </c>
      <c r="FIT22" s="498">
        <v>1.58</v>
      </c>
      <c r="FIU22" s="498">
        <v>1</v>
      </c>
      <c r="FIV22" s="501">
        <v>6.75</v>
      </c>
      <c r="FIW22" s="486">
        <v>5.0999999999999996</v>
      </c>
      <c r="FIX22" s="452" t="s">
        <v>2691</v>
      </c>
      <c r="FIY22" s="498" t="s">
        <v>1620</v>
      </c>
      <c r="FIZ22" s="498">
        <v>1</v>
      </c>
      <c r="FJA22" s="499">
        <v>1500000</v>
      </c>
      <c r="FJB22" s="498">
        <v>1.58</v>
      </c>
      <c r="FJC22" s="498">
        <v>1</v>
      </c>
      <c r="FJD22" s="501">
        <v>6.75</v>
      </c>
      <c r="FJE22" s="486">
        <v>5.0999999999999996</v>
      </c>
      <c r="FJF22" s="452" t="s">
        <v>2691</v>
      </c>
      <c r="FJG22" s="498" t="s">
        <v>1620</v>
      </c>
      <c r="FJH22" s="498">
        <v>1</v>
      </c>
      <c r="FJI22" s="499">
        <v>1500000</v>
      </c>
      <c r="FJJ22" s="498">
        <v>1.58</v>
      </c>
      <c r="FJK22" s="498">
        <v>1</v>
      </c>
      <c r="FJL22" s="501">
        <v>6.75</v>
      </c>
      <c r="FJM22" s="486">
        <v>5.0999999999999996</v>
      </c>
      <c r="FJN22" s="452" t="s">
        <v>2691</v>
      </c>
      <c r="FJO22" s="498" t="s">
        <v>1620</v>
      </c>
      <c r="FJP22" s="498">
        <v>1</v>
      </c>
      <c r="FJQ22" s="499">
        <v>1500000</v>
      </c>
      <c r="FJR22" s="498">
        <v>1.58</v>
      </c>
      <c r="FJS22" s="498">
        <v>1</v>
      </c>
      <c r="FJT22" s="501">
        <v>6.75</v>
      </c>
      <c r="FJU22" s="486">
        <v>5.0999999999999996</v>
      </c>
      <c r="FJV22" s="452" t="s">
        <v>2691</v>
      </c>
      <c r="FJW22" s="498" t="s">
        <v>1620</v>
      </c>
      <c r="FJX22" s="498">
        <v>1</v>
      </c>
      <c r="FJY22" s="499">
        <v>1500000</v>
      </c>
      <c r="FJZ22" s="498">
        <v>1.58</v>
      </c>
      <c r="FKA22" s="498">
        <v>1</v>
      </c>
      <c r="FKB22" s="501">
        <v>6.75</v>
      </c>
      <c r="FKC22" s="486">
        <v>5.0999999999999996</v>
      </c>
      <c r="FKD22" s="452" t="s">
        <v>2691</v>
      </c>
      <c r="FKE22" s="498" t="s">
        <v>1620</v>
      </c>
      <c r="FKF22" s="498">
        <v>1</v>
      </c>
      <c r="FKG22" s="499">
        <v>1500000</v>
      </c>
      <c r="FKH22" s="498">
        <v>1.58</v>
      </c>
      <c r="FKI22" s="498">
        <v>1</v>
      </c>
      <c r="FKJ22" s="501">
        <v>6.75</v>
      </c>
      <c r="FKK22" s="486">
        <v>5.0999999999999996</v>
      </c>
      <c r="FKL22" s="452" t="s">
        <v>2691</v>
      </c>
      <c r="FKM22" s="498" t="s">
        <v>1620</v>
      </c>
      <c r="FKN22" s="498">
        <v>1</v>
      </c>
      <c r="FKO22" s="499">
        <v>1500000</v>
      </c>
      <c r="FKP22" s="498">
        <v>1.58</v>
      </c>
      <c r="FKQ22" s="498">
        <v>1</v>
      </c>
      <c r="FKR22" s="501">
        <v>6.75</v>
      </c>
      <c r="FKS22" s="486">
        <v>5.0999999999999996</v>
      </c>
      <c r="FKT22" s="452" t="s">
        <v>2691</v>
      </c>
      <c r="FKU22" s="498" t="s">
        <v>1620</v>
      </c>
      <c r="FKV22" s="498">
        <v>1</v>
      </c>
      <c r="FKW22" s="499">
        <v>1500000</v>
      </c>
      <c r="FKX22" s="498">
        <v>1.58</v>
      </c>
      <c r="FKY22" s="498">
        <v>1</v>
      </c>
      <c r="FKZ22" s="501">
        <v>6.75</v>
      </c>
      <c r="FLA22" s="486">
        <v>5.0999999999999996</v>
      </c>
      <c r="FLB22" s="452" t="s">
        <v>2691</v>
      </c>
      <c r="FLC22" s="498" t="s">
        <v>1620</v>
      </c>
      <c r="FLD22" s="498">
        <v>1</v>
      </c>
      <c r="FLE22" s="499">
        <v>1500000</v>
      </c>
      <c r="FLF22" s="498">
        <v>1.58</v>
      </c>
      <c r="FLG22" s="498">
        <v>1</v>
      </c>
      <c r="FLH22" s="501">
        <v>6.75</v>
      </c>
      <c r="FLI22" s="486">
        <v>5.0999999999999996</v>
      </c>
      <c r="FLJ22" s="452" t="s">
        <v>2691</v>
      </c>
      <c r="FLK22" s="498" t="s">
        <v>1620</v>
      </c>
      <c r="FLL22" s="498">
        <v>1</v>
      </c>
      <c r="FLM22" s="499">
        <v>1500000</v>
      </c>
      <c r="FLN22" s="498">
        <v>1.58</v>
      </c>
      <c r="FLO22" s="498">
        <v>1</v>
      </c>
      <c r="FLP22" s="501">
        <v>6.75</v>
      </c>
      <c r="FLQ22" s="486">
        <v>5.0999999999999996</v>
      </c>
      <c r="FLR22" s="452" t="s">
        <v>2691</v>
      </c>
      <c r="FLS22" s="498" t="s">
        <v>1620</v>
      </c>
      <c r="FLT22" s="498">
        <v>1</v>
      </c>
      <c r="FLU22" s="499">
        <v>1500000</v>
      </c>
      <c r="FLV22" s="498">
        <v>1.58</v>
      </c>
      <c r="FLW22" s="498">
        <v>1</v>
      </c>
      <c r="FLX22" s="501">
        <v>6.75</v>
      </c>
      <c r="FLY22" s="486">
        <v>5.0999999999999996</v>
      </c>
      <c r="FLZ22" s="452" t="s">
        <v>2691</v>
      </c>
      <c r="FMA22" s="498" t="s">
        <v>1620</v>
      </c>
      <c r="FMB22" s="498">
        <v>1</v>
      </c>
      <c r="FMC22" s="499">
        <v>1500000</v>
      </c>
      <c r="FMD22" s="498">
        <v>1.58</v>
      </c>
      <c r="FME22" s="498">
        <v>1</v>
      </c>
      <c r="FMF22" s="501">
        <v>6.75</v>
      </c>
      <c r="FMG22" s="486">
        <v>5.0999999999999996</v>
      </c>
      <c r="FMH22" s="452" t="s">
        <v>2691</v>
      </c>
      <c r="FMI22" s="498" t="s">
        <v>1620</v>
      </c>
      <c r="FMJ22" s="498">
        <v>1</v>
      </c>
      <c r="FMK22" s="499">
        <v>1500000</v>
      </c>
      <c r="FML22" s="498">
        <v>1.58</v>
      </c>
      <c r="FMM22" s="498">
        <v>1</v>
      </c>
      <c r="FMN22" s="501">
        <v>6.75</v>
      </c>
      <c r="FMO22" s="486">
        <v>5.0999999999999996</v>
      </c>
      <c r="FMP22" s="452" t="s">
        <v>2691</v>
      </c>
      <c r="FMQ22" s="498" t="s">
        <v>1620</v>
      </c>
      <c r="FMR22" s="498">
        <v>1</v>
      </c>
      <c r="FMS22" s="499">
        <v>1500000</v>
      </c>
      <c r="FMT22" s="498">
        <v>1.58</v>
      </c>
      <c r="FMU22" s="498">
        <v>1</v>
      </c>
      <c r="FMV22" s="501">
        <v>6.75</v>
      </c>
      <c r="FMW22" s="486">
        <v>5.0999999999999996</v>
      </c>
      <c r="FMX22" s="452" t="s">
        <v>2691</v>
      </c>
      <c r="FMY22" s="498" t="s">
        <v>1620</v>
      </c>
      <c r="FMZ22" s="498">
        <v>1</v>
      </c>
      <c r="FNA22" s="499">
        <v>1500000</v>
      </c>
      <c r="FNB22" s="498">
        <v>1.58</v>
      </c>
      <c r="FNC22" s="498">
        <v>1</v>
      </c>
      <c r="FND22" s="501">
        <v>6.75</v>
      </c>
      <c r="FNE22" s="486">
        <v>5.0999999999999996</v>
      </c>
      <c r="FNF22" s="452" t="s">
        <v>2691</v>
      </c>
      <c r="FNG22" s="498" t="s">
        <v>1620</v>
      </c>
      <c r="FNH22" s="498">
        <v>1</v>
      </c>
      <c r="FNI22" s="499">
        <v>1500000</v>
      </c>
      <c r="FNJ22" s="498">
        <v>1.58</v>
      </c>
      <c r="FNK22" s="498">
        <v>1</v>
      </c>
      <c r="FNL22" s="501">
        <v>6.75</v>
      </c>
      <c r="FNM22" s="486">
        <v>5.0999999999999996</v>
      </c>
      <c r="FNN22" s="452" t="s">
        <v>2691</v>
      </c>
      <c r="FNO22" s="498" t="s">
        <v>1620</v>
      </c>
      <c r="FNP22" s="498">
        <v>1</v>
      </c>
      <c r="FNQ22" s="499">
        <v>1500000</v>
      </c>
      <c r="FNR22" s="498">
        <v>1.58</v>
      </c>
      <c r="FNS22" s="498">
        <v>1</v>
      </c>
      <c r="FNT22" s="501">
        <v>6.75</v>
      </c>
      <c r="FNU22" s="486">
        <v>5.0999999999999996</v>
      </c>
      <c r="FNV22" s="452" t="s">
        <v>2691</v>
      </c>
      <c r="FNW22" s="498" t="s">
        <v>1620</v>
      </c>
      <c r="FNX22" s="498">
        <v>1</v>
      </c>
      <c r="FNY22" s="499">
        <v>1500000</v>
      </c>
      <c r="FNZ22" s="498">
        <v>1.58</v>
      </c>
      <c r="FOA22" s="498">
        <v>1</v>
      </c>
      <c r="FOB22" s="501">
        <v>6.75</v>
      </c>
      <c r="FOC22" s="486">
        <v>5.0999999999999996</v>
      </c>
      <c r="FOD22" s="452" t="s">
        <v>2691</v>
      </c>
      <c r="FOE22" s="498" t="s">
        <v>1620</v>
      </c>
      <c r="FOF22" s="498">
        <v>1</v>
      </c>
      <c r="FOG22" s="499">
        <v>1500000</v>
      </c>
      <c r="FOH22" s="498">
        <v>1.58</v>
      </c>
      <c r="FOI22" s="498">
        <v>1</v>
      </c>
      <c r="FOJ22" s="501">
        <v>6.75</v>
      </c>
      <c r="FOK22" s="486">
        <v>5.0999999999999996</v>
      </c>
      <c r="FOL22" s="452" t="s">
        <v>2691</v>
      </c>
      <c r="FOM22" s="498" t="s">
        <v>1620</v>
      </c>
      <c r="FON22" s="498">
        <v>1</v>
      </c>
      <c r="FOO22" s="499">
        <v>1500000</v>
      </c>
      <c r="FOP22" s="498">
        <v>1.58</v>
      </c>
      <c r="FOQ22" s="498">
        <v>1</v>
      </c>
      <c r="FOR22" s="501">
        <v>6.75</v>
      </c>
      <c r="FOS22" s="486">
        <v>5.0999999999999996</v>
      </c>
      <c r="FOT22" s="452" t="s">
        <v>2691</v>
      </c>
      <c r="FOU22" s="498" t="s">
        <v>1620</v>
      </c>
      <c r="FOV22" s="498">
        <v>1</v>
      </c>
      <c r="FOW22" s="499">
        <v>1500000</v>
      </c>
      <c r="FOX22" s="498">
        <v>1.58</v>
      </c>
      <c r="FOY22" s="498">
        <v>1</v>
      </c>
      <c r="FOZ22" s="501">
        <v>6.75</v>
      </c>
      <c r="FPA22" s="486">
        <v>5.0999999999999996</v>
      </c>
      <c r="FPB22" s="452" t="s">
        <v>2691</v>
      </c>
      <c r="FPC22" s="498" t="s">
        <v>1620</v>
      </c>
      <c r="FPD22" s="498">
        <v>1</v>
      </c>
      <c r="FPE22" s="499">
        <v>1500000</v>
      </c>
      <c r="FPF22" s="498">
        <v>1.58</v>
      </c>
      <c r="FPG22" s="498">
        <v>1</v>
      </c>
      <c r="FPH22" s="501">
        <v>6.75</v>
      </c>
      <c r="FPI22" s="486">
        <v>5.0999999999999996</v>
      </c>
      <c r="FPJ22" s="452" t="s">
        <v>2691</v>
      </c>
      <c r="FPK22" s="498" t="s">
        <v>1620</v>
      </c>
      <c r="FPL22" s="498">
        <v>1</v>
      </c>
      <c r="FPM22" s="499">
        <v>1500000</v>
      </c>
      <c r="FPN22" s="498">
        <v>1.58</v>
      </c>
      <c r="FPO22" s="498">
        <v>1</v>
      </c>
      <c r="FPP22" s="501">
        <v>6.75</v>
      </c>
      <c r="FPQ22" s="486">
        <v>5.0999999999999996</v>
      </c>
      <c r="FPR22" s="452" t="s">
        <v>2691</v>
      </c>
      <c r="FPS22" s="498" t="s">
        <v>1620</v>
      </c>
      <c r="FPT22" s="498">
        <v>1</v>
      </c>
      <c r="FPU22" s="499">
        <v>1500000</v>
      </c>
      <c r="FPV22" s="498">
        <v>1.58</v>
      </c>
      <c r="FPW22" s="498">
        <v>1</v>
      </c>
      <c r="FPX22" s="501">
        <v>6.75</v>
      </c>
      <c r="FPY22" s="486">
        <v>5.0999999999999996</v>
      </c>
      <c r="FPZ22" s="452" t="s">
        <v>2691</v>
      </c>
      <c r="FQA22" s="498" t="s">
        <v>1620</v>
      </c>
      <c r="FQB22" s="498">
        <v>1</v>
      </c>
      <c r="FQC22" s="499">
        <v>1500000</v>
      </c>
      <c r="FQD22" s="498">
        <v>1.58</v>
      </c>
      <c r="FQE22" s="498">
        <v>1</v>
      </c>
      <c r="FQF22" s="501">
        <v>6.75</v>
      </c>
      <c r="FQG22" s="486">
        <v>5.0999999999999996</v>
      </c>
      <c r="FQH22" s="452" t="s">
        <v>2691</v>
      </c>
      <c r="FQI22" s="498" t="s">
        <v>1620</v>
      </c>
      <c r="FQJ22" s="498">
        <v>1</v>
      </c>
      <c r="FQK22" s="499">
        <v>1500000</v>
      </c>
      <c r="FQL22" s="498">
        <v>1.58</v>
      </c>
      <c r="FQM22" s="498">
        <v>1</v>
      </c>
      <c r="FQN22" s="501">
        <v>6.75</v>
      </c>
      <c r="FQO22" s="486">
        <v>5.0999999999999996</v>
      </c>
      <c r="FQP22" s="452" t="s">
        <v>2691</v>
      </c>
      <c r="FQQ22" s="498" t="s">
        <v>1620</v>
      </c>
      <c r="FQR22" s="498">
        <v>1</v>
      </c>
      <c r="FQS22" s="499">
        <v>1500000</v>
      </c>
      <c r="FQT22" s="498">
        <v>1.58</v>
      </c>
      <c r="FQU22" s="498">
        <v>1</v>
      </c>
      <c r="FQV22" s="501">
        <v>6.75</v>
      </c>
      <c r="FQW22" s="486">
        <v>5.0999999999999996</v>
      </c>
      <c r="FQX22" s="452" t="s">
        <v>2691</v>
      </c>
      <c r="FQY22" s="498" t="s">
        <v>1620</v>
      </c>
      <c r="FQZ22" s="498">
        <v>1</v>
      </c>
      <c r="FRA22" s="499">
        <v>1500000</v>
      </c>
      <c r="FRB22" s="498">
        <v>1.58</v>
      </c>
      <c r="FRC22" s="498">
        <v>1</v>
      </c>
      <c r="FRD22" s="501">
        <v>6.75</v>
      </c>
      <c r="FRE22" s="486">
        <v>5.0999999999999996</v>
      </c>
      <c r="FRF22" s="452" t="s">
        <v>2691</v>
      </c>
      <c r="FRG22" s="498" t="s">
        <v>1620</v>
      </c>
      <c r="FRH22" s="498">
        <v>1</v>
      </c>
      <c r="FRI22" s="499">
        <v>1500000</v>
      </c>
      <c r="FRJ22" s="498">
        <v>1.58</v>
      </c>
      <c r="FRK22" s="498">
        <v>1</v>
      </c>
      <c r="FRL22" s="501">
        <v>6.75</v>
      </c>
      <c r="FRM22" s="486">
        <v>5.0999999999999996</v>
      </c>
      <c r="FRN22" s="452" t="s">
        <v>2691</v>
      </c>
      <c r="FRO22" s="498" t="s">
        <v>1620</v>
      </c>
      <c r="FRP22" s="498">
        <v>1</v>
      </c>
      <c r="FRQ22" s="499">
        <v>1500000</v>
      </c>
      <c r="FRR22" s="498">
        <v>1.58</v>
      </c>
      <c r="FRS22" s="498">
        <v>1</v>
      </c>
      <c r="FRT22" s="501">
        <v>6.75</v>
      </c>
      <c r="FRU22" s="486">
        <v>5.0999999999999996</v>
      </c>
      <c r="FRV22" s="452" t="s">
        <v>2691</v>
      </c>
      <c r="FRW22" s="498" t="s">
        <v>1620</v>
      </c>
      <c r="FRX22" s="498">
        <v>1</v>
      </c>
      <c r="FRY22" s="499">
        <v>1500000</v>
      </c>
      <c r="FRZ22" s="498">
        <v>1.58</v>
      </c>
      <c r="FSA22" s="498">
        <v>1</v>
      </c>
      <c r="FSB22" s="501">
        <v>6.75</v>
      </c>
      <c r="FSC22" s="486">
        <v>5.0999999999999996</v>
      </c>
      <c r="FSD22" s="452" t="s">
        <v>2691</v>
      </c>
      <c r="FSE22" s="498" t="s">
        <v>1620</v>
      </c>
      <c r="FSF22" s="498">
        <v>1</v>
      </c>
      <c r="FSG22" s="499">
        <v>1500000</v>
      </c>
      <c r="FSH22" s="498">
        <v>1.58</v>
      </c>
      <c r="FSI22" s="498">
        <v>1</v>
      </c>
      <c r="FSJ22" s="501">
        <v>6.75</v>
      </c>
      <c r="FSK22" s="486">
        <v>5.0999999999999996</v>
      </c>
      <c r="FSL22" s="452" t="s">
        <v>2691</v>
      </c>
      <c r="FSM22" s="498" t="s">
        <v>1620</v>
      </c>
      <c r="FSN22" s="498">
        <v>1</v>
      </c>
      <c r="FSO22" s="499">
        <v>1500000</v>
      </c>
      <c r="FSP22" s="498">
        <v>1.58</v>
      </c>
      <c r="FSQ22" s="498">
        <v>1</v>
      </c>
      <c r="FSR22" s="501">
        <v>6.75</v>
      </c>
      <c r="FSS22" s="486">
        <v>5.0999999999999996</v>
      </c>
      <c r="FST22" s="452" t="s">
        <v>2691</v>
      </c>
      <c r="FSU22" s="498" t="s">
        <v>1620</v>
      </c>
      <c r="FSV22" s="498">
        <v>1</v>
      </c>
      <c r="FSW22" s="499">
        <v>1500000</v>
      </c>
      <c r="FSX22" s="498">
        <v>1.58</v>
      </c>
      <c r="FSY22" s="498">
        <v>1</v>
      </c>
      <c r="FSZ22" s="501">
        <v>6.75</v>
      </c>
      <c r="FTA22" s="486">
        <v>5.0999999999999996</v>
      </c>
      <c r="FTB22" s="452" t="s">
        <v>2691</v>
      </c>
      <c r="FTC22" s="498" t="s">
        <v>1620</v>
      </c>
      <c r="FTD22" s="498">
        <v>1</v>
      </c>
      <c r="FTE22" s="499">
        <v>1500000</v>
      </c>
      <c r="FTF22" s="498">
        <v>1.58</v>
      </c>
      <c r="FTG22" s="498">
        <v>1</v>
      </c>
      <c r="FTH22" s="501">
        <v>6.75</v>
      </c>
      <c r="FTI22" s="486">
        <v>5.0999999999999996</v>
      </c>
      <c r="FTJ22" s="452" t="s">
        <v>2691</v>
      </c>
      <c r="FTK22" s="498" t="s">
        <v>1620</v>
      </c>
      <c r="FTL22" s="498">
        <v>1</v>
      </c>
      <c r="FTM22" s="499">
        <v>1500000</v>
      </c>
      <c r="FTN22" s="498">
        <v>1.58</v>
      </c>
      <c r="FTO22" s="498">
        <v>1</v>
      </c>
      <c r="FTP22" s="501">
        <v>6.75</v>
      </c>
      <c r="FTQ22" s="486">
        <v>5.0999999999999996</v>
      </c>
      <c r="FTR22" s="452" t="s">
        <v>2691</v>
      </c>
      <c r="FTS22" s="498" t="s">
        <v>1620</v>
      </c>
      <c r="FTT22" s="498">
        <v>1</v>
      </c>
      <c r="FTU22" s="499">
        <v>1500000</v>
      </c>
      <c r="FTV22" s="498">
        <v>1.58</v>
      </c>
      <c r="FTW22" s="498">
        <v>1</v>
      </c>
      <c r="FTX22" s="501">
        <v>6.75</v>
      </c>
      <c r="FTY22" s="486">
        <v>5.0999999999999996</v>
      </c>
      <c r="FTZ22" s="452" t="s">
        <v>2691</v>
      </c>
      <c r="FUA22" s="498" t="s">
        <v>1620</v>
      </c>
      <c r="FUB22" s="498">
        <v>1</v>
      </c>
      <c r="FUC22" s="499">
        <v>1500000</v>
      </c>
      <c r="FUD22" s="498">
        <v>1.58</v>
      </c>
      <c r="FUE22" s="498">
        <v>1</v>
      </c>
      <c r="FUF22" s="501">
        <v>6.75</v>
      </c>
      <c r="FUG22" s="486">
        <v>5.0999999999999996</v>
      </c>
      <c r="FUH22" s="452" t="s">
        <v>2691</v>
      </c>
      <c r="FUI22" s="498" t="s">
        <v>1620</v>
      </c>
      <c r="FUJ22" s="498">
        <v>1</v>
      </c>
      <c r="FUK22" s="499">
        <v>1500000</v>
      </c>
      <c r="FUL22" s="498">
        <v>1.58</v>
      </c>
      <c r="FUM22" s="498">
        <v>1</v>
      </c>
      <c r="FUN22" s="501">
        <v>6.75</v>
      </c>
      <c r="FUO22" s="486">
        <v>5.0999999999999996</v>
      </c>
      <c r="FUP22" s="452" t="s">
        <v>2691</v>
      </c>
      <c r="FUQ22" s="498" t="s">
        <v>1620</v>
      </c>
      <c r="FUR22" s="498">
        <v>1</v>
      </c>
      <c r="FUS22" s="499">
        <v>1500000</v>
      </c>
      <c r="FUT22" s="498">
        <v>1.58</v>
      </c>
      <c r="FUU22" s="498">
        <v>1</v>
      </c>
      <c r="FUV22" s="501">
        <v>6.75</v>
      </c>
      <c r="FUW22" s="486">
        <v>5.0999999999999996</v>
      </c>
      <c r="FUX22" s="452" t="s">
        <v>2691</v>
      </c>
      <c r="FUY22" s="498" t="s">
        <v>1620</v>
      </c>
      <c r="FUZ22" s="498">
        <v>1</v>
      </c>
      <c r="FVA22" s="499">
        <v>1500000</v>
      </c>
      <c r="FVB22" s="498">
        <v>1.58</v>
      </c>
      <c r="FVC22" s="498">
        <v>1</v>
      </c>
      <c r="FVD22" s="501">
        <v>6.75</v>
      </c>
      <c r="FVE22" s="486">
        <v>5.0999999999999996</v>
      </c>
      <c r="FVF22" s="452" t="s">
        <v>2691</v>
      </c>
      <c r="FVG22" s="498" t="s">
        <v>1620</v>
      </c>
      <c r="FVH22" s="498">
        <v>1</v>
      </c>
      <c r="FVI22" s="499">
        <v>1500000</v>
      </c>
      <c r="FVJ22" s="498">
        <v>1.58</v>
      </c>
      <c r="FVK22" s="498">
        <v>1</v>
      </c>
      <c r="FVL22" s="501">
        <v>6.75</v>
      </c>
      <c r="FVM22" s="486">
        <v>5.0999999999999996</v>
      </c>
      <c r="FVN22" s="452" t="s">
        <v>2691</v>
      </c>
      <c r="FVO22" s="498" t="s">
        <v>1620</v>
      </c>
      <c r="FVP22" s="498">
        <v>1</v>
      </c>
      <c r="FVQ22" s="499">
        <v>1500000</v>
      </c>
      <c r="FVR22" s="498">
        <v>1.58</v>
      </c>
      <c r="FVS22" s="498">
        <v>1</v>
      </c>
      <c r="FVT22" s="501">
        <v>6.75</v>
      </c>
      <c r="FVU22" s="486">
        <v>5.0999999999999996</v>
      </c>
      <c r="FVV22" s="452" t="s">
        <v>2691</v>
      </c>
      <c r="FVW22" s="498" t="s">
        <v>1620</v>
      </c>
      <c r="FVX22" s="498">
        <v>1</v>
      </c>
      <c r="FVY22" s="499">
        <v>1500000</v>
      </c>
      <c r="FVZ22" s="498">
        <v>1.58</v>
      </c>
      <c r="FWA22" s="498">
        <v>1</v>
      </c>
      <c r="FWB22" s="501">
        <v>6.75</v>
      </c>
      <c r="FWC22" s="486">
        <v>5.0999999999999996</v>
      </c>
      <c r="FWD22" s="452" t="s">
        <v>2691</v>
      </c>
      <c r="FWE22" s="498" t="s">
        <v>1620</v>
      </c>
      <c r="FWF22" s="498">
        <v>1</v>
      </c>
      <c r="FWG22" s="499">
        <v>1500000</v>
      </c>
      <c r="FWH22" s="498">
        <v>1.58</v>
      </c>
      <c r="FWI22" s="498">
        <v>1</v>
      </c>
      <c r="FWJ22" s="501">
        <v>6.75</v>
      </c>
      <c r="FWK22" s="486">
        <v>5.0999999999999996</v>
      </c>
      <c r="FWL22" s="452" t="s">
        <v>2691</v>
      </c>
      <c r="FWM22" s="498" t="s">
        <v>1620</v>
      </c>
      <c r="FWN22" s="498">
        <v>1</v>
      </c>
      <c r="FWO22" s="499">
        <v>1500000</v>
      </c>
      <c r="FWP22" s="498">
        <v>1.58</v>
      </c>
      <c r="FWQ22" s="498">
        <v>1</v>
      </c>
      <c r="FWR22" s="501">
        <v>6.75</v>
      </c>
      <c r="FWS22" s="486">
        <v>5.0999999999999996</v>
      </c>
      <c r="FWT22" s="452" t="s">
        <v>2691</v>
      </c>
      <c r="FWU22" s="498" t="s">
        <v>1620</v>
      </c>
      <c r="FWV22" s="498">
        <v>1</v>
      </c>
      <c r="FWW22" s="499">
        <v>1500000</v>
      </c>
      <c r="FWX22" s="498">
        <v>1.58</v>
      </c>
      <c r="FWY22" s="498">
        <v>1</v>
      </c>
      <c r="FWZ22" s="501">
        <v>6.75</v>
      </c>
      <c r="FXA22" s="486">
        <v>5.0999999999999996</v>
      </c>
      <c r="FXB22" s="452" t="s">
        <v>2691</v>
      </c>
      <c r="FXC22" s="498" t="s">
        <v>1620</v>
      </c>
      <c r="FXD22" s="498">
        <v>1</v>
      </c>
      <c r="FXE22" s="499">
        <v>1500000</v>
      </c>
      <c r="FXF22" s="498">
        <v>1.58</v>
      </c>
      <c r="FXG22" s="498">
        <v>1</v>
      </c>
      <c r="FXH22" s="501">
        <v>6.75</v>
      </c>
      <c r="FXI22" s="486">
        <v>5.0999999999999996</v>
      </c>
      <c r="FXJ22" s="452" t="s">
        <v>2691</v>
      </c>
      <c r="FXK22" s="498" t="s">
        <v>1620</v>
      </c>
      <c r="FXL22" s="498">
        <v>1</v>
      </c>
      <c r="FXM22" s="499">
        <v>1500000</v>
      </c>
      <c r="FXN22" s="498">
        <v>1.58</v>
      </c>
      <c r="FXO22" s="498">
        <v>1</v>
      </c>
      <c r="FXP22" s="501">
        <v>6.75</v>
      </c>
      <c r="FXQ22" s="486">
        <v>5.0999999999999996</v>
      </c>
      <c r="FXR22" s="452" t="s">
        <v>2691</v>
      </c>
      <c r="FXS22" s="498" t="s">
        <v>1620</v>
      </c>
      <c r="FXT22" s="498">
        <v>1</v>
      </c>
      <c r="FXU22" s="499">
        <v>1500000</v>
      </c>
      <c r="FXV22" s="498">
        <v>1.58</v>
      </c>
      <c r="FXW22" s="498">
        <v>1</v>
      </c>
      <c r="FXX22" s="501">
        <v>6.75</v>
      </c>
      <c r="FXY22" s="486">
        <v>5.0999999999999996</v>
      </c>
      <c r="FXZ22" s="452" t="s">
        <v>2691</v>
      </c>
      <c r="FYA22" s="498" t="s">
        <v>1620</v>
      </c>
      <c r="FYB22" s="498">
        <v>1</v>
      </c>
      <c r="FYC22" s="499">
        <v>1500000</v>
      </c>
      <c r="FYD22" s="498">
        <v>1.58</v>
      </c>
      <c r="FYE22" s="498">
        <v>1</v>
      </c>
      <c r="FYF22" s="501">
        <v>6.75</v>
      </c>
      <c r="FYG22" s="486">
        <v>5.0999999999999996</v>
      </c>
      <c r="FYH22" s="452" t="s">
        <v>2691</v>
      </c>
      <c r="FYI22" s="498" t="s">
        <v>1620</v>
      </c>
      <c r="FYJ22" s="498">
        <v>1</v>
      </c>
      <c r="FYK22" s="499">
        <v>1500000</v>
      </c>
      <c r="FYL22" s="498">
        <v>1.58</v>
      </c>
      <c r="FYM22" s="498">
        <v>1</v>
      </c>
      <c r="FYN22" s="501">
        <v>6.75</v>
      </c>
      <c r="FYO22" s="486">
        <v>5.0999999999999996</v>
      </c>
      <c r="FYP22" s="452" t="s">
        <v>2691</v>
      </c>
      <c r="FYQ22" s="498" t="s">
        <v>1620</v>
      </c>
      <c r="FYR22" s="498">
        <v>1</v>
      </c>
      <c r="FYS22" s="499">
        <v>1500000</v>
      </c>
      <c r="FYT22" s="498">
        <v>1.58</v>
      </c>
      <c r="FYU22" s="498">
        <v>1</v>
      </c>
      <c r="FYV22" s="501">
        <v>6.75</v>
      </c>
      <c r="FYW22" s="486">
        <v>5.0999999999999996</v>
      </c>
      <c r="FYX22" s="452" t="s">
        <v>2691</v>
      </c>
      <c r="FYY22" s="498" t="s">
        <v>1620</v>
      </c>
      <c r="FYZ22" s="498">
        <v>1</v>
      </c>
      <c r="FZA22" s="499">
        <v>1500000</v>
      </c>
      <c r="FZB22" s="498">
        <v>1.58</v>
      </c>
      <c r="FZC22" s="498">
        <v>1</v>
      </c>
      <c r="FZD22" s="501">
        <v>6.75</v>
      </c>
      <c r="FZE22" s="486">
        <v>5.0999999999999996</v>
      </c>
      <c r="FZF22" s="452" t="s">
        <v>2691</v>
      </c>
      <c r="FZG22" s="498" t="s">
        <v>1620</v>
      </c>
      <c r="FZH22" s="498">
        <v>1</v>
      </c>
      <c r="FZI22" s="499">
        <v>1500000</v>
      </c>
      <c r="FZJ22" s="498">
        <v>1.58</v>
      </c>
      <c r="FZK22" s="498">
        <v>1</v>
      </c>
      <c r="FZL22" s="501">
        <v>6.75</v>
      </c>
      <c r="FZM22" s="486">
        <v>5.0999999999999996</v>
      </c>
      <c r="FZN22" s="452" t="s">
        <v>2691</v>
      </c>
      <c r="FZO22" s="498" t="s">
        <v>1620</v>
      </c>
      <c r="FZP22" s="498">
        <v>1</v>
      </c>
      <c r="FZQ22" s="499">
        <v>1500000</v>
      </c>
      <c r="FZR22" s="498">
        <v>1.58</v>
      </c>
      <c r="FZS22" s="498">
        <v>1</v>
      </c>
      <c r="FZT22" s="501">
        <v>6.75</v>
      </c>
      <c r="FZU22" s="486">
        <v>5.0999999999999996</v>
      </c>
      <c r="FZV22" s="452" t="s">
        <v>2691</v>
      </c>
      <c r="FZW22" s="498" t="s">
        <v>1620</v>
      </c>
      <c r="FZX22" s="498">
        <v>1</v>
      </c>
      <c r="FZY22" s="499">
        <v>1500000</v>
      </c>
      <c r="FZZ22" s="498">
        <v>1.58</v>
      </c>
      <c r="GAA22" s="498">
        <v>1</v>
      </c>
      <c r="GAB22" s="501">
        <v>6.75</v>
      </c>
      <c r="GAC22" s="486">
        <v>5.0999999999999996</v>
      </c>
      <c r="GAD22" s="452" t="s">
        <v>2691</v>
      </c>
      <c r="GAE22" s="498" t="s">
        <v>1620</v>
      </c>
      <c r="GAF22" s="498">
        <v>1</v>
      </c>
      <c r="GAG22" s="499">
        <v>1500000</v>
      </c>
      <c r="GAH22" s="498">
        <v>1.58</v>
      </c>
      <c r="GAI22" s="498">
        <v>1</v>
      </c>
      <c r="GAJ22" s="501">
        <v>6.75</v>
      </c>
      <c r="GAK22" s="486">
        <v>5.0999999999999996</v>
      </c>
      <c r="GAL22" s="452" t="s">
        <v>2691</v>
      </c>
      <c r="GAM22" s="498" t="s">
        <v>1620</v>
      </c>
      <c r="GAN22" s="498">
        <v>1</v>
      </c>
      <c r="GAO22" s="499">
        <v>1500000</v>
      </c>
      <c r="GAP22" s="498">
        <v>1.58</v>
      </c>
      <c r="GAQ22" s="498">
        <v>1</v>
      </c>
      <c r="GAR22" s="501">
        <v>6.75</v>
      </c>
      <c r="GAS22" s="486">
        <v>5.0999999999999996</v>
      </c>
      <c r="GAT22" s="452" t="s">
        <v>2691</v>
      </c>
      <c r="GAU22" s="498" t="s">
        <v>1620</v>
      </c>
      <c r="GAV22" s="498">
        <v>1</v>
      </c>
      <c r="GAW22" s="499">
        <v>1500000</v>
      </c>
      <c r="GAX22" s="498">
        <v>1.58</v>
      </c>
      <c r="GAY22" s="498">
        <v>1</v>
      </c>
      <c r="GAZ22" s="501">
        <v>6.75</v>
      </c>
      <c r="GBA22" s="486">
        <v>5.0999999999999996</v>
      </c>
      <c r="GBB22" s="452" t="s">
        <v>2691</v>
      </c>
      <c r="GBC22" s="498" t="s">
        <v>1620</v>
      </c>
      <c r="GBD22" s="498">
        <v>1</v>
      </c>
      <c r="GBE22" s="499">
        <v>1500000</v>
      </c>
      <c r="GBF22" s="498">
        <v>1.58</v>
      </c>
      <c r="GBG22" s="498">
        <v>1</v>
      </c>
      <c r="GBH22" s="501">
        <v>6.75</v>
      </c>
      <c r="GBI22" s="486">
        <v>5.0999999999999996</v>
      </c>
      <c r="GBJ22" s="452" t="s">
        <v>2691</v>
      </c>
      <c r="GBK22" s="498" t="s">
        <v>1620</v>
      </c>
      <c r="GBL22" s="498">
        <v>1</v>
      </c>
      <c r="GBM22" s="499">
        <v>1500000</v>
      </c>
      <c r="GBN22" s="498">
        <v>1.58</v>
      </c>
      <c r="GBO22" s="498">
        <v>1</v>
      </c>
      <c r="GBP22" s="501">
        <v>6.75</v>
      </c>
      <c r="GBQ22" s="486">
        <v>5.0999999999999996</v>
      </c>
      <c r="GBR22" s="452" t="s">
        <v>2691</v>
      </c>
      <c r="GBS22" s="498" t="s">
        <v>1620</v>
      </c>
      <c r="GBT22" s="498">
        <v>1</v>
      </c>
      <c r="GBU22" s="499">
        <v>1500000</v>
      </c>
      <c r="GBV22" s="498">
        <v>1.58</v>
      </c>
      <c r="GBW22" s="498">
        <v>1</v>
      </c>
      <c r="GBX22" s="501">
        <v>6.75</v>
      </c>
      <c r="GBY22" s="486">
        <v>5.0999999999999996</v>
      </c>
      <c r="GBZ22" s="452" t="s">
        <v>2691</v>
      </c>
      <c r="GCA22" s="498" t="s">
        <v>1620</v>
      </c>
      <c r="GCB22" s="498">
        <v>1</v>
      </c>
      <c r="GCC22" s="499">
        <v>1500000</v>
      </c>
      <c r="GCD22" s="498">
        <v>1.58</v>
      </c>
      <c r="GCE22" s="498">
        <v>1</v>
      </c>
      <c r="GCF22" s="501">
        <v>6.75</v>
      </c>
      <c r="GCG22" s="486">
        <v>5.0999999999999996</v>
      </c>
      <c r="GCH22" s="452" t="s">
        <v>2691</v>
      </c>
      <c r="GCI22" s="498" t="s">
        <v>1620</v>
      </c>
      <c r="GCJ22" s="498">
        <v>1</v>
      </c>
      <c r="GCK22" s="499">
        <v>1500000</v>
      </c>
      <c r="GCL22" s="498">
        <v>1.58</v>
      </c>
      <c r="GCM22" s="498">
        <v>1</v>
      </c>
      <c r="GCN22" s="501">
        <v>6.75</v>
      </c>
      <c r="GCO22" s="486">
        <v>5.0999999999999996</v>
      </c>
      <c r="GCP22" s="452" t="s">
        <v>2691</v>
      </c>
      <c r="GCQ22" s="498" t="s">
        <v>1620</v>
      </c>
      <c r="GCR22" s="498">
        <v>1</v>
      </c>
      <c r="GCS22" s="499">
        <v>1500000</v>
      </c>
      <c r="GCT22" s="498">
        <v>1.58</v>
      </c>
      <c r="GCU22" s="498">
        <v>1</v>
      </c>
      <c r="GCV22" s="501">
        <v>6.75</v>
      </c>
      <c r="GCW22" s="486">
        <v>5.0999999999999996</v>
      </c>
      <c r="GCX22" s="452" t="s">
        <v>2691</v>
      </c>
      <c r="GCY22" s="498" t="s">
        <v>1620</v>
      </c>
      <c r="GCZ22" s="498">
        <v>1</v>
      </c>
      <c r="GDA22" s="499">
        <v>1500000</v>
      </c>
      <c r="GDB22" s="498">
        <v>1.58</v>
      </c>
      <c r="GDC22" s="498">
        <v>1</v>
      </c>
      <c r="GDD22" s="501">
        <v>6.75</v>
      </c>
      <c r="GDE22" s="486">
        <v>5.0999999999999996</v>
      </c>
      <c r="GDF22" s="452" t="s">
        <v>2691</v>
      </c>
      <c r="GDG22" s="498" t="s">
        <v>1620</v>
      </c>
      <c r="GDH22" s="498">
        <v>1</v>
      </c>
      <c r="GDI22" s="499">
        <v>1500000</v>
      </c>
      <c r="GDJ22" s="498">
        <v>1.58</v>
      </c>
      <c r="GDK22" s="498">
        <v>1</v>
      </c>
      <c r="GDL22" s="501">
        <v>6.75</v>
      </c>
      <c r="GDM22" s="486">
        <v>5.0999999999999996</v>
      </c>
      <c r="GDN22" s="452" t="s">
        <v>2691</v>
      </c>
      <c r="GDO22" s="498" t="s">
        <v>1620</v>
      </c>
      <c r="GDP22" s="498">
        <v>1</v>
      </c>
      <c r="GDQ22" s="499">
        <v>1500000</v>
      </c>
      <c r="GDR22" s="498">
        <v>1.58</v>
      </c>
      <c r="GDS22" s="498">
        <v>1</v>
      </c>
      <c r="GDT22" s="501">
        <v>6.75</v>
      </c>
      <c r="GDU22" s="486">
        <v>5.0999999999999996</v>
      </c>
      <c r="GDV22" s="452" t="s">
        <v>2691</v>
      </c>
      <c r="GDW22" s="498" t="s">
        <v>1620</v>
      </c>
      <c r="GDX22" s="498">
        <v>1</v>
      </c>
      <c r="GDY22" s="499">
        <v>1500000</v>
      </c>
      <c r="GDZ22" s="498">
        <v>1.58</v>
      </c>
      <c r="GEA22" s="498">
        <v>1</v>
      </c>
      <c r="GEB22" s="501">
        <v>6.75</v>
      </c>
      <c r="GEC22" s="486">
        <v>5.0999999999999996</v>
      </c>
      <c r="GED22" s="452" t="s">
        <v>2691</v>
      </c>
      <c r="GEE22" s="498" t="s">
        <v>1620</v>
      </c>
      <c r="GEF22" s="498">
        <v>1</v>
      </c>
      <c r="GEG22" s="499">
        <v>1500000</v>
      </c>
      <c r="GEH22" s="498">
        <v>1.58</v>
      </c>
      <c r="GEI22" s="498">
        <v>1</v>
      </c>
      <c r="GEJ22" s="501">
        <v>6.75</v>
      </c>
      <c r="GEK22" s="486">
        <v>5.0999999999999996</v>
      </c>
      <c r="GEL22" s="452" t="s">
        <v>2691</v>
      </c>
      <c r="GEM22" s="498" t="s">
        <v>1620</v>
      </c>
      <c r="GEN22" s="498">
        <v>1</v>
      </c>
      <c r="GEO22" s="499">
        <v>1500000</v>
      </c>
      <c r="GEP22" s="498">
        <v>1.58</v>
      </c>
      <c r="GEQ22" s="498">
        <v>1</v>
      </c>
      <c r="GER22" s="501">
        <v>6.75</v>
      </c>
      <c r="GES22" s="486">
        <v>5.0999999999999996</v>
      </c>
      <c r="GET22" s="452" t="s">
        <v>2691</v>
      </c>
      <c r="GEU22" s="498" t="s">
        <v>1620</v>
      </c>
      <c r="GEV22" s="498">
        <v>1</v>
      </c>
      <c r="GEW22" s="499">
        <v>1500000</v>
      </c>
      <c r="GEX22" s="498">
        <v>1.58</v>
      </c>
      <c r="GEY22" s="498">
        <v>1</v>
      </c>
      <c r="GEZ22" s="501">
        <v>6.75</v>
      </c>
      <c r="GFA22" s="486">
        <v>5.0999999999999996</v>
      </c>
      <c r="GFB22" s="452" t="s">
        <v>2691</v>
      </c>
      <c r="GFC22" s="498" t="s">
        <v>1620</v>
      </c>
      <c r="GFD22" s="498">
        <v>1</v>
      </c>
      <c r="GFE22" s="499">
        <v>1500000</v>
      </c>
      <c r="GFF22" s="498">
        <v>1.58</v>
      </c>
      <c r="GFG22" s="498">
        <v>1</v>
      </c>
      <c r="GFH22" s="501">
        <v>6.75</v>
      </c>
      <c r="GFI22" s="486">
        <v>5.0999999999999996</v>
      </c>
      <c r="GFJ22" s="452" t="s">
        <v>2691</v>
      </c>
      <c r="GFK22" s="498" t="s">
        <v>1620</v>
      </c>
      <c r="GFL22" s="498">
        <v>1</v>
      </c>
      <c r="GFM22" s="499">
        <v>1500000</v>
      </c>
      <c r="GFN22" s="498">
        <v>1.58</v>
      </c>
      <c r="GFO22" s="498">
        <v>1</v>
      </c>
      <c r="GFP22" s="501">
        <v>6.75</v>
      </c>
      <c r="GFQ22" s="486">
        <v>5.0999999999999996</v>
      </c>
      <c r="GFR22" s="452" t="s">
        <v>2691</v>
      </c>
      <c r="GFS22" s="498" t="s">
        <v>1620</v>
      </c>
      <c r="GFT22" s="498">
        <v>1</v>
      </c>
      <c r="GFU22" s="499">
        <v>1500000</v>
      </c>
      <c r="GFV22" s="498">
        <v>1.58</v>
      </c>
      <c r="GFW22" s="498">
        <v>1</v>
      </c>
      <c r="GFX22" s="501">
        <v>6.75</v>
      </c>
      <c r="GFY22" s="486">
        <v>5.0999999999999996</v>
      </c>
      <c r="GFZ22" s="452" t="s">
        <v>2691</v>
      </c>
      <c r="GGA22" s="498" t="s">
        <v>1620</v>
      </c>
      <c r="GGB22" s="498">
        <v>1</v>
      </c>
      <c r="GGC22" s="499">
        <v>1500000</v>
      </c>
      <c r="GGD22" s="498">
        <v>1.58</v>
      </c>
      <c r="GGE22" s="498">
        <v>1</v>
      </c>
      <c r="GGF22" s="501">
        <v>6.75</v>
      </c>
      <c r="GGG22" s="486">
        <v>5.0999999999999996</v>
      </c>
      <c r="GGH22" s="452" t="s">
        <v>2691</v>
      </c>
      <c r="GGI22" s="498" t="s">
        <v>1620</v>
      </c>
      <c r="GGJ22" s="498">
        <v>1</v>
      </c>
      <c r="GGK22" s="499">
        <v>1500000</v>
      </c>
      <c r="GGL22" s="498">
        <v>1.58</v>
      </c>
      <c r="GGM22" s="498">
        <v>1</v>
      </c>
      <c r="GGN22" s="501">
        <v>6.75</v>
      </c>
      <c r="GGO22" s="486">
        <v>5.0999999999999996</v>
      </c>
      <c r="GGP22" s="452" t="s">
        <v>2691</v>
      </c>
      <c r="GGQ22" s="498" t="s">
        <v>1620</v>
      </c>
      <c r="GGR22" s="498">
        <v>1</v>
      </c>
      <c r="GGS22" s="499">
        <v>1500000</v>
      </c>
      <c r="GGT22" s="498">
        <v>1.58</v>
      </c>
      <c r="GGU22" s="498">
        <v>1</v>
      </c>
      <c r="GGV22" s="501">
        <v>6.75</v>
      </c>
      <c r="GGW22" s="486">
        <v>5.0999999999999996</v>
      </c>
      <c r="GGX22" s="452" t="s">
        <v>2691</v>
      </c>
      <c r="GGY22" s="498" t="s">
        <v>1620</v>
      </c>
      <c r="GGZ22" s="498">
        <v>1</v>
      </c>
      <c r="GHA22" s="499">
        <v>1500000</v>
      </c>
      <c r="GHB22" s="498">
        <v>1.58</v>
      </c>
      <c r="GHC22" s="498">
        <v>1</v>
      </c>
      <c r="GHD22" s="501">
        <v>6.75</v>
      </c>
      <c r="GHE22" s="486">
        <v>5.0999999999999996</v>
      </c>
      <c r="GHF22" s="452" t="s">
        <v>2691</v>
      </c>
      <c r="GHG22" s="498" t="s">
        <v>1620</v>
      </c>
      <c r="GHH22" s="498">
        <v>1</v>
      </c>
      <c r="GHI22" s="499">
        <v>1500000</v>
      </c>
      <c r="GHJ22" s="498">
        <v>1.58</v>
      </c>
      <c r="GHK22" s="498">
        <v>1</v>
      </c>
      <c r="GHL22" s="501">
        <v>6.75</v>
      </c>
      <c r="GHM22" s="486">
        <v>5.0999999999999996</v>
      </c>
      <c r="GHN22" s="452" t="s">
        <v>2691</v>
      </c>
      <c r="GHO22" s="498" t="s">
        <v>1620</v>
      </c>
      <c r="GHP22" s="498">
        <v>1</v>
      </c>
      <c r="GHQ22" s="499">
        <v>1500000</v>
      </c>
      <c r="GHR22" s="498">
        <v>1.58</v>
      </c>
      <c r="GHS22" s="498">
        <v>1</v>
      </c>
      <c r="GHT22" s="501">
        <v>6.75</v>
      </c>
      <c r="GHU22" s="486">
        <v>5.0999999999999996</v>
      </c>
      <c r="GHV22" s="452" t="s">
        <v>2691</v>
      </c>
      <c r="GHW22" s="498" t="s">
        <v>1620</v>
      </c>
      <c r="GHX22" s="498">
        <v>1</v>
      </c>
      <c r="GHY22" s="499">
        <v>1500000</v>
      </c>
      <c r="GHZ22" s="498">
        <v>1.58</v>
      </c>
      <c r="GIA22" s="498">
        <v>1</v>
      </c>
      <c r="GIB22" s="501">
        <v>6.75</v>
      </c>
      <c r="GIC22" s="486">
        <v>5.0999999999999996</v>
      </c>
      <c r="GID22" s="452" t="s">
        <v>2691</v>
      </c>
      <c r="GIE22" s="498" t="s">
        <v>1620</v>
      </c>
      <c r="GIF22" s="498">
        <v>1</v>
      </c>
      <c r="GIG22" s="499">
        <v>1500000</v>
      </c>
      <c r="GIH22" s="498">
        <v>1.58</v>
      </c>
      <c r="GII22" s="498">
        <v>1</v>
      </c>
      <c r="GIJ22" s="501">
        <v>6.75</v>
      </c>
      <c r="GIK22" s="486">
        <v>5.0999999999999996</v>
      </c>
      <c r="GIL22" s="452" t="s">
        <v>2691</v>
      </c>
      <c r="GIM22" s="498" t="s">
        <v>1620</v>
      </c>
      <c r="GIN22" s="498">
        <v>1</v>
      </c>
      <c r="GIO22" s="499">
        <v>1500000</v>
      </c>
      <c r="GIP22" s="498">
        <v>1.58</v>
      </c>
      <c r="GIQ22" s="498">
        <v>1</v>
      </c>
      <c r="GIR22" s="501">
        <v>6.75</v>
      </c>
      <c r="GIS22" s="486">
        <v>5.0999999999999996</v>
      </c>
      <c r="GIT22" s="452" t="s">
        <v>2691</v>
      </c>
      <c r="GIU22" s="498" t="s">
        <v>1620</v>
      </c>
      <c r="GIV22" s="498">
        <v>1</v>
      </c>
      <c r="GIW22" s="499">
        <v>1500000</v>
      </c>
      <c r="GIX22" s="498">
        <v>1.58</v>
      </c>
      <c r="GIY22" s="498">
        <v>1</v>
      </c>
      <c r="GIZ22" s="501">
        <v>6.75</v>
      </c>
      <c r="GJA22" s="486">
        <v>5.0999999999999996</v>
      </c>
      <c r="GJB22" s="452" t="s">
        <v>2691</v>
      </c>
      <c r="GJC22" s="498" t="s">
        <v>1620</v>
      </c>
      <c r="GJD22" s="498">
        <v>1</v>
      </c>
      <c r="GJE22" s="499">
        <v>1500000</v>
      </c>
      <c r="GJF22" s="498">
        <v>1.58</v>
      </c>
      <c r="GJG22" s="498">
        <v>1</v>
      </c>
      <c r="GJH22" s="501">
        <v>6.75</v>
      </c>
      <c r="GJI22" s="486">
        <v>5.0999999999999996</v>
      </c>
      <c r="GJJ22" s="452" t="s">
        <v>2691</v>
      </c>
      <c r="GJK22" s="498" t="s">
        <v>1620</v>
      </c>
      <c r="GJL22" s="498">
        <v>1</v>
      </c>
      <c r="GJM22" s="499">
        <v>1500000</v>
      </c>
      <c r="GJN22" s="498">
        <v>1.58</v>
      </c>
      <c r="GJO22" s="498">
        <v>1</v>
      </c>
      <c r="GJP22" s="501">
        <v>6.75</v>
      </c>
      <c r="GJQ22" s="486">
        <v>5.0999999999999996</v>
      </c>
      <c r="GJR22" s="452" t="s">
        <v>2691</v>
      </c>
      <c r="GJS22" s="498" t="s">
        <v>1620</v>
      </c>
      <c r="GJT22" s="498">
        <v>1</v>
      </c>
      <c r="GJU22" s="499">
        <v>1500000</v>
      </c>
      <c r="GJV22" s="498">
        <v>1.58</v>
      </c>
      <c r="GJW22" s="498">
        <v>1</v>
      </c>
      <c r="GJX22" s="501">
        <v>6.75</v>
      </c>
      <c r="GJY22" s="486">
        <v>5.0999999999999996</v>
      </c>
      <c r="GJZ22" s="452" t="s">
        <v>2691</v>
      </c>
      <c r="GKA22" s="498" t="s">
        <v>1620</v>
      </c>
      <c r="GKB22" s="498">
        <v>1</v>
      </c>
      <c r="GKC22" s="499">
        <v>1500000</v>
      </c>
      <c r="GKD22" s="498">
        <v>1.58</v>
      </c>
      <c r="GKE22" s="498">
        <v>1</v>
      </c>
      <c r="GKF22" s="501">
        <v>6.75</v>
      </c>
      <c r="GKG22" s="486">
        <v>5.0999999999999996</v>
      </c>
      <c r="GKH22" s="452" t="s">
        <v>2691</v>
      </c>
      <c r="GKI22" s="498" t="s">
        <v>1620</v>
      </c>
      <c r="GKJ22" s="498">
        <v>1</v>
      </c>
      <c r="GKK22" s="499">
        <v>1500000</v>
      </c>
      <c r="GKL22" s="498">
        <v>1.58</v>
      </c>
      <c r="GKM22" s="498">
        <v>1</v>
      </c>
      <c r="GKN22" s="501">
        <v>6.75</v>
      </c>
      <c r="GKO22" s="486">
        <v>5.0999999999999996</v>
      </c>
      <c r="GKP22" s="452" t="s">
        <v>2691</v>
      </c>
      <c r="GKQ22" s="498" t="s">
        <v>1620</v>
      </c>
      <c r="GKR22" s="498">
        <v>1</v>
      </c>
      <c r="GKS22" s="499">
        <v>1500000</v>
      </c>
      <c r="GKT22" s="498">
        <v>1.58</v>
      </c>
      <c r="GKU22" s="498">
        <v>1</v>
      </c>
      <c r="GKV22" s="501">
        <v>6.75</v>
      </c>
      <c r="GKW22" s="486">
        <v>5.0999999999999996</v>
      </c>
      <c r="GKX22" s="452" t="s">
        <v>2691</v>
      </c>
      <c r="GKY22" s="498" t="s">
        <v>1620</v>
      </c>
      <c r="GKZ22" s="498">
        <v>1</v>
      </c>
      <c r="GLA22" s="499">
        <v>1500000</v>
      </c>
      <c r="GLB22" s="498">
        <v>1.58</v>
      </c>
      <c r="GLC22" s="498">
        <v>1</v>
      </c>
      <c r="GLD22" s="501">
        <v>6.75</v>
      </c>
      <c r="GLE22" s="486">
        <v>5.0999999999999996</v>
      </c>
      <c r="GLF22" s="452" t="s">
        <v>2691</v>
      </c>
      <c r="GLG22" s="498" t="s">
        <v>1620</v>
      </c>
      <c r="GLH22" s="498">
        <v>1</v>
      </c>
      <c r="GLI22" s="499">
        <v>1500000</v>
      </c>
      <c r="GLJ22" s="498">
        <v>1.58</v>
      </c>
      <c r="GLK22" s="498">
        <v>1</v>
      </c>
      <c r="GLL22" s="501">
        <v>6.75</v>
      </c>
      <c r="GLM22" s="486">
        <v>5.0999999999999996</v>
      </c>
      <c r="GLN22" s="452" t="s">
        <v>2691</v>
      </c>
      <c r="GLO22" s="498" t="s">
        <v>1620</v>
      </c>
      <c r="GLP22" s="498">
        <v>1</v>
      </c>
      <c r="GLQ22" s="499">
        <v>1500000</v>
      </c>
      <c r="GLR22" s="498">
        <v>1.58</v>
      </c>
      <c r="GLS22" s="498">
        <v>1</v>
      </c>
      <c r="GLT22" s="501">
        <v>6.75</v>
      </c>
      <c r="GLU22" s="486">
        <v>5.0999999999999996</v>
      </c>
      <c r="GLV22" s="452" t="s">
        <v>2691</v>
      </c>
      <c r="GLW22" s="498" t="s">
        <v>1620</v>
      </c>
      <c r="GLX22" s="498">
        <v>1</v>
      </c>
      <c r="GLY22" s="499">
        <v>1500000</v>
      </c>
      <c r="GLZ22" s="498">
        <v>1.58</v>
      </c>
      <c r="GMA22" s="498">
        <v>1</v>
      </c>
      <c r="GMB22" s="501">
        <v>6.75</v>
      </c>
      <c r="GMC22" s="486">
        <v>5.0999999999999996</v>
      </c>
      <c r="GMD22" s="452" t="s">
        <v>2691</v>
      </c>
      <c r="GME22" s="498" t="s">
        <v>1620</v>
      </c>
      <c r="GMF22" s="498">
        <v>1</v>
      </c>
      <c r="GMG22" s="499">
        <v>1500000</v>
      </c>
      <c r="GMH22" s="498">
        <v>1.58</v>
      </c>
      <c r="GMI22" s="498">
        <v>1</v>
      </c>
      <c r="GMJ22" s="501">
        <v>6.75</v>
      </c>
      <c r="GMK22" s="486">
        <v>5.0999999999999996</v>
      </c>
      <c r="GML22" s="452" t="s">
        <v>2691</v>
      </c>
      <c r="GMM22" s="498" t="s">
        <v>1620</v>
      </c>
      <c r="GMN22" s="498">
        <v>1</v>
      </c>
      <c r="GMO22" s="499">
        <v>1500000</v>
      </c>
      <c r="GMP22" s="498">
        <v>1.58</v>
      </c>
      <c r="GMQ22" s="498">
        <v>1</v>
      </c>
      <c r="GMR22" s="501">
        <v>6.75</v>
      </c>
      <c r="GMS22" s="486">
        <v>5.0999999999999996</v>
      </c>
      <c r="GMT22" s="452" t="s">
        <v>2691</v>
      </c>
      <c r="GMU22" s="498" t="s">
        <v>1620</v>
      </c>
      <c r="GMV22" s="498">
        <v>1</v>
      </c>
      <c r="GMW22" s="499">
        <v>1500000</v>
      </c>
      <c r="GMX22" s="498">
        <v>1.58</v>
      </c>
      <c r="GMY22" s="498">
        <v>1</v>
      </c>
      <c r="GMZ22" s="501">
        <v>6.75</v>
      </c>
      <c r="GNA22" s="486">
        <v>5.0999999999999996</v>
      </c>
      <c r="GNB22" s="452" t="s">
        <v>2691</v>
      </c>
      <c r="GNC22" s="498" t="s">
        <v>1620</v>
      </c>
      <c r="GND22" s="498">
        <v>1</v>
      </c>
      <c r="GNE22" s="499">
        <v>1500000</v>
      </c>
      <c r="GNF22" s="498">
        <v>1.58</v>
      </c>
      <c r="GNG22" s="498">
        <v>1</v>
      </c>
      <c r="GNH22" s="501">
        <v>6.75</v>
      </c>
      <c r="GNI22" s="486">
        <v>5.0999999999999996</v>
      </c>
      <c r="GNJ22" s="452" t="s">
        <v>2691</v>
      </c>
      <c r="GNK22" s="498" t="s">
        <v>1620</v>
      </c>
      <c r="GNL22" s="498">
        <v>1</v>
      </c>
      <c r="GNM22" s="499">
        <v>1500000</v>
      </c>
      <c r="GNN22" s="498">
        <v>1.58</v>
      </c>
      <c r="GNO22" s="498">
        <v>1</v>
      </c>
      <c r="GNP22" s="501">
        <v>6.75</v>
      </c>
      <c r="GNQ22" s="486">
        <v>5.0999999999999996</v>
      </c>
      <c r="GNR22" s="452" t="s">
        <v>2691</v>
      </c>
      <c r="GNS22" s="498" t="s">
        <v>1620</v>
      </c>
      <c r="GNT22" s="498">
        <v>1</v>
      </c>
      <c r="GNU22" s="499">
        <v>1500000</v>
      </c>
      <c r="GNV22" s="498">
        <v>1.58</v>
      </c>
      <c r="GNW22" s="498">
        <v>1</v>
      </c>
      <c r="GNX22" s="501">
        <v>6.75</v>
      </c>
      <c r="GNY22" s="486">
        <v>5.0999999999999996</v>
      </c>
      <c r="GNZ22" s="452" t="s">
        <v>2691</v>
      </c>
      <c r="GOA22" s="498" t="s">
        <v>1620</v>
      </c>
      <c r="GOB22" s="498">
        <v>1</v>
      </c>
      <c r="GOC22" s="499">
        <v>1500000</v>
      </c>
      <c r="GOD22" s="498">
        <v>1.58</v>
      </c>
      <c r="GOE22" s="498">
        <v>1</v>
      </c>
      <c r="GOF22" s="501">
        <v>6.75</v>
      </c>
      <c r="GOG22" s="486">
        <v>5.0999999999999996</v>
      </c>
      <c r="GOH22" s="452" t="s">
        <v>2691</v>
      </c>
      <c r="GOI22" s="498" t="s">
        <v>1620</v>
      </c>
      <c r="GOJ22" s="498">
        <v>1</v>
      </c>
      <c r="GOK22" s="499">
        <v>1500000</v>
      </c>
      <c r="GOL22" s="498">
        <v>1.58</v>
      </c>
      <c r="GOM22" s="498">
        <v>1</v>
      </c>
      <c r="GON22" s="501">
        <v>6.75</v>
      </c>
      <c r="GOO22" s="486">
        <v>5.0999999999999996</v>
      </c>
      <c r="GOP22" s="452" t="s">
        <v>2691</v>
      </c>
      <c r="GOQ22" s="498" t="s">
        <v>1620</v>
      </c>
      <c r="GOR22" s="498">
        <v>1</v>
      </c>
      <c r="GOS22" s="499">
        <v>1500000</v>
      </c>
      <c r="GOT22" s="498">
        <v>1.58</v>
      </c>
      <c r="GOU22" s="498">
        <v>1</v>
      </c>
      <c r="GOV22" s="501">
        <v>6.75</v>
      </c>
      <c r="GOW22" s="486">
        <v>5.0999999999999996</v>
      </c>
      <c r="GOX22" s="452" t="s">
        <v>2691</v>
      </c>
      <c r="GOY22" s="498" t="s">
        <v>1620</v>
      </c>
      <c r="GOZ22" s="498">
        <v>1</v>
      </c>
      <c r="GPA22" s="499">
        <v>1500000</v>
      </c>
      <c r="GPB22" s="498">
        <v>1.58</v>
      </c>
      <c r="GPC22" s="498">
        <v>1</v>
      </c>
      <c r="GPD22" s="501">
        <v>6.75</v>
      </c>
      <c r="GPE22" s="486">
        <v>5.0999999999999996</v>
      </c>
      <c r="GPF22" s="452" t="s">
        <v>2691</v>
      </c>
      <c r="GPG22" s="498" t="s">
        <v>1620</v>
      </c>
      <c r="GPH22" s="498">
        <v>1</v>
      </c>
      <c r="GPI22" s="499">
        <v>1500000</v>
      </c>
      <c r="GPJ22" s="498">
        <v>1.58</v>
      </c>
      <c r="GPK22" s="498">
        <v>1</v>
      </c>
      <c r="GPL22" s="501">
        <v>6.75</v>
      </c>
      <c r="GPM22" s="486">
        <v>5.0999999999999996</v>
      </c>
      <c r="GPN22" s="452" t="s">
        <v>2691</v>
      </c>
      <c r="GPO22" s="498" t="s">
        <v>1620</v>
      </c>
      <c r="GPP22" s="498">
        <v>1</v>
      </c>
      <c r="GPQ22" s="499">
        <v>1500000</v>
      </c>
      <c r="GPR22" s="498">
        <v>1.58</v>
      </c>
      <c r="GPS22" s="498">
        <v>1</v>
      </c>
      <c r="GPT22" s="501">
        <v>6.75</v>
      </c>
      <c r="GPU22" s="486">
        <v>5.0999999999999996</v>
      </c>
      <c r="GPV22" s="452" t="s">
        <v>2691</v>
      </c>
      <c r="GPW22" s="498" t="s">
        <v>1620</v>
      </c>
      <c r="GPX22" s="498">
        <v>1</v>
      </c>
      <c r="GPY22" s="499">
        <v>1500000</v>
      </c>
      <c r="GPZ22" s="498">
        <v>1.58</v>
      </c>
      <c r="GQA22" s="498">
        <v>1</v>
      </c>
      <c r="GQB22" s="501">
        <v>6.75</v>
      </c>
      <c r="GQC22" s="486">
        <v>5.0999999999999996</v>
      </c>
      <c r="GQD22" s="452" t="s">
        <v>2691</v>
      </c>
      <c r="GQE22" s="498" t="s">
        <v>1620</v>
      </c>
      <c r="GQF22" s="498">
        <v>1</v>
      </c>
      <c r="GQG22" s="499">
        <v>1500000</v>
      </c>
      <c r="GQH22" s="498">
        <v>1.58</v>
      </c>
      <c r="GQI22" s="498">
        <v>1</v>
      </c>
      <c r="GQJ22" s="501">
        <v>6.75</v>
      </c>
      <c r="GQK22" s="486">
        <v>5.0999999999999996</v>
      </c>
      <c r="GQL22" s="452" t="s">
        <v>2691</v>
      </c>
      <c r="GQM22" s="498" t="s">
        <v>1620</v>
      </c>
      <c r="GQN22" s="498">
        <v>1</v>
      </c>
      <c r="GQO22" s="499">
        <v>1500000</v>
      </c>
      <c r="GQP22" s="498">
        <v>1.58</v>
      </c>
      <c r="GQQ22" s="498">
        <v>1</v>
      </c>
      <c r="GQR22" s="501">
        <v>6.75</v>
      </c>
      <c r="GQS22" s="486">
        <v>5.0999999999999996</v>
      </c>
      <c r="GQT22" s="452" t="s">
        <v>2691</v>
      </c>
      <c r="GQU22" s="498" t="s">
        <v>1620</v>
      </c>
      <c r="GQV22" s="498">
        <v>1</v>
      </c>
      <c r="GQW22" s="499">
        <v>1500000</v>
      </c>
      <c r="GQX22" s="498">
        <v>1.58</v>
      </c>
      <c r="GQY22" s="498">
        <v>1</v>
      </c>
      <c r="GQZ22" s="501">
        <v>6.75</v>
      </c>
      <c r="GRA22" s="486">
        <v>5.0999999999999996</v>
      </c>
      <c r="GRB22" s="452" t="s">
        <v>2691</v>
      </c>
      <c r="GRC22" s="498" t="s">
        <v>1620</v>
      </c>
      <c r="GRD22" s="498">
        <v>1</v>
      </c>
      <c r="GRE22" s="499">
        <v>1500000</v>
      </c>
      <c r="GRF22" s="498">
        <v>1.58</v>
      </c>
      <c r="GRG22" s="498">
        <v>1</v>
      </c>
      <c r="GRH22" s="501">
        <v>6.75</v>
      </c>
      <c r="GRI22" s="486">
        <v>5.0999999999999996</v>
      </c>
      <c r="GRJ22" s="452" t="s">
        <v>2691</v>
      </c>
      <c r="GRK22" s="498" t="s">
        <v>1620</v>
      </c>
      <c r="GRL22" s="498">
        <v>1</v>
      </c>
      <c r="GRM22" s="499">
        <v>1500000</v>
      </c>
      <c r="GRN22" s="498">
        <v>1.58</v>
      </c>
      <c r="GRO22" s="498">
        <v>1</v>
      </c>
      <c r="GRP22" s="501">
        <v>6.75</v>
      </c>
      <c r="GRQ22" s="486">
        <v>5.0999999999999996</v>
      </c>
      <c r="GRR22" s="452" t="s">
        <v>2691</v>
      </c>
      <c r="GRS22" s="498" t="s">
        <v>1620</v>
      </c>
      <c r="GRT22" s="498">
        <v>1</v>
      </c>
      <c r="GRU22" s="499">
        <v>1500000</v>
      </c>
      <c r="GRV22" s="498">
        <v>1.58</v>
      </c>
      <c r="GRW22" s="498">
        <v>1</v>
      </c>
      <c r="GRX22" s="501">
        <v>6.75</v>
      </c>
      <c r="GRY22" s="486">
        <v>5.0999999999999996</v>
      </c>
      <c r="GRZ22" s="452" t="s">
        <v>2691</v>
      </c>
      <c r="GSA22" s="498" t="s">
        <v>1620</v>
      </c>
      <c r="GSB22" s="498">
        <v>1</v>
      </c>
      <c r="GSC22" s="499">
        <v>1500000</v>
      </c>
      <c r="GSD22" s="498">
        <v>1.58</v>
      </c>
      <c r="GSE22" s="498">
        <v>1</v>
      </c>
      <c r="GSF22" s="501">
        <v>6.75</v>
      </c>
      <c r="GSG22" s="486">
        <v>5.0999999999999996</v>
      </c>
      <c r="GSH22" s="452" t="s">
        <v>2691</v>
      </c>
      <c r="GSI22" s="498" t="s">
        <v>1620</v>
      </c>
      <c r="GSJ22" s="498">
        <v>1</v>
      </c>
      <c r="GSK22" s="499">
        <v>1500000</v>
      </c>
      <c r="GSL22" s="498">
        <v>1.58</v>
      </c>
      <c r="GSM22" s="498">
        <v>1</v>
      </c>
      <c r="GSN22" s="501">
        <v>6.75</v>
      </c>
      <c r="GSO22" s="486">
        <v>5.0999999999999996</v>
      </c>
      <c r="GSP22" s="452" t="s">
        <v>2691</v>
      </c>
      <c r="GSQ22" s="498" t="s">
        <v>1620</v>
      </c>
      <c r="GSR22" s="498">
        <v>1</v>
      </c>
      <c r="GSS22" s="499">
        <v>1500000</v>
      </c>
      <c r="GST22" s="498">
        <v>1.58</v>
      </c>
      <c r="GSU22" s="498">
        <v>1</v>
      </c>
      <c r="GSV22" s="501">
        <v>6.75</v>
      </c>
      <c r="GSW22" s="486">
        <v>5.0999999999999996</v>
      </c>
      <c r="GSX22" s="452" t="s">
        <v>2691</v>
      </c>
      <c r="GSY22" s="498" t="s">
        <v>1620</v>
      </c>
      <c r="GSZ22" s="498">
        <v>1</v>
      </c>
      <c r="GTA22" s="499">
        <v>1500000</v>
      </c>
      <c r="GTB22" s="498">
        <v>1.58</v>
      </c>
      <c r="GTC22" s="498">
        <v>1</v>
      </c>
      <c r="GTD22" s="501">
        <v>6.75</v>
      </c>
      <c r="GTE22" s="486">
        <v>5.0999999999999996</v>
      </c>
      <c r="GTF22" s="452" t="s">
        <v>2691</v>
      </c>
      <c r="GTG22" s="498" t="s">
        <v>1620</v>
      </c>
      <c r="GTH22" s="498">
        <v>1</v>
      </c>
      <c r="GTI22" s="499">
        <v>1500000</v>
      </c>
      <c r="GTJ22" s="498">
        <v>1.58</v>
      </c>
      <c r="GTK22" s="498">
        <v>1</v>
      </c>
      <c r="GTL22" s="501">
        <v>6.75</v>
      </c>
      <c r="GTM22" s="486">
        <v>5.0999999999999996</v>
      </c>
      <c r="GTN22" s="452" t="s">
        <v>2691</v>
      </c>
      <c r="GTO22" s="498" t="s">
        <v>1620</v>
      </c>
      <c r="GTP22" s="498">
        <v>1</v>
      </c>
      <c r="GTQ22" s="499">
        <v>1500000</v>
      </c>
      <c r="GTR22" s="498">
        <v>1.58</v>
      </c>
      <c r="GTS22" s="498">
        <v>1</v>
      </c>
      <c r="GTT22" s="501">
        <v>6.75</v>
      </c>
      <c r="GTU22" s="486">
        <v>5.0999999999999996</v>
      </c>
      <c r="GTV22" s="452" t="s">
        <v>2691</v>
      </c>
      <c r="GTW22" s="498" t="s">
        <v>1620</v>
      </c>
      <c r="GTX22" s="498">
        <v>1</v>
      </c>
      <c r="GTY22" s="499">
        <v>1500000</v>
      </c>
      <c r="GTZ22" s="498">
        <v>1.58</v>
      </c>
      <c r="GUA22" s="498">
        <v>1</v>
      </c>
      <c r="GUB22" s="501">
        <v>6.75</v>
      </c>
      <c r="GUC22" s="486">
        <v>5.0999999999999996</v>
      </c>
      <c r="GUD22" s="452" t="s">
        <v>2691</v>
      </c>
      <c r="GUE22" s="498" t="s">
        <v>1620</v>
      </c>
      <c r="GUF22" s="498">
        <v>1</v>
      </c>
      <c r="GUG22" s="499">
        <v>1500000</v>
      </c>
      <c r="GUH22" s="498">
        <v>1.58</v>
      </c>
      <c r="GUI22" s="498">
        <v>1</v>
      </c>
      <c r="GUJ22" s="501">
        <v>6.75</v>
      </c>
      <c r="GUK22" s="486">
        <v>5.0999999999999996</v>
      </c>
      <c r="GUL22" s="452" t="s">
        <v>2691</v>
      </c>
      <c r="GUM22" s="498" t="s">
        <v>1620</v>
      </c>
      <c r="GUN22" s="498">
        <v>1</v>
      </c>
      <c r="GUO22" s="499">
        <v>1500000</v>
      </c>
      <c r="GUP22" s="498">
        <v>1.58</v>
      </c>
      <c r="GUQ22" s="498">
        <v>1</v>
      </c>
      <c r="GUR22" s="501">
        <v>6.75</v>
      </c>
      <c r="GUS22" s="486">
        <v>5.0999999999999996</v>
      </c>
      <c r="GUT22" s="452" t="s">
        <v>2691</v>
      </c>
      <c r="GUU22" s="498" t="s">
        <v>1620</v>
      </c>
      <c r="GUV22" s="498">
        <v>1</v>
      </c>
      <c r="GUW22" s="499">
        <v>1500000</v>
      </c>
      <c r="GUX22" s="498">
        <v>1.58</v>
      </c>
      <c r="GUY22" s="498">
        <v>1</v>
      </c>
      <c r="GUZ22" s="501">
        <v>6.75</v>
      </c>
      <c r="GVA22" s="486">
        <v>5.0999999999999996</v>
      </c>
      <c r="GVB22" s="452" t="s">
        <v>2691</v>
      </c>
      <c r="GVC22" s="498" t="s">
        <v>1620</v>
      </c>
      <c r="GVD22" s="498">
        <v>1</v>
      </c>
      <c r="GVE22" s="499">
        <v>1500000</v>
      </c>
      <c r="GVF22" s="498">
        <v>1.58</v>
      </c>
      <c r="GVG22" s="498">
        <v>1</v>
      </c>
      <c r="GVH22" s="501">
        <v>6.75</v>
      </c>
      <c r="GVI22" s="486">
        <v>5.0999999999999996</v>
      </c>
      <c r="GVJ22" s="452" t="s">
        <v>2691</v>
      </c>
      <c r="GVK22" s="498" t="s">
        <v>1620</v>
      </c>
      <c r="GVL22" s="498">
        <v>1</v>
      </c>
      <c r="GVM22" s="499">
        <v>1500000</v>
      </c>
      <c r="GVN22" s="498">
        <v>1.58</v>
      </c>
      <c r="GVO22" s="498">
        <v>1</v>
      </c>
      <c r="GVP22" s="501">
        <v>6.75</v>
      </c>
      <c r="GVQ22" s="486">
        <v>5.0999999999999996</v>
      </c>
      <c r="GVR22" s="452" t="s">
        <v>2691</v>
      </c>
      <c r="GVS22" s="498" t="s">
        <v>1620</v>
      </c>
      <c r="GVT22" s="498">
        <v>1</v>
      </c>
      <c r="GVU22" s="499">
        <v>1500000</v>
      </c>
      <c r="GVV22" s="498">
        <v>1.58</v>
      </c>
      <c r="GVW22" s="498">
        <v>1</v>
      </c>
      <c r="GVX22" s="501">
        <v>6.75</v>
      </c>
      <c r="GVY22" s="486">
        <v>5.0999999999999996</v>
      </c>
      <c r="GVZ22" s="452" t="s">
        <v>2691</v>
      </c>
      <c r="GWA22" s="498" t="s">
        <v>1620</v>
      </c>
      <c r="GWB22" s="498">
        <v>1</v>
      </c>
      <c r="GWC22" s="499">
        <v>1500000</v>
      </c>
      <c r="GWD22" s="498">
        <v>1.58</v>
      </c>
      <c r="GWE22" s="498">
        <v>1</v>
      </c>
      <c r="GWF22" s="501">
        <v>6.75</v>
      </c>
      <c r="GWG22" s="486">
        <v>5.0999999999999996</v>
      </c>
      <c r="GWH22" s="452" t="s">
        <v>2691</v>
      </c>
      <c r="GWI22" s="498" t="s">
        <v>1620</v>
      </c>
      <c r="GWJ22" s="498">
        <v>1</v>
      </c>
      <c r="GWK22" s="499">
        <v>1500000</v>
      </c>
      <c r="GWL22" s="498">
        <v>1.58</v>
      </c>
      <c r="GWM22" s="498">
        <v>1</v>
      </c>
      <c r="GWN22" s="501">
        <v>6.75</v>
      </c>
      <c r="GWO22" s="486">
        <v>5.0999999999999996</v>
      </c>
      <c r="GWP22" s="452" t="s">
        <v>2691</v>
      </c>
      <c r="GWQ22" s="498" t="s">
        <v>1620</v>
      </c>
      <c r="GWR22" s="498">
        <v>1</v>
      </c>
      <c r="GWS22" s="499">
        <v>1500000</v>
      </c>
      <c r="GWT22" s="498">
        <v>1.58</v>
      </c>
      <c r="GWU22" s="498">
        <v>1</v>
      </c>
      <c r="GWV22" s="501">
        <v>6.75</v>
      </c>
      <c r="GWW22" s="486">
        <v>5.0999999999999996</v>
      </c>
      <c r="GWX22" s="452" t="s">
        <v>2691</v>
      </c>
      <c r="GWY22" s="498" t="s">
        <v>1620</v>
      </c>
      <c r="GWZ22" s="498">
        <v>1</v>
      </c>
      <c r="GXA22" s="499">
        <v>1500000</v>
      </c>
      <c r="GXB22" s="498">
        <v>1.58</v>
      </c>
      <c r="GXC22" s="498">
        <v>1</v>
      </c>
      <c r="GXD22" s="501">
        <v>6.75</v>
      </c>
      <c r="GXE22" s="486">
        <v>5.0999999999999996</v>
      </c>
      <c r="GXF22" s="452" t="s">
        <v>2691</v>
      </c>
      <c r="GXG22" s="498" t="s">
        <v>1620</v>
      </c>
      <c r="GXH22" s="498">
        <v>1</v>
      </c>
      <c r="GXI22" s="499">
        <v>1500000</v>
      </c>
      <c r="GXJ22" s="498">
        <v>1.58</v>
      </c>
      <c r="GXK22" s="498">
        <v>1</v>
      </c>
      <c r="GXL22" s="501">
        <v>6.75</v>
      </c>
      <c r="GXM22" s="486">
        <v>5.0999999999999996</v>
      </c>
      <c r="GXN22" s="452" t="s">
        <v>2691</v>
      </c>
      <c r="GXO22" s="498" t="s">
        <v>1620</v>
      </c>
      <c r="GXP22" s="498">
        <v>1</v>
      </c>
      <c r="GXQ22" s="499">
        <v>1500000</v>
      </c>
      <c r="GXR22" s="498">
        <v>1.58</v>
      </c>
      <c r="GXS22" s="498">
        <v>1</v>
      </c>
      <c r="GXT22" s="501">
        <v>6.75</v>
      </c>
      <c r="GXU22" s="486">
        <v>5.0999999999999996</v>
      </c>
      <c r="GXV22" s="452" t="s">
        <v>2691</v>
      </c>
      <c r="GXW22" s="498" t="s">
        <v>1620</v>
      </c>
      <c r="GXX22" s="498">
        <v>1</v>
      </c>
      <c r="GXY22" s="499">
        <v>1500000</v>
      </c>
      <c r="GXZ22" s="498">
        <v>1.58</v>
      </c>
      <c r="GYA22" s="498">
        <v>1</v>
      </c>
      <c r="GYB22" s="501">
        <v>6.75</v>
      </c>
      <c r="GYC22" s="486">
        <v>5.0999999999999996</v>
      </c>
      <c r="GYD22" s="452" t="s">
        <v>2691</v>
      </c>
      <c r="GYE22" s="498" t="s">
        <v>1620</v>
      </c>
      <c r="GYF22" s="498">
        <v>1</v>
      </c>
      <c r="GYG22" s="499">
        <v>1500000</v>
      </c>
      <c r="GYH22" s="498">
        <v>1.58</v>
      </c>
      <c r="GYI22" s="498">
        <v>1</v>
      </c>
      <c r="GYJ22" s="501">
        <v>6.75</v>
      </c>
      <c r="GYK22" s="486">
        <v>5.0999999999999996</v>
      </c>
      <c r="GYL22" s="452" t="s">
        <v>2691</v>
      </c>
      <c r="GYM22" s="498" t="s">
        <v>1620</v>
      </c>
      <c r="GYN22" s="498">
        <v>1</v>
      </c>
      <c r="GYO22" s="499">
        <v>1500000</v>
      </c>
      <c r="GYP22" s="498">
        <v>1.58</v>
      </c>
      <c r="GYQ22" s="498">
        <v>1</v>
      </c>
      <c r="GYR22" s="501">
        <v>6.75</v>
      </c>
      <c r="GYS22" s="486">
        <v>5.0999999999999996</v>
      </c>
      <c r="GYT22" s="452" t="s">
        <v>2691</v>
      </c>
      <c r="GYU22" s="498" t="s">
        <v>1620</v>
      </c>
      <c r="GYV22" s="498">
        <v>1</v>
      </c>
      <c r="GYW22" s="499">
        <v>1500000</v>
      </c>
      <c r="GYX22" s="498">
        <v>1.58</v>
      </c>
      <c r="GYY22" s="498">
        <v>1</v>
      </c>
      <c r="GYZ22" s="501">
        <v>6.75</v>
      </c>
      <c r="GZA22" s="486">
        <v>5.0999999999999996</v>
      </c>
      <c r="GZB22" s="452" t="s">
        <v>2691</v>
      </c>
      <c r="GZC22" s="498" t="s">
        <v>1620</v>
      </c>
      <c r="GZD22" s="498">
        <v>1</v>
      </c>
      <c r="GZE22" s="499">
        <v>1500000</v>
      </c>
      <c r="GZF22" s="498">
        <v>1.58</v>
      </c>
      <c r="GZG22" s="498">
        <v>1</v>
      </c>
      <c r="GZH22" s="501">
        <v>6.75</v>
      </c>
      <c r="GZI22" s="486">
        <v>5.0999999999999996</v>
      </c>
      <c r="GZJ22" s="452" t="s">
        <v>2691</v>
      </c>
      <c r="GZK22" s="498" t="s">
        <v>1620</v>
      </c>
      <c r="GZL22" s="498">
        <v>1</v>
      </c>
      <c r="GZM22" s="499">
        <v>1500000</v>
      </c>
      <c r="GZN22" s="498">
        <v>1.58</v>
      </c>
      <c r="GZO22" s="498">
        <v>1</v>
      </c>
      <c r="GZP22" s="501">
        <v>6.75</v>
      </c>
      <c r="GZQ22" s="486">
        <v>5.0999999999999996</v>
      </c>
      <c r="GZR22" s="452" t="s">
        <v>2691</v>
      </c>
      <c r="GZS22" s="498" t="s">
        <v>1620</v>
      </c>
      <c r="GZT22" s="498">
        <v>1</v>
      </c>
      <c r="GZU22" s="499">
        <v>1500000</v>
      </c>
      <c r="GZV22" s="498">
        <v>1.58</v>
      </c>
      <c r="GZW22" s="498">
        <v>1</v>
      </c>
      <c r="GZX22" s="501">
        <v>6.75</v>
      </c>
      <c r="GZY22" s="486">
        <v>5.0999999999999996</v>
      </c>
      <c r="GZZ22" s="452" t="s">
        <v>2691</v>
      </c>
      <c r="HAA22" s="498" t="s">
        <v>1620</v>
      </c>
      <c r="HAB22" s="498">
        <v>1</v>
      </c>
      <c r="HAC22" s="499">
        <v>1500000</v>
      </c>
      <c r="HAD22" s="498">
        <v>1.58</v>
      </c>
      <c r="HAE22" s="498">
        <v>1</v>
      </c>
      <c r="HAF22" s="501">
        <v>6.75</v>
      </c>
      <c r="HAG22" s="486">
        <v>5.0999999999999996</v>
      </c>
      <c r="HAH22" s="452" t="s">
        <v>2691</v>
      </c>
      <c r="HAI22" s="498" t="s">
        <v>1620</v>
      </c>
      <c r="HAJ22" s="498">
        <v>1</v>
      </c>
      <c r="HAK22" s="499">
        <v>1500000</v>
      </c>
      <c r="HAL22" s="498">
        <v>1.58</v>
      </c>
      <c r="HAM22" s="498">
        <v>1</v>
      </c>
      <c r="HAN22" s="501">
        <v>6.75</v>
      </c>
      <c r="HAO22" s="486">
        <v>5.0999999999999996</v>
      </c>
      <c r="HAP22" s="452" t="s">
        <v>2691</v>
      </c>
      <c r="HAQ22" s="498" t="s">
        <v>1620</v>
      </c>
      <c r="HAR22" s="498">
        <v>1</v>
      </c>
      <c r="HAS22" s="499">
        <v>1500000</v>
      </c>
      <c r="HAT22" s="498">
        <v>1.58</v>
      </c>
      <c r="HAU22" s="498">
        <v>1</v>
      </c>
      <c r="HAV22" s="501">
        <v>6.75</v>
      </c>
      <c r="HAW22" s="486">
        <v>5.0999999999999996</v>
      </c>
      <c r="HAX22" s="452" t="s">
        <v>2691</v>
      </c>
      <c r="HAY22" s="498" t="s">
        <v>1620</v>
      </c>
      <c r="HAZ22" s="498">
        <v>1</v>
      </c>
      <c r="HBA22" s="499">
        <v>1500000</v>
      </c>
      <c r="HBB22" s="498">
        <v>1.58</v>
      </c>
      <c r="HBC22" s="498">
        <v>1</v>
      </c>
      <c r="HBD22" s="501">
        <v>6.75</v>
      </c>
      <c r="HBE22" s="486">
        <v>5.0999999999999996</v>
      </c>
      <c r="HBF22" s="452" t="s">
        <v>2691</v>
      </c>
      <c r="HBG22" s="498" t="s">
        <v>1620</v>
      </c>
      <c r="HBH22" s="498">
        <v>1</v>
      </c>
      <c r="HBI22" s="499">
        <v>1500000</v>
      </c>
      <c r="HBJ22" s="498">
        <v>1.58</v>
      </c>
      <c r="HBK22" s="498">
        <v>1</v>
      </c>
      <c r="HBL22" s="501">
        <v>6.75</v>
      </c>
      <c r="HBM22" s="486">
        <v>5.0999999999999996</v>
      </c>
      <c r="HBN22" s="452" t="s">
        <v>2691</v>
      </c>
      <c r="HBO22" s="498" t="s">
        <v>1620</v>
      </c>
      <c r="HBP22" s="498">
        <v>1</v>
      </c>
      <c r="HBQ22" s="499">
        <v>1500000</v>
      </c>
      <c r="HBR22" s="498">
        <v>1.58</v>
      </c>
      <c r="HBS22" s="498">
        <v>1</v>
      </c>
      <c r="HBT22" s="501">
        <v>6.75</v>
      </c>
      <c r="HBU22" s="486">
        <v>5.0999999999999996</v>
      </c>
      <c r="HBV22" s="452" t="s">
        <v>2691</v>
      </c>
      <c r="HBW22" s="498" t="s">
        <v>1620</v>
      </c>
      <c r="HBX22" s="498">
        <v>1</v>
      </c>
      <c r="HBY22" s="499">
        <v>1500000</v>
      </c>
      <c r="HBZ22" s="498">
        <v>1.58</v>
      </c>
      <c r="HCA22" s="498">
        <v>1</v>
      </c>
      <c r="HCB22" s="501">
        <v>6.75</v>
      </c>
      <c r="HCC22" s="486">
        <v>5.0999999999999996</v>
      </c>
      <c r="HCD22" s="452" t="s">
        <v>2691</v>
      </c>
      <c r="HCE22" s="498" t="s">
        <v>1620</v>
      </c>
      <c r="HCF22" s="498">
        <v>1</v>
      </c>
      <c r="HCG22" s="499">
        <v>1500000</v>
      </c>
      <c r="HCH22" s="498">
        <v>1.58</v>
      </c>
      <c r="HCI22" s="498">
        <v>1</v>
      </c>
      <c r="HCJ22" s="501">
        <v>6.75</v>
      </c>
      <c r="HCK22" s="486">
        <v>5.0999999999999996</v>
      </c>
      <c r="HCL22" s="452" t="s">
        <v>2691</v>
      </c>
      <c r="HCM22" s="498" t="s">
        <v>1620</v>
      </c>
      <c r="HCN22" s="498">
        <v>1</v>
      </c>
      <c r="HCO22" s="499">
        <v>1500000</v>
      </c>
      <c r="HCP22" s="498">
        <v>1.58</v>
      </c>
      <c r="HCQ22" s="498">
        <v>1</v>
      </c>
      <c r="HCR22" s="501">
        <v>6.75</v>
      </c>
      <c r="HCS22" s="486">
        <v>5.0999999999999996</v>
      </c>
      <c r="HCT22" s="452" t="s">
        <v>2691</v>
      </c>
      <c r="HCU22" s="498" t="s">
        <v>1620</v>
      </c>
      <c r="HCV22" s="498">
        <v>1</v>
      </c>
      <c r="HCW22" s="499">
        <v>1500000</v>
      </c>
      <c r="HCX22" s="498">
        <v>1.58</v>
      </c>
      <c r="HCY22" s="498">
        <v>1</v>
      </c>
      <c r="HCZ22" s="501">
        <v>6.75</v>
      </c>
      <c r="HDA22" s="486">
        <v>5.0999999999999996</v>
      </c>
      <c r="HDB22" s="452" t="s">
        <v>2691</v>
      </c>
      <c r="HDC22" s="498" t="s">
        <v>1620</v>
      </c>
      <c r="HDD22" s="498">
        <v>1</v>
      </c>
      <c r="HDE22" s="499">
        <v>1500000</v>
      </c>
      <c r="HDF22" s="498">
        <v>1.58</v>
      </c>
      <c r="HDG22" s="498">
        <v>1</v>
      </c>
      <c r="HDH22" s="501">
        <v>6.75</v>
      </c>
      <c r="HDI22" s="486">
        <v>5.0999999999999996</v>
      </c>
      <c r="HDJ22" s="452" t="s">
        <v>2691</v>
      </c>
      <c r="HDK22" s="498" t="s">
        <v>1620</v>
      </c>
      <c r="HDL22" s="498">
        <v>1</v>
      </c>
      <c r="HDM22" s="499">
        <v>1500000</v>
      </c>
      <c r="HDN22" s="498">
        <v>1.58</v>
      </c>
      <c r="HDO22" s="498">
        <v>1</v>
      </c>
      <c r="HDP22" s="501">
        <v>6.75</v>
      </c>
      <c r="HDQ22" s="486">
        <v>5.0999999999999996</v>
      </c>
      <c r="HDR22" s="452" t="s">
        <v>2691</v>
      </c>
      <c r="HDS22" s="498" t="s">
        <v>1620</v>
      </c>
      <c r="HDT22" s="498">
        <v>1</v>
      </c>
      <c r="HDU22" s="499">
        <v>1500000</v>
      </c>
      <c r="HDV22" s="498">
        <v>1.58</v>
      </c>
      <c r="HDW22" s="498">
        <v>1</v>
      </c>
      <c r="HDX22" s="501">
        <v>6.75</v>
      </c>
      <c r="HDY22" s="486">
        <v>5.0999999999999996</v>
      </c>
      <c r="HDZ22" s="452" t="s">
        <v>2691</v>
      </c>
      <c r="HEA22" s="498" t="s">
        <v>1620</v>
      </c>
      <c r="HEB22" s="498">
        <v>1</v>
      </c>
      <c r="HEC22" s="499">
        <v>1500000</v>
      </c>
      <c r="HED22" s="498">
        <v>1.58</v>
      </c>
      <c r="HEE22" s="498">
        <v>1</v>
      </c>
      <c r="HEF22" s="501">
        <v>6.75</v>
      </c>
      <c r="HEG22" s="486">
        <v>5.0999999999999996</v>
      </c>
      <c r="HEH22" s="452" t="s">
        <v>2691</v>
      </c>
      <c r="HEI22" s="498" t="s">
        <v>1620</v>
      </c>
      <c r="HEJ22" s="498">
        <v>1</v>
      </c>
      <c r="HEK22" s="499">
        <v>1500000</v>
      </c>
      <c r="HEL22" s="498">
        <v>1.58</v>
      </c>
      <c r="HEM22" s="498">
        <v>1</v>
      </c>
      <c r="HEN22" s="501">
        <v>6.75</v>
      </c>
      <c r="HEO22" s="486">
        <v>5.0999999999999996</v>
      </c>
      <c r="HEP22" s="452" t="s">
        <v>2691</v>
      </c>
      <c r="HEQ22" s="498" t="s">
        <v>1620</v>
      </c>
      <c r="HER22" s="498">
        <v>1</v>
      </c>
      <c r="HES22" s="499">
        <v>1500000</v>
      </c>
      <c r="HET22" s="498">
        <v>1.58</v>
      </c>
      <c r="HEU22" s="498">
        <v>1</v>
      </c>
      <c r="HEV22" s="501">
        <v>6.75</v>
      </c>
      <c r="HEW22" s="486">
        <v>5.0999999999999996</v>
      </c>
      <c r="HEX22" s="452" t="s">
        <v>2691</v>
      </c>
      <c r="HEY22" s="498" t="s">
        <v>1620</v>
      </c>
      <c r="HEZ22" s="498">
        <v>1</v>
      </c>
      <c r="HFA22" s="499">
        <v>1500000</v>
      </c>
      <c r="HFB22" s="498">
        <v>1.58</v>
      </c>
      <c r="HFC22" s="498">
        <v>1</v>
      </c>
      <c r="HFD22" s="501">
        <v>6.75</v>
      </c>
      <c r="HFE22" s="486">
        <v>5.0999999999999996</v>
      </c>
      <c r="HFF22" s="452" t="s">
        <v>2691</v>
      </c>
      <c r="HFG22" s="498" t="s">
        <v>1620</v>
      </c>
      <c r="HFH22" s="498">
        <v>1</v>
      </c>
      <c r="HFI22" s="499">
        <v>1500000</v>
      </c>
      <c r="HFJ22" s="498">
        <v>1.58</v>
      </c>
      <c r="HFK22" s="498">
        <v>1</v>
      </c>
      <c r="HFL22" s="501">
        <v>6.75</v>
      </c>
      <c r="HFM22" s="486">
        <v>5.0999999999999996</v>
      </c>
      <c r="HFN22" s="452" t="s">
        <v>2691</v>
      </c>
      <c r="HFO22" s="498" t="s">
        <v>1620</v>
      </c>
      <c r="HFP22" s="498">
        <v>1</v>
      </c>
      <c r="HFQ22" s="499">
        <v>1500000</v>
      </c>
      <c r="HFR22" s="498">
        <v>1.58</v>
      </c>
      <c r="HFS22" s="498">
        <v>1</v>
      </c>
      <c r="HFT22" s="501">
        <v>6.75</v>
      </c>
      <c r="HFU22" s="486">
        <v>5.0999999999999996</v>
      </c>
      <c r="HFV22" s="452" t="s">
        <v>2691</v>
      </c>
      <c r="HFW22" s="498" t="s">
        <v>1620</v>
      </c>
      <c r="HFX22" s="498">
        <v>1</v>
      </c>
      <c r="HFY22" s="499">
        <v>1500000</v>
      </c>
      <c r="HFZ22" s="498">
        <v>1.58</v>
      </c>
      <c r="HGA22" s="498">
        <v>1</v>
      </c>
      <c r="HGB22" s="501">
        <v>6.75</v>
      </c>
      <c r="HGC22" s="486">
        <v>5.0999999999999996</v>
      </c>
      <c r="HGD22" s="452" t="s">
        <v>2691</v>
      </c>
      <c r="HGE22" s="498" t="s">
        <v>1620</v>
      </c>
      <c r="HGF22" s="498">
        <v>1</v>
      </c>
      <c r="HGG22" s="499">
        <v>1500000</v>
      </c>
      <c r="HGH22" s="498">
        <v>1.58</v>
      </c>
      <c r="HGI22" s="498">
        <v>1</v>
      </c>
      <c r="HGJ22" s="501">
        <v>6.75</v>
      </c>
      <c r="HGK22" s="486">
        <v>5.0999999999999996</v>
      </c>
      <c r="HGL22" s="452" t="s">
        <v>2691</v>
      </c>
      <c r="HGM22" s="498" t="s">
        <v>1620</v>
      </c>
      <c r="HGN22" s="498">
        <v>1</v>
      </c>
      <c r="HGO22" s="499">
        <v>1500000</v>
      </c>
      <c r="HGP22" s="498">
        <v>1.58</v>
      </c>
      <c r="HGQ22" s="498">
        <v>1</v>
      </c>
      <c r="HGR22" s="501">
        <v>6.75</v>
      </c>
      <c r="HGS22" s="486">
        <v>5.0999999999999996</v>
      </c>
      <c r="HGT22" s="452" t="s">
        <v>2691</v>
      </c>
      <c r="HGU22" s="498" t="s">
        <v>1620</v>
      </c>
      <c r="HGV22" s="498">
        <v>1</v>
      </c>
      <c r="HGW22" s="499">
        <v>1500000</v>
      </c>
      <c r="HGX22" s="498">
        <v>1.58</v>
      </c>
      <c r="HGY22" s="498">
        <v>1</v>
      </c>
      <c r="HGZ22" s="501">
        <v>6.75</v>
      </c>
      <c r="HHA22" s="486">
        <v>5.0999999999999996</v>
      </c>
      <c r="HHB22" s="452" t="s">
        <v>2691</v>
      </c>
      <c r="HHC22" s="498" t="s">
        <v>1620</v>
      </c>
      <c r="HHD22" s="498">
        <v>1</v>
      </c>
      <c r="HHE22" s="499">
        <v>1500000</v>
      </c>
      <c r="HHF22" s="498">
        <v>1.58</v>
      </c>
      <c r="HHG22" s="498">
        <v>1</v>
      </c>
      <c r="HHH22" s="501">
        <v>6.75</v>
      </c>
      <c r="HHI22" s="486">
        <v>5.0999999999999996</v>
      </c>
      <c r="HHJ22" s="452" t="s">
        <v>2691</v>
      </c>
      <c r="HHK22" s="498" t="s">
        <v>1620</v>
      </c>
      <c r="HHL22" s="498">
        <v>1</v>
      </c>
      <c r="HHM22" s="499">
        <v>1500000</v>
      </c>
      <c r="HHN22" s="498">
        <v>1.58</v>
      </c>
      <c r="HHO22" s="498">
        <v>1</v>
      </c>
      <c r="HHP22" s="501">
        <v>6.75</v>
      </c>
      <c r="HHQ22" s="486">
        <v>5.0999999999999996</v>
      </c>
      <c r="HHR22" s="452" t="s">
        <v>2691</v>
      </c>
      <c r="HHS22" s="498" t="s">
        <v>1620</v>
      </c>
      <c r="HHT22" s="498">
        <v>1</v>
      </c>
      <c r="HHU22" s="499">
        <v>1500000</v>
      </c>
      <c r="HHV22" s="498">
        <v>1.58</v>
      </c>
      <c r="HHW22" s="498">
        <v>1</v>
      </c>
      <c r="HHX22" s="501">
        <v>6.75</v>
      </c>
      <c r="HHY22" s="486">
        <v>5.0999999999999996</v>
      </c>
      <c r="HHZ22" s="452" t="s">
        <v>2691</v>
      </c>
      <c r="HIA22" s="498" t="s">
        <v>1620</v>
      </c>
      <c r="HIB22" s="498">
        <v>1</v>
      </c>
      <c r="HIC22" s="499">
        <v>1500000</v>
      </c>
      <c r="HID22" s="498">
        <v>1.58</v>
      </c>
      <c r="HIE22" s="498">
        <v>1</v>
      </c>
      <c r="HIF22" s="501">
        <v>6.75</v>
      </c>
      <c r="HIG22" s="486">
        <v>5.0999999999999996</v>
      </c>
      <c r="HIH22" s="452" t="s">
        <v>2691</v>
      </c>
      <c r="HII22" s="498" t="s">
        <v>1620</v>
      </c>
      <c r="HIJ22" s="498">
        <v>1</v>
      </c>
      <c r="HIK22" s="499">
        <v>1500000</v>
      </c>
      <c r="HIL22" s="498">
        <v>1.58</v>
      </c>
      <c r="HIM22" s="498">
        <v>1</v>
      </c>
      <c r="HIN22" s="501">
        <v>6.75</v>
      </c>
      <c r="HIO22" s="486">
        <v>5.0999999999999996</v>
      </c>
      <c r="HIP22" s="452" t="s">
        <v>2691</v>
      </c>
      <c r="HIQ22" s="498" t="s">
        <v>1620</v>
      </c>
      <c r="HIR22" s="498">
        <v>1</v>
      </c>
      <c r="HIS22" s="499">
        <v>1500000</v>
      </c>
      <c r="HIT22" s="498">
        <v>1.58</v>
      </c>
      <c r="HIU22" s="498">
        <v>1</v>
      </c>
      <c r="HIV22" s="501">
        <v>6.75</v>
      </c>
      <c r="HIW22" s="486">
        <v>5.0999999999999996</v>
      </c>
      <c r="HIX22" s="452" t="s">
        <v>2691</v>
      </c>
      <c r="HIY22" s="498" t="s">
        <v>1620</v>
      </c>
      <c r="HIZ22" s="498">
        <v>1</v>
      </c>
      <c r="HJA22" s="499">
        <v>1500000</v>
      </c>
      <c r="HJB22" s="498">
        <v>1.58</v>
      </c>
      <c r="HJC22" s="498">
        <v>1</v>
      </c>
      <c r="HJD22" s="501">
        <v>6.75</v>
      </c>
      <c r="HJE22" s="486">
        <v>5.0999999999999996</v>
      </c>
      <c r="HJF22" s="452" t="s">
        <v>2691</v>
      </c>
      <c r="HJG22" s="498" t="s">
        <v>1620</v>
      </c>
      <c r="HJH22" s="498">
        <v>1</v>
      </c>
      <c r="HJI22" s="499">
        <v>1500000</v>
      </c>
      <c r="HJJ22" s="498">
        <v>1.58</v>
      </c>
      <c r="HJK22" s="498">
        <v>1</v>
      </c>
      <c r="HJL22" s="501">
        <v>6.75</v>
      </c>
      <c r="HJM22" s="486">
        <v>5.0999999999999996</v>
      </c>
      <c r="HJN22" s="452" t="s">
        <v>2691</v>
      </c>
      <c r="HJO22" s="498" t="s">
        <v>1620</v>
      </c>
      <c r="HJP22" s="498">
        <v>1</v>
      </c>
      <c r="HJQ22" s="499">
        <v>1500000</v>
      </c>
      <c r="HJR22" s="498">
        <v>1.58</v>
      </c>
      <c r="HJS22" s="498">
        <v>1</v>
      </c>
      <c r="HJT22" s="501">
        <v>6.75</v>
      </c>
      <c r="HJU22" s="486">
        <v>5.0999999999999996</v>
      </c>
      <c r="HJV22" s="452" t="s">
        <v>2691</v>
      </c>
      <c r="HJW22" s="498" t="s">
        <v>1620</v>
      </c>
      <c r="HJX22" s="498">
        <v>1</v>
      </c>
      <c r="HJY22" s="499">
        <v>1500000</v>
      </c>
      <c r="HJZ22" s="498">
        <v>1.58</v>
      </c>
      <c r="HKA22" s="498">
        <v>1</v>
      </c>
      <c r="HKB22" s="501">
        <v>6.75</v>
      </c>
      <c r="HKC22" s="486">
        <v>5.0999999999999996</v>
      </c>
      <c r="HKD22" s="452" t="s">
        <v>2691</v>
      </c>
      <c r="HKE22" s="498" t="s">
        <v>1620</v>
      </c>
      <c r="HKF22" s="498">
        <v>1</v>
      </c>
      <c r="HKG22" s="499">
        <v>1500000</v>
      </c>
      <c r="HKH22" s="498">
        <v>1.58</v>
      </c>
      <c r="HKI22" s="498">
        <v>1</v>
      </c>
      <c r="HKJ22" s="501">
        <v>6.75</v>
      </c>
      <c r="HKK22" s="486">
        <v>5.0999999999999996</v>
      </c>
      <c r="HKL22" s="452" t="s">
        <v>2691</v>
      </c>
      <c r="HKM22" s="498" t="s">
        <v>1620</v>
      </c>
      <c r="HKN22" s="498">
        <v>1</v>
      </c>
      <c r="HKO22" s="499">
        <v>1500000</v>
      </c>
      <c r="HKP22" s="498">
        <v>1.58</v>
      </c>
      <c r="HKQ22" s="498">
        <v>1</v>
      </c>
      <c r="HKR22" s="501">
        <v>6.75</v>
      </c>
      <c r="HKS22" s="486">
        <v>5.0999999999999996</v>
      </c>
      <c r="HKT22" s="452" t="s">
        <v>2691</v>
      </c>
      <c r="HKU22" s="498" t="s">
        <v>1620</v>
      </c>
      <c r="HKV22" s="498">
        <v>1</v>
      </c>
      <c r="HKW22" s="499">
        <v>1500000</v>
      </c>
      <c r="HKX22" s="498">
        <v>1.58</v>
      </c>
      <c r="HKY22" s="498">
        <v>1</v>
      </c>
      <c r="HKZ22" s="501">
        <v>6.75</v>
      </c>
      <c r="HLA22" s="486">
        <v>5.0999999999999996</v>
      </c>
      <c r="HLB22" s="452" t="s">
        <v>2691</v>
      </c>
      <c r="HLC22" s="498" t="s">
        <v>1620</v>
      </c>
      <c r="HLD22" s="498">
        <v>1</v>
      </c>
      <c r="HLE22" s="499">
        <v>1500000</v>
      </c>
      <c r="HLF22" s="498">
        <v>1.58</v>
      </c>
      <c r="HLG22" s="498">
        <v>1</v>
      </c>
      <c r="HLH22" s="501">
        <v>6.75</v>
      </c>
      <c r="HLI22" s="486">
        <v>5.0999999999999996</v>
      </c>
      <c r="HLJ22" s="452" t="s">
        <v>2691</v>
      </c>
      <c r="HLK22" s="498" t="s">
        <v>1620</v>
      </c>
      <c r="HLL22" s="498">
        <v>1</v>
      </c>
      <c r="HLM22" s="499">
        <v>1500000</v>
      </c>
      <c r="HLN22" s="498">
        <v>1.58</v>
      </c>
      <c r="HLO22" s="498">
        <v>1</v>
      </c>
      <c r="HLP22" s="501">
        <v>6.75</v>
      </c>
      <c r="HLQ22" s="486">
        <v>5.0999999999999996</v>
      </c>
      <c r="HLR22" s="452" t="s">
        <v>2691</v>
      </c>
      <c r="HLS22" s="498" t="s">
        <v>1620</v>
      </c>
      <c r="HLT22" s="498">
        <v>1</v>
      </c>
      <c r="HLU22" s="499">
        <v>1500000</v>
      </c>
      <c r="HLV22" s="498">
        <v>1.58</v>
      </c>
      <c r="HLW22" s="498">
        <v>1</v>
      </c>
      <c r="HLX22" s="501">
        <v>6.75</v>
      </c>
      <c r="HLY22" s="486">
        <v>5.0999999999999996</v>
      </c>
      <c r="HLZ22" s="452" t="s">
        <v>2691</v>
      </c>
      <c r="HMA22" s="498" t="s">
        <v>1620</v>
      </c>
      <c r="HMB22" s="498">
        <v>1</v>
      </c>
      <c r="HMC22" s="499">
        <v>1500000</v>
      </c>
      <c r="HMD22" s="498">
        <v>1.58</v>
      </c>
      <c r="HME22" s="498">
        <v>1</v>
      </c>
      <c r="HMF22" s="501">
        <v>6.75</v>
      </c>
      <c r="HMG22" s="486">
        <v>5.0999999999999996</v>
      </c>
      <c r="HMH22" s="452" t="s">
        <v>2691</v>
      </c>
      <c r="HMI22" s="498" t="s">
        <v>1620</v>
      </c>
      <c r="HMJ22" s="498">
        <v>1</v>
      </c>
      <c r="HMK22" s="499">
        <v>1500000</v>
      </c>
      <c r="HML22" s="498">
        <v>1.58</v>
      </c>
      <c r="HMM22" s="498">
        <v>1</v>
      </c>
      <c r="HMN22" s="501">
        <v>6.75</v>
      </c>
      <c r="HMO22" s="486">
        <v>5.0999999999999996</v>
      </c>
      <c r="HMP22" s="452" t="s">
        <v>2691</v>
      </c>
      <c r="HMQ22" s="498" t="s">
        <v>1620</v>
      </c>
      <c r="HMR22" s="498">
        <v>1</v>
      </c>
      <c r="HMS22" s="499">
        <v>1500000</v>
      </c>
      <c r="HMT22" s="498">
        <v>1.58</v>
      </c>
      <c r="HMU22" s="498">
        <v>1</v>
      </c>
      <c r="HMV22" s="501">
        <v>6.75</v>
      </c>
      <c r="HMW22" s="486">
        <v>5.0999999999999996</v>
      </c>
      <c r="HMX22" s="452" t="s">
        <v>2691</v>
      </c>
      <c r="HMY22" s="498" t="s">
        <v>1620</v>
      </c>
      <c r="HMZ22" s="498">
        <v>1</v>
      </c>
      <c r="HNA22" s="499">
        <v>1500000</v>
      </c>
      <c r="HNB22" s="498">
        <v>1.58</v>
      </c>
      <c r="HNC22" s="498">
        <v>1</v>
      </c>
      <c r="HND22" s="501">
        <v>6.75</v>
      </c>
      <c r="HNE22" s="486">
        <v>5.0999999999999996</v>
      </c>
      <c r="HNF22" s="452" t="s">
        <v>2691</v>
      </c>
      <c r="HNG22" s="498" t="s">
        <v>1620</v>
      </c>
      <c r="HNH22" s="498">
        <v>1</v>
      </c>
      <c r="HNI22" s="499">
        <v>1500000</v>
      </c>
      <c r="HNJ22" s="498">
        <v>1.58</v>
      </c>
      <c r="HNK22" s="498">
        <v>1</v>
      </c>
      <c r="HNL22" s="501">
        <v>6.75</v>
      </c>
      <c r="HNM22" s="486">
        <v>5.0999999999999996</v>
      </c>
      <c r="HNN22" s="452" t="s">
        <v>2691</v>
      </c>
      <c r="HNO22" s="498" t="s">
        <v>1620</v>
      </c>
      <c r="HNP22" s="498">
        <v>1</v>
      </c>
      <c r="HNQ22" s="499">
        <v>1500000</v>
      </c>
      <c r="HNR22" s="498">
        <v>1.58</v>
      </c>
      <c r="HNS22" s="498">
        <v>1</v>
      </c>
      <c r="HNT22" s="501">
        <v>6.75</v>
      </c>
      <c r="HNU22" s="486">
        <v>5.0999999999999996</v>
      </c>
      <c r="HNV22" s="452" t="s">
        <v>2691</v>
      </c>
      <c r="HNW22" s="498" t="s">
        <v>1620</v>
      </c>
      <c r="HNX22" s="498">
        <v>1</v>
      </c>
      <c r="HNY22" s="499">
        <v>1500000</v>
      </c>
      <c r="HNZ22" s="498">
        <v>1.58</v>
      </c>
      <c r="HOA22" s="498">
        <v>1</v>
      </c>
      <c r="HOB22" s="501">
        <v>6.75</v>
      </c>
      <c r="HOC22" s="486">
        <v>5.0999999999999996</v>
      </c>
      <c r="HOD22" s="452" t="s">
        <v>2691</v>
      </c>
      <c r="HOE22" s="498" t="s">
        <v>1620</v>
      </c>
      <c r="HOF22" s="498">
        <v>1</v>
      </c>
      <c r="HOG22" s="499">
        <v>1500000</v>
      </c>
      <c r="HOH22" s="498">
        <v>1.58</v>
      </c>
      <c r="HOI22" s="498">
        <v>1</v>
      </c>
      <c r="HOJ22" s="501">
        <v>6.75</v>
      </c>
      <c r="HOK22" s="486">
        <v>5.0999999999999996</v>
      </c>
      <c r="HOL22" s="452" t="s">
        <v>2691</v>
      </c>
      <c r="HOM22" s="498" t="s">
        <v>1620</v>
      </c>
      <c r="HON22" s="498">
        <v>1</v>
      </c>
      <c r="HOO22" s="499">
        <v>1500000</v>
      </c>
      <c r="HOP22" s="498">
        <v>1.58</v>
      </c>
      <c r="HOQ22" s="498">
        <v>1</v>
      </c>
      <c r="HOR22" s="501">
        <v>6.75</v>
      </c>
      <c r="HOS22" s="486">
        <v>5.0999999999999996</v>
      </c>
      <c r="HOT22" s="452" t="s">
        <v>2691</v>
      </c>
      <c r="HOU22" s="498" t="s">
        <v>1620</v>
      </c>
      <c r="HOV22" s="498">
        <v>1</v>
      </c>
      <c r="HOW22" s="499">
        <v>1500000</v>
      </c>
      <c r="HOX22" s="498">
        <v>1.58</v>
      </c>
      <c r="HOY22" s="498">
        <v>1</v>
      </c>
      <c r="HOZ22" s="501">
        <v>6.75</v>
      </c>
      <c r="HPA22" s="486">
        <v>5.0999999999999996</v>
      </c>
      <c r="HPB22" s="452" t="s">
        <v>2691</v>
      </c>
      <c r="HPC22" s="498" t="s">
        <v>1620</v>
      </c>
      <c r="HPD22" s="498">
        <v>1</v>
      </c>
      <c r="HPE22" s="499">
        <v>1500000</v>
      </c>
      <c r="HPF22" s="498">
        <v>1.58</v>
      </c>
      <c r="HPG22" s="498">
        <v>1</v>
      </c>
      <c r="HPH22" s="501">
        <v>6.75</v>
      </c>
      <c r="HPI22" s="486">
        <v>5.0999999999999996</v>
      </c>
      <c r="HPJ22" s="452" t="s">
        <v>2691</v>
      </c>
      <c r="HPK22" s="498" t="s">
        <v>1620</v>
      </c>
      <c r="HPL22" s="498">
        <v>1</v>
      </c>
      <c r="HPM22" s="499">
        <v>1500000</v>
      </c>
      <c r="HPN22" s="498">
        <v>1.58</v>
      </c>
      <c r="HPO22" s="498">
        <v>1</v>
      </c>
      <c r="HPP22" s="501">
        <v>6.75</v>
      </c>
      <c r="HPQ22" s="486">
        <v>5.0999999999999996</v>
      </c>
      <c r="HPR22" s="452" t="s">
        <v>2691</v>
      </c>
      <c r="HPS22" s="498" t="s">
        <v>1620</v>
      </c>
      <c r="HPT22" s="498">
        <v>1</v>
      </c>
      <c r="HPU22" s="499">
        <v>1500000</v>
      </c>
      <c r="HPV22" s="498">
        <v>1.58</v>
      </c>
      <c r="HPW22" s="498">
        <v>1</v>
      </c>
      <c r="HPX22" s="501">
        <v>6.75</v>
      </c>
      <c r="HPY22" s="486">
        <v>5.0999999999999996</v>
      </c>
      <c r="HPZ22" s="452" t="s">
        <v>2691</v>
      </c>
      <c r="HQA22" s="498" t="s">
        <v>1620</v>
      </c>
      <c r="HQB22" s="498">
        <v>1</v>
      </c>
      <c r="HQC22" s="499">
        <v>1500000</v>
      </c>
      <c r="HQD22" s="498">
        <v>1.58</v>
      </c>
      <c r="HQE22" s="498">
        <v>1</v>
      </c>
      <c r="HQF22" s="501">
        <v>6.75</v>
      </c>
      <c r="HQG22" s="486">
        <v>5.0999999999999996</v>
      </c>
      <c r="HQH22" s="452" t="s">
        <v>2691</v>
      </c>
      <c r="HQI22" s="498" t="s">
        <v>1620</v>
      </c>
      <c r="HQJ22" s="498">
        <v>1</v>
      </c>
      <c r="HQK22" s="499">
        <v>1500000</v>
      </c>
      <c r="HQL22" s="498">
        <v>1.58</v>
      </c>
      <c r="HQM22" s="498">
        <v>1</v>
      </c>
      <c r="HQN22" s="501">
        <v>6.75</v>
      </c>
      <c r="HQO22" s="486">
        <v>5.0999999999999996</v>
      </c>
      <c r="HQP22" s="452" t="s">
        <v>2691</v>
      </c>
      <c r="HQQ22" s="498" t="s">
        <v>1620</v>
      </c>
      <c r="HQR22" s="498">
        <v>1</v>
      </c>
      <c r="HQS22" s="499">
        <v>1500000</v>
      </c>
      <c r="HQT22" s="498">
        <v>1.58</v>
      </c>
      <c r="HQU22" s="498">
        <v>1</v>
      </c>
      <c r="HQV22" s="501">
        <v>6.75</v>
      </c>
      <c r="HQW22" s="486">
        <v>5.0999999999999996</v>
      </c>
      <c r="HQX22" s="452" t="s">
        <v>2691</v>
      </c>
      <c r="HQY22" s="498" t="s">
        <v>1620</v>
      </c>
      <c r="HQZ22" s="498">
        <v>1</v>
      </c>
      <c r="HRA22" s="499">
        <v>1500000</v>
      </c>
      <c r="HRB22" s="498">
        <v>1.58</v>
      </c>
      <c r="HRC22" s="498">
        <v>1</v>
      </c>
      <c r="HRD22" s="501">
        <v>6.75</v>
      </c>
      <c r="HRE22" s="486">
        <v>5.0999999999999996</v>
      </c>
      <c r="HRF22" s="452" t="s">
        <v>2691</v>
      </c>
      <c r="HRG22" s="498" t="s">
        <v>1620</v>
      </c>
      <c r="HRH22" s="498">
        <v>1</v>
      </c>
      <c r="HRI22" s="499">
        <v>1500000</v>
      </c>
      <c r="HRJ22" s="498">
        <v>1.58</v>
      </c>
      <c r="HRK22" s="498">
        <v>1</v>
      </c>
      <c r="HRL22" s="501">
        <v>6.75</v>
      </c>
      <c r="HRM22" s="486">
        <v>5.0999999999999996</v>
      </c>
      <c r="HRN22" s="452" t="s">
        <v>2691</v>
      </c>
      <c r="HRO22" s="498" t="s">
        <v>1620</v>
      </c>
      <c r="HRP22" s="498">
        <v>1</v>
      </c>
      <c r="HRQ22" s="499">
        <v>1500000</v>
      </c>
      <c r="HRR22" s="498">
        <v>1.58</v>
      </c>
      <c r="HRS22" s="498">
        <v>1</v>
      </c>
      <c r="HRT22" s="501">
        <v>6.75</v>
      </c>
      <c r="HRU22" s="486">
        <v>5.0999999999999996</v>
      </c>
      <c r="HRV22" s="452" t="s">
        <v>2691</v>
      </c>
      <c r="HRW22" s="498" t="s">
        <v>1620</v>
      </c>
      <c r="HRX22" s="498">
        <v>1</v>
      </c>
      <c r="HRY22" s="499">
        <v>1500000</v>
      </c>
      <c r="HRZ22" s="498">
        <v>1.58</v>
      </c>
      <c r="HSA22" s="498">
        <v>1</v>
      </c>
      <c r="HSB22" s="501">
        <v>6.75</v>
      </c>
      <c r="HSC22" s="486">
        <v>5.0999999999999996</v>
      </c>
      <c r="HSD22" s="452" t="s">
        <v>2691</v>
      </c>
      <c r="HSE22" s="498" t="s">
        <v>1620</v>
      </c>
      <c r="HSF22" s="498">
        <v>1</v>
      </c>
      <c r="HSG22" s="499">
        <v>1500000</v>
      </c>
      <c r="HSH22" s="498">
        <v>1.58</v>
      </c>
      <c r="HSI22" s="498">
        <v>1</v>
      </c>
      <c r="HSJ22" s="501">
        <v>6.75</v>
      </c>
      <c r="HSK22" s="486">
        <v>5.0999999999999996</v>
      </c>
      <c r="HSL22" s="452" t="s">
        <v>2691</v>
      </c>
      <c r="HSM22" s="498" t="s">
        <v>1620</v>
      </c>
      <c r="HSN22" s="498">
        <v>1</v>
      </c>
      <c r="HSO22" s="499">
        <v>1500000</v>
      </c>
      <c r="HSP22" s="498">
        <v>1.58</v>
      </c>
      <c r="HSQ22" s="498">
        <v>1</v>
      </c>
      <c r="HSR22" s="501">
        <v>6.75</v>
      </c>
      <c r="HSS22" s="486">
        <v>5.0999999999999996</v>
      </c>
      <c r="HST22" s="452" t="s">
        <v>2691</v>
      </c>
      <c r="HSU22" s="498" t="s">
        <v>1620</v>
      </c>
      <c r="HSV22" s="498">
        <v>1</v>
      </c>
      <c r="HSW22" s="499">
        <v>1500000</v>
      </c>
      <c r="HSX22" s="498">
        <v>1.58</v>
      </c>
      <c r="HSY22" s="498">
        <v>1</v>
      </c>
      <c r="HSZ22" s="501">
        <v>6.75</v>
      </c>
      <c r="HTA22" s="486">
        <v>5.0999999999999996</v>
      </c>
      <c r="HTB22" s="452" t="s">
        <v>2691</v>
      </c>
      <c r="HTC22" s="498" t="s">
        <v>1620</v>
      </c>
      <c r="HTD22" s="498">
        <v>1</v>
      </c>
      <c r="HTE22" s="499">
        <v>1500000</v>
      </c>
      <c r="HTF22" s="498">
        <v>1.58</v>
      </c>
      <c r="HTG22" s="498">
        <v>1</v>
      </c>
      <c r="HTH22" s="501">
        <v>6.75</v>
      </c>
      <c r="HTI22" s="486">
        <v>5.0999999999999996</v>
      </c>
      <c r="HTJ22" s="452" t="s">
        <v>2691</v>
      </c>
      <c r="HTK22" s="498" t="s">
        <v>1620</v>
      </c>
      <c r="HTL22" s="498">
        <v>1</v>
      </c>
      <c r="HTM22" s="499">
        <v>1500000</v>
      </c>
      <c r="HTN22" s="498">
        <v>1.58</v>
      </c>
      <c r="HTO22" s="498">
        <v>1</v>
      </c>
      <c r="HTP22" s="501">
        <v>6.75</v>
      </c>
      <c r="HTQ22" s="486">
        <v>5.0999999999999996</v>
      </c>
      <c r="HTR22" s="452" t="s">
        <v>2691</v>
      </c>
      <c r="HTS22" s="498" t="s">
        <v>1620</v>
      </c>
      <c r="HTT22" s="498">
        <v>1</v>
      </c>
      <c r="HTU22" s="499">
        <v>1500000</v>
      </c>
      <c r="HTV22" s="498">
        <v>1.58</v>
      </c>
      <c r="HTW22" s="498">
        <v>1</v>
      </c>
      <c r="HTX22" s="501">
        <v>6.75</v>
      </c>
      <c r="HTY22" s="486">
        <v>5.0999999999999996</v>
      </c>
      <c r="HTZ22" s="452" t="s">
        <v>2691</v>
      </c>
      <c r="HUA22" s="498" t="s">
        <v>1620</v>
      </c>
      <c r="HUB22" s="498">
        <v>1</v>
      </c>
      <c r="HUC22" s="499">
        <v>1500000</v>
      </c>
      <c r="HUD22" s="498">
        <v>1.58</v>
      </c>
      <c r="HUE22" s="498">
        <v>1</v>
      </c>
      <c r="HUF22" s="501">
        <v>6.75</v>
      </c>
      <c r="HUG22" s="486">
        <v>5.0999999999999996</v>
      </c>
      <c r="HUH22" s="452" t="s">
        <v>2691</v>
      </c>
      <c r="HUI22" s="498" t="s">
        <v>1620</v>
      </c>
      <c r="HUJ22" s="498">
        <v>1</v>
      </c>
      <c r="HUK22" s="499">
        <v>1500000</v>
      </c>
      <c r="HUL22" s="498">
        <v>1.58</v>
      </c>
      <c r="HUM22" s="498">
        <v>1</v>
      </c>
      <c r="HUN22" s="501">
        <v>6.75</v>
      </c>
      <c r="HUO22" s="486">
        <v>5.0999999999999996</v>
      </c>
      <c r="HUP22" s="452" t="s">
        <v>2691</v>
      </c>
      <c r="HUQ22" s="498" t="s">
        <v>1620</v>
      </c>
      <c r="HUR22" s="498">
        <v>1</v>
      </c>
      <c r="HUS22" s="499">
        <v>1500000</v>
      </c>
      <c r="HUT22" s="498">
        <v>1.58</v>
      </c>
      <c r="HUU22" s="498">
        <v>1</v>
      </c>
      <c r="HUV22" s="501">
        <v>6.75</v>
      </c>
      <c r="HUW22" s="486">
        <v>5.0999999999999996</v>
      </c>
      <c r="HUX22" s="452" t="s">
        <v>2691</v>
      </c>
      <c r="HUY22" s="498" t="s">
        <v>1620</v>
      </c>
      <c r="HUZ22" s="498">
        <v>1</v>
      </c>
      <c r="HVA22" s="499">
        <v>1500000</v>
      </c>
      <c r="HVB22" s="498">
        <v>1.58</v>
      </c>
      <c r="HVC22" s="498">
        <v>1</v>
      </c>
      <c r="HVD22" s="501">
        <v>6.75</v>
      </c>
      <c r="HVE22" s="486">
        <v>5.0999999999999996</v>
      </c>
      <c r="HVF22" s="452" t="s">
        <v>2691</v>
      </c>
      <c r="HVG22" s="498" t="s">
        <v>1620</v>
      </c>
      <c r="HVH22" s="498">
        <v>1</v>
      </c>
      <c r="HVI22" s="499">
        <v>1500000</v>
      </c>
      <c r="HVJ22" s="498">
        <v>1.58</v>
      </c>
      <c r="HVK22" s="498">
        <v>1</v>
      </c>
      <c r="HVL22" s="501">
        <v>6.75</v>
      </c>
      <c r="HVM22" s="486">
        <v>5.0999999999999996</v>
      </c>
      <c r="HVN22" s="452" t="s">
        <v>2691</v>
      </c>
      <c r="HVO22" s="498" t="s">
        <v>1620</v>
      </c>
      <c r="HVP22" s="498">
        <v>1</v>
      </c>
      <c r="HVQ22" s="499">
        <v>1500000</v>
      </c>
      <c r="HVR22" s="498">
        <v>1.58</v>
      </c>
      <c r="HVS22" s="498">
        <v>1</v>
      </c>
      <c r="HVT22" s="501">
        <v>6.75</v>
      </c>
      <c r="HVU22" s="486">
        <v>5.0999999999999996</v>
      </c>
      <c r="HVV22" s="452" t="s">
        <v>2691</v>
      </c>
      <c r="HVW22" s="498" t="s">
        <v>1620</v>
      </c>
      <c r="HVX22" s="498">
        <v>1</v>
      </c>
      <c r="HVY22" s="499">
        <v>1500000</v>
      </c>
      <c r="HVZ22" s="498">
        <v>1.58</v>
      </c>
      <c r="HWA22" s="498">
        <v>1</v>
      </c>
      <c r="HWB22" s="501">
        <v>6.75</v>
      </c>
      <c r="HWC22" s="486">
        <v>5.0999999999999996</v>
      </c>
      <c r="HWD22" s="452" t="s">
        <v>2691</v>
      </c>
      <c r="HWE22" s="498" t="s">
        <v>1620</v>
      </c>
      <c r="HWF22" s="498">
        <v>1</v>
      </c>
      <c r="HWG22" s="499">
        <v>1500000</v>
      </c>
      <c r="HWH22" s="498">
        <v>1.58</v>
      </c>
      <c r="HWI22" s="498">
        <v>1</v>
      </c>
      <c r="HWJ22" s="501">
        <v>6.75</v>
      </c>
      <c r="HWK22" s="486">
        <v>5.0999999999999996</v>
      </c>
      <c r="HWL22" s="452" t="s">
        <v>2691</v>
      </c>
      <c r="HWM22" s="498" t="s">
        <v>1620</v>
      </c>
      <c r="HWN22" s="498">
        <v>1</v>
      </c>
      <c r="HWO22" s="499">
        <v>1500000</v>
      </c>
      <c r="HWP22" s="498">
        <v>1.58</v>
      </c>
      <c r="HWQ22" s="498">
        <v>1</v>
      </c>
      <c r="HWR22" s="501">
        <v>6.75</v>
      </c>
      <c r="HWS22" s="486">
        <v>5.0999999999999996</v>
      </c>
      <c r="HWT22" s="452" t="s">
        <v>2691</v>
      </c>
      <c r="HWU22" s="498" t="s">
        <v>1620</v>
      </c>
      <c r="HWV22" s="498">
        <v>1</v>
      </c>
      <c r="HWW22" s="499">
        <v>1500000</v>
      </c>
      <c r="HWX22" s="498">
        <v>1.58</v>
      </c>
      <c r="HWY22" s="498">
        <v>1</v>
      </c>
      <c r="HWZ22" s="501">
        <v>6.75</v>
      </c>
      <c r="HXA22" s="486">
        <v>5.0999999999999996</v>
      </c>
      <c r="HXB22" s="452" t="s">
        <v>2691</v>
      </c>
      <c r="HXC22" s="498" t="s">
        <v>1620</v>
      </c>
      <c r="HXD22" s="498">
        <v>1</v>
      </c>
      <c r="HXE22" s="499">
        <v>1500000</v>
      </c>
      <c r="HXF22" s="498">
        <v>1.58</v>
      </c>
      <c r="HXG22" s="498">
        <v>1</v>
      </c>
      <c r="HXH22" s="501">
        <v>6.75</v>
      </c>
      <c r="HXI22" s="486">
        <v>5.0999999999999996</v>
      </c>
      <c r="HXJ22" s="452" t="s">
        <v>2691</v>
      </c>
      <c r="HXK22" s="498" t="s">
        <v>1620</v>
      </c>
      <c r="HXL22" s="498">
        <v>1</v>
      </c>
      <c r="HXM22" s="499">
        <v>1500000</v>
      </c>
      <c r="HXN22" s="498">
        <v>1.58</v>
      </c>
      <c r="HXO22" s="498">
        <v>1</v>
      </c>
      <c r="HXP22" s="501">
        <v>6.75</v>
      </c>
      <c r="HXQ22" s="486">
        <v>5.0999999999999996</v>
      </c>
      <c r="HXR22" s="452" t="s">
        <v>2691</v>
      </c>
      <c r="HXS22" s="498" t="s">
        <v>1620</v>
      </c>
      <c r="HXT22" s="498">
        <v>1</v>
      </c>
      <c r="HXU22" s="499">
        <v>1500000</v>
      </c>
      <c r="HXV22" s="498">
        <v>1.58</v>
      </c>
      <c r="HXW22" s="498">
        <v>1</v>
      </c>
      <c r="HXX22" s="501">
        <v>6.75</v>
      </c>
      <c r="HXY22" s="486">
        <v>5.0999999999999996</v>
      </c>
      <c r="HXZ22" s="452" t="s">
        <v>2691</v>
      </c>
      <c r="HYA22" s="498" t="s">
        <v>1620</v>
      </c>
      <c r="HYB22" s="498">
        <v>1</v>
      </c>
      <c r="HYC22" s="499">
        <v>1500000</v>
      </c>
      <c r="HYD22" s="498">
        <v>1.58</v>
      </c>
      <c r="HYE22" s="498">
        <v>1</v>
      </c>
      <c r="HYF22" s="501">
        <v>6.75</v>
      </c>
      <c r="HYG22" s="486">
        <v>5.0999999999999996</v>
      </c>
      <c r="HYH22" s="452" t="s">
        <v>2691</v>
      </c>
      <c r="HYI22" s="498" t="s">
        <v>1620</v>
      </c>
      <c r="HYJ22" s="498">
        <v>1</v>
      </c>
      <c r="HYK22" s="499">
        <v>1500000</v>
      </c>
      <c r="HYL22" s="498">
        <v>1.58</v>
      </c>
      <c r="HYM22" s="498">
        <v>1</v>
      </c>
      <c r="HYN22" s="501">
        <v>6.75</v>
      </c>
      <c r="HYO22" s="486">
        <v>5.0999999999999996</v>
      </c>
      <c r="HYP22" s="452" t="s">
        <v>2691</v>
      </c>
      <c r="HYQ22" s="498" t="s">
        <v>1620</v>
      </c>
      <c r="HYR22" s="498">
        <v>1</v>
      </c>
      <c r="HYS22" s="499">
        <v>1500000</v>
      </c>
      <c r="HYT22" s="498">
        <v>1.58</v>
      </c>
      <c r="HYU22" s="498">
        <v>1</v>
      </c>
      <c r="HYV22" s="501">
        <v>6.75</v>
      </c>
      <c r="HYW22" s="486">
        <v>5.0999999999999996</v>
      </c>
      <c r="HYX22" s="452" t="s">
        <v>2691</v>
      </c>
      <c r="HYY22" s="498" t="s">
        <v>1620</v>
      </c>
      <c r="HYZ22" s="498">
        <v>1</v>
      </c>
      <c r="HZA22" s="499">
        <v>1500000</v>
      </c>
      <c r="HZB22" s="498">
        <v>1.58</v>
      </c>
      <c r="HZC22" s="498">
        <v>1</v>
      </c>
      <c r="HZD22" s="501">
        <v>6.75</v>
      </c>
      <c r="HZE22" s="486">
        <v>5.0999999999999996</v>
      </c>
      <c r="HZF22" s="452" t="s">
        <v>2691</v>
      </c>
      <c r="HZG22" s="498" t="s">
        <v>1620</v>
      </c>
      <c r="HZH22" s="498">
        <v>1</v>
      </c>
      <c r="HZI22" s="499">
        <v>1500000</v>
      </c>
      <c r="HZJ22" s="498">
        <v>1.58</v>
      </c>
      <c r="HZK22" s="498">
        <v>1</v>
      </c>
      <c r="HZL22" s="501">
        <v>6.75</v>
      </c>
      <c r="HZM22" s="486">
        <v>5.0999999999999996</v>
      </c>
      <c r="HZN22" s="452" t="s">
        <v>2691</v>
      </c>
      <c r="HZO22" s="498" t="s">
        <v>1620</v>
      </c>
      <c r="HZP22" s="498">
        <v>1</v>
      </c>
      <c r="HZQ22" s="499">
        <v>1500000</v>
      </c>
      <c r="HZR22" s="498">
        <v>1.58</v>
      </c>
      <c r="HZS22" s="498">
        <v>1</v>
      </c>
      <c r="HZT22" s="501">
        <v>6.75</v>
      </c>
      <c r="HZU22" s="486">
        <v>5.0999999999999996</v>
      </c>
      <c r="HZV22" s="452" t="s">
        <v>2691</v>
      </c>
      <c r="HZW22" s="498" t="s">
        <v>1620</v>
      </c>
      <c r="HZX22" s="498">
        <v>1</v>
      </c>
      <c r="HZY22" s="499">
        <v>1500000</v>
      </c>
      <c r="HZZ22" s="498">
        <v>1.58</v>
      </c>
      <c r="IAA22" s="498">
        <v>1</v>
      </c>
      <c r="IAB22" s="501">
        <v>6.75</v>
      </c>
      <c r="IAC22" s="486">
        <v>5.0999999999999996</v>
      </c>
      <c r="IAD22" s="452" t="s">
        <v>2691</v>
      </c>
      <c r="IAE22" s="498" t="s">
        <v>1620</v>
      </c>
      <c r="IAF22" s="498">
        <v>1</v>
      </c>
      <c r="IAG22" s="499">
        <v>1500000</v>
      </c>
      <c r="IAH22" s="498">
        <v>1.58</v>
      </c>
      <c r="IAI22" s="498">
        <v>1</v>
      </c>
      <c r="IAJ22" s="501">
        <v>6.75</v>
      </c>
      <c r="IAK22" s="486">
        <v>5.0999999999999996</v>
      </c>
      <c r="IAL22" s="452" t="s">
        <v>2691</v>
      </c>
      <c r="IAM22" s="498" t="s">
        <v>1620</v>
      </c>
      <c r="IAN22" s="498">
        <v>1</v>
      </c>
      <c r="IAO22" s="499">
        <v>1500000</v>
      </c>
      <c r="IAP22" s="498">
        <v>1.58</v>
      </c>
      <c r="IAQ22" s="498">
        <v>1</v>
      </c>
      <c r="IAR22" s="501">
        <v>6.75</v>
      </c>
      <c r="IAS22" s="486">
        <v>5.0999999999999996</v>
      </c>
      <c r="IAT22" s="452" t="s">
        <v>2691</v>
      </c>
      <c r="IAU22" s="498" t="s">
        <v>1620</v>
      </c>
      <c r="IAV22" s="498">
        <v>1</v>
      </c>
      <c r="IAW22" s="499">
        <v>1500000</v>
      </c>
      <c r="IAX22" s="498">
        <v>1.58</v>
      </c>
      <c r="IAY22" s="498">
        <v>1</v>
      </c>
      <c r="IAZ22" s="501">
        <v>6.75</v>
      </c>
      <c r="IBA22" s="486">
        <v>5.0999999999999996</v>
      </c>
      <c r="IBB22" s="452" t="s">
        <v>2691</v>
      </c>
      <c r="IBC22" s="498" t="s">
        <v>1620</v>
      </c>
      <c r="IBD22" s="498">
        <v>1</v>
      </c>
      <c r="IBE22" s="499">
        <v>1500000</v>
      </c>
      <c r="IBF22" s="498">
        <v>1.58</v>
      </c>
      <c r="IBG22" s="498">
        <v>1</v>
      </c>
      <c r="IBH22" s="501">
        <v>6.75</v>
      </c>
      <c r="IBI22" s="486">
        <v>5.0999999999999996</v>
      </c>
      <c r="IBJ22" s="452" t="s">
        <v>2691</v>
      </c>
      <c r="IBK22" s="498" t="s">
        <v>1620</v>
      </c>
      <c r="IBL22" s="498">
        <v>1</v>
      </c>
      <c r="IBM22" s="499">
        <v>1500000</v>
      </c>
      <c r="IBN22" s="498">
        <v>1.58</v>
      </c>
      <c r="IBO22" s="498">
        <v>1</v>
      </c>
      <c r="IBP22" s="501">
        <v>6.75</v>
      </c>
      <c r="IBQ22" s="486">
        <v>5.0999999999999996</v>
      </c>
      <c r="IBR22" s="452" t="s">
        <v>2691</v>
      </c>
      <c r="IBS22" s="498" t="s">
        <v>1620</v>
      </c>
      <c r="IBT22" s="498">
        <v>1</v>
      </c>
      <c r="IBU22" s="499">
        <v>1500000</v>
      </c>
      <c r="IBV22" s="498">
        <v>1.58</v>
      </c>
      <c r="IBW22" s="498">
        <v>1</v>
      </c>
      <c r="IBX22" s="501">
        <v>6.75</v>
      </c>
      <c r="IBY22" s="486">
        <v>5.0999999999999996</v>
      </c>
      <c r="IBZ22" s="452" t="s">
        <v>2691</v>
      </c>
      <c r="ICA22" s="498" t="s">
        <v>1620</v>
      </c>
      <c r="ICB22" s="498">
        <v>1</v>
      </c>
      <c r="ICC22" s="499">
        <v>1500000</v>
      </c>
      <c r="ICD22" s="498">
        <v>1.58</v>
      </c>
      <c r="ICE22" s="498">
        <v>1</v>
      </c>
      <c r="ICF22" s="501">
        <v>6.75</v>
      </c>
      <c r="ICG22" s="486">
        <v>5.0999999999999996</v>
      </c>
      <c r="ICH22" s="452" t="s">
        <v>2691</v>
      </c>
      <c r="ICI22" s="498" t="s">
        <v>1620</v>
      </c>
      <c r="ICJ22" s="498">
        <v>1</v>
      </c>
      <c r="ICK22" s="499">
        <v>1500000</v>
      </c>
      <c r="ICL22" s="498">
        <v>1.58</v>
      </c>
      <c r="ICM22" s="498">
        <v>1</v>
      </c>
      <c r="ICN22" s="501">
        <v>6.75</v>
      </c>
      <c r="ICO22" s="486">
        <v>5.0999999999999996</v>
      </c>
      <c r="ICP22" s="452" t="s">
        <v>2691</v>
      </c>
      <c r="ICQ22" s="498" t="s">
        <v>1620</v>
      </c>
      <c r="ICR22" s="498">
        <v>1</v>
      </c>
      <c r="ICS22" s="499">
        <v>1500000</v>
      </c>
      <c r="ICT22" s="498">
        <v>1.58</v>
      </c>
      <c r="ICU22" s="498">
        <v>1</v>
      </c>
      <c r="ICV22" s="501">
        <v>6.75</v>
      </c>
      <c r="ICW22" s="486">
        <v>5.0999999999999996</v>
      </c>
      <c r="ICX22" s="452" t="s">
        <v>2691</v>
      </c>
      <c r="ICY22" s="498" t="s">
        <v>1620</v>
      </c>
      <c r="ICZ22" s="498">
        <v>1</v>
      </c>
      <c r="IDA22" s="499">
        <v>1500000</v>
      </c>
      <c r="IDB22" s="498">
        <v>1.58</v>
      </c>
      <c r="IDC22" s="498">
        <v>1</v>
      </c>
      <c r="IDD22" s="501">
        <v>6.75</v>
      </c>
      <c r="IDE22" s="486">
        <v>5.0999999999999996</v>
      </c>
      <c r="IDF22" s="452" t="s">
        <v>2691</v>
      </c>
      <c r="IDG22" s="498" t="s">
        <v>1620</v>
      </c>
      <c r="IDH22" s="498">
        <v>1</v>
      </c>
      <c r="IDI22" s="499">
        <v>1500000</v>
      </c>
      <c r="IDJ22" s="498">
        <v>1.58</v>
      </c>
      <c r="IDK22" s="498">
        <v>1</v>
      </c>
      <c r="IDL22" s="501">
        <v>6.75</v>
      </c>
      <c r="IDM22" s="486">
        <v>5.0999999999999996</v>
      </c>
      <c r="IDN22" s="452" t="s">
        <v>2691</v>
      </c>
      <c r="IDO22" s="498" t="s">
        <v>1620</v>
      </c>
      <c r="IDP22" s="498">
        <v>1</v>
      </c>
      <c r="IDQ22" s="499">
        <v>1500000</v>
      </c>
      <c r="IDR22" s="498">
        <v>1.58</v>
      </c>
      <c r="IDS22" s="498">
        <v>1</v>
      </c>
      <c r="IDT22" s="501">
        <v>6.75</v>
      </c>
      <c r="IDU22" s="486">
        <v>5.0999999999999996</v>
      </c>
      <c r="IDV22" s="452" t="s">
        <v>2691</v>
      </c>
      <c r="IDW22" s="498" t="s">
        <v>1620</v>
      </c>
      <c r="IDX22" s="498">
        <v>1</v>
      </c>
      <c r="IDY22" s="499">
        <v>1500000</v>
      </c>
      <c r="IDZ22" s="498">
        <v>1.58</v>
      </c>
      <c r="IEA22" s="498">
        <v>1</v>
      </c>
      <c r="IEB22" s="501">
        <v>6.75</v>
      </c>
      <c r="IEC22" s="486">
        <v>5.0999999999999996</v>
      </c>
      <c r="IED22" s="452" t="s">
        <v>2691</v>
      </c>
      <c r="IEE22" s="498" t="s">
        <v>1620</v>
      </c>
      <c r="IEF22" s="498">
        <v>1</v>
      </c>
      <c r="IEG22" s="499">
        <v>1500000</v>
      </c>
      <c r="IEH22" s="498">
        <v>1.58</v>
      </c>
      <c r="IEI22" s="498">
        <v>1</v>
      </c>
      <c r="IEJ22" s="501">
        <v>6.75</v>
      </c>
      <c r="IEK22" s="486">
        <v>5.0999999999999996</v>
      </c>
      <c r="IEL22" s="452" t="s">
        <v>2691</v>
      </c>
      <c r="IEM22" s="498" t="s">
        <v>1620</v>
      </c>
      <c r="IEN22" s="498">
        <v>1</v>
      </c>
      <c r="IEO22" s="499">
        <v>1500000</v>
      </c>
      <c r="IEP22" s="498">
        <v>1.58</v>
      </c>
      <c r="IEQ22" s="498">
        <v>1</v>
      </c>
      <c r="IER22" s="501">
        <v>6.75</v>
      </c>
      <c r="IES22" s="486">
        <v>5.0999999999999996</v>
      </c>
      <c r="IET22" s="452" t="s">
        <v>2691</v>
      </c>
      <c r="IEU22" s="498" t="s">
        <v>1620</v>
      </c>
      <c r="IEV22" s="498">
        <v>1</v>
      </c>
      <c r="IEW22" s="499">
        <v>1500000</v>
      </c>
      <c r="IEX22" s="498">
        <v>1.58</v>
      </c>
      <c r="IEY22" s="498">
        <v>1</v>
      </c>
      <c r="IEZ22" s="501">
        <v>6.75</v>
      </c>
      <c r="IFA22" s="486">
        <v>5.0999999999999996</v>
      </c>
      <c r="IFB22" s="452" t="s">
        <v>2691</v>
      </c>
      <c r="IFC22" s="498" t="s">
        <v>1620</v>
      </c>
      <c r="IFD22" s="498">
        <v>1</v>
      </c>
      <c r="IFE22" s="499">
        <v>1500000</v>
      </c>
      <c r="IFF22" s="498">
        <v>1.58</v>
      </c>
      <c r="IFG22" s="498">
        <v>1</v>
      </c>
      <c r="IFH22" s="501">
        <v>6.75</v>
      </c>
      <c r="IFI22" s="486">
        <v>5.0999999999999996</v>
      </c>
      <c r="IFJ22" s="452" t="s">
        <v>2691</v>
      </c>
      <c r="IFK22" s="498" t="s">
        <v>1620</v>
      </c>
      <c r="IFL22" s="498">
        <v>1</v>
      </c>
      <c r="IFM22" s="499">
        <v>1500000</v>
      </c>
      <c r="IFN22" s="498">
        <v>1.58</v>
      </c>
      <c r="IFO22" s="498">
        <v>1</v>
      </c>
      <c r="IFP22" s="501">
        <v>6.75</v>
      </c>
      <c r="IFQ22" s="486">
        <v>5.0999999999999996</v>
      </c>
      <c r="IFR22" s="452" t="s">
        <v>2691</v>
      </c>
      <c r="IFS22" s="498" t="s">
        <v>1620</v>
      </c>
      <c r="IFT22" s="498">
        <v>1</v>
      </c>
      <c r="IFU22" s="499">
        <v>1500000</v>
      </c>
      <c r="IFV22" s="498">
        <v>1.58</v>
      </c>
      <c r="IFW22" s="498">
        <v>1</v>
      </c>
      <c r="IFX22" s="501">
        <v>6.75</v>
      </c>
      <c r="IFY22" s="486">
        <v>5.0999999999999996</v>
      </c>
      <c r="IFZ22" s="452" t="s">
        <v>2691</v>
      </c>
      <c r="IGA22" s="498" t="s">
        <v>1620</v>
      </c>
      <c r="IGB22" s="498">
        <v>1</v>
      </c>
      <c r="IGC22" s="499">
        <v>1500000</v>
      </c>
      <c r="IGD22" s="498">
        <v>1.58</v>
      </c>
      <c r="IGE22" s="498">
        <v>1</v>
      </c>
      <c r="IGF22" s="501">
        <v>6.75</v>
      </c>
      <c r="IGG22" s="486">
        <v>5.0999999999999996</v>
      </c>
      <c r="IGH22" s="452" t="s">
        <v>2691</v>
      </c>
      <c r="IGI22" s="498" t="s">
        <v>1620</v>
      </c>
      <c r="IGJ22" s="498">
        <v>1</v>
      </c>
      <c r="IGK22" s="499">
        <v>1500000</v>
      </c>
      <c r="IGL22" s="498">
        <v>1.58</v>
      </c>
      <c r="IGM22" s="498">
        <v>1</v>
      </c>
      <c r="IGN22" s="501">
        <v>6.75</v>
      </c>
      <c r="IGO22" s="486">
        <v>5.0999999999999996</v>
      </c>
      <c r="IGP22" s="452" t="s">
        <v>2691</v>
      </c>
      <c r="IGQ22" s="498" t="s">
        <v>1620</v>
      </c>
      <c r="IGR22" s="498">
        <v>1</v>
      </c>
      <c r="IGS22" s="499">
        <v>1500000</v>
      </c>
      <c r="IGT22" s="498">
        <v>1.58</v>
      </c>
      <c r="IGU22" s="498">
        <v>1</v>
      </c>
      <c r="IGV22" s="501">
        <v>6.75</v>
      </c>
      <c r="IGW22" s="486">
        <v>5.0999999999999996</v>
      </c>
      <c r="IGX22" s="452" t="s">
        <v>2691</v>
      </c>
      <c r="IGY22" s="498" t="s">
        <v>1620</v>
      </c>
      <c r="IGZ22" s="498">
        <v>1</v>
      </c>
      <c r="IHA22" s="499">
        <v>1500000</v>
      </c>
      <c r="IHB22" s="498">
        <v>1.58</v>
      </c>
      <c r="IHC22" s="498">
        <v>1</v>
      </c>
      <c r="IHD22" s="501">
        <v>6.75</v>
      </c>
      <c r="IHE22" s="486">
        <v>5.0999999999999996</v>
      </c>
      <c r="IHF22" s="452" t="s">
        <v>2691</v>
      </c>
      <c r="IHG22" s="498" t="s">
        <v>1620</v>
      </c>
      <c r="IHH22" s="498">
        <v>1</v>
      </c>
      <c r="IHI22" s="499">
        <v>1500000</v>
      </c>
      <c r="IHJ22" s="498">
        <v>1.58</v>
      </c>
      <c r="IHK22" s="498">
        <v>1</v>
      </c>
      <c r="IHL22" s="501">
        <v>6.75</v>
      </c>
      <c r="IHM22" s="486">
        <v>5.0999999999999996</v>
      </c>
      <c r="IHN22" s="452" t="s">
        <v>2691</v>
      </c>
      <c r="IHO22" s="498" t="s">
        <v>1620</v>
      </c>
      <c r="IHP22" s="498">
        <v>1</v>
      </c>
      <c r="IHQ22" s="499">
        <v>1500000</v>
      </c>
      <c r="IHR22" s="498">
        <v>1.58</v>
      </c>
      <c r="IHS22" s="498">
        <v>1</v>
      </c>
      <c r="IHT22" s="501">
        <v>6.75</v>
      </c>
      <c r="IHU22" s="486">
        <v>5.0999999999999996</v>
      </c>
      <c r="IHV22" s="452" t="s">
        <v>2691</v>
      </c>
      <c r="IHW22" s="498" t="s">
        <v>1620</v>
      </c>
      <c r="IHX22" s="498">
        <v>1</v>
      </c>
      <c r="IHY22" s="499">
        <v>1500000</v>
      </c>
      <c r="IHZ22" s="498">
        <v>1.58</v>
      </c>
      <c r="IIA22" s="498">
        <v>1</v>
      </c>
      <c r="IIB22" s="501">
        <v>6.75</v>
      </c>
      <c r="IIC22" s="486">
        <v>5.0999999999999996</v>
      </c>
      <c r="IID22" s="452" t="s">
        <v>2691</v>
      </c>
      <c r="IIE22" s="498" t="s">
        <v>1620</v>
      </c>
      <c r="IIF22" s="498">
        <v>1</v>
      </c>
      <c r="IIG22" s="499">
        <v>1500000</v>
      </c>
      <c r="IIH22" s="498">
        <v>1.58</v>
      </c>
      <c r="III22" s="498">
        <v>1</v>
      </c>
      <c r="IIJ22" s="501">
        <v>6.75</v>
      </c>
      <c r="IIK22" s="486">
        <v>5.0999999999999996</v>
      </c>
      <c r="IIL22" s="452" t="s">
        <v>2691</v>
      </c>
      <c r="IIM22" s="498" t="s">
        <v>1620</v>
      </c>
      <c r="IIN22" s="498">
        <v>1</v>
      </c>
      <c r="IIO22" s="499">
        <v>1500000</v>
      </c>
      <c r="IIP22" s="498">
        <v>1.58</v>
      </c>
      <c r="IIQ22" s="498">
        <v>1</v>
      </c>
      <c r="IIR22" s="501">
        <v>6.75</v>
      </c>
      <c r="IIS22" s="486">
        <v>5.0999999999999996</v>
      </c>
      <c r="IIT22" s="452" t="s">
        <v>2691</v>
      </c>
      <c r="IIU22" s="498" t="s">
        <v>1620</v>
      </c>
      <c r="IIV22" s="498">
        <v>1</v>
      </c>
      <c r="IIW22" s="499">
        <v>1500000</v>
      </c>
      <c r="IIX22" s="498">
        <v>1.58</v>
      </c>
      <c r="IIY22" s="498">
        <v>1</v>
      </c>
      <c r="IIZ22" s="501">
        <v>6.75</v>
      </c>
      <c r="IJA22" s="486">
        <v>5.0999999999999996</v>
      </c>
      <c r="IJB22" s="452" t="s">
        <v>2691</v>
      </c>
      <c r="IJC22" s="498" t="s">
        <v>1620</v>
      </c>
      <c r="IJD22" s="498">
        <v>1</v>
      </c>
      <c r="IJE22" s="499">
        <v>1500000</v>
      </c>
      <c r="IJF22" s="498">
        <v>1.58</v>
      </c>
      <c r="IJG22" s="498">
        <v>1</v>
      </c>
      <c r="IJH22" s="501">
        <v>6.75</v>
      </c>
      <c r="IJI22" s="486">
        <v>5.0999999999999996</v>
      </c>
      <c r="IJJ22" s="452" t="s">
        <v>2691</v>
      </c>
      <c r="IJK22" s="498" t="s">
        <v>1620</v>
      </c>
      <c r="IJL22" s="498">
        <v>1</v>
      </c>
      <c r="IJM22" s="499">
        <v>1500000</v>
      </c>
      <c r="IJN22" s="498">
        <v>1.58</v>
      </c>
      <c r="IJO22" s="498">
        <v>1</v>
      </c>
      <c r="IJP22" s="501">
        <v>6.75</v>
      </c>
      <c r="IJQ22" s="486">
        <v>5.0999999999999996</v>
      </c>
      <c r="IJR22" s="452" t="s">
        <v>2691</v>
      </c>
      <c r="IJS22" s="498" t="s">
        <v>1620</v>
      </c>
      <c r="IJT22" s="498">
        <v>1</v>
      </c>
      <c r="IJU22" s="499">
        <v>1500000</v>
      </c>
      <c r="IJV22" s="498">
        <v>1.58</v>
      </c>
      <c r="IJW22" s="498">
        <v>1</v>
      </c>
      <c r="IJX22" s="501">
        <v>6.75</v>
      </c>
      <c r="IJY22" s="486">
        <v>5.0999999999999996</v>
      </c>
      <c r="IJZ22" s="452" t="s">
        <v>2691</v>
      </c>
      <c r="IKA22" s="498" t="s">
        <v>1620</v>
      </c>
      <c r="IKB22" s="498">
        <v>1</v>
      </c>
      <c r="IKC22" s="499">
        <v>1500000</v>
      </c>
      <c r="IKD22" s="498">
        <v>1.58</v>
      </c>
      <c r="IKE22" s="498">
        <v>1</v>
      </c>
      <c r="IKF22" s="501">
        <v>6.75</v>
      </c>
      <c r="IKG22" s="486">
        <v>5.0999999999999996</v>
      </c>
      <c r="IKH22" s="452" t="s">
        <v>2691</v>
      </c>
      <c r="IKI22" s="498" t="s">
        <v>1620</v>
      </c>
      <c r="IKJ22" s="498">
        <v>1</v>
      </c>
      <c r="IKK22" s="499">
        <v>1500000</v>
      </c>
      <c r="IKL22" s="498">
        <v>1.58</v>
      </c>
      <c r="IKM22" s="498">
        <v>1</v>
      </c>
      <c r="IKN22" s="501">
        <v>6.75</v>
      </c>
      <c r="IKO22" s="486">
        <v>5.0999999999999996</v>
      </c>
      <c r="IKP22" s="452" t="s">
        <v>2691</v>
      </c>
      <c r="IKQ22" s="498" t="s">
        <v>1620</v>
      </c>
      <c r="IKR22" s="498">
        <v>1</v>
      </c>
      <c r="IKS22" s="499">
        <v>1500000</v>
      </c>
      <c r="IKT22" s="498">
        <v>1.58</v>
      </c>
      <c r="IKU22" s="498">
        <v>1</v>
      </c>
      <c r="IKV22" s="501">
        <v>6.75</v>
      </c>
      <c r="IKW22" s="486">
        <v>5.0999999999999996</v>
      </c>
      <c r="IKX22" s="452" t="s">
        <v>2691</v>
      </c>
      <c r="IKY22" s="498" t="s">
        <v>1620</v>
      </c>
      <c r="IKZ22" s="498">
        <v>1</v>
      </c>
      <c r="ILA22" s="499">
        <v>1500000</v>
      </c>
      <c r="ILB22" s="498">
        <v>1.58</v>
      </c>
      <c r="ILC22" s="498">
        <v>1</v>
      </c>
      <c r="ILD22" s="501">
        <v>6.75</v>
      </c>
      <c r="ILE22" s="486">
        <v>5.0999999999999996</v>
      </c>
      <c r="ILF22" s="452" t="s">
        <v>2691</v>
      </c>
      <c r="ILG22" s="498" t="s">
        <v>1620</v>
      </c>
      <c r="ILH22" s="498">
        <v>1</v>
      </c>
      <c r="ILI22" s="499">
        <v>1500000</v>
      </c>
      <c r="ILJ22" s="498">
        <v>1.58</v>
      </c>
      <c r="ILK22" s="498">
        <v>1</v>
      </c>
      <c r="ILL22" s="501">
        <v>6.75</v>
      </c>
      <c r="ILM22" s="486">
        <v>5.0999999999999996</v>
      </c>
      <c r="ILN22" s="452" t="s">
        <v>2691</v>
      </c>
      <c r="ILO22" s="498" t="s">
        <v>1620</v>
      </c>
      <c r="ILP22" s="498">
        <v>1</v>
      </c>
      <c r="ILQ22" s="499">
        <v>1500000</v>
      </c>
      <c r="ILR22" s="498">
        <v>1.58</v>
      </c>
      <c r="ILS22" s="498">
        <v>1</v>
      </c>
      <c r="ILT22" s="501">
        <v>6.75</v>
      </c>
      <c r="ILU22" s="486">
        <v>5.0999999999999996</v>
      </c>
      <c r="ILV22" s="452" t="s">
        <v>2691</v>
      </c>
      <c r="ILW22" s="498" t="s">
        <v>1620</v>
      </c>
      <c r="ILX22" s="498">
        <v>1</v>
      </c>
      <c r="ILY22" s="499">
        <v>1500000</v>
      </c>
      <c r="ILZ22" s="498">
        <v>1.58</v>
      </c>
      <c r="IMA22" s="498">
        <v>1</v>
      </c>
      <c r="IMB22" s="501">
        <v>6.75</v>
      </c>
      <c r="IMC22" s="486">
        <v>5.0999999999999996</v>
      </c>
      <c r="IMD22" s="452" t="s">
        <v>2691</v>
      </c>
      <c r="IME22" s="498" t="s">
        <v>1620</v>
      </c>
      <c r="IMF22" s="498">
        <v>1</v>
      </c>
      <c r="IMG22" s="499">
        <v>1500000</v>
      </c>
      <c r="IMH22" s="498">
        <v>1.58</v>
      </c>
      <c r="IMI22" s="498">
        <v>1</v>
      </c>
      <c r="IMJ22" s="501">
        <v>6.75</v>
      </c>
      <c r="IMK22" s="486">
        <v>5.0999999999999996</v>
      </c>
      <c r="IML22" s="452" t="s">
        <v>2691</v>
      </c>
      <c r="IMM22" s="498" t="s">
        <v>1620</v>
      </c>
      <c r="IMN22" s="498">
        <v>1</v>
      </c>
      <c r="IMO22" s="499">
        <v>1500000</v>
      </c>
      <c r="IMP22" s="498">
        <v>1.58</v>
      </c>
      <c r="IMQ22" s="498">
        <v>1</v>
      </c>
      <c r="IMR22" s="501">
        <v>6.75</v>
      </c>
      <c r="IMS22" s="486">
        <v>5.0999999999999996</v>
      </c>
      <c r="IMT22" s="452" t="s">
        <v>2691</v>
      </c>
      <c r="IMU22" s="498" t="s">
        <v>1620</v>
      </c>
      <c r="IMV22" s="498">
        <v>1</v>
      </c>
      <c r="IMW22" s="499">
        <v>1500000</v>
      </c>
      <c r="IMX22" s="498">
        <v>1.58</v>
      </c>
      <c r="IMY22" s="498">
        <v>1</v>
      </c>
      <c r="IMZ22" s="501">
        <v>6.75</v>
      </c>
      <c r="INA22" s="486">
        <v>5.0999999999999996</v>
      </c>
      <c r="INB22" s="452" t="s">
        <v>2691</v>
      </c>
      <c r="INC22" s="498" t="s">
        <v>1620</v>
      </c>
      <c r="IND22" s="498">
        <v>1</v>
      </c>
      <c r="INE22" s="499">
        <v>1500000</v>
      </c>
      <c r="INF22" s="498">
        <v>1.58</v>
      </c>
      <c r="ING22" s="498">
        <v>1</v>
      </c>
      <c r="INH22" s="501">
        <v>6.75</v>
      </c>
      <c r="INI22" s="486">
        <v>5.0999999999999996</v>
      </c>
      <c r="INJ22" s="452" t="s">
        <v>2691</v>
      </c>
      <c r="INK22" s="498" t="s">
        <v>1620</v>
      </c>
      <c r="INL22" s="498">
        <v>1</v>
      </c>
      <c r="INM22" s="499">
        <v>1500000</v>
      </c>
      <c r="INN22" s="498">
        <v>1.58</v>
      </c>
      <c r="INO22" s="498">
        <v>1</v>
      </c>
      <c r="INP22" s="501">
        <v>6.75</v>
      </c>
      <c r="INQ22" s="486">
        <v>5.0999999999999996</v>
      </c>
      <c r="INR22" s="452" t="s">
        <v>2691</v>
      </c>
      <c r="INS22" s="498" t="s">
        <v>1620</v>
      </c>
      <c r="INT22" s="498">
        <v>1</v>
      </c>
      <c r="INU22" s="499">
        <v>1500000</v>
      </c>
      <c r="INV22" s="498">
        <v>1.58</v>
      </c>
      <c r="INW22" s="498">
        <v>1</v>
      </c>
      <c r="INX22" s="501">
        <v>6.75</v>
      </c>
      <c r="INY22" s="486">
        <v>5.0999999999999996</v>
      </c>
      <c r="INZ22" s="452" t="s">
        <v>2691</v>
      </c>
      <c r="IOA22" s="498" t="s">
        <v>1620</v>
      </c>
      <c r="IOB22" s="498">
        <v>1</v>
      </c>
      <c r="IOC22" s="499">
        <v>1500000</v>
      </c>
      <c r="IOD22" s="498">
        <v>1.58</v>
      </c>
      <c r="IOE22" s="498">
        <v>1</v>
      </c>
      <c r="IOF22" s="501">
        <v>6.75</v>
      </c>
      <c r="IOG22" s="486">
        <v>5.0999999999999996</v>
      </c>
      <c r="IOH22" s="452" t="s">
        <v>2691</v>
      </c>
      <c r="IOI22" s="498" t="s">
        <v>1620</v>
      </c>
      <c r="IOJ22" s="498">
        <v>1</v>
      </c>
      <c r="IOK22" s="499">
        <v>1500000</v>
      </c>
      <c r="IOL22" s="498">
        <v>1.58</v>
      </c>
      <c r="IOM22" s="498">
        <v>1</v>
      </c>
      <c r="ION22" s="501">
        <v>6.75</v>
      </c>
      <c r="IOO22" s="486">
        <v>5.0999999999999996</v>
      </c>
      <c r="IOP22" s="452" t="s">
        <v>2691</v>
      </c>
      <c r="IOQ22" s="498" t="s">
        <v>1620</v>
      </c>
      <c r="IOR22" s="498">
        <v>1</v>
      </c>
      <c r="IOS22" s="499">
        <v>1500000</v>
      </c>
      <c r="IOT22" s="498">
        <v>1.58</v>
      </c>
      <c r="IOU22" s="498">
        <v>1</v>
      </c>
      <c r="IOV22" s="501">
        <v>6.75</v>
      </c>
      <c r="IOW22" s="486">
        <v>5.0999999999999996</v>
      </c>
      <c r="IOX22" s="452" t="s">
        <v>2691</v>
      </c>
      <c r="IOY22" s="498" t="s">
        <v>1620</v>
      </c>
      <c r="IOZ22" s="498">
        <v>1</v>
      </c>
      <c r="IPA22" s="499">
        <v>1500000</v>
      </c>
      <c r="IPB22" s="498">
        <v>1.58</v>
      </c>
      <c r="IPC22" s="498">
        <v>1</v>
      </c>
      <c r="IPD22" s="501">
        <v>6.75</v>
      </c>
      <c r="IPE22" s="486">
        <v>5.0999999999999996</v>
      </c>
      <c r="IPF22" s="452" t="s">
        <v>2691</v>
      </c>
      <c r="IPG22" s="498" t="s">
        <v>1620</v>
      </c>
      <c r="IPH22" s="498">
        <v>1</v>
      </c>
      <c r="IPI22" s="499">
        <v>1500000</v>
      </c>
      <c r="IPJ22" s="498">
        <v>1.58</v>
      </c>
      <c r="IPK22" s="498">
        <v>1</v>
      </c>
      <c r="IPL22" s="501">
        <v>6.75</v>
      </c>
      <c r="IPM22" s="486">
        <v>5.0999999999999996</v>
      </c>
      <c r="IPN22" s="452" t="s">
        <v>2691</v>
      </c>
      <c r="IPO22" s="498" t="s">
        <v>1620</v>
      </c>
      <c r="IPP22" s="498">
        <v>1</v>
      </c>
      <c r="IPQ22" s="499">
        <v>1500000</v>
      </c>
      <c r="IPR22" s="498">
        <v>1.58</v>
      </c>
      <c r="IPS22" s="498">
        <v>1</v>
      </c>
      <c r="IPT22" s="501">
        <v>6.75</v>
      </c>
      <c r="IPU22" s="486">
        <v>5.0999999999999996</v>
      </c>
      <c r="IPV22" s="452" t="s">
        <v>2691</v>
      </c>
      <c r="IPW22" s="498" t="s">
        <v>1620</v>
      </c>
      <c r="IPX22" s="498">
        <v>1</v>
      </c>
      <c r="IPY22" s="499">
        <v>1500000</v>
      </c>
      <c r="IPZ22" s="498">
        <v>1.58</v>
      </c>
      <c r="IQA22" s="498">
        <v>1</v>
      </c>
      <c r="IQB22" s="501">
        <v>6.75</v>
      </c>
      <c r="IQC22" s="486">
        <v>5.0999999999999996</v>
      </c>
      <c r="IQD22" s="452" t="s">
        <v>2691</v>
      </c>
      <c r="IQE22" s="498" t="s">
        <v>1620</v>
      </c>
      <c r="IQF22" s="498">
        <v>1</v>
      </c>
      <c r="IQG22" s="499">
        <v>1500000</v>
      </c>
      <c r="IQH22" s="498">
        <v>1.58</v>
      </c>
      <c r="IQI22" s="498">
        <v>1</v>
      </c>
      <c r="IQJ22" s="501">
        <v>6.75</v>
      </c>
      <c r="IQK22" s="486">
        <v>5.0999999999999996</v>
      </c>
      <c r="IQL22" s="452" t="s">
        <v>2691</v>
      </c>
      <c r="IQM22" s="498" t="s">
        <v>1620</v>
      </c>
      <c r="IQN22" s="498">
        <v>1</v>
      </c>
      <c r="IQO22" s="499">
        <v>1500000</v>
      </c>
      <c r="IQP22" s="498">
        <v>1.58</v>
      </c>
      <c r="IQQ22" s="498">
        <v>1</v>
      </c>
      <c r="IQR22" s="501">
        <v>6.75</v>
      </c>
      <c r="IQS22" s="486">
        <v>5.0999999999999996</v>
      </c>
      <c r="IQT22" s="452" t="s">
        <v>2691</v>
      </c>
      <c r="IQU22" s="498" t="s">
        <v>1620</v>
      </c>
      <c r="IQV22" s="498">
        <v>1</v>
      </c>
      <c r="IQW22" s="499">
        <v>1500000</v>
      </c>
      <c r="IQX22" s="498">
        <v>1.58</v>
      </c>
      <c r="IQY22" s="498">
        <v>1</v>
      </c>
      <c r="IQZ22" s="501">
        <v>6.75</v>
      </c>
      <c r="IRA22" s="486">
        <v>5.0999999999999996</v>
      </c>
      <c r="IRB22" s="452" t="s">
        <v>2691</v>
      </c>
      <c r="IRC22" s="498" t="s">
        <v>1620</v>
      </c>
      <c r="IRD22" s="498">
        <v>1</v>
      </c>
      <c r="IRE22" s="499">
        <v>1500000</v>
      </c>
      <c r="IRF22" s="498">
        <v>1.58</v>
      </c>
      <c r="IRG22" s="498">
        <v>1</v>
      </c>
      <c r="IRH22" s="501">
        <v>6.75</v>
      </c>
      <c r="IRI22" s="486">
        <v>5.0999999999999996</v>
      </c>
      <c r="IRJ22" s="452" t="s">
        <v>2691</v>
      </c>
      <c r="IRK22" s="498" t="s">
        <v>1620</v>
      </c>
      <c r="IRL22" s="498">
        <v>1</v>
      </c>
      <c r="IRM22" s="499">
        <v>1500000</v>
      </c>
      <c r="IRN22" s="498">
        <v>1.58</v>
      </c>
      <c r="IRO22" s="498">
        <v>1</v>
      </c>
      <c r="IRP22" s="501">
        <v>6.75</v>
      </c>
      <c r="IRQ22" s="486">
        <v>5.0999999999999996</v>
      </c>
      <c r="IRR22" s="452" t="s">
        <v>2691</v>
      </c>
      <c r="IRS22" s="498" t="s">
        <v>1620</v>
      </c>
      <c r="IRT22" s="498">
        <v>1</v>
      </c>
      <c r="IRU22" s="499">
        <v>1500000</v>
      </c>
      <c r="IRV22" s="498">
        <v>1.58</v>
      </c>
      <c r="IRW22" s="498">
        <v>1</v>
      </c>
      <c r="IRX22" s="501">
        <v>6.75</v>
      </c>
      <c r="IRY22" s="486">
        <v>5.0999999999999996</v>
      </c>
      <c r="IRZ22" s="452" t="s">
        <v>2691</v>
      </c>
      <c r="ISA22" s="498" t="s">
        <v>1620</v>
      </c>
      <c r="ISB22" s="498">
        <v>1</v>
      </c>
      <c r="ISC22" s="499">
        <v>1500000</v>
      </c>
      <c r="ISD22" s="498">
        <v>1.58</v>
      </c>
      <c r="ISE22" s="498">
        <v>1</v>
      </c>
      <c r="ISF22" s="501">
        <v>6.75</v>
      </c>
      <c r="ISG22" s="486">
        <v>5.0999999999999996</v>
      </c>
      <c r="ISH22" s="452" t="s">
        <v>2691</v>
      </c>
      <c r="ISI22" s="498" t="s">
        <v>1620</v>
      </c>
      <c r="ISJ22" s="498">
        <v>1</v>
      </c>
      <c r="ISK22" s="499">
        <v>1500000</v>
      </c>
      <c r="ISL22" s="498">
        <v>1.58</v>
      </c>
      <c r="ISM22" s="498">
        <v>1</v>
      </c>
      <c r="ISN22" s="501">
        <v>6.75</v>
      </c>
      <c r="ISO22" s="486">
        <v>5.0999999999999996</v>
      </c>
      <c r="ISP22" s="452" t="s">
        <v>2691</v>
      </c>
      <c r="ISQ22" s="498" t="s">
        <v>1620</v>
      </c>
      <c r="ISR22" s="498">
        <v>1</v>
      </c>
      <c r="ISS22" s="499">
        <v>1500000</v>
      </c>
      <c r="IST22" s="498">
        <v>1.58</v>
      </c>
      <c r="ISU22" s="498">
        <v>1</v>
      </c>
      <c r="ISV22" s="501">
        <v>6.75</v>
      </c>
      <c r="ISW22" s="486">
        <v>5.0999999999999996</v>
      </c>
      <c r="ISX22" s="452" t="s">
        <v>2691</v>
      </c>
      <c r="ISY22" s="498" t="s">
        <v>1620</v>
      </c>
      <c r="ISZ22" s="498">
        <v>1</v>
      </c>
      <c r="ITA22" s="499">
        <v>1500000</v>
      </c>
      <c r="ITB22" s="498">
        <v>1.58</v>
      </c>
      <c r="ITC22" s="498">
        <v>1</v>
      </c>
      <c r="ITD22" s="501">
        <v>6.75</v>
      </c>
      <c r="ITE22" s="486">
        <v>5.0999999999999996</v>
      </c>
      <c r="ITF22" s="452" t="s">
        <v>2691</v>
      </c>
      <c r="ITG22" s="498" t="s">
        <v>1620</v>
      </c>
      <c r="ITH22" s="498">
        <v>1</v>
      </c>
      <c r="ITI22" s="499">
        <v>1500000</v>
      </c>
      <c r="ITJ22" s="498">
        <v>1.58</v>
      </c>
      <c r="ITK22" s="498">
        <v>1</v>
      </c>
      <c r="ITL22" s="501">
        <v>6.75</v>
      </c>
      <c r="ITM22" s="486">
        <v>5.0999999999999996</v>
      </c>
      <c r="ITN22" s="452" t="s">
        <v>2691</v>
      </c>
      <c r="ITO22" s="498" t="s">
        <v>1620</v>
      </c>
      <c r="ITP22" s="498">
        <v>1</v>
      </c>
      <c r="ITQ22" s="499">
        <v>1500000</v>
      </c>
      <c r="ITR22" s="498">
        <v>1.58</v>
      </c>
      <c r="ITS22" s="498">
        <v>1</v>
      </c>
      <c r="ITT22" s="501">
        <v>6.75</v>
      </c>
      <c r="ITU22" s="486">
        <v>5.0999999999999996</v>
      </c>
      <c r="ITV22" s="452" t="s">
        <v>2691</v>
      </c>
      <c r="ITW22" s="498" t="s">
        <v>1620</v>
      </c>
      <c r="ITX22" s="498">
        <v>1</v>
      </c>
      <c r="ITY22" s="499">
        <v>1500000</v>
      </c>
      <c r="ITZ22" s="498">
        <v>1.58</v>
      </c>
      <c r="IUA22" s="498">
        <v>1</v>
      </c>
      <c r="IUB22" s="501">
        <v>6.75</v>
      </c>
      <c r="IUC22" s="486">
        <v>5.0999999999999996</v>
      </c>
      <c r="IUD22" s="452" t="s">
        <v>2691</v>
      </c>
      <c r="IUE22" s="498" t="s">
        <v>1620</v>
      </c>
      <c r="IUF22" s="498">
        <v>1</v>
      </c>
      <c r="IUG22" s="499">
        <v>1500000</v>
      </c>
      <c r="IUH22" s="498">
        <v>1.58</v>
      </c>
      <c r="IUI22" s="498">
        <v>1</v>
      </c>
      <c r="IUJ22" s="501">
        <v>6.75</v>
      </c>
      <c r="IUK22" s="486">
        <v>5.0999999999999996</v>
      </c>
      <c r="IUL22" s="452" t="s">
        <v>2691</v>
      </c>
      <c r="IUM22" s="498" t="s">
        <v>1620</v>
      </c>
      <c r="IUN22" s="498">
        <v>1</v>
      </c>
      <c r="IUO22" s="499">
        <v>1500000</v>
      </c>
      <c r="IUP22" s="498">
        <v>1.58</v>
      </c>
      <c r="IUQ22" s="498">
        <v>1</v>
      </c>
      <c r="IUR22" s="501">
        <v>6.75</v>
      </c>
      <c r="IUS22" s="486">
        <v>5.0999999999999996</v>
      </c>
      <c r="IUT22" s="452" t="s">
        <v>2691</v>
      </c>
      <c r="IUU22" s="498" t="s">
        <v>1620</v>
      </c>
      <c r="IUV22" s="498">
        <v>1</v>
      </c>
      <c r="IUW22" s="499">
        <v>1500000</v>
      </c>
      <c r="IUX22" s="498">
        <v>1.58</v>
      </c>
      <c r="IUY22" s="498">
        <v>1</v>
      </c>
      <c r="IUZ22" s="501">
        <v>6.75</v>
      </c>
      <c r="IVA22" s="486">
        <v>5.0999999999999996</v>
      </c>
      <c r="IVB22" s="452" t="s">
        <v>2691</v>
      </c>
      <c r="IVC22" s="498" t="s">
        <v>1620</v>
      </c>
      <c r="IVD22" s="498">
        <v>1</v>
      </c>
      <c r="IVE22" s="499">
        <v>1500000</v>
      </c>
      <c r="IVF22" s="498">
        <v>1.58</v>
      </c>
      <c r="IVG22" s="498">
        <v>1</v>
      </c>
      <c r="IVH22" s="501">
        <v>6.75</v>
      </c>
      <c r="IVI22" s="486">
        <v>5.0999999999999996</v>
      </c>
      <c r="IVJ22" s="452" t="s">
        <v>2691</v>
      </c>
      <c r="IVK22" s="498" t="s">
        <v>1620</v>
      </c>
      <c r="IVL22" s="498">
        <v>1</v>
      </c>
      <c r="IVM22" s="499">
        <v>1500000</v>
      </c>
      <c r="IVN22" s="498">
        <v>1.58</v>
      </c>
      <c r="IVO22" s="498">
        <v>1</v>
      </c>
      <c r="IVP22" s="501">
        <v>6.75</v>
      </c>
      <c r="IVQ22" s="486">
        <v>5.0999999999999996</v>
      </c>
      <c r="IVR22" s="452" t="s">
        <v>2691</v>
      </c>
      <c r="IVS22" s="498" t="s">
        <v>1620</v>
      </c>
      <c r="IVT22" s="498">
        <v>1</v>
      </c>
      <c r="IVU22" s="499">
        <v>1500000</v>
      </c>
      <c r="IVV22" s="498">
        <v>1.58</v>
      </c>
      <c r="IVW22" s="498">
        <v>1</v>
      </c>
      <c r="IVX22" s="501">
        <v>6.75</v>
      </c>
      <c r="IVY22" s="486">
        <v>5.0999999999999996</v>
      </c>
      <c r="IVZ22" s="452" t="s">
        <v>2691</v>
      </c>
      <c r="IWA22" s="498" t="s">
        <v>1620</v>
      </c>
      <c r="IWB22" s="498">
        <v>1</v>
      </c>
      <c r="IWC22" s="499">
        <v>1500000</v>
      </c>
      <c r="IWD22" s="498">
        <v>1.58</v>
      </c>
      <c r="IWE22" s="498">
        <v>1</v>
      </c>
      <c r="IWF22" s="501">
        <v>6.75</v>
      </c>
      <c r="IWG22" s="486">
        <v>5.0999999999999996</v>
      </c>
      <c r="IWH22" s="452" t="s">
        <v>2691</v>
      </c>
      <c r="IWI22" s="498" t="s">
        <v>1620</v>
      </c>
      <c r="IWJ22" s="498">
        <v>1</v>
      </c>
      <c r="IWK22" s="499">
        <v>1500000</v>
      </c>
      <c r="IWL22" s="498">
        <v>1.58</v>
      </c>
      <c r="IWM22" s="498">
        <v>1</v>
      </c>
      <c r="IWN22" s="501">
        <v>6.75</v>
      </c>
      <c r="IWO22" s="486">
        <v>5.0999999999999996</v>
      </c>
      <c r="IWP22" s="452" t="s">
        <v>2691</v>
      </c>
      <c r="IWQ22" s="498" t="s">
        <v>1620</v>
      </c>
      <c r="IWR22" s="498">
        <v>1</v>
      </c>
      <c r="IWS22" s="499">
        <v>1500000</v>
      </c>
      <c r="IWT22" s="498">
        <v>1.58</v>
      </c>
      <c r="IWU22" s="498">
        <v>1</v>
      </c>
      <c r="IWV22" s="501">
        <v>6.75</v>
      </c>
      <c r="IWW22" s="486">
        <v>5.0999999999999996</v>
      </c>
      <c r="IWX22" s="452" t="s">
        <v>2691</v>
      </c>
      <c r="IWY22" s="498" t="s">
        <v>1620</v>
      </c>
      <c r="IWZ22" s="498">
        <v>1</v>
      </c>
      <c r="IXA22" s="499">
        <v>1500000</v>
      </c>
      <c r="IXB22" s="498">
        <v>1.58</v>
      </c>
      <c r="IXC22" s="498">
        <v>1</v>
      </c>
      <c r="IXD22" s="501">
        <v>6.75</v>
      </c>
      <c r="IXE22" s="486">
        <v>5.0999999999999996</v>
      </c>
      <c r="IXF22" s="452" t="s">
        <v>2691</v>
      </c>
      <c r="IXG22" s="498" t="s">
        <v>1620</v>
      </c>
      <c r="IXH22" s="498">
        <v>1</v>
      </c>
      <c r="IXI22" s="499">
        <v>1500000</v>
      </c>
      <c r="IXJ22" s="498">
        <v>1.58</v>
      </c>
      <c r="IXK22" s="498">
        <v>1</v>
      </c>
      <c r="IXL22" s="501">
        <v>6.75</v>
      </c>
      <c r="IXM22" s="486">
        <v>5.0999999999999996</v>
      </c>
      <c r="IXN22" s="452" t="s">
        <v>2691</v>
      </c>
      <c r="IXO22" s="498" t="s">
        <v>1620</v>
      </c>
      <c r="IXP22" s="498">
        <v>1</v>
      </c>
      <c r="IXQ22" s="499">
        <v>1500000</v>
      </c>
      <c r="IXR22" s="498">
        <v>1.58</v>
      </c>
      <c r="IXS22" s="498">
        <v>1</v>
      </c>
      <c r="IXT22" s="501">
        <v>6.75</v>
      </c>
      <c r="IXU22" s="486">
        <v>5.0999999999999996</v>
      </c>
      <c r="IXV22" s="452" t="s">
        <v>2691</v>
      </c>
      <c r="IXW22" s="498" t="s">
        <v>1620</v>
      </c>
      <c r="IXX22" s="498">
        <v>1</v>
      </c>
      <c r="IXY22" s="499">
        <v>1500000</v>
      </c>
      <c r="IXZ22" s="498">
        <v>1.58</v>
      </c>
      <c r="IYA22" s="498">
        <v>1</v>
      </c>
      <c r="IYB22" s="501">
        <v>6.75</v>
      </c>
      <c r="IYC22" s="486">
        <v>5.0999999999999996</v>
      </c>
      <c r="IYD22" s="452" t="s">
        <v>2691</v>
      </c>
      <c r="IYE22" s="498" t="s">
        <v>1620</v>
      </c>
      <c r="IYF22" s="498">
        <v>1</v>
      </c>
      <c r="IYG22" s="499">
        <v>1500000</v>
      </c>
      <c r="IYH22" s="498">
        <v>1.58</v>
      </c>
      <c r="IYI22" s="498">
        <v>1</v>
      </c>
      <c r="IYJ22" s="501">
        <v>6.75</v>
      </c>
      <c r="IYK22" s="486">
        <v>5.0999999999999996</v>
      </c>
      <c r="IYL22" s="452" t="s">
        <v>2691</v>
      </c>
      <c r="IYM22" s="498" t="s">
        <v>1620</v>
      </c>
      <c r="IYN22" s="498">
        <v>1</v>
      </c>
      <c r="IYO22" s="499">
        <v>1500000</v>
      </c>
      <c r="IYP22" s="498">
        <v>1.58</v>
      </c>
      <c r="IYQ22" s="498">
        <v>1</v>
      </c>
      <c r="IYR22" s="501">
        <v>6.75</v>
      </c>
      <c r="IYS22" s="486">
        <v>5.0999999999999996</v>
      </c>
      <c r="IYT22" s="452" t="s">
        <v>2691</v>
      </c>
      <c r="IYU22" s="498" t="s">
        <v>1620</v>
      </c>
      <c r="IYV22" s="498">
        <v>1</v>
      </c>
      <c r="IYW22" s="499">
        <v>1500000</v>
      </c>
      <c r="IYX22" s="498">
        <v>1.58</v>
      </c>
      <c r="IYY22" s="498">
        <v>1</v>
      </c>
      <c r="IYZ22" s="501">
        <v>6.75</v>
      </c>
      <c r="IZA22" s="486">
        <v>5.0999999999999996</v>
      </c>
      <c r="IZB22" s="452" t="s">
        <v>2691</v>
      </c>
      <c r="IZC22" s="498" t="s">
        <v>1620</v>
      </c>
      <c r="IZD22" s="498">
        <v>1</v>
      </c>
      <c r="IZE22" s="499">
        <v>1500000</v>
      </c>
      <c r="IZF22" s="498">
        <v>1.58</v>
      </c>
      <c r="IZG22" s="498">
        <v>1</v>
      </c>
      <c r="IZH22" s="501">
        <v>6.75</v>
      </c>
      <c r="IZI22" s="486">
        <v>5.0999999999999996</v>
      </c>
      <c r="IZJ22" s="452" t="s">
        <v>2691</v>
      </c>
      <c r="IZK22" s="498" t="s">
        <v>1620</v>
      </c>
      <c r="IZL22" s="498">
        <v>1</v>
      </c>
      <c r="IZM22" s="499">
        <v>1500000</v>
      </c>
      <c r="IZN22" s="498">
        <v>1.58</v>
      </c>
      <c r="IZO22" s="498">
        <v>1</v>
      </c>
      <c r="IZP22" s="501">
        <v>6.75</v>
      </c>
      <c r="IZQ22" s="486">
        <v>5.0999999999999996</v>
      </c>
      <c r="IZR22" s="452" t="s">
        <v>2691</v>
      </c>
      <c r="IZS22" s="498" t="s">
        <v>1620</v>
      </c>
      <c r="IZT22" s="498">
        <v>1</v>
      </c>
      <c r="IZU22" s="499">
        <v>1500000</v>
      </c>
      <c r="IZV22" s="498">
        <v>1.58</v>
      </c>
      <c r="IZW22" s="498">
        <v>1</v>
      </c>
      <c r="IZX22" s="501">
        <v>6.75</v>
      </c>
      <c r="IZY22" s="486">
        <v>5.0999999999999996</v>
      </c>
      <c r="IZZ22" s="452" t="s">
        <v>2691</v>
      </c>
      <c r="JAA22" s="498" t="s">
        <v>1620</v>
      </c>
      <c r="JAB22" s="498">
        <v>1</v>
      </c>
      <c r="JAC22" s="499">
        <v>1500000</v>
      </c>
      <c r="JAD22" s="498">
        <v>1.58</v>
      </c>
      <c r="JAE22" s="498">
        <v>1</v>
      </c>
      <c r="JAF22" s="501">
        <v>6.75</v>
      </c>
      <c r="JAG22" s="486">
        <v>5.0999999999999996</v>
      </c>
      <c r="JAH22" s="452" t="s">
        <v>2691</v>
      </c>
      <c r="JAI22" s="498" t="s">
        <v>1620</v>
      </c>
      <c r="JAJ22" s="498">
        <v>1</v>
      </c>
      <c r="JAK22" s="499">
        <v>1500000</v>
      </c>
      <c r="JAL22" s="498">
        <v>1.58</v>
      </c>
      <c r="JAM22" s="498">
        <v>1</v>
      </c>
      <c r="JAN22" s="501">
        <v>6.75</v>
      </c>
      <c r="JAO22" s="486">
        <v>5.0999999999999996</v>
      </c>
      <c r="JAP22" s="452" t="s">
        <v>2691</v>
      </c>
      <c r="JAQ22" s="498" t="s">
        <v>1620</v>
      </c>
      <c r="JAR22" s="498">
        <v>1</v>
      </c>
      <c r="JAS22" s="499">
        <v>1500000</v>
      </c>
      <c r="JAT22" s="498">
        <v>1.58</v>
      </c>
      <c r="JAU22" s="498">
        <v>1</v>
      </c>
      <c r="JAV22" s="501">
        <v>6.75</v>
      </c>
      <c r="JAW22" s="486">
        <v>5.0999999999999996</v>
      </c>
      <c r="JAX22" s="452" t="s">
        <v>2691</v>
      </c>
      <c r="JAY22" s="498" t="s">
        <v>1620</v>
      </c>
      <c r="JAZ22" s="498">
        <v>1</v>
      </c>
      <c r="JBA22" s="499">
        <v>1500000</v>
      </c>
      <c r="JBB22" s="498">
        <v>1.58</v>
      </c>
      <c r="JBC22" s="498">
        <v>1</v>
      </c>
      <c r="JBD22" s="501">
        <v>6.75</v>
      </c>
      <c r="JBE22" s="486">
        <v>5.0999999999999996</v>
      </c>
      <c r="JBF22" s="452" t="s">
        <v>2691</v>
      </c>
      <c r="JBG22" s="498" t="s">
        <v>1620</v>
      </c>
      <c r="JBH22" s="498">
        <v>1</v>
      </c>
      <c r="JBI22" s="499">
        <v>1500000</v>
      </c>
      <c r="JBJ22" s="498">
        <v>1.58</v>
      </c>
      <c r="JBK22" s="498">
        <v>1</v>
      </c>
      <c r="JBL22" s="501">
        <v>6.75</v>
      </c>
      <c r="JBM22" s="486">
        <v>5.0999999999999996</v>
      </c>
      <c r="JBN22" s="452" t="s">
        <v>2691</v>
      </c>
      <c r="JBO22" s="498" t="s">
        <v>1620</v>
      </c>
      <c r="JBP22" s="498">
        <v>1</v>
      </c>
      <c r="JBQ22" s="499">
        <v>1500000</v>
      </c>
      <c r="JBR22" s="498">
        <v>1.58</v>
      </c>
      <c r="JBS22" s="498">
        <v>1</v>
      </c>
      <c r="JBT22" s="501">
        <v>6.75</v>
      </c>
      <c r="JBU22" s="486">
        <v>5.0999999999999996</v>
      </c>
      <c r="JBV22" s="452" t="s">
        <v>2691</v>
      </c>
      <c r="JBW22" s="498" t="s">
        <v>1620</v>
      </c>
      <c r="JBX22" s="498">
        <v>1</v>
      </c>
      <c r="JBY22" s="499">
        <v>1500000</v>
      </c>
      <c r="JBZ22" s="498">
        <v>1.58</v>
      </c>
      <c r="JCA22" s="498">
        <v>1</v>
      </c>
      <c r="JCB22" s="501">
        <v>6.75</v>
      </c>
      <c r="JCC22" s="486">
        <v>5.0999999999999996</v>
      </c>
      <c r="JCD22" s="452" t="s">
        <v>2691</v>
      </c>
      <c r="JCE22" s="498" t="s">
        <v>1620</v>
      </c>
      <c r="JCF22" s="498">
        <v>1</v>
      </c>
      <c r="JCG22" s="499">
        <v>1500000</v>
      </c>
      <c r="JCH22" s="498">
        <v>1.58</v>
      </c>
      <c r="JCI22" s="498">
        <v>1</v>
      </c>
      <c r="JCJ22" s="501">
        <v>6.75</v>
      </c>
      <c r="JCK22" s="486">
        <v>5.0999999999999996</v>
      </c>
      <c r="JCL22" s="452" t="s">
        <v>2691</v>
      </c>
      <c r="JCM22" s="498" t="s">
        <v>1620</v>
      </c>
      <c r="JCN22" s="498">
        <v>1</v>
      </c>
      <c r="JCO22" s="499">
        <v>1500000</v>
      </c>
      <c r="JCP22" s="498">
        <v>1.58</v>
      </c>
      <c r="JCQ22" s="498">
        <v>1</v>
      </c>
      <c r="JCR22" s="501">
        <v>6.75</v>
      </c>
      <c r="JCS22" s="486">
        <v>5.0999999999999996</v>
      </c>
      <c r="JCT22" s="452" t="s">
        <v>2691</v>
      </c>
      <c r="JCU22" s="498" t="s">
        <v>1620</v>
      </c>
      <c r="JCV22" s="498">
        <v>1</v>
      </c>
      <c r="JCW22" s="499">
        <v>1500000</v>
      </c>
      <c r="JCX22" s="498">
        <v>1.58</v>
      </c>
      <c r="JCY22" s="498">
        <v>1</v>
      </c>
      <c r="JCZ22" s="501">
        <v>6.75</v>
      </c>
      <c r="JDA22" s="486">
        <v>5.0999999999999996</v>
      </c>
      <c r="JDB22" s="452" t="s">
        <v>2691</v>
      </c>
      <c r="JDC22" s="498" t="s">
        <v>1620</v>
      </c>
      <c r="JDD22" s="498">
        <v>1</v>
      </c>
      <c r="JDE22" s="499">
        <v>1500000</v>
      </c>
      <c r="JDF22" s="498">
        <v>1.58</v>
      </c>
      <c r="JDG22" s="498">
        <v>1</v>
      </c>
      <c r="JDH22" s="501">
        <v>6.75</v>
      </c>
      <c r="JDI22" s="486">
        <v>5.0999999999999996</v>
      </c>
      <c r="JDJ22" s="452" t="s">
        <v>2691</v>
      </c>
      <c r="JDK22" s="498" t="s">
        <v>1620</v>
      </c>
      <c r="JDL22" s="498">
        <v>1</v>
      </c>
      <c r="JDM22" s="499">
        <v>1500000</v>
      </c>
      <c r="JDN22" s="498">
        <v>1.58</v>
      </c>
      <c r="JDO22" s="498">
        <v>1</v>
      </c>
      <c r="JDP22" s="501">
        <v>6.75</v>
      </c>
      <c r="JDQ22" s="486">
        <v>5.0999999999999996</v>
      </c>
      <c r="JDR22" s="452" t="s">
        <v>2691</v>
      </c>
      <c r="JDS22" s="498" t="s">
        <v>1620</v>
      </c>
      <c r="JDT22" s="498">
        <v>1</v>
      </c>
      <c r="JDU22" s="499">
        <v>1500000</v>
      </c>
      <c r="JDV22" s="498">
        <v>1.58</v>
      </c>
      <c r="JDW22" s="498">
        <v>1</v>
      </c>
      <c r="JDX22" s="501">
        <v>6.75</v>
      </c>
      <c r="JDY22" s="486">
        <v>5.0999999999999996</v>
      </c>
      <c r="JDZ22" s="452" t="s">
        <v>2691</v>
      </c>
      <c r="JEA22" s="498" t="s">
        <v>1620</v>
      </c>
      <c r="JEB22" s="498">
        <v>1</v>
      </c>
      <c r="JEC22" s="499">
        <v>1500000</v>
      </c>
      <c r="JED22" s="498">
        <v>1.58</v>
      </c>
      <c r="JEE22" s="498">
        <v>1</v>
      </c>
      <c r="JEF22" s="501">
        <v>6.75</v>
      </c>
      <c r="JEG22" s="486">
        <v>5.0999999999999996</v>
      </c>
      <c r="JEH22" s="452" t="s">
        <v>2691</v>
      </c>
      <c r="JEI22" s="498" t="s">
        <v>1620</v>
      </c>
      <c r="JEJ22" s="498">
        <v>1</v>
      </c>
      <c r="JEK22" s="499">
        <v>1500000</v>
      </c>
      <c r="JEL22" s="498">
        <v>1.58</v>
      </c>
      <c r="JEM22" s="498">
        <v>1</v>
      </c>
      <c r="JEN22" s="501">
        <v>6.75</v>
      </c>
      <c r="JEO22" s="486">
        <v>5.0999999999999996</v>
      </c>
      <c r="JEP22" s="452" t="s">
        <v>2691</v>
      </c>
      <c r="JEQ22" s="498" t="s">
        <v>1620</v>
      </c>
      <c r="JER22" s="498">
        <v>1</v>
      </c>
      <c r="JES22" s="499">
        <v>1500000</v>
      </c>
      <c r="JET22" s="498">
        <v>1.58</v>
      </c>
      <c r="JEU22" s="498">
        <v>1</v>
      </c>
      <c r="JEV22" s="501">
        <v>6.75</v>
      </c>
      <c r="JEW22" s="486">
        <v>5.0999999999999996</v>
      </c>
      <c r="JEX22" s="452" t="s">
        <v>2691</v>
      </c>
      <c r="JEY22" s="498" t="s">
        <v>1620</v>
      </c>
      <c r="JEZ22" s="498">
        <v>1</v>
      </c>
      <c r="JFA22" s="499">
        <v>1500000</v>
      </c>
      <c r="JFB22" s="498">
        <v>1.58</v>
      </c>
      <c r="JFC22" s="498">
        <v>1</v>
      </c>
      <c r="JFD22" s="501">
        <v>6.75</v>
      </c>
      <c r="JFE22" s="486">
        <v>5.0999999999999996</v>
      </c>
      <c r="JFF22" s="452" t="s">
        <v>2691</v>
      </c>
      <c r="JFG22" s="498" t="s">
        <v>1620</v>
      </c>
      <c r="JFH22" s="498">
        <v>1</v>
      </c>
      <c r="JFI22" s="499">
        <v>1500000</v>
      </c>
      <c r="JFJ22" s="498">
        <v>1.58</v>
      </c>
      <c r="JFK22" s="498">
        <v>1</v>
      </c>
      <c r="JFL22" s="501">
        <v>6.75</v>
      </c>
      <c r="JFM22" s="486">
        <v>5.0999999999999996</v>
      </c>
      <c r="JFN22" s="452" t="s">
        <v>2691</v>
      </c>
      <c r="JFO22" s="498" t="s">
        <v>1620</v>
      </c>
      <c r="JFP22" s="498">
        <v>1</v>
      </c>
      <c r="JFQ22" s="499">
        <v>1500000</v>
      </c>
      <c r="JFR22" s="498">
        <v>1.58</v>
      </c>
      <c r="JFS22" s="498">
        <v>1</v>
      </c>
      <c r="JFT22" s="501">
        <v>6.75</v>
      </c>
      <c r="JFU22" s="486">
        <v>5.0999999999999996</v>
      </c>
      <c r="JFV22" s="452" t="s">
        <v>2691</v>
      </c>
      <c r="JFW22" s="498" t="s">
        <v>1620</v>
      </c>
      <c r="JFX22" s="498">
        <v>1</v>
      </c>
      <c r="JFY22" s="499">
        <v>1500000</v>
      </c>
      <c r="JFZ22" s="498">
        <v>1.58</v>
      </c>
      <c r="JGA22" s="498">
        <v>1</v>
      </c>
      <c r="JGB22" s="501">
        <v>6.75</v>
      </c>
      <c r="JGC22" s="486">
        <v>5.0999999999999996</v>
      </c>
      <c r="JGD22" s="452" t="s">
        <v>2691</v>
      </c>
      <c r="JGE22" s="498" t="s">
        <v>1620</v>
      </c>
      <c r="JGF22" s="498">
        <v>1</v>
      </c>
      <c r="JGG22" s="499">
        <v>1500000</v>
      </c>
      <c r="JGH22" s="498">
        <v>1.58</v>
      </c>
      <c r="JGI22" s="498">
        <v>1</v>
      </c>
      <c r="JGJ22" s="501">
        <v>6.75</v>
      </c>
      <c r="JGK22" s="486">
        <v>5.0999999999999996</v>
      </c>
      <c r="JGL22" s="452" t="s">
        <v>2691</v>
      </c>
      <c r="JGM22" s="498" t="s">
        <v>1620</v>
      </c>
      <c r="JGN22" s="498">
        <v>1</v>
      </c>
      <c r="JGO22" s="499">
        <v>1500000</v>
      </c>
      <c r="JGP22" s="498">
        <v>1.58</v>
      </c>
      <c r="JGQ22" s="498">
        <v>1</v>
      </c>
      <c r="JGR22" s="501">
        <v>6.75</v>
      </c>
      <c r="JGS22" s="486">
        <v>5.0999999999999996</v>
      </c>
      <c r="JGT22" s="452" t="s">
        <v>2691</v>
      </c>
      <c r="JGU22" s="498" t="s">
        <v>1620</v>
      </c>
      <c r="JGV22" s="498">
        <v>1</v>
      </c>
      <c r="JGW22" s="499">
        <v>1500000</v>
      </c>
      <c r="JGX22" s="498">
        <v>1.58</v>
      </c>
      <c r="JGY22" s="498">
        <v>1</v>
      </c>
      <c r="JGZ22" s="501">
        <v>6.75</v>
      </c>
      <c r="JHA22" s="486">
        <v>5.0999999999999996</v>
      </c>
      <c r="JHB22" s="452" t="s">
        <v>2691</v>
      </c>
      <c r="JHC22" s="498" t="s">
        <v>1620</v>
      </c>
      <c r="JHD22" s="498">
        <v>1</v>
      </c>
      <c r="JHE22" s="499">
        <v>1500000</v>
      </c>
      <c r="JHF22" s="498">
        <v>1.58</v>
      </c>
      <c r="JHG22" s="498">
        <v>1</v>
      </c>
      <c r="JHH22" s="501">
        <v>6.75</v>
      </c>
      <c r="JHI22" s="486">
        <v>5.0999999999999996</v>
      </c>
      <c r="JHJ22" s="452" t="s">
        <v>2691</v>
      </c>
      <c r="JHK22" s="498" t="s">
        <v>1620</v>
      </c>
      <c r="JHL22" s="498">
        <v>1</v>
      </c>
      <c r="JHM22" s="499">
        <v>1500000</v>
      </c>
      <c r="JHN22" s="498">
        <v>1.58</v>
      </c>
      <c r="JHO22" s="498">
        <v>1</v>
      </c>
      <c r="JHP22" s="501">
        <v>6.75</v>
      </c>
      <c r="JHQ22" s="486">
        <v>5.0999999999999996</v>
      </c>
      <c r="JHR22" s="452" t="s">
        <v>2691</v>
      </c>
      <c r="JHS22" s="498" t="s">
        <v>1620</v>
      </c>
      <c r="JHT22" s="498">
        <v>1</v>
      </c>
      <c r="JHU22" s="499">
        <v>1500000</v>
      </c>
      <c r="JHV22" s="498">
        <v>1.58</v>
      </c>
      <c r="JHW22" s="498">
        <v>1</v>
      </c>
      <c r="JHX22" s="501">
        <v>6.75</v>
      </c>
      <c r="JHY22" s="486">
        <v>5.0999999999999996</v>
      </c>
      <c r="JHZ22" s="452" t="s">
        <v>2691</v>
      </c>
      <c r="JIA22" s="498" t="s">
        <v>1620</v>
      </c>
      <c r="JIB22" s="498">
        <v>1</v>
      </c>
      <c r="JIC22" s="499">
        <v>1500000</v>
      </c>
      <c r="JID22" s="498">
        <v>1.58</v>
      </c>
      <c r="JIE22" s="498">
        <v>1</v>
      </c>
      <c r="JIF22" s="501">
        <v>6.75</v>
      </c>
      <c r="JIG22" s="486">
        <v>5.0999999999999996</v>
      </c>
      <c r="JIH22" s="452" t="s">
        <v>2691</v>
      </c>
      <c r="JII22" s="498" t="s">
        <v>1620</v>
      </c>
      <c r="JIJ22" s="498">
        <v>1</v>
      </c>
      <c r="JIK22" s="499">
        <v>1500000</v>
      </c>
      <c r="JIL22" s="498">
        <v>1.58</v>
      </c>
      <c r="JIM22" s="498">
        <v>1</v>
      </c>
      <c r="JIN22" s="501">
        <v>6.75</v>
      </c>
      <c r="JIO22" s="486">
        <v>5.0999999999999996</v>
      </c>
      <c r="JIP22" s="452" t="s">
        <v>2691</v>
      </c>
      <c r="JIQ22" s="498" t="s">
        <v>1620</v>
      </c>
      <c r="JIR22" s="498">
        <v>1</v>
      </c>
      <c r="JIS22" s="499">
        <v>1500000</v>
      </c>
      <c r="JIT22" s="498">
        <v>1.58</v>
      </c>
      <c r="JIU22" s="498">
        <v>1</v>
      </c>
      <c r="JIV22" s="501">
        <v>6.75</v>
      </c>
      <c r="JIW22" s="486">
        <v>5.0999999999999996</v>
      </c>
      <c r="JIX22" s="452" t="s">
        <v>2691</v>
      </c>
      <c r="JIY22" s="498" t="s">
        <v>1620</v>
      </c>
      <c r="JIZ22" s="498">
        <v>1</v>
      </c>
      <c r="JJA22" s="499">
        <v>1500000</v>
      </c>
      <c r="JJB22" s="498">
        <v>1.58</v>
      </c>
      <c r="JJC22" s="498">
        <v>1</v>
      </c>
      <c r="JJD22" s="501">
        <v>6.75</v>
      </c>
      <c r="JJE22" s="486">
        <v>5.0999999999999996</v>
      </c>
      <c r="JJF22" s="452" t="s">
        <v>2691</v>
      </c>
      <c r="JJG22" s="498" t="s">
        <v>1620</v>
      </c>
      <c r="JJH22" s="498">
        <v>1</v>
      </c>
      <c r="JJI22" s="499">
        <v>1500000</v>
      </c>
      <c r="JJJ22" s="498">
        <v>1.58</v>
      </c>
      <c r="JJK22" s="498">
        <v>1</v>
      </c>
      <c r="JJL22" s="501">
        <v>6.75</v>
      </c>
      <c r="JJM22" s="486">
        <v>5.0999999999999996</v>
      </c>
      <c r="JJN22" s="452" t="s">
        <v>2691</v>
      </c>
      <c r="JJO22" s="498" t="s">
        <v>1620</v>
      </c>
      <c r="JJP22" s="498">
        <v>1</v>
      </c>
      <c r="JJQ22" s="499">
        <v>1500000</v>
      </c>
      <c r="JJR22" s="498">
        <v>1.58</v>
      </c>
      <c r="JJS22" s="498">
        <v>1</v>
      </c>
      <c r="JJT22" s="501">
        <v>6.75</v>
      </c>
      <c r="JJU22" s="486">
        <v>5.0999999999999996</v>
      </c>
      <c r="JJV22" s="452" t="s">
        <v>2691</v>
      </c>
      <c r="JJW22" s="498" t="s">
        <v>1620</v>
      </c>
      <c r="JJX22" s="498">
        <v>1</v>
      </c>
      <c r="JJY22" s="499">
        <v>1500000</v>
      </c>
      <c r="JJZ22" s="498">
        <v>1.58</v>
      </c>
      <c r="JKA22" s="498">
        <v>1</v>
      </c>
      <c r="JKB22" s="501">
        <v>6.75</v>
      </c>
      <c r="JKC22" s="486">
        <v>5.0999999999999996</v>
      </c>
      <c r="JKD22" s="452" t="s">
        <v>2691</v>
      </c>
      <c r="JKE22" s="498" t="s">
        <v>1620</v>
      </c>
      <c r="JKF22" s="498">
        <v>1</v>
      </c>
      <c r="JKG22" s="499">
        <v>1500000</v>
      </c>
      <c r="JKH22" s="498">
        <v>1.58</v>
      </c>
      <c r="JKI22" s="498">
        <v>1</v>
      </c>
      <c r="JKJ22" s="501">
        <v>6.75</v>
      </c>
      <c r="JKK22" s="486">
        <v>5.0999999999999996</v>
      </c>
      <c r="JKL22" s="452" t="s">
        <v>2691</v>
      </c>
      <c r="JKM22" s="498" t="s">
        <v>1620</v>
      </c>
      <c r="JKN22" s="498">
        <v>1</v>
      </c>
      <c r="JKO22" s="499">
        <v>1500000</v>
      </c>
      <c r="JKP22" s="498">
        <v>1.58</v>
      </c>
      <c r="JKQ22" s="498">
        <v>1</v>
      </c>
      <c r="JKR22" s="501">
        <v>6.75</v>
      </c>
      <c r="JKS22" s="486">
        <v>5.0999999999999996</v>
      </c>
      <c r="JKT22" s="452" t="s">
        <v>2691</v>
      </c>
      <c r="JKU22" s="498" t="s">
        <v>1620</v>
      </c>
      <c r="JKV22" s="498">
        <v>1</v>
      </c>
      <c r="JKW22" s="499">
        <v>1500000</v>
      </c>
      <c r="JKX22" s="498">
        <v>1.58</v>
      </c>
      <c r="JKY22" s="498">
        <v>1</v>
      </c>
      <c r="JKZ22" s="501">
        <v>6.75</v>
      </c>
      <c r="JLA22" s="486">
        <v>5.0999999999999996</v>
      </c>
      <c r="JLB22" s="452" t="s">
        <v>2691</v>
      </c>
      <c r="JLC22" s="498" t="s">
        <v>1620</v>
      </c>
      <c r="JLD22" s="498">
        <v>1</v>
      </c>
      <c r="JLE22" s="499">
        <v>1500000</v>
      </c>
      <c r="JLF22" s="498">
        <v>1.58</v>
      </c>
      <c r="JLG22" s="498">
        <v>1</v>
      </c>
      <c r="JLH22" s="501">
        <v>6.75</v>
      </c>
      <c r="JLI22" s="486">
        <v>5.0999999999999996</v>
      </c>
      <c r="JLJ22" s="452" t="s">
        <v>2691</v>
      </c>
      <c r="JLK22" s="498" t="s">
        <v>1620</v>
      </c>
      <c r="JLL22" s="498">
        <v>1</v>
      </c>
      <c r="JLM22" s="499">
        <v>1500000</v>
      </c>
      <c r="JLN22" s="498">
        <v>1.58</v>
      </c>
      <c r="JLO22" s="498">
        <v>1</v>
      </c>
      <c r="JLP22" s="501">
        <v>6.75</v>
      </c>
      <c r="JLQ22" s="486">
        <v>5.0999999999999996</v>
      </c>
      <c r="JLR22" s="452" t="s">
        <v>2691</v>
      </c>
      <c r="JLS22" s="498" t="s">
        <v>1620</v>
      </c>
      <c r="JLT22" s="498">
        <v>1</v>
      </c>
      <c r="JLU22" s="499">
        <v>1500000</v>
      </c>
      <c r="JLV22" s="498">
        <v>1.58</v>
      </c>
      <c r="JLW22" s="498">
        <v>1</v>
      </c>
      <c r="JLX22" s="501">
        <v>6.75</v>
      </c>
      <c r="JLY22" s="486">
        <v>5.0999999999999996</v>
      </c>
      <c r="JLZ22" s="452" t="s">
        <v>2691</v>
      </c>
      <c r="JMA22" s="498" t="s">
        <v>1620</v>
      </c>
      <c r="JMB22" s="498">
        <v>1</v>
      </c>
      <c r="JMC22" s="499">
        <v>1500000</v>
      </c>
      <c r="JMD22" s="498">
        <v>1.58</v>
      </c>
      <c r="JME22" s="498">
        <v>1</v>
      </c>
      <c r="JMF22" s="501">
        <v>6.75</v>
      </c>
      <c r="JMG22" s="486">
        <v>5.0999999999999996</v>
      </c>
      <c r="JMH22" s="452" t="s">
        <v>2691</v>
      </c>
      <c r="JMI22" s="498" t="s">
        <v>1620</v>
      </c>
      <c r="JMJ22" s="498">
        <v>1</v>
      </c>
      <c r="JMK22" s="499">
        <v>1500000</v>
      </c>
      <c r="JML22" s="498">
        <v>1.58</v>
      </c>
      <c r="JMM22" s="498">
        <v>1</v>
      </c>
      <c r="JMN22" s="501">
        <v>6.75</v>
      </c>
      <c r="JMO22" s="486">
        <v>5.0999999999999996</v>
      </c>
      <c r="JMP22" s="452" t="s">
        <v>2691</v>
      </c>
      <c r="JMQ22" s="498" t="s">
        <v>1620</v>
      </c>
      <c r="JMR22" s="498">
        <v>1</v>
      </c>
      <c r="JMS22" s="499">
        <v>1500000</v>
      </c>
      <c r="JMT22" s="498">
        <v>1.58</v>
      </c>
      <c r="JMU22" s="498">
        <v>1</v>
      </c>
      <c r="JMV22" s="501">
        <v>6.75</v>
      </c>
      <c r="JMW22" s="486">
        <v>5.0999999999999996</v>
      </c>
      <c r="JMX22" s="452" t="s">
        <v>2691</v>
      </c>
      <c r="JMY22" s="498" t="s">
        <v>1620</v>
      </c>
      <c r="JMZ22" s="498">
        <v>1</v>
      </c>
      <c r="JNA22" s="499">
        <v>1500000</v>
      </c>
      <c r="JNB22" s="498">
        <v>1.58</v>
      </c>
      <c r="JNC22" s="498">
        <v>1</v>
      </c>
      <c r="JND22" s="501">
        <v>6.75</v>
      </c>
      <c r="JNE22" s="486">
        <v>5.0999999999999996</v>
      </c>
      <c r="JNF22" s="452" t="s">
        <v>2691</v>
      </c>
      <c r="JNG22" s="498" t="s">
        <v>1620</v>
      </c>
      <c r="JNH22" s="498">
        <v>1</v>
      </c>
      <c r="JNI22" s="499">
        <v>1500000</v>
      </c>
      <c r="JNJ22" s="498">
        <v>1.58</v>
      </c>
      <c r="JNK22" s="498">
        <v>1</v>
      </c>
      <c r="JNL22" s="501">
        <v>6.75</v>
      </c>
      <c r="JNM22" s="486">
        <v>5.0999999999999996</v>
      </c>
      <c r="JNN22" s="452" t="s">
        <v>2691</v>
      </c>
      <c r="JNO22" s="498" t="s">
        <v>1620</v>
      </c>
      <c r="JNP22" s="498">
        <v>1</v>
      </c>
      <c r="JNQ22" s="499">
        <v>1500000</v>
      </c>
      <c r="JNR22" s="498">
        <v>1.58</v>
      </c>
      <c r="JNS22" s="498">
        <v>1</v>
      </c>
      <c r="JNT22" s="501">
        <v>6.75</v>
      </c>
      <c r="JNU22" s="486">
        <v>5.0999999999999996</v>
      </c>
      <c r="JNV22" s="452" t="s">
        <v>2691</v>
      </c>
      <c r="JNW22" s="498" t="s">
        <v>1620</v>
      </c>
      <c r="JNX22" s="498">
        <v>1</v>
      </c>
      <c r="JNY22" s="499">
        <v>1500000</v>
      </c>
      <c r="JNZ22" s="498">
        <v>1.58</v>
      </c>
      <c r="JOA22" s="498">
        <v>1</v>
      </c>
      <c r="JOB22" s="501">
        <v>6.75</v>
      </c>
      <c r="JOC22" s="486">
        <v>5.0999999999999996</v>
      </c>
      <c r="JOD22" s="452" t="s">
        <v>2691</v>
      </c>
      <c r="JOE22" s="498" t="s">
        <v>1620</v>
      </c>
      <c r="JOF22" s="498">
        <v>1</v>
      </c>
      <c r="JOG22" s="499">
        <v>1500000</v>
      </c>
      <c r="JOH22" s="498">
        <v>1.58</v>
      </c>
      <c r="JOI22" s="498">
        <v>1</v>
      </c>
      <c r="JOJ22" s="501">
        <v>6.75</v>
      </c>
      <c r="JOK22" s="486">
        <v>5.0999999999999996</v>
      </c>
      <c r="JOL22" s="452" t="s">
        <v>2691</v>
      </c>
      <c r="JOM22" s="498" t="s">
        <v>1620</v>
      </c>
      <c r="JON22" s="498">
        <v>1</v>
      </c>
      <c r="JOO22" s="499">
        <v>1500000</v>
      </c>
      <c r="JOP22" s="498">
        <v>1.58</v>
      </c>
      <c r="JOQ22" s="498">
        <v>1</v>
      </c>
      <c r="JOR22" s="501">
        <v>6.75</v>
      </c>
      <c r="JOS22" s="486">
        <v>5.0999999999999996</v>
      </c>
      <c r="JOT22" s="452" t="s">
        <v>2691</v>
      </c>
      <c r="JOU22" s="498" t="s">
        <v>1620</v>
      </c>
      <c r="JOV22" s="498">
        <v>1</v>
      </c>
      <c r="JOW22" s="499">
        <v>1500000</v>
      </c>
      <c r="JOX22" s="498">
        <v>1.58</v>
      </c>
      <c r="JOY22" s="498">
        <v>1</v>
      </c>
      <c r="JOZ22" s="501">
        <v>6.75</v>
      </c>
      <c r="JPA22" s="486">
        <v>5.0999999999999996</v>
      </c>
      <c r="JPB22" s="452" t="s">
        <v>2691</v>
      </c>
      <c r="JPC22" s="498" t="s">
        <v>1620</v>
      </c>
      <c r="JPD22" s="498">
        <v>1</v>
      </c>
      <c r="JPE22" s="499">
        <v>1500000</v>
      </c>
      <c r="JPF22" s="498">
        <v>1.58</v>
      </c>
      <c r="JPG22" s="498">
        <v>1</v>
      </c>
      <c r="JPH22" s="501">
        <v>6.75</v>
      </c>
      <c r="JPI22" s="486">
        <v>5.0999999999999996</v>
      </c>
      <c r="JPJ22" s="452" t="s">
        <v>2691</v>
      </c>
      <c r="JPK22" s="498" t="s">
        <v>1620</v>
      </c>
      <c r="JPL22" s="498">
        <v>1</v>
      </c>
      <c r="JPM22" s="499">
        <v>1500000</v>
      </c>
      <c r="JPN22" s="498">
        <v>1.58</v>
      </c>
      <c r="JPO22" s="498">
        <v>1</v>
      </c>
      <c r="JPP22" s="501">
        <v>6.75</v>
      </c>
      <c r="JPQ22" s="486">
        <v>5.0999999999999996</v>
      </c>
      <c r="JPR22" s="452" t="s">
        <v>2691</v>
      </c>
      <c r="JPS22" s="498" t="s">
        <v>1620</v>
      </c>
      <c r="JPT22" s="498">
        <v>1</v>
      </c>
      <c r="JPU22" s="499">
        <v>1500000</v>
      </c>
      <c r="JPV22" s="498">
        <v>1.58</v>
      </c>
      <c r="JPW22" s="498">
        <v>1</v>
      </c>
      <c r="JPX22" s="501">
        <v>6.75</v>
      </c>
      <c r="JPY22" s="486">
        <v>5.0999999999999996</v>
      </c>
      <c r="JPZ22" s="452" t="s">
        <v>2691</v>
      </c>
      <c r="JQA22" s="498" t="s">
        <v>1620</v>
      </c>
      <c r="JQB22" s="498">
        <v>1</v>
      </c>
      <c r="JQC22" s="499">
        <v>1500000</v>
      </c>
      <c r="JQD22" s="498">
        <v>1.58</v>
      </c>
      <c r="JQE22" s="498">
        <v>1</v>
      </c>
      <c r="JQF22" s="501">
        <v>6.75</v>
      </c>
      <c r="JQG22" s="486">
        <v>5.0999999999999996</v>
      </c>
      <c r="JQH22" s="452" t="s">
        <v>2691</v>
      </c>
      <c r="JQI22" s="498" t="s">
        <v>1620</v>
      </c>
      <c r="JQJ22" s="498">
        <v>1</v>
      </c>
      <c r="JQK22" s="499">
        <v>1500000</v>
      </c>
      <c r="JQL22" s="498">
        <v>1.58</v>
      </c>
      <c r="JQM22" s="498">
        <v>1</v>
      </c>
      <c r="JQN22" s="501">
        <v>6.75</v>
      </c>
      <c r="JQO22" s="486">
        <v>5.0999999999999996</v>
      </c>
      <c r="JQP22" s="452" t="s">
        <v>2691</v>
      </c>
      <c r="JQQ22" s="498" t="s">
        <v>1620</v>
      </c>
      <c r="JQR22" s="498">
        <v>1</v>
      </c>
      <c r="JQS22" s="499">
        <v>1500000</v>
      </c>
      <c r="JQT22" s="498">
        <v>1.58</v>
      </c>
      <c r="JQU22" s="498">
        <v>1</v>
      </c>
      <c r="JQV22" s="501">
        <v>6.75</v>
      </c>
      <c r="JQW22" s="486">
        <v>5.0999999999999996</v>
      </c>
      <c r="JQX22" s="452" t="s">
        <v>2691</v>
      </c>
      <c r="JQY22" s="498" t="s">
        <v>1620</v>
      </c>
      <c r="JQZ22" s="498">
        <v>1</v>
      </c>
      <c r="JRA22" s="499">
        <v>1500000</v>
      </c>
      <c r="JRB22" s="498">
        <v>1.58</v>
      </c>
      <c r="JRC22" s="498">
        <v>1</v>
      </c>
      <c r="JRD22" s="501">
        <v>6.75</v>
      </c>
      <c r="JRE22" s="486">
        <v>5.0999999999999996</v>
      </c>
      <c r="JRF22" s="452" t="s">
        <v>2691</v>
      </c>
      <c r="JRG22" s="498" t="s">
        <v>1620</v>
      </c>
      <c r="JRH22" s="498">
        <v>1</v>
      </c>
      <c r="JRI22" s="499">
        <v>1500000</v>
      </c>
      <c r="JRJ22" s="498">
        <v>1.58</v>
      </c>
      <c r="JRK22" s="498">
        <v>1</v>
      </c>
      <c r="JRL22" s="501">
        <v>6.75</v>
      </c>
      <c r="JRM22" s="486">
        <v>5.0999999999999996</v>
      </c>
      <c r="JRN22" s="452" t="s">
        <v>2691</v>
      </c>
      <c r="JRO22" s="498" t="s">
        <v>1620</v>
      </c>
      <c r="JRP22" s="498">
        <v>1</v>
      </c>
      <c r="JRQ22" s="499">
        <v>1500000</v>
      </c>
      <c r="JRR22" s="498">
        <v>1.58</v>
      </c>
      <c r="JRS22" s="498">
        <v>1</v>
      </c>
      <c r="JRT22" s="501">
        <v>6.75</v>
      </c>
      <c r="JRU22" s="486">
        <v>5.0999999999999996</v>
      </c>
      <c r="JRV22" s="452" t="s">
        <v>2691</v>
      </c>
      <c r="JRW22" s="498" t="s">
        <v>1620</v>
      </c>
      <c r="JRX22" s="498">
        <v>1</v>
      </c>
      <c r="JRY22" s="499">
        <v>1500000</v>
      </c>
      <c r="JRZ22" s="498">
        <v>1.58</v>
      </c>
      <c r="JSA22" s="498">
        <v>1</v>
      </c>
      <c r="JSB22" s="501">
        <v>6.75</v>
      </c>
      <c r="JSC22" s="486">
        <v>5.0999999999999996</v>
      </c>
      <c r="JSD22" s="452" t="s">
        <v>2691</v>
      </c>
      <c r="JSE22" s="498" t="s">
        <v>1620</v>
      </c>
      <c r="JSF22" s="498">
        <v>1</v>
      </c>
      <c r="JSG22" s="499">
        <v>1500000</v>
      </c>
      <c r="JSH22" s="498">
        <v>1.58</v>
      </c>
      <c r="JSI22" s="498">
        <v>1</v>
      </c>
      <c r="JSJ22" s="501">
        <v>6.75</v>
      </c>
      <c r="JSK22" s="486">
        <v>5.0999999999999996</v>
      </c>
      <c r="JSL22" s="452" t="s">
        <v>2691</v>
      </c>
      <c r="JSM22" s="498" t="s">
        <v>1620</v>
      </c>
      <c r="JSN22" s="498">
        <v>1</v>
      </c>
      <c r="JSO22" s="499">
        <v>1500000</v>
      </c>
      <c r="JSP22" s="498">
        <v>1.58</v>
      </c>
      <c r="JSQ22" s="498">
        <v>1</v>
      </c>
      <c r="JSR22" s="501">
        <v>6.75</v>
      </c>
      <c r="JSS22" s="486">
        <v>5.0999999999999996</v>
      </c>
      <c r="JST22" s="452" t="s">
        <v>2691</v>
      </c>
      <c r="JSU22" s="498" t="s">
        <v>1620</v>
      </c>
      <c r="JSV22" s="498">
        <v>1</v>
      </c>
      <c r="JSW22" s="499">
        <v>1500000</v>
      </c>
      <c r="JSX22" s="498">
        <v>1.58</v>
      </c>
      <c r="JSY22" s="498">
        <v>1</v>
      </c>
      <c r="JSZ22" s="501">
        <v>6.75</v>
      </c>
      <c r="JTA22" s="486">
        <v>5.0999999999999996</v>
      </c>
      <c r="JTB22" s="452" t="s">
        <v>2691</v>
      </c>
      <c r="JTC22" s="498" t="s">
        <v>1620</v>
      </c>
      <c r="JTD22" s="498">
        <v>1</v>
      </c>
      <c r="JTE22" s="499">
        <v>1500000</v>
      </c>
      <c r="JTF22" s="498">
        <v>1.58</v>
      </c>
      <c r="JTG22" s="498">
        <v>1</v>
      </c>
      <c r="JTH22" s="501">
        <v>6.75</v>
      </c>
      <c r="JTI22" s="486">
        <v>5.0999999999999996</v>
      </c>
      <c r="JTJ22" s="452" t="s">
        <v>2691</v>
      </c>
      <c r="JTK22" s="498" t="s">
        <v>1620</v>
      </c>
      <c r="JTL22" s="498">
        <v>1</v>
      </c>
      <c r="JTM22" s="499">
        <v>1500000</v>
      </c>
      <c r="JTN22" s="498">
        <v>1.58</v>
      </c>
      <c r="JTO22" s="498">
        <v>1</v>
      </c>
      <c r="JTP22" s="501">
        <v>6.75</v>
      </c>
      <c r="JTQ22" s="486">
        <v>5.0999999999999996</v>
      </c>
      <c r="JTR22" s="452" t="s">
        <v>2691</v>
      </c>
      <c r="JTS22" s="498" t="s">
        <v>1620</v>
      </c>
      <c r="JTT22" s="498">
        <v>1</v>
      </c>
      <c r="JTU22" s="499">
        <v>1500000</v>
      </c>
      <c r="JTV22" s="498">
        <v>1.58</v>
      </c>
      <c r="JTW22" s="498">
        <v>1</v>
      </c>
      <c r="JTX22" s="501">
        <v>6.75</v>
      </c>
      <c r="JTY22" s="486">
        <v>5.0999999999999996</v>
      </c>
      <c r="JTZ22" s="452" t="s">
        <v>2691</v>
      </c>
      <c r="JUA22" s="498" t="s">
        <v>1620</v>
      </c>
      <c r="JUB22" s="498">
        <v>1</v>
      </c>
      <c r="JUC22" s="499">
        <v>1500000</v>
      </c>
      <c r="JUD22" s="498">
        <v>1.58</v>
      </c>
      <c r="JUE22" s="498">
        <v>1</v>
      </c>
      <c r="JUF22" s="501">
        <v>6.75</v>
      </c>
      <c r="JUG22" s="486">
        <v>5.0999999999999996</v>
      </c>
      <c r="JUH22" s="452" t="s">
        <v>2691</v>
      </c>
      <c r="JUI22" s="498" t="s">
        <v>1620</v>
      </c>
      <c r="JUJ22" s="498">
        <v>1</v>
      </c>
      <c r="JUK22" s="499">
        <v>1500000</v>
      </c>
      <c r="JUL22" s="498">
        <v>1.58</v>
      </c>
      <c r="JUM22" s="498">
        <v>1</v>
      </c>
      <c r="JUN22" s="501">
        <v>6.75</v>
      </c>
      <c r="JUO22" s="486">
        <v>5.0999999999999996</v>
      </c>
      <c r="JUP22" s="452" t="s">
        <v>2691</v>
      </c>
      <c r="JUQ22" s="498" t="s">
        <v>1620</v>
      </c>
      <c r="JUR22" s="498">
        <v>1</v>
      </c>
      <c r="JUS22" s="499">
        <v>1500000</v>
      </c>
      <c r="JUT22" s="498">
        <v>1.58</v>
      </c>
      <c r="JUU22" s="498">
        <v>1</v>
      </c>
      <c r="JUV22" s="501">
        <v>6.75</v>
      </c>
      <c r="JUW22" s="486">
        <v>5.0999999999999996</v>
      </c>
      <c r="JUX22" s="452" t="s">
        <v>2691</v>
      </c>
      <c r="JUY22" s="498" t="s">
        <v>1620</v>
      </c>
      <c r="JUZ22" s="498">
        <v>1</v>
      </c>
      <c r="JVA22" s="499">
        <v>1500000</v>
      </c>
      <c r="JVB22" s="498">
        <v>1.58</v>
      </c>
      <c r="JVC22" s="498">
        <v>1</v>
      </c>
      <c r="JVD22" s="501">
        <v>6.75</v>
      </c>
      <c r="JVE22" s="486">
        <v>5.0999999999999996</v>
      </c>
      <c r="JVF22" s="452" t="s">
        <v>2691</v>
      </c>
      <c r="JVG22" s="498" t="s">
        <v>1620</v>
      </c>
      <c r="JVH22" s="498">
        <v>1</v>
      </c>
      <c r="JVI22" s="499">
        <v>1500000</v>
      </c>
      <c r="JVJ22" s="498">
        <v>1.58</v>
      </c>
      <c r="JVK22" s="498">
        <v>1</v>
      </c>
      <c r="JVL22" s="501">
        <v>6.75</v>
      </c>
      <c r="JVM22" s="486">
        <v>5.0999999999999996</v>
      </c>
      <c r="JVN22" s="452" t="s">
        <v>2691</v>
      </c>
      <c r="JVO22" s="498" t="s">
        <v>1620</v>
      </c>
      <c r="JVP22" s="498">
        <v>1</v>
      </c>
      <c r="JVQ22" s="499">
        <v>1500000</v>
      </c>
      <c r="JVR22" s="498">
        <v>1.58</v>
      </c>
      <c r="JVS22" s="498">
        <v>1</v>
      </c>
      <c r="JVT22" s="501">
        <v>6.75</v>
      </c>
      <c r="JVU22" s="486">
        <v>5.0999999999999996</v>
      </c>
      <c r="JVV22" s="452" t="s">
        <v>2691</v>
      </c>
      <c r="JVW22" s="498" t="s">
        <v>1620</v>
      </c>
      <c r="JVX22" s="498">
        <v>1</v>
      </c>
      <c r="JVY22" s="499">
        <v>1500000</v>
      </c>
      <c r="JVZ22" s="498">
        <v>1.58</v>
      </c>
      <c r="JWA22" s="498">
        <v>1</v>
      </c>
      <c r="JWB22" s="501">
        <v>6.75</v>
      </c>
      <c r="JWC22" s="486">
        <v>5.0999999999999996</v>
      </c>
      <c r="JWD22" s="452" t="s">
        <v>2691</v>
      </c>
      <c r="JWE22" s="498" t="s">
        <v>1620</v>
      </c>
      <c r="JWF22" s="498">
        <v>1</v>
      </c>
      <c r="JWG22" s="499">
        <v>1500000</v>
      </c>
      <c r="JWH22" s="498">
        <v>1.58</v>
      </c>
      <c r="JWI22" s="498">
        <v>1</v>
      </c>
      <c r="JWJ22" s="501">
        <v>6.75</v>
      </c>
      <c r="JWK22" s="486">
        <v>5.0999999999999996</v>
      </c>
      <c r="JWL22" s="452" t="s">
        <v>2691</v>
      </c>
      <c r="JWM22" s="498" t="s">
        <v>1620</v>
      </c>
      <c r="JWN22" s="498">
        <v>1</v>
      </c>
      <c r="JWO22" s="499">
        <v>1500000</v>
      </c>
      <c r="JWP22" s="498">
        <v>1.58</v>
      </c>
      <c r="JWQ22" s="498">
        <v>1</v>
      </c>
      <c r="JWR22" s="501">
        <v>6.75</v>
      </c>
      <c r="JWS22" s="486">
        <v>5.0999999999999996</v>
      </c>
      <c r="JWT22" s="452" t="s">
        <v>2691</v>
      </c>
      <c r="JWU22" s="498" t="s">
        <v>1620</v>
      </c>
      <c r="JWV22" s="498">
        <v>1</v>
      </c>
      <c r="JWW22" s="499">
        <v>1500000</v>
      </c>
      <c r="JWX22" s="498">
        <v>1.58</v>
      </c>
      <c r="JWY22" s="498">
        <v>1</v>
      </c>
      <c r="JWZ22" s="501">
        <v>6.75</v>
      </c>
      <c r="JXA22" s="486">
        <v>5.0999999999999996</v>
      </c>
      <c r="JXB22" s="452" t="s">
        <v>2691</v>
      </c>
      <c r="JXC22" s="498" t="s">
        <v>1620</v>
      </c>
      <c r="JXD22" s="498">
        <v>1</v>
      </c>
      <c r="JXE22" s="499">
        <v>1500000</v>
      </c>
      <c r="JXF22" s="498">
        <v>1.58</v>
      </c>
      <c r="JXG22" s="498">
        <v>1</v>
      </c>
      <c r="JXH22" s="501">
        <v>6.75</v>
      </c>
      <c r="JXI22" s="486">
        <v>5.0999999999999996</v>
      </c>
      <c r="JXJ22" s="452" t="s">
        <v>2691</v>
      </c>
      <c r="JXK22" s="498" t="s">
        <v>1620</v>
      </c>
      <c r="JXL22" s="498">
        <v>1</v>
      </c>
      <c r="JXM22" s="499">
        <v>1500000</v>
      </c>
      <c r="JXN22" s="498">
        <v>1.58</v>
      </c>
      <c r="JXO22" s="498">
        <v>1</v>
      </c>
      <c r="JXP22" s="501">
        <v>6.75</v>
      </c>
      <c r="JXQ22" s="486">
        <v>5.0999999999999996</v>
      </c>
      <c r="JXR22" s="452" t="s">
        <v>2691</v>
      </c>
      <c r="JXS22" s="498" t="s">
        <v>1620</v>
      </c>
      <c r="JXT22" s="498">
        <v>1</v>
      </c>
      <c r="JXU22" s="499">
        <v>1500000</v>
      </c>
      <c r="JXV22" s="498">
        <v>1.58</v>
      </c>
      <c r="JXW22" s="498">
        <v>1</v>
      </c>
      <c r="JXX22" s="501">
        <v>6.75</v>
      </c>
      <c r="JXY22" s="486">
        <v>5.0999999999999996</v>
      </c>
      <c r="JXZ22" s="452" t="s">
        <v>2691</v>
      </c>
      <c r="JYA22" s="498" t="s">
        <v>1620</v>
      </c>
      <c r="JYB22" s="498">
        <v>1</v>
      </c>
      <c r="JYC22" s="499">
        <v>1500000</v>
      </c>
      <c r="JYD22" s="498">
        <v>1.58</v>
      </c>
      <c r="JYE22" s="498">
        <v>1</v>
      </c>
      <c r="JYF22" s="501">
        <v>6.75</v>
      </c>
      <c r="JYG22" s="486">
        <v>5.0999999999999996</v>
      </c>
      <c r="JYH22" s="452" t="s">
        <v>2691</v>
      </c>
      <c r="JYI22" s="498" t="s">
        <v>1620</v>
      </c>
      <c r="JYJ22" s="498">
        <v>1</v>
      </c>
      <c r="JYK22" s="499">
        <v>1500000</v>
      </c>
      <c r="JYL22" s="498">
        <v>1.58</v>
      </c>
      <c r="JYM22" s="498">
        <v>1</v>
      </c>
      <c r="JYN22" s="501">
        <v>6.75</v>
      </c>
      <c r="JYO22" s="486">
        <v>5.0999999999999996</v>
      </c>
      <c r="JYP22" s="452" t="s">
        <v>2691</v>
      </c>
      <c r="JYQ22" s="498" t="s">
        <v>1620</v>
      </c>
      <c r="JYR22" s="498">
        <v>1</v>
      </c>
      <c r="JYS22" s="499">
        <v>1500000</v>
      </c>
      <c r="JYT22" s="498">
        <v>1.58</v>
      </c>
      <c r="JYU22" s="498">
        <v>1</v>
      </c>
      <c r="JYV22" s="501">
        <v>6.75</v>
      </c>
      <c r="JYW22" s="486">
        <v>5.0999999999999996</v>
      </c>
      <c r="JYX22" s="452" t="s">
        <v>2691</v>
      </c>
      <c r="JYY22" s="498" t="s">
        <v>1620</v>
      </c>
      <c r="JYZ22" s="498">
        <v>1</v>
      </c>
      <c r="JZA22" s="499">
        <v>1500000</v>
      </c>
      <c r="JZB22" s="498">
        <v>1.58</v>
      </c>
      <c r="JZC22" s="498">
        <v>1</v>
      </c>
      <c r="JZD22" s="501">
        <v>6.75</v>
      </c>
      <c r="JZE22" s="486">
        <v>5.0999999999999996</v>
      </c>
      <c r="JZF22" s="452" t="s">
        <v>2691</v>
      </c>
      <c r="JZG22" s="498" t="s">
        <v>1620</v>
      </c>
      <c r="JZH22" s="498">
        <v>1</v>
      </c>
      <c r="JZI22" s="499">
        <v>1500000</v>
      </c>
      <c r="JZJ22" s="498">
        <v>1.58</v>
      </c>
      <c r="JZK22" s="498">
        <v>1</v>
      </c>
      <c r="JZL22" s="501">
        <v>6.75</v>
      </c>
      <c r="JZM22" s="486">
        <v>5.0999999999999996</v>
      </c>
      <c r="JZN22" s="452" t="s">
        <v>2691</v>
      </c>
      <c r="JZO22" s="498" t="s">
        <v>1620</v>
      </c>
      <c r="JZP22" s="498">
        <v>1</v>
      </c>
      <c r="JZQ22" s="499">
        <v>1500000</v>
      </c>
      <c r="JZR22" s="498">
        <v>1.58</v>
      </c>
      <c r="JZS22" s="498">
        <v>1</v>
      </c>
      <c r="JZT22" s="501">
        <v>6.75</v>
      </c>
      <c r="JZU22" s="486">
        <v>5.0999999999999996</v>
      </c>
      <c r="JZV22" s="452" t="s">
        <v>2691</v>
      </c>
      <c r="JZW22" s="498" t="s">
        <v>1620</v>
      </c>
      <c r="JZX22" s="498">
        <v>1</v>
      </c>
      <c r="JZY22" s="499">
        <v>1500000</v>
      </c>
      <c r="JZZ22" s="498">
        <v>1.58</v>
      </c>
      <c r="KAA22" s="498">
        <v>1</v>
      </c>
      <c r="KAB22" s="501">
        <v>6.75</v>
      </c>
      <c r="KAC22" s="486">
        <v>5.0999999999999996</v>
      </c>
      <c r="KAD22" s="452" t="s">
        <v>2691</v>
      </c>
      <c r="KAE22" s="498" t="s">
        <v>1620</v>
      </c>
      <c r="KAF22" s="498">
        <v>1</v>
      </c>
      <c r="KAG22" s="499">
        <v>1500000</v>
      </c>
      <c r="KAH22" s="498">
        <v>1.58</v>
      </c>
      <c r="KAI22" s="498">
        <v>1</v>
      </c>
      <c r="KAJ22" s="501">
        <v>6.75</v>
      </c>
      <c r="KAK22" s="486">
        <v>5.0999999999999996</v>
      </c>
      <c r="KAL22" s="452" t="s">
        <v>2691</v>
      </c>
      <c r="KAM22" s="498" t="s">
        <v>1620</v>
      </c>
      <c r="KAN22" s="498">
        <v>1</v>
      </c>
      <c r="KAO22" s="499">
        <v>1500000</v>
      </c>
      <c r="KAP22" s="498">
        <v>1.58</v>
      </c>
      <c r="KAQ22" s="498">
        <v>1</v>
      </c>
      <c r="KAR22" s="501">
        <v>6.75</v>
      </c>
      <c r="KAS22" s="486">
        <v>5.0999999999999996</v>
      </c>
      <c r="KAT22" s="452" t="s">
        <v>2691</v>
      </c>
      <c r="KAU22" s="498" t="s">
        <v>1620</v>
      </c>
      <c r="KAV22" s="498">
        <v>1</v>
      </c>
      <c r="KAW22" s="499">
        <v>1500000</v>
      </c>
      <c r="KAX22" s="498">
        <v>1.58</v>
      </c>
      <c r="KAY22" s="498">
        <v>1</v>
      </c>
      <c r="KAZ22" s="501">
        <v>6.75</v>
      </c>
      <c r="KBA22" s="486">
        <v>5.0999999999999996</v>
      </c>
      <c r="KBB22" s="452" t="s">
        <v>2691</v>
      </c>
      <c r="KBC22" s="498" t="s">
        <v>1620</v>
      </c>
      <c r="KBD22" s="498">
        <v>1</v>
      </c>
      <c r="KBE22" s="499">
        <v>1500000</v>
      </c>
      <c r="KBF22" s="498">
        <v>1.58</v>
      </c>
      <c r="KBG22" s="498">
        <v>1</v>
      </c>
      <c r="KBH22" s="501">
        <v>6.75</v>
      </c>
      <c r="KBI22" s="486">
        <v>5.0999999999999996</v>
      </c>
      <c r="KBJ22" s="452" t="s">
        <v>2691</v>
      </c>
      <c r="KBK22" s="498" t="s">
        <v>1620</v>
      </c>
      <c r="KBL22" s="498">
        <v>1</v>
      </c>
      <c r="KBM22" s="499">
        <v>1500000</v>
      </c>
      <c r="KBN22" s="498">
        <v>1.58</v>
      </c>
      <c r="KBO22" s="498">
        <v>1</v>
      </c>
      <c r="KBP22" s="501">
        <v>6.75</v>
      </c>
      <c r="KBQ22" s="486">
        <v>5.0999999999999996</v>
      </c>
      <c r="KBR22" s="452" t="s">
        <v>2691</v>
      </c>
      <c r="KBS22" s="498" t="s">
        <v>1620</v>
      </c>
      <c r="KBT22" s="498">
        <v>1</v>
      </c>
      <c r="KBU22" s="499">
        <v>1500000</v>
      </c>
      <c r="KBV22" s="498">
        <v>1.58</v>
      </c>
      <c r="KBW22" s="498">
        <v>1</v>
      </c>
      <c r="KBX22" s="501">
        <v>6.75</v>
      </c>
      <c r="KBY22" s="486">
        <v>5.0999999999999996</v>
      </c>
      <c r="KBZ22" s="452" t="s">
        <v>2691</v>
      </c>
      <c r="KCA22" s="498" t="s">
        <v>1620</v>
      </c>
      <c r="KCB22" s="498">
        <v>1</v>
      </c>
      <c r="KCC22" s="499">
        <v>1500000</v>
      </c>
      <c r="KCD22" s="498">
        <v>1.58</v>
      </c>
      <c r="KCE22" s="498">
        <v>1</v>
      </c>
      <c r="KCF22" s="501">
        <v>6.75</v>
      </c>
      <c r="KCG22" s="486">
        <v>5.0999999999999996</v>
      </c>
      <c r="KCH22" s="452" t="s">
        <v>2691</v>
      </c>
      <c r="KCI22" s="498" t="s">
        <v>1620</v>
      </c>
      <c r="KCJ22" s="498">
        <v>1</v>
      </c>
      <c r="KCK22" s="499">
        <v>1500000</v>
      </c>
      <c r="KCL22" s="498">
        <v>1.58</v>
      </c>
      <c r="KCM22" s="498">
        <v>1</v>
      </c>
      <c r="KCN22" s="501">
        <v>6.75</v>
      </c>
      <c r="KCO22" s="486">
        <v>5.0999999999999996</v>
      </c>
      <c r="KCP22" s="452" t="s">
        <v>2691</v>
      </c>
      <c r="KCQ22" s="498" t="s">
        <v>1620</v>
      </c>
      <c r="KCR22" s="498">
        <v>1</v>
      </c>
      <c r="KCS22" s="499">
        <v>1500000</v>
      </c>
      <c r="KCT22" s="498">
        <v>1.58</v>
      </c>
      <c r="KCU22" s="498">
        <v>1</v>
      </c>
      <c r="KCV22" s="501">
        <v>6.75</v>
      </c>
      <c r="KCW22" s="486">
        <v>5.0999999999999996</v>
      </c>
      <c r="KCX22" s="452" t="s">
        <v>2691</v>
      </c>
      <c r="KCY22" s="498" t="s">
        <v>1620</v>
      </c>
      <c r="KCZ22" s="498">
        <v>1</v>
      </c>
      <c r="KDA22" s="499">
        <v>1500000</v>
      </c>
      <c r="KDB22" s="498">
        <v>1.58</v>
      </c>
      <c r="KDC22" s="498">
        <v>1</v>
      </c>
      <c r="KDD22" s="501">
        <v>6.75</v>
      </c>
      <c r="KDE22" s="486">
        <v>5.0999999999999996</v>
      </c>
      <c r="KDF22" s="452" t="s">
        <v>2691</v>
      </c>
      <c r="KDG22" s="498" t="s">
        <v>1620</v>
      </c>
      <c r="KDH22" s="498">
        <v>1</v>
      </c>
      <c r="KDI22" s="499">
        <v>1500000</v>
      </c>
      <c r="KDJ22" s="498">
        <v>1.58</v>
      </c>
      <c r="KDK22" s="498">
        <v>1</v>
      </c>
      <c r="KDL22" s="501">
        <v>6.75</v>
      </c>
      <c r="KDM22" s="486">
        <v>5.0999999999999996</v>
      </c>
      <c r="KDN22" s="452" t="s">
        <v>2691</v>
      </c>
      <c r="KDO22" s="498" t="s">
        <v>1620</v>
      </c>
      <c r="KDP22" s="498">
        <v>1</v>
      </c>
      <c r="KDQ22" s="499">
        <v>1500000</v>
      </c>
      <c r="KDR22" s="498">
        <v>1.58</v>
      </c>
      <c r="KDS22" s="498">
        <v>1</v>
      </c>
      <c r="KDT22" s="501">
        <v>6.75</v>
      </c>
      <c r="KDU22" s="486">
        <v>5.0999999999999996</v>
      </c>
      <c r="KDV22" s="452" t="s">
        <v>2691</v>
      </c>
      <c r="KDW22" s="498" t="s">
        <v>1620</v>
      </c>
      <c r="KDX22" s="498">
        <v>1</v>
      </c>
      <c r="KDY22" s="499">
        <v>1500000</v>
      </c>
      <c r="KDZ22" s="498">
        <v>1.58</v>
      </c>
      <c r="KEA22" s="498">
        <v>1</v>
      </c>
      <c r="KEB22" s="501">
        <v>6.75</v>
      </c>
      <c r="KEC22" s="486">
        <v>5.0999999999999996</v>
      </c>
      <c r="KED22" s="452" t="s">
        <v>2691</v>
      </c>
      <c r="KEE22" s="498" t="s">
        <v>1620</v>
      </c>
      <c r="KEF22" s="498">
        <v>1</v>
      </c>
      <c r="KEG22" s="499">
        <v>1500000</v>
      </c>
      <c r="KEH22" s="498">
        <v>1.58</v>
      </c>
      <c r="KEI22" s="498">
        <v>1</v>
      </c>
      <c r="KEJ22" s="501">
        <v>6.75</v>
      </c>
      <c r="KEK22" s="486">
        <v>5.0999999999999996</v>
      </c>
      <c r="KEL22" s="452" t="s">
        <v>2691</v>
      </c>
      <c r="KEM22" s="498" t="s">
        <v>1620</v>
      </c>
      <c r="KEN22" s="498">
        <v>1</v>
      </c>
      <c r="KEO22" s="499">
        <v>1500000</v>
      </c>
      <c r="KEP22" s="498">
        <v>1.58</v>
      </c>
      <c r="KEQ22" s="498">
        <v>1</v>
      </c>
      <c r="KER22" s="501">
        <v>6.75</v>
      </c>
      <c r="KES22" s="486">
        <v>5.0999999999999996</v>
      </c>
      <c r="KET22" s="452" t="s">
        <v>2691</v>
      </c>
      <c r="KEU22" s="498" t="s">
        <v>1620</v>
      </c>
      <c r="KEV22" s="498">
        <v>1</v>
      </c>
      <c r="KEW22" s="499">
        <v>1500000</v>
      </c>
      <c r="KEX22" s="498">
        <v>1.58</v>
      </c>
      <c r="KEY22" s="498">
        <v>1</v>
      </c>
      <c r="KEZ22" s="501">
        <v>6.75</v>
      </c>
      <c r="KFA22" s="486">
        <v>5.0999999999999996</v>
      </c>
      <c r="KFB22" s="452" t="s">
        <v>2691</v>
      </c>
      <c r="KFC22" s="498" t="s">
        <v>1620</v>
      </c>
      <c r="KFD22" s="498">
        <v>1</v>
      </c>
      <c r="KFE22" s="499">
        <v>1500000</v>
      </c>
      <c r="KFF22" s="498">
        <v>1.58</v>
      </c>
      <c r="KFG22" s="498">
        <v>1</v>
      </c>
      <c r="KFH22" s="501">
        <v>6.75</v>
      </c>
      <c r="KFI22" s="486">
        <v>5.0999999999999996</v>
      </c>
      <c r="KFJ22" s="452" t="s">
        <v>2691</v>
      </c>
      <c r="KFK22" s="498" t="s">
        <v>1620</v>
      </c>
      <c r="KFL22" s="498">
        <v>1</v>
      </c>
      <c r="KFM22" s="499">
        <v>1500000</v>
      </c>
      <c r="KFN22" s="498">
        <v>1.58</v>
      </c>
      <c r="KFO22" s="498">
        <v>1</v>
      </c>
      <c r="KFP22" s="501">
        <v>6.75</v>
      </c>
      <c r="KFQ22" s="486">
        <v>5.0999999999999996</v>
      </c>
      <c r="KFR22" s="452" t="s">
        <v>2691</v>
      </c>
      <c r="KFS22" s="498" t="s">
        <v>1620</v>
      </c>
      <c r="KFT22" s="498">
        <v>1</v>
      </c>
      <c r="KFU22" s="499">
        <v>1500000</v>
      </c>
      <c r="KFV22" s="498">
        <v>1.58</v>
      </c>
      <c r="KFW22" s="498">
        <v>1</v>
      </c>
      <c r="KFX22" s="501">
        <v>6.75</v>
      </c>
      <c r="KFY22" s="486">
        <v>5.0999999999999996</v>
      </c>
      <c r="KFZ22" s="452" t="s">
        <v>2691</v>
      </c>
      <c r="KGA22" s="498" t="s">
        <v>1620</v>
      </c>
      <c r="KGB22" s="498">
        <v>1</v>
      </c>
      <c r="KGC22" s="499">
        <v>1500000</v>
      </c>
      <c r="KGD22" s="498">
        <v>1.58</v>
      </c>
      <c r="KGE22" s="498">
        <v>1</v>
      </c>
      <c r="KGF22" s="501">
        <v>6.75</v>
      </c>
      <c r="KGG22" s="486">
        <v>5.0999999999999996</v>
      </c>
      <c r="KGH22" s="452" t="s">
        <v>2691</v>
      </c>
      <c r="KGI22" s="498" t="s">
        <v>1620</v>
      </c>
      <c r="KGJ22" s="498">
        <v>1</v>
      </c>
      <c r="KGK22" s="499">
        <v>1500000</v>
      </c>
      <c r="KGL22" s="498">
        <v>1.58</v>
      </c>
      <c r="KGM22" s="498">
        <v>1</v>
      </c>
      <c r="KGN22" s="501">
        <v>6.75</v>
      </c>
      <c r="KGO22" s="486">
        <v>5.0999999999999996</v>
      </c>
      <c r="KGP22" s="452" t="s">
        <v>2691</v>
      </c>
      <c r="KGQ22" s="498" t="s">
        <v>1620</v>
      </c>
      <c r="KGR22" s="498">
        <v>1</v>
      </c>
      <c r="KGS22" s="499">
        <v>1500000</v>
      </c>
      <c r="KGT22" s="498">
        <v>1.58</v>
      </c>
      <c r="KGU22" s="498">
        <v>1</v>
      </c>
      <c r="KGV22" s="501">
        <v>6.75</v>
      </c>
      <c r="KGW22" s="486">
        <v>5.0999999999999996</v>
      </c>
      <c r="KGX22" s="452" t="s">
        <v>2691</v>
      </c>
      <c r="KGY22" s="498" t="s">
        <v>1620</v>
      </c>
      <c r="KGZ22" s="498">
        <v>1</v>
      </c>
      <c r="KHA22" s="499">
        <v>1500000</v>
      </c>
      <c r="KHB22" s="498">
        <v>1.58</v>
      </c>
      <c r="KHC22" s="498">
        <v>1</v>
      </c>
      <c r="KHD22" s="501">
        <v>6.75</v>
      </c>
      <c r="KHE22" s="486">
        <v>5.0999999999999996</v>
      </c>
      <c r="KHF22" s="452" t="s">
        <v>2691</v>
      </c>
      <c r="KHG22" s="498" t="s">
        <v>1620</v>
      </c>
      <c r="KHH22" s="498">
        <v>1</v>
      </c>
      <c r="KHI22" s="499">
        <v>1500000</v>
      </c>
      <c r="KHJ22" s="498">
        <v>1.58</v>
      </c>
      <c r="KHK22" s="498">
        <v>1</v>
      </c>
      <c r="KHL22" s="501">
        <v>6.75</v>
      </c>
      <c r="KHM22" s="486">
        <v>5.0999999999999996</v>
      </c>
      <c r="KHN22" s="452" t="s">
        <v>2691</v>
      </c>
      <c r="KHO22" s="498" t="s">
        <v>1620</v>
      </c>
      <c r="KHP22" s="498">
        <v>1</v>
      </c>
      <c r="KHQ22" s="499">
        <v>1500000</v>
      </c>
      <c r="KHR22" s="498">
        <v>1.58</v>
      </c>
      <c r="KHS22" s="498">
        <v>1</v>
      </c>
      <c r="KHT22" s="501">
        <v>6.75</v>
      </c>
      <c r="KHU22" s="486">
        <v>5.0999999999999996</v>
      </c>
      <c r="KHV22" s="452" t="s">
        <v>2691</v>
      </c>
      <c r="KHW22" s="498" t="s">
        <v>1620</v>
      </c>
      <c r="KHX22" s="498">
        <v>1</v>
      </c>
      <c r="KHY22" s="499">
        <v>1500000</v>
      </c>
      <c r="KHZ22" s="498">
        <v>1.58</v>
      </c>
      <c r="KIA22" s="498">
        <v>1</v>
      </c>
      <c r="KIB22" s="501">
        <v>6.75</v>
      </c>
      <c r="KIC22" s="486">
        <v>5.0999999999999996</v>
      </c>
      <c r="KID22" s="452" t="s">
        <v>2691</v>
      </c>
      <c r="KIE22" s="498" t="s">
        <v>1620</v>
      </c>
      <c r="KIF22" s="498">
        <v>1</v>
      </c>
      <c r="KIG22" s="499">
        <v>1500000</v>
      </c>
      <c r="KIH22" s="498">
        <v>1.58</v>
      </c>
      <c r="KII22" s="498">
        <v>1</v>
      </c>
      <c r="KIJ22" s="501">
        <v>6.75</v>
      </c>
      <c r="KIK22" s="486">
        <v>5.0999999999999996</v>
      </c>
      <c r="KIL22" s="452" t="s">
        <v>2691</v>
      </c>
      <c r="KIM22" s="498" t="s">
        <v>1620</v>
      </c>
      <c r="KIN22" s="498">
        <v>1</v>
      </c>
      <c r="KIO22" s="499">
        <v>1500000</v>
      </c>
      <c r="KIP22" s="498">
        <v>1.58</v>
      </c>
      <c r="KIQ22" s="498">
        <v>1</v>
      </c>
      <c r="KIR22" s="501">
        <v>6.75</v>
      </c>
      <c r="KIS22" s="486">
        <v>5.0999999999999996</v>
      </c>
      <c r="KIT22" s="452" t="s">
        <v>2691</v>
      </c>
      <c r="KIU22" s="498" t="s">
        <v>1620</v>
      </c>
      <c r="KIV22" s="498">
        <v>1</v>
      </c>
      <c r="KIW22" s="499">
        <v>1500000</v>
      </c>
      <c r="KIX22" s="498">
        <v>1.58</v>
      </c>
      <c r="KIY22" s="498">
        <v>1</v>
      </c>
      <c r="KIZ22" s="501">
        <v>6.75</v>
      </c>
      <c r="KJA22" s="486">
        <v>5.0999999999999996</v>
      </c>
      <c r="KJB22" s="452" t="s">
        <v>2691</v>
      </c>
      <c r="KJC22" s="498" t="s">
        <v>1620</v>
      </c>
      <c r="KJD22" s="498">
        <v>1</v>
      </c>
      <c r="KJE22" s="499">
        <v>1500000</v>
      </c>
      <c r="KJF22" s="498">
        <v>1.58</v>
      </c>
      <c r="KJG22" s="498">
        <v>1</v>
      </c>
      <c r="KJH22" s="501">
        <v>6.75</v>
      </c>
      <c r="KJI22" s="486">
        <v>5.0999999999999996</v>
      </c>
      <c r="KJJ22" s="452" t="s">
        <v>2691</v>
      </c>
      <c r="KJK22" s="498" t="s">
        <v>1620</v>
      </c>
      <c r="KJL22" s="498">
        <v>1</v>
      </c>
      <c r="KJM22" s="499">
        <v>1500000</v>
      </c>
      <c r="KJN22" s="498">
        <v>1.58</v>
      </c>
      <c r="KJO22" s="498">
        <v>1</v>
      </c>
      <c r="KJP22" s="501">
        <v>6.75</v>
      </c>
      <c r="KJQ22" s="486">
        <v>5.0999999999999996</v>
      </c>
      <c r="KJR22" s="452" t="s">
        <v>2691</v>
      </c>
      <c r="KJS22" s="498" t="s">
        <v>1620</v>
      </c>
      <c r="KJT22" s="498">
        <v>1</v>
      </c>
      <c r="KJU22" s="499">
        <v>1500000</v>
      </c>
      <c r="KJV22" s="498">
        <v>1.58</v>
      </c>
      <c r="KJW22" s="498">
        <v>1</v>
      </c>
      <c r="KJX22" s="501">
        <v>6.75</v>
      </c>
      <c r="KJY22" s="486">
        <v>5.0999999999999996</v>
      </c>
      <c r="KJZ22" s="452" t="s">
        <v>2691</v>
      </c>
      <c r="KKA22" s="498" t="s">
        <v>1620</v>
      </c>
      <c r="KKB22" s="498">
        <v>1</v>
      </c>
      <c r="KKC22" s="499">
        <v>1500000</v>
      </c>
      <c r="KKD22" s="498">
        <v>1.58</v>
      </c>
      <c r="KKE22" s="498">
        <v>1</v>
      </c>
      <c r="KKF22" s="501">
        <v>6.75</v>
      </c>
      <c r="KKG22" s="486">
        <v>5.0999999999999996</v>
      </c>
      <c r="KKH22" s="452" t="s">
        <v>2691</v>
      </c>
      <c r="KKI22" s="498" t="s">
        <v>1620</v>
      </c>
      <c r="KKJ22" s="498">
        <v>1</v>
      </c>
      <c r="KKK22" s="499">
        <v>1500000</v>
      </c>
      <c r="KKL22" s="498">
        <v>1.58</v>
      </c>
      <c r="KKM22" s="498">
        <v>1</v>
      </c>
      <c r="KKN22" s="501">
        <v>6.75</v>
      </c>
      <c r="KKO22" s="486">
        <v>5.0999999999999996</v>
      </c>
      <c r="KKP22" s="452" t="s">
        <v>2691</v>
      </c>
      <c r="KKQ22" s="498" t="s">
        <v>1620</v>
      </c>
      <c r="KKR22" s="498">
        <v>1</v>
      </c>
      <c r="KKS22" s="499">
        <v>1500000</v>
      </c>
      <c r="KKT22" s="498">
        <v>1.58</v>
      </c>
      <c r="KKU22" s="498">
        <v>1</v>
      </c>
      <c r="KKV22" s="501">
        <v>6.75</v>
      </c>
      <c r="KKW22" s="486">
        <v>5.0999999999999996</v>
      </c>
      <c r="KKX22" s="452" t="s">
        <v>2691</v>
      </c>
      <c r="KKY22" s="498" t="s">
        <v>1620</v>
      </c>
      <c r="KKZ22" s="498">
        <v>1</v>
      </c>
      <c r="KLA22" s="499">
        <v>1500000</v>
      </c>
      <c r="KLB22" s="498">
        <v>1.58</v>
      </c>
      <c r="KLC22" s="498">
        <v>1</v>
      </c>
      <c r="KLD22" s="501">
        <v>6.75</v>
      </c>
      <c r="KLE22" s="486">
        <v>5.0999999999999996</v>
      </c>
      <c r="KLF22" s="452" t="s">
        <v>2691</v>
      </c>
      <c r="KLG22" s="498" t="s">
        <v>1620</v>
      </c>
      <c r="KLH22" s="498">
        <v>1</v>
      </c>
      <c r="KLI22" s="499">
        <v>1500000</v>
      </c>
      <c r="KLJ22" s="498">
        <v>1.58</v>
      </c>
      <c r="KLK22" s="498">
        <v>1</v>
      </c>
      <c r="KLL22" s="501">
        <v>6.75</v>
      </c>
      <c r="KLM22" s="486">
        <v>5.0999999999999996</v>
      </c>
      <c r="KLN22" s="452" t="s">
        <v>2691</v>
      </c>
      <c r="KLO22" s="498" t="s">
        <v>1620</v>
      </c>
      <c r="KLP22" s="498">
        <v>1</v>
      </c>
      <c r="KLQ22" s="499">
        <v>1500000</v>
      </c>
      <c r="KLR22" s="498">
        <v>1.58</v>
      </c>
      <c r="KLS22" s="498">
        <v>1</v>
      </c>
      <c r="KLT22" s="501">
        <v>6.75</v>
      </c>
      <c r="KLU22" s="486">
        <v>5.0999999999999996</v>
      </c>
      <c r="KLV22" s="452" t="s">
        <v>2691</v>
      </c>
      <c r="KLW22" s="498" t="s">
        <v>1620</v>
      </c>
      <c r="KLX22" s="498">
        <v>1</v>
      </c>
      <c r="KLY22" s="499">
        <v>1500000</v>
      </c>
      <c r="KLZ22" s="498">
        <v>1.58</v>
      </c>
      <c r="KMA22" s="498">
        <v>1</v>
      </c>
      <c r="KMB22" s="501">
        <v>6.75</v>
      </c>
      <c r="KMC22" s="486">
        <v>5.0999999999999996</v>
      </c>
      <c r="KMD22" s="452" t="s">
        <v>2691</v>
      </c>
      <c r="KME22" s="498" t="s">
        <v>1620</v>
      </c>
      <c r="KMF22" s="498">
        <v>1</v>
      </c>
      <c r="KMG22" s="499">
        <v>1500000</v>
      </c>
      <c r="KMH22" s="498">
        <v>1.58</v>
      </c>
      <c r="KMI22" s="498">
        <v>1</v>
      </c>
      <c r="KMJ22" s="501">
        <v>6.75</v>
      </c>
      <c r="KMK22" s="486">
        <v>5.0999999999999996</v>
      </c>
      <c r="KML22" s="452" t="s">
        <v>2691</v>
      </c>
      <c r="KMM22" s="498" t="s">
        <v>1620</v>
      </c>
      <c r="KMN22" s="498">
        <v>1</v>
      </c>
      <c r="KMO22" s="499">
        <v>1500000</v>
      </c>
      <c r="KMP22" s="498">
        <v>1.58</v>
      </c>
      <c r="KMQ22" s="498">
        <v>1</v>
      </c>
      <c r="KMR22" s="501">
        <v>6.75</v>
      </c>
      <c r="KMS22" s="486">
        <v>5.0999999999999996</v>
      </c>
      <c r="KMT22" s="452" t="s">
        <v>2691</v>
      </c>
      <c r="KMU22" s="498" t="s">
        <v>1620</v>
      </c>
      <c r="KMV22" s="498">
        <v>1</v>
      </c>
      <c r="KMW22" s="499">
        <v>1500000</v>
      </c>
      <c r="KMX22" s="498">
        <v>1.58</v>
      </c>
      <c r="KMY22" s="498">
        <v>1</v>
      </c>
      <c r="KMZ22" s="501">
        <v>6.75</v>
      </c>
      <c r="KNA22" s="486">
        <v>5.0999999999999996</v>
      </c>
      <c r="KNB22" s="452" t="s">
        <v>2691</v>
      </c>
      <c r="KNC22" s="498" t="s">
        <v>1620</v>
      </c>
      <c r="KND22" s="498">
        <v>1</v>
      </c>
      <c r="KNE22" s="499">
        <v>1500000</v>
      </c>
      <c r="KNF22" s="498">
        <v>1.58</v>
      </c>
      <c r="KNG22" s="498">
        <v>1</v>
      </c>
      <c r="KNH22" s="501">
        <v>6.75</v>
      </c>
      <c r="KNI22" s="486">
        <v>5.0999999999999996</v>
      </c>
      <c r="KNJ22" s="452" t="s">
        <v>2691</v>
      </c>
      <c r="KNK22" s="498" t="s">
        <v>1620</v>
      </c>
      <c r="KNL22" s="498">
        <v>1</v>
      </c>
      <c r="KNM22" s="499">
        <v>1500000</v>
      </c>
      <c r="KNN22" s="498">
        <v>1.58</v>
      </c>
      <c r="KNO22" s="498">
        <v>1</v>
      </c>
      <c r="KNP22" s="501">
        <v>6.75</v>
      </c>
      <c r="KNQ22" s="486">
        <v>5.0999999999999996</v>
      </c>
      <c r="KNR22" s="452" t="s">
        <v>2691</v>
      </c>
      <c r="KNS22" s="498" t="s">
        <v>1620</v>
      </c>
      <c r="KNT22" s="498">
        <v>1</v>
      </c>
      <c r="KNU22" s="499">
        <v>1500000</v>
      </c>
      <c r="KNV22" s="498">
        <v>1.58</v>
      </c>
      <c r="KNW22" s="498">
        <v>1</v>
      </c>
      <c r="KNX22" s="501">
        <v>6.75</v>
      </c>
      <c r="KNY22" s="486">
        <v>5.0999999999999996</v>
      </c>
      <c r="KNZ22" s="452" t="s">
        <v>2691</v>
      </c>
      <c r="KOA22" s="498" t="s">
        <v>1620</v>
      </c>
      <c r="KOB22" s="498">
        <v>1</v>
      </c>
      <c r="KOC22" s="499">
        <v>1500000</v>
      </c>
      <c r="KOD22" s="498">
        <v>1.58</v>
      </c>
      <c r="KOE22" s="498">
        <v>1</v>
      </c>
      <c r="KOF22" s="501">
        <v>6.75</v>
      </c>
      <c r="KOG22" s="486">
        <v>5.0999999999999996</v>
      </c>
      <c r="KOH22" s="452" t="s">
        <v>2691</v>
      </c>
      <c r="KOI22" s="498" t="s">
        <v>1620</v>
      </c>
      <c r="KOJ22" s="498">
        <v>1</v>
      </c>
      <c r="KOK22" s="499">
        <v>1500000</v>
      </c>
      <c r="KOL22" s="498">
        <v>1.58</v>
      </c>
      <c r="KOM22" s="498">
        <v>1</v>
      </c>
      <c r="KON22" s="501">
        <v>6.75</v>
      </c>
      <c r="KOO22" s="486">
        <v>5.0999999999999996</v>
      </c>
      <c r="KOP22" s="452" t="s">
        <v>2691</v>
      </c>
      <c r="KOQ22" s="498" t="s">
        <v>1620</v>
      </c>
      <c r="KOR22" s="498">
        <v>1</v>
      </c>
      <c r="KOS22" s="499">
        <v>1500000</v>
      </c>
      <c r="KOT22" s="498">
        <v>1.58</v>
      </c>
      <c r="KOU22" s="498">
        <v>1</v>
      </c>
      <c r="KOV22" s="501">
        <v>6.75</v>
      </c>
      <c r="KOW22" s="486">
        <v>5.0999999999999996</v>
      </c>
      <c r="KOX22" s="452" t="s">
        <v>2691</v>
      </c>
      <c r="KOY22" s="498" t="s">
        <v>1620</v>
      </c>
      <c r="KOZ22" s="498">
        <v>1</v>
      </c>
      <c r="KPA22" s="499">
        <v>1500000</v>
      </c>
      <c r="KPB22" s="498">
        <v>1.58</v>
      </c>
      <c r="KPC22" s="498">
        <v>1</v>
      </c>
      <c r="KPD22" s="501">
        <v>6.75</v>
      </c>
      <c r="KPE22" s="486">
        <v>5.0999999999999996</v>
      </c>
      <c r="KPF22" s="452" t="s">
        <v>2691</v>
      </c>
      <c r="KPG22" s="498" t="s">
        <v>1620</v>
      </c>
      <c r="KPH22" s="498">
        <v>1</v>
      </c>
      <c r="KPI22" s="499">
        <v>1500000</v>
      </c>
      <c r="KPJ22" s="498">
        <v>1.58</v>
      </c>
      <c r="KPK22" s="498">
        <v>1</v>
      </c>
      <c r="KPL22" s="501">
        <v>6.75</v>
      </c>
      <c r="KPM22" s="486">
        <v>5.0999999999999996</v>
      </c>
      <c r="KPN22" s="452" t="s">
        <v>2691</v>
      </c>
      <c r="KPO22" s="498" t="s">
        <v>1620</v>
      </c>
      <c r="KPP22" s="498">
        <v>1</v>
      </c>
      <c r="KPQ22" s="499">
        <v>1500000</v>
      </c>
      <c r="KPR22" s="498">
        <v>1.58</v>
      </c>
      <c r="KPS22" s="498">
        <v>1</v>
      </c>
      <c r="KPT22" s="501">
        <v>6.75</v>
      </c>
      <c r="KPU22" s="486">
        <v>5.0999999999999996</v>
      </c>
      <c r="KPV22" s="452" t="s">
        <v>2691</v>
      </c>
      <c r="KPW22" s="498" t="s">
        <v>1620</v>
      </c>
      <c r="KPX22" s="498">
        <v>1</v>
      </c>
      <c r="KPY22" s="499">
        <v>1500000</v>
      </c>
      <c r="KPZ22" s="498">
        <v>1.58</v>
      </c>
      <c r="KQA22" s="498">
        <v>1</v>
      </c>
      <c r="KQB22" s="501">
        <v>6.75</v>
      </c>
      <c r="KQC22" s="486">
        <v>5.0999999999999996</v>
      </c>
      <c r="KQD22" s="452" t="s">
        <v>2691</v>
      </c>
      <c r="KQE22" s="498" t="s">
        <v>1620</v>
      </c>
      <c r="KQF22" s="498">
        <v>1</v>
      </c>
      <c r="KQG22" s="499">
        <v>1500000</v>
      </c>
      <c r="KQH22" s="498">
        <v>1.58</v>
      </c>
      <c r="KQI22" s="498">
        <v>1</v>
      </c>
      <c r="KQJ22" s="501">
        <v>6.75</v>
      </c>
      <c r="KQK22" s="486">
        <v>5.0999999999999996</v>
      </c>
      <c r="KQL22" s="452" t="s">
        <v>2691</v>
      </c>
      <c r="KQM22" s="498" t="s">
        <v>1620</v>
      </c>
      <c r="KQN22" s="498">
        <v>1</v>
      </c>
      <c r="KQO22" s="499">
        <v>1500000</v>
      </c>
      <c r="KQP22" s="498">
        <v>1.58</v>
      </c>
      <c r="KQQ22" s="498">
        <v>1</v>
      </c>
      <c r="KQR22" s="501">
        <v>6.75</v>
      </c>
      <c r="KQS22" s="486">
        <v>5.0999999999999996</v>
      </c>
      <c r="KQT22" s="452" t="s">
        <v>2691</v>
      </c>
      <c r="KQU22" s="498" t="s">
        <v>1620</v>
      </c>
      <c r="KQV22" s="498">
        <v>1</v>
      </c>
      <c r="KQW22" s="499">
        <v>1500000</v>
      </c>
      <c r="KQX22" s="498">
        <v>1.58</v>
      </c>
      <c r="KQY22" s="498">
        <v>1</v>
      </c>
      <c r="KQZ22" s="501">
        <v>6.75</v>
      </c>
      <c r="KRA22" s="486">
        <v>5.0999999999999996</v>
      </c>
      <c r="KRB22" s="452" t="s">
        <v>2691</v>
      </c>
      <c r="KRC22" s="498" t="s">
        <v>1620</v>
      </c>
      <c r="KRD22" s="498">
        <v>1</v>
      </c>
      <c r="KRE22" s="499">
        <v>1500000</v>
      </c>
      <c r="KRF22" s="498">
        <v>1.58</v>
      </c>
      <c r="KRG22" s="498">
        <v>1</v>
      </c>
      <c r="KRH22" s="501">
        <v>6.75</v>
      </c>
      <c r="KRI22" s="486">
        <v>5.0999999999999996</v>
      </c>
      <c r="KRJ22" s="452" t="s">
        <v>2691</v>
      </c>
      <c r="KRK22" s="498" t="s">
        <v>1620</v>
      </c>
      <c r="KRL22" s="498">
        <v>1</v>
      </c>
      <c r="KRM22" s="499">
        <v>1500000</v>
      </c>
      <c r="KRN22" s="498">
        <v>1.58</v>
      </c>
      <c r="KRO22" s="498">
        <v>1</v>
      </c>
      <c r="KRP22" s="501">
        <v>6.75</v>
      </c>
      <c r="KRQ22" s="486">
        <v>5.0999999999999996</v>
      </c>
      <c r="KRR22" s="452" t="s">
        <v>2691</v>
      </c>
      <c r="KRS22" s="498" t="s">
        <v>1620</v>
      </c>
      <c r="KRT22" s="498">
        <v>1</v>
      </c>
      <c r="KRU22" s="499">
        <v>1500000</v>
      </c>
      <c r="KRV22" s="498">
        <v>1.58</v>
      </c>
      <c r="KRW22" s="498">
        <v>1</v>
      </c>
      <c r="KRX22" s="501">
        <v>6.75</v>
      </c>
      <c r="KRY22" s="486">
        <v>5.0999999999999996</v>
      </c>
      <c r="KRZ22" s="452" t="s">
        <v>2691</v>
      </c>
      <c r="KSA22" s="498" t="s">
        <v>1620</v>
      </c>
      <c r="KSB22" s="498">
        <v>1</v>
      </c>
      <c r="KSC22" s="499">
        <v>1500000</v>
      </c>
      <c r="KSD22" s="498">
        <v>1.58</v>
      </c>
      <c r="KSE22" s="498">
        <v>1</v>
      </c>
      <c r="KSF22" s="501">
        <v>6.75</v>
      </c>
      <c r="KSG22" s="486">
        <v>5.0999999999999996</v>
      </c>
      <c r="KSH22" s="452" t="s">
        <v>2691</v>
      </c>
      <c r="KSI22" s="498" t="s">
        <v>1620</v>
      </c>
      <c r="KSJ22" s="498">
        <v>1</v>
      </c>
      <c r="KSK22" s="499">
        <v>1500000</v>
      </c>
      <c r="KSL22" s="498">
        <v>1.58</v>
      </c>
      <c r="KSM22" s="498">
        <v>1</v>
      </c>
      <c r="KSN22" s="501">
        <v>6.75</v>
      </c>
      <c r="KSO22" s="486">
        <v>5.0999999999999996</v>
      </c>
      <c r="KSP22" s="452" t="s">
        <v>2691</v>
      </c>
      <c r="KSQ22" s="498" t="s">
        <v>1620</v>
      </c>
      <c r="KSR22" s="498">
        <v>1</v>
      </c>
      <c r="KSS22" s="499">
        <v>1500000</v>
      </c>
      <c r="KST22" s="498">
        <v>1.58</v>
      </c>
      <c r="KSU22" s="498">
        <v>1</v>
      </c>
      <c r="KSV22" s="501">
        <v>6.75</v>
      </c>
      <c r="KSW22" s="486">
        <v>5.0999999999999996</v>
      </c>
      <c r="KSX22" s="452" t="s">
        <v>2691</v>
      </c>
      <c r="KSY22" s="498" t="s">
        <v>1620</v>
      </c>
      <c r="KSZ22" s="498">
        <v>1</v>
      </c>
      <c r="KTA22" s="499">
        <v>1500000</v>
      </c>
      <c r="KTB22" s="498">
        <v>1.58</v>
      </c>
      <c r="KTC22" s="498">
        <v>1</v>
      </c>
      <c r="KTD22" s="501">
        <v>6.75</v>
      </c>
      <c r="KTE22" s="486">
        <v>5.0999999999999996</v>
      </c>
      <c r="KTF22" s="452" t="s">
        <v>2691</v>
      </c>
      <c r="KTG22" s="498" t="s">
        <v>1620</v>
      </c>
      <c r="KTH22" s="498">
        <v>1</v>
      </c>
      <c r="KTI22" s="499">
        <v>1500000</v>
      </c>
      <c r="KTJ22" s="498">
        <v>1.58</v>
      </c>
      <c r="KTK22" s="498">
        <v>1</v>
      </c>
      <c r="KTL22" s="501">
        <v>6.75</v>
      </c>
      <c r="KTM22" s="486">
        <v>5.0999999999999996</v>
      </c>
      <c r="KTN22" s="452" t="s">
        <v>2691</v>
      </c>
      <c r="KTO22" s="498" t="s">
        <v>1620</v>
      </c>
      <c r="KTP22" s="498">
        <v>1</v>
      </c>
      <c r="KTQ22" s="499">
        <v>1500000</v>
      </c>
      <c r="KTR22" s="498">
        <v>1.58</v>
      </c>
      <c r="KTS22" s="498">
        <v>1</v>
      </c>
      <c r="KTT22" s="501">
        <v>6.75</v>
      </c>
      <c r="KTU22" s="486">
        <v>5.0999999999999996</v>
      </c>
      <c r="KTV22" s="452" t="s">
        <v>2691</v>
      </c>
      <c r="KTW22" s="498" t="s">
        <v>1620</v>
      </c>
      <c r="KTX22" s="498">
        <v>1</v>
      </c>
      <c r="KTY22" s="499">
        <v>1500000</v>
      </c>
      <c r="KTZ22" s="498">
        <v>1.58</v>
      </c>
      <c r="KUA22" s="498">
        <v>1</v>
      </c>
      <c r="KUB22" s="501">
        <v>6.75</v>
      </c>
      <c r="KUC22" s="486">
        <v>5.0999999999999996</v>
      </c>
      <c r="KUD22" s="452" t="s">
        <v>2691</v>
      </c>
      <c r="KUE22" s="498" t="s">
        <v>1620</v>
      </c>
      <c r="KUF22" s="498">
        <v>1</v>
      </c>
      <c r="KUG22" s="499">
        <v>1500000</v>
      </c>
      <c r="KUH22" s="498">
        <v>1.58</v>
      </c>
      <c r="KUI22" s="498">
        <v>1</v>
      </c>
      <c r="KUJ22" s="501">
        <v>6.75</v>
      </c>
      <c r="KUK22" s="486">
        <v>5.0999999999999996</v>
      </c>
      <c r="KUL22" s="452" t="s">
        <v>2691</v>
      </c>
      <c r="KUM22" s="498" t="s">
        <v>1620</v>
      </c>
      <c r="KUN22" s="498">
        <v>1</v>
      </c>
      <c r="KUO22" s="499">
        <v>1500000</v>
      </c>
      <c r="KUP22" s="498">
        <v>1.58</v>
      </c>
      <c r="KUQ22" s="498">
        <v>1</v>
      </c>
      <c r="KUR22" s="501">
        <v>6.75</v>
      </c>
      <c r="KUS22" s="486">
        <v>5.0999999999999996</v>
      </c>
      <c r="KUT22" s="452" t="s">
        <v>2691</v>
      </c>
      <c r="KUU22" s="498" t="s">
        <v>1620</v>
      </c>
      <c r="KUV22" s="498">
        <v>1</v>
      </c>
      <c r="KUW22" s="499">
        <v>1500000</v>
      </c>
      <c r="KUX22" s="498">
        <v>1.58</v>
      </c>
      <c r="KUY22" s="498">
        <v>1</v>
      </c>
      <c r="KUZ22" s="501">
        <v>6.75</v>
      </c>
      <c r="KVA22" s="486">
        <v>5.0999999999999996</v>
      </c>
      <c r="KVB22" s="452" t="s">
        <v>2691</v>
      </c>
      <c r="KVC22" s="498" t="s">
        <v>1620</v>
      </c>
      <c r="KVD22" s="498">
        <v>1</v>
      </c>
      <c r="KVE22" s="499">
        <v>1500000</v>
      </c>
      <c r="KVF22" s="498">
        <v>1.58</v>
      </c>
      <c r="KVG22" s="498">
        <v>1</v>
      </c>
      <c r="KVH22" s="501">
        <v>6.75</v>
      </c>
      <c r="KVI22" s="486">
        <v>5.0999999999999996</v>
      </c>
      <c r="KVJ22" s="452" t="s">
        <v>2691</v>
      </c>
      <c r="KVK22" s="498" t="s">
        <v>1620</v>
      </c>
      <c r="KVL22" s="498">
        <v>1</v>
      </c>
      <c r="KVM22" s="499">
        <v>1500000</v>
      </c>
      <c r="KVN22" s="498">
        <v>1.58</v>
      </c>
      <c r="KVO22" s="498">
        <v>1</v>
      </c>
      <c r="KVP22" s="501">
        <v>6.75</v>
      </c>
      <c r="KVQ22" s="486">
        <v>5.0999999999999996</v>
      </c>
      <c r="KVR22" s="452" t="s">
        <v>2691</v>
      </c>
      <c r="KVS22" s="498" t="s">
        <v>1620</v>
      </c>
      <c r="KVT22" s="498">
        <v>1</v>
      </c>
      <c r="KVU22" s="499">
        <v>1500000</v>
      </c>
      <c r="KVV22" s="498">
        <v>1.58</v>
      </c>
      <c r="KVW22" s="498">
        <v>1</v>
      </c>
      <c r="KVX22" s="501">
        <v>6.75</v>
      </c>
      <c r="KVY22" s="486">
        <v>5.0999999999999996</v>
      </c>
      <c r="KVZ22" s="452" t="s">
        <v>2691</v>
      </c>
      <c r="KWA22" s="498" t="s">
        <v>1620</v>
      </c>
      <c r="KWB22" s="498">
        <v>1</v>
      </c>
      <c r="KWC22" s="499">
        <v>1500000</v>
      </c>
      <c r="KWD22" s="498">
        <v>1.58</v>
      </c>
      <c r="KWE22" s="498">
        <v>1</v>
      </c>
      <c r="KWF22" s="501">
        <v>6.75</v>
      </c>
      <c r="KWG22" s="486">
        <v>5.0999999999999996</v>
      </c>
      <c r="KWH22" s="452" t="s">
        <v>2691</v>
      </c>
      <c r="KWI22" s="498" t="s">
        <v>1620</v>
      </c>
      <c r="KWJ22" s="498">
        <v>1</v>
      </c>
      <c r="KWK22" s="499">
        <v>1500000</v>
      </c>
      <c r="KWL22" s="498">
        <v>1.58</v>
      </c>
      <c r="KWM22" s="498">
        <v>1</v>
      </c>
      <c r="KWN22" s="501">
        <v>6.75</v>
      </c>
      <c r="KWO22" s="486">
        <v>5.0999999999999996</v>
      </c>
      <c r="KWP22" s="452" t="s">
        <v>2691</v>
      </c>
      <c r="KWQ22" s="498" t="s">
        <v>1620</v>
      </c>
      <c r="KWR22" s="498">
        <v>1</v>
      </c>
      <c r="KWS22" s="499">
        <v>1500000</v>
      </c>
      <c r="KWT22" s="498">
        <v>1.58</v>
      </c>
      <c r="KWU22" s="498">
        <v>1</v>
      </c>
      <c r="KWV22" s="501">
        <v>6.75</v>
      </c>
      <c r="KWW22" s="486">
        <v>5.0999999999999996</v>
      </c>
      <c r="KWX22" s="452" t="s">
        <v>2691</v>
      </c>
      <c r="KWY22" s="498" t="s">
        <v>1620</v>
      </c>
      <c r="KWZ22" s="498">
        <v>1</v>
      </c>
      <c r="KXA22" s="499">
        <v>1500000</v>
      </c>
      <c r="KXB22" s="498">
        <v>1.58</v>
      </c>
      <c r="KXC22" s="498">
        <v>1</v>
      </c>
      <c r="KXD22" s="501">
        <v>6.75</v>
      </c>
      <c r="KXE22" s="486">
        <v>5.0999999999999996</v>
      </c>
      <c r="KXF22" s="452" t="s">
        <v>2691</v>
      </c>
      <c r="KXG22" s="498" t="s">
        <v>1620</v>
      </c>
      <c r="KXH22" s="498">
        <v>1</v>
      </c>
      <c r="KXI22" s="499">
        <v>1500000</v>
      </c>
      <c r="KXJ22" s="498">
        <v>1.58</v>
      </c>
      <c r="KXK22" s="498">
        <v>1</v>
      </c>
      <c r="KXL22" s="501">
        <v>6.75</v>
      </c>
      <c r="KXM22" s="486">
        <v>5.0999999999999996</v>
      </c>
      <c r="KXN22" s="452" t="s">
        <v>2691</v>
      </c>
      <c r="KXO22" s="498" t="s">
        <v>1620</v>
      </c>
      <c r="KXP22" s="498">
        <v>1</v>
      </c>
      <c r="KXQ22" s="499">
        <v>1500000</v>
      </c>
      <c r="KXR22" s="498">
        <v>1.58</v>
      </c>
      <c r="KXS22" s="498">
        <v>1</v>
      </c>
      <c r="KXT22" s="501">
        <v>6.75</v>
      </c>
      <c r="KXU22" s="486">
        <v>5.0999999999999996</v>
      </c>
      <c r="KXV22" s="452" t="s">
        <v>2691</v>
      </c>
      <c r="KXW22" s="498" t="s">
        <v>1620</v>
      </c>
      <c r="KXX22" s="498">
        <v>1</v>
      </c>
      <c r="KXY22" s="499">
        <v>1500000</v>
      </c>
      <c r="KXZ22" s="498">
        <v>1.58</v>
      </c>
      <c r="KYA22" s="498">
        <v>1</v>
      </c>
      <c r="KYB22" s="501">
        <v>6.75</v>
      </c>
      <c r="KYC22" s="486">
        <v>5.0999999999999996</v>
      </c>
      <c r="KYD22" s="452" t="s">
        <v>2691</v>
      </c>
      <c r="KYE22" s="498" t="s">
        <v>1620</v>
      </c>
      <c r="KYF22" s="498">
        <v>1</v>
      </c>
      <c r="KYG22" s="499">
        <v>1500000</v>
      </c>
      <c r="KYH22" s="498">
        <v>1.58</v>
      </c>
      <c r="KYI22" s="498">
        <v>1</v>
      </c>
      <c r="KYJ22" s="501">
        <v>6.75</v>
      </c>
      <c r="KYK22" s="486">
        <v>5.0999999999999996</v>
      </c>
      <c r="KYL22" s="452" t="s">
        <v>2691</v>
      </c>
      <c r="KYM22" s="498" t="s">
        <v>1620</v>
      </c>
      <c r="KYN22" s="498">
        <v>1</v>
      </c>
      <c r="KYO22" s="499">
        <v>1500000</v>
      </c>
      <c r="KYP22" s="498">
        <v>1.58</v>
      </c>
      <c r="KYQ22" s="498">
        <v>1</v>
      </c>
      <c r="KYR22" s="501">
        <v>6.75</v>
      </c>
      <c r="KYS22" s="486">
        <v>5.0999999999999996</v>
      </c>
      <c r="KYT22" s="452" t="s">
        <v>2691</v>
      </c>
      <c r="KYU22" s="498" t="s">
        <v>1620</v>
      </c>
      <c r="KYV22" s="498">
        <v>1</v>
      </c>
      <c r="KYW22" s="499">
        <v>1500000</v>
      </c>
      <c r="KYX22" s="498">
        <v>1.58</v>
      </c>
      <c r="KYY22" s="498">
        <v>1</v>
      </c>
      <c r="KYZ22" s="501">
        <v>6.75</v>
      </c>
      <c r="KZA22" s="486">
        <v>5.0999999999999996</v>
      </c>
      <c r="KZB22" s="452" t="s">
        <v>2691</v>
      </c>
      <c r="KZC22" s="498" t="s">
        <v>1620</v>
      </c>
      <c r="KZD22" s="498">
        <v>1</v>
      </c>
      <c r="KZE22" s="499">
        <v>1500000</v>
      </c>
      <c r="KZF22" s="498">
        <v>1.58</v>
      </c>
      <c r="KZG22" s="498">
        <v>1</v>
      </c>
      <c r="KZH22" s="501">
        <v>6.75</v>
      </c>
      <c r="KZI22" s="486">
        <v>5.0999999999999996</v>
      </c>
      <c r="KZJ22" s="452" t="s">
        <v>2691</v>
      </c>
      <c r="KZK22" s="498" t="s">
        <v>1620</v>
      </c>
      <c r="KZL22" s="498">
        <v>1</v>
      </c>
      <c r="KZM22" s="499">
        <v>1500000</v>
      </c>
      <c r="KZN22" s="498">
        <v>1.58</v>
      </c>
      <c r="KZO22" s="498">
        <v>1</v>
      </c>
      <c r="KZP22" s="501">
        <v>6.75</v>
      </c>
      <c r="KZQ22" s="486">
        <v>5.0999999999999996</v>
      </c>
      <c r="KZR22" s="452" t="s">
        <v>2691</v>
      </c>
      <c r="KZS22" s="498" t="s">
        <v>1620</v>
      </c>
      <c r="KZT22" s="498">
        <v>1</v>
      </c>
      <c r="KZU22" s="499">
        <v>1500000</v>
      </c>
      <c r="KZV22" s="498">
        <v>1.58</v>
      </c>
      <c r="KZW22" s="498">
        <v>1</v>
      </c>
      <c r="KZX22" s="501">
        <v>6.75</v>
      </c>
      <c r="KZY22" s="486">
        <v>5.0999999999999996</v>
      </c>
      <c r="KZZ22" s="452" t="s">
        <v>2691</v>
      </c>
      <c r="LAA22" s="498" t="s">
        <v>1620</v>
      </c>
      <c r="LAB22" s="498">
        <v>1</v>
      </c>
      <c r="LAC22" s="499">
        <v>1500000</v>
      </c>
      <c r="LAD22" s="498">
        <v>1.58</v>
      </c>
      <c r="LAE22" s="498">
        <v>1</v>
      </c>
      <c r="LAF22" s="501">
        <v>6.75</v>
      </c>
      <c r="LAG22" s="486">
        <v>5.0999999999999996</v>
      </c>
      <c r="LAH22" s="452" t="s">
        <v>2691</v>
      </c>
      <c r="LAI22" s="498" t="s">
        <v>1620</v>
      </c>
      <c r="LAJ22" s="498">
        <v>1</v>
      </c>
      <c r="LAK22" s="499">
        <v>1500000</v>
      </c>
      <c r="LAL22" s="498">
        <v>1.58</v>
      </c>
      <c r="LAM22" s="498">
        <v>1</v>
      </c>
      <c r="LAN22" s="501">
        <v>6.75</v>
      </c>
      <c r="LAO22" s="486">
        <v>5.0999999999999996</v>
      </c>
      <c r="LAP22" s="452" t="s">
        <v>2691</v>
      </c>
      <c r="LAQ22" s="498" t="s">
        <v>1620</v>
      </c>
      <c r="LAR22" s="498">
        <v>1</v>
      </c>
      <c r="LAS22" s="499">
        <v>1500000</v>
      </c>
      <c r="LAT22" s="498">
        <v>1.58</v>
      </c>
      <c r="LAU22" s="498">
        <v>1</v>
      </c>
      <c r="LAV22" s="501">
        <v>6.75</v>
      </c>
      <c r="LAW22" s="486">
        <v>5.0999999999999996</v>
      </c>
      <c r="LAX22" s="452" t="s">
        <v>2691</v>
      </c>
      <c r="LAY22" s="498" t="s">
        <v>1620</v>
      </c>
      <c r="LAZ22" s="498">
        <v>1</v>
      </c>
      <c r="LBA22" s="499">
        <v>1500000</v>
      </c>
      <c r="LBB22" s="498">
        <v>1.58</v>
      </c>
      <c r="LBC22" s="498">
        <v>1</v>
      </c>
      <c r="LBD22" s="501">
        <v>6.75</v>
      </c>
      <c r="LBE22" s="486">
        <v>5.0999999999999996</v>
      </c>
      <c r="LBF22" s="452" t="s">
        <v>2691</v>
      </c>
      <c r="LBG22" s="498" t="s">
        <v>1620</v>
      </c>
      <c r="LBH22" s="498">
        <v>1</v>
      </c>
      <c r="LBI22" s="499">
        <v>1500000</v>
      </c>
      <c r="LBJ22" s="498">
        <v>1.58</v>
      </c>
      <c r="LBK22" s="498">
        <v>1</v>
      </c>
      <c r="LBL22" s="501">
        <v>6.75</v>
      </c>
      <c r="LBM22" s="486">
        <v>5.0999999999999996</v>
      </c>
      <c r="LBN22" s="452" t="s">
        <v>2691</v>
      </c>
      <c r="LBO22" s="498" t="s">
        <v>1620</v>
      </c>
      <c r="LBP22" s="498">
        <v>1</v>
      </c>
      <c r="LBQ22" s="499">
        <v>1500000</v>
      </c>
      <c r="LBR22" s="498">
        <v>1.58</v>
      </c>
      <c r="LBS22" s="498">
        <v>1</v>
      </c>
      <c r="LBT22" s="501">
        <v>6.75</v>
      </c>
      <c r="LBU22" s="486">
        <v>5.0999999999999996</v>
      </c>
      <c r="LBV22" s="452" t="s">
        <v>2691</v>
      </c>
      <c r="LBW22" s="498" t="s">
        <v>1620</v>
      </c>
      <c r="LBX22" s="498">
        <v>1</v>
      </c>
      <c r="LBY22" s="499">
        <v>1500000</v>
      </c>
      <c r="LBZ22" s="498">
        <v>1.58</v>
      </c>
      <c r="LCA22" s="498">
        <v>1</v>
      </c>
      <c r="LCB22" s="501">
        <v>6.75</v>
      </c>
      <c r="LCC22" s="486">
        <v>5.0999999999999996</v>
      </c>
      <c r="LCD22" s="452" t="s">
        <v>2691</v>
      </c>
      <c r="LCE22" s="498" t="s">
        <v>1620</v>
      </c>
      <c r="LCF22" s="498">
        <v>1</v>
      </c>
      <c r="LCG22" s="499">
        <v>1500000</v>
      </c>
      <c r="LCH22" s="498">
        <v>1.58</v>
      </c>
      <c r="LCI22" s="498">
        <v>1</v>
      </c>
      <c r="LCJ22" s="501">
        <v>6.75</v>
      </c>
      <c r="LCK22" s="486">
        <v>5.0999999999999996</v>
      </c>
      <c r="LCL22" s="452" t="s">
        <v>2691</v>
      </c>
      <c r="LCM22" s="498" t="s">
        <v>1620</v>
      </c>
      <c r="LCN22" s="498">
        <v>1</v>
      </c>
      <c r="LCO22" s="499">
        <v>1500000</v>
      </c>
      <c r="LCP22" s="498">
        <v>1.58</v>
      </c>
      <c r="LCQ22" s="498">
        <v>1</v>
      </c>
      <c r="LCR22" s="501">
        <v>6.75</v>
      </c>
      <c r="LCS22" s="486">
        <v>5.0999999999999996</v>
      </c>
      <c r="LCT22" s="452" t="s">
        <v>2691</v>
      </c>
      <c r="LCU22" s="498" t="s">
        <v>1620</v>
      </c>
      <c r="LCV22" s="498">
        <v>1</v>
      </c>
      <c r="LCW22" s="499">
        <v>1500000</v>
      </c>
      <c r="LCX22" s="498">
        <v>1.58</v>
      </c>
      <c r="LCY22" s="498">
        <v>1</v>
      </c>
      <c r="LCZ22" s="501">
        <v>6.75</v>
      </c>
      <c r="LDA22" s="486">
        <v>5.0999999999999996</v>
      </c>
      <c r="LDB22" s="452" t="s">
        <v>2691</v>
      </c>
      <c r="LDC22" s="498" t="s">
        <v>1620</v>
      </c>
      <c r="LDD22" s="498">
        <v>1</v>
      </c>
      <c r="LDE22" s="499">
        <v>1500000</v>
      </c>
      <c r="LDF22" s="498">
        <v>1.58</v>
      </c>
      <c r="LDG22" s="498">
        <v>1</v>
      </c>
      <c r="LDH22" s="501">
        <v>6.75</v>
      </c>
      <c r="LDI22" s="486">
        <v>5.0999999999999996</v>
      </c>
      <c r="LDJ22" s="452" t="s">
        <v>2691</v>
      </c>
      <c r="LDK22" s="498" t="s">
        <v>1620</v>
      </c>
      <c r="LDL22" s="498">
        <v>1</v>
      </c>
      <c r="LDM22" s="499">
        <v>1500000</v>
      </c>
      <c r="LDN22" s="498">
        <v>1.58</v>
      </c>
      <c r="LDO22" s="498">
        <v>1</v>
      </c>
      <c r="LDP22" s="501">
        <v>6.75</v>
      </c>
      <c r="LDQ22" s="486">
        <v>5.0999999999999996</v>
      </c>
      <c r="LDR22" s="452" t="s">
        <v>2691</v>
      </c>
      <c r="LDS22" s="498" t="s">
        <v>1620</v>
      </c>
      <c r="LDT22" s="498">
        <v>1</v>
      </c>
      <c r="LDU22" s="499">
        <v>1500000</v>
      </c>
      <c r="LDV22" s="498">
        <v>1.58</v>
      </c>
      <c r="LDW22" s="498">
        <v>1</v>
      </c>
      <c r="LDX22" s="501">
        <v>6.75</v>
      </c>
      <c r="LDY22" s="486">
        <v>5.0999999999999996</v>
      </c>
      <c r="LDZ22" s="452" t="s">
        <v>2691</v>
      </c>
      <c r="LEA22" s="498" t="s">
        <v>1620</v>
      </c>
      <c r="LEB22" s="498">
        <v>1</v>
      </c>
      <c r="LEC22" s="499">
        <v>1500000</v>
      </c>
      <c r="LED22" s="498">
        <v>1.58</v>
      </c>
      <c r="LEE22" s="498">
        <v>1</v>
      </c>
      <c r="LEF22" s="501">
        <v>6.75</v>
      </c>
      <c r="LEG22" s="486">
        <v>5.0999999999999996</v>
      </c>
      <c r="LEH22" s="452" t="s">
        <v>2691</v>
      </c>
      <c r="LEI22" s="498" t="s">
        <v>1620</v>
      </c>
      <c r="LEJ22" s="498">
        <v>1</v>
      </c>
      <c r="LEK22" s="499">
        <v>1500000</v>
      </c>
      <c r="LEL22" s="498">
        <v>1.58</v>
      </c>
      <c r="LEM22" s="498">
        <v>1</v>
      </c>
      <c r="LEN22" s="501">
        <v>6.75</v>
      </c>
      <c r="LEO22" s="486">
        <v>5.0999999999999996</v>
      </c>
      <c r="LEP22" s="452" t="s">
        <v>2691</v>
      </c>
      <c r="LEQ22" s="498" t="s">
        <v>1620</v>
      </c>
      <c r="LER22" s="498">
        <v>1</v>
      </c>
      <c r="LES22" s="499">
        <v>1500000</v>
      </c>
      <c r="LET22" s="498">
        <v>1.58</v>
      </c>
      <c r="LEU22" s="498">
        <v>1</v>
      </c>
      <c r="LEV22" s="501">
        <v>6.75</v>
      </c>
      <c r="LEW22" s="486">
        <v>5.0999999999999996</v>
      </c>
      <c r="LEX22" s="452" t="s">
        <v>2691</v>
      </c>
      <c r="LEY22" s="498" t="s">
        <v>1620</v>
      </c>
      <c r="LEZ22" s="498">
        <v>1</v>
      </c>
      <c r="LFA22" s="499">
        <v>1500000</v>
      </c>
      <c r="LFB22" s="498">
        <v>1.58</v>
      </c>
      <c r="LFC22" s="498">
        <v>1</v>
      </c>
      <c r="LFD22" s="501">
        <v>6.75</v>
      </c>
      <c r="LFE22" s="486">
        <v>5.0999999999999996</v>
      </c>
      <c r="LFF22" s="452" t="s">
        <v>2691</v>
      </c>
      <c r="LFG22" s="498" t="s">
        <v>1620</v>
      </c>
      <c r="LFH22" s="498">
        <v>1</v>
      </c>
      <c r="LFI22" s="499">
        <v>1500000</v>
      </c>
      <c r="LFJ22" s="498">
        <v>1.58</v>
      </c>
      <c r="LFK22" s="498">
        <v>1</v>
      </c>
      <c r="LFL22" s="501">
        <v>6.75</v>
      </c>
      <c r="LFM22" s="486">
        <v>5.0999999999999996</v>
      </c>
      <c r="LFN22" s="452" t="s">
        <v>2691</v>
      </c>
      <c r="LFO22" s="498" t="s">
        <v>1620</v>
      </c>
      <c r="LFP22" s="498">
        <v>1</v>
      </c>
      <c r="LFQ22" s="499">
        <v>1500000</v>
      </c>
      <c r="LFR22" s="498">
        <v>1.58</v>
      </c>
      <c r="LFS22" s="498">
        <v>1</v>
      </c>
      <c r="LFT22" s="501">
        <v>6.75</v>
      </c>
      <c r="LFU22" s="486">
        <v>5.0999999999999996</v>
      </c>
      <c r="LFV22" s="452" t="s">
        <v>2691</v>
      </c>
      <c r="LFW22" s="498" t="s">
        <v>1620</v>
      </c>
      <c r="LFX22" s="498">
        <v>1</v>
      </c>
      <c r="LFY22" s="499">
        <v>1500000</v>
      </c>
      <c r="LFZ22" s="498">
        <v>1.58</v>
      </c>
      <c r="LGA22" s="498">
        <v>1</v>
      </c>
      <c r="LGB22" s="501">
        <v>6.75</v>
      </c>
      <c r="LGC22" s="486">
        <v>5.0999999999999996</v>
      </c>
      <c r="LGD22" s="452" t="s">
        <v>2691</v>
      </c>
      <c r="LGE22" s="498" t="s">
        <v>1620</v>
      </c>
      <c r="LGF22" s="498">
        <v>1</v>
      </c>
      <c r="LGG22" s="499">
        <v>1500000</v>
      </c>
      <c r="LGH22" s="498">
        <v>1.58</v>
      </c>
      <c r="LGI22" s="498">
        <v>1</v>
      </c>
      <c r="LGJ22" s="501">
        <v>6.75</v>
      </c>
      <c r="LGK22" s="486">
        <v>5.0999999999999996</v>
      </c>
      <c r="LGL22" s="452" t="s">
        <v>2691</v>
      </c>
      <c r="LGM22" s="498" t="s">
        <v>1620</v>
      </c>
      <c r="LGN22" s="498">
        <v>1</v>
      </c>
      <c r="LGO22" s="499">
        <v>1500000</v>
      </c>
      <c r="LGP22" s="498">
        <v>1.58</v>
      </c>
      <c r="LGQ22" s="498">
        <v>1</v>
      </c>
      <c r="LGR22" s="501">
        <v>6.75</v>
      </c>
      <c r="LGS22" s="486">
        <v>5.0999999999999996</v>
      </c>
      <c r="LGT22" s="452" t="s">
        <v>2691</v>
      </c>
      <c r="LGU22" s="498" t="s">
        <v>1620</v>
      </c>
      <c r="LGV22" s="498">
        <v>1</v>
      </c>
      <c r="LGW22" s="499">
        <v>1500000</v>
      </c>
      <c r="LGX22" s="498">
        <v>1.58</v>
      </c>
      <c r="LGY22" s="498">
        <v>1</v>
      </c>
      <c r="LGZ22" s="501">
        <v>6.75</v>
      </c>
      <c r="LHA22" s="486">
        <v>5.0999999999999996</v>
      </c>
      <c r="LHB22" s="452" t="s">
        <v>2691</v>
      </c>
      <c r="LHC22" s="498" t="s">
        <v>1620</v>
      </c>
      <c r="LHD22" s="498">
        <v>1</v>
      </c>
      <c r="LHE22" s="499">
        <v>1500000</v>
      </c>
      <c r="LHF22" s="498">
        <v>1.58</v>
      </c>
      <c r="LHG22" s="498">
        <v>1</v>
      </c>
      <c r="LHH22" s="501">
        <v>6.75</v>
      </c>
      <c r="LHI22" s="486">
        <v>5.0999999999999996</v>
      </c>
      <c r="LHJ22" s="452" t="s">
        <v>2691</v>
      </c>
      <c r="LHK22" s="498" t="s">
        <v>1620</v>
      </c>
      <c r="LHL22" s="498">
        <v>1</v>
      </c>
      <c r="LHM22" s="499">
        <v>1500000</v>
      </c>
      <c r="LHN22" s="498">
        <v>1.58</v>
      </c>
      <c r="LHO22" s="498">
        <v>1</v>
      </c>
      <c r="LHP22" s="501">
        <v>6.75</v>
      </c>
      <c r="LHQ22" s="486">
        <v>5.0999999999999996</v>
      </c>
      <c r="LHR22" s="452" t="s">
        <v>2691</v>
      </c>
      <c r="LHS22" s="498" t="s">
        <v>1620</v>
      </c>
      <c r="LHT22" s="498">
        <v>1</v>
      </c>
      <c r="LHU22" s="499">
        <v>1500000</v>
      </c>
      <c r="LHV22" s="498">
        <v>1.58</v>
      </c>
      <c r="LHW22" s="498">
        <v>1</v>
      </c>
      <c r="LHX22" s="501">
        <v>6.75</v>
      </c>
      <c r="LHY22" s="486">
        <v>5.0999999999999996</v>
      </c>
      <c r="LHZ22" s="452" t="s">
        <v>2691</v>
      </c>
      <c r="LIA22" s="498" t="s">
        <v>1620</v>
      </c>
      <c r="LIB22" s="498">
        <v>1</v>
      </c>
      <c r="LIC22" s="499">
        <v>1500000</v>
      </c>
      <c r="LID22" s="498">
        <v>1.58</v>
      </c>
      <c r="LIE22" s="498">
        <v>1</v>
      </c>
      <c r="LIF22" s="501">
        <v>6.75</v>
      </c>
      <c r="LIG22" s="486">
        <v>5.0999999999999996</v>
      </c>
      <c r="LIH22" s="452" t="s">
        <v>2691</v>
      </c>
      <c r="LII22" s="498" t="s">
        <v>1620</v>
      </c>
      <c r="LIJ22" s="498">
        <v>1</v>
      </c>
      <c r="LIK22" s="499">
        <v>1500000</v>
      </c>
      <c r="LIL22" s="498">
        <v>1.58</v>
      </c>
      <c r="LIM22" s="498">
        <v>1</v>
      </c>
      <c r="LIN22" s="501">
        <v>6.75</v>
      </c>
      <c r="LIO22" s="486">
        <v>5.0999999999999996</v>
      </c>
      <c r="LIP22" s="452" t="s">
        <v>2691</v>
      </c>
      <c r="LIQ22" s="498" t="s">
        <v>1620</v>
      </c>
      <c r="LIR22" s="498">
        <v>1</v>
      </c>
      <c r="LIS22" s="499">
        <v>1500000</v>
      </c>
      <c r="LIT22" s="498">
        <v>1.58</v>
      </c>
      <c r="LIU22" s="498">
        <v>1</v>
      </c>
      <c r="LIV22" s="501">
        <v>6.75</v>
      </c>
      <c r="LIW22" s="486">
        <v>5.0999999999999996</v>
      </c>
      <c r="LIX22" s="452" t="s">
        <v>2691</v>
      </c>
      <c r="LIY22" s="498" t="s">
        <v>1620</v>
      </c>
      <c r="LIZ22" s="498">
        <v>1</v>
      </c>
      <c r="LJA22" s="499">
        <v>1500000</v>
      </c>
      <c r="LJB22" s="498">
        <v>1.58</v>
      </c>
      <c r="LJC22" s="498">
        <v>1</v>
      </c>
      <c r="LJD22" s="501">
        <v>6.75</v>
      </c>
      <c r="LJE22" s="486">
        <v>5.0999999999999996</v>
      </c>
      <c r="LJF22" s="452" t="s">
        <v>2691</v>
      </c>
      <c r="LJG22" s="498" t="s">
        <v>1620</v>
      </c>
      <c r="LJH22" s="498">
        <v>1</v>
      </c>
      <c r="LJI22" s="499">
        <v>1500000</v>
      </c>
      <c r="LJJ22" s="498">
        <v>1.58</v>
      </c>
      <c r="LJK22" s="498">
        <v>1</v>
      </c>
      <c r="LJL22" s="501">
        <v>6.75</v>
      </c>
      <c r="LJM22" s="486">
        <v>5.0999999999999996</v>
      </c>
      <c r="LJN22" s="452" t="s">
        <v>2691</v>
      </c>
      <c r="LJO22" s="498" t="s">
        <v>1620</v>
      </c>
      <c r="LJP22" s="498">
        <v>1</v>
      </c>
      <c r="LJQ22" s="499">
        <v>1500000</v>
      </c>
      <c r="LJR22" s="498">
        <v>1.58</v>
      </c>
      <c r="LJS22" s="498">
        <v>1</v>
      </c>
      <c r="LJT22" s="501">
        <v>6.75</v>
      </c>
      <c r="LJU22" s="486">
        <v>5.0999999999999996</v>
      </c>
      <c r="LJV22" s="452" t="s">
        <v>2691</v>
      </c>
      <c r="LJW22" s="498" t="s">
        <v>1620</v>
      </c>
      <c r="LJX22" s="498">
        <v>1</v>
      </c>
      <c r="LJY22" s="499">
        <v>1500000</v>
      </c>
      <c r="LJZ22" s="498">
        <v>1.58</v>
      </c>
      <c r="LKA22" s="498">
        <v>1</v>
      </c>
      <c r="LKB22" s="501">
        <v>6.75</v>
      </c>
      <c r="LKC22" s="486">
        <v>5.0999999999999996</v>
      </c>
      <c r="LKD22" s="452" t="s">
        <v>2691</v>
      </c>
      <c r="LKE22" s="498" t="s">
        <v>1620</v>
      </c>
      <c r="LKF22" s="498">
        <v>1</v>
      </c>
      <c r="LKG22" s="499">
        <v>1500000</v>
      </c>
      <c r="LKH22" s="498">
        <v>1.58</v>
      </c>
      <c r="LKI22" s="498">
        <v>1</v>
      </c>
      <c r="LKJ22" s="501">
        <v>6.75</v>
      </c>
      <c r="LKK22" s="486">
        <v>5.0999999999999996</v>
      </c>
      <c r="LKL22" s="452" t="s">
        <v>2691</v>
      </c>
      <c r="LKM22" s="498" t="s">
        <v>1620</v>
      </c>
      <c r="LKN22" s="498">
        <v>1</v>
      </c>
      <c r="LKO22" s="499">
        <v>1500000</v>
      </c>
      <c r="LKP22" s="498">
        <v>1.58</v>
      </c>
      <c r="LKQ22" s="498">
        <v>1</v>
      </c>
      <c r="LKR22" s="501">
        <v>6.75</v>
      </c>
      <c r="LKS22" s="486">
        <v>5.0999999999999996</v>
      </c>
      <c r="LKT22" s="452" t="s">
        <v>2691</v>
      </c>
      <c r="LKU22" s="498" t="s">
        <v>1620</v>
      </c>
      <c r="LKV22" s="498">
        <v>1</v>
      </c>
      <c r="LKW22" s="499">
        <v>1500000</v>
      </c>
      <c r="LKX22" s="498">
        <v>1.58</v>
      </c>
      <c r="LKY22" s="498">
        <v>1</v>
      </c>
      <c r="LKZ22" s="501">
        <v>6.75</v>
      </c>
      <c r="LLA22" s="486">
        <v>5.0999999999999996</v>
      </c>
      <c r="LLB22" s="452" t="s">
        <v>2691</v>
      </c>
      <c r="LLC22" s="498" t="s">
        <v>1620</v>
      </c>
      <c r="LLD22" s="498">
        <v>1</v>
      </c>
      <c r="LLE22" s="499">
        <v>1500000</v>
      </c>
      <c r="LLF22" s="498">
        <v>1.58</v>
      </c>
      <c r="LLG22" s="498">
        <v>1</v>
      </c>
      <c r="LLH22" s="501">
        <v>6.75</v>
      </c>
      <c r="LLI22" s="486">
        <v>5.0999999999999996</v>
      </c>
      <c r="LLJ22" s="452" t="s">
        <v>2691</v>
      </c>
      <c r="LLK22" s="498" t="s">
        <v>1620</v>
      </c>
      <c r="LLL22" s="498">
        <v>1</v>
      </c>
      <c r="LLM22" s="499">
        <v>1500000</v>
      </c>
      <c r="LLN22" s="498">
        <v>1.58</v>
      </c>
      <c r="LLO22" s="498">
        <v>1</v>
      </c>
      <c r="LLP22" s="501">
        <v>6.75</v>
      </c>
      <c r="LLQ22" s="486">
        <v>5.0999999999999996</v>
      </c>
      <c r="LLR22" s="452" t="s">
        <v>2691</v>
      </c>
      <c r="LLS22" s="498" t="s">
        <v>1620</v>
      </c>
      <c r="LLT22" s="498">
        <v>1</v>
      </c>
      <c r="LLU22" s="499">
        <v>1500000</v>
      </c>
      <c r="LLV22" s="498">
        <v>1.58</v>
      </c>
      <c r="LLW22" s="498">
        <v>1</v>
      </c>
      <c r="LLX22" s="501">
        <v>6.75</v>
      </c>
      <c r="LLY22" s="486">
        <v>5.0999999999999996</v>
      </c>
      <c r="LLZ22" s="452" t="s">
        <v>2691</v>
      </c>
      <c r="LMA22" s="498" t="s">
        <v>1620</v>
      </c>
      <c r="LMB22" s="498">
        <v>1</v>
      </c>
      <c r="LMC22" s="499">
        <v>1500000</v>
      </c>
      <c r="LMD22" s="498">
        <v>1.58</v>
      </c>
      <c r="LME22" s="498">
        <v>1</v>
      </c>
      <c r="LMF22" s="501">
        <v>6.75</v>
      </c>
      <c r="LMG22" s="486">
        <v>5.0999999999999996</v>
      </c>
      <c r="LMH22" s="452" t="s">
        <v>2691</v>
      </c>
      <c r="LMI22" s="498" t="s">
        <v>1620</v>
      </c>
      <c r="LMJ22" s="498">
        <v>1</v>
      </c>
      <c r="LMK22" s="499">
        <v>1500000</v>
      </c>
      <c r="LML22" s="498">
        <v>1.58</v>
      </c>
      <c r="LMM22" s="498">
        <v>1</v>
      </c>
      <c r="LMN22" s="501">
        <v>6.75</v>
      </c>
      <c r="LMO22" s="486">
        <v>5.0999999999999996</v>
      </c>
      <c r="LMP22" s="452" t="s">
        <v>2691</v>
      </c>
      <c r="LMQ22" s="498" t="s">
        <v>1620</v>
      </c>
      <c r="LMR22" s="498">
        <v>1</v>
      </c>
      <c r="LMS22" s="499">
        <v>1500000</v>
      </c>
      <c r="LMT22" s="498">
        <v>1.58</v>
      </c>
      <c r="LMU22" s="498">
        <v>1</v>
      </c>
      <c r="LMV22" s="501">
        <v>6.75</v>
      </c>
      <c r="LMW22" s="486">
        <v>5.0999999999999996</v>
      </c>
      <c r="LMX22" s="452" t="s">
        <v>2691</v>
      </c>
      <c r="LMY22" s="498" t="s">
        <v>1620</v>
      </c>
      <c r="LMZ22" s="498">
        <v>1</v>
      </c>
      <c r="LNA22" s="499">
        <v>1500000</v>
      </c>
      <c r="LNB22" s="498">
        <v>1.58</v>
      </c>
      <c r="LNC22" s="498">
        <v>1</v>
      </c>
      <c r="LND22" s="501">
        <v>6.75</v>
      </c>
      <c r="LNE22" s="486">
        <v>5.0999999999999996</v>
      </c>
      <c r="LNF22" s="452" t="s">
        <v>2691</v>
      </c>
      <c r="LNG22" s="498" t="s">
        <v>1620</v>
      </c>
      <c r="LNH22" s="498">
        <v>1</v>
      </c>
      <c r="LNI22" s="499">
        <v>1500000</v>
      </c>
      <c r="LNJ22" s="498">
        <v>1.58</v>
      </c>
      <c r="LNK22" s="498">
        <v>1</v>
      </c>
      <c r="LNL22" s="501">
        <v>6.75</v>
      </c>
      <c r="LNM22" s="486">
        <v>5.0999999999999996</v>
      </c>
      <c r="LNN22" s="452" t="s">
        <v>2691</v>
      </c>
      <c r="LNO22" s="498" t="s">
        <v>1620</v>
      </c>
      <c r="LNP22" s="498">
        <v>1</v>
      </c>
      <c r="LNQ22" s="499">
        <v>1500000</v>
      </c>
      <c r="LNR22" s="498">
        <v>1.58</v>
      </c>
      <c r="LNS22" s="498">
        <v>1</v>
      </c>
      <c r="LNT22" s="501">
        <v>6.75</v>
      </c>
      <c r="LNU22" s="486">
        <v>5.0999999999999996</v>
      </c>
      <c r="LNV22" s="452" t="s">
        <v>2691</v>
      </c>
      <c r="LNW22" s="498" t="s">
        <v>1620</v>
      </c>
      <c r="LNX22" s="498">
        <v>1</v>
      </c>
      <c r="LNY22" s="499">
        <v>1500000</v>
      </c>
      <c r="LNZ22" s="498">
        <v>1.58</v>
      </c>
      <c r="LOA22" s="498">
        <v>1</v>
      </c>
      <c r="LOB22" s="501">
        <v>6.75</v>
      </c>
      <c r="LOC22" s="486">
        <v>5.0999999999999996</v>
      </c>
      <c r="LOD22" s="452" t="s">
        <v>2691</v>
      </c>
      <c r="LOE22" s="498" t="s">
        <v>1620</v>
      </c>
      <c r="LOF22" s="498">
        <v>1</v>
      </c>
      <c r="LOG22" s="499">
        <v>1500000</v>
      </c>
      <c r="LOH22" s="498">
        <v>1.58</v>
      </c>
      <c r="LOI22" s="498">
        <v>1</v>
      </c>
      <c r="LOJ22" s="501">
        <v>6.75</v>
      </c>
      <c r="LOK22" s="486">
        <v>5.0999999999999996</v>
      </c>
      <c r="LOL22" s="452" t="s">
        <v>2691</v>
      </c>
      <c r="LOM22" s="498" t="s">
        <v>1620</v>
      </c>
      <c r="LON22" s="498">
        <v>1</v>
      </c>
      <c r="LOO22" s="499">
        <v>1500000</v>
      </c>
      <c r="LOP22" s="498">
        <v>1.58</v>
      </c>
      <c r="LOQ22" s="498">
        <v>1</v>
      </c>
      <c r="LOR22" s="501">
        <v>6.75</v>
      </c>
      <c r="LOS22" s="486">
        <v>5.0999999999999996</v>
      </c>
      <c r="LOT22" s="452" t="s">
        <v>2691</v>
      </c>
      <c r="LOU22" s="498" t="s">
        <v>1620</v>
      </c>
      <c r="LOV22" s="498">
        <v>1</v>
      </c>
      <c r="LOW22" s="499">
        <v>1500000</v>
      </c>
      <c r="LOX22" s="498">
        <v>1.58</v>
      </c>
      <c r="LOY22" s="498">
        <v>1</v>
      </c>
      <c r="LOZ22" s="501">
        <v>6.75</v>
      </c>
      <c r="LPA22" s="486">
        <v>5.0999999999999996</v>
      </c>
      <c r="LPB22" s="452" t="s">
        <v>2691</v>
      </c>
      <c r="LPC22" s="498" t="s">
        <v>1620</v>
      </c>
      <c r="LPD22" s="498">
        <v>1</v>
      </c>
      <c r="LPE22" s="499">
        <v>1500000</v>
      </c>
      <c r="LPF22" s="498">
        <v>1.58</v>
      </c>
      <c r="LPG22" s="498">
        <v>1</v>
      </c>
      <c r="LPH22" s="501">
        <v>6.75</v>
      </c>
      <c r="LPI22" s="486">
        <v>5.0999999999999996</v>
      </c>
      <c r="LPJ22" s="452" t="s">
        <v>2691</v>
      </c>
      <c r="LPK22" s="498" t="s">
        <v>1620</v>
      </c>
      <c r="LPL22" s="498">
        <v>1</v>
      </c>
      <c r="LPM22" s="499">
        <v>1500000</v>
      </c>
      <c r="LPN22" s="498">
        <v>1.58</v>
      </c>
      <c r="LPO22" s="498">
        <v>1</v>
      </c>
      <c r="LPP22" s="501">
        <v>6.75</v>
      </c>
      <c r="LPQ22" s="486">
        <v>5.0999999999999996</v>
      </c>
      <c r="LPR22" s="452" t="s">
        <v>2691</v>
      </c>
      <c r="LPS22" s="498" t="s">
        <v>1620</v>
      </c>
      <c r="LPT22" s="498">
        <v>1</v>
      </c>
      <c r="LPU22" s="499">
        <v>1500000</v>
      </c>
      <c r="LPV22" s="498">
        <v>1.58</v>
      </c>
      <c r="LPW22" s="498">
        <v>1</v>
      </c>
      <c r="LPX22" s="501">
        <v>6.75</v>
      </c>
      <c r="LPY22" s="486">
        <v>5.0999999999999996</v>
      </c>
      <c r="LPZ22" s="452" t="s">
        <v>2691</v>
      </c>
      <c r="LQA22" s="498" t="s">
        <v>1620</v>
      </c>
      <c r="LQB22" s="498">
        <v>1</v>
      </c>
      <c r="LQC22" s="499">
        <v>1500000</v>
      </c>
      <c r="LQD22" s="498">
        <v>1.58</v>
      </c>
      <c r="LQE22" s="498">
        <v>1</v>
      </c>
      <c r="LQF22" s="501">
        <v>6.75</v>
      </c>
      <c r="LQG22" s="486">
        <v>5.0999999999999996</v>
      </c>
      <c r="LQH22" s="452" t="s">
        <v>2691</v>
      </c>
      <c r="LQI22" s="498" t="s">
        <v>1620</v>
      </c>
      <c r="LQJ22" s="498">
        <v>1</v>
      </c>
      <c r="LQK22" s="499">
        <v>1500000</v>
      </c>
      <c r="LQL22" s="498">
        <v>1.58</v>
      </c>
      <c r="LQM22" s="498">
        <v>1</v>
      </c>
      <c r="LQN22" s="501">
        <v>6.75</v>
      </c>
      <c r="LQO22" s="486">
        <v>5.0999999999999996</v>
      </c>
      <c r="LQP22" s="452" t="s">
        <v>2691</v>
      </c>
      <c r="LQQ22" s="498" t="s">
        <v>1620</v>
      </c>
      <c r="LQR22" s="498">
        <v>1</v>
      </c>
      <c r="LQS22" s="499">
        <v>1500000</v>
      </c>
      <c r="LQT22" s="498">
        <v>1.58</v>
      </c>
      <c r="LQU22" s="498">
        <v>1</v>
      </c>
      <c r="LQV22" s="501">
        <v>6.75</v>
      </c>
      <c r="LQW22" s="486">
        <v>5.0999999999999996</v>
      </c>
      <c r="LQX22" s="452" t="s">
        <v>2691</v>
      </c>
      <c r="LQY22" s="498" t="s">
        <v>1620</v>
      </c>
      <c r="LQZ22" s="498">
        <v>1</v>
      </c>
      <c r="LRA22" s="499">
        <v>1500000</v>
      </c>
      <c r="LRB22" s="498">
        <v>1.58</v>
      </c>
      <c r="LRC22" s="498">
        <v>1</v>
      </c>
      <c r="LRD22" s="501">
        <v>6.75</v>
      </c>
      <c r="LRE22" s="486">
        <v>5.0999999999999996</v>
      </c>
      <c r="LRF22" s="452" t="s">
        <v>2691</v>
      </c>
      <c r="LRG22" s="498" t="s">
        <v>1620</v>
      </c>
      <c r="LRH22" s="498">
        <v>1</v>
      </c>
      <c r="LRI22" s="499">
        <v>1500000</v>
      </c>
      <c r="LRJ22" s="498">
        <v>1.58</v>
      </c>
      <c r="LRK22" s="498">
        <v>1</v>
      </c>
      <c r="LRL22" s="501">
        <v>6.75</v>
      </c>
      <c r="LRM22" s="486">
        <v>5.0999999999999996</v>
      </c>
      <c r="LRN22" s="452" t="s">
        <v>2691</v>
      </c>
      <c r="LRO22" s="498" t="s">
        <v>1620</v>
      </c>
      <c r="LRP22" s="498">
        <v>1</v>
      </c>
      <c r="LRQ22" s="499">
        <v>1500000</v>
      </c>
      <c r="LRR22" s="498">
        <v>1.58</v>
      </c>
      <c r="LRS22" s="498">
        <v>1</v>
      </c>
      <c r="LRT22" s="501">
        <v>6.75</v>
      </c>
      <c r="LRU22" s="486">
        <v>5.0999999999999996</v>
      </c>
      <c r="LRV22" s="452" t="s">
        <v>2691</v>
      </c>
      <c r="LRW22" s="498" t="s">
        <v>1620</v>
      </c>
      <c r="LRX22" s="498">
        <v>1</v>
      </c>
      <c r="LRY22" s="499">
        <v>1500000</v>
      </c>
      <c r="LRZ22" s="498">
        <v>1.58</v>
      </c>
      <c r="LSA22" s="498">
        <v>1</v>
      </c>
      <c r="LSB22" s="501">
        <v>6.75</v>
      </c>
      <c r="LSC22" s="486">
        <v>5.0999999999999996</v>
      </c>
      <c r="LSD22" s="452" t="s">
        <v>2691</v>
      </c>
      <c r="LSE22" s="498" t="s">
        <v>1620</v>
      </c>
      <c r="LSF22" s="498">
        <v>1</v>
      </c>
      <c r="LSG22" s="499">
        <v>1500000</v>
      </c>
      <c r="LSH22" s="498">
        <v>1.58</v>
      </c>
      <c r="LSI22" s="498">
        <v>1</v>
      </c>
      <c r="LSJ22" s="501">
        <v>6.75</v>
      </c>
      <c r="LSK22" s="486">
        <v>5.0999999999999996</v>
      </c>
      <c r="LSL22" s="452" t="s">
        <v>2691</v>
      </c>
      <c r="LSM22" s="498" t="s">
        <v>1620</v>
      </c>
      <c r="LSN22" s="498">
        <v>1</v>
      </c>
      <c r="LSO22" s="499">
        <v>1500000</v>
      </c>
      <c r="LSP22" s="498">
        <v>1.58</v>
      </c>
      <c r="LSQ22" s="498">
        <v>1</v>
      </c>
      <c r="LSR22" s="501">
        <v>6.75</v>
      </c>
      <c r="LSS22" s="486">
        <v>5.0999999999999996</v>
      </c>
      <c r="LST22" s="452" t="s">
        <v>2691</v>
      </c>
      <c r="LSU22" s="498" t="s">
        <v>1620</v>
      </c>
      <c r="LSV22" s="498">
        <v>1</v>
      </c>
      <c r="LSW22" s="499">
        <v>1500000</v>
      </c>
      <c r="LSX22" s="498">
        <v>1.58</v>
      </c>
      <c r="LSY22" s="498">
        <v>1</v>
      </c>
      <c r="LSZ22" s="501">
        <v>6.75</v>
      </c>
      <c r="LTA22" s="486">
        <v>5.0999999999999996</v>
      </c>
      <c r="LTB22" s="452" t="s">
        <v>2691</v>
      </c>
      <c r="LTC22" s="498" t="s">
        <v>1620</v>
      </c>
      <c r="LTD22" s="498">
        <v>1</v>
      </c>
      <c r="LTE22" s="499">
        <v>1500000</v>
      </c>
      <c r="LTF22" s="498">
        <v>1.58</v>
      </c>
      <c r="LTG22" s="498">
        <v>1</v>
      </c>
      <c r="LTH22" s="501">
        <v>6.75</v>
      </c>
      <c r="LTI22" s="486">
        <v>5.0999999999999996</v>
      </c>
      <c r="LTJ22" s="452" t="s">
        <v>2691</v>
      </c>
      <c r="LTK22" s="498" t="s">
        <v>1620</v>
      </c>
      <c r="LTL22" s="498">
        <v>1</v>
      </c>
      <c r="LTM22" s="499">
        <v>1500000</v>
      </c>
      <c r="LTN22" s="498">
        <v>1.58</v>
      </c>
      <c r="LTO22" s="498">
        <v>1</v>
      </c>
      <c r="LTP22" s="501">
        <v>6.75</v>
      </c>
      <c r="LTQ22" s="486">
        <v>5.0999999999999996</v>
      </c>
      <c r="LTR22" s="452" t="s">
        <v>2691</v>
      </c>
      <c r="LTS22" s="498" t="s">
        <v>1620</v>
      </c>
      <c r="LTT22" s="498">
        <v>1</v>
      </c>
      <c r="LTU22" s="499">
        <v>1500000</v>
      </c>
      <c r="LTV22" s="498">
        <v>1.58</v>
      </c>
      <c r="LTW22" s="498">
        <v>1</v>
      </c>
      <c r="LTX22" s="501">
        <v>6.75</v>
      </c>
      <c r="LTY22" s="486">
        <v>5.0999999999999996</v>
      </c>
      <c r="LTZ22" s="452" t="s">
        <v>2691</v>
      </c>
      <c r="LUA22" s="498" t="s">
        <v>1620</v>
      </c>
      <c r="LUB22" s="498">
        <v>1</v>
      </c>
      <c r="LUC22" s="499">
        <v>1500000</v>
      </c>
      <c r="LUD22" s="498">
        <v>1.58</v>
      </c>
      <c r="LUE22" s="498">
        <v>1</v>
      </c>
      <c r="LUF22" s="501">
        <v>6.75</v>
      </c>
      <c r="LUG22" s="486">
        <v>5.0999999999999996</v>
      </c>
      <c r="LUH22" s="452" t="s">
        <v>2691</v>
      </c>
      <c r="LUI22" s="498" t="s">
        <v>1620</v>
      </c>
      <c r="LUJ22" s="498">
        <v>1</v>
      </c>
      <c r="LUK22" s="499">
        <v>1500000</v>
      </c>
      <c r="LUL22" s="498">
        <v>1.58</v>
      </c>
      <c r="LUM22" s="498">
        <v>1</v>
      </c>
      <c r="LUN22" s="501">
        <v>6.75</v>
      </c>
      <c r="LUO22" s="486">
        <v>5.0999999999999996</v>
      </c>
      <c r="LUP22" s="452" t="s">
        <v>2691</v>
      </c>
      <c r="LUQ22" s="498" t="s">
        <v>1620</v>
      </c>
      <c r="LUR22" s="498">
        <v>1</v>
      </c>
      <c r="LUS22" s="499">
        <v>1500000</v>
      </c>
      <c r="LUT22" s="498">
        <v>1.58</v>
      </c>
      <c r="LUU22" s="498">
        <v>1</v>
      </c>
      <c r="LUV22" s="501">
        <v>6.75</v>
      </c>
      <c r="LUW22" s="486">
        <v>5.0999999999999996</v>
      </c>
      <c r="LUX22" s="452" t="s">
        <v>2691</v>
      </c>
      <c r="LUY22" s="498" t="s">
        <v>1620</v>
      </c>
      <c r="LUZ22" s="498">
        <v>1</v>
      </c>
      <c r="LVA22" s="499">
        <v>1500000</v>
      </c>
      <c r="LVB22" s="498">
        <v>1.58</v>
      </c>
      <c r="LVC22" s="498">
        <v>1</v>
      </c>
      <c r="LVD22" s="501">
        <v>6.75</v>
      </c>
      <c r="LVE22" s="486">
        <v>5.0999999999999996</v>
      </c>
      <c r="LVF22" s="452" t="s">
        <v>2691</v>
      </c>
      <c r="LVG22" s="498" t="s">
        <v>1620</v>
      </c>
      <c r="LVH22" s="498">
        <v>1</v>
      </c>
      <c r="LVI22" s="499">
        <v>1500000</v>
      </c>
      <c r="LVJ22" s="498">
        <v>1.58</v>
      </c>
      <c r="LVK22" s="498">
        <v>1</v>
      </c>
      <c r="LVL22" s="501">
        <v>6.75</v>
      </c>
      <c r="LVM22" s="486">
        <v>5.0999999999999996</v>
      </c>
      <c r="LVN22" s="452" t="s">
        <v>2691</v>
      </c>
      <c r="LVO22" s="498" t="s">
        <v>1620</v>
      </c>
      <c r="LVP22" s="498">
        <v>1</v>
      </c>
      <c r="LVQ22" s="499">
        <v>1500000</v>
      </c>
      <c r="LVR22" s="498">
        <v>1.58</v>
      </c>
      <c r="LVS22" s="498">
        <v>1</v>
      </c>
      <c r="LVT22" s="501">
        <v>6.75</v>
      </c>
      <c r="LVU22" s="486">
        <v>5.0999999999999996</v>
      </c>
      <c r="LVV22" s="452" t="s">
        <v>2691</v>
      </c>
      <c r="LVW22" s="498" t="s">
        <v>1620</v>
      </c>
      <c r="LVX22" s="498">
        <v>1</v>
      </c>
      <c r="LVY22" s="499">
        <v>1500000</v>
      </c>
      <c r="LVZ22" s="498">
        <v>1.58</v>
      </c>
      <c r="LWA22" s="498">
        <v>1</v>
      </c>
      <c r="LWB22" s="501">
        <v>6.75</v>
      </c>
      <c r="LWC22" s="486">
        <v>5.0999999999999996</v>
      </c>
      <c r="LWD22" s="452" t="s">
        <v>2691</v>
      </c>
      <c r="LWE22" s="498" t="s">
        <v>1620</v>
      </c>
      <c r="LWF22" s="498">
        <v>1</v>
      </c>
      <c r="LWG22" s="499">
        <v>1500000</v>
      </c>
      <c r="LWH22" s="498">
        <v>1.58</v>
      </c>
      <c r="LWI22" s="498">
        <v>1</v>
      </c>
      <c r="LWJ22" s="501">
        <v>6.75</v>
      </c>
      <c r="LWK22" s="486">
        <v>5.0999999999999996</v>
      </c>
      <c r="LWL22" s="452" t="s">
        <v>2691</v>
      </c>
      <c r="LWM22" s="498" t="s">
        <v>1620</v>
      </c>
      <c r="LWN22" s="498">
        <v>1</v>
      </c>
      <c r="LWO22" s="499">
        <v>1500000</v>
      </c>
      <c r="LWP22" s="498">
        <v>1.58</v>
      </c>
      <c r="LWQ22" s="498">
        <v>1</v>
      </c>
      <c r="LWR22" s="501">
        <v>6.75</v>
      </c>
      <c r="LWS22" s="486">
        <v>5.0999999999999996</v>
      </c>
      <c r="LWT22" s="452" t="s">
        <v>2691</v>
      </c>
      <c r="LWU22" s="498" t="s">
        <v>1620</v>
      </c>
      <c r="LWV22" s="498">
        <v>1</v>
      </c>
      <c r="LWW22" s="499">
        <v>1500000</v>
      </c>
      <c r="LWX22" s="498">
        <v>1.58</v>
      </c>
      <c r="LWY22" s="498">
        <v>1</v>
      </c>
      <c r="LWZ22" s="501">
        <v>6.75</v>
      </c>
      <c r="LXA22" s="486">
        <v>5.0999999999999996</v>
      </c>
      <c r="LXB22" s="452" t="s">
        <v>2691</v>
      </c>
      <c r="LXC22" s="498" t="s">
        <v>1620</v>
      </c>
      <c r="LXD22" s="498">
        <v>1</v>
      </c>
      <c r="LXE22" s="499">
        <v>1500000</v>
      </c>
      <c r="LXF22" s="498">
        <v>1.58</v>
      </c>
      <c r="LXG22" s="498">
        <v>1</v>
      </c>
      <c r="LXH22" s="501">
        <v>6.75</v>
      </c>
      <c r="LXI22" s="486">
        <v>5.0999999999999996</v>
      </c>
      <c r="LXJ22" s="452" t="s">
        <v>2691</v>
      </c>
      <c r="LXK22" s="498" t="s">
        <v>1620</v>
      </c>
      <c r="LXL22" s="498">
        <v>1</v>
      </c>
      <c r="LXM22" s="499">
        <v>1500000</v>
      </c>
      <c r="LXN22" s="498">
        <v>1.58</v>
      </c>
      <c r="LXO22" s="498">
        <v>1</v>
      </c>
      <c r="LXP22" s="501">
        <v>6.75</v>
      </c>
      <c r="LXQ22" s="486">
        <v>5.0999999999999996</v>
      </c>
      <c r="LXR22" s="452" t="s">
        <v>2691</v>
      </c>
      <c r="LXS22" s="498" t="s">
        <v>1620</v>
      </c>
      <c r="LXT22" s="498">
        <v>1</v>
      </c>
      <c r="LXU22" s="499">
        <v>1500000</v>
      </c>
      <c r="LXV22" s="498">
        <v>1.58</v>
      </c>
      <c r="LXW22" s="498">
        <v>1</v>
      </c>
      <c r="LXX22" s="501">
        <v>6.75</v>
      </c>
      <c r="LXY22" s="486">
        <v>5.0999999999999996</v>
      </c>
      <c r="LXZ22" s="452" t="s">
        <v>2691</v>
      </c>
      <c r="LYA22" s="498" t="s">
        <v>1620</v>
      </c>
      <c r="LYB22" s="498">
        <v>1</v>
      </c>
      <c r="LYC22" s="499">
        <v>1500000</v>
      </c>
      <c r="LYD22" s="498">
        <v>1.58</v>
      </c>
      <c r="LYE22" s="498">
        <v>1</v>
      </c>
      <c r="LYF22" s="501">
        <v>6.75</v>
      </c>
      <c r="LYG22" s="486">
        <v>5.0999999999999996</v>
      </c>
      <c r="LYH22" s="452" t="s">
        <v>2691</v>
      </c>
      <c r="LYI22" s="498" t="s">
        <v>1620</v>
      </c>
      <c r="LYJ22" s="498">
        <v>1</v>
      </c>
      <c r="LYK22" s="499">
        <v>1500000</v>
      </c>
      <c r="LYL22" s="498">
        <v>1.58</v>
      </c>
      <c r="LYM22" s="498">
        <v>1</v>
      </c>
      <c r="LYN22" s="501">
        <v>6.75</v>
      </c>
      <c r="LYO22" s="486">
        <v>5.0999999999999996</v>
      </c>
      <c r="LYP22" s="452" t="s">
        <v>2691</v>
      </c>
      <c r="LYQ22" s="498" t="s">
        <v>1620</v>
      </c>
      <c r="LYR22" s="498">
        <v>1</v>
      </c>
      <c r="LYS22" s="499">
        <v>1500000</v>
      </c>
      <c r="LYT22" s="498">
        <v>1.58</v>
      </c>
      <c r="LYU22" s="498">
        <v>1</v>
      </c>
      <c r="LYV22" s="501">
        <v>6.75</v>
      </c>
      <c r="LYW22" s="486">
        <v>5.0999999999999996</v>
      </c>
      <c r="LYX22" s="452" t="s">
        <v>2691</v>
      </c>
      <c r="LYY22" s="498" t="s">
        <v>1620</v>
      </c>
      <c r="LYZ22" s="498">
        <v>1</v>
      </c>
      <c r="LZA22" s="499">
        <v>1500000</v>
      </c>
      <c r="LZB22" s="498">
        <v>1.58</v>
      </c>
      <c r="LZC22" s="498">
        <v>1</v>
      </c>
      <c r="LZD22" s="501">
        <v>6.75</v>
      </c>
      <c r="LZE22" s="486">
        <v>5.0999999999999996</v>
      </c>
      <c r="LZF22" s="452" t="s">
        <v>2691</v>
      </c>
      <c r="LZG22" s="498" t="s">
        <v>1620</v>
      </c>
      <c r="LZH22" s="498">
        <v>1</v>
      </c>
      <c r="LZI22" s="499">
        <v>1500000</v>
      </c>
      <c r="LZJ22" s="498">
        <v>1.58</v>
      </c>
      <c r="LZK22" s="498">
        <v>1</v>
      </c>
      <c r="LZL22" s="501">
        <v>6.75</v>
      </c>
      <c r="LZM22" s="486">
        <v>5.0999999999999996</v>
      </c>
      <c r="LZN22" s="452" t="s">
        <v>2691</v>
      </c>
      <c r="LZO22" s="498" t="s">
        <v>1620</v>
      </c>
      <c r="LZP22" s="498">
        <v>1</v>
      </c>
      <c r="LZQ22" s="499">
        <v>1500000</v>
      </c>
      <c r="LZR22" s="498">
        <v>1.58</v>
      </c>
      <c r="LZS22" s="498">
        <v>1</v>
      </c>
      <c r="LZT22" s="501">
        <v>6.75</v>
      </c>
      <c r="LZU22" s="486">
        <v>5.0999999999999996</v>
      </c>
      <c r="LZV22" s="452" t="s">
        <v>2691</v>
      </c>
      <c r="LZW22" s="498" t="s">
        <v>1620</v>
      </c>
      <c r="LZX22" s="498">
        <v>1</v>
      </c>
      <c r="LZY22" s="499">
        <v>1500000</v>
      </c>
      <c r="LZZ22" s="498">
        <v>1.58</v>
      </c>
      <c r="MAA22" s="498">
        <v>1</v>
      </c>
      <c r="MAB22" s="501">
        <v>6.75</v>
      </c>
      <c r="MAC22" s="486">
        <v>5.0999999999999996</v>
      </c>
      <c r="MAD22" s="452" t="s">
        <v>2691</v>
      </c>
      <c r="MAE22" s="498" t="s">
        <v>1620</v>
      </c>
      <c r="MAF22" s="498">
        <v>1</v>
      </c>
      <c r="MAG22" s="499">
        <v>1500000</v>
      </c>
      <c r="MAH22" s="498">
        <v>1.58</v>
      </c>
      <c r="MAI22" s="498">
        <v>1</v>
      </c>
      <c r="MAJ22" s="501">
        <v>6.75</v>
      </c>
      <c r="MAK22" s="486">
        <v>5.0999999999999996</v>
      </c>
      <c r="MAL22" s="452" t="s">
        <v>2691</v>
      </c>
      <c r="MAM22" s="498" t="s">
        <v>1620</v>
      </c>
      <c r="MAN22" s="498">
        <v>1</v>
      </c>
      <c r="MAO22" s="499">
        <v>1500000</v>
      </c>
      <c r="MAP22" s="498">
        <v>1.58</v>
      </c>
      <c r="MAQ22" s="498">
        <v>1</v>
      </c>
      <c r="MAR22" s="501">
        <v>6.75</v>
      </c>
      <c r="MAS22" s="486">
        <v>5.0999999999999996</v>
      </c>
      <c r="MAT22" s="452" t="s">
        <v>2691</v>
      </c>
      <c r="MAU22" s="498" t="s">
        <v>1620</v>
      </c>
      <c r="MAV22" s="498">
        <v>1</v>
      </c>
      <c r="MAW22" s="499">
        <v>1500000</v>
      </c>
      <c r="MAX22" s="498">
        <v>1.58</v>
      </c>
      <c r="MAY22" s="498">
        <v>1</v>
      </c>
      <c r="MAZ22" s="501">
        <v>6.75</v>
      </c>
      <c r="MBA22" s="486">
        <v>5.0999999999999996</v>
      </c>
      <c r="MBB22" s="452" t="s">
        <v>2691</v>
      </c>
      <c r="MBC22" s="498" t="s">
        <v>1620</v>
      </c>
      <c r="MBD22" s="498">
        <v>1</v>
      </c>
      <c r="MBE22" s="499">
        <v>1500000</v>
      </c>
      <c r="MBF22" s="498">
        <v>1.58</v>
      </c>
      <c r="MBG22" s="498">
        <v>1</v>
      </c>
      <c r="MBH22" s="501">
        <v>6.75</v>
      </c>
      <c r="MBI22" s="486">
        <v>5.0999999999999996</v>
      </c>
      <c r="MBJ22" s="452" t="s">
        <v>2691</v>
      </c>
      <c r="MBK22" s="498" t="s">
        <v>1620</v>
      </c>
      <c r="MBL22" s="498">
        <v>1</v>
      </c>
      <c r="MBM22" s="499">
        <v>1500000</v>
      </c>
      <c r="MBN22" s="498">
        <v>1.58</v>
      </c>
      <c r="MBO22" s="498">
        <v>1</v>
      </c>
      <c r="MBP22" s="501">
        <v>6.75</v>
      </c>
      <c r="MBQ22" s="486">
        <v>5.0999999999999996</v>
      </c>
      <c r="MBR22" s="452" t="s">
        <v>2691</v>
      </c>
      <c r="MBS22" s="498" t="s">
        <v>1620</v>
      </c>
      <c r="MBT22" s="498">
        <v>1</v>
      </c>
      <c r="MBU22" s="499">
        <v>1500000</v>
      </c>
      <c r="MBV22" s="498">
        <v>1.58</v>
      </c>
      <c r="MBW22" s="498">
        <v>1</v>
      </c>
      <c r="MBX22" s="501">
        <v>6.75</v>
      </c>
      <c r="MBY22" s="486">
        <v>5.0999999999999996</v>
      </c>
      <c r="MBZ22" s="452" t="s">
        <v>2691</v>
      </c>
      <c r="MCA22" s="498" t="s">
        <v>1620</v>
      </c>
      <c r="MCB22" s="498">
        <v>1</v>
      </c>
      <c r="MCC22" s="499">
        <v>1500000</v>
      </c>
      <c r="MCD22" s="498">
        <v>1.58</v>
      </c>
      <c r="MCE22" s="498">
        <v>1</v>
      </c>
      <c r="MCF22" s="501">
        <v>6.75</v>
      </c>
      <c r="MCG22" s="486">
        <v>5.0999999999999996</v>
      </c>
      <c r="MCH22" s="452" t="s">
        <v>2691</v>
      </c>
      <c r="MCI22" s="498" t="s">
        <v>1620</v>
      </c>
      <c r="MCJ22" s="498">
        <v>1</v>
      </c>
      <c r="MCK22" s="499">
        <v>1500000</v>
      </c>
      <c r="MCL22" s="498">
        <v>1.58</v>
      </c>
      <c r="MCM22" s="498">
        <v>1</v>
      </c>
      <c r="MCN22" s="501">
        <v>6.75</v>
      </c>
      <c r="MCO22" s="486">
        <v>5.0999999999999996</v>
      </c>
      <c r="MCP22" s="452" t="s">
        <v>2691</v>
      </c>
      <c r="MCQ22" s="498" t="s">
        <v>1620</v>
      </c>
      <c r="MCR22" s="498">
        <v>1</v>
      </c>
      <c r="MCS22" s="499">
        <v>1500000</v>
      </c>
      <c r="MCT22" s="498">
        <v>1.58</v>
      </c>
      <c r="MCU22" s="498">
        <v>1</v>
      </c>
      <c r="MCV22" s="501">
        <v>6.75</v>
      </c>
      <c r="MCW22" s="486">
        <v>5.0999999999999996</v>
      </c>
      <c r="MCX22" s="452" t="s">
        <v>2691</v>
      </c>
      <c r="MCY22" s="498" t="s">
        <v>1620</v>
      </c>
      <c r="MCZ22" s="498">
        <v>1</v>
      </c>
      <c r="MDA22" s="499">
        <v>1500000</v>
      </c>
      <c r="MDB22" s="498">
        <v>1.58</v>
      </c>
      <c r="MDC22" s="498">
        <v>1</v>
      </c>
      <c r="MDD22" s="501">
        <v>6.75</v>
      </c>
      <c r="MDE22" s="486">
        <v>5.0999999999999996</v>
      </c>
      <c r="MDF22" s="452" t="s">
        <v>2691</v>
      </c>
      <c r="MDG22" s="498" t="s">
        <v>1620</v>
      </c>
      <c r="MDH22" s="498">
        <v>1</v>
      </c>
      <c r="MDI22" s="499">
        <v>1500000</v>
      </c>
      <c r="MDJ22" s="498">
        <v>1.58</v>
      </c>
      <c r="MDK22" s="498">
        <v>1</v>
      </c>
      <c r="MDL22" s="501">
        <v>6.75</v>
      </c>
      <c r="MDM22" s="486">
        <v>5.0999999999999996</v>
      </c>
      <c r="MDN22" s="452" t="s">
        <v>2691</v>
      </c>
      <c r="MDO22" s="498" t="s">
        <v>1620</v>
      </c>
      <c r="MDP22" s="498">
        <v>1</v>
      </c>
      <c r="MDQ22" s="499">
        <v>1500000</v>
      </c>
      <c r="MDR22" s="498">
        <v>1.58</v>
      </c>
      <c r="MDS22" s="498">
        <v>1</v>
      </c>
      <c r="MDT22" s="501">
        <v>6.75</v>
      </c>
      <c r="MDU22" s="486">
        <v>5.0999999999999996</v>
      </c>
      <c r="MDV22" s="452" t="s">
        <v>2691</v>
      </c>
      <c r="MDW22" s="498" t="s">
        <v>1620</v>
      </c>
      <c r="MDX22" s="498">
        <v>1</v>
      </c>
      <c r="MDY22" s="499">
        <v>1500000</v>
      </c>
      <c r="MDZ22" s="498">
        <v>1.58</v>
      </c>
      <c r="MEA22" s="498">
        <v>1</v>
      </c>
      <c r="MEB22" s="501">
        <v>6.75</v>
      </c>
      <c r="MEC22" s="486">
        <v>5.0999999999999996</v>
      </c>
      <c r="MED22" s="452" t="s">
        <v>2691</v>
      </c>
      <c r="MEE22" s="498" t="s">
        <v>1620</v>
      </c>
      <c r="MEF22" s="498">
        <v>1</v>
      </c>
      <c r="MEG22" s="499">
        <v>1500000</v>
      </c>
      <c r="MEH22" s="498">
        <v>1.58</v>
      </c>
      <c r="MEI22" s="498">
        <v>1</v>
      </c>
      <c r="MEJ22" s="501">
        <v>6.75</v>
      </c>
      <c r="MEK22" s="486">
        <v>5.0999999999999996</v>
      </c>
      <c r="MEL22" s="452" t="s">
        <v>2691</v>
      </c>
      <c r="MEM22" s="498" t="s">
        <v>1620</v>
      </c>
      <c r="MEN22" s="498">
        <v>1</v>
      </c>
      <c r="MEO22" s="499">
        <v>1500000</v>
      </c>
      <c r="MEP22" s="498">
        <v>1.58</v>
      </c>
      <c r="MEQ22" s="498">
        <v>1</v>
      </c>
      <c r="MER22" s="501">
        <v>6.75</v>
      </c>
      <c r="MES22" s="486">
        <v>5.0999999999999996</v>
      </c>
      <c r="MET22" s="452" t="s">
        <v>2691</v>
      </c>
      <c r="MEU22" s="498" t="s">
        <v>1620</v>
      </c>
      <c r="MEV22" s="498">
        <v>1</v>
      </c>
      <c r="MEW22" s="499">
        <v>1500000</v>
      </c>
      <c r="MEX22" s="498">
        <v>1.58</v>
      </c>
      <c r="MEY22" s="498">
        <v>1</v>
      </c>
      <c r="MEZ22" s="501">
        <v>6.75</v>
      </c>
      <c r="MFA22" s="486">
        <v>5.0999999999999996</v>
      </c>
      <c r="MFB22" s="452" t="s">
        <v>2691</v>
      </c>
      <c r="MFC22" s="498" t="s">
        <v>1620</v>
      </c>
      <c r="MFD22" s="498">
        <v>1</v>
      </c>
      <c r="MFE22" s="499">
        <v>1500000</v>
      </c>
      <c r="MFF22" s="498">
        <v>1.58</v>
      </c>
      <c r="MFG22" s="498">
        <v>1</v>
      </c>
      <c r="MFH22" s="501">
        <v>6.75</v>
      </c>
      <c r="MFI22" s="486">
        <v>5.0999999999999996</v>
      </c>
      <c r="MFJ22" s="452" t="s">
        <v>2691</v>
      </c>
      <c r="MFK22" s="498" t="s">
        <v>1620</v>
      </c>
      <c r="MFL22" s="498">
        <v>1</v>
      </c>
      <c r="MFM22" s="499">
        <v>1500000</v>
      </c>
      <c r="MFN22" s="498">
        <v>1.58</v>
      </c>
      <c r="MFO22" s="498">
        <v>1</v>
      </c>
      <c r="MFP22" s="501">
        <v>6.75</v>
      </c>
      <c r="MFQ22" s="486">
        <v>5.0999999999999996</v>
      </c>
      <c r="MFR22" s="452" t="s">
        <v>2691</v>
      </c>
      <c r="MFS22" s="498" t="s">
        <v>1620</v>
      </c>
      <c r="MFT22" s="498">
        <v>1</v>
      </c>
      <c r="MFU22" s="499">
        <v>1500000</v>
      </c>
      <c r="MFV22" s="498">
        <v>1.58</v>
      </c>
      <c r="MFW22" s="498">
        <v>1</v>
      </c>
      <c r="MFX22" s="501">
        <v>6.75</v>
      </c>
      <c r="MFY22" s="486">
        <v>5.0999999999999996</v>
      </c>
      <c r="MFZ22" s="452" t="s">
        <v>2691</v>
      </c>
      <c r="MGA22" s="498" t="s">
        <v>1620</v>
      </c>
      <c r="MGB22" s="498">
        <v>1</v>
      </c>
      <c r="MGC22" s="499">
        <v>1500000</v>
      </c>
      <c r="MGD22" s="498">
        <v>1.58</v>
      </c>
      <c r="MGE22" s="498">
        <v>1</v>
      </c>
      <c r="MGF22" s="501">
        <v>6.75</v>
      </c>
      <c r="MGG22" s="486">
        <v>5.0999999999999996</v>
      </c>
      <c r="MGH22" s="452" t="s">
        <v>2691</v>
      </c>
      <c r="MGI22" s="498" t="s">
        <v>1620</v>
      </c>
      <c r="MGJ22" s="498">
        <v>1</v>
      </c>
      <c r="MGK22" s="499">
        <v>1500000</v>
      </c>
      <c r="MGL22" s="498">
        <v>1.58</v>
      </c>
      <c r="MGM22" s="498">
        <v>1</v>
      </c>
      <c r="MGN22" s="501">
        <v>6.75</v>
      </c>
      <c r="MGO22" s="486">
        <v>5.0999999999999996</v>
      </c>
      <c r="MGP22" s="452" t="s">
        <v>2691</v>
      </c>
      <c r="MGQ22" s="498" t="s">
        <v>1620</v>
      </c>
      <c r="MGR22" s="498">
        <v>1</v>
      </c>
      <c r="MGS22" s="499">
        <v>1500000</v>
      </c>
      <c r="MGT22" s="498">
        <v>1.58</v>
      </c>
      <c r="MGU22" s="498">
        <v>1</v>
      </c>
      <c r="MGV22" s="501">
        <v>6.75</v>
      </c>
      <c r="MGW22" s="486">
        <v>5.0999999999999996</v>
      </c>
      <c r="MGX22" s="452" t="s">
        <v>2691</v>
      </c>
      <c r="MGY22" s="498" t="s">
        <v>1620</v>
      </c>
      <c r="MGZ22" s="498">
        <v>1</v>
      </c>
      <c r="MHA22" s="499">
        <v>1500000</v>
      </c>
      <c r="MHB22" s="498">
        <v>1.58</v>
      </c>
      <c r="MHC22" s="498">
        <v>1</v>
      </c>
      <c r="MHD22" s="501">
        <v>6.75</v>
      </c>
      <c r="MHE22" s="486">
        <v>5.0999999999999996</v>
      </c>
      <c r="MHF22" s="452" t="s">
        <v>2691</v>
      </c>
      <c r="MHG22" s="498" t="s">
        <v>1620</v>
      </c>
      <c r="MHH22" s="498">
        <v>1</v>
      </c>
      <c r="MHI22" s="499">
        <v>1500000</v>
      </c>
      <c r="MHJ22" s="498">
        <v>1.58</v>
      </c>
      <c r="MHK22" s="498">
        <v>1</v>
      </c>
      <c r="MHL22" s="501">
        <v>6.75</v>
      </c>
      <c r="MHM22" s="486">
        <v>5.0999999999999996</v>
      </c>
      <c r="MHN22" s="452" t="s">
        <v>2691</v>
      </c>
      <c r="MHO22" s="498" t="s">
        <v>1620</v>
      </c>
      <c r="MHP22" s="498">
        <v>1</v>
      </c>
      <c r="MHQ22" s="499">
        <v>1500000</v>
      </c>
      <c r="MHR22" s="498">
        <v>1.58</v>
      </c>
      <c r="MHS22" s="498">
        <v>1</v>
      </c>
      <c r="MHT22" s="501">
        <v>6.75</v>
      </c>
      <c r="MHU22" s="486">
        <v>5.0999999999999996</v>
      </c>
      <c r="MHV22" s="452" t="s">
        <v>2691</v>
      </c>
      <c r="MHW22" s="498" t="s">
        <v>1620</v>
      </c>
      <c r="MHX22" s="498">
        <v>1</v>
      </c>
      <c r="MHY22" s="499">
        <v>1500000</v>
      </c>
      <c r="MHZ22" s="498">
        <v>1.58</v>
      </c>
      <c r="MIA22" s="498">
        <v>1</v>
      </c>
      <c r="MIB22" s="501">
        <v>6.75</v>
      </c>
      <c r="MIC22" s="486">
        <v>5.0999999999999996</v>
      </c>
      <c r="MID22" s="452" t="s">
        <v>2691</v>
      </c>
      <c r="MIE22" s="498" t="s">
        <v>1620</v>
      </c>
      <c r="MIF22" s="498">
        <v>1</v>
      </c>
      <c r="MIG22" s="499">
        <v>1500000</v>
      </c>
      <c r="MIH22" s="498">
        <v>1.58</v>
      </c>
      <c r="MII22" s="498">
        <v>1</v>
      </c>
      <c r="MIJ22" s="501">
        <v>6.75</v>
      </c>
      <c r="MIK22" s="486">
        <v>5.0999999999999996</v>
      </c>
      <c r="MIL22" s="452" t="s">
        <v>2691</v>
      </c>
      <c r="MIM22" s="498" t="s">
        <v>1620</v>
      </c>
      <c r="MIN22" s="498">
        <v>1</v>
      </c>
      <c r="MIO22" s="499">
        <v>1500000</v>
      </c>
      <c r="MIP22" s="498">
        <v>1.58</v>
      </c>
      <c r="MIQ22" s="498">
        <v>1</v>
      </c>
      <c r="MIR22" s="501">
        <v>6.75</v>
      </c>
      <c r="MIS22" s="486">
        <v>5.0999999999999996</v>
      </c>
      <c r="MIT22" s="452" t="s">
        <v>2691</v>
      </c>
      <c r="MIU22" s="498" t="s">
        <v>1620</v>
      </c>
      <c r="MIV22" s="498">
        <v>1</v>
      </c>
      <c r="MIW22" s="499">
        <v>1500000</v>
      </c>
      <c r="MIX22" s="498">
        <v>1.58</v>
      </c>
      <c r="MIY22" s="498">
        <v>1</v>
      </c>
      <c r="MIZ22" s="501">
        <v>6.75</v>
      </c>
      <c r="MJA22" s="486">
        <v>5.0999999999999996</v>
      </c>
      <c r="MJB22" s="452" t="s">
        <v>2691</v>
      </c>
      <c r="MJC22" s="498" t="s">
        <v>1620</v>
      </c>
      <c r="MJD22" s="498">
        <v>1</v>
      </c>
      <c r="MJE22" s="499">
        <v>1500000</v>
      </c>
      <c r="MJF22" s="498">
        <v>1.58</v>
      </c>
      <c r="MJG22" s="498">
        <v>1</v>
      </c>
      <c r="MJH22" s="501">
        <v>6.75</v>
      </c>
      <c r="MJI22" s="486">
        <v>5.0999999999999996</v>
      </c>
      <c r="MJJ22" s="452" t="s">
        <v>2691</v>
      </c>
      <c r="MJK22" s="498" t="s">
        <v>1620</v>
      </c>
      <c r="MJL22" s="498">
        <v>1</v>
      </c>
      <c r="MJM22" s="499">
        <v>1500000</v>
      </c>
      <c r="MJN22" s="498">
        <v>1.58</v>
      </c>
      <c r="MJO22" s="498">
        <v>1</v>
      </c>
      <c r="MJP22" s="501">
        <v>6.75</v>
      </c>
      <c r="MJQ22" s="486">
        <v>5.0999999999999996</v>
      </c>
      <c r="MJR22" s="452" t="s">
        <v>2691</v>
      </c>
      <c r="MJS22" s="498" t="s">
        <v>1620</v>
      </c>
      <c r="MJT22" s="498">
        <v>1</v>
      </c>
      <c r="MJU22" s="499">
        <v>1500000</v>
      </c>
      <c r="MJV22" s="498">
        <v>1.58</v>
      </c>
      <c r="MJW22" s="498">
        <v>1</v>
      </c>
      <c r="MJX22" s="501">
        <v>6.75</v>
      </c>
      <c r="MJY22" s="486">
        <v>5.0999999999999996</v>
      </c>
      <c r="MJZ22" s="452" t="s">
        <v>2691</v>
      </c>
      <c r="MKA22" s="498" t="s">
        <v>1620</v>
      </c>
      <c r="MKB22" s="498">
        <v>1</v>
      </c>
      <c r="MKC22" s="499">
        <v>1500000</v>
      </c>
      <c r="MKD22" s="498">
        <v>1.58</v>
      </c>
      <c r="MKE22" s="498">
        <v>1</v>
      </c>
      <c r="MKF22" s="501">
        <v>6.75</v>
      </c>
      <c r="MKG22" s="486">
        <v>5.0999999999999996</v>
      </c>
      <c r="MKH22" s="452" t="s">
        <v>2691</v>
      </c>
      <c r="MKI22" s="498" t="s">
        <v>1620</v>
      </c>
      <c r="MKJ22" s="498">
        <v>1</v>
      </c>
      <c r="MKK22" s="499">
        <v>1500000</v>
      </c>
      <c r="MKL22" s="498">
        <v>1.58</v>
      </c>
      <c r="MKM22" s="498">
        <v>1</v>
      </c>
      <c r="MKN22" s="501">
        <v>6.75</v>
      </c>
      <c r="MKO22" s="486">
        <v>5.0999999999999996</v>
      </c>
      <c r="MKP22" s="452" t="s">
        <v>2691</v>
      </c>
      <c r="MKQ22" s="498" t="s">
        <v>1620</v>
      </c>
      <c r="MKR22" s="498">
        <v>1</v>
      </c>
      <c r="MKS22" s="499">
        <v>1500000</v>
      </c>
      <c r="MKT22" s="498">
        <v>1.58</v>
      </c>
      <c r="MKU22" s="498">
        <v>1</v>
      </c>
      <c r="MKV22" s="501">
        <v>6.75</v>
      </c>
      <c r="MKW22" s="486">
        <v>5.0999999999999996</v>
      </c>
      <c r="MKX22" s="452" t="s">
        <v>2691</v>
      </c>
      <c r="MKY22" s="498" t="s">
        <v>1620</v>
      </c>
      <c r="MKZ22" s="498">
        <v>1</v>
      </c>
      <c r="MLA22" s="499">
        <v>1500000</v>
      </c>
      <c r="MLB22" s="498">
        <v>1.58</v>
      </c>
      <c r="MLC22" s="498">
        <v>1</v>
      </c>
      <c r="MLD22" s="501">
        <v>6.75</v>
      </c>
      <c r="MLE22" s="486">
        <v>5.0999999999999996</v>
      </c>
      <c r="MLF22" s="452" t="s">
        <v>2691</v>
      </c>
      <c r="MLG22" s="498" t="s">
        <v>1620</v>
      </c>
      <c r="MLH22" s="498">
        <v>1</v>
      </c>
      <c r="MLI22" s="499">
        <v>1500000</v>
      </c>
      <c r="MLJ22" s="498">
        <v>1.58</v>
      </c>
      <c r="MLK22" s="498">
        <v>1</v>
      </c>
      <c r="MLL22" s="501">
        <v>6.75</v>
      </c>
      <c r="MLM22" s="486">
        <v>5.0999999999999996</v>
      </c>
      <c r="MLN22" s="452" t="s">
        <v>2691</v>
      </c>
      <c r="MLO22" s="498" t="s">
        <v>1620</v>
      </c>
      <c r="MLP22" s="498">
        <v>1</v>
      </c>
      <c r="MLQ22" s="499">
        <v>1500000</v>
      </c>
      <c r="MLR22" s="498">
        <v>1.58</v>
      </c>
      <c r="MLS22" s="498">
        <v>1</v>
      </c>
      <c r="MLT22" s="501">
        <v>6.75</v>
      </c>
      <c r="MLU22" s="486">
        <v>5.0999999999999996</v>
      </c>
      <c r="MLV22" s="452" t="s">
        <v>2691</v>
      </c>
      <c r="MLW22" s="498" t="s">
        <v>1620</v>
      </c>
      <c r="MLX22" s="498">
        <v>1</v>
      </c>
      <c r="MLY22" s="499">
        <v>1500000</v>
      </c>
      <c r="MLZ22" s="498">
        <v>1.58</v>
      </c>
      <c r="MMA22" s="498">
        <v>1</v>
      </c>
      <c r="MMB22" s="501">
        <v>6.75</v>
      </c>
      <c r="MMC22" s="486">
        <v>5.0999999999999996</v>
      </c>
      <c r="MMD22" s="452" t="s">
        <v>2691</v>
      </c>
      <c r="MME22" s="498" t="s">
        <v>1620</v>
      </c>
      <c r="MMF22" s="498">
        <v>1</v>
      </c>
      <c r="MMG22" s="499">
        <v>1500000</v>
      </c>
      <c r="MMH22" s="498">
        <v>1.58</v>
      </c>
      <c r="MMI22" s="498">
        <v>1</v>
      </c>
      <c r="MMJ22" s="501">
        <v>6.75</v>
      </c>
      <c r="MMK22" s="486">
        <v>5.0999999999999996</v>
      </c>
      <c r="MML22" s="452" t="s">
        <v>2691</v>
      </c>
      <c r="MMM22" s="498" t="s">
        <v>1620</v>
      </c>
      <c r="MMN22" s="498">
        <v>1</v>
      </c>
      <c r="MMO22" s="499">
        <v>1500000</v>
      </c>
      <c r="MMP22" s="498">
        <v>1.58</v>
      </c>
      <c r="MMQ22" s="498">
        <v>1</v>
      </c>
      <c r="MMR22" s="501">
        <v>6.75</v>
      </c>
      <c r="MMS22" s="486">
        <v>5.0999999999999996</v>
      </c>
      <c r="MMT22" s="452" t="s">
        <v>2691</v>
      </c>
      <c r="MMU22" s="498" t="s">
        <v>1620</v>
      </c>
      <c r="MMV22" s="498">
        <v>1</v>
      </c>
      <c r="MMW22" s="499">
        <v>1500000</v>
      </c>
      <c r="MMX22" s="498">
        <v>1.58</v>
      </c>
      <c r="MMY22" s="498">
        <v>1</v>
      </c>
      <c r="MMZ22" s="501">
        <v>6.75</v>
      </c>
      <c r="MNA22" s="486">
        <v>5.0999999999999996</v>
      </c>
      <c r="MNB22" s="452" t="s">
        <v>2691</v>
      </c>
      <c r="MNC22" s="498" t="s">
        <v>1620</v>
      </c>
      <c r="MND22" s="498">
        <v>1</v>
      </c>
      <c r="MNE22" s="499">
        <v>1500000</v>
      </c>
      <c r="MNF22" s="498">
        <v>1.58</v>
      </c>
      <c r="MNG22" s="498">
        <v>1</v>
      </c>
      <c r="MNH22" s="501">
        <v>6.75</v>
      </c>
      <c r="MNI22" s="486">
        <v>5.0999999999999996</v>
      </c>
      <c r="MNJ22" s="452" t="s">
        <v>2691</v>
      </c>
      <c r="MNK22" s="498" t="s">
        <v>1620</v>
      </c>
      <c r="MNL22" s="498">
        <v>1</v>
      </c>
      <c r="MNM22" s="499">
        <v>1500000</v>
      </c>
      <c r="MNN22" s="498">
        <v>1.58</v>
      </c>
      <c r="MNO22" s="498">
        <v>1</v>
      </c>
      <c r="MNP22" s="501">
        <v>6.75</v>
      </c>
      <c r="MNQ22" s="486">
        <v>5.0999999999999996</v>
      </c>
      <c r="MNR22" s="452" t="s">
        <v>2691</v>
      </c>
      <c r="MNS22" s="498" t="s">
        <v>1620</v>
      </c>
      <c r="MNT22" s="498">
        <v>1</v>
      </c>
      <c r="MNU22" s="499">
        <v>1500000</v>
      </c>
      <c r="MNV22" s="498">
        <v>1.58</v>
      </c>
      <c r="MNW22" s="498">
        <v>1</v>
      </c>
      <c r="MNX22" s="501">
        <v>6.75</v>
      </c>
      <c r="MNY22" s="486">
        <v>5.0999999999999996</v>
      </c>
      <c r="MNZ22" s="452" t="s">
        <v>2691</v>
      </c>
      <c r="MOA22" s="498" t="s">
        <v>1620</v>
      </c>
      <c r="MOB22" s="498">
        <v>1</v>
      </c>
      <c r="MOC22" s="499">
        <v>1500000</v>
      </c>
      <c r="MOD22" s="498">
        <v>1.58</v>
      </c>
      <c r="MOE22" s="498">
        <v>1</v>
      </c>
      <c r="MOF22" s="501">
        <v>6.75</v>
      </c>
      <c r="MOG22" s="486">
        <v>5.0999999999999996</v>
      </c>
      <c r="MOH22" s="452" t="s">
        <v>2691</v>
      </c>
      <c r="MOI22" s="498" t="s">
        <v>1620</v>
      </c>
      <c r="MOJ22" s="498">
        <v>1</v>
      </c>
      <c r="MOK22" s="499">
        <v>1500000</v>
      </c>
      <c r="MOL22" s="498">
        <v>1.58</v>
      </c>
      <c r="MOM22" s="498">
        <v>1</v>
      </c>
      <c r="MON22" s="501">
        <v>6.75</v>
      </c>
      <c r="MOO22" s="486">
        <v>5.0999999999999996</v>
      </c>
      <c r="MOP22" s="452" t="s">
        <v>2691</v>
      </c>
      <c r="MOQ22" s="498" t="s">
        <v>1620</v>
      </c>
      <c r="MOR22" s="498">
        <v>1</v>
      </c>
      <c r="MOS22" s="499">
        <v>1500000</v>
      </c>
      <c r="MOT22" s="498">
        <v>1.58</v>
      </c>
      <c r="MOU22" s="498">
        <v>1</v>
      </c>
      <c r="MOV22" s="501">
        <v>6.75</v>
      </c>
      <c r="MOW22" s="486">
        <v>5.0999999999999996</v>
      </c>
      <c r="MOX22" s="452" t="s">
        <v>2691</v>
      </c>
      <c r="MOY22" s="498" t="s">
        <v>1620</v>
      </c>
      <c r="MOZ22" s="498">
        <v>1</v>
      </c>
      <c r="MPA22" s="499">
        <v>1500000</v>
      </c>
      <c r="MPB22" s="498">
        <v>1.58</v>
      </c>
      <c r="MPC22" s="498">
        <v>1</v>
      </c>
      <c r="MPD22" s="501">
        <v>6.75</v>
      </c>
      <c r="MPE22" s="486">
        <v>5.0999999999999996</v>
      </c>
      <c r="MPF22" s="452" t="s">
        <v>2691</v>
      </c>
      <c r="MPG22" s="498" t="s">
        <v>1620</v>
      </c>
      <c r="MPH22" s="498">
        <v>1</v>
      </c>
      <c r="MPI22" s="499">
        <v>1500000</v>
      </c>
      <c r="MPJ22" s="498">
        <v>1.58</v>
      </c>
      <c r="MPK22" s="498">
        <v>1</v>
      </c>
      <c r="MPL22" s="501">
        <v>6.75</v>
      </c>
      <c r="MPM22" s="486">
        <v>5.0999999999999996</v>
      </c>
      <c r="MPN22" s="452" t="s">
        <v>2691</v>
      </c>
      <c r="MPO22" s="498" t="s">
        <v>1620</v>
      </c>
      <c r="MPP22" s="498">
        <v>1</v>
      </c>
      <c r="MPQ22" s="499">
        <v>1500000</v>
      </c>
      <c r="MPR22" s="498">
        <v>1.58</v>
      </c>
      <c r="MPS22" s="498">
        <v>1</v>
      </c>
      <c r="MPT22" s="501">
        <v>6.75</v>
      </c>
      <c r="MPU22" s="486">
        <v>5.0999999999999996</v>
      </c>
      <c r="MPV22" s="452" t="s">
        <v>2691</v>
      </c>
      <c r="MPW22" s="498" t="s">
        <v>1620</v>
      </c>
      <c r="MPX22" s="498">
        <v>1</v>
      </c>
      <c r="MPY22" s="499">
        <v>1500000</v>
      </c>
      <c r="MPZ22" s="498">
        <v>1.58</v>
      </c>
      <c r="MQA22" s="498">
        <v>1</v>
      </c>
      <c r="MQB22" s="501">
        <v>6.75</v>
      </c>
      <c r="MQC22" s="486">
        <v>5.0999999999999996</v>
      </c>
      <c r="MQD22" s="452" t="s">
        <v>2691</v>
      </c>
      <c r="MQE22" s="498" t="s">
        <v>1620</v>
      </c>
      <c r="MQF22" s="498">
        <v>1</v>
      </c>
      <c r="MQG22" s="499">
        <v>1500000</v>
      </c>
      <c r="MQH22" s="498">
        <v>1.58</v>
      </c>
      <c r="MQI22" s="498">
        <v>1</v>
      </c>
      <c r="MQJ22" s="501">
        <v>6.75</v>
      </c>
      <c r="MQK22" s="486">
        <v>5.0999999999999996</v>
      </c>
      <c r="MQL22" s="452" t="s">
        <v>2691</v>
      </c>
      <c r="MQM22" s="498" t="s">
        <v>1620</v>
      </c>
      <c r="MQN22" s="498">
        <v>1</v>
      </c>
      <c r="MQO22" s="499">
        <v>1500000</v>
      </c>
      <c r="MQP22" s="498">
        <v>1.58</v>
      </c>
      <c r="MQQ22" s="498">
        <v>1</v>
      </c>
      <c r="MQR22" s="501">
        <v>6.75</v>
      </c>
      <c r="MQS22" s="486">
        <v>5.0999999999999996</v>
      </c>
      <c r="MQT22" s="452" t="s">
        <v>2691</v>
      </c>
      <c r="MQU22" s="498" t="s">
        <v>1620</v>
      </c>
      <c r="MQV22" s="498">
        <v>1</v>
      </c>
      <c r="MQW22" s="499">
        <v>1500000</v>
      </c>
      <c r="MQX22" s="498">
        <v>1.58</v>
      </c>
      <c r="MQY22" s="498">
        <v>1</v>
      </c>
      <c r="MQZ22" s="501">
        <v>6.75</v>
      </c>
      <c r="MRA22" s="486">
        <v>5.0999999999999996</v>
      </c>
      <c r="MRB22" s="452" t="s">
        <v>2691</v>
      </c>
      <c r="MRC22" s="498" t="s">
        <v>1620</v>
      </c>
      <c r="MRD22" s="498">
        <v>1</v>
      </c>
      <c r="MRE22" s="499">
        <v>1500000</v>
      </c>
      <c r="MRF22" s="498">
        <v>1.58</v>
      </c>
      <c r="MRG22" s="498">
        <v>1</v>
      </c>
      <c r="MRH22" s="501">
        <v>6.75</v>
      </c>
      <c r="MRI22" s="486">
        <v>5.0999999999999996</v>
      </c>
      <c r="MRJ22" s="452" t="s">
        <v>2691</v>
      </c>
      <c r="MRK22" s="498" t="s">
        <v>1620</v>
      </c>
      <c r="MRL22" s="498">
        <v>1</v>
      </c>
      <c r="MRM22" s="499">
        <v>1500000</v>
      </c>
      <c r="MRN22" s="498">
        <v>1.58</v>
      </c>
      <c r="MRO22" s="498">
        <v>1</v>
      </c>
      <c r="MRP22" s="501">
        <v>6.75</v>
      </c>
      <c r="MRQ22" s="486">
        <v>5.0999999999999996</v>
      </c>
      <c r="MRR22" s="452" t="s">
        <v>2691</v>
      </c>
      <c r="MRS22" s="498" t="s">
        <v>1620</v>
      </c>
      <c r="MRT22" s="498">
        <v>1</v>
      </c>
      <c r="MRU22" s="499">
        <v>1500000</v>
      </c>
      <c r="MRV22" s="498">
        <v>1.58</v>
      </c>
      <c r="MRW22" s="498">
        <v>1</v>
      </c>
      <c r="MRX22" s="501">
        <v>6.75</v>
      </c>
      <c r="MRY22" s="486">
        <v>5.0999999999999996</v>
      </c>
      <c r="MRZ22" s="452" t="s">
        <v>2691</v>
      </c>
      <c r="MSA22" s="498" t="s">
        <v>1620</v>
      </c>
      <c r="MSB22" s="498">
        <v>1</v>
      </c>
      <c r="MSC22" s="499">
        <v>1500000</v>
      </c>
      <c r="MSD22" s="498">
        <v>1.58</v>
      </c>
      <c r="MSE22" s="498">
        <v>1</v>
      </c>
      <c r="MSF22" s="501">
        <v>6.75</v>
      </c>
      <c r="MSG22" s="486">
        <v>5.0999999999999996</v>
      </c>
      <c r="MSH22" s="452" t="s">
        <v>2691</v>
      </c>
      <c r="MSI22" s="498" t="s">
        <v>1620</v>
      </c>
      <c r="MSJ22" s="498">
        <v>1</v>
      </c>
      <c r="MSK22" s="499">
        <v>1500000</v>
      </c>
      <c r="MSL22" s="498">
        <v>1.58</v>
      </c>
      <c r="MSM22" s="498">
        <v>1</v>
      </c>
      <c r="MSN22" s="501">
        <v>6.75</v>
      </c>
      <c r="MSO22" s="486">
        <v>5.0999999999999996</v>
      </c>
      <c r="MSP22" s="452" t="s">
        <v>2691</v>
      </c>
      <c r="MSQ22" s="498" t="s">
        <v>1620</v>
      </c>
      <c r="MSR22" s="498">
        <v>1</v>
      </c>
      <c r="MSS22" s="499">
        <v>1500000</v>
      </c>
      <c r="MST22" s="498">
        <v>1.58</v>
      </c>
      <c r="MSU22" s="498">
        <v>1</v>
      </c>
      <c r="MSV22" s="501">
        <v>6.75</v>
      </c>
      <c r="MSW22" s="486">
        <v>5.0999999999999996</v>
      </c>
      <c r="MSX22" s="452" t="s">
        <v>2691</v>
      </c>
      <c r="MSY22" s="498" t="s">
        <v>1620</v>
      </c>
      <c r="MSZ22" s="498">
        <v>1</v>
      </c>
      <c r="MTA22" s="499">
        <v>1500000</v>
      </c>
      <c r="MTB22" s="498">
        <v>1.58</v>
      </c>
      <c r="MTC22" s="498">
        <v>1</v>
      </c>
      <c r="MTD22" s="501">
        <v>6.75</v>
      </c>
      <c r="MTE22" s="486">
        <v>5.0999999999999996</v>
      </c>
      <c r="MTF22" s="452" t="s">
        <v>2691</v>
      </c>
      <c r="MTG22" s="498" t="s">
        <v>1620</v>
      </c>
      <c r="MTH22" s="498">
        <v>1</v>
      </c>
      <c r="MTI22" s="499">
        <v>1500000</v>
      </c>
      <c r="MTJ22" s="498">
        <v>1.58</v>
      </c>
      <c r="MTK22" s="498">
        <v>1</v>
      </c>
      <c r="MTL22" s="501">
        <v>6.75</v>
      </c>
      <c r="MTM22" s="486">
        <v>5.0999999999999996</v>
      </c>
      <c r="MTN22" s="452" t="s">
        <v>2691</v>
      </c>
      <c r="MTO22" s="498" t="s">
        <v>1620</v>
      </c>
      <c r="MTP22" s="498">
        <v>1</v>
      </c>
      <c r="MTQ22" s="499">
        <v>1500000</v>
      </c>
      <c r="MTR22" s="498">
        <v>1.58</v>
      </c>
      <c r="MTS22" s="498">
        <v>1</v>
      </c>
      <c r="MTT22" s="501">
        <v>6.75</v>
      </c>
      <c r="MTU22" s="486">
        <v>5.0999999999999996</v>
      </c>
      <c r="MTV22" s="452" t="s">
        <v>2691</v>
      </c>
      <c r="MTW22" s="498" t="s">
        <v>1620</v>
      </c>
      <c r="MTX22" s="498">
        <v>1</v>
      </c>
      <c r="MTY22" s="499">
        <v>1500000</v>
      </c>
      <c r="MTZ22" s="498">
        <v>1.58</v>
      </c>
      <c r="MUA22" s="498">
        <v>1</v>
      </c>
      <c r="MUB22" s="501">
        <v>6.75</v>
      </c>
      <c r="MUC22" s="486">
        <v>5.0999999999999996</v>
      </c>
      <c r="MUD22" s="452" t="s">
        <v>2691</v>
      </c>
      <c r="MUE22" s="498" t="s">
        <v>1620</v>
      </c>
      <c r="MUF22" s="498">
        <v>1</v>
      </c>
      <c r="MUG22" s="499">
        <v>1500000</v>
      </c>
      <c r="MUH22" s="498">
        <v>1.58</v>
      </c>
      <c r="MUI22" s="498">
        <v>1</v>
      </c>
      <c r="MUJ22" s="501">
        <v>6.75</v>
      </c>
      <c r="MUK22" s="486">
        <v>5.0999999999999996</v>
      </c>
      <c r="MUL22" s="452" t="s">
        <v>2691</v>
      </c>
      <c r="MUM22" s="498" t="s">
        <v>1620</v>
      </c>
      <c r="MUN22" s="498">
        <v>1</v>
      </c>
      <c r="MUO22" s="499">
        <v>1500000</v>
      </c>
      <c r="MUP22" s="498">
        <v>1.58</v>
      </c>
      <c r="MUQ22" s="498">
        <v>1</v>
      </c>
      <c r="MUR22" s="501">
        <v>6.75</v>
      </c>
      <c r="MUS22" s="486">
        <v>5.0999999999999996</v>
      </c>
      <c r="MUT22" s="452" t="s">
        <v>2691</v>
      </c>
      <c r="MUU22" s="498" t="s">
        <v>1620</v>
      </c>
      <c r="MUV22" s="498">
        <v>1</v>
      </c>
      <c r="MUW22" s="499">
        <v>1500000</v>
      </c>
      <c r="MUX22" s="498">
        <v>1.58</v>
      </c>
      <c r="MUY22" s="498">
        <v>1</v>
      </c>
      <c r="MUZ22" s="501">
        <v>6.75</v>
      </c>
      <c r="MVA22" s="486">
        <v>5.0999999999999996</v>
      </c>
      <c r="MVB22" s="452" t="s">
        <v>2691</v>
      </c>
      <c r="MVC22" s="498" t="s">
        <v>1620</v>
      </c>
      <c r="MVD22" s="498">
        <v>1</v>
      </c>
      <c r="MVE22" s="499">
        <v>1500000</v>
      </c>
      <c r="MVF22" s="498">
        <v>1.58</v>
      </c>
      <c r="MVG22" s="498">
        <v>1</v>
      </c>
      <c r="MVH22" s="501">
        <v>6.75</v>
      </c>
      <c r="MVI22" s="486">
        <v>5.0999999999999996</v>
      </c>
      <c r="MVJ22" s="452" t="s">
        <v>2691</v>
      </c>
      <c r="MVK22" s="498" t="s">
        <v>1620</v>
      </c>
      <c r="MVL22" s="498">
        <v>1</v>
      </c>
      <c r="MVM22" s="499">
        <v>1500000</v>
      </c>
      <c r="MVN22" s="498">
        <v>1.58</v>
      </c>
      <c r="MVO22" s="498">
        <v>1</v>
      </c>
      <c r="MVP22" s="501">
        <v>6.75</v>
      </c>
      <c r="MVQ22" s="486">
        <v>5.0999999999999996</v>
      </c>
      <c r="MVR22" s="452" t="s">
        <v>2691</v>
      </c>
      <c r="MVS22" s="498" t="s">
        <v>1620</v>
      </c>
      <c r="MVT22" s="498">
        <v>1</v>
      </c>
      <c r="MVU22" s="499">
        <v>1500000</v>
      </c>
      <c r="MVV22" s="498">
        <v>1.58</v>
      </c>
      <c r="MVW22" s="498">
        <v>1</v>
      </c>
      <c r="MVX22" s="501">
        <v>6.75</v>
      </c>
      <c r="MVY22" s="486">
        <v>5.0999999999999996</v>
      </c>
      <c r="MVZ22" s="452" t="s">
        <v>2691</v>
      </c>
      <c r="MWA22" s="498" t="s">
        <v>1620</v>
      </c>
      <c r="MWB22" s="498">
        <v>1</v>
      </c>
      <c r="MWC22" s="499">
        <v>1500000</v>
      </c>
      <c r="MWD22" s="498">
        <v>1.58</v>
      </c>
      <c r="MWE22" s="498">
        <v>1</v>
      </c>
      <c r="MWF22" s="501">
        <v>6.75</v>
      </c>
      <c r="MWG22" s="486">
        <v>5.0999999999999996</v>
      </c>
      <c r="MWH22" s="452" t="s">
        <v>2691</v>
      </c>
      <c r="MWI22" s="498" t="s">
        <v>1620</v>
      </c>
      <c r="MWJ22" s="498">
        <v>1</v>
      </c>
      <c r="MWK22" s="499">
        <v>1500000</v>
      </c>
      <c r="MWL22" s="498">
        <v>1.58</v>
      </c>
      <c r="MWM22" s="498">
        <v>1</v>
      </c>
      <c r="MWN22" s="501">
        <v>6.75</v>
      </c>
      <c r="MWO22" s="486">
        <v>5.0999999999999996</v>
      </c>
      <c r="MWP22" s="452" t="s">
        <v>2691</v>
      </c>
      <c r="MWQ22" s="498" t="s">
        <v>1620</v>
      </c>
      <c r="MWR22" s="498">
        <v>1</v>
      </c>
      <c r="MWS22" s="499">
        <v>1500000</v>
      </c>
      <c r="MWT22" s="498">
        <v>1.58</v>
      </c>
      <c r="MWU22" s="498">
        <v>1</v>
      </c>
      <c r="MWV22" s="501">
        <v>6.75</v>
      </c>
      <c r="MWW22" s="486">
        <v>5.0999999999999996</v>
      </c>
      <c r="MWX22" s="452" t="s">
        <v>2691</v>
      </c>
      <c r="MWY22" s="498" t="s">
        <v>1620</v>
      </c>
      <c r="MWZ22" s="498">
        <v>1</v>
      </c>
      <c r="MXA22" s="499">
        <v>1500000</v>
      </c>
      <c r="MXB22" s="498">
        <v>1.58</v>
      </c>
      <c r="MXC22" s="498">
        <v>1</v>
      </c>
      <c r="MXD22" s="501">
        <v>6.75</v>
      </c>
      <c r="MXE22" s="486">
        <v>5.0999999999999996</v>
      </c>
      <c r="MXF22" s="452" t="s">
        <v>2691</v>
      </c>
      <c r="MXG22" s="498" t="s">
        <v>1620</v>
      </c>
      <c r="MXH22" s="498">
        <v>1</v>
      </c>
      <c r="MXI22" s="499">
        <v>1500000</v>
      </c>
      <c r="MXJ22" s="498">
        <v>1.58</v>
      </c>
      <c r="MXK22" s="498">
        <v>1</v>
      </c>
      <c r="MXL22" s="501">
        <v>6.75</v>
      </c>
      <c r="MXM22" s="486">
        <v>5.0999999999999996</v>
      </c>
      <c r="MXN22" s="452" t="s">
        <v>2691</v>
      </c>
      <c r="MXO22" s="498" t="s">
        <v>1620</v>
      </c>
      <c r="MXP22" s="498">
        <v>1</v>
      </c>
      <c r="MXQ22" s="499">
        <v>1500000</v>
      </c>
      <c r="MXR22" s="498">
        <v>1.58</v>
      </c>
      <c r="MXS22" s="498">
        <v>1</v>
      </c>
      <c r="MXT22" s="501">
        <v>6.75</v>
      </c>
      <c r="MXU22" s="486">
        <v>5.0999999999999996</v>
      </c>
      <c r="MXV22" s="452" t="s">
        <v>2691</v>
      </c>
      <c r="MXW22" s="498" t="s">
        <v>1620</v>
      </c>
      <c r="MXX22" s="498">
        <v>1</v>
      </c>
      <c r="MXY22" s="499">
        <v>1500000</v>
      </c>
      <c r="MXZ22" s="498">
        <v>1.58</v>
      </c>
      <c r="MYA22" s="498">
        <v>1</v>
      </c>
      <c r="MYB22" s="501">
        <v>6.75</v>
      </c>
      <c r="MYC22" s="486">
        <v>5.0999999999999996</v>
      </c>
      <c r="MYD22" s="452" t="s">
        <v>2691</v>
      </c>
      <c r="MYE22" s="498" t="s">
        <v>1620</v>
      </c>
      <c r="MYF22" s="498">
        <v>1</v>
      </c>
      <c r="MYG22" s="499">
        <v>1500000</v>
      </c>
      <c r="MYH22" s="498">
        <v>1.58</v>
      </c>
      <c r="MYI22" s="498">
        <v>1</v>
      </c>
      <c r="MYJ22" s="501">
        <v>6.75</v>
      </c>
      <c r="MYK22" s="486">
        <v>5.0999999999999996</v>
      </c>
      <c r="MYL22" s="452" t="s">
        <v>2691</v>
      </c>
      <c r="MYM22" s="498" t="s">
        <v>1620</v>
      </c>
      <c r="MYN22" s="498">
        <v>1</v>
      </c>
      <c r="MYO22" s="499">
        <v>1500000</v>
      </c>
      <c r="MYP22" s="498">
        <v>1.58</v>
      </c>
      <c r="MYQ22" s="498">
        <v>1</v>
      </c>
      <c r="MYR22" s="501">
        <v>6.75</v>
      </c>
      <c r="MYS22" s="486">
        <v>5.0999999999999996</v>
      </c>
      <c r="MYT22" s="452" t="s">
        <v>2691</v>
      </c>
      <c r="MYU22" s="498" t="s">
        <v>1620</v>
      </c>
      <c r="MYV22" s="498">
        <v>1</v>
      </c>
      <c r="MYW22" s="499">
        <v>1500000</v>
      </c>
      <c r="MYX22" s="498">
        <v>1.58</v>
      </c>
      <c r="MYY22" s="498">
        <v>1</v>
      </c>
      <c r="MYZ22" s="501">
        <v>6.75</v>
      </c>
      <c r="MZA22" s="486">
        <v>5.0999999999999996</v>
      </c>
      <c r="MZB22" s="452" t="s">
        <v>2691</v>
      </c>
      <c r="MZC22" s="498" t="s">
        <v>1620</v>
      </c>
      <c r="MZD22" s="498">
        <v>1</v>
      </c>
      <c r="MZE22" s="499">
        <v>1500000</v>
      </c>
      <c r="MZF22" s="498">
        <v>1.58</v>
      </c>
      <c r="MZG22" s="498">
        <v>1</v>
      </c>
      <c r="MZH22" s="501">
        <v>6.75</v>
      </c>
      <c r="MZI22" s="486">
        <v>5.0999999999999996</v>
      </c>
      <c r="MZJ22" s="452" t="s">
        <v>2691</v>
      </c>
      <c r="MZK22" s="498" t="s">
        <v>1620</v>
      </c>
      <c r="MZL22" s="498">
        <v>1</v>
      </c>
      <c r="MZM22" s="499">
        <v>1500000</v>
      </c>
      <c r="MZN22" s="498">
        <v>1.58</v>
      </c>
      <c r="MZO22" s="498">
        <v>1</v>
      </c>
      <c r="MZP22" s="501">
        <v>6.75</v>
      </c>
      <c r="MZQ22" s="486">
        <v>5.0999999999999996</v>
      </c>
      <c r="MZR22" s="452" t="s">
        <v>2691</v>
      </c>
      <c r="MZS22" s="498" t="s">
        <v>1620</v>
      </c>
      <c r="MZT22" s="498">
        <v>1</v>
      </c>
      <c r="MZU22" s="499">
        <v>1500000</v>
      </c>
      <c r="MZV22" s="498">
        <v>1.58</v>
      </c>
      <c r="MZW22" s="498">
        <v>1</v>
      </c>
      <c r="MZX22" s="501">
        <v>6.75</v>
      </c>
      <c r="MZY22" s="486">
        <v>5.0999999999999996</v>
      </c>
      <c r="MZZ22" s="452" t="s">
        <v>2691</v>
      </c>
      <c r="NAA22" s="498" t="s">
        <v>1620</v>
      </c>
      <c r="NAB22" s="498">
        <v>1</v>
      </c>
      <c r="NAC22" s="499">
        <v>1500000</v>
      </c>
      <c r="NAD22" s="498">
        <v>1.58</v>
      </c>
      <c r="NAE22" s="498">
        <v>1</v>
      </c>
      <c r="NAF22" s="501">
        <v>6.75</v>
      </c>
      <c r="NAG22" s="486">
        <v>5.0999999999999996</v>
      </c>
      <c r="NAH22" s="452" t="s">
        <v>2691</v>
      </c>
      <c r="NAI22" s="498" t="s">
        <v>1620</v>
      </c>
      <c r="NAJ22" s="498">
        <v>1</v>
      </c>
      <c r="NAK22" s="499">
        <v>1500000</v>
      </c>
      <c r="NAL22" s="498">
        <v>1.58</v>
      </c>
      <c r="NAM22" s="498">
        <v>1</v>
      </c>
      <c r="NAN22" s="501">
        <v>6.75</v>
      </c>
      <c r="NAO22" s="486">
        <v>5.0999999999999996</v>
      </c>
      <c r="NAP22" s="452" t="s">
        <v>2691</v>
      </c>
      <c r="NAQ22" s="498" t="s">
        <v>1620</v>
      </c>
      <c r="NAR22" s="498">
        <v>1</v>
      </c>
      <c r="NAS22" s="499">
        <v>1500000</v>
      </c>
      <c r="NAT22" s="498">
        <v>1.58</v>
      </c>
      <c r="NAU22" s="498">
        <v>1</v>
      </c>
      <c r="NAV22" s="501">
        <v>6.75</v>
      </c>
      <c r="NAW22" s="486">
        <v>5.0999999999999996</v>
      </c>
      <c r="NAX22" s="452" t="s">
        <v>2691</v>
      </c>
      <c r="NAY22" s="498" t="s">
        <v>1620</v>
      </c>
      <c r="NAZ22" s="498">
        <v>1</v>
      </c>
      <c r="NBA22" s="499">
        <v>1500000</v>
      </c>
      <c r="NBB22" s="498">
        <v>1.58</v>
      </c>
      <c r="NBC22" s="498">
        <v>1</v>
      </c>
      <c r="NBD22" s="501">
        <v>6.75</v>
      </c>
      <c r="NBE22" s="486">
        <v>5.0999999999999996</v>
      </c>
      <c r="NBF22" s="452" t="s">
        <v>2691</v>
      </c>
      <c r="NBG22" s="498" t="s">
        <v>1620</v>
      </c>
      <c r="NBH22" s="498">
        <v>1</v>
      </c>
      <c r="NBI22" s="499">
        <v>1500000</v>
      </c>
      <c r="NBJ22" s="498">
        <v>1.58</v>
      </c>
      <c r="NBK22" s="498">
        <v>1</v>
      </c>
      <c r="NBL22" s="501">
        <v>6.75</v>
      </c>
      <c r="NBM22" s="486">
        <v>5.0999999999999996</v>
      </c>
      <c r="NBN22" s="452" t="s">
        <v>2691</v>
      </c>
      <c r="NBO22" s="498" t="s">
        <v>1620</v>
      </c>
      <c r="NBP22" s="498">
        <v>1</v>
      </c>
      <c r="NBQ22" s="499">
        <v>1500000</v>
      </c>
      <c r="NBR22" s="498">
        <v>1.58</v>
      </c>
      <c r="NBS22" s="498">
        <v>1</v>
      </c>
      <c r="NBT22" s="501">
        <v>6.75</v>
      </c>
      <c r="NBU22" s="486">
        <v>5.0999999999999996</v>
      </c>
      <c r="NBV22" s="452" t="s">
        <v>2691</v>
      </c>
      <c r="NBW22" s="498" t="s">
        <v>1620</v>
      </c>
      <c r="NBX22" s="498">
        <v>1</v>
      </c>
      <c r="NBY22" s="499">
        <v>1500000</v>
      </c>
      <c r="NBZ22" s="498">
        <v>1.58</v>
      </c>
      <c r="NCA22" s="498">
        <v>1</v>
      </c>
      <c r="NCB22" s="501">
        <v>6.75</v>
      </c>
      <c r="NCC22" s="486">
        <v>5.0999999999999996</v>
      </c>
      <c r="NCD22" s="452" t="s">
        <v>2691</v>
      </c>
      <c r="NCE22" s="498" t="s">
        <v>1620</v>
      </c>
      <c r="NCF22" s="498">
        <v>1</v>
      </c>
      <c r="NCG22" s="499">
        <v>1500000</v>
      </c>
      <c r="NCH22" s="498">
        <v>1.58</v>
      </c>
      <c r="NCI22" s="498">
        <v>1</v>
      </c>
      <c r="NCJ22" s="501">
        <v>6.75</v>
      </c>
      <c r="NCK22" s="486">
        <v>5.0999999999999996</v>
      </c>
      <c r="NCL22" s="452" t="s">
        <v>2691</v>
      </c>
      <c r="NCM22" s="498" t="s">
        <v>1620</v>
      </c>
      <c r="NCN22" s="498">
        <v>1</v>
      </c>
      <c r="NCO22" s="499">
        <v>1500000</v>
      </c>
      <c r="NCP22" s="498">
        <v>1.58</v>
      </c>
      <c r="NCQ22" s="498">
        <v>1</v>
      </c>
      <c r="NCR22" s="501">
        <v>6.75</v>
      </c>
      <c r="NCS22" s="486">
        <v>5.0999999999999996</v>
      </c>
      <c r="NCT22" s="452" t="s">
        <v>2691</v>
      </c>
      <c r="NCU22" s="498" t="s">
        <v>1620</v>
      </c>
      <c r="NCV22" s="498">
        <v>1</v>
      </c>
      <c r="NCW22" s="499">
        <v>1500000</v>
      </c>
      <c r="NCX22" s="498">
        <v>1.58</v>
      </c>
      <c r="NCY22" s="498">
        <v>1</v>
      </c>
      <c r="NCZ22" s="501">
        <v>6.75</v>
      </c>
      <c r="NDA22" s="486">
        <v>5.0999999999999996</v>
      </c>
      <c r="NDB22" s="452" t="s">
        <v>2691</v>
      </c>
      <c r="NDC22" s="498" t="s">
        <v>1620</v>
      </c>
      <c r="NDD22" s="498">
        <v>1</v>
      </c>
      <c r="NDE22" s="499">
        <v>1500000</v>
      </c>
      <c r="NDF22" s="498">
        <v>1.58</v>
      </c>
      <c r="NDG22" s="498">
        <v>1</v>
      </c>
      <c r="NDH22" s="501">
        <v>6.75</v>
      </c>
      <c r="NDI22" s="486">
        <v>5.0999999999999996</v>
      </c>
      <c r="NDJ22" s="452" t="s">
        <v>2691</v>
      </c>
      <c r="NDK22" s="498" t="s">
        <v>1620</v>
      </c>
      <c r="NDL22" s="498">
        <v>1</v>
      </c>
      <c r="NDM22" s="499">
        <v>1500000</v>
      </c>
      <c r="NDN22" s="498">
        <v>1.58</v>
      </c>
      <c r="NDO22" s="498">
        <v>1</v>
      </c>
      <c r="NDP22" s="501">
        <v>6.75</v>
      </c>
      <c r="NDQ22" s="486">
        <v>5.0999999999999996</v>
      </c>
      <c r="NDR22" s="452" t="s">
        <v>2691</v>
      </c>
      <c r="NDS22" s="498" t="s">
        <v>1620</v>
      </c>
      <c r="NDT22" s="498">
        <v>1</v>
      </c>
      <c r="NDU22" s="499">
        <v>1500000</v>
      </c>
      <c r="NDV22" s="498">
        <v>1.58</v>
      </c>
      <c r="NDW22" s="498">
        <v>1</v>
      </c>
      <c r="NDX22" s="501">
        <v>6.75</v>
      </c>
      <c r="NDY22" s="486">
        <v>5.0999999999999996</v>
      </c>
      <c r="NDZ22" s="452" t="s">
        <v>2691</v>
      </c>
      <c r="NEA22" s="498" t="s">
        <v>1620</v>
      </c>
      <c r="NEB22" s="498">
        <v>1</v>
      </c>
      <c r="NEC22" s="499">
        <v>1500000</v>
      </c>
      <c r="NED22" s="498">
        <v>1.58</v>
      </c>
      <c r="NEE22" s="498">
        <v>1</v>
      </c>
      <c r="NEF22" s="501">
        <v>6.75</v>
      </c>
      <c r="NEG22" s="486">
        <v>5.0999999999999996</v>
      </c>
      <c r="NEH22" s="452" t="s">
        <v>2691</v>
      </c>
      <c r="NEI22" s="498" t="s">
        <v>1620</v>
      </c>
      <c r="NEJ22" s="498">
        <v>1</v>
      </c>
      <c r="NEK22" s="499">
        <v>1500000</v>
      </c>
      <c r="NEL22" s="498">
        <v>1.58</v>
      </c>
      <c r="NEM22" s="498">
        <v>1</v>
      </c>
      <c r="NEN22" s="501">
        <v>6.75</v>
      </c>
      <c r="NEO22" s="486">
        <v>5.0999999999999996</v>
      </c>
      <c r="NEP22" s="452" t="s">
        <v>2691</v>
      </c>
      <c r="NEQ22" s="498" t="s">
        <v>1620</v>
      </c>
      <c r="NER22" s="498">
        <v>1</v>
      </c>
      <c r="NES22" s="499">
        <v>1500000</v>
      </c>
      <c r="NET22" s="498">
        <v>1.58</v>
      </c>
      <c r="NEU22" s="498">
        <v>1</v>
      </c>
      <c r="NEV22" s="501">
        <v>6.75</v>
      </c>
      <c r="NEW22" s="486">
        <v>5.0999999999999996</v>
      </c>
      <c r="NEX22" s="452" t="s">
        <v>2691</v>
      </c>
      <c r="NEY22" s="498" t="s">
        <v>1620</v>
      </c>
      <c r="NEZ22" s="498">
        <v>1</v>
      </c>
      <c r="NFA22" s="499">
        <v>1500000</v>
      </c>
      <c r="NFB22" s="498">
        <v>1.58</v>
      </c>
      <c r="NFC22" s="498">
        <v>1</v>
      </c>
      <c r="NFD22" s="501">
        <v>6.75</v>
      </c>
      <c r="NFE22" s="486">
        <v>5.0999999999999996</v>
      </c>
      <c r="NFF22" s="452" t="s">
        <v>2691</v>
      </c>
      <c r="NFG22" s="498" t="s">
        <v>1620</v>
      </c>
      <c r="NFH22" s="498">
        <v>1</v>
      </c>
      <c r="NFI22" s="499">
        <v>1500000</v>
      </c>
      <c r="NFJ22" s="498">
        <v>1.58</v>
      </c>
      <c r="NFK22" s="498">
        <v>1</v>
      </c>
      <c r="NFL22" s="501">
        <v>6.75</v>
      </c>
      <c r="NFM22" s="486">
        <v>5.0999999999999996</v>
      </c>
      <c r="NFN22" s="452" t="s">
        <v>2691</v>
      </c>
      <c r="NFO22" s="498" t="s">
        <v>1620</v>
      </c>
      <c r="NFP22" s="498">
        <v>1</v>
      </c>
      <c r="NFQ22" s="499">
        <v>1500000</v>
      </c>
      <c r="NFR22" s="498">
        <v>1.58</v>
      </c>
      <c r="NFS22" s="498">
        <v>1</v>
      </c>
      <c r="NFT22" s="501">
        <v>6.75</v>
      </c>
      <c r="NFU22" s="486">
        <v>5.0999999999999996</v>
      </c>
      <c r="NFV22" s="452" t="s">
        <v>2691</v>
      </c>
      <c r="NFW22" s="498" t="s">
        <v>1620</v>
      </c>
      <c r="NFX22" s="498">
        <v>1</v>
      </c>
      <c r="NFY22" s="499">
        <v>1500000</v>
      </c>
      <c r="NFZ22" s="498">
        <v>1.58</v>
      </c>
      <c r="NGA22" s="498">
        <v>1</v>
      </c>
      <c r="NGB22" s="501">
        <v>6.75</v>
      </c>
      <c r="NGC22" s="486">
        <v>5.0999999999999996</v>
      </c>
      <c r="NGD22" s="452" t="s">
        <v>2691</v>
      </c>
      <c r="NGE22" s="498" t="s">
        <v>1620</v>
      </c>
      <c r="NGF22" s="498">
        <v>1</v>
      </c>
      <c r="NGG22" s="499">
        <v>1500000</v>
      </c>
      <c r="NGH22" s="498">
        <v>1.58</v>
      </c>
      <c r="NGI22" s="498">
        <v>1</v>
      </c>
      <c r="NGJ22" s="501">
        <v>6.75</v>
      </c>
      <c r="NGK22" s="486">
        <v>5.0999999999999996</v>
      </c>
      <c r="NGL22" s="452" t="s">
        <v>2691</v>
      </c>
      <c r="NGM22" s="498" t="s">
        <v>1620</v>
      </c>
      <c r="NGN22" s="498">
        <v>1</v>
      </c>
      <c r="NGO22" s="499">
        <v>1500000</v>
      </c>
      <c r="NGP22" s="498">
        <v>1.58</v>
      </c>
      <c r="NGQ22" s="498">
        <v>1</v>
      </c>
      <c r="NGR22" s="501">
        <v>6.75</v>
      </c>
      <c r="NGS22" s="486">
        <v>5.0999999999999996</v>
      </c>
      <c r="NGT22" s="452" t="s">
        <v>2691</v>
      </c>
      <c r="NGU22" s="498" t="s">
        <v>1620</v>
      </c>
      <c r="NGV22" s="498">
        <v>1</v>
      </c>
      <c r="NGW22" s="499">
        <v>1500000</v>
      </c>
      <c r="NGX22" s="498">
        <v>1.58</v>
      </c>
      <c r="NGY22" s="498">
        <v>1</v>
      </c>
      <c r="NGZ22" s="501">
        <v>6.75</v>
      </c>
      <c r="NHA22" s="486">
        <v>5.0999999999999996</v>
      </c>
      <c r="NHB22" s="452" t="s">
        <v>2691</v>
      </c>
      <c r="NHC22" s="498" t="s">
        <v>1620</v>
      </c>
      <c r="NHD22" s="498">
        <v>1</v>
      </c>
      <c r="NHE22" s="499">
        <v>1500000</v>
      </c>
      <c r="NHF22" s="498">
        <v>1.58</v>
      </c>
      <c r="NHG22" s="498">
        <v>1</v>
      </c>
      <c r="NHH22" s="501">
        <v>6.75</v>
      </c>
      <c r="NHI22" s="486">
        <v>5.0999999999999996</v>
      </c>
      <c r="NHJ22" s="452" t="s">
        <v>2691</v>
      </c>
      <c r="NHK22" s="498" t="s">
        <v>1620</v>
      </c>
      <c r="NHL22" s="498">
        <v>1</v>
      </c>
      <c r="NHM22" s="499">
        <v>1500000</v>
      </c>
      <c r="NHN22" s="498">
        <v>1.58</v>
      </c>
      <c r="NHO22" s="498">
        <v>1</v>
      </c>
      <c r="NHP22" s="501">
        <v>6.75</v>
      </c>
      <c r="NHQ22" s="486">
        <v>5.0999999999999996</v>
      </c>
      <c r="NHR22" s="452" t="s">
        <v>2691</v>
      </c>
      <c r="NHS22" s="498" t="s">
        <v>1620</v>
      </c>
      <c r="NHT22" s="498">
        <v>1</v>
      </c>
      <c r="NHU22" s="499">
        <v>1500000</v>
      </c>
      <c r="NHV22" s="498">
        <v>1.58</v>
      </c>
      <c r="NHW22" s="498">
        <v>1</v>
      </c>
      <c r="NHX22" s="501">
        <v>6.75</v>
      </c>
      <c r="NHY22" s="486">
        <v>5.0999999999999996</v>
      </c>
      <c r="NHZ22" s="452" t="s">
        <v>2691</v>
      </c>
      <c r="NIA22" s="498" t="s">
        <v>1620</v>
      </c>
      <c r="NIB22" s="498">
        <v>1</v>
      </c>
      <c r="NIC22" s="499">
        <v>1500000</v>
      </c>
      <c r="NID22" s="498">
        <v>1.58</v>
      </c>
      <c r="NIE22" s="498">
        <v>1</v>
      </c>
      <c r="NIF22" s="501">
        <v>6.75</v>
      </c>
      <c r="NIG22" s="486">
        <v>5.0999999999999996</v>
      </c>
      <c r="NIH22" s="452" t="s">
        <v>2691</v>
      </c>
      <c r="NII22" s="498" t="s">
        <v>1620</v>
      </c>
      <c r="NIJ22" s="498">
        <v>1</v>
      </c>
      <c r="NIK22" s="499">
        <v>1500000</v>
      </c>
      <c r="NIL22" s="498">
        <v>1.58</v>
      </c>
      <c r="NIM22" s="498">
        <v>1</v>
      </c>
      <c r="NIN22" s="501">
        <v>6.75</v>
      </c>
      <c r="NIO22" s="486">
        <v>5.0999999999999996</v>
      </c>
      <c r="NIP22" s="452" t="s">
        <v>2691</v>
      </c>
      <c r="NIQ22" s="498" t="s">
        <v>1620</v>
      </c>
      <c r="NIR22" s="498">
        <v>1</v>
      </c>
      <c r="NIS22" s="499">
        <v>1500000</v>
      </c>
      <c r="NIT22" s="498">
        <v>1.58</v>
      </c>
      <c r="NIU22" s="498">
        <v>1</v>
      </c>
      <c r="NIV22" s="501">
        <v>6.75</v>
      </c>
      <c r="NIW22" s="486">
        <v>5.0999999999999996</v>
      </c>
      <c r="NIX22" s="452" t="s">
        <v>2691</v>
      </c>
      <c r="NIY22" s="498" t="s">
        <v>1620</v>
      </c>
      <c r="NIZ22" s="498">
        <v>1</v>
      </c>
      <c r="NJA22" s="499">
        <v>1500000</v>
      </c>
      <c r="NJB22" s="498">
        <v>1.58</v>
      </c>
      <c r="NJC22" s="498">
        <v>1</v>
      </c>
      <c r="NJD22" s="501">
        <v>6.75</v>
      </c>
      <c r="NJE22" s="486">
        <v>5.0999999999999996</v>
      </c>
      <c r="NJF22" s="452" t="s">
        <v>2691</v>
      </c>
      <c r="NJG22" s="498" t="s">
        <v>1620</v>
      </c>
      <c r="NJH22" s="498">
        <v>1</v>
      </c>
      <c r="NJI22" s="499">
        <v>1500000</v>
      </c>
      <c r="NJJ22" s="498">
        <v>1.58</v>
      </c>
      <c r="NJK22" s="498">
        <v>1</v>
      </c>
      <c r="NJL22" s="501">
        <v>6.75</v>
      </c>
      <c r="NJM22" s="486">
        <v>5.0999999999999996</v>
      </c>
      <c r="NJN22" s="452" t="s">
        <v>2691</v>
      </c>
      <c r="NJO22" s="498" t="s">
        <v>1620</v>
      </c>
      <c r="NJP22" s="498">
        <v>1</v>
      </c>
      <c r="NJQ22" s="499">
        <v>1500000</v>
      </c>
      <c r="NJR22" s="498">
        <v>1.58</v>
      </c>
      <c r="NJS22" s="498">
        <v>1</v>
      </c>
      <c r="NJT22" s="501">
        <v>6.75</v>
      </c>
      <c r="NJU22" s="486">
        <v>5.0999999999999996</v>
      </c>
      <c r="NJV22" s="452" t="s">
        <v>2691</v>
      </c>
      <c r="NJW22" s="498" t="s">
        <v>1620</v>
      </c>
      <c r="NJX22" s="498">
        <v>1</v>
      </c>
      <c r="NJY22" s="499">
        <v>1500000</v>
      </c>
      <c r="NJZ22" s="498">
        <v>1.58</v>
      </c>
      <c r="NKA22" s="498">
        <v>1</v>
      </c>
      <c r="NKB22" s="501">
        <v>6.75</v>
      </c>
      <c r="NKC22" s="486">
        <v>5.0999999999999996</v>
      </c>
      <c r="NKD22" s="452" t="s">
        <v>2691</v>
      </c>
      <c r="NKE22" s="498" t="s">
        <v>1620</v>
      </c>
      <c r="NKF22" s="498">
        <v>1</v>
      </c>
      <c r="NKG22" s="499">
        <v>1500000</v>
      </c>
      <c r="NKH22" s="498">
        <v>1.58</v>
      </c>
      <c r="NKI22" s="498">
        <v>1</v>
      </c>
      <c r="NKJ22" s="501">
        <v>6.75</v>
      </c>
      <c r="NKK22" s="486">
        <v>5.0999999999999996</v>
      </c>
      <c r="NKL22" s="452" t="s">
        <v>2691</v>
      </c>
      <c r="NKM22" s="498" t="s">
        <v>1620</v>
      </c>
      <c r="NKN22" s="498">
        <v>1</v>
      </c>
      <c r="NKO22" s="499">
        <v>1500000</v>
      </c>
      <c r="NKP22" s="498">
        <v>1.58</v>
      </c>
      <c r="NKQ22" s="498">
        <v>1</v>
      </c>
      <c r="NKR22" s="501">
        <v>6.75</v>
      </c>
      <c r="NKS22" s="486">
        <v>5.0999999999999996</v>
      </c>
      <c r="NKT22" s="452" t="s">
        <v>2691</v>
      </c>
      <c r="NKU22" s="498" t="s">
        <v>1620</v>
      </c>
      <c r="NKV22" s="498">
        <v>1</v>
      </c>
      <c r="NKW22" s="499">
        <v>1500000</v>
      </c>
      <c r="NKX22" s="498">
        <v>1.58</v>
      </c>
      <c r="NKY22" s="498">
        <v>1</v>
      </c>
      <c r="NKZ22" s="501">
        <v>6.75</v>
      </c>
      <c r="NLA22" s="486">
        <v>5.0999999999999996</v>
      </c>
      <c r="NLB22" s="452" t="s">
        <v>2691</v>
      </c>
      <c r="NLC22" s="498" t="s">
        <v>1620</v>
      </c>
      <c r="NLD22" s="498">
        <v>1</v>
      </c>
      <c r="NLE22" s="499">
        <v>1500000</v>
      </c>
      <c r="NLF22" s="498">
        <v>1.58</v>
      </c>
      <c r="NLG22" s="498">
        <v>1</v>
      </c>
      <c r="NLH22" s="501">
        <v>6.75</v>
      </c>
      <c r="NLI22" s="486">
        <v>5.0999999999999996</v>
      </c>
      <c r="NLJ22" s="452" t="s">
        <v>2691</v>
      </c>
      <c r="NLK22" s="498" t="s">
        <v>1620</v>
      </c>
      <c r="NLL22" s="498">
        <v>1</v>
      </c>
      <c r="NLM22" s="499">
        <v>1500000</v>
      </c>
      <c r="NLN22" s="498">
        <v>1.58</v>
      </c>
      <c r="NLO22" s="498">
        <v>1</v>
      </c>
      <c r="NLP22" s="501">
        <v>6.75</v>
      </c>
      <c r="NLQ22" s="486">
        <v>5.0999999999999996</v>
      </c>
      <c r="NLR22" s="452" t="s">
        <v>2691</v>
      </c>
      <c r="NLS22" s="498" t="s">
        <v>1620</v>
      </c>
      <c r="NLT22" s="498">
        <v>1</v>
      </c>
      <c r="NLU22" s="499">
        <v>1500000</v>
      </c>
      <c r="NLV22" s="498">
        <v>1.58</v>
      </c>
      <c r="NLW22" s="498">
        <v>1</v>
      </c>
      <c r="NLX22" s="501">
        <v>6.75</v>
      </c>
      <c r="NLY22" s="486">
        <v>5.0999999999999996</v>
      </c>
      <c r="NLZ22" s="452" t="s">
        <v>2691</v>
      </c>
      <c r="NMA22" s="498" t="s">
        <v>1620</v>
      </c>
      <c r="NMB22" s="498">
        <v>1</v>
      </c>
      <c r="NMC22" s="499">
        <v>1500000</v>
      </c>
      <c r="NMD22" s="498">
        <v>1.58</v>
      </c>
      <c r="NME22" s="498">
        <v>1</v>
      </c>
      <c r="NMF22" s="501">
        <v>6.75</v>
      </c>
      <c r="NMG22" s="486">
        <v>5.0999999999999996</v>
      </c>
      <c r="NMH22" s="452" t="s">
        <v>2691</v>
      </c>
      <c r="NMI22" s="498" t="s">
        <v>1620</v>
      </c>
      <c r="NMJ22" s="498">
        <v>1</v>
      </c>
      <c r="NMK22" s="499">
        <v>1500000</v>
      </c>
      <c r="NML22" s="498">
        <v>1.58</v>
      </c>
      <c r="NMM22" s="498">
        <v>1</v>
      </c>
      <c r="NMN22" s="501">
        <v>6.75</v>
      </c>
      <c r="NMO22" s="486">
        <v>5.0999999999999996</v>
      </c>
      <c r="NMP22" s="452" t="s">
        <v>2691</v>
      </c>
      <c r="NMQ22" s="498" t="s">
        <v>1620</v>
      </c>
      <c r="NMR22" s="498">
        <v>1</v>
      </c>
      <c r="NMS22" s="499">
        <v>1500000</v>
      </c>
      <c r="NMT22" s="498">
        <v>1.58</v>
      </c>
      <c r="NMU22" s="498">
        <v>1</v>
      </c>
      <c r="NMV22" s="501">
        <v>6.75</v>
      </c>
      <c r="NMW22" s="486">
        <v>5.0999999999999996</v>
      </c>
      <c r="NMX22" s="452" t="s">
        <v>2691</v>
      </c>
      <c r="NMY22" s="498" t="s">
        <v>1620</v>
      </c>
      <c r="NMZ22" s="498">
        <v>1</v>
      </c>
      <c r="NNA22" s="499">
        <v>1500000</v>
      </c>
      <c r="NNB22" s="498">
        <v>1.58</v>
      </c>
      <c r="NNC22" s="498">
        <v>1</v>
      </c>
      <c r="NND22" s="501">
        <v>6.75</v>
      </c>
      <c r="NNE22" s="486">
        <v>5.0999999999999996</v>
      </c>
      <c r="NNF22" s="452" t="s">
        <v>2691</v>
      </c>
      <c r="NNG22" s="498" t="s">
        <v>1620</v>
      </c>
      <c r="NNH22" s="498">
        <v>1</v>
      </c>
      <c r="NNI22" s="499">
        <v>1500000</v>
      </c>
      <c r="NNJ22" s="498">
        <v>1.58</v>
      </c>
      <c r="NNK22" s="498">
        <v>1</v>
      </c>
      <c r="NNL22" s="501">
        <v>6.75</v>
      </c>
      <c r="NNM22" s="486">
        <v>5.0999999999999996</v>
      </c>
      <c r="NNN22" s="452" t="s">
        <v>2691</v>
      </c>
      <c r="NNO22" s="498" t="s">
        <v>1620</v>
      </c>
      <c r="NNP22" s="498">
        <v>1</v>
      </c>
      <c r="NNQ22" s="499">
        <v>1500000</v>
      </c>
      <c r="NNR22" s="498">
        <v>1.58</v>
      </c>
      <c r="NNS22" s="498">
        <v>1</v>
      </c>
      <c r="NNT22" s="501">
        <v>6.75</v>
      </c>
      <c r="NNU22" s="486">
        <v>5.0999999999999996</v>
      </c>
      <c r="NNV22" s="452" t="s">
        <v>2691</v>
      </c>
      <c r="NNW22" s="498" t="s">
        <v>1620</v>
      </c>
      <c r="NNX22" s="498">
        <v>1</v>
      </c>
      <c r="NNY22" s="499">
        <v>1500000</v>
      </c>
      <c r="NNZ22" s="498">
        <v>1.58</v>
      </c>
      <c r="NOA22" s="498">
        <v>1</v>
      </c>
      <c r="NOB22" s="501">
        <v>6.75</v>
      </c>
      <c r="NOC22" s="486">
        <v>5.0999999999999996</v>
      </c>
      <c r="NOD22" s="452" t="s">
        <v>2691</v>
      </c>
      <c r="NOE22" s="498" t="s">
        <v>1620</v>
      </c>
      <c r="NOF22" s="498">
        <v>1</v>
      </c>
      <c r="NOG22" s="499">
        <v>1500000</v>
      </c>
      <c r="NOH22" s="498">
        <v>1.58</v>
      </c>
      <c r="NOI22" s="498">
        <v>1</v>
      </c>
      <c r="NOJ22" s="501">
        <v>6.75</v>
      </c>
      <c r="NOK22" s="486">
        <v>5.0999999999999996</v>
      </c>
      <c r="NOL22" s="452" t="s">
        <v>2691</v>
      </c>
      <c r="NOM22" s="498" t="s">
        <v>1620</v>
      </c>
      <c r="NON22" s="498">
        <v>1</v>
      </c>
      <c r="NOO22" s="499">
        <v>1500000</v>
      </c>
      <c r="NOP22" s="498">
        <v>1.58</v>
      </c>
      <c r="NOQ22" s="498">
        <v>1</v>
      </c>
      <c r="NOR22" s="501">
        <v>6.75</v>
      </c>
      <c r="NOS22" s="486">
        <v>5.0999999999999996</v>
      </c>
      <c r="NOT22" s="452" t="s">
        <v>2691</v>
      </c>
      <c r="NOU22" s="498" t="s">
        <v>1620</v>
      </c>
      <c r="NOV22" s="498">
        <v>1</v>
      </c>
      <c r="NOW22" s="499">
        <v>1500000</v>
      </c>
      <c r="NOX22" s="498">
        <v>1.58</v>
      </c>
      <c r="NOY22" s="498">
        <v>1</v>
      </c>
      <c r="NOZ22" s="501">
        <v>6.75</v>
      </c>
      <c r="NPA22" s="486">
        <v>5.0999999999999996</v>
      </c>
      <c r="NPB22" s="452" t="s">
        <v>2691</v>
      </c>
      <c r="NPC22" s="498" t="s">
        <v>1620</v>
      </c>
      <c r="NPD22" s="498">
        <v>1</v>
      </c>
      <c r="NPE22" s="499">
        <v>1500000</v>
      </c>
      <c r="NPF22" s="498">
        <v>1.58</v>
      </c>
      <c r="NPG22" s="498">
        <v>1</v>
      </c>
      <c r="NPH22" s="501">
        <v>6.75</v>
      </c>
      <c r="NPI22" s="486">
        <v>5.0999999999999996</v>
      </c>
      <c r="NPJ22" s="452" t="s">
        <v>2691</v>
      </c>
      <c r="NPK22" s="498" t="s">
        <v>1620</v>
      </c>
      <c r="NPL22" s="498">
        <v>1</v>
      </c>
      <c r="NPM22" s="499">
        <v>1500000</v>
      </c>
      <c r="NPN22" s="498">
        <v>1.58</v>
      </c>
      <c r="NPO22" s="498">
        <v>1</v>
      </c>
      <c r="NPP22" s="501">
        <v>6.75</v>
      </c>
      <c r="NPQ22" s="486">
        <v>5.0999999999999996</v>
      </c>
      <c r="NPR22" s="452" t="s">
        <v>2691</v>
      </c>
      <c r="NPS22" s="498" t="s">
        <v>1620</v>
      </c>
      <c r="NPT22" s="498">
        <v>1</v>
      </c>
      <c r="NPU22" s="499">
        <v>1500000</v>
      </c>
      <c r="NPV22" s="498">
        <v>1.58</v>
      </c>
      <c r="NPW22" s="498">
        <v>1</v>
      </c>
      <c r="NPX22" s="501">
        <v>6.75</v>
      </c>
      <c r="NPY22" s="486">
        <v>5.0999999999999996</v>
      </c>
      <c r="NPZ22" s="452" t="s">
        <v>2691</v>
      </c>
      <c r="NQA22" s="498" t="s">
        <v>1620</v>
      </c>
      <c r="NQB22" s="498">
        <v>1</v>
      </c>
      <c r="NQC22" s="499">
        <v>1500000</v>
      </c>
      <c r="NQD22" s="498">
        <v>1.58</v>
      </c>
      <c r="NQE22" s="498">
        <v>1</v>
      </c>
      <c r="NQF22" s="501">
        <v>6.75</v>
      </c>
      <c r="NQG22" s="486">
        <v>5.0999999999999996</v>
      </c>
      <c r="NQH22" s="452" t="s">
        <v>2691</v>
      </c>
      <c r="NQI22" s="498" t="s">
        <v>1620</v>
      </c>
      <c r="NQJ22" s="498">
        <v>1</v>
      </c>
      <c r="NQK22" s="499">
        <v>1500000</v>
      </c>
      <c r="NQL22" s="498">
        <v>1.58</v>
      </c>
      <c r="NQM22" s="498">
        <v>1</v>
      </c>
      <c r="NQN22" s="501">
        <v>6.75</v>
      </c>
      <c r="NQO22" s="486">
        <v>5.0999999999999996</v>
      </c>
      <c r="NQP22" s="452" t="s">
        <v>2691</v>
      </c>
      <c r="NQQ22" s="498" t="s">
        <v>1620</v>
      </c>
      <c r="NQR22" s="498">
        <v>1</v>
      </c>
      <c r="NQS22" s="499">
        <v>1500000</v>
      </c>
      <c r="NQT22" s="498">
        <v>1.58</v>
      </c>
      <c r="NQU22" s="498">
        <v>1</v>
      </c>
      <c r="NQV22" s="501">
        <v>6.75</v>
      </c>
      <c r="NQW22" s="486">
        <v>5.0999999999999996</v>
      </c>
      <c r="NQX22" s="452" t="s">
        <v>2691</v>
      </c>
      <c r="NQY22" s="498" t="s">
        <v>1620</v>
      </c>
      <c r="NQZ22" s="498">
        <v>1</v>
      </c>
      <c r="NRA22" s="499">
        <v>1500000</v>
      </c>
      <c r="NRB22" s="498">
        <v>1.58</v>
      </c>
      <c r="NRC22" s="498">
        <v>1</v>
      </c>
      <c r="NRD22" s="501">
        <v>6.75</v>
      </c>
      <c r="NRE22" s="486">
        <v>5.0999999999999996</v>
      </c>
      <c r="NRF22" s="452" t="s">
        <v>2691</v>
      </c>
      <c r="NRG22" s="498" t="s">
        <v>1620</v>
      </c>
      <c r="NRH22" s="498">
        <v>1</v>
      </c>
      <c r="NRI22" s="499">
        <v>1500000</v>
      </c>
      <c r="NRJ22" s="498">
        <v>1.58</v>
      </c>
      <c r="NRK22" s="498">
        <v>1</v>
      </c>
      <c r="NRL22" s="501">
        <v>6.75</v>
      </c>
      <c r="NRM22" s="486">
        <v>5.0999999999999996</v>
      </c>
      <c r="NRN22" s="452" t="s">
        <v>2691</v>
      </c>
      <c r="NRO22" s="498" t="s">
        <v>1620</v>
      </c>
      <c r="NRP22" s="498">
        <v>1</v>
      </c>
      <c r="NRQ22" s="499">
        <v>1500000</v>
      </c>
      <c r="NRR22" s="498">
        <v>1.58</v>
      </c>
      <c r="NRS22" s="498">
        <v>1</v>
      </c>
      <c r="NRT22" s="501">
        <v>6.75</v>
      </c>
      <c r="NRU22" s="486">
        <v>5.0999999999999996</v>
      </c>
      <c r="NRV22" s="452" t="s">
        <v>2691</v>
      </c>
      <c r="NRW22" s="498" t="s">
        <v>1620</v>
      </c>
      <c r="NRX22" s="498">
        <v>1</v>
      </c>
      <c r="NRY22" s="499">
        <v>1500000</v>
      </c>
      <c r="NRZ22" s="498">
        <v>1.58</v>
      </c>
      <c r="NSA22" s="498">
        <v>1</v>
      </c>
      <c r="NSB22" s="501">
        <v>6.75</v>
      </c>
      <c r="NSC22" s="486">
        <v>5.0999999999999996</v>
      </c>
      <c r="NSD22" s="452" t="s">
        <v>2691</v>
      </c>
      <c r="NSE22" s="498" t="s">
        <v>1620</v>
      </c>
      <c r="NSF22" s="498">
        <v>1</v>
      </c>
      <c r="NSG22" s="499">
        <v>1500000</v>
      </c>
      <c r="NSH22" s="498">
        <v>1.58</v>
      </c>
      <c r="NSI22" s="498">
        <v>1</v>
      </c>
      <c r="NSJ22" s="501">
        <v>6.75</v>
      </c>
      <c r="NSK22" s="486">
        <v>5.0999999999999996</v>
      </c>
      <c r="NSL22" s="452" t="s">
        <v>2691</v>
      </c>
      <c r="NSM22" s="498" t="s">
        <v>1620</v>
      </c>
      <c r="NSN22" s="498">
        <v>1</v>
      </c>
      <c r="NSO22" s="499">
        <v>1500000</v>
      </c>
      <c r="NSP22" s="498">
        <v>1.58</v>
      </c>
      <c r="NSQ22" s="498">
        <v>1</v>
      </c>
      <c r="NSR22" s="501">
        <v>6.75</v>
      </c>
      <c r="NSS22" s="486">
        <v>5.0999999999999996</v>
      </c>
      <c r="NST22" s="452" t="s">
        <v>2691</v>
      </c>
      <c r="NSU22" s="498" t="s">
        <v>1620</v>
      </c>
      <c r="NSV22" s="498">
        <v>1</v>
      </c>
      <c r="NSW22" s="499">
        <v>1500000</v>
      </c>
      <c r="NSX22" s="498">
        <v>1.58</v>
      </c>
      <c r="NSY22" s="498">
        <v>1</v>
      </c>
      <c r="NSZ22" s="501">
        <v>6.75</v>
      </c>
      <c r="NTA22" s="486">
        <v>5.0999999999999996</v>
      </c>
      <c r="NTB22" s="452" t="s">
        <v>2691</v>
      </c>
      <c r="NTC22" s="498" t="s">
        <v>1620</v>
      </c>
      <c r="NTD22" s="498">
        <v>1</v>
      </c>
      <c r="NTE22" s="499">
        <v>1500000</v>
      </c>
      <c r="NTF22" s="498">
        <v>1.58</v>
      </c>
      <c r="NTG22" s="498">
        <v>1</v>
      </c>
      <c r="NTH22" s="501">
        <v>6.75</v>
      </c>
      <c r="NTI22" s="486">
        <v>5.0999999999999996</v>
      </c>
      <c r="NTJ22" s="452" t="s">
        <v>2691</v>
      </c>
      <c r="NTK22" s="498" t="s">
        <v>1620</v>
      </c>
      <c r="NTL22" s="498">
        <v>1</v>
      </c>
      <c r="NTM22" s="499">
        <v>1500000</v>
      </c>
      <c r="NTN22" s="498">
        <v>1.58</v>
      </c>
      <c r="NTO22" s="498">
        <v>1</v>
      </c>
      <c r="NTP22" s="501">
        <v>6.75</v>
      </c>
      <c r="NTQ22" s="486">
        <v>5.0999999999999996</v>
      </c>
      <c r="NTR22" s="452" t="s">
        <v>2691</v>
      </c>
      <c r="NTS22" s="498" t="s">
        <v>1620</v>
      </c>
      <c r="NTT22" s="498">
        <v>1</v>
      </c>
      <c r="NTU22" s="499">
        <v>1500000</v>
      </c>
      <c r="NTV22" s="498">
        <v>1.58</v>
      </c>
      <c r="NTW22" s="498">
        <v>1</v>
      </c>
      <c r="NTX22" s="501">
        <v>6.75</v>
      </c>
      <c r="NTY22" s="486">
        <v>5.0999999999999996</v>
      </c>
      <c r="NTZ22" s="452" t="s">
        <v>2691</v>
      </c>
      <c r="NUA22" s="498" t="s">
        <v>1620</v>
      </c>
      <c r="NUB22" s="498">
        <v>1</v>
      </c>
      <c r="NUC22" s="499">
        <v>1500000</v>
      </c>
      <c r="NUD22" s="498">
        <v>1.58</v>
      </c>
      <c r="NUE22" s="498">
        <v>1</v>
      </c>
      <c r="NUF22" s="501">
        <v>6.75</v>
      </c>
      <c r="NUG22" s="486">
        <v>5.0999999999999996</v>
      </c>
      <c r="NUH22" s="452" t="s">
        <v>2691</v>
      </c>
      <c r="NUI22" s="498" t="s">
        <v>1620</v>
      </c>
      <c r="NUJ22" s="498">
        <v>1</v>
      </c>
      <c r="NUK22" s="499">
        <v>1500000</v>
      </c>
      <c r="NUL22" s="498">
        <v>1.58</v>
      </c>
      <c r="NUM22" s="498">
        <v>1</v>
      </c>
      <c r="NUN22" s="501">
        <v>6.75</v>
      </c>
      <c r="NUO22" s="486">
        <v>5.0999999999999996</v>
      </c>
      <c r="NUP22" s="452" t="s">
        <v>2691</v>
      </c>
      <c r="NUQ22" s="498" t="s">
        <v>1620</v>
      </c>
      <c r="NUR22" s="498">
        <v>1</v>
      </c>
      <c r="NUS22" s="499">
        <v>1500000</v>
      </c>
      <c r="NUT22" s="498">
        <v>1.58</v>
      </c>
      <c r="NUU22" s="498">
        <v>1</v>
      </c>
      <c r="NUV22" s="501">
        <v>6.75</v>
      </c>
      <c r="NUW22" s="486">
        <v>5.0999999999999996</v>
      </c>
      <c r="NUX22" s="452" t="s">
        <v>2691</v>
      </c>
      <c r="NUY22" s="498" t="s">
        <v>1620</v>
      </c>
      <c r="NUZ22" s="498">
        <v>1</v>
      </c>
      <c r="NVA22" s="499">
        <v>1500000</v>
      </c>
      <c r="NVB22" s="498">
        <v>1.58</v>
      </c>
      <c r="NVC22" s="498">
        <v>1</v>
      </c>
      <c r="NVD22" s="501">
        <v>6.75</v>
      </c>
      <c r="NVE22" s="486">
        <v>5.0999999999999996</v>
      </c>
      <c r="NVF22" s="452" t="s">
        <v>2691</v>
      </c>
      <c r="NVG22" s="498" t="s">
        <v>1620</v>
      </c>
      <c r="NVH22" s="498">
        <v>1</v>
      </c>
      <c r="NVI22" s="499">
        <v>1500000</v>
      </c>
      <c r="NVJ22" s="498">
        <v>1.58</v>
      </c>
      <c r="NVK22" s="498">
        <v>1</v>
      </c>
      <c r="NVL22" s="501">
        <v>6.75</v>
      </c>
      <c r="NVM22" s="486">
        <v>5.0999999999999996</v>
      </c>
      <c r="NVN22" s="452" t="s">
        <v>2691</v>
      </c>
      <c r="NVO22" s="498" t="s">
        <v>1620</v>
      </c>
      <c r="NVP22" s="498">
        <v>1</v>
      </c>
      <c r="NVQ22" s="499">
        <v>1500000</v>
      </c>
      <c r="NVR22" s="498">
        <v>1.58</v>
      </c>
      <c r="NVS22" s="498">
        <v>1</v>
      </c>
      <c r="NVT22" s="501">
        <v>6.75</v>
      </c>
      <c r="NVU22" s="486">
        <v>5.0999999999999996</v>
      </c>
      <c r="NVV22" s="452" t="s">
        <v>2691</v>
      </c>
      <c r="NVW22" s="498" t="s">
        <v>1620</v>
      </c>
      <c r="NVX22" s="498">
        <v>1</v>
      </c>
      <c r="NVY22" s="499">
        <v>1500000</v>
      </c>
      <c r="NVZ22" s="498">
        <v>1.58</v>
      </c>
      <c r="NWA22" s="498">
        <v>1</v>
      </c>
      <c r="NWB22" s="501">
        <v>6.75</v>
      </c>
      <c r="NWC22" s="486">
        <v>5.0999999999999996</v>
      </c>
      <c r="NWD22" s="452" t="s">
        <v>2691</v>
      </c>
      <c r="NWE22" s="498" t="s">
        <v>1620</v>
      </c>
      <c r="NWF22" s="498">
        <v>1</v>
      </c>
      <c r="NWG22" s="499">
        <v>1500000</v>
      </c>
      <c r="NWH22" s="498">
        <v>1.58</v>
      </c>
      <c r="NWI22" s="498">
        <v>1</v>
      </c>
      <c r="NWJ22" s="501">
        <v>6.75</v>
      </c>
      <c r="NWK22" s="486">
        <v>5.0999999999999996</v>
      </c>
      <c r="NWL22" s="452" t="s">
        <v>2691</v>
      </c>
      <c r="NWM22" s="498" t="s">
        <v>1620</v>
      </c>
      <c r="NWN22" s="498">
        <v>1</v>
      </c>
      <c r="NWO22" s="499">
        <v>1500000</v>
      </c>
      <c r="NWP22" s="498">
        <v>1.58</v>
      </c>
      <c r="NWQ22" s="498">
        <v>1</v>
      </c>
      <c r="NWR22" s="501">
        <v>6.75</v>
      </c>
      <c r="NWS22" s="486">
        <v>5.0999999999999996</v>
      </c>
      <c r="NWT22" s="452" t="s">
        <v>2691</v>
      </c>
      <c r="NWU22" s="498" t="s">
        <v>1620</v>
      </c>
      <c r="NWV22" s="498">
        <v>1</v>
      </c>
      <c r="NWW22" s="499">
        <v>1500000</v>
      </c>
      <c r="NWX22" s="498">
        <v>1.58</v>
      </c>
      <c r="NWY22" s="498">
        <v>1</v>
      </c>
      <c r="NWZ22" s="501">
        <v>6.75</v>
      </c>
      <c r="NXA22" s="486">
        <v>5.0999999999999996</v>
      </c>
      <c r="NXB22" s="452" t="s">
        <v>2691</v>
      </c>
      <c r="NXC22" s="498" t="s">
        <v>1620</v>
      </c>
      <c r="NXD22" s="498">
        <v>1</v>
      </c>
      <c r="NXE22" s="499">
        <v>1500000</v>
      </c>
      <c r="NXF22" s="498">
        <v>1.58</v>
      </c>
      <c r="NXG22" s="498">
        <v>1</v>
      </c>
      <c r="NXH22" s="501">
        <v>6.75</v>
      </c>
      <c r="NXI22" s="486">
        <v>5.0999999999999996</v>
      </c>
      <c r="NXJ22" s="452" t="s">
        <v>2691</v>
      </c>
      <c r="NXK22" s="498" t="s">
        <v>1620</v>
      </c>
      <c r="NXL22" s="498">
        <v>1</v>
      </c>
      <c r="NXM22" s="499">
        <v>1500000</v>
      </c>
      <c r="NXN22" s="498">
        <v>1.58</v>
      </c>
      <c r="NXO22" s="498">
        <v>1</v>
      </c>
      <c r="NXP22" s="501">
        <v>6.75</v>
      </c>
      <c r="NXQ22" s="486">
        <v>5.0999999999999996</v>
      </c>
      <c r="NXR22" s="452" t="s">
        <v>2691</v>
      </c>
      <c r="NXS22" s="498" t="s">
        <v>1620</v>
      </c>
      <c r="NXT22" s="498">
        <v>1</v>
      </c>
      <c r="NXU22" s="499">
        <v>1500000</v>
      </c>
      <c r="NXV22" s="498">
        <v>1.58</v>
      </c>
      <c r="NXW22" s="498">
        <v>1</v>
      </c>
      <c r="NXX22" s="501">
        <v>6.75</v>
      </c>
      <c r="NXY22" s="486">
        <v>5.0999999999999996</v>
      </c>
      <c r="NXZ22" s="452" t="s">
        <v>2691</v>
      </c>
      <c r="NYA22" s="498" t="s">
        <v>1620</v>
      </c>
      <c r="NYB22" s="498">
        <v>1</v>
      </c>
      <c r="NYC22" s="499">
        <v>1500000</v>
      </c>
      <c r="NYD22" s="498">
        <v>1.58</v>
      </c>
      <c r="NYE22" s="498">
        <v>1</v>
      </c>
      <c r="NYF22" s="501">
        <v>6.75</v>
      </c>
      <c r="NYG22" s="486">
        <v>5.0999999999999996</v>
      </c>
      <c r="NYH22" s="452" t="s">
        <v>2691</v>
      </c>
      <c r="NYI22" s="498" t="s">
        <v>1620</v>
      </c>
      <c r="NYJ22" s="498">
        <v>1</v>
      </c>
      <c r="NYK22" s="499">
        <v>1500000</v>
      </c>
      <c r="NYL22" s="498">
        <v>1.58</v>
      </c>
      <c r="NYM22" s="498">
        <v>1</v>
      </c>
      <c r="NYN22" s="501">
        <v>6.75</v>
      </c>
      <c r="NYO22" s="486">
        <v>5.0999999999999996</v>
      </c>
      <c r="NYP22" s="452" t="s">
        <v>2691</v>
      </c>
      <c r="NYQ22" s="498" t="s">
        <v>1620</v>
      </c>
      <c r="NYR22" s="498">
        <v>1</v>
      </c>
      <c r="NYS22" s="499">
        <v>1500000</v>
      </c>
      <c r="NYT22" s="498">
        <v>1.58</v>
      </c>
      <c r="NYU22" s="498">
        <v>1</v>
      </c>
      <c r="NYV22" s="501">
        <v>6.75</v>
      </c>
      <c r="NYW22" s="486">
        <v>5.0999999999999996</v>
      </c>
      <c r="NYX22" s="452" t="s">
        <v>2691</v>
      </c>
      <c r="NYY22" s="498" t="s">
        <v>1620</v>
      </c>
      <c r="NYZ22" s="498">
        <v>1</v>
      </c>
      <c r="NZA22" s="499">
        <v>1500000</v>
      </c>
      <c r="NZB22" s="498">
        <v>1.58</v>
      </c>
      <c r="NZC22" s="498">
        <v>1</v>
      </c>
      <c r="NZD22" s="501">
        <v>6.75</v>
      </c>
      <c r="NZE22" s="486">
        <v>5.0999999999999996</v>
      </c>
      <c r="NZF22" s="452" t="s">
        <v>2691</v>
      </c>
      <c r="NZG22" s="498" t="s">
        <v>1620</v>
      </c>
      <c r="NZH22" s="498">
        <v>1</v>
      </c>
      <c r="NZI22" s="499">
        <v>1500000</v>
      </c>
      <c r="NZJ22" s="498">
        <v>1.58</v>
      </c>
      <c r="NZK22" s="498">
        <v>1</v>
      </c>
      <c r="NZL22" s="501">
        <v>6.75</v>
      </c>
      <c r="NZM22" s="486">
        <v>5.0999999999999996</v>
      </c>
      <c r="NZN22" s="452" t="s">
        <v>2691</v>
      </c>
      <c r="NZO22" s="498" t="s">
        <v>1620</v>
      </c>
      <c r="NZP22" s="498">
        <v>1</v>
      </c>
      <c r="NZQ22" s="499">
        <v>1500000</v>
      </c>
      <c r="NZR22" s="498">
        <v>1.58</v>
      </c>
      <c r="NZS22" s="498">
        <v>1</v>
      </c>
      <c r="NZT22" s="501">
        <v>6.75</v>
      </c>
      <c r="NZU22" s="486">
        <v>5.0999999999999996</v>
      </c>
      <c r="NZV22" s="452" t="s">
        <v>2691</v>
      </c>
      <c r="NZW22" s="498" t="s">
        <v>1620</v>
      </c>
      <c r="NZX22" s="498">
        <v>1</v>
      </c>
      <c r="NZY22" s="499">
        <v>1500000</v>
      </c>
      <c r="NZZ22" s="498">
        <v>1.58</v>
      </c>
      <c r="OAA22" s="498">
        <v>1</v>
      </c>
      <c r="OAB22" s="501">
        <v>6.75</v>
      </c>
      <c r="OAC22" s="486">
        <v>5.0999999999999996</v>
      </c>
      <c r="OAD22" s="452" t="s">
        <v>2691</v>
      </c>
      <c r="OAE22" s="498" t="s">
        <v>1620</v>
      </c>
      <c r="OAF22" s="498">
        <v>1</v>
      </c>
      <c r="OAG22" s="499">
        <v>1500000</v>
      </c>
      <c r="OAH22" s="498">
        <v>1.58</v>
      </c>
      <c r="OAI22" s="498">
        <v>1</v>
      </c>
      <c r="OAJ22" s="501">
        <v>6.75</v>
      </c>
      <c r="OAK22" s="486">
        <v>5.0999999999999996</v>
      </c>
      <c r="OAL22" s="452" t="s">
        <v>2691</v>
      </c>
      <c r="OAM22" s="498" t="s">
        <v>1620</v>
      </c>
      <c r="OAN22" s="498">
        <v>1</v>
      </c>
      <c r="OAO22" s="499">
        <v>1500000</v>
      </c>
      <c r="OAP22" s="498">
        <v>1.58</v>
      </c>
      <c r="OAQ22" s="498">
        <v>1</v>
      </c>
      <c r="OAR22" s="501">
        <v>6.75</v>
      </c>
      <c r="OAS22" s="486">
        <v>5.0999999999999996</v>
      </c>
      <c r="OAT22" s="452" t="s">
        <v>2691</v>
      </c>
      <c r="OAU22" s="498" t="s">
        <v>1620</v>
      </c>
      <c r="OAV22" s="498">
        <v>1</v>
      </c>
      <c r="OAW22" s="499">
        <v>1500000</v>
      </c>
      <c r="OAX22" s="498">
        <v>1.58</v>
      </c>
      <c r="OAY22" s="498">
        <v>1</v>
      </c>
      <c r="OAZ22" s="501">
        <v>6.75</v>
      </c>
      <c r="OBA22" s="486">
        <v>5.0999999999999996</v>
      </c>
      <c r="OBB22" s="452" t="s">
        <v>2691</v>
      </c>
      <c r="OBC22" s="498" t="s">
        <v>1620</v>
      </c>
      <c r="OBD22" s="498">
        <v>1</v>
      </c>
      <c r="OBE22" s="499">
        <v>1500000</v>
      </c>
      <c r="OBF22" s="498">
        <v>1.58</v>
      </c>
      <c r="OBG22" s="498">
        <v>1</v>
      </c>
      <c r="OBH22" s="501">
        <v>6.75</v>
      </c>
      <c r="OBI22" s="486">
        <v>5.0999999999999996</v>
      </c>
      <c r="OBJ22" s="452" t="s">
        <v>2691</v>
      </c>
      <c r="OBK22" s="498" t="s">
        <v>1620</v>
      </c>
      <c r="OBL22" s="498">
        <v>1</v>
      </c>
      <c r="OBM22" s="499">
        <v>1500000</v>
      </c>
      <c r="OBN22" s="498">
        <v>1.58</v>
      </c>
      <c r="OBO22" s="498">
        <v>1</v>
      </c>
      <c r="OBP22" s="501">
        <v>6.75</v>
      </c>
      <c r="OBQ22" s="486">
        <v>5.0999999999999996</v>
      </c>
      <c r="OBR22" s="452" t="s">
        <v>2691</v>
      </c>
      <c r="OBS22" s="498" t="s">
        <v>1620</v>
      </c>
      <c r="OBT22" s="498">
        <v>1</v>
      </c>
      <c r="OBU22" s="499">
        <v>1500000</v>
      </c>
      <c r="OBV22" s="498">
        <v>1.58</v>
      </c>
      <c r="OBW22" s="498">
        <v>1</v>
      </c>
      <c r="OBX22" s="501">
        <v>6.75</v>
      </c>
      <c r="OBY22" s="486">
        <v>5.0999999999999996</v>
      </c>
      <c r="OBZ22" s="452" t="s">
        <v>2691</v>
      </c>
      <c r="OCA22" s="498" t="s">
        <v>1620</v>
      </c>
      <c r="OCB22" s="498">
        <v>1</v>
      </c>
      <c r="OCC22" s="499">
        <v>1500000</v>
      </c>
      <c r="OCD22" s="498">
        <v>1.58</v>
      </c>
      <c r="OCE22" s="498">
        <v>1</v>
      </c>
      <c r="OCF22" s="501">
        <v>6.75</v>
      </c>
      <c r="OCG22" s="486">
        <v>5.0999999999999996</v>
      </c>
      <c r="OCH22" s="452" t="s">
        <v>2691</v>
      </c>
      <c r="OCI22" s="498" t="s">
        <v>1620</v>
      </c>
      <c r="OCJ22" s="498">
        <v>1</v>
      </c>
      <c r="OCK22" s="499">
        <v>1500000</v>
      </c>
      <c r="OCL22" s="498">
        <v>1.58</v>
      </c>
      <c r="OCM22" s="498">
        <v>1</v>
      </c>
      <c r="OCN22" s="501">
        <v>6.75</v>
      </c>
      <c r="OCO22" s="486">
        <v>5.0999999999999996</v>
      </c>
      <c r="OCP22" s="452" t="s">
        <v>2691</v>
      </c>
      <c r="OCQ22" s="498" t="s">
        <v>1620</v>
      </c>
      <c r="OCR22" s="498">
        <v>1</v>
      </c>
      <c r="OCS22" s="499">
        <v>1500000</v>
      </c>
      <c r="OCT22" s="498">
        <v>1.58</v>
      </c>
      <c r="OCU22" s="498">
        <v>1</v>
      </c>
      <c r="OCV22" s="501">
        <v>6.75</v>
      </c>
      <c r="OCW22" s="486">
        <v>5.0999999999999996</v>
      </c>
      <c r="OCX22" s="452" t="s">
        <v>2691</v>
      </c>
      <c r="OCY22" s="498" t="s">
        <v>1620</v>
      </c>
      <c r="OCZ22" s="498">
        <v>1</v>
      </c>
      <c r="ODA22" s="499">
        <v>1500000</v>
      </c>
      <c r="ODB22" s="498">
        <v>1.58</v>
      </c>
      <c r="ODC22" s="498">
        <v>1</v>
      </c>
      <c r="ODD22" s="501">
        <v>6.75</v>
      </c>
      <c r="ODE22" s="486">
        <v>5.0999999999999996</v>
      </c>
      <c r="ODF22" s="452" t="s">
        <v>2691</v>
      </c>
      <c r="ODG22" s="498" t="s">
        <v>1620</v>
      </c>
      <c r="ODH22" s="498">
        <v>1</v>
      </c>
      <c r="ODI22" s="499">
        <v>1500000</v>
      </c>
      <c r="ODJ22" s="498">
        <v>1.58</v>
      </c>
      <c r="ODK22" s="498">
        <v>1</v>
      </c>
      <c r="ODL22" s="501">
        <v>6.75</v>
      </c>
      <c r="ODM22" s="486">
        <v>5.0999999999999996</v>
      </c>
      <c r="ODN22" s="452" t="s">
        <v>2691</v>
      </c>
      <c r="ODO22" s="498" t="s">
        <v>1620</v>
      </c>
      <c r="ODP22" s="498">
        <v>1</v>
      </c>
      <c r="ODQ22" s="499">
        <v>1500000</v>
      </c>
      <c r="ODR22" s="498">
        <v>1.58</v>
      </c>
      <c r="ODS22" s="498">
        <v>1</v>
      </c>
      <c r="ODT22" s="501">
        <v>6.75</v>
      </c>
      <c r="ODU22" s="486">
        <v>5.0999999999999996</v>
      </c>
      <c r="ODV22" s="452" t="s">
        <v>2691</v>
      </c>
      <c r="ODW22" s="498" t="s">
        <v>1620</v>
      </c>
      <c r="ODX22" s="498">
        <v>1</v>
      </c>
      <c r="ODY22" s="499">
        <v>1500000</v>
      </c>
      <c r="ODZ22" s="498">
        <v>1.58</v>
      </c>
      <c r="OEA22" s="498">
        <v>1</v>
      </c>
      <c r="OEB22" s="501">
        <v>6.75</v>
      </c>
      <c r="OEC22" s="486">
        <v>5.0999999999999996</v>
      </c>
      <c r="OED22" s="452" t="s">
        <v>2691</v>
      </c>
      <c r="OEE22" s="498" t="s">
        <v>1620</v>
      </c>
      <c r="OEF22" s="498">
        <v>1</v>
      </c>
      <c r="OEG22" s="499">
        <v>1500000</v>
      </c>
      <c r="OEH22" s="498">
        <v>1.58</v>
      </c>
      <c r="OEI22" s="498">
        <v>1</v>
      </c>
      <c r="OEJ22" s="501">
        <v>6.75</v>
      </c>
      <c r="OEK22" s="486">
        <v>5.0999999999999996</v>
      </c>
      <c r="OEL22" s="452" t="s">
        <v>2691</v>
      </c>
      <c r="OEM22" s="498" t="s">
        <v>1620</v>
      </c>
      <c r="OEN22" s="498">
        <v>1</v>
      </c>
      <c r="OEO22" s="499">
        <v>1500000</v>
      </c>
      <c r="OEP22" s="498">
        <v>1.58</v>
      </c>
      <c r="OEQ22" s="498">
        <v>1</v>
      </c>
      <c r="OER22" s="501">
        <v>6.75</v>
      </c>
      <c r="OES22" s="486">
        <v>5.0999999999999996</v>
      </c>
      <c r="OET22" s="452" t="s">
        <v>2691</v>
      </c>
      <c r="OEU22" s="498" t="s">
        <v>1620</v>
      </c>
      <c r="OEV22" s="498">
        <v>1</v>
      </c>
      <c r="OEW22" s="499">
        <v>1500000</v>
      </c>
      <c r="OEX22" s="498">
        <v>1.58</v>
      </c>
      <c r="OEY22" s="498">
        <v>1</v>
      </c>
      <c r="OEZ22" s="501">
        <v>6.75</v>
      </c>
      <c r="OFA22" s="486">
        <v>5.0999999999999996</v>
      </c>
      <c r="OFB22" s="452" t="s">
        <v>2691</v>
      </c>
      <c r="OFC22" s="498" t="s">
        <v>1620</v>
      </c>
      <c r="OFD22" s="498">
        <v>1</v>
      </c>
      <c r="OFE22" s="499">
        <v>1500000</v>
      </c>
      <c r="OFF22" s="498">
        <v>1.58</v>
      </c>
      <c r="OFG22" s="498">
        <v>1</v>
      </c>
      <c r="OFH22" s="501">
        <v>6.75</v>
      </c>
      <c r="OFI22" s="486">
        <v>5.0999999999999996</v>
      </c>
      <c r="OFJ22" s="452" t="s">
        <v>2691</v>
      </c>
      <c r="OFK22" s="498" t="s">
        <v>1620</v>
      </c>
      <c r="OFL22" s="498">
        <v>1</v>
      </c>
      <c r="OFM22" s="499">
        <v>1500000</v>
      </c>
      <c r="OFN22" s="498">
        <v>1.58</v>
      </c>
      <c r="OFO22" s="498">
        <v>1</v>
      </c>
      <c r="OFP22" s="501">
        <v>6.75</v>
      </c>
      <c r="OFQ22" s="486">
        <v>5.0999999999999996</v>
      </c>
      <c r="OFR22" s="452" t="s">
        <v>2691</v>
      </c>
      <c r="OFS22" s="498" t="s">
        <v>1620</v>
      </c>
      <c r="OFT22" s="498">
        <v>1</v>
      </c>
      <c r="OFU22" s="499">
        <v>1500000</v>
      </c>
      <c r="OFV22" s="498">
        <v>1.58</v>
      </c>
      <c r="OFW22" s="498">
        <v>1</v>
      </c>
      <c r="OFX22" s="501">
        <v>6.75</v>
      </c>
      <c r="OFY22" s="486">
        <v>5.0999999999999996</v>
      </c>
      <c r="OFZ22" s="452" t="s">
        <v>2691</v>
      </c>
      <c r="OGA22" s="498" t="s">
        <v>1620</v>
      </c>
      <c r="OGB22" s="498">
        <v>1</v>
      </c>
      <c r="OGC22" s="499">
        <v>1500000</v>
      </c>
      <c r="OGD22" s="498">
        <v>1.58</v>
      </c>
      <c r="OGE22" s="498">
        <v>1</v>
      </c>
      <c r="OGF22" s="501">
        <v>6.75</v>
      </c>
      <c r="OGG22" s="486">
        <v>5.0999999999999996</v>
      </c>
      <c r="OGH22" s="452" t="s">
        <v>2691</v>
      </c>
      <c r="OGI22" s="498" t="s">
        <v>1620</v>
      </c>
      <c r="OGJ22" s="498">
        <v>1</v>
      </c>
      <c r="OGK22" s="499">
        <v>1500000</v>
      </c>
      <c r="OGL22" s="498">
        <v>1.58</v>
      </c>
      <c r="OGM22" s="498">
        <v>1</v>
      </c>
      <c r="OGN22" s="501">
        <v>6.75</v>
      </c>
      <c r="OGO22" s="486">
        <v>5.0999999999999996</v>
      </c>
      <c r="OGP22" s="452" t="s">
        <v>2691</v>
      </c>
      <c r="OGQ22" s="498" t="s">
        <v>1620</v>
      </c>
      <c r="OGR22" s="498">
        <v>1</v>
      </c>
      <c r="OGS22" s="499">
        <v>1500000</v>
      </c>
      <c r="OGT22" s="498">
        <v>1.58</v>
      </c>
      <c r="OGU22" s="498">
        <v>1</v>
      </c>
      <c r="OGV22" s="501">
        <v>6.75</v>
      </c>
      <c r="OGW22" s="486">
        <v>5.0999999999999996</v>
      </c>
      <c r="OGX22" s="452" t="s">
        <v>2691</v>
      </c>
      <c r="OGY22" s="498" t="s">
        <v>1620</v>
      </c>
      <c r="OGZ22" s="498">
        <v>1</v>
      </c>
      <c r="OHA22" s="499">
        <v>1500000</v>
      </c>
      <c r="OHB22" s="498">
        <v>1.58</v>
      </c>
      <c r="OHC22" s="498">
        <v>1</v>
      </c>
      <c r="OHD22" s="501">
        <v>6.75</v>
      </c>
      <c r="OHE22" s="486">
        <v>5.0999999999999996</v>
      </c>
      <c r="OHF22" s="452" t="s">
        <v>2691</v>
      </c>
      <c r="OHG22" s="498" t="s">
        <v>1620</v>
      </c>
      <c r="OHH22" s="498">
        <v>1</v>
      </c>
      <c r="OHI22" s="499">
        <v>1500000</v>
      </c>
      <c r="OHJ22" s="498">
        <v>1.58</v>
      </c>
      <c r="OHK22" s="498">
        <v>1</v>
      </c>
      <c r="OHL22" s="501">
        <v>6.75</v>
      </c>
      <c r="OHM22" s="486">
        <v>5.0999999999999996</v>
      </c>
      <c r="OHN22" s="452" t="s">
        <v>2691</v>
      </c>
      <c r="OHO22" s="498" t="s">
        <v>1620</v>
      </c>
      <c r="OHP22" s="498">
        <v>1</v>
      </c>
      <c r="OHQ22" s="499">
        <v>1500000</v>
      </c>
      <c r="OHR22" s="498">
        <v>1.58</v>
      </c>
      <c r="OHS22" s="498">
        <v>1</v>
      </c>
      <c r="OHT22" s="501">
        <v>6.75</v>
      </c>
      <c r="OHU22" s="486">
        <v>5.0999999999999996</v>
      </c>
      <c r="OHV22" s="452" t="s">
        <v>2691</v>
      </c>
      <c r="OHW22" s="498" t="s">
        <v>1620</v>
      </c>
      <c r="OHX22" s="498">
        <v>1</v>
      </c>
      <c r="OHY22" s="499">
        <v>1500000</v>
      </c>
      <c r="OHZ22" s="498">
        <v>1.58</v>
      </c>
      <c r="OIA22" s="498">
        <v>1</v>
      </c>
      <c r="OIB22" s="501">
        <v>6.75</v>
      </c>
      <c r="OIC22" s="486">
        <v>5.0999999999999996</v>
      </c>
      <c r="OID22" s="452" t="s">
        <v>2691</v>
      </c>
      <c r="OIE22" s="498" t="s">
        <v>1620</v>
      </c>
      <c r="OIF22" s="498">
        <v>1</v>
      </c>
      <c r="OIG22" s="499">
        <v>1500000</v>
      </c>
      <c r="OIH22" s="498">
        <v>1.58</v>
      </c>
      <c r="OII22" s="498">
        <v>1</v>
      </c>
      <c r="OIJ22" s="501">
        <v>6.75</v>
      </c>
      <c r="OIK22" s="486">
        <v>5.0999999999999996</v>
      </c>
      <c r="OIL22" s="452" t="s">
        <v>2691</v>
      </c>
      <c r="OIM22" s="498" t="s">
        <v>1620</v>
      </c>
      <c r="OIN22" s="498">
        <v>1</v>
      </c>
      <c r="OIO22" s="499">
        <v>1500000</v>
      </c>
      <c r="OIP22" s="498">
        <v>1.58</v>
      </c>
      <c r="OIQ22" s="498">
        <v>1</v>
      </c>
      <c r="OIR22" s="501">
        <v>6.75</v>
      </c>
      <c r="OIS22" s="486">
        <v>5.0999999999999996</v>
      </c>
      <c r="OIT22" s="452" t="s">
        <v>2691</v>
      </c>
      <c r="OIU22" s="498" t="s">
        <v>1620</v>
      </c>
      <c r="OIV22" s="498">
        <v>1</v>
      </c>
      <c r="OIW22" s="499">
        <v>1500000</v>
      </c>
      <c r="OIX22" s="498">
        <v>1.58</v>
      </c>
      <c r="OIY22" s="498">
        <v>1</v>
      </c>
      <c r="OIZ22" s="501">
        <v>6.75</v>
      </c>
      <c r="OJA22" s="486">
        <v>5.0999999999999996</v>
      </c>
      <c r="OJB22" s="452" t="s">
        <v>2691</v>
      </c>
      <c r="OJC22" s="498" t="s">
        <v>1620</v>
      </c>
      <c r="OJD22" s="498">
        <v>1</v>
      </c>
      <c r="OJE22" s="499">
        <v>1500000</v>
      </c>
      <c r="OJF22" s="498">
        <v>1.58</v>
      </c>
      <c r="OJG22" s="498">
        <v>1</v>
      </c>
      <c r="OJH22" s="501">
        <v>6.75</v>
      </c>
      <c r="OJI22" s="486">
        <v>5.0999999999999996</v>
      </c>
      <c r="OJJ22" s="452" t="s">
        <v>2691</v>
      </c>
      <c r="OJK22" s="498" t="s">
        <v>1620</v>
      </c>
      <c r="OJL22" s="498">
        <v>1</v>
      </c>
      <c r="OJM22" s="499">
        <v>1500000</v>
      </c>
      <c r="OJN22" s="498">
        <v>1.58</v>
      </c>
      <c r="OJO22" s="498">
        <v>1</v>
      </c>
      <c r="OJP22" s="501">
        <v>6.75</v>
      </c>
      <c r="OJQ22" s="486">
        <v>5.0999999999999996</v>
      </c>
      <c r="OJR22" s="452" t="s">
        <v>2691</v>
      </c>
      <c r="OJS22" s="498" t="s">
        <v>1620</v>
      </c>
      <c r="OJT22" s="498">
        <v>1</v>
      </c>
      <c r="OJU22" s="499">
        <v>1500000</v>
      </c>
      <c r="OJV22" s="498">
        <v>1.58</v>
      </c>
      <c r="OJW22" s="498">
        <v>1</v>
      </c>
      <c r="OJX22" s="501">
        <v>6.75</v>
      </c>
      <c r="OJY22" s="486">
        <v>5.0999999999999996</v>
      </c>
      <c r="OJZ22" s="452" t="s">
        <v>2691</v>
      </c>
      <c r="OKA22" s="498" t="s">
        <v>1620</v>
      </c>
      <c r="OKB22" s="498">
        <v>1</v>
      </c>
      <c r="OKC22" s="499">
        <v>1500000</v>
      </c>
      <c r="OKD22" s="498">
        <v>1.58</v>
      </c>
      <c r="OKE22" s="498">
        <v>1</v>
      </c>
      <c r="OKF22" s="501">
        <v>6.75</v>
      </c>
      <c r="OKG22" s="486">
        <v>5.0999999999999996</v>
      </c>
      <c r="OKH22" s="452" t="s">
        <v>2691</v>
      </c>
      <c r="OKI22" s="498" t="s">
        <v>1620</v>
      </c>
      <c r="OKJ22" s="498">
        <v>1</v>
      </c>
      <c r="OKK22" s="499">
        <v>1500000</v>
      </c>
      <c r="OKL22" s="498">
        <v>1.58</v>
      </c>
      <c r="OKM22" s="498">
        <v>1</v>
      </c>
      <c r="OKN22" s="501">
        <v>6.75</v>
      </c>
      <c r="OKO22" s="486">
        <v>5.0999999999999996</v>
      </c>
      <c r="OKP22" s="452" t="s">
        <v>2691</v>
      </c>
      <c r="OKQ22" s="498" t="s">
        <v>1620</v>
      </c>
      <c r="OKR22" s="498">
        <v>1</v>
      </c>
      <c r="OKS22" s="499">
        <v>1500000</v>
      </c>
      <c r="OKT22" s="498">
        <v>1.58</v>
      </c>
      <c r="OKU22" s="498">
        <v>1</v>
      </c>
      <c r="OKV22" s="501">
        <v>6.75</v>
      </c>
      <c r="OKW22" s="486">
        <v>5.0999999999999996</v>
      </c>
      <c r="OKX22" s="452" t="s">
        <v>2691</v>
      </c>
      <c r="OKY22" s="498" t="s">
        <v>1620</v>
      </c>
      <c r="OKZ22" s="498">
        <v>1</v>
      </c>
      <c r="OLA22" s="499">
        <v>1500000</v>
      </c>
      <c r="OLB22" s="498">
        <v>1.58</v>
      </c>
      <c r="OLC22" s="498">
        <v>1</v>
      </c>
      <c r="OLD22" s="501">
        <v>6.75</v>
      </c>
      <c r="OLE22" s="486">
        <v>5.0999999999999996</v>
      </c>
      <c r="OLF22" s="452" t="s">
        <v>2691</v>
      </c>
      <c r="OLG22" s="498" t="s">
        <v>1620</v>
      </c>
      <c r="OLH22" s="498">
        <v>1</v>
      </c>
      <c r="OLI22" s="499">
        <v>1500000</v>
      </c>
      <c r="OLJ22" s="498">
        <v>1.58</v>
      </c>
      <c r="OLK22" s="498">
        <v>1</v>
      </c>
      <c r="OLL22" s="501">
        <v>6.75</v>
      </c>
      <c r="OLM22" s="486">
        <v>5.0999999999999996</v>
      </c>
      <c r="OLN22" s="452" t="s">
        <v>2691</v>
      </c>
      <c r="OLO22" s="498" t="s">
        <v>1620</v>
      </c>
      <c r="OLP22" s="498">
        <v>1</v>
      </c>
      <c r="OLQ22" s="499">
        <v>1500000</v>
      </c>
      <c r="OLR22" s="498">
        <v>1.58</v>
      </c>
      <c r="OLS22" s="498">
        <v>1</v>
      </c>
      <c r="OLT22" s="501">
        <v>6.75</v>
      </c>
      <c r="OLU22" s="486">
        <v>5.0999999999999996</v>
      </c>
      <c r="OLV22" s="452" t="s">
        <v>2691</v>
      </c>
      <c r="OLW22" s="498" t="s">
        <v>1620</v>
      </c>
      <c r="OLX22" s="498">
        <v>1</v>
      </c>
      <c r="OLY22" s="499">
        <v>1500000</v>
      </c>
      <c r="OLZ22" s="498">
        <v>1.58</v>
      </c>
      <c r="OMA22" s="498">
        <v>1</v>
      </c>
      <c r="OMB22" s="501">
        <v>6.75</v>
      </c>
      <c r="OMC22" s="486">
        <v>5.0999999999999996</v>
      </c>
      <c r="OMD22" s="452" t="s">
        <v>2691</v>
      </c>
      <c r="OME22" s="498" t="s">
        <v>1620</v>
      </c>
      <c r="OMF22" s="498">
        <v>1</v>
      </c>
      <c r="OMG22" s="499">
        <v>1500000</v>
      </c>
      <c r="OMH22" s="498">
        <v>1.58</v>
      </c>
      <c r="OMI22" s="498">
        <v>1</v>
      </c>
      <c r="OMJ22" s="501">
        <v>6.75</v>
      </c>
      <c r="OMK22" s="486">
        <v>5.0999999999999996</v>
      </c>
      <c r="OML22" s="452" t="s">
        <v>2691</v>
      </c>
      <c r="OMM22" s="498" t="s">
        <v>1620</v>
      </c>
      <c r="OMN22" s="498">
        <v>1</v>
      </c>
      <c r="OMO22" s="499">
        <v>1500000</v>
      </c>
      <c r="OMP22" s="498">
        <v>1.58</v>
      </c>
      <c r="OMQ22" s="498">
        <v>1</v>
      </c>
      <c r="OMR22" s="501">
        <v>6.75</v>
      </c>
      <c r="OMS22" s="486">
        <v>5.0999999999999996</v>
      </c>
      <c r="OMT22" s="452" t="s">
        <v>2691</v>
      </c>
      <c r="OMU22" s="498" t="s">
        <v>1620</v>
      </c>
      <c r="OMV22" s="498">
        <v>1</v>
      </c>
      <c r="OMW22" s="499">
        <v>1500000</v>
      </c>
      <c r="OMX22" s="498">
        <v>1.58</v>
      </c>
      <c r="OMY22" s="498">
        <v>1</v>
      </c>
      <c r="OMZ22" s="501">
        <v>6.75</v>
      </c>
      <c r="ONA22" s="486">
        <v>5.0999999999999996</v>
      </c>
      <c r="ONB22" s="452" t="s">
        <v>2691</v>
      </c>
      <c r="ONC22" s="498" t="s">
        <v>1620</v>
      </c>
      <c r="OND22" s="498">
        <v>1</v>
      </c>
      <c r="ONE22" s="499">
        <v>1500000</v>
      </c>
      <c r="ONF22" s="498">
        <v>1.58</v>
      </c>
      <c r="ONG22" s="498">
        <v>1</v>
      </c>
      <c r="ONH22" s="501">
        <v>6.75</v>
      </c>
      <c r="ONI22" s="486">
        <v>5.0999999999999996</v>
      </c>
      <c r="ONJ22" s="452" t="s">
        <v>2691</v>
      </c>
      <c r="ONK22" s="498" t="s">
        <v>1620</v>
      </c>
      <c r="ONL22" s="498">
        <v>1</v>
      </c>
      <c r="ONM22" s="499">
        <v>1500000</v>
      </c>
      <c r="ONN22" s="498">
        <v>1.58</v>
      </c>
      <c r="ONO22" s="498">
        <v>1</v>
      </c>
      <c r="ONP22" s="501">
        <v>6.75</v>
      </c>
      <c r="ONQ22" s="486">
        <v>5.0999999999999996</v>
      </c>
      <c r="ONR22" s="452" t="s">
        <v>2691</v>
      </c>
      <c r="ONS22" s="498" t="s">
        <v>1620</v>
      </c>
      <c r="ONT22" s="498">
        <v>1</v>
      </c>
      <c r="ONU22" s="499">
        <v>1500000</v>
      </c>
      <c r="ONV22" s="498">
        <v>1.58</v>
      </c>
      <c r="ONW22" s="498">
        <v>1</v>
      </c>
      <c r="ONX22" s="501">
        <v>6.75</v>
      </c>
      <c r="ONY22" s="486">
        <v>5.0999999999999996</v>
      </c>
      <c r="ONZ22" s="452" t="s">
        <v>2691</v>
      </c>
      <c r="OOA22" s="498" t="s">
        <v>1620</v>
      </c>
      <c r="OOB22" s="498">
        <v>1</v>
      </c>
      <c r="OOC22" s="499">
        <v>1500000</v>
      </c>
      <c r="OOD22" s="498">
        <v>1.58</v>
      </c>
      <c r="OOE22" s="498">
        <v>1</v>
      </c>
      <c r="OOF22" s="501">
        <v>6.75</v>
      </c>
      <c r="OOG22" s="486">
        <v>5.0999999999999996</v>
      </c>
      <c r="OOH22" s="452" t="s">
        <v>2691</v>
      </c>
      <c r="OOI22" s="498" t="s">
        <v>1620</v>
      </c>
      <c r="OOJ22" s="498">
        <v>1</v>
      </c>
      <c r="OOK22" s="499">
        <v>1500000</v>
      </c>
      <c r="OOL22" s="498">
        <v>1.58</v>
      </c>
      <c r="OOM22" s="498">
        <v>1</v>
      </c>
      <c r="OON22" s="501">
        <v>6.75</v>
      </c>
      <c r="OOO22" s="486">
        <v>5.0999999999999996</v>
      </c>
      <c r="OOP22" s="452" t="s">
        <v>2691</v>
      </c>
      <c r="OOQ22" s="498" t="s">
        <v>1620</v>
      </c>
      <c r="OOR22" s="498">
        <v>1</v>
      </c>
      <c r="OOS22" s="499">
        <v>1500000</v>
      </c>
      <c r="OOT22" s="498">
        <v>1.58</v>
      </c>
      <c r="OOU22" s="498">
        <v>1</v>
      </c>
      <c r="OOV22" s="501">
        <v>6.75</v>
      </c>
      <c r="OOW22" s="486">
        <v>5.0999999999999996</v>
      </c>
      <c r="OOX22" s="452" t="s">
        <v>2691</v>
      </c>
      <c r="OOY22" s="498" t="s">
        <v>1620</v>
      </c>
      <c r="OOZ22" s="498">
        <v>1</v>
      </c>
      <c r="OPA22" s="499">
        <v>1500000</v>
      </c>
      <c r="OPB22" s="498">
        <v>1.58</v>
      </c>
      <c r="OPC22" s="498">
        <v>1</v>
      </c>
      <c r="OPD22" s="501">
        <v>6.75</v>
      </c>
      <c r="OPE22" s="486">
        <v>5.0999999999999996</v>
      </c>
      <c r="OPF22" s="452" t="s">
        <v>2691</v>
      </c>
      <c r="OPG22" s="498" t="s">
        <v>1620</v>
      </c>
      <c r="OPH22" s="498">
        <v>1</v>
      </c>
      <c r="OPI22" s="499">
        <v>1500000</v>
      </c>
      <c r="OPJ22" s="498">
        <v>1.58</v>
      </c>
      <c r="OPK22" s="498">
        <v>1</v>
      </c>
      <c r="OPL22" s="501">
        <v>6.75</v>
      </c>
      <c r="OPM22" s="486">
        <v>5.0999999999999996</v>
      </c>
      <c r="OPN22" s="452" t="s">
        <v>2691</v>
      </c>
      <c r="OPO22" s="498" t="s">
        <v>1620</v>
      </c>
      <c r="OPP22" s="498">
        <v>1</v>
      </c>
      <c r="OPQ22" s="499">
        <v>1500000</v>
      </c>
      <c r="OPR22" s="498">
        <v>1.58</v>
      </c>
      <c r="OPS22" s="498">
        <v>1</v>
      </c>
      <c r="OPT22" s="501">
        <v>6.75</v>
      </c>
      <c r="OPU22" s="486">
        <v>5.0999999999999996</v>
      </c>
      <c r="OPV22" s="452" t="s">
        <v>2691</v>
      </c>
      <c r="OPW22" s="498" t="s">
        <v>1620</v>
      </c>
      <c r="OPX22" s="498">
        <v>1</v>
      </c>
      <c r="OPY22" s="499">
        <v>1500000</v>
      </c>
      <c r="OPZ22" s="498">
        <v>1.58</v>
      </c>
      <c r="OQA22" s="498">
        <v>1</v>
      </c>
      <c r="OQB22" s="501">
        <v>6.75</v>
      </c>
      <c r="OQC22" s="486">
        <v>5.0999999999999996</v>
      </c>
      <c r="OQD22" s="452" t="s">
        <v>2691</v>
      </c>
      <c r="OQE22" s="498" t="s">
        <v>1620</v>
      </c>
      <c r="OQF22" s="498">
        <v>1</v>
      </c>
      <c r="OQG22" s="499">
        <v>1500000</v>
      </c>
      <c r="OQH22" s="498">
        <v>1.58</v>
      </c>
      <c r="OQI22" s="498">
        <v>1</v>
      </c>
      <c r="OQJ22" s="501">
        <v>6.75</v>
      </c>
      <c r="OQK22" s="486">
        <v>5.0999999999999996</v>
      </c>
      <c r="OQL22" s="452" t="s">
        <v>2691</v>
      </c>
      <c r="OQM22" s="498" t="s">
        <v>1620</v>
      </c>
      <c r="OQN22" s="498">
        <v>1</v>
      </c>
      <c r="OQO22" s="499">
        <v>1500000</v>
      </c>
      <c r="OQP22" s="498">
        <v>1.58</v>
      </c>
      <c r="OQQ22" s="498">
        <v>1</v>
      </c>
      <c r="OQR22" s="501">
        <v>6.75</v>
      </c>
      <c r="OQS22" s="486">
        <v>5.0999999999999996</v>
      </c>
      <c r="OQT22" s="452" t="s">
        <v>2691</v>
      </c>
      <c r="OQU22" s="498" t="s">
        <v>1620</v>
      </c>
      <c r="OQV22" s="498">
        <v>1</v>
      </c>
      <c r="OQW22" s="499">
        <v>1500000</v>
      </c>
      <c r="OQX22" s="498">
        <v>1.58</v>
      </c>
      <c r="OQY22" s="498">
        <v>1</v>
      </c>
      <c r="OQZ22" s="501">
        <v>6.75</v>
      </c>
      <c r="ORA22" s="486">
        <v>5.0999999999999996</v>
      </c>
      <c r="ORB22" s="452" t="s">
        <v>2691</v>
      </c>
      <c r="ORC22" s="498" t="s">
        <v>1620</v>
      </c>
      <c r="ORD22" s="498">
        <v>1</v>
      </c>
      <c r="ORE22" s="499">
        <v>1500000</v>
      </c>
      <c r="ORF22" s="498">
        <v>1.58</v>
      </c>
      <c r="ORG22" s="498">
        <v>1</v>
      </c>
      <c r="ORH22" s="501">
        <v>6.75</v>
      </c>
      <c r="ORI22" s="486">
        <v>5.0999999999999996</v>
      </c>
      <c r="ORJ22" s="452" t="s">
        <v>2691</v>
      </c>
      <c r="ORK22" s="498" t="s">
        <v>1620</v>
      </c>
      <c r="ORL22" s="498">
        <v>1</v>
      </c>
      <c r="ORM22" s="499">
        <v>1500000</v>
      </c>
      <c r="ORN22" s="498">
        <v>1.58</v>
      </c>
      <c r="ORO22" s="498">
        <v>1</v>
      </c>
      <c r="ORP22" s="501">
        <v>6.75</v>
      </c>
      <c r="ORQ22" s="486">
        <v>5.0999999999999996</v>
      </c>
      <c r="ORR22" s="452" t="s">
        <v>2691</v>
      </c>
      <c r="ORS22" s="498" t="s">
        <v>1620</v>
      </c>
      <c r="ORT22" s="498">
        <v>1</v>
      </c>
      <c r="ORU22" s="499">
        <v>1500000</v>
      </c>
      <c r="ORV22" s="498">
        <v>1.58</v>
      </c>
      <c r="ORW22" s="498">
        <v>1</v>
      </c>
      <c r="ORX22" s="501">
        <v>6.75</v>
      </c>
      <c r="ORY22" s="486">
        <v>5.0999999999999996</v>
      </c>
      <c r="ORZ22" s="452" t="s">
        <v>2691</v>
      </c>
      <c r="OSA22" s="498" t="s">
        <v>1620</v>
      </c>
      <c r="OSB22" s="498">
        <v>1</v>
      </c>
      <c r="OSC22" s="499">
        <v>1500000</v>
      </c>
      <c r="OSD22" s="498">
        <v>1.58</v>
      </c>
      <c r="OSE22" s="498">
        <v>1</v>
      </c>
      <c r="OSF22" s="501">
        <v>6.75</v>
      </c>
      <c r="OSG22" s="486">
        <v>5.0999999999999996</v>
      </c>
      <c r="OSH22" s="452" t="s">
        <v>2691</v>
      </c>
      <c r="OSI22" s="498" t="s">
        <v>1620</v>
      </c>
      <c r="OSJ22" s="498">
        <v>1</v>
      </c>
      <c r="OSK22" s="499">
        <v>1500000</v>
      </c>
      <c r="OSL22" s="498">
        <v>1.58</v>
      </c>
      <c r="OSM22" s="498">
        <v>1</v>
      </c>
      <c r="OSN22" s="501">
        <v>6.75</v>
      </c>
      <c r="OSO22" s="486">
        <v>5.0999999999999996</v>
      </c>
      <c r="OSP22" s="452" t="s">
        <v>2691</v>
      </c>
      <c r="OSQ22" s="498" t="s">
        <v>1620</v>
      </c>
      <c r="OSR22" s="498">
        <v>1</v>
      </c>
      <c r="OSS22" s="499">
        <v>1500000</v>
      </c>
      <c r="OST22" s="498">
        <v>1.58</v>
      </c>
      <c r="OSU22" s="498">
        <v>1</v>
      </c>
      <c r="OSV22" s="501">
        <v>6.75</v>
      </c>
      <c r="OSW22" s="486">
        <v>5.0999999999999996</v>
      </c>
      <c r="OSX22" s="452" t="s">
        <v>2691</v>
      </c>
      <c r="OSY22" s="498" t="s">
        <v>1620</v>
      </c>
      <c r="OSZ22" s="498">
        <v>1</v>
      </c>
      <c r="OTA22" s="499">
        <v>1500000</v>
      </c>
      <c r="OTB22" s="498">
        <v>1.58</v>
      </c>
      <c r="OTC22" s="498">
        <v>1</v>
      </c>
      <c r="OTD22" s="501">
        <v>6.75</v>
      </c>
      <c r="OTE22" s="486">
        <v>5.0999999999999996</v>
      </c>
      <c r="OTF22" s="452" t="s">
        <v>2691</v>
      </c>
      <c r="OTG22" s="498" t="s">
        <v>1620</v>
      </c>
      <c r="OTH22" s="498">
        <v>1</v>
      </c>
      <c r="OTI22" s="499">
        <v>1500000</v>
      </c>
      <c r="OTJ22" s="498">
        <v>1.58</v>
      </c>
      <c r="OTK22" s="498">
        <v>1</v>
      </c>
      <c r="OTL22" s="501">
        <v>6.75</v>
      </c>
      <c r="OTM22" s="486">
        <v>5.0999999999999996</v>
      </c>
      <c r="OTN22" s="452" t="s">
        <v>2691</v>
      </c>
      <c r="OTO22" s="498" t="s">
        <v>1620</v>
      </c>
      <c r="OTP22" s="498">
        <v>1</v>
      </c>
      <c r="OTQ22" s="499">
        <v>1500000</v>
      </c>
      <c r="OTR22" s="498">
        <v>1.58</v>
      </c>
      <c r="OTS22" s="498">
        <v>1</v>
      </c>
      <c r="OTT22" s="501">
        <v>6.75</v>
      </c>
      <c r="OTU22" s="486">
        <v>5.0999999999999996</v>
      </c>
      <c r="OTV22" s="452" t="s">
        <v>2691</v>
      </c>
      <c r="OTW22" s="498" t="s">
        <v>1620</v>
      </c>
      <c r="OTX22" s="498">
        <v>1</v>
      </c>
      <c r="OTY22" s="499">
        <v>1500000</v>
      </c>
      <c r="OTZ22" s="498">
        <v>1.58</v>
      </c>
      <c r="OUA22" s="498">
        <v>1</v>
      </c>
      <c r="OUB22" s="501">
        <v>6.75</v>
      </c>
      <c r="OUC22" s="486">
        <v>5.0999999999999996</v>
      </c>
      <c r="OUD22" s="452" t="s">
        <v>2691</v>
      </c>
      <c r="OUE22" s="498" t="s">
        <v>1620</v>
      </c>
      <c r="OUF22" s="498">
        <v>1</v>
      </c>
      <c r="OUG22" s="499">
        <v>1500000</v>
      </c>
      <c r="OUH22" s="498">
        <v>1.58</v>
      </c>
      <c r="OUI22" s="498">
        <v>1</v>
      </c>
      <c r="OUJ22" s="501">
        <v>6.75</v>
      </c>
      <c r="OUK22" s="486">
        <v>5.0999999999999996</v>
      </c>
      <c r="OUL22" s="452" t="s">
        <v>2691</v>
      </c>
      <c r="OUM22" s="498" t="s">
        <v>1620</v>
      </c>
      <c r="OUN22" s="498">
        <v>1</v>
      </c>
      <c r="OUO22" s="499">
        <v>1500000</v>
      </c>
      <c r="OUP22" s="498">
        <v>1.58</v>
      </c>
      <c r="OUQ22" s="498">
        <v>1</v>
      </c>
      <c r="OUR22" s="501">
        <v>6.75</v>
      </c>
      <c r="OUS22" s="486">
        <v>5.0999999999999996</v>
      </c>
      <c r="OUT22" s="452" t="s">
        <v>2691</v>
      </c>
      <c r="OUU22" s="498" t="s">
        <v>1620</v>
      </c>
      <c r="OUV22" s="498">
        <v>1</v>
      </c>
      <c r="OUW22" s="499">
        <v>1500000</v>
      </c>
      <c r="OUX22" s="498">
        <v>1.58</v>
      </c>
      <c r="OUY22" s="498">
        <v>1</v>
      </c>
      <c r="OUZ22" s="501">
        <v>6.75</v>
      </c>
      <c r="OVA22" s="486">
        <v>5.0999999999999996</v>
      </c>
      <c r="OVB22" s="452" t="s">
        <v>2691</v>
      </c>
      <c r="OVC22" s="498" t="s">
        <v>1620</v>
      </c>
      <c r="OVD22" s="498">
        <v>1</v>
      </c>
      <c r="OVE22" s="499">
        <v>1500000</v>
      </c>
      <c r="OVF22" s="498">
        <v>1.58</v>
      </c>
      <c r="OVG22" s="498">
        <v>1</v>
      </c>
      <c r="OVH22" s="501">
        <v>6.75</v>
      </c>
      <c r="OVI22" s="486">
        <v>5.0999999999999996</v>
      </c>
      <c r="OVJ22" s="452" t="s">
        <v>2691</v>
      </c>
      <c r="OVK22" s="498" t="s">
        <v>1620</v>
      </c>
      <c r="OVL22" s="498">
        <v>1</v>
      </c>
      <c r="OVM22" s="499">
        <v>1500000</v>
      </c>
      <c r="OVN22" s="498">
        <v>1.58</v>
      </c>
      <c r="OVO22" s="498">
        <v>1</v>
      </c>
      <c r="OVP22" s="501">
        <v>6.75</v>
      </c>
      <c r="OVQ22" s="486">
        <v>5.0999999999999996</v>
      </c>
      <c r="OVR22" s="452" t="s">
        <v>2691</v>
      </c>
      <c r="OVS22" s="498" t="s">
        <v>1620</v>
      </c>
      <c r="OVT22" s="498">
        <v>1</v>
      </c>
      <c r="OVU22" s="499">
        <v>1500000</v>
      </c>
      <c r="OVV22" s="498">
        <v>1.58</v>
      </c>
      <c r="OVW22" s="498">
        <v>1</v>
      </c>
      <c r="OVX22" s="501">
        <v>6.75</v>
      </c>
      <c r="OVY22" s="486">
        <v>5.0999999999999996</v>
      </c>
      <c r="OVZ22" s="452" t="s">
        <v>2691</v>
      </c>
      <c r="OWA22" s="498" t="s">
        <v>1620</v>
      </c>
      <c r="OWB22" s="498">
        <v>1</v>
      </c>
      <c r="OWC22" s="499">
        <v>1500000</v>
      </c>
      <c r="OWD22" s="498">
        <v>1.58</v>
      </c>
      <c r="OWE22" s="498">
        <v>1</v>
      </c>
      <c r="OWF22" s="501">
        <v>6.75</v>
      </c>
      <c r="OWG22" s="486">
        <v>5.0999999999999996</v>
      </c>
      <c r="OWH22" s="452" t="s">
        <v>2691</v>
      </c>
      <c r="OWI22" s="498" t="s">
        <v>1620</v>
      </c>
      <c r="OWJ22" s="498">
        <v>1</v>
      </c>
      <c r="OWK22" s="499">
        <v>1500000</v>
      </c>
      <c r="OWL22" s="498">
        <v>1.58</v>
      </c>
      <c r="OWM22" s="498">
        <v>1</v>
      </c>
      <c r="OWN22" s="501">
        <v>6.75</v>
      </c>
      <c r="OWO22" s="486">
        <v>5.0999999999999996</v>
      </c>
      <c r="OWP22" s="452" t="s">
        <v>2691</v>
      </c>
      <c r="OWQ22" s="498" t="s">
        <v>1620</v>
      </c>
      <c r="OWR22" s="498">
        <v>1</v>
      </c>
      <c r="OWS22" s="499">
        <v>1500000</v>
      </c>
      <c r="OWT22" s="498">
        <v>1.58</v>
      </c>
      <c r="OWU22" s="498">
        <v>1</v>
      </c>
      <c r="OWV22" s="501">
        <v>6.75</v>
      </c>
      <c r="OWW22" s="486">
        <v>5.0999999999999996</v>
      </c>
      <c r="OWX22" s="452" t="s">
        <v>2691</v>
      </c>
      <c r="OWY22" s="498" t="s">
        <v>1620</v>
      </c>
      <c r="OWZ22" s="498">
        <v>1</v>
      </c>
      <c r="OXA22" s="499">
        <v>1500000</v>
      </c>
      <c r="OXB22" s="498">
        <v>1.58</v>
      </c>
      <c r="OXC22" s="498">
        <v>1</v>
      </c>
      <c r="OXD22" s="501">
        <v>6.75</v>
      </c>
      <c r="OXE22" s="486">
        <v>5.0999999999999996</v>
      </c>
      <c r="OXF22" s="452" t="s">
        <v>2691</v>
      </c>
      <c r="OXG22" s="498" t="s">
        <v>1620</v>
      </c>
      <c r="OXH22" s="498">
        <v>1</v>
      </c>
      <c r="OXI22" s="499">
        <v>1500000</v>
      </c>
      <c r="OXJ22" s="498">
        <v>1.58</v>
      </c>
      <c r="OXK22" s="498">
        <v>1</v>
      </c>
      <c r="OXL22" s="501">
        <v>6.75</v>
      </c>
      <c r="OXM22" s="486">
        <v>5.0999999999999996</v>
      </c>
      <c r="OXN22" s="452" t="s">
        <v>2691</v>
      </c>
      <c r="OXO22" s="498" t="s">
        <v>1620</v>
      </c>
      <c r="OXP22" s="498">
        <v>1</v>
      </c>
      <c r="OXQ22" s="499">
        <v>1500000</v>
      </c>
      <c r="OXR22" s="498">
        <v>1.58</v>
      </c>
      <c r="OXS22" s="498">
        <v>1</v>
      </c>
      <c r="OXT22" s="501">
        <v>6.75</v>
      </c>
      <c r="OXU22" s="486">
        <v>5.0999999999999996</v>
      </c>
      <c r="OXV22" s="452" t="s">
        <v>2691</v>
      </c>
      <c r="OXW22" s="498" t="s">
        <v>1620</v>
      </c>
      <c r="OXX22" s="498">
        <v>1</v>
      </c>
      <c r="OXY22" s="499">
        <v>1500000</v>
      </c>
      <c r="OXZ22" s="498">
        <v>1.58</v>
      </c>
      <c r="OYA22" s="498">
        <v>1</v>
      </c>
      <c r="OYB22" s="501">
        <v>6.75</v>
      </c>
      <c r="OYC22" s="486">
        <v>5.0999999999999996</v>
      </c>
      <c r="OYD22" s="452" t="s">
        <v>2691</v>
      </c>
      <c r="OYE22" s="498" t="s">
        <v>1620</v>
      </c>
      <c r="OYF22" s="498">
        <v>1</v>
      </c>
      <c r="OYG22" s="499">
        <v>1500000</v>
      </c>
      <c r="OYH22" s="498">
        <v>1.58</v>
      </c>
      <c r="OYI22" s="498">
        <v>1</v>
      </c>
      <c r="OYJ22" s="501">
        <v>6.75</v>
      </c>
      <c r="OYK22" s="486">
        <v>5.0999999999999996</v>
      </c>
      <c r="OYL22" s="452" t="s">
        <v>2691</v>
      </c>
      <c r="OYM22" s="498" t="s">
        <v>1620</v>
      </c>
      <c r="OYN22" s="498">
        <v>1</v>
      </c>
      <c r="OYO22" s="499">
        <v>1500000</v>
      </c>
      <c r="OYP22" s="498">
        <v>1.58</v>
      </c>
      <c r="OYQ22" s="498">
        <v>1</v>
      </c>
      <c r="OYR22" s="501">
        <v>6.75</v>
      </c>
      <c r="OYS22" s="486">
        <v>5.0999999999999996</v>
      </c>
      <c r="OYT22" s="452" t="s">
        <v>2691</v>
      </c>
      <c r="OYU22" s="498" t="s">
        <v>1620</v>
      </c>
      <c r="OYV22" s="498">
        <v>1</v>
      </c>
      <c r="OYW22" s="499">
        <v>1500000</v>
      </c>
      <c r="OYX22" s="498">
        <v>1.58</v>
      </c>
      <c r="OYY22" s="498">
        <v>1</v>
      </c>
      <c r="OYZ22" s="501">
        <v>6.75</v>
      </c>
      <c r="OZA22" s="486">
        <v>5.0999999999999996</v>
      </c>
      <c r="OZB22" s="452" t="s">
        <v>2691</v>
      </c>
      <c r="OZC22" s="498" t="s">
        <v>1620</v>
      </c>
      <c r="OZD22" s="498">
        <v>1</v>
      </c>
      <c r="OZE22" s="499">
        <v>1500000</v>
      </c>
      <c r="OZF22" s="498">
        <v>1.58</v>
      </c>
      <c r="OZG22" s="498">
        <v>1</v>
      </c>
      <c r="OZH22" s="501">
        <v>6.75</v>
      </c>
      <c r="OZI22" s="486">
        <v>5.0999999999999996</v>
      </c>
      <c r="OZJ22" s="452" t="s">
        <v>2691</v>
      </c>
      <c r="OZK22" s="498" t="s">
        <v>1620</v>
      </c>
      <c r="OZL22" s="498">
        <v>1</v>
      </c>
      <c r="OZM22" s="499">
        <v>1500000</v>
      </c>
      <c r="OZN22" s="498">
        <v>1.58</v>
      </c>
      <c r="OZO22" s="498">
        <v>1</v>
      </c>
      <c r="OZP22" s="501">
        <v>6.75</v>
      </c>
      <c r="OZQ22" s="486">
        <v>5.0999999999999996</v>
      </c>
      <c r="OZR22" s="452" t="s">
        <v>2691</v>
      </c>
      <c r="OZS22" s="498" t="s">
        <v>1620</v>
      </c>
      <c r="OZT22" s="498">
        <v>1</v>
      </c>
      <c r="OZU22" s="499">
        <v>1500000</v>
      </c>
      <c r="OZV22" s="498">
        <v>1.58</v>
      </c>
      <c r="OZW22" s="498">
        <v>1</v>
      </c>
      <c r="OZX22" s="501">
        <v>6.75</v>
      </c>
      <c r="OZY22" s="486">
        <v>5.0999999999999996</v>
      </c>
      <c r="OZZ22" s="452" t="s">
        <v>2691</v>
      </c>
      <c r="PAA22" s="498" t="s">
        <v>1620</v>
      </c>
      <c r="PAB22" s="498">
        <v>1</v>
      </c>
      <c r="PAC22" s="499">
        <v>1500000</v>
      </c>
      <c r="PAD22" s="498">
        <v>1.58</v>
      </c>
      <c r="PAE22" s="498">
        <v>1</v>
      </c>
      <c r="PAF22" s="501">
        <v>6.75</v>
      </c>
      <c r="PAG22" s="486">
        <v>5.0999999999999996</v>
      </c>
      <c r="PAH22" s="452" t="s">
        <v>2691</v>
      </c>
      <c r="PAI22" s="498" t="s">
        <v>1620</v>
      </c>
      <c r="PAJ22" s="498">
        <v>1</v>
      </c>
      <c r="PAK22" s="499">
        <v>1500000</v>
      </c>
      <c r="PAL22" s="498">
        <v>1.58</v>
      </c>
      <c r="PAM22" s="498">
        <v>1</v>
      </c>
      <c r="PAN22" s="501">
        <v>6.75</v>
      </c>
      <c r="PAO22" s="486">
        <v>5.0999999999999996</v>
      </c>
      <c r="PAP22" s="452" t="s">
        <v>2691</v>
      </c>
      <c r="PAQ22" s="498" t="s">
        <v>1620</v>
      </c>
      <c r="PAR22" s="498">
        <v>1</v>
      </c>
      <c r="PAS22" s="499">
        <v>1500000</v>
      </c>
      <c r="PAT22" s="498">
        <v>1.58</v>
      </c>
      <c r="PAU22" s="498">
        <v>1</v>
      </c>
      <c r="PAV22" s="501">
        <v>6.75</v>
      </c>
      <c r="PAW22" s="486">
        <v>5.0999999999999996</v>
      </c>
      <c r="PAX22" s="452" t="s">
        <v>2691</v>
      </c>
      <c r="PAY22" s="498" t="s">
        <v>1620</v>
      </c>
      <c r="PAZ22" s="498">
        <v>1</v>
      </c>
      <c r="PBA22" s="499">
        <v>1500000</v>
      </c>
      <c r="PBB22" s="498">
        <v>1.58</v>
      </c>
      <c r="PBC22" s="498">
        <v>1</v>
      </c>
      <c r="PBD22" s="501">
        <v>6.75</v>
      </c>
      <c r="PBE22" s="486">
        <v>5.0999999999999996</v>
      </c>
      <c r="PBF22" s="452" t="s">
        <v>2691</v>
      </c>
      <c r="PBG22" s="498" t="s">
        <v>1620</v>
      </c>
      <c r="PBH22" s="498">
        <v>1</v>
      </c>
      <c r="PBI22" s="499">
        <v>1500000</v>
      </c>
      <c r="PBJ22" s="498">
        <v>1.58</v>
      </c>
      <c r="PBK22" s="498">
        <v>1</v>
      </c>
      <c r="PBL22" s="501">
        <v>6.75</v>
      </c>
      <c r="PBM22" s="486">
        <v>5.0999999999999996</v>
      </c>
      <c r="PBN22" s="452" t="s">
        <v>2691</v>
      </c>
      <c r="PBO22" s="498" t="s">
        <v>1620</v>
      </c>
      <c r="PBP22" s="498">
        <v>1</v>
      </c>
      <c r="PBQ22" s="499">
        <v>1500000</v>
      </c>
      <c r="PBR22" s="498">
        <v>1.58</v>
      </c>
      <c r="PBS22" s="498">
        <v>1</v>
      </c>
      <c r="PBT22" s="501">
        <v>6.75</v>
      </c>
      <c r="PBU22" s="486">
        <v>5.0999999999999996</v>
      </c>
      <c r="PBV22" s="452" t="s">
        <v>2691</v>
      </c>
      <c r="PBW22" s="498" t="s">
        <v>1620</v>
      </c>
      <c r="PBX22" s="498">
        <v>1</v>
      </c>
      <c r="PBY22" s="499">
        <v>1500000</v>
      </c>
      <c r="PBZ22" s="498">
        <v>1.58</v>
      </c>
      <c r="PCA22" s="498">
        <v>1</v>
      </c>
      <c r="PCB22" s="501">
        <v>6.75</v>
      </c>
      <c r="PCC22" s="486">
        <v>5.0999999999999996</v>
      </c>
      <c r="PCD22" s="452" t="s">
        <v>2691</v>
      </c>
      <c r="PCE22" s="498" t="s">
        <v>1620</v>
      </c>
      <c r="PCF22" s="498">
        <v>1</v>
      </c>
      <c r="PCG22" s="499">
        <v>1500000</v>
      </c>
      <c r="PCH22" s="498">
        <v>1.58</v>
      </c>
      <c r="PCI22" s="498">
        <v>1</v>
      </c>
      <c r="PCJ22" s="501">
        <v>6.75</v>
      </c>
      <c r="PCK22" s="486">
        <v>5.0999999999999996</v>
      </c>
      <c r="PCL22" s="452" t="s">
        <v>2691</v>
      </c>
      <c r="PCM22" s="498" t="s">
        <v>1620</v>
      </c>
      <c r="PCN22" s="498">
        <v>1</v>
      </c>
      <c r="PCO22" s="499">
        <v>1500000</v>
      </c>
      <c r="PCP22" s="498">
        <v>1.58</v>
      </c>
      <c r="PCQ22" s="498">
        <v>1</v>
      </c>
      <c r="PCR22" s="501">
        <v>6.75</v>
      </c>
      <c r="PCS22" s="486">
        <v>5.0999999999999996</v>
      </c>
      <c r="PCT22" s="452" t="s">
        <v>2691</v>
      </c>
      <c r="PCU22" s="498" t="s">
        <v>1620</v>
      </c>
      <c r="PCV22" s="498">
        <v>1</v>
      </c>
      <c r="PCW22" s="499">
        <v>1500000</v>
      </c>
      <c r="PCX22" s="498">
        <v>1.58</v>
      </c>
      <c r="PCY22" s="498">
        <v>1</v>
      </c>
      <c r="PCZ22" s="501">
        <v>6.75</v>
      </c>
      <c r="PDA22" s="486">
        <v>5.0999999999999996</v>
      </c>
      <c r="PDB22" s="452" t="s">
        <v>2691</v>
      </c>
      <c r="PDC22" s="498" t="s">
        <v>1620</v>
      </c>
      <c r="PDD22" s="498">
        <v>1</v>
      </c>
      <c r="PDE22" s="499">
        <v>1500000</v>
      </c>
      <c r="PDF22" s="498">
        <v>1.58</v>
      </c>
      <c r="PDG22" s="498">
        <v>1</v>
      </c>
      <c r="PDH22" s="501">
        <v>6.75</v>
      </c>
      <c r="PDI22" s="486">
        <v>5.0999999999999996</v>
      </c>
      <c r="PDJ22" s="452" t="s">
        <v>2691</v>
      </c>
      <c r="PDK22" s="498" t="s">
        <v>1620</v>
      </c>
      <c r="PDL22" s="498">
        <v>1</v>
      </c>
      <c r="PDM22" s="499">
        <v>1500000</v>
      </c>
      <c r="PDN22" s="498">
        <v>1.58</v>
      </c>
      <c r="PDO22" s="498">
        <v>1</v>
      </c>
      <c r="PDP22" s="501">
        <v>6.75</v>
      </c>
      <c r="PDQ22" s="486">
        <v>5.0999999999999996</v>
      </c>
      <c r="PDR22" s="452" t="s">
        <v>2691</v>
      </c>
      <c r="PDS22" s="498" t="s">
        <v>1620</v>
      </c>
      <c r="PDT22" s="498">
        <v>1</v>
      </c>
      <c r="PDU22" s="499">
        <v>1500000</v>
      </c>
      <c r="PDV22" s="498">
        <v>1.58</v>
      </c>
      <c r="PDW22" s="498">
        <v>1</v>
      </c>
      <c r="PDX22" s="501">
        <v>6.75</v>
      </c>
      <c r="PDY22" s="486">
        <v>5.0999999999999996</v>
      </c>
      <c r="PDZ22" s="452" t="s">
        <v>2691</v>
      </c>
      <c r="PEA22" s="498" t="s">
        <v>1620</v>
      </c>
      <c r="PEB22" s="498">
        <v>1</v>
      </c>
      <c r="PEC22" s="499">
        <v>1500000</v>
      </c>
      <c r="PED22" s="498">
        <v>1.58</v>
      </c>
      <c r="PEE22" s="498">
        <v>1</v>
      </c>
      <c r="PEF22" s="501">
        <v>6.75</v>
      </c>
      <c r="PEG22" s="486">
        <v>5.0999999999999996</v>
      </c>
      <c r="PEH22" s="452" t="s">
        <v>2691</v>
      </c>
      <c r="PEI22" s="498" t="s">
        <v>1620</v>
      </c>
      <c r="PEJ22" s="498">
        <v>1</v>
      </c>
      <c r="PEK22" s="499">
        <v>1500000</v>
      </c>
      <c r="PEL22" s="498">
        <v>1.58</v>
      </c>
      <c r="PEM22" s="498">
        <v>1</v>
      </c>
      <c r="PEN22" s="501">
        <v>6.75</v>
      </c>
      <c r="PEO22" s="486">
        <v>5.0999999999999996</v>
      </c>
      <c r="PEP22" s="452" t="s">
        <v>2691</v>
      </c>
      <c r="PEQ22" s="498" t="s">
        <v>1620</v>
      </c>
      <c r="PER22" s="498">
        <v>1</v>
      </c>
      <c r="PES22" s="499">
        <v>1500000</v>
      </c>
      <c r="PET22" s="498">
        <v>1.58</v>
      </c>
      <c r="PEU22" s="498">
        <v>1</v>
      </c>
      <c r="PEV22" s="501">
        <v>6.75</v>
      </c>
      <c r="PEW22" s="486">
        <v>5.0999999999999996</v>
      </c>
      <c r="PEX22" s="452" t="s">
        <v>2691</v>
      </c>
      <c r="PEY22" s="498" t="s">
        <v>1620</v>
      </c>
      <c r="PEZ22" s="498">
        <v>1</v>
      </c>
      <c r="PFA22" s="499">
        <v>1500000</v>
      </c>
      <c r="PFB22" s="498">
        <v>1.58</v>
      </c>
      <c r="PFC22" s="498">
        <v>1</v>
      </c>
      <c r="PFD22" s="501">
        <v>6.75</v>
      </c>
      <c r="PFE22" s="486">
        <v>5.0999999999999996</v>
      </c>
      <c r="PFF22" s="452" t="s">
        <v>2691</v>
      </c>
      <c r="PFG22" s="498" t="s">
        <v>1620</v>
      </c>
      <c r="PFH22" s="498">
        <v>1</v>
      </c>
      <c r="PFI22" s="499">
        <v>1500000</v>
      </c>
      <c r="PFJ22" s="498">
        <v>1.58</v>
      </c>
      <c r="PFK22" s="498">
        <v>1</v>
      </c>
      <c r="PFL22" s="501">
        <v>6.75</v>
      </c>
      <c r="PFM22" s="486">
        <v>5.0999999999999996</v>
      </c>
      <c r="PFN22" s="452" t="s">
        <v>2691</v>
      </c>
      <c r="PFO22" s="498" t="s">
        <v>1620</v>
      </c>
      <c r="PFP22" s="498">
        <v>1</v>
      </c>
      <c r="PFQ22" s="499">
        <v>1500000</v>
      </c>
      <c r="PFR22" s="498">
        <v>1.58</v>
      </c>
      <c r="PFS22" s="498">
        <v>1</v>
      </c>
      <c r="PFT22" s="501">
        <v>6.75</v>
      </c>
      <c r="PFU22" s="486">
        <v>5.0999999999999996</v>
      </c>
      <c r="PFV22" s="452" t="s">
        <v>2691</v>
      </c>
      <c r="PFW22" s="498" t="s">
        <v>1620</v>
      </c>
      <c r="PFX22" s="498">
        <v>1</v>
      </c>
      <c r="PFY22" s="499">
        <v>1500000</v>
      </c>
      <c r="PFZ22" s="498">
        <v>1.58</v>
      </c>
      <c r="PGA22" s="498">
        <v>1</v>
      </c>
      <c r="PGB22" s="501">
        <v>6.75</v>
      </c>
      <c r="PGC22" s="486">
        <v>5.0999999999999996</v>
      </c>
      <c r="PGD22" s="452" t="s">
        <v>2691</v>
      </c>
      <c r="PGE22" s="498" t="s">
        <v>1620</v>
      </c>
      <c r="PGF22" s="498">
        <v>1</v>
      </c>
      <c r="PGG22" s="499">
        <v>1500000</v>
      </c>
      <c r="PGH22" s="498">
        <v>1.58</v>
      </c>
      <c r="PGI22" s="498">
        <v>1</v>
      </c>
      <c r="PGJ22" s="501">
        <v>6.75</v>
      </c>
      <c r="PGK22" s="486">
        <v>5.0999999999999996</v>
      </c>
      <c r="PGL22" s="452" t="s">
        <v>2691</v>
      </c>
      <c r="PGM22" s="498" t="s">
        <v>1620</v>
      </c>
      <c r="PGN22" s="498">
        <v>1</v>
      </c>
      <c r="PGO22" s="499">
        <v>1500000</v>
      </c>
      <c r="PGP22" s="498">
        <v>1.58</v>
      </c>
      <c r="PGQ22" s="498">
        <v>1</v>
      </c>
      <c r="PGR22" s="501">
        <v>6.75</v>
      </c>
      <c r="PGS22" s="486">
        <v>5.0999999999999996</v>
      </c>
      <c r="PGT22" s="452" t="s">
        <v>2691</v>
      </c>
      <c r="PGU22" s="498" t="s">
        <v>1620</v>
      </c>
      <c r="PGV22" s="498">
        <v>1</v>
      </c>
      <c r="PGW22" s="499">
        <v>1500000</v>
      </c>
      <c r="PGX22" s="498">
        <v>1.58</v>
      </c>
      <c r="PGY22" s="498">
        <v>1</v>
      </c>
      <c r="PGZ22" s="501">
        <v>6.75</v>
      </c>
      <c r="PHA22" s="486">
        <v>5.0999999999999996</v>
      </c>
      <c r="PHB22" s="452" t="s">
        <v>2691</v>
      </c>
      <c r="PHC22" s="498" t="s">
        <v>1620</v>
      </c>
      <c r="PHD22" s="498">
        <v>1</v>
      </c>
      <c r="PHE22" s="499">
        <v>1500000</v>
      </c>
      <c r="PHF22" s="498">
        <v>1.58</v>
      </c>
      <c r="PHG22" s="498">
        <v>1</v>
      </c>
      <c r="PHH22" s="501">
        <v>6.75</v>
      </c>
      <c r="PHI22" s="486">
        <v>5.0999999999999996</v>
      </c>
      <c r="PHJ22" s="452" t="s">
        <v>2691</v>
      </c>
      <c r="PHK22" s="498" t="s">
        <v>1620</v>
      </c>
      <c r="PHL22" s="498">
        <v>1</v>
      </c>
      <c r="PHM22" s="499">
        <v>1500000</v>
      </c>
      <c r="PHN22" s="498">
        <v>1.58</v>
      </c>
      <c r="PHO22" s="498">
        <v>1</v>
      </c>
      <c r="PHP22" s="501">
        <v>6.75</v>
      </c>
      <c r="PHQ22" s="486">
        <v>5.0999999999999996</v>
      </c>
      <c r="PHR22" s="452" t="s">
        <v>2691</v>
      </c>
      <c r="PHS22" s="498" t="s">
        <v>1620</v>
      </c>
      <c r="PHT22" s="498">
        <v>1</v>
      </c>
      <c r="PHU22" s="499">
        <v>1500000</v>
      </c>
      <c r="PHV22" s="498">
        <v>1.58</v>
      </c>
      <c r="PHW22" s="498">
        <v>1</v>
      </c>
      <c r="PHX22" s="501">
        <v>6.75</v>
      </c>
      <c r="PHY22" s="486">
        <v>5.0999999999999996</v>
      </c>
      <c r="PHZ22" s="452" t="s">
        <v>2691</v>
      </c>
      <c r="PIA22" s="498" t="s">
        <v>1620</v>
      </c>
      <c r="PIB22" s="498">
        <v>1</v>
      </c>
      <c r="PIC22" s="499">
        <v>1500000</v>
      </c>
      <c r="PID22" s="498">
        <v>1.58</v>
      </c>
      <c r="PIE22" s="498">
        <v>1</v>
      </c>
      <c r="PIF22" s="501">
        <v>6.75</v>
      </c>
      <c r="PIG22" s="486">
        <v>5.0999999999999996</v>
      </c>
      <c r="PIH22" s="452" t="s">
        <v>2691</v>
      </c>
      <c r="PII22" s="498" t="s">
        <v>1620</v>
      </c>
      <c r="PIJ22" s="498">
        <v>1</v>
      </c>
      <c r="PIK22" s="499">
        <v>1500000</v>
      </c>
      <c r="PIL22" s="498">
        <v>1.58</v>
      </c>
      <c r="PIM22" s="498">
        <v>1</v>
      </c>
      <c r="PIN22" s="501">
        <v>6.75</v>
      </c>
      <c r="PIO22" s="486">
        <v>5.0999999999999996</v>
      </c>
      <c r="PIP22" s="452" t="s">
        <v>2691</v>
      </c>
      <c r="PIQ22" s="498" t="s">
        <v>1620</v>
      </c>
      <c r="PIR22" s="498">
        <v>1</v>
      </c>
      <c r="PIS22" s="499">
        <v>1500000</v>
      </c>
      <c r="PIT22" s="498">
        <v>1.58</v>
      </c>
      <c r="PIU22" s="498">
        <v>1</v>
      </c>
      <c r="PIV22" s="501">
        <v>6.75</v>
      </c>
      <c r="PIW22" s="486">
        <v>5.0999999999999996</v>
      </c>
      <c r="PIX22" s="452" t="s">
        <v>2691</v>
      </c>
      <c r="PIY22" s="498" t="s">
        <v>1620</v>
      </c>
      <c r="PIZ22" s="498">
        <v>1</v>
      </c>
      <c r="PJA22" s="499">
        <v>1500000</v>
      </c>
      <c r="PJB22" s="498">
        <v>1.58</v>
      </c>
      <c r="PJC22" s="498">
        <v>1</v>
      </c>
      <c r="PJD22" s="501">
        <v>6.75</v>
      </c>
      <c r="PJE22" s="486">
        <v>5.0999999999999996</v>
      </c>
      <c r="PJF22" s="452" t="s">
        <v>2691</v>
      </c>
      <c r="PJG22" s="498" t="s">
        <v>1620</v>
      </c>
      <c r="PJH22" s="498">
        <v>1</v>
      </c>
      <c r="PJI22" s="499">
        <v>1500000</v>
      </c>
      <c r="PJJ22" s="498">
        <v>1.58</v>
      </c>
      <c r="PJK22" s="498">
        <v>1</v>
      </c>
      <c r="PJL22" s="501">
        <v>6.75</v>
      </c>
      <c r="PJM22" s="486">
        <v>5.0999999999999996</v>
      </c>
      <c r="PJN22" s="452" t="s">
        <v>2691</v>
      </c>
      <c r="PJO22" s="498" t="s">
        <v>1620</v>
      </c>
      <c r="PJP22" s="498">
        <v>1</v>
      </c>
      <c r="PJQ22" s="499">
        <v>1500000</v>
      </c>
      <c r="PJR22" s="498">
        <v>1.58</v>
      </c>
      <c r="PJS22" s="498">
        <v>1</v>
      </c>
      <c r="PJT22" s="501">
        <v>6.75</v>
      </c>
      <c r="PJU22" s="486">
        <v>5.0999999999999996</v>
      </c>
      <c r="PJV22" s="452" t="s">
        <v>2691</v>
      </c>
      <c r="PJW22" s="498" t="s">
        <v>1620</v>
      </c>
      <c r="PJX22" s="498">
        <v>1</v>
      </c>
      <c r="PJY22" s="499">
        <v>1500000</v>
      </c>
      <c r="PJZ22" s="498">
        <v>1.58</v>
      </c>
      <c r="PKA22" s="498">
        <v>1</v>
      </c>
      <c r="PKB22" s="501">
        <v>6.75</v>
      </c>
      <c r="PKC22" s="486">
        <v>5.0999999999999996</v>
      </c>
      <c r="PKD22" s="452" t="s">
        <v>2691</v>
      </c>
      <c r="PKE22" s="498" t="s">
        <v>1620</v>
      </c>
      <c r="PKF22" s="498">
        <v>1</v>
      </c>
      <c r="PKG22" s="499">
        <v>1500000</v>
      </c>
      <c r="PKH22" s="498">
        <v>1.58</v>
      </c>
      <c r="PKI22" s="498">
        <v>1</v>
      </c>
      <c r="PKJ22" s="501">
        <v>6.75</v>
      </c>
      <c r="PKK22" s="486">
        <v>5.0999999999999996</v>
      </c>
      <c r="PKL22" s="452" t="s">
        <v>2691</v>
      </c>
      <c r="PKM22" s="498" t="s">
        <v>1620</v>
      </c>
      <c r="PKN22" s="498">
        <v>1</v>
      </c>
      <c r="PKO22" s="499">
        <v>1500000</v>
      </c>
      <c r="PKP22" s="498">
        <v>1.58</v>
      </c>
      <c r="PKQ22" s="498">
        <v>1</v>
      </c>
      <c r="PKR22" s="501">
        <v>6.75</v>
      </c>
      <c r="PKS22" s="486">
        <v>5.0999999999999996</v>
      </c>
      <c r="PKT22" s="452" t="s">
        <v>2691</v>
      </c>
      <c r="PKU22" s="498" t="s">
        <v>1620</v>
      </c>
      <c r="PKV22" s="498">
        <v>1</v>
      </c>
      <c r="PKW22" s="499">
        <v>1500000</v>
      </c>
      <c r="PKX22" s="498">
        <v>1.58</v>
      </c>
      <c r="PKY22" s="498">
        <v>1</v>
      </c>
      <c r="PKZ22" s="501">
        <v>6.75</v>
      </c>
      <c r="PLA22" s="486">
        <v>5.0999999999999996</v>
      </c>
      <c r="PLB22" s="452" t="s">
        <v>2691</v>
      </c>
      <c r="PLC22" s="498" t="s">
        <v>1620</v>
      </c>
      <c r="PLD22" s="498">
        <v>1</v>
      </c>
      <c r="PLE22" s="499">
        <v>1500000</v>
      </c>
      <c r="PLF22" s="498">
        <v>1.58</v>
      </c>
      <c r="PLG22" s="498">
        <v>1</v>
      </c>
      <c r="PLH22" s="501">
        <v>6.75</v>
      </c>
      <c r="PLI22" s="486">
        <v>5.0999999999999996</v>
      </c>
      <c r="PLJ22" s="452" t="s">
        <v>2691</v>
      </c>
      <c r="PLK22" s="498" t="s">
        <v>1620</v>
      </c>
      <c r="PLL22" s="498">
        <v>1</v>
      </c>
      <c r="PLM22" s="499">
        <v>1500000</v>
      </c>
      <c r="PLN22" s="498">
        <v>1.58</v>
      </c>
      <c r="PLO22" s="498">
        <v>1</v>
      </c>
      <c r="PLP22" s="501">
        <v>6.75</v>
      </c>
      <c r="PLQ22" s="486">
        <v>5.0999999999999996</v>
      </c>
      <c r="PLR22" s="452" t="s">
        <v>2691</v>
      </c>
      <c r="PLS22" s="498" t="s">
        <v>1620</v>
      </c>
      <c r="PLT22" s="498">
        <v>1</v>
      </c>
      <c r="PLU22" s="499">
        <v>1500000</v>
      </c>
      <c r="PLV22" s="498">
        <v>1.58</v>
      </c>
      <c r="PLW22" s="498">
        <v>1</v>
      </c>
      <c r="PLX22" s="501">
        <v>6.75</v>
      </c>
      <c r="PLY22" s="486">
        <v>5.0999999999999996</v>
      </c>
      <c r="PLZ22" s="452" t="s">
        <v>2691</v>
      </c>
      <c r="PMA22" s="498" t="s">
        <v>1620</v>
      </c>
      <c r="PMB22" s="498">
        <v>1</v>
      </c>
      <c r="PMC22" s="499">
        <v>1500000</v>
      </c>
      <c r="PMD22" s="498">
        <v>1.58</v>
      </c>
      <c r="PME22" s="498">
        <v>1</v>
      </c>
      <c r="PMF22" s="501">
        <v>6.75</v>
      </c>
      <c r="PMG22" s="486">
        <v>5.0999999999999996</v>
      </c>
      <c r="PMH22" s="452" t="s">
        <v>2691</v>
      </c>
      <c r="PMI22" s="498" t="s">
        <v>1620</v>
      </c>
      <c r="PMJ22" s="498">
        <v>1</v>
      </c>
      <c r="PMK22" s="499">
        <v>1500000</v>
      </c>
      <c r="PML22" s="498">
        <v>1.58</v>
      </c>
      <c r="PMM22" s="498">
        <v>1</v>
      </c>
      <c r="PMN22" s="501">
        <v>6.75</v>
      </c>
      <c r="PMO22" s="486">
        <v>5.0999999999999996</v>
      </c>
      <c r="PMP22" s="452" t="s">
        <v>2691</v>
      </c>
      <c r="PMQ22" s="498" t="s">
        <v>1620</v>
      </c>
      <c r="PMR22" s="498">
        <v>1</v>
      </c>
      <c r="PMS22" s="499">
        <v>1500000</v>
      </c>
      <c r="PMT22" s="498">
        <v>1.58</v>
      </c>
      <c r="PMU22" s="498">
        <v>1</v>
      </c>
      <c r="PMV22" s="501">
        <v>6.75</v>
      </c>
      <c r="PMW22" s="486">
        <v>5.0999999999999996</v>
      </c>
      <c r="PMX22" s="452" t="s">
        <v>2691</v>
      </c>
      <c r="PMY22" s="498" t="s">
        <v>1620</v>
      </c>
      <c r="PMZ22" s="498">
        <v>1</v>
      </c>
      <c r="PNA22" s="499">
        <v>1500000</v>
      </c>
      <c r="PNB22" s="498">
        <v>1.58</v>
      </c>
      <c r="PNC22" s="498">
        <v>1</v>
      </c>
      <c r="PND22" s="501">
        <v>6.75</v>
      </c>
      <c r="PNE22" s="486">
        <v>5.0999999999999996</v>
      </c>
      <c r="PNF22" s="452" t="s">
        <v>2691</v>
      </c>
      <c r="PNG22" s="498" t="s">
        <v>1620</v>
      </c>
      <c r="PNH22" s="498">
        <v>1</v>
      </c>
      <c r="PNI22" s="499">
        <v>1500000</v>
      </c>
      <c r="PNJ22" s="498">
        <v>1.58</v>
      </c>
      <c r="PNK22" s="498">
        <v>1</v>
      </c>
      <c r="PNL22" s="501">
        <v>6.75</v>
      </c>
      <c r="PNM22" s="486">
        <v>5.0999999999999996</v>
      </c>
      <c r="PNN22" s="452" t="s">
        <v>2691</v>
      </c>
      <c r="PNO22" s="498" t="s">
        <v>1620</v>
      </c>
      <c r="PNP22" s="498">
        <v>1</v>
      </c>
      <c r="PNQ22" s="499">
        <v>1500000</v>
      </c>
      <c r="PNR22" s="498">
        <v>1.58</v>
      </c>
      <c r="PNS22" s="498">
        <v>1</v>
      </c>
      <c r="PNT22" s="501">
        <v>6.75</v>
      </c>
      <c r="PNU22" s="486">
        <v>5.0999999999999996</v>
      </c>
      <c r="PNV22" s="452" t="s">
        <v>2691</v>
      </c>
      <c r="PNW22" s="498" t="s">
        <v>1620</v>
      </c>
      <c r="PNX22" s="498">
        <v>1</v>
      </c>
      <c r="PNY22" s="499">
        <v>1500000</v>
      </c>
      <c r="PNZ22" s="498">
        <v>1.58</v>
      </c>
      <c r="POA22" s="498">
        <v>1</v>
      </c>
      <c r="POB22" s="501">
        <v>6.75</v>
      </c>
      <c r="POC22" s="486">
        <v>5.0999999999999996</v>
      </c>
      <c r="POD22" s="452" t="s">
        <v>2691</v>
      </c>
      <c r="POE22" s="498" t="s">
        <v>1620</v>
      </c>
      <c r="POF22" s="498">
        <v>1</v>
      </c>
      <c r="POG22" s="499">
        <v>1500000</v>
      </c>
      <c r="POH22" s="498">
        <v>1.58</v>
      </c>
      <c r="POI22" s="498">
        <v>1</v>
      </c>
      <c r="POJ22" s="501">
        <v>6.75</v>
      </c>
      <c r="POK22" s="486">
        <v>5.0999999999999996</v>
      </c>
      <c r="POL22" s="452" t="s">
        <v>2691</v>
      </c>
      <c r="POM22" s="498" t="s">
        <v>1620</v>
      </c>
      <c r="PON22" s="498">
        <v>1</v>
      </c>
      <c r="POO22" s="499">
        <v>1500000</v>
      </c>
      <c r="POP22" s="498">
        <v>1.58</v>
      </c>
      <c r="POQ22" s="498">
        <v>1</v>
      </c>
      <c r="POR22" s="501">
        <v>6.75</v>
      </c>
      <c r="POS22" s="486">
        <v>5.0999999999999996</v>
      </c>
      <c r="POT22" s="452" t="s">
        <v>2691</v>
      </c>
      <c r="POU22" s="498" t="s">
        <v>1620</v>
      </c>
      <c r="POV22" s="498">
        <v>1</v>
      </c>
      <c r="POW22" s="499">
        <v>1500000</v>
      </c>
      <c r="POX22" s="498">
        <v>1.58</v>
      </c>
      <c r="POY22" s="498">
        <v>1</v>
      </c>
      <c r="POZ22" s="501">
        <v>6.75</v>
      </c>
      <c r="PPA22" s="486">
        <v>5.0999999999999996</v>
      </c>
      <c r="PPB22" s="452" t="s">
        <v>2691</v>
      </c>
      <c r="PPC22" s="498" t="s">
        <v>1620</v>
      </c>
      <c r="PPD22" s="498">
        <v>1</v>
      </c>
      <c r="PPE22" s="499">
        <v>1500000</v>
      </c>
      <c r="PPF22" s="498">
        <v>1.58</v>
      </c>
      <c r="PPG22" s="498">
        <v>1</v>
      </c>
      <c r="PPH22" s="501">
        <v>6.75</v>
      </c>
      <c r="PPI22" s="486">
        <v>5.0999999999999996</v>
      </c>
      <c r="PPJ22" s="452" t="s">
        <v>2691</v>
      </c>
      <c r="PPK22" s="498" t="s">
        <v>1620</v>
      </c>
      <c r="PPL22" s="498">
        <v>1</v>
      </c>
      <c r="PPM22" s="499">
        <v>1500000</v>
      </c>
      <c r="PPN22" s="498">
        <v>1.58</v>
      </c>
      <c r="PPO22" s="498">
        <v>1</v>
      </c>
      <c r="PPP22" s="501">
        <v>6.75</v>
      </c>
      <c r="PPQ22" s="486">
        <v>5.0999999999999996</v>
      </c>
      <c r="PPR22" s="452" t="s">
        <v>2691</v>
      </c>
      <c r="PPS22" s="498" t="s">
        <v>1620</v>
      </c>
      <c r="PPT22" s="498">
        <v>1</v>
      </c>
      <c r="PPU22" s="499">
        <v>1500000</v>
      </c>
      <c r="PPV22" s="498">
        <v>1.58</v>
      </c>
      <c r="PPW22" s="498">
        <v>1</v>
      </c>
      <c r="PPX22" s="501">
        <v>6.75</v>
      </c>
      <c r="PPY22" s="486">
        <v>5.0999999999999996</v>
      </c>
      <c r="PPZ22" s="452" t="s">
        <v>2691</v>
      </c>
      <c r="PQA22" s="498" t="s">
        <v>1620</v>
      </c>
      <c r="PQB22" s="498">
        <v>1</v>
      </c>
      <c r="PQC22" s="499">
        <v>1500000</v>
      </c>
      <c r="PQD22" s="498">
        <v>1.58</v>
      </c>
      <c r="PQE22" s="498">
        <v>1</v>
      </c>
      <c r="PQF22" s="501">
        <v>6.75</v>
      </c>
      <c r="PQG22" s="486">
        <v>5.0999999999999996</v>
      </c>
      <c r="PQH22" s="452" t="s">
        <v>2691</v>
      </c>
      <c r="PQI22" s="498" t="s">
        <v>1620</v>
      </c>
      <c r="PQJ22" s="498">
        <v>1</v>
      </c>
      <c r="PQK22" s="499">
        <v>1500000</v>
      </c>
      <c r="PQL22" s="498">
        <v>1.58</v>
      </c>
      <c r="PQM22" s="498">
        <v>1</v>
      </c>
      <c r="PQN22" s="501">
        <v>6.75</v>
      </c>
      <c r="PQO22" s="486">
        <v>5.0999999999999996</v>
      </c>
      <c r="PQP22" s="452" t="s">
        <v>2691</v>
      </c>
      <c r="PQQ22" s="498" t="s">
        <v>1620</v>
      </c>
      <c r="PQR22" s="498">
        <v>1</v>
      </c>
      <c r="PQS22" s="499">
        <v>1500000</v>
      </c>
      <c r="PQT22" s="498">
        <v>1.58</v>
      </c>
      <c r="PQU22" s="498">
        <v>1</v>
      </c>
      <c r="PQV22" s="501">
        <v>6.75</v>
      </c>
      <c r="PQW22" s="486">
        <v>5.0999999999999996</v>
      </c>
      <c r="PQX22" s="452" t="s">
        <v>2691</v>
      </c>
      <c r="PQY22" s="498" t="s">
        <v>1620</v>
      </c>
      <c r="PQZ22" s="498">
        <v>1</v>
      </c>
      <c r="PRA22" s="499">
        <v>1500000</v>
      </c>
      <c r="PRB22" s="498">
        <v>1.58</v>
      </c>
      <c r="PRC22" s="498">
        <v>1</v>
      </c>
      <c r="PRD22" s="501">
        <v>6.75</v>
      </c>
      <c r="PRE22" s="486">
        <v>5.0999999999999996</v>
      </c>
      <c r="PRF22" s="452" t="s">
        <v>2691</v>
      </c>
      <c r="PRG22" s="498" t="s">
        <v>1620</v>
      </c>
      <c r="PRH22" s="498">
        <v>1</v>
      </c>
      <c r="PRI22" s="499">
        <v>1500000</v>
      </c>
      <c r="PRJ22" s="498">
        <v>1.58</v>
      </c>
      <c r="PRK22" s="498">
        <v>1</v>
      </c>
      <c r="PRL22" s="501">
        <v>6.75</v>
      </c>
      <c r="PRM22" s="486">
        <v>5.0999999999999996</v>
      </c>
      <c r="PRN22" s="452" t="s">
        <v>2691</v>
      </c>
      <c r="PRO22" s="498" t="s">
        <v>1620</v>
      </c>
      <c r="PRP22" s="498">
        <v>1</v>
      </c>
      <c r="PRQ22" s="499">
        <v>1500000</v>
      </c>
      <c r="PRR22" s="498">
        <v>1.58</v>
      </c>
      <c r="PRS22" s="498">
        <v>1</v>
      </c>
      <c r="PRT22" s="501">
        <v>6.75</v>
      </c>
      <c r="PRU22" s="486">
        <v>5.0999999999999996</v>
      </c>
      <c r="PRV22" s="452" t="s">
        <v>2691</v>
      </c>
      <c r="PRW22" s="498" t="s">
        <v>1620</v>
      </c>
      <c r="PRX22" s="498">
        <v>1</v>
      </c>
      <c r="PRY22" s="499">
        <v>1500000</v>
      </c>
      <c r="PRZ22" s="498">
        <v>1.58</v>
      </c>
      <c r="PSA22" s="498">
        <v>1</v>
      </c>
      <c r="PSB22" s="501">
        <v>6.75</v>
      </c>
      <c r="PSC22" s="486">
        <v>5.0999999999999996</v>
      </c>
      <c r="PSD22" s="452" t="s">
        <v>2691</v>
      </c>
      <c r="PSE22" s="498" t="s">
        <v>1620</v>
      </c>
      <c r="PSF22" s="498">
        <v>1</v>
      </c>
      <c r="PSG22" s="499">
        <v>1500000</v>
      </c>
      <c r="PSH22" s="498">
        <v>1.58</v>
      </c>
      <c r="PSI22" s="498">
        <v>1</v>
      </c>
      <c r="PSJ22" s="501">
        <v>6.75</v>
      </c>
      <c r="PSK22" s="486">
        <v>5.0999999999999996</v>
      </c>
      <c r="PSL22" s="452" t="s">
        <v>2691</v>
      </c>
      <c r="PSM22" s="498" t="s">
        <v>1620</v>
      </c>
      <c r="PSN22" s="498">
        <v>1</v>
      </c>
      <c r="PSO22" s="499">
        <v>1500000</v>
      </c>
      <c r="PSP22" s="498">
        <v>1.58</v>
      </c>
      <c r="PSQ22" s="498">
        <v>1</v>
      </c>
      <c r="PSR22" s="501">
        <v>6.75</v>
      </c>
      <c r="PSS22" s="486">
        <v>5.0999999999999996</v>
      </c>
      <c r="PST22" s="452" t="s">
        <v>2691</v>
      </c>
      <c r="PSU22" s="498" t="s">
        <v>1620</v>
      </c>
      <c r="PSV22" s="498">
        <v>1</v>
      </c>
      <c r="PSW22" s="499">
        <v>1500000</v>
      </c>
      <c r="PSX22" s="498">
        <v>1.58</v>
      </c>
      <c r="PSY22" s="498">
        <v>1</v>
      </c>
      <c r="PSZ22" s="501">
        <v>6.75</v>
      </c>
      <c r="PTA22" s="486">
        <v>5.0999999999999996</v>
      </c>
      <c r="PTB22" s="452" t="s">
        <v>2691</v>
      </c>
      <c r="PTC22" s="498" t="s">
        <v>1620</v>
      </c>
      <c r="PTD22" s="498">
        <v>1</v>
      </c>
      <c r="PTE22" s="499">
        <v>1500000</v>
      </c>
      <c r="PTF22" s="498">
        <v>1.58</v>
      </c>
      <c r="PTG22" s="498">
        <v>1</v>
      </c>
      <c r="PTH22" s="501">
        <v>6.75</v>
      </c>
      <c r="PTI22" s="486">
        <v>5.0999999999999996</v>
      </c>
      <c r="PTJ22" s="452" t="s">
        <v>2691</v>
      </c>
      <c r="PTK22" s="498" t="s">
        <v>1620</v>
      </c>
      <c r="PTL22" s="498">
        <v>1</v>
      </c>
      <c r="PTM22" s="499">
        <v>1500000</v>
      </c>
      <c r="PTN22" s="498">
        <v>1.58</v>
      </c>
      <c r="PTO22" s="498">
        <v>1</v>
      </c>
      <c r="PTP22" s="501">
        <v>6.75</v>
      </c>
      <c r="PTQ22" s="486">
        <v>5.0999999999999996</v>
      </c>
      <c r="PTR22" s="452" t="s">
        <v>2691</v>
      </c>
      <c r="PTS22" s="498" t="s">
        <v>1620</v>
      </c>
      <c r="PTT22" s="498">
        <v>1</v>
      </c>
      <c r="PTU22" s="499">
        <v>1500000</v>
      </c>
      <c r="PTV22" s="498">
        <v>1.58</v>
      </c>
      <c r="PTW22" s="498">
        <v>1</v>
      </c>
      <c r="PTX22" s="501">
        <v>6.75</v>
      </c>
      <c r="PTY22" s="486">
        <v>5.0999999999999996</v>
      </c>
      <c r="PTZ22" s="452" t="s">
        <v>2691</v>
      </c>
      <c r="PUA22" s="498" t="s">
        <v>1620</v>
      </c>
      <c r="PUB22" s="498">
        <v>1</v>
      </c>
      <c r="PUC22" s="499">
        <v>1500000</v>
      </c>
      <c r="PUD22" s="498">
        <v>1.58</v>
      </c>
      <c r="PUE22" s="498">
        <v>1</v>
      </c>
      <c r="PUF22" s="501">
        <v>6.75</v>
      </c>
      <c r="PUG22" s="486">
        <v>5.0999999999999996</v>
      </c>
      <c r="PUH22" s="452" t="s">
        <v>2691</v>
      </c>
      <c r="PUI22" s="498" t="s">
        <v>1620</v>
      </c>
      <c r="PUJ22" s="498">
        <v>1</v>
      </c>
      <c r="PUK22" s="499">
        <v>1500000</v>
      </c>
      <c r="PUL22" s="498">
        <v>1.58</v>
      </c>
      <c r="PUM22" s="498">
        <v>1</v>
      </c>
      <c r="PUN22" s="501">
        <v>6.75</v>
      </c>
      <c r="PUO22" s="486">
        <v>5.0999999999999996</v>
      </c>
      <c r="PUP22" s="452" t="s">
        <v>2691</v>
      </c>
      <c r="PUQ22" s="498" t="s">
        <v>1620</v>
      </c>
      <c r="PUR22" s="498">
        <v>1</v>
      </c>
      <c r="PUS22" s="499">
        <v>1500000</v>
      </c>
      <c r="PUT22" s="498">
        <v>1.58</v>
      </c>
      <c r="PUU22" s="498">
        <v>1</v>
      </c>
      <c r="PUV22" s="501">
        <v>6.75</v>
      </c>
      <c r="PUW22" s="486">
        <v>5.0999999999999996</v>
      </c>
      <c r="PUX22" s="452" t="s">
        <v>2691</v>
      </c>
      <c r="PUY22" s="498" t="s">
        <v>1620</v>
      </c>
      <c r="PUZ22" s="498">
        <v>1</v>
      </c>
      <c r="PVA22" s="499">
        <v>1500000</v>
      </c>
      <c r="PVB22" s="498">
        <v>1.58</v>
      </c>
      <c r="PVC22" s="498">
        <v>1</v>
      </c>
      <c r="PVD22" s="501">
        <v>6.75</v>
      </c>
      <c r="PVE22" s="486">
        <v>5.0999999999999996</v>
      </c>
      <c r="PVF22" s="452" t="s">
        <v>2691</v>
      </c>
      <c r="PVG22" s="498" t="s">
        <v>1620</v>
      </c>
      <c r="PVH22" s="498">
        <v>1</v>
      </c>
      <c r="PVI22" s="499">
        <v>1500000</v>
      </c>
      <c r="PVJ22" s="498">
        <v>1.58</v>
      </c>
      <c r="PVK22" s="498">
        <v>1</v>
      </c>
      <c r="PVL22" s="501">
        <v>6.75</v>
      </c>
      <c r="PVM22" s="486">
        <v>5.0999999999999996</v>
      </c>
      <c r="PVN22" s="452" t="s">
        <v>2691</v>
      </c>
      <c r="PVO22" s="498" t="s">
        <v>1620</v>
      </c>
      <c r="PVP22" s="498">
        <v>1</v>
      </c>
      <c r="PVQ22" s="499">
        <v>1500000</v>
      </c>
      <c r="PVR22" s="498">
        <v>1.58</v>
      </c>
      <c r="PVS22" s="498">
        <v>1</v>
      </c>
      <c r="PVT22" s="501">
        <v>6.75</v>
      </c>
      <c r="PVU22" s="486">
        <v>5.0999999999999996</v>
      </c>
      <c r="PVV22" s="452" t="s">
        <v>2691</v>
      </c>
      <c r="PVW22" s="498" t="s">
        <v>1620</v>
      </c>
      <c r="PVX22" s="498">
        <v>1</v>
      </c>
      <c r="PVY22" s="499">
        <v>1500000</v>
      </c>
      <c r="PVZ22" s="498">
        <v>1.58</v>
      </c>
      <c r="PWA22" s="498">
        <v>1</v>
      </c>
      <c r="PWB22" s="501">
        <v>6.75</v>
      </c>
      <c r="PWC22" s="486">
        <v>5.0999999999999996</v>
      </c>
      <c r="PWD22" s="452" t="s">
        <v>2691</v>
      </c>
      <c r="PWE22" s="498" t="s">
        <v>1620</v>
      </c>
      <c r="PWF22" s="498">
        <v>1</v>
      </c>
      <c r="PWG22" s="499">
        <v>1500000</v>
      </c>
      <c r="PWH22" s="498">
        <v>1.58</v>
      </c>
      <c r="PWI22" s="498">
        <v>1</v>
      </c>
      <c r="PWJ22" s="501">
        <v>6.75</v>
      </c>
      <c r="PWK22" s="486">
        <v>5.0999999999999996</v>
      </c>
      <c r="PWL22" s="452" t="s">
        <v>2691</v>
      </c>
      <c r="PWM22" s="498" t="s">
        <v>1620</v>
      </c>
      <c r="PWN22" s="498">
        <v>1</v>
      </c>
      <c r="PWO22" s="499">
        <v>1500000</v>
      </c>
      <c r="PWP22" s="498">
        <v>1.58</v>
      </c>
      <c r="PWQ22" s="498">
        <v>1</v>
      </c>
      <c r="PWR22" s="501">
        <v>6.75</v>
      </c>
      <c r="PWS22" s="486">
        <v>5.0999999999999996</v>
      </c>
      <c r="PWT22" s="452" t="s">
        <v>2691</v>
      </c>
      <c r="PWU22" s="498" t="s">
        <v>1620</v>
      </c>
      <c r="PWV22" s="498">
        <v>1</v>
      </c>
      <c r="PWW22" s="499">
        <v>1500000</v>
      </c>
      <c r="PWX22" s="498">
        <v>1.58</v>
      </c>
      <c r="PWY22" s="498">
        <v>1</v>
      </c>
      <c r="PWZ22" s="501">
        <v>6.75</v>
      </c>
      <c r="PXA22" s="486">
        <v>5.0999999999999996</v>
      </c>
      <c r="PXB22" s="452" t="s">
        <v>2691</v>
      </c>
      <c r="PXC22" s="498" t="s">
        <v>1620</v>
      </c>
      <c r="PXD22" s="498">
        <v>1</v>
      </c>
      <c r="PXE22" s="499">
        <v>1500000</v>
      </c>
      <c r="PXF22" s="498">
        <v>1.58</v>
      </c>
      <c r="PXG22" s="498">
        <v>1</v>
      </c>
      <c r="PXH22" s="501">
        <v>6.75</v>
      </c>
      <c r="PXI22" s="486">
        <v>5.0999999999999996</v>
      </c>
      <c r="PXJ22" s="452" t="s">
        <v>2691</v>
      </c>
      <c r="PXK22" s="498" t="s">
        <v>1620</v>
      </c>
      <c r="PXL22" s="498">
        <v>1</v>
      </c>
      <c r="PXM22" s="499">
        <v>1500000</v>
      </c>
      <c r="PXN22" s="498">
        <v>1.58</v>
      </c>
      <c r="PXO22" s="498">
        <v>1</v>
      </c>
      <c r="PXP22" s="501">
        <v>6.75</v>
      </c>
      <c r="PXQ22" s="486">
        <v>5.0999999999999996</v>
      </c>
      <c r="PXR22" s="452" t="s">
        <v>2691</v>
      </c>
      <c r="PXS22" s="498" t="s">
        <v>1620</v>
      </c>
      <c r="PXT22" s="498">
        <v>1</v>
      </c>
      <c r="PXU22" s="499">
        <v>1500000</v>
      </c>
      <c r="PXV22" s="498">
        <v>1.58</v>
      </c>
      <c r="PXW22" s="498">
        <v>1</v>
      </c>
      <c r="PXX22" s="501">
        <v>6.75</v>
      </c>
      <c r="PXY22" s="486">
        <v>5.0999999999999996</v>
      </c>
      <c r="PXZ22" s="452" t="s">
        <v>2691</v>
      </c>
      <c r="PYA22" s="498" t="s">
        <v>1620</v>
      </c>
      <c r="PYB22" s="498">
        <v>1</v>
      </c>
      <c r="PYC22" s="499">
        <v>1500000</v>
      </c>
      <c r="PYD22" s="498">
        <v>1.58</v>
      </c>
      <c r="PYE22" s="498">
        <v>1</v>
      </c>
      <c r="PYF22" s="501">
        <v>6.75</v>
      </c>
      <c r="PYG22" s="486">
        <v>5.0999999999999996</v>
      </c>
      <c r="PYH22" s="452" t="s">
        <v>2691</v>
      </c>
      <c r="PYI22" s="498" t="s">
        <v>1620</v>
      </c>
      <c r="PYJ22" s="498">
        <v>1</v>
      </c>
      <c r="PYK22" s="499">
        <v>1500000</v>
      </c>
      <c r="PYL22" s="498">
        <v>1.58</v>
      </c>
      <c r="PYM22" s="498">
        <v>1</v>
      </c>
      <c r="PYN22" s="501">
        <v>6.75</v>
      </c>
      <c r="PYO22" s="486">
        <v>5.0999999999999996</v>
      </c>
      <c r="PYP22" s="452" t="s">
        <v>2691</v>
      </c>
      <c r="PYQ22" s="498" t="s">
        <v>1620</v>
      </c>
      <c r="PYR22" s="498">
        <v>1</v>
      </c>
      <c r="PYS22" s="499">
        <v>1500000</v>
      </c>
      <c r="PYT22" s="498">
        <v>1.58</v>
      </c>
      <c r="PYU22" s="498">
        <v>1</v>
      </c>
      <c r="PYV22" s="501">
        <v>6.75</v>
      </c>
      <c r="PYW22" s="486">
        <v>5.0999999999999996</v>
      </c>
      <c r="PYX22" s="452" t="s">
        <v>2691</v>
      </c>
      <c r="PYY22" s="498" t="s">
        <v>1620</v>
      </c>
      <c r="PYZ22" s="498">
        <v>1</v>
      </c>
      <c r="PZA22" s="499">
        <v>1500000</v>
      </c>
      <c r="PZB22" s="498">
        <v>1.58</v>
      </c>
      <c r="PZC22" s="498">
        <v>1</v>
      </c>
      <c r="PZD22" s="501">
        <v>6.75</v>
      </c>
      <c r="PZE22" s="486">
        <v>5.0999999999999996</v>
      </c>
      <c r="PZF22" s="452" t="s">
        <v>2691</v>
      </c>
      <c r="PZG22" s="498" t="s">
        <v>1620</v>
      </c>
      <c r="PZH22" s="498">
        <v>1</v>
      </c>
      <c r="PZI22" s="499">
        <v>1500000</v>
      </c>
      <c r="PZJ22" s="498">
        <v>1.58</v>
      </c>
      <c r="PZK22" s="498">
        <v>1</v>
      </c>
      <c r="PZL22" s="501">
        <v>6.75</v>
      </c>
      <c r="PZM22" s="486">
        <v>5.0999999999999996</v>
      </c>
      <c r="PZN22" s="452" t="s">
        <v>2691</v>
      </c>
      <c r="PZO22" s="498" t="s">
        <v>1620</v>
      </c>
      <c r="PZP22" s="498">
        <v>1</v>
      </c>
      <c r="PZQ22" s="499">
        <v>1500000</v>
      </c>
      <c r="PZR22" s="498">
        <v>1.58</v>
      </c>
      <c r="PZS22" s="498">
        <v>1</v>
      </c>
      <c r="PZT22" s="501">
        <v>6.75</v>
      </c>
      <c r="PZU22" s="486">
        <v>5.0999999999999996</v>
      </c>
      <c r="PZV22" s="452" t="s">
        <v>2691</v>
      </c>
      <c r="PZW22" s="498" t="s">
        <v>1620</v>
      </c>
      <c r="PZX22" s="498">
        <v>1</v>
      </c>
      <c r="PZY22" s="499">
        <v>1500000</v>
      </c>
      <c r="PZZ22" s="498">
        <v>1.58</v>
      </c>
      <c r="QAA22" s="498">
        <v>1</v>
      </c>
      <c r="QAB22" s="501">
        <v>6.75</v>
      </c>
      <c r="QAC22" s="486">
        <v>5.0999999999999996</v>
      </c>
      <c r="QAD22" s="452" t="s">
        <v>2691</v>
      </c>
      <c r="QAE22" s="498" t="s">
        <v>1620</v>
      </c>
      <c r="QAF22" s="498">
        <v>1</v>
      </c>
      <c r="QAG22" s="499">
        <v>1500000</v>
      </c>
      <c r="QAH22" s="498">
        <v>1.58</v>
      </c>
      <c r="QAI22" s="498">
        <v>1</v>
      </c>
      <c r="QAJ22" s="501">
        <v>6.75</v>
      </c>
      <c r="QAK22" s="486">
        <v>5.0999999999999996</v>
      </c>
      <c r="QAL22" s="452" t="s">
        <v>2691</v>
      </c>
      <c r="QAM22" s="498" t="s">
        <v>1620</v>
      </c>
      <c r="QAN22" s="498">
        <v>1</v>
      </c>
      <c r="QAO22" s="499">
        <v>1500000</v>
      </c>
      <c r="QAP22" s="498">
        <v>1.58</v>
      </c>
      <c r="QAQ22" s="498">
        <v>1</v>
      </c>
      <c r="QAR22" s="501">
        <v>6.75</v>
      </c>
      <c r="QAS22" s="486">
        <v>5.0999999999999996</v>
      </c>
      <c r="QAT22" s="452" t="s">
        <v>2691</v>
      </c>
      <c r="QAU22" s="498" t="s">
        <v>1620</v>
      </c>
      <c r="QAV22" s="498">
        <v>1</v>
      </c>
      <c r="QAW22" s="499">
        <v>1500000</v>
      </c>
      <c r="QAX22" s="498">
        <v>1.58</v>
      </c>
      <c r="QAY22" s="498">
        <v>1</v>
      </c>
      <c r="QAZ22" s="501">
        <v>6.75</v>
      </c>
      <c r="QBA22" s="486">
        <v>5.0999999999999996</v>
      </c>
      <c r="QBB22" s="452" t="s">
        <v>2691</v>
      </c>
      <c r="QBC22" s="498" t="s">
        <v>1620</v>
      </c>
      <c r="QBD22" s="498">
        <v>1</v>
      </c>
      <c r="QBE22" s="499">
        <v>1500000</v>
      </c>
      <c r="QBF22" s="498">
        <v>1.58</v>
      </c>
      <c r="QBG22" s="498">
        <v>1</v>
      </c>
      <c r="QBH22" s="501">
        <v>6.75</v>
      </c>
      <c r="QBI22" s="486">
        <v>5.0999999999999996</v>
      </c>
      <c r="QBJ22" s="452" t="s">
        <v>2691</v>
      </c>
      <c r="QBK22" s="498" t="s">
        <v>1620</v>
      </c>
      <c r="QBL22" s="498">
        <v>1</v>
      </c>
      <c r="QBM22" s="499">
        <v>1500000</v>
      </c>
      <c r="QBN22" s="498">
        <v>1.58</v>
      </c>
      <c r="QBO22" s="498">
        <v>1</v>
      </c>
      <c r="QBP22" s="501">
        <v>6.75</v>
      </c>
      <c r="QBQ22" s="486">
        <v>5.0999999999999996</v>
      </c>
      <c r="QBR22" s="452" t="s">
        <v>2691</v>
      </c>
      <c r="QBS22" s="498" t="s">
        <v>1620</v>
      </c>
      <c r="QBT22" s="498">
        <v>1</v>
      </c>
      <c r="QBU22" s="499">
        <v>1500000</v>
      </c>
      <c r="QBV22" s="498">
        <v>1.58</v>
      </c>
      <c r="QBW22" s="498">
        <v>1</v>
      </c>
      <c r="QBX22" s="501">
        <v>6.75</v>
      </c>
      <c r="QBY22" s="486">
        <v>5.0999999999999996</v>
      </c>
      <c r="QBZ22" s="452" t="s">
        <v>2691</v>
      </c>
      <c r="QCA22" s="498" t="s">
        <v>1620</v>
      </c>
      <c r="QCB22" s="498">
        <v>1</v>
      </c>
      <c r="QCC22" s="499">
        <v>1500000</v>
      </c>
      <c r="QCD22" s="498">
        <v>1.58</v>
      </c>
      <c r="QCE22" s="498">
        <v>1</v>
      </c>
      <c r="QCF22" s="501">
        <v>6.75</v>
      </c>
      <c r="QCG22" s="486">
        <v>5.0999999999999996</v>
      </c>
      <c r="QCH22" s="452" t="s">
        <v>2691</v>
      </c>
      <c r="QCI22" s="498" t="s">
        <v>1620</v>
      </c>
      <c r="QCJ22" s="498">
        <v>1</v>
      </c>
      <c r="QCK22" s="499">
        <v>1500000</v>
      </c>
      <c r="QCL22" s="498">
        <v>1.58</v>
      </c>
      <c r="QCM22" s="498">
        <v>1</v>
      </c>
      <c r="QCN22" s="501">
        <v>6.75</v>
      </c>
      <c r="QCO22" s="486">
        <v>5.0999999999999996</v>
      </c>
      <c r="QCP22" s="452" t="s">
        <v>2691</v>
      </c>
      <c r="QCQ22" s="498" t="s">
        <v>1620</v>
      </c>
      <c r="QCR22" s="498">
        <v>1</v>
      </c>
      <c r="QCS22" s="499">
        <v>1500000</v>
      </c>
      <c r="QCT22" s="498">
        <v>1.58</v>
      </c>
      <c r="QCU22" s="498">
        <v>1</v>
      </c>
      <c r="QCV22" s="501">
        <v>6.75</v>
      </c>
      <c r="QCW22" s="486">
        <v>5.0999999999999996</v>
      </c>
      <c r="QCX22" s="452" t="s">
        <v>2691</v>
      </c>
      <c r="QCY22" s="498" t="s">
        <v>1620</v>
      </c>
      <c r="QCZ22" s="498">
        <v>1</v>
      </c>
      <c r="QDA22" s="499">
        <v>1500000</v>
      </c>
      <c r="QDB22" s="498">
        <v>1.58</v>
      </c>
      <c r="QDC22" s="498">
        <v>1</v>
      </c>
      <c r="QDD22" s="501">
        <v>6.75</v>
      </c>
      <c r="QDE22" s="486">
        <v>5.0999999999999996</v>
      </c>
      <c r="QDF22" s="452" t="s">
        <v>2691</v>
      </c>
      <c r="QDG22" s="498" t="s">
        <v>1620</v>
      </c>
      <c r="QDH22" s="498">
        <v>1</v>
      </c>
      <c r="QDI22" s="499">
        <v>1500000</v>
      </c>
      <c r="QDJ22" s="498">
        <v>1.58</v>
      </c>
      <c r="QDK22" s="498">
        <v>1</v>
      </c>
      <c r="QDL22" s="501">
        <v>6.75</v>
      </c>
      <c r="QDM22" s="486">
        <v>5.0999999999999996</v>
      </c>
      <c r="QDN22" s="452" t="s">
        <v>2691</v>
      </c>
      <c r="QDO22" s="498" t="s">
        <v>1620</v>
      </c>
      <c r="QDP22" s="498">
        <v>1</v>
      </c>
      <c r="QDQ22" s="499">
        <v>1500000</v>
      </c>
      <c r="QDR22" s="498">
        <v>1.58</v>
      </c>
      <c r="QDS22" s="498">
        <v>1</v>
      </c>
      <c r="QDT22" s="501">
        <v>6.75</v>
      </c>
      <c r="QDU22" s="486">
        <v>5.0999999999999996</v>
      </c>
      <c r="QDV22" s="452" t="s">
        <v>2691</v>
      </c>
      <c r="QDW22" s="498" t="s">
        <v>1620</v>
      </c>
      <c r="QDX22" s="498">
        <v>1</v>
      </c>
      <c r="QDY22" s="499">
        <v>1500000</v>
      </c>
      <c r="QDZ22" s="498">
        <v>1.58</v>
      </c>
      <c r="QEA22" s="498">
        <v>1</v>
      </c>
      <c r="QEB22" s="501">
        <v>6.75</v>
      </c>
      <c r="QEC22" s="486">
        <v>5.0999999999999996</v>
      </c>
      <c r="QED22" s="452" t="s">
        <v>2691</v>
      </c>
      <c r="QEE22" s="498" t="s">
        <v>1620</v>
      </c>
      <c r="QEF22" s="498">
        <v>1</v>
      </c>
      <c r="QEG22" s="499">
        <v>1500000</v>
      </c>
      <c r="QEH22" s="498">
        <v>1.58</v>
      </c>
      <c r="QEI22" s="498">
        <v>1</v>
      </c>
      <c r="QEJ22" s="501">
        <v>6.75</v>
      </c>
      <c r="QEK22" s="486">
        <v>5.0999999999999996</v>
      </c>
      <c r="QEL22" s="452" t="s">
        <v>2691</v>
      </c>
      <c r="QEM22" s="498" t="s">
        <v>1620</v>
      </c>
      <c r="QEN22" s="498">
        <v>1</v>
      </c>
      <c r="QEO22" s="499">
        <v>1500000</v>
      </c>
      <c r="QEP22" s="498">
        <v>1.58</v>
      </c>
      <c r="QEQ22" s="498">
        <v>1</v>
      </c>
      <c r="QER22" s="501">
        <v>6.75</v>
      </c>
      <c r="QES22" s="486">
        <v>5.0999999999999996</v>
      </c>
      <c r="QET22" s="452" t="s">
        <v>2691</v>
      </c>
      <c r="QEU22" s="498" t="s">
        <v>1620</v>
      </c>
      <c r="QEV22" s="498">
        <v>1</v>
      </c>
      <c r="QEW22" s="499">
        <v>1500000</v>
      </c>
      <c r="QEX22" s="498">
        <v>1.58</v>
      </c>
      <c r="QEY22" s="498">
        <v>1</v>
      </c>
      <c r="QEZ22" s="501">
        <v>6.75</v>
      </c>
      <c r="QFA22" s="486">
        <v>5.0999999999999996</v>
      </c>
      <c r="QFB22" s="452" t="s">
        <v>2691</v>
      </c>
      <c r="QFC22" s="498" t="s">
        <v>1620</v>
      </c>
      <c r="QFD22" s="498">
        <v>1</v>
      </c>
      <c r="QFE22" s="499">
        <v>1500000</v>
      </c>
      <c r="QFF22" s="498">
        <v>1.58</v>
      </c>
      <c r="QFG22" s="498">
        <v>1</v>
      </c>
      <c r="QFH22" s="501">
        <v>6.75</v>
      </c>
      <c r="QFI22" s="486">
        <v>5.0999999999999996</v>
      </c>
      <c r="QFJ22" s="452" t="s">
        <v>2691</v>
      </c>
      <c r="QFK22" s="498" t="s">
        <v>1620</v>
      </c>
      <c r="QFL22" s="498">
        <v>1</v>
      </c>
      <c r="QFM22" s="499">
        <v>1500000</v>
      </c>
      <c r="QFN22" s="498">
        <v>1.58</v>
      </c>
      <c r="QFO22" s="498">
        <v>1</v>
      </c>
      <c r="QFP22" s="501">
        <v>6.75</v>
      </c>
      <c r="QFQ22" s="486">
        <v>5.0999999999999996</v>
      </c>
      <c r="QFR22" s="452" t="s">
        <v>2691</v>
      </c>
      <c r="QFS22" s="498" t="s">
        <v>1620</v>
      </c>
      <c r="QFT22" s="498">
        <v>1</v>
      </c>
      <c r="QFU22" s="499">
        <v>1500000</v>
      </c>
      <c r="QFV22" s="498">
        <v>1.58</v>
      </c>
      <c r="QFW22" s="498">
        <v>1</v>
      </c>
      <c r="QFX22" s="501">
        <v>6.75</v>
      </c>
      <c r="QFY22" s="486">
        <v>5.0999999999999996</v>
      </c>
      <c r="QFZ22" s="452" t="s">
        <v>2691</v>
      </c>
      <c r="QGA22" s="498" t="s">
        <v>1620</v>
      </c>
      <c r="QGB22" s="498">
        <v>1</v>
      </c>
      <c r="QGC22" s="499">
        <v>1500000</v>
      </c>
      <c r="QGD22" s="498">
        <v>1.58</v>
      </c>
      <c r="QGE22" s="498">
        <v>1</v>
      </c>
      <c r="QGF22" s="501">
        <v>6.75</v>
      </c>
      <c r="QGG22" s="486">
        <v>5.0999999999999996</v>
      </c>
      <c r="QGH22" s="452" t="s">
        <v>2691</v>
      </c>
      <c r="QGI22" s="498" t="s">
        <v>1620</v>
      </c>
      <c r="QGJ22" s="498">
        <v>1</v>
      </c>
      <c r="QGK22" s="499">
        <v>1500000</v>
      </c>
      <c r="QGL22" s="498">
        <v>1.58</v>
      </c>
      <c r="QGM22" s="498">
        <v>1</v>
      </c>
      <c r="QGN22" s="501">
        <v>6.75</v>
      </c>
      <c r="QGO22" s="486">
        <v>5.0999999999999996</v>
      </c>
      <c r="QGP22" s="452" t="s">
        <v>2691</v>
      </c>
      <c r="QGQ22" s="498" t="s">
        <v>1620</v>
      </c>
      <c r="QGR22" s="498">
        <v>1</v>
      </c>
      <c r="QGS22" s="499">
        <v>1500000</v>
      </c>
      <c r="QGT22" s="498">
        <v>1.58</v>
      </c>
      <c r="QGU22" s="498">
        <v>1</v>
      </c>
      <c r="QGV22" s="501">
        <v>6.75</v>
      </c>
      <c r="QGW22" s="486">
        <v>5.0999999999999996</v>
      </c>
      <c r="QGX22" s="452" t="s">
        <v>2691</v>
      </c>
      <c r="QGY22" s="498" t="s">
        <v>1620</v>
      </c>
      <c r="QGZ22" s="498">
        <v>1</v>
      </c>
      <c r="QHA22" s="499">
        <v>1500000</v>
      </c>
      <c r="QHB22" s="498">
        <v>1.58</v>
      </c>
      <c r="QHC22" s="498">
        <v>1</v>
      </c>
      <c r="QHD22" s="501">
        <v>6.75</v>
      </c>
      <c r="QHE22" s="486">
        <v>5.0999999999999996</v>
      </c>
      <c r="QHF22" s="452" t="s">
        <v>2691</v>
      </c>
      <c r="QHG22" s="498" t="s">
        <v>1620</v>
      </c>
      <c r="QHH22" s="498">
        <v>1</v>
      </c>
      <c r="QHI22" s="499">
        <v>1500000</v>
      </c>
      <c r="QHJ22" s="498">
        <v>1.58</v>
      </c>
      <c r="QHK22" s="498">
        <v>1</v>
      </c>
      <c r="QHL22" s="501">
        <v>6.75</v>
      </c>
      <c r="QHM22" s="486">
        <v>5.0999999999999996</v>
      </c>
      <c r="QHN22" s="452" t="s">
        <v>2691</v>
      </c>
      <c r="QHO22" s="498" t="s">
        <v>1620</v>
      </c>
      <c r="QHP22" s="498">
        <v>1</v>
      </c>
      <c r="QHQ22" s="499">
        <v>1500000</v>
      </c>
      <c r="QHR22" s="498">
        <v>1.58</v>
      </c>
      <c r="QHS22" s="498">
        <v>1</v>
      </c>
      <c r="QHT22" s="501">
        <v>6.75</v>
      </c>
      <c r="QHU22" s="486">
        <v>5.0999999999999996</v>
      </c>
      <c r="QHV22" s="452" t="s">
        <v>2691</v>
      </c>
      <c r="QHW22" s="498" t="s">
        <v>1620</v>
      </c>
      <c r="QHX22" s="498">
        <v>1</v>
      </c>
      <c r="QHY22" s="499">
        <v>1500000</v>
      </c>
      <c r="QHZ22" s="498">
        <v>1.58</v>
      </c>
      <c r="QIA22" s="498">
        <v>1</v>
      </c>
      <c r="QIB22" s="501">
        <v>6.75</v>
      </c>
      <c r="QIC22" s="486">
        <v>5.0999999999999996</v>
      </c>
      <c r="QID22" s="452" t="s">
        <v>2691</v>
      </c>
      <c r="QIE22" s="498" t="s">
        <v>1620</v>
      </c>
      <c r="QIF22" s="498">
        <v>1</v>
      </c>
      <c r="QIG22" s="499">
        <v>1500000</v>
      </c>
      <c r="QIH22" s="498">
        <v>1.58</v>
      </c>
      <c r="QII22" s="498">
        <v>1</v>
      </c>
      <c r="QIJ22" s="501">
        <v>6.75</v>
      </c>
      <c r="QIK22" s="486">
        <v>5.0999999999999996</v>
      </c>
      <c r="QIL22" s="452" t="s">
        <v>2691</v>
      </c>
      <c r="QIM22" s="498" t="s">
        <v>1620</v>
      </c>
      <c r="QIN22" s="498">
        <v>1</v>
      </c>
      <c r="QIO22" s="499">
        <v>1500000</v>
      </c>
      <c r="QIP22" s="498">
        <v>1.58</v>
      </c>
      <c r="QIQ22" s="498">
        <v>1</v>
      </c>
      <c r="QIR22" s="501">
        <v>6.75</v>
      </c>
      <c r="QIS22" s="486">
        <v>5.0999999999999996</v>
      </c>
      <c r="QIT22" s="452" t="s">
        <v>2691</v>
      </c>
      <c r="QIU22" s="498" t="s">
        <v>1620</v>
      </c>
      <c r="QIV22" s="498">
        <v>1</v>
      </c>
      <c r="QIW22" s="499">
        <v>1500000</v>
      </c>
      <c r="QIX22" s="498">
        <v>1.58</v>
      </c>
      <c r="QIY22" s="498">
        <v>1</v>
      </c>
      <c r="QIZ22" s="501">
        <v>6.75</v>
      </c>
      <c r="QJA22" s="486">
        <v>5.0999999999999996</v>
      </c>
      <c r="QJB22" s="452" t="s">
        <v>2691</v>
      </c>
      <c r="QJC22" s="498" t="s">
        <v>1620</v>
      </c>
      <c r="QJD22" s="498">
        <v>1</v>
      </c>
      <c r="QJE22" s="499">
        <v>1500000</v>
      </c>
      <c r="QJF22" s="498">
        <v>1.58</v>
      </c>
      <c r="QJG22" s="498">
        <v>1</v>
      </c>
      <c r="QJH22" s="501">
        <v>6.75</v>
      </c>
      <c r="QJI22" s="486">
        <v>5.0999999999999996</v>
      </c>
      <c r="QJJ22" s="452" t="s">
        <v>2691</v>
      </c>
      <c r="QJK22" s="498" t="s">
        <v>1620</v>
      </c>
      <c r="QJL22" s="498">
        <v>1</v>
      </c>
      <c r="QJM22" s="499">
        <v>1500000</v>
      </c>
      <c r="QJN22" s="498">
        <v>1.58</v>
      </c>
      <c r="QJO22" s="498">
        <v>1</v>
      </c>
      <c r="QJP22" s="501">
        <v>6.75</v>
      </c>
      <c r="QJQ22" s="486">
        <v>5.0999999999999996</v>
      </c>
      <c r="QJR22" s="452" t="s">
        <v>2691</v>
      </c>
      <c r="QJS22" s="498" t="s">
        <v>1620</v>
      </c>
      <c r="QJT22" s="498">
        <v>1</v>
      </c>
      <c r="QJU22" s="499">
        <v>1500000</v>
      </c>
      <c r="QJV22" s="498">
        <v>1.58</v>
      </c>
      <c r="QJW22" s="498">
        <v>1</v>
      </c>
      <c r="QJX22" s="501">
        <v>6.75</v>
      </c>
      <c r="QJY22" s="486">
        <v>5.0999999999999996</v>
      </c>
      <c r="QJZ22" s="452" t="s">
        <v>2691</v>
      </c>
      <c r="QKA22" s="498" t="s">
        <v>1620</v>
      </c>
      <c r="QKB22" s="498">
        <v>1</v>
      </c>
      <c r="QKC22" s="499">
        <v>1500000</v>
      </c>
      <c r="QKD22" s="498">
        <v>1.58</v>
      </c>
      <c r="QKE22" s="498">
        <v>1</v>
      </c>
      <c r="QKF22" s="501">
        <v>6.75</v>
      </c>
      <c r="QKG22" s="486">
        <v>5.0999999999999996</v>
      </c>
      <c r="QKH22" s="452" t="s">
        <v>2691</v>
      </c>
      <c r="QKI22" s="498" t="s">
        <v>1620</v>
      </c>
      <c r="QKJ22" s="498">
        <v>1</v>
      </c>
      <c r="QKK22" s="499">
        <v>1500000</v>
      </c>
      <c r="QKL22" s="498">
        <v>1.58</v>
      </c>
      <c r="QKM22" s="498">
        <v>1</v>
      </c>
      <c r="QKN22" s="501">
        <v>6.75</v>
      </c>
      <c r="QKO22" s="486">
        <v>5.0999999999999996</v>
      </c>
      <c r="QKP22" s="452" t="s">
        <v>2691</v>
      </c>
      <c r="QKQ22" s="498" t="s">
        <v>1620</v>
      </c>
      <c r="QKR22" s="498">
        <v>1</v>
      </c>
      <c r="QKS22" s="499">
        <v>1500000</v>
      </c>
      <c r="QKT22" s="498">
        <v>1.58</v>
      </c>
      <c r="QKU22" s="498">
        <v>1</v>
      </c>
      <c r="QKV22" s="501">
        <v>6.75</v>
      </c>
      <c r="QKW22" s="486">
        <v>5.0999999999999996</v>
      </c>
      <c r="QKX22" s="452" t="s">
        <v>2691</v>
      </c>
      <c r="QKY22" s="498" t="s">
        <v>1620</v>
      </c>
      <c r="QKZ22" s="498">
        <v>1</v>
      </c>
      <c r="QLA22" s="499">
        <v>1500000</v>
      </c>
      <c r="QLB22" s="498">
        <v>1.58</v>
      </c>
      <c r="QLC22" s="498">
        <v>1</v>
      </c>
      <c r="QLD22" s="501">
        <v>6.75</v>
      </c>
      <c r="QLE22" s="486">
        <v>5.0999999999999996</v>
      </c>
      <c r="QLF22" s="452" t="s">
        <v>2691</v>
      </c>
      <c r="QLG22" s="498" t="s">
        <v>1620</v>
      </c>
      <c r="QLH22" s="498">
        <v>1</v>
      </c>
      <c r="QLI22" s="499">
        <v>1500000</v>
      </c>
      <c r="QLJ22" s="498">
        <v>1.58</v>
      </c>
      <c r="QLK22" s="498">
        <v>1</v>
      </c>
      <c r="QLL22" s="501">
        <v>6.75</v>
      </c>
      <c r="QLM22" s="486">
        <v>5.0999999999999996</v>
      </c>
      <c r="QLN22" s="452" t="s">
        <v>2691</v>
      </c>
      <c r="QLO22" s="498" t="s">
        <v>1620</v>
      </c>
      <c r="QLP22" s="498">
        <v>1</v>
      </c>
      <c r="QLQ22" s="499">
        <v>1500000</v>
      </c>
      <c r="QLR22" s="498">
        <v>1.58</v>
      </c>
      <c r="QLS22" s="498">
        <v>1</v>
      </c>
      <c r="QLT22" s="501">
        <v>6.75</v>
      </c>
      <c r="QLU22" s="486">
        <v>5.0999999999999996</v>
      </c>
      <c r="QLV22" s="452" t="s">
        <v>2691</v>
      </c>
      <c r="QLW22" s="498" t="s">
        <v>1620</v>
      </c>
      <c r="QLX22" s="498">
        <v>1</v>
      </c>
      <c r="QLY22" s="499">
        <v>1500000</v>
      </c>
      <c r="QLZ22" s="498">
        <v>1.58</v>
      </c>
      <c r="QMA22" s="498">
        <v>1</v>
      </c>
      <c r="QMB22" s="501">
        <v>6.75</v>
      </c>
      <c r="QMC22" s="486">
        <v>5.0999999999999996</v>
      </c>
      <c r="QMD22" s="452" t="s">
        <v>2691</v>
      </c>
      <c r="QME22" s="498" t="s">
        <v>1620</v>
      </c>
      <c r="QMF22" s="498">
        <v>1</v>
      </c>
      <c r="QMG22" s="499">
        <v>1500000</v>
      </c>
      <c r="QMH22" s="498">
        <v>1.58</v>
      </c>
      <c r="QMI22" s="498">
        <v>1</v>
      </c>
      <c r="QMJ22" s="501">
        <v>6.75</v>
      </c>
      <c r="QMK22" s="486">
        <v>5.0999999999999996</v>
      </c>
      <c r="QML22" s="452" t="s">
        <v>2691</v>
      </c>
      <c r="QMM22" s="498" t="s">
        <v>1620</v>
      </c>
      <c r="QMN22" s="498">
        <v>1</v>
      </c>
      <c r="QMO22" s="499">
        <v>1500000</v>
      </c>
      <c r="QMP22" s="498">
        <v>1.58</v>
      </c>
      <c r="QMQ22" s="498">
        <v>1</v>
      </c>
      <c r="QMR22" s="501">
        <v>6.75</v>
      </c>
      <c r="QMS22" s="486">
        <v>5.0999999999999996</v>
      </c>
      <c r="QMT22" s="452" t="s">
        <v>2691</v>
      </c>
      <c r="QMU22" s="498" t="s">
        <v>1620</v>
      </c>
      <c r="QMV22" s="498">
        <v>1</v>
      </c>
      <c r="QMW22" s="499">
        <v>1500000</v>
      </c>
      <c r="QMX22" s="498">
        <v>1.58</v>
      </c>
      <c r="QMY22" s="498">
        <v>1</v>
      </c>
      <c r="QMZ22" s="501">
        <v>6.75</v>
      </c>
      <c r="QNA22" s="486">
        <v>5.0999999999999996</v>
      </c>
      <c r="QNB22" s="452" t="s">
        <v>2691</v>
      </c>
      <c r="QNC22" s="498" t="s">
        <v>1620</v>
      </c>
      <c r="QND22" s="498">
        <v>1</v>
      </c>
      <c r="QNE22" s="499">
        <v>1500000</v>
      </c>
      <c r="QNF22" s="498">
        <v>1.58</v>
      </c>
      <c r="QNG22" s="498">
        <v>1</v>
      </c>
      <c r="QNH22" s="501">
        <v>6.75</v>
      </c>
      <c r="QNI22" s="486">
        <v>5.0999999999999996</v>
      </c>
      <c r="QNJ22" s="452" t="s">
        <v>2691</v>
      </c>
      <c r="QNK22" s="498" t="s">
        <v>1620</v>
      </c>
      <c r="QNL22" s="498">
        <v>1</v>
      </c>
      <c r="QNM22" s="499">
        <v>1500000</v>
      </c>
      <c r="QNN22" s="498">
        <v>1.58</v>
      </c>
      <c r="QNO22" s="498">
        <v>1</v>
      </c>
      <c r="QNP22" s="501">
        <v>6.75</v>
      </c>
      <c r="QNQ22" s="486">
        <v>5.0999999999999996</v>
      </c>
      <c r="QNR22" s="452" t="s">
        <v>2691</v>
      </c>
      <c r="QNS22" s="498" t="s">
        <v>1620</v>
      </c>
      <c r="QNT22" s="498">
        <v>1</v>
      </c>
      <c r="QNU22" s="499">
        <v>1500000</v>
      </c>
      <c r="QNV22" s="498">
        <v>1.58</v>
      </c>
      <c r="QNW22" s="498">
        <v>1</v>
      </c>
      <c r="QNX22" s="501">
        <v>6.75</v>
      </c>
      <c r="QNY22" s="486">
        <v>5.0999999999999996</v>
      </c>
      <c r="QNZ22" s="452" t="s">
        <v>2691</v>
      </c>
      <c r="QOA22" s="498" t="s">
        <v>1620</v>
      </c>
      <c r="QOB22" s="498">
        <v>1</v>
      </c>
      <c r="QOC22" s="499">
        <v>1500000</v>
      </c>
      <c r="QOD22" s="498">
        <v>1.58</v>
      </c>
      <c r="QOE22" s="498">
        <v>1</v>
      </c>
      <c r="QOF22" s="501">
        <v>6.75</v>
      </c>
      <c r="QOG22" s="486">
        <v>5.0999999999999996</v>
      </c>
      <c r="QOH22" s="452" t="s">
        <v>2691</v>
      </c>
      <c r="QOI22" s="498" t="s">
        <v>1620</v>
      </c>
      <c r="QOJ22" s="498">
        <v>1</v>
      </c>
      <c r="QOK22" s="499">
        <v>1500000</v>
      </c>
      <c r="QOL22" s="498">
        <v>1.58</v>
      </c>
      <c r="QOM22" s="498">
        <v>1</v>
      </c>
      <c r="QON22" s="501">
        <v>6.75</v>
      </c>
      <c r="QOO22" s="486">
        <v>5.0999999999999996</v>
      </c>
      <c r="QOP22" s="452" t="s">
        <v>2691</v>
      </c>
      <c r="QOQ22" s="498" t="s">
        <v>1620</v>
      </c>
      <c r="QOR22" s="498">
        <v>1</v>
      </c>
      <c r="QOS22" s="499">
        <v>1500000</v>
      </c>
      <c r="QOT22" s="498">
        <v>1.58</v>
      </c>
      <c r="QOU22" s="498">
        <v>1</v>
      </c>
      <c r="QOV22" s="501">
        <v>6.75</v>
      </c>
      <c r="QOW22" s="486">
        <v>5.0999999999999996</v>
      </c>
      <c r="QOX22" s="452" t="s">
        <v>2691</v>
      </c>
      <c r="QOY22" s="498" t="s">
        <v>1620</v>
      </c>
      <c r="QOZ22" s="498">
        <v>1</v>
      </c>
      <c r="QPA22" s="499">
        <v>1500000</v>
      </c>
      <c r="QPB22" s="498">
        <v>1.58</v>
      </c>
      <c r="QPC22" s="498">
        <v>1</v>
      </c>
      <c r="QPD22" s="501">
        <v>6.75</v>
      </c>
      <c r="QPE22" s="486">
        <v>5.0999999999999996</v>
      </c>
      <c r="QPF22" s="452" t="s">
        <v>2691</v>
      </c>
      <c r="QPG22" s="498" t="s">
        <v>1620</v>
      </c>
      <c r="QPH22" s="498">
        <v>1</v>
      </c>
      <c r="QPI22" s="499">
        <v>1500000</v>
      </c>
      <c r="QPJ22" s="498">
        <v>1.58</v>
      </c>
      <c r="QPK22" s="498">
        <v>1</v>
      </c>
      <c r="QPL22" s="501">
        <v>6.75</v>
      </c>
      <c r="QPM22" s="486">
        <v>5.0999999999999996</v>
      </c>
      <c r="QPN22" s="452" t="s">
        <v>2691</v>
      </c>
      <c r="QPO22" s="498" t="s">
        <v>1620</v>
      </c>
      <c r="QPP22" s="498">
        <v>1</v>
      </c>
      <c r="QPQ22" s="499">
        <v>1500000</v>
      </c>
      <c r="QPR22" s="498">
        <v>1.58</v>
      </c>
      <c r="QPS22" s="498">
        <v>1</v>
      </c>
      <c r="QPT22" s="501">
        <v>6.75</v>
      </c>
      <c r="QPU22" s="486">
        <v>5.0999999999999996</v>
      </c>
      <c r="QPV22" s="452" t="s">
        <v>2691</v>
      </c>
      <c r="QPW22" s="498" t="s">
        <v>1620</v>
      </c>
      <c r="QPX22" s="498">
        <v>1</v>
      </c>
      <c r="QPY22" s="499">
        <v>1500000</v>
      </c>
      <c r="QPZ22" s="498">
        <v>1.58</v>
      </c>
      <c r="QQA22" s="498">
        <v>1</v>
      </c>
      <c r="QQB22" s="501">
        <v>6.75</v>
      </c>
      <c r="QQC22" s="486">
        <v>5.0999999999999996</v>
      </c>
      <c r="QQD22" s="452" t="s">
        <v>2691</v>
      </c>
      <c r="QQE22" s="498" t="s">
        <v>1620</v>
      </c>
      <c r="QQF22" s="498">
        <v>1</v>
      </c>
      <c r="QQG22" s="499">
        <v>1500000</v>
      </c>
      <c r="QQH22" s="498">
        <v>1.58</v>
      </c>
      <c r="QQI22" s="498">
        <v>1</v>
      </c>
      <c r="QQJ22" s="501">
        <v>6.75</v>
      </c>
      <c r="QQK22" s="486">
        <v>5.0999999999999996</v>
      </c>
      <c r="QQL22" s="452" t="s">
        <v>2691</v>
      </c>
      <c r="QQM22" s="498" t="s">
        <v>1620</v>
      </c>
      <c r="QQN22" s="498">
        <v>1</v>
      </c>
      <c r="QQO22" s="499">
        <v>1500000</v>
      </c>
      <c r="QQP22" s="498">
        <v>1.58</v>
      </c>
      <c r="QQQ22" s="498">
        <v>1</v>
      </c>
      <c r="QQR22" s="501">
        <v>6.75</v>
      </c>
      <c r="QQS22" s="486">
        <v>5.0999999999999996</v>
      </c>
      <c r="QQT22" s="452" t="s">
        <v>2691</v>
      </c>
      <c r="QQU22" s="498" t="s">
        <v>1620</v>
      </c>
      <c r="QQV22" s="498">
        <v>1</v>
      </c>
      <c r="QQW22" s="499">
        <v>1500000</v>
      </c>
      <c r="QQX22" s="498">
        <v>1.58</v>
      </c>
      <c r="QQY22" s="498">
        <v>1</v>
      </c>
      <c r="QQZ22" s="501">
        <v>6.75</v>
      </c>
      <c r="QRA22" s="486">
        <v>5.0999999999999996</v>
      </c>
      <c r="QRB22" s="452" t="s">
        <v>2691</v>
      </c>
      <c r="QRC22" s="498" t="s">
        <v>1620</v>
      </c>
      <c r="QRD22" s="498">
        <v>1</v>
      </c>
      <c r="QRE22" s="499">
        <v>1500000</v>
      </c>
      <c r="QRF22" s="498">
        <v>1.58</v>
      </c>
      <c r="QRG22" s="498">
        <v>1</v>
      </c>
      <c r="QRH22" s="501">
        <v>6.75</v>
      </c>
      <c r="QRI22" s="486">
        <v>5.0999999999999996</v>
      </c>
      <c r="QRJ22" s="452" t="s">
        <v>2691</v>
      </c>
      <c r="QRK22" s="498" t="s">
        <v>1620</v>
      </c>
      <c r="QRL22" s="498">
        <v>1</v>
      </c>
      <c r="QRM22" s="499">
        <v>1500000</v>
      </c>
      <c r="QRN22" s="498">
        <v>1.58</v>
      </c>
      <c r="QRO22" s="498">
        <v>1</v>
      </c>
      <c r="QRP22" s="501">
        <v>6.75</v>
      </c>
      <c r="QRQ22" s="486">
        <v>5.0999999999999996</v>
      </c>
      <c r="QRR22" s="452" t="s">
        <v>2691</v>
      </c>
      <c r="QRS22" s="498" t="s">
        <v>1620</v>
      </c>
      <c r="QRT22" s="498">
        <v>1</v>
      </c>
      <c r="QRU22" s="499">
        <v>1500000</v>
      </c>
      <c r="QRV22" s="498">
        <v>1.58</v>
      </c>
      <c r="QRW22" s="498">
        <v>1</v>
      </c>
      <c r="QRX22" s="501">
        <v>6.75</v>
      </c>
      <c r="QRY22" s="486">
        <v>5.0999999999999996</v>
      </c>
      <c r="QRZ22" s="452" t="s">
        <v>2691</v>
      </c>
      <c r="QSA22" s="498" t="s">
        <v>1620</v>
      </c>
      <c r="QSB22" s="498">
        <v>1</v>
      </c>
      <c r="QSC22" s="499">
        <v>1500000</v>
      </c>
      <c r="QSD22" s="498">
        <v>1.58</v>
      </c>
      <c r="QSE22" s="498">
        <v>1</v>
      </c>
      <c r="QSF22" s="501">
        <v>6.75</v>
      </c>
      <c r="QSG22" s="486">
        <v>5.0999999999999996</v>
      </c>
      <c r="QSH22" s="452" t="s">
        <v>2691</v>
      </c>
      <c r="QSI22" s="498" t="s">
        <v>1620</v>
      </c>
      <c r="QSJ22" s="498">
        <v>1</v>
      </c>
      <c r="QSK22" s="499">
        <v>1500000</v>
      </c>
      <c r="QSL22" s="498">
        <v>1.58</v>
      </c>
      <c r="QSM22" s="498">
        <v>1</v>
      </c>
      <c r="QSN22" s="501">
        <v>6.75</v>
      </c>
      <c r="QSO22" s="486">
        <v>5.0999999999999996</v>
      </c>
      <c r="QSP22" s="452" t="s">
        <v>2691</v>
      </c>
      <c r="QSQ22" s="498" t="s">
        <v>1620</v>
      </c>
      <c r="QSR22" s="498">
        <v>1</v>
      </c>
      <c r="QSS22" s="499">
        <v>1500000</v>
      </c>
      <c r="QST22" s="498">
        <v>1.58</v>
      </c>
      <c r="QSU22" s="498">
        <v>1</v>
      </c>
      <c r="QSV22" s="501">
        <v>6.75</v>
      </c>
      <c r="QSW22" s="486">
        <v>5.0999999999999996</v>
      </c>
      <c r="QSX22" s="452" t="s">
        <v>2691</v>
      </c>
      <c r="QSY22" s="498" t="s">
        <v>1620</v>
      </c>
      <c r="QSZ22" s="498">
        <v>1</v>
      </c>
      <c r="QTA22" s="499">
        <v>1500000</v>
      </c>
      <c r="QTB22" s="498">
        <v>1.58</v>
      </c>
      <c r="QTC22" s="498">
        <v>1</v>
      </c>
      <c r="QTD22" s="501">
        <v>6.75</v>
      </c>
      <c r="QTE22" s="486">
        <v>5.0999999999999996</v>
      </c>
      <c r="QTF22" s="452" t="s">
        <v>2691</v>
      </c>
      <c r="QTG22" s="498" t="s">
        <v>1620</v>
      </c>
      <c r="QTH22" s="498">
        <v>1</v>
      </c>
      <c r="QTI22" s="499">
        <v>1500000</v>
      </c>
      <c r="QTJ22" s="498">
        <v>1.58</v>
      </c>
      <c r="QTK22" s="498">
        <v>1</v>
      </c>
      <c r="QTL22" s="501">
        <v>6.75</v>
      </c>
      <c r="QTM22" s="486">
        <v>5.0999999999999996</v>
      </c>
      <c r="QTN22" s="452" t="s">
        <v>2691</v>
      </c>
      <c r="QTO22" s="498" t="s">
        <v>1620</v>
      </c>
      <c r="QTP22" s="498">
        <v>1</v>
      </c>
      <c r="QTQ22" s="499">
        <v>1500000</v>
      </c>
      <c r="QTR22" s="498">
        <v>1.58</v>
      </c>
      <c r="QTS22" s="498">
        <v>1</v>
      </c>
      <c r="QTT22" s="501">
        <v>6.75</v>
      </c>
      <c r="QTU22" s="486">
        <v>5.0999999999999996</v>
      </c>
      <c r="QTV22" s="452" t="s">
        <v>2691</v>
      </c>
      <c r="QTW22" s="498" t="s">
        <v>1620</v>
      </c>
      <c r="QTX22" s="498">
        <v>1</v>
      </c>
      <c r="QTY22" s="499">
        <v>1500000</v>
      </c>
      <c r="QTZ22" s="498">
        <v>1.58</v>
      </c>
      <c r="QUA22" s="498">
        <v>1</v>
      </c>
      <c r="QUB22" s="501">
        <v>6.75</v>
      </c>
      <c r="QUC22" s="486">
        <v>5.0999999999999996</v>
      </c>
      <c r="QUD22" s="452" t="s">
        <v>2691</v>
      </c>
      <c r="QUE22" s="498" t="s">
        <v>1620</v>
      </c>
      <c r="QUF22" s="498">
        <v>1</v>
      </c>
      <c r="QUG22" s="499">
        <v>1500000</v>
      </c>
      <c r="QUH22" s="498">
        <v>1.58</v>
      </c>
      <c r="QUI22" s="498">
        <v>1</v>
      </c>
      <c r="QUJ22" s="501">
        <v>6.75</v>
      </c>
      <c r="QUK22" s="486">
        <v>5.0999999999999996</v>
      </c>
      <c r="QUL22" s="452" t="s">
        <v>2691</v>
      </c>
      <c r="QUM22" s="498" t="s">
        <v>1620</v>
      </c>
      <c r="QUN22" s="498">
        <v>1</v>
      </c>
      <c r="QUO22" s="499">
        <v>1500000</v>
      </c>
      <c r="QUP22" s="498">
        <v>1.58</v>
      </c>
      <c r="QUQ22" s="498">
        <v>1</v>
      </c>
      <c r="QUR22" s="501">
        <v>6.75</v>
      </c>
      <c r="QUS22" s="486">
        <v>5.0999999999999996</v>
      </c>
      <c r="QUT22" s="452" t="s">
        <v>2691</v>
      </c>
      <c r="QUU22" s="498" t="s">
        <v>1620</v>
      </c>
      <c r="QUV22" s="498">
        <v>1</v>
      </c>
      <c r="QUW22" s="499">
        <v>1500000</v>
      </c>
      <c r="QUX22" s="498">
        <v>1.58</v>
      </c>
      <c r="QUY22" s="498">
        <v>1</v>
      </c>
      <c r="QUZ22" s="501">
        <v>6.75</v>
      </c>
      <c r="QVA22" s="486">
        <v>5.0999999999999996</v>
      </c>
      <c r="QVB22" s="452" t="s">
        <v>2691</v>
      </c>
      <c r="QVC22" s="498" t="s">
        <v>1620</v>
      </c>
      <c r="QVD22" s="498">
        <v>1</v>
      </c>
      <c r="QVE22" s="499">
        <v>1500000</v>
      </c>
      <c r="QVF22" s="498">
        <v>1.58</v>
      </c>
      <c r="QVG22" s="498">
        <v>1</v>
      </c>
      <c r="QVH22" s="501">
        <v>6.75</v>
      </c>
      <c r="QVI22" s="486">
        <v>5.0999999999999996</v>
      </c>
      <c r="QVJ22" s="452" t="s">
        <v>2691</v>
      </c>
      <c r="QVK22" s="498" t="s">
        <v>1620</v>
      </c>
      <c r="QVL22" s="498">
        <v>1</v>
      </c>
      <c r="QVM22" s="499">
        <v>1500000</v>
      </c>
      <c r="QVN22" s="498">
        <v>1.58</v>
      </c>
      <c r="QVO22" s="498">
        <v>1</v>
      </c>
      <c r="QVP22" s="501">
        <v>6.75</v>
      </c>
      <c r="QVQ22" s="486">
        <v>5.0999999999999996</v>
      </c>
      <c r="QVR22" s="452" t="s">
        <v>2691</v>
      </c>
      <c r="QVS22" s="498" t="s">
        <v>1620</v>
      </c>
      <c r="QVT22" s="498">
        <v>1</v>
      </c>
      <c r="QVU22" s="499">
        <v>1500000</v>
      </c>
      <c r="QVV22" s="498">
        <v>1.58</v>
      </c>
      <c r="QVW22" s="498">
        <v>1</v>
      </c>
      <c r="QVX22" s="501">
        <v>6.75</v>
      </c>
      <c r="QVY22" s="486">
        <v>5.0999999999999996</v>
      </c>
      <c r="QVZ22" s="452" t="s">
        <v>2691</v>
      </c>
      <c r="QWA22" s="498" t="s">
        <v>1620</v>
      </c>
      <c r="QWB22" s="498">
        <v>1</v>
      </c>
      <c r="QWC22" s="499">
        <v>1500000</v>
      </c>
      <c r="QWD22" s="498">
        <v>1.58</v>
      </c>
      <c r="QWE22" s="498">
        <v>1</v>
      </c>
      <c r="QWF22" s="501">
        <v>6.75</v>
      </c>
      <c r="QWG22" s="486">
        <v>5.0999999999999996</v>
      </c>
      <c r="QWH22" s="452" t="s">
        <v>2691</v>
      </c>
      <c r="QWI22" s="498" t="s">
        <v>1620</v>
      </c>
      <c r="QWJ22" s="498">
        <v>1</v>
      </c>
      <c r="QWK22" s="499">
        <v>1500000</v>
      </c>
      <c r="QWL22" s="498">
        <v>1.58</v>
      </c>
      <c r="QWM22" s="498">
        <v>1</v>
      </c>
      <c r="QWN22" s="501">
        <v>6.75</v>
      </c>
      <c r="QWO22" s="486">
        <v>5.0999999999999996</v>
      </c>
      <c r="QWP22" s="452" t="s">
        <v>2691</v>
      </c>
      <c r="QWQ22" s="498" t="s">
        <v>1620</v>
      </c>
      <c r="QWR22" s="498">
        <v>1</v>
      </c>
      <c r="QWS22" s="499">
        <v>1500000</v>
      </c>
      <c r="QWT22" s="498">
        <v>1.58</v>
      </c>
      <c r="QWU22" s="498">
        <v>1</v>
      </c>
      <c r="QWV22" s="501">
        <v>6.75</v>
      </c>
      <c r="QWW22" s="486">
        <v>5.0999999999999996</v>
      </c>
      <c r="QWX22" s="452" t="s">
        <v>2691</v>
      </c>
      <c r="QWY22" s="498" t="s">
        <v>1620</v>
      </c>
      <c r="QWZ22" s="498">
        <v>1</v>
      </c>
      <c r="QXA22" s="499">
        <v>1500000</v>
      </c>
      <c r="QXB22" s="498">
        <v>1.58</v>
      </c>
      <c r="QXC22" s="498">
        <v>1</v>
      </c>
      <c r="QXD22" s="501">
        <v>6.75</v>
      </c>
      <c r="QXE22" s="486">
        <v>5.0999999999999996</v>
      </c>
      <c r="QXF22" s="452" t="s">
        <v>2691</v>
      </c>
      <c r="QXG22" s="498" t="s">
        <v>1620</v>
      </c>
      <c r="QXH22" s="498">
        <v>1</v>
      </c>
      <c r="QXI22" s="499">
        <v>1500000</v>
      </c>
      <c r="QXJ22" s="498">
        <v>1.58</v>
      </c>
      <c r="QXK22" s="498">
        <v>1</v>
      </c>
      <c r="QXL22" s="501">
        <v>6.75</v>
      </c>
      <c r="QXM22" s="486">
        <v>5.0999999999999996</v>
      </c>
      <c r="QXN22" s="452" t="s">
        <v>2691</v>
      </c>
      <c r="QXO22" s="498" t="s">
        <v>1620</v>
      </c>
      <c r="QXP22" s="498">
        <v>1</v>
      </c>
      <c r="QXQ22" s="499">
        <v>1500000</v>
      </c>
      <c r="QXR22" s="498">
        <v>1.58</v>
      </c>
      <c r="QXS22" s="498">
        <v>1</v>
      </c>
      <c r="QXT22" s="501">
        <v>6.75</v>
      </c>
      <c r="QXU22" s="486">
        <v>5.0999999999999996</v>
      </c>
      <c r="QXV22" s="452" t="s">
        <v>2691</v>
      </c>
      <c r="QXW22" s="498" t="s">
        <v>1620</v>
      </c>
      <c r="QXX22" s="498">
        <v>1</v>
      </c>
      <c r="QXY22" s="499">
        <v>1500000</v>
      </c>
      <c r="QXZ22" s="498">
        <v>1.58</v>
      </c>
      <c r="QYA22" s="498">
        <v>1</v>
      </c>
      <c r="QYB22" s="501">
        <v>6.75</v>
      </c>
      <c r="QYC22" s="486">
        <v>5.0999999999999996</v>
      </c>
      <c r="QYD22" s="452" t="s">
        <v>2691</v>
      </c>
      <c r="QYE22" s="498" t="s">
        <v>1620</v>
      </c>
      <c r="QYF22" s="498">
        <v>1</v>
      </c>
      <c r="QYG22" s="499">
        <v>1500000</v>
      </c>
      <c r="QYH22" s="498">
        <v>1.58</v>
      </c>
      <c r="QYI22" s="498">
        <v>1</v>
      </c>
      <c r="QYJ22" s="501">
        <v>6.75</v>
      </c>
      <c r="QYK22" s="486">
        <v>5.0999999999999996</v>
      </c>
      <c r="QYL22" s="452" t="s">
        <v>2691</v>
      </c>
      <c r="QYM22" s="498" t="s">
        <v>1620</v>
      </c>
      <c r="QYN22" s="498">
        <v>1</v>
      </c>
      <c r="QYO22" s="499">
        <v>1500000</v>
      </c>
      <c r="QYP22" s="498">
        <v>1.58</v>
      </c>
      <c r="QYQ22" s="498">
        <v>1</v>
      </c>
      <c r="QYR22" s="501">
        <v>6.75</v>
      </c>
      <c r="QYS22" s="486">
        <v>5.0999999999999996</v>
      </c>
      <c r="QYT22" s="452" t="s">
        <v>2691</v>
      </c>
      <c r="QYU22" s="498" t="s">
        <v>1620</v>
      </c>
      <c r="QYV22" s="498">
        <v>1</v>
      </c>
      <c r="QYW22" s="499">
        <v>1500000</v>
      </c>
      <c r="QYX22" s="498">
        <v>1.58</v>
      </c>
      <c r="QYY22" s="498">
        <v>1</v>
      </c>
      <c r="QYZ22" s="501">
        <v>6.75</v>
      </c>
      <c r="QZA22" s="486">
        <v>5.0999999999999996</v>
      </c>
      <c r="QZB22" s="452" t="s">
        <v>2691</v>
      </c>
      <c r="QZC22" s="498" t="s">
        <v>1620</v>
      </c>
      <c r="QZD22" s="498">
        <v>1</v>
      </c>
      <c r="QZE22" s="499">
        <v>1500000</v>
      </c>
      <c r="QZF22" s="498">
        <v>1.58</v>
      </c>
      <c r="QZG22" s="498">
        <v>1</v>
      </c>
      <c r="QZH22" s="501">
        <v>6.75</v>
      </c>
      <c r="QZI22" s="486">
        <v>5.0999999999999996</v>
      </c>
      <c r="QZJ22" s="452" t="s">
        <v>2691</v>
      </c>
      <c r="QZK22" s="498" t="s">
        <v>1620</v>
      </c>
      <c r="QZL22" s="498">
        <v>1</v>
      </c>
      <c r="QZM22" s="499">
        <v>1500000</v>
      </c>
      <c r="QZN22" s="498">
        <v>1.58</v>
      </c>
      <c r="QZO22" s="498">
        <v>1</v>
      </c>
      <c r="QZP22" s="501">
        <v>6.75</v>
      </c>
      <c r="QZQ22" s="486">
        <v>5.0999999999999996</v>
      </c>
      <c r="QZR22" s="452" t="s">
        <v>2691</v>
      </c>
      <c r="QZS22" s="498" t="s">
        <v>1620</v>
      </c>
      <c r="QZT22" s="498">
        <v>1</v>
      </c>
      <c r="QZU22" s="499">
        <v>1500000</v>
      </c>
      <c r="QZV22" s="498">
        <v>1.58</v>
      </c>
      <c r="QZW22" s="498">
        <v>1</v>
      </c>
      <c r="QZX22" s="501">
        <v>6.75</v>
      </c>
      <c r="QZY22" s="486">
        <v>5.0999999999999996</v>
      </c>
      <c r="QZZ22" s="452" t="s">
        <v>2691</v>
      </c>
      <c r="RAA22" s="498" t="s">
        <v>1620</v>
      </c>
      <c r="RAB22" s="498">
        <v>1</v>
      </c>
      <c r="RAC22" s="499">
        <v>1500000</v>
      </c>
      <c r="RAD22" s="498">
        <v>1.58</v>
      </c>
      <c r="RAE22" s="498">
        <v>1</v>
      </c>
      <c r="RAF22" s="501">
        <v>6.75</v>
      </c>
      <c r="RAG22" s="486">
        <v>5.0999999999999996</v>
      </c>
      <c r="RAH22" s="452" t="s">
        <v>2691</v>
      </c>
      <c r="RAI22" s="498" t="s">
        <v>1620</v>
      </c>
      <c r="RAJ22" s="498">
        <v>1</v>
      </c>
      <c r="RAK22" s="499">
        <v>1500000</v>
      </c>
      <c r="RAL22" s="498">
        <v>1.58</v>
      </c>
      <c r="RAM22" s="498">
        <v>1</v>
      </c>
      <c r="RAN22" s="501">
        <v>6.75</v>
      </c>
      <c r="RAO22" s="486">
        <v>5.0999999999999996</v>
      </c>
      <c r="RAP22" s="452" t="s">
        <v>2691</v>
      </c>
      <c r="RAQ22" s="498" t="s">
        <v>1620</v>
      </c>
      <c r="RAR22" s="498">
        <v>1</v>
      </c>
      <c r="RAS22" s="499">
        <v>1500000</v>
      </c>
      <c r="RAT22" s="498">
        <v>1.58</v>
      </c>
      <c r="RAU22" s="498">
        <v>1</v>
      </c>
      <c r="RAV22" s="501">
        <v>6.75</v>
      </c>
      <c r="RAW22" s="486">
        <v>5.0999999999999996</v>
      </c>
      <c r="RAX22" s="452" t="s">
        <v>2691</v>
      </c>
      <c r="RAY22" s="498" t="s">
        <v>1620</v>
      </c>
      <c r="RAZ22" s="498">
        <v>1</v>
      </c>
      <c r="RBA22" s="499">
        <v>1500000</v>
      </c>
      <c r="RBB22" s="498">
        <v>1.58</v>
      </c>
      <c r="RBC22" s="498">
        <v>1</v>
      </c>
      <c r="RBD22" s="501">
        <v>6.75</v>
      </c>
      <c r="RBE22" s="486">
        <v>5.0999999999999996</v>
      </c>
      <c r="RBF22" s="452" t="s">
        <v>2691</v>
      </c>
      <c r="RBG22" s="498" t="s">
        <v>1620</v>
      </c>
      <c r="RBH22" s="498">
        <v>1</v>
      </c>
      <c r="RBI22" s="499">
        <v>1500000</v>
      </c>
      <c r="RBJ22" s="498">
        <v>1.58</v>
      </c>
      <c r="RBK22" s="498">
        <v>1</v>
      </c>
      <c r="RBL22" s="501">
        <v>6.75</v>
      </c>
      <c r="RBM22" s="486">
        <v>5.0999999999999996</v>
      </c>
      <c r="RBN22" s="452" t="s">
        <v>2691</v>
      </c>
      <c r="RBO22" s="498" t="s">
        <v>1620</v>
      </c>
      <c r="RBP22" s="498">
        <v>1</v>
      </c>
      <c r="RBQ22" s="499">
        <v>1500000</v>
      </c>
      <c r="RBR22" s="498">
        <v>1.58</v>
      </c>
      <c r="RBS22" s="498">
        <v>1</v>
      </c>
      <c r="RBT22" s="501">
        <v>6.75</v>
      </c>
      <c r="RBU22" s="486">
        <v>5.0999999999999996</v>
      </c>
      <c r="RBV22" s="452" t="s">
        <v>2691</v>
      </c>
      <c r="RBW22" s="498" t="s">
        <v>1620</v>
      </c>
      <c r="RBX22" s="498">
        <v>1</v>
      </c>
      <c r="RBY22" s="499">
        <v>1500000</v>
      </c>
      <c r="RBZ22" s="498">
        <v>1.58</v>
      </c>
      <c r="RCA22" s="498">
        <v>1</v>
      </c>
      <c r="RCB22" s="501">
        <v>6.75</v>
      </c>
      <c r="RCC22" s="486">
        <v>5.0999999999999996</v>
      </c>
      <c r="RCD22" s="452" t="s">
        <v>2691</v>
      </c>
      <c r="RCE22" s="498" t="s">
        <v>1620</v>
      </c>
      <c r="RCF22" s="498">
        <v>1</v>
      </c>
      <c r="RCG22" s="499">
        <v>1500000</v>
      </c>
      <c r="RCH22" s="498">
        <v>1.58</v>
      </c>
      <c r="RCI22" s="498">
        <v>1</v>
      </c>
      <c r="RCJ22" s="501">
        <v>6.75</v>
      </c>
      <c r="RCK22" s="486">
        <v>5.0999999999999996</v>
      </c>
      <c r="RCL22" s="452" t="s">
        <v>2691</v>
      </c>
      <c r="RCM22" s="498" t="s">
        <v>1620</v>
      </c>
      <c r="RCN22" s="498">
        <v>1</v>
      </c>
      <c r="RCO22" s="499">
        <v>1500000</v>
      </c>
      <c r="RCP22" s="498">
        <v>1.58</v>
      </c>
      <c r="RCQ22" s="498">
        <v>1</v>
      </c>
      <c r="RCR22" s="501">
        <v>6.75</v>
      </c>
      <c r="RCS22" s="486">
        <v>5.0999999999999996</v>
      </c>
      <c r="RCT22" s="452" t="s">
        <v>2691</v>
      </c>
      <c r="RCU22" s="498" t="s">
        <v>1620</v>
      </c>
      <c r="RCV22" s="498">
        <v>1</v>
      </c>
      <c r="RCW22" s="499">
        <v>1500000</v>
      </c>
      <c r="RCX22" s="498">
        <v>1.58</v>
      </c>
      <c r="RCY22" s="498">
        <v>1</v>
      </c>
      <c r="RCZ22" s="501">
        <v>6.75</v>
      </c>
      <c r="RDA22" s="486">
        <v>5.0999999999999996</v>
      </c>
      <c r="RDB22" s="452" t="s">
        <v>2691</v>
      </c>
      <c r="RDC22" s="498" t="s">
        <v>1620</v>
      </c>
      <c r="RDD22" s="498">
        <v>1</v>
      </c>
      <c r="RDE22" s="499">
        <v>1500000</v>
      </c>
      <c r="RDF22" s="498">
        <v>1.58</v>
      </c>
      <c r="RDG22" s="498">
        <v>1</v>
      </c>
      <c r="RDH22" s="501">
        <v>6.75</v>
      </c>
      <c r="RDI22" s="486">
        <v>5.0999999999999996</v>
      </c>
      <c r="RDJ22" s="452" t="s">
        <v>2691</v>
      </c>
      <c r="RDK22" s="498" t="s">
        <v>1620</v>
      </c>
      <c r="RDL22" s="498">
        <v>1</v>
      </c>
      <c r="RDM22" s="499">
        <v>1500000</v>
      </c>
      <c r="RDN22" s="498">
        <v>1.58</v>
      </c>
      <c r="RDO22" s="498">
        <v>1</v>
      </c>
      <c r="RDP22" s="501">
        <v>6.75</v>
      </c>
      <c r="RDQ22" s="486">
        <v>5.0999999999999996</v>
      </c>
      <c r="RDR22" s="452" t="s">
        <v>2691</v>
      </c>
      <c r="RDS22" s="498" t="s">
        <v>1620</v>
      </c>
      <c r="RDT22" s="498">
        <v>1</v>
      </c>
      <c r="RDU22" s="499">
        <v>1500000</v>
      </c>
      <c r="RDV22" s="498">
        <v>1.58</v>
      </c>
      <c r="RDW22" s="498">
        <v>1</v>
      </c>
      <c r="RDX22" s="501">
        <v>6.75</v>
      </c>
      <c r="RDY22" s="486">
        <v>5.0999999999999996</v>
      </c>
      <c r="RDZ22" s="452" t="s">
        <v>2691</v>
      </c>
      <c r="REA22" s="498" t="s">
        <v>1620</v>
      </c>
      <c r="REB22" s="498">
        <v>1</v>
      </c>
      <c r="REC22" s="499">
        <v>1500000</v>
      </c>
      <c r="RED22" s="498">
        <v>1.58</v>
      </c>
      <c r="REE22" s="498">
        <v>1</v>
      </c>
      <c r="REF22" s="501">
        <v>6.75</v>
      </c>
      <c r="REG22" s="486">
        <v>5.0999999999999996</v>
      </c>
      <c r="REH22" s="452" t="s">
        <v>2691</v>
      </c>
      <c r="REI22" s="498" t="s">
        <v>1620</v>
      </c>
      <c r="REJ22" s="498">
        <v>1</v>
      </c>
      <c r="REK22" s="499">
        <v>1500000</v>
      </c>
      <c r="REL22" s="498">
        <v>1.58</v>
      </c>
      <c r="REM22" s="498">
        <v>1</v>
      </c>
      <c r="REN22" s="501">
        <v>6.75</v>
      </c>
      <c r="REO22" s="486">
        <v>5.0999999999999996</v>
      </c>
      <c r="REP22" s="452" t="s">
        <v>2691</v>
      </c>
      <c r="REQ22" s="498" t="s">
        <v>1620</v>
      </c>
      <c r="RER22" s="498">
        <v>1</v>
      </c>
      <c r="RES22" s="499">
        <v>1500000</v>
      </c>
      <c r="RET22" s="498">
        <v>1.58</v>
      </c>
      <c r="REU22" s="498">
        <v>1</v>
      </c>
      <c r="REV22" s="501">
        <v>6.75</v>
      </c>
      <c r="REW22" s="486">
        <v>5.0999999999999996</v>
      </c>
      <c r="REX22" s="452" t="s">
        <v>2691</v>
      </c>
      <c r="REY22" s="498" t="s">
        <v>1620</v>
      </c>
      <c r="REZ22" s="498">
        <v>1</v>
      </c>
      <c r="RFA22" s="499">
        <v>1500000</v>
      </c>
      <c r="RFB22" s="498">
        <v>1.58</v>
      </c>
      <c r="RFC22" s="498">
        <v>1</v>
      </c>
      <c r="RFD22" s="501">
        <v>6.75</v>
      </c>
      <c r="RFE22" s="486">
        <v>5.0999999999999996</v>
      </c>
      <c r="RFF22" s="452" t="s">
        <v>2691</v>
      </c>
      <c r="RFG22" s="498" t="s">
        <v>1620</v>
      </c>
      <c r="RFH22" s="498">
        <v>1</v>
      </c>
      <c r="RFI22" s="499">
        <v>1500000</v>
      </c>
      <c r="RFJ22" s="498">
        <v>1.58</v>
      </c>
      <c r="RFK22" s="498">
        <v>1</v>
      </c>
      <c r="RFL22" s="501">
        <v>6.75</v>
      </c>
      <c r="RFM22" s="486">
        <v>5.0999999999999996</v>
      </c>
      <c r="RFN22" s="452" t="s">
        <v>2691</v>
      </c>
      <c r="RFO22" s="498" t="s">
        <v>1620</v>
      </c>
      <c r="RFP22" s="498">
        <v>1</v>
      </c>
      <c r="RFQ22" s="499">
        <v>1500000</v>
      </c>
      <c r="RFR22" s="498">
        <v>1.58</v>
      </c>
      <c r="RFS22" s="498">
        <v>1</v>
      </c>
      <c r="RFT22" s="501">
        <v>6.75</v>
      </c>
      <c r="RFU22" s="486">
        <v>5.0999999999999996</v>
      </c>
      <c r="RFV22" s="452" t="s">
        <v>2691</v>
      </c>
      <c r="RFW22" s="498" t="s">
        <v>1620</v>
      </c>
      <c r="RFX22" s="498">
        <v>1</v>
      </c>
      <c r="RFY22" s="499">
        <v>1500000</v>
      </c>
      <c r="RFZ22" s="498">
        <v>1.58</v>
      </c>
      <c r="RGA22" s="498">
        <v>1</v>
      </c>
      <c r="RGB22" s="501">
        <v>6.75</v>
      </c>
      <c r="RGC22" s="486">
        <v>5.0999999999999996</v>
      </c>
      <c r="RGD22" s="452" t="s">
        <v>2691</v>
      </c>
      <c r="RGE22" s="498" t="s">
        <v>1620</v>
      </c>
      <c r="RGF22" s="498">
        <v>1</v>
      </c>
      <c r="RGG22" s="499">
        <v>1500000</v>
      </c>
      <c r="RGH22" s="498">
        <v>1.58</v>
      </c>
      <c r="RGI22" s="498">
        <v>1</v>
      </c>
      <c r="RGJ22" s="501">
        <v>6.75</v>
      </c>
      <c r="RGK22" s="486">
        <v>5.0999999999999996</v>
      </c>
      <c r="RGL22" s="452" t="s">
        <v>2691</v>
      </c>
      <c r="RGM22" s="498" t="s">
        <v>1620</v>
      </c>
      <c r="RGN22" s="498">
        <v>1</v>
      </c>
      <c r="RGO22" s="499">
        <v>1500000</v>
      </c>
      <c r="RGP22" s="498">
        <v>1.58</v>
      </c>
      <c r="RGQ22" s="498">
        <v>1</v>
      </c>
      <c r="RGR22" s="501">
        <v>6.75</v>
      </c>
      <c r="RGS22" s="486">
        <v>5.0999999999999996</v>
      </c>
      <c r="RGT22" s="452" t="s">
        <v>2691</v>
      </c>
      <c r="RGU22" s="498" t="s">
        <v>1620</v>
      </c>
      <c r="RGV22" s="498">
        <v>1</v>
      </c>
      <c r="RGW22" s="499">
        <v>1500000</v>
      </c>
      <c r="RGX22" s="498">
        <v>1.58</v>
      </c>
      <c r="RGY22" s="498">
        <v>1</v>
      </c>
      <c r="RGZ22" s="501">
        <v>6.75</v>
      </c>
      <c r="RHA22" s="486">
        <v>5.0999999999999996</v>
      </c>
      <c r="RHB22" s="452" t="s">
        <v>2691</v>
      </c>
      <c r="RHC22" s="498" t="s">
        <v>1620</v>
      </c>
      <c r="RHD22" s="498">
        <v>1</v>
      </c>
      <c r="RHE22" s="499">
        <v>1500000</v>
      </c>
      <c r="RHF22" s="498">
        <v>1.58</v>
      </c>
      <c r="RHG22" s="498">
        <v>1</v>
      </c>
      <c r="RHH22" s="501">
        <v>6.75</v>
      </c>
      <c r="RHI22" s="486">
        <v>5.0999999999999996</v>
      </c>
      <c r="RHJ22" s="452" t="s">
        <v>2691</v>
      </c>
      <c r="RHK22" s="498" t="s">
        <v>1620</v>
      </c>
      <c r="RHL22" s="498">
        <v>1</v>
      </c>
      <c r="RHM22" s="499">
        <v>1500000</v>
      </c>
      <c r="RHN22" s="498">
        <v>1.58</v>
      </c>
      <c r="RHO22" s="498">
        <v>1</v>
      </c>
      <c r="RHP22" s="501">
        <v>6.75</v>
      </c>
      <c r="RHQ22" s="486">
        <v>5.0999999999999996</v>
      </c>
      <c r="RHR22" s="452" t="s">
        <v>2691</v>
      </c>
      <c r="RHS22" s="498" t="s">
        <v>1620</v>
      </c>
      <c r="RHT22" s="498">
        <v>1</v>
      </c>
      <c r="RHU22" s="499">
        <v>1500000</v>
      </c>
      <c r="RHV22" s="498">
        <v>1.58</v>
      </c>
      <c r="RHW22" s="498">
        <v>1</v>
      </c>
      <c r="RHX22" s="501">
        <v>6.75</v>
      </c>
      <c r="RHY22" s="486">
        <v>5.0999999999999996</v>
      </c>
      <c r="RHZ22" s="452" t="s">
        <v>2691</v>
      </c>
      <c r="RIA22" s="498" t="s">
        <v>1620</v>
      </c>
      <c r="RIB22" s="498">
        <v>1</v>
      </c>
      <c r="RIC22" s="499">
        <v>1500000</v>
      </c>
      <c r="RID22" s="498">
        <v>1.58</v>
      </c>
      <c r="RIE22" s="498">
        <v>1</v>
      </c>
      <c r="RIF22" s="501">
        <v>6.75</v>
      </c>
      <c r="RIG22" s="486">
        <v>5.0999999999999996</v>
      </c>
      <c r="RIH22" s="452" t="s">
        <v>2691</v>
      </c>
      <c r="RII22" s="498" t="s">
        <v>1620</v>
      </c>
      <c r="RIJ22" s="498">
        <v>1</v>
      </c>
      <c r="RIK22" s="499">
        <v>1500000</v>
      </c>
      <c r="RIL22" s="498">
        <v>1.58</v>
      </c>
      <c r="RIM22" s="498">
        <v>1</v>
      </c>
      <c r="RIN22" s="501">
        <v>6.75</v>
      </c>
      <c r="RIO22" s="486">
        <v>5.0999999999999996</v>
      </c>
      <c r="RIP22" s="452" t="s">
        <v>2691</v>
      </c>
      <c r="RIQ22" s="498" t="s">
        <v>1620</v>
      </c>
      <c r="RIR22" s="498">
        <v>1</v>
      </c>
      <c r="RIS22" s="499">
        <v>1500000</v>
      </c>
      <c r="RIT22" s="498">
        <v>1.58</v>
      </c>
      <c r="RIU22" s="498">
        <v>1</v>
      </c>
      <c r="RIV22" s="501">
        <v>6.75</v>
      </c>
      <c r="RIW22" s="486">
        <v>5.0999999999999996</v>
      </c>
      <c r="RIX22" s="452" t="s">
        <v>2691</v>
      </c>
      <c r="RIY22" s="498" t="s">
        <v>1620</v>
      </c>
      <c r="RIZ22" s="498">
        <v>1</v>
      </c>
      <c r="RJA22" s="499">
        <v>1500000</v>
      </c>
      <c r="RJB22" s="498">
        <v>1.58</v>
      </c>
      <c r="RJC22" s="498">
        <v>1</v>
      </c>
      <c r="RJD22" s="501">
        <v>6.75</v>
      </c>
      <c r="RJE22" s="486">
        <v>5.0999999999999996</v>
      </c>
      <c r="RJF22" s="452" t="s">
        <v>2691</v>
      </c>
      <c r="RJG22" s="498" t="s">
        <v>1620</v>
      </c>
      <c r="RJH22" s="498">
        <v>1</v>
      </c>
      <c r="RJI22" s="499">
        <v>1500000</v>
      </c>
      <c r="RJJ22" s="498">
        <v>1.58</v>
      </c>
      <c r="RJK22" s="498">
        <v>1</v>
      </c>
      <c r="RJL22" s="501">
        <v>6.75</v>
      </c>
      <c r="RJM22" s="486">
        <v>5.0999999999999996</v>
      </c>
      <c r="RJN22" s="452" t="s">
        <v>2691</v>
      </c>
      <c r="RJO22" s="498" t="s">
        <v>1620</v>
      </c>
      <c r="RJP22" s="498">
        <v>1</v>
      </c>
      <c r="RJQ22" s="499">
        <v>1500000</v>
      </c>
      <c r="RJR22" s="498">
        <v>1.58</v>
      </c>
      <c r="RJS22" s="498">
        <v>1</v>
      </c>
      <c r="RJT22" s="501">
        <v>6.75</v>
      </c>
      <c r="RJU22" s="486">
        <v>5.0999999999999996</v>
      </c>
      <c r="RJV22" s="452" t="s">
        <v>2691</v>
      </c>
      <c r="RJW22" s="498" t="s">
        <v>1620</v>
      </c>
      <c r="RJX22" s="498">
        <v>1</v>
      </c>
      <c r="RJY22" s="499">
        <v>1500000</v>
      </c>
      <c r="RJZ22" s="498">
        <v>1.58</v>
      </c>
      <c r="RKA22" s="498">
        <v>1</v>
      </c>
      <c r="RKB22" s="501">
        <v>6.75</v>
      </c>
      <c r="RKC22" s="486">
        <v>5.0999999999999996</v>
      </c>
      <c r="RKD22" s="452" t="s">
        <v>2691</v>
      </c>
      <c r="RKE22" s="498" t="s">
        <v>1620</v>
      </c>
      <c r="RKF22" s="498">
        <v>1</v>
      </c>
      <c r="RKG22" s="499">
        <v>1500000</v>
      </c>
      <c r="RKH22" s="498">
        <v>1.58</v>
      </c>
      <c r="RKI22" s="498">
        <v>1</v>
      </c>
      <c r="RKJ22" s="501">
        <v>6.75</v>
      </c>
      <c r="RKK22" s="486">
        <v>5.0999999999999996</v>
      </c>
      <c r="RKL22" s="452" t="s">
        <v>2691</v>
      </c>
      <c r="RKM22" s="498" t="s">
        <v>1620</v>
      </c>
      <c r="RKN22" s="498">
        <v>1</v>
      </c>
      <c r="RKO22" s="499">
        <v>1500000</v>
      </c>
      <c r="RKP22" s="498">
        <v>1.58</v>
      </c>
      <c r="RKQ22" s="498">
        <v>1</v>
      </c>
      <c r="RKR22" s="501">
        <v>6.75</v>
      </c>
      <c r="RKS22" s="486">
        <v>5.0999999999999996</v>
      </c>
      <c r="RKT22" s="452" t="s">
        <v>2691</v>
      </c>
      <c r="RKU22" s="498" t="s">
        <v>1620</v>
      </c>
      <c r="RKV22" s="498">
        <v>1</v>
      </c>
      <c r="RKW22" s="499">
        <v>1500000</v>
      </c>
      <c r="RKX22" s="498">
        <v>1.58</v>
      </c>
      <c r="RKY22" s="498">
        <v>1</v>
      </c>
      <c r="RKZ22" s="501">
        <v>6.75</v>
      </c>
      <c r="RLA22" s="486">
        <v>5.0999999999999996</v>
      </c>
      <c r="RLB22" s="452" t="s">
        <v>2691</v>
      </c>
      <c r="RLC22" s="498" t="s">
        <v>1620</v>
      </c>
      <c r="RLD22" s="498">
        <v>1</v>
      </c>
      <c r="RLE22" s="499">
        <v>1500000</v>
      </c>
      <c r="RLF22" s="498">
        <v>1.58</v>
      </c>
      <c r="RLG22" s="498">
        <v>1</v>
      </c>
      <c r="RLH22" s="501">
        <v>6.75</v>
      </c>
      <c r="RLI22" s="486">
        <v>5.0999999999999996</v>
      </c>
      <c r="RLJ22" s="452" t="s">
        <v>2691</v>
      </c>
      <c r="RLK22" s="498" t="s">
        <v>1620</v>
      </c>
      <c r="RLL22" s="498">
        <v>1</v>
      </c>
      <c r="RLM22" s="499">
        <v>1500000</v>
      </c>
      <c r="RLN22" s="498">
        <v>1.58</v>
      </c>
      <c r="RLO22" s="498">
        <v>1</v>
      </c>
      <c r="RLP22" s="501">
        <v>6.75</v>
      </c>
      <c r="RLQ22" s="486">
        <v>5.0999999999999996</v>
      </c>
      <c r="RLR22" s="452" t="s">
        <v>2691</v>
      </c>
      <c r="RLS22" s="498" t="s">
        <v>1620</v>
      </c>
      <c r="RLT22" s="498">
        <v>1</v>
      </c>
      <c r="RLU22" s="499">
        <v>1500000</v>
      </c>
      <c r="RLV22" s="498">
        <v>1.58</v>
      </c>
      <c r="RLW22" s="498">
        <v>1</v>
      </c>
      <c r="RLX22" s="501">
        <v>6.75</v>
      </c>
      <c r="RLY22" s="486">
        <v>5.0999999999999996</v>
      </c>
      <c r="RLZ22" s="452" t="s">
        <v>2691</v>
      </c>
      <c r="RMA22" s="498" t="s">
        <v>1620</v>
      </c>
      <c r="RMB22" s="498">
        <v>1</v>
      </c>
      <c r="RMC22" s="499">
        <v>1500000</v>
      </c>
      <c r="RMD22" s="498">
        <v>1.58</v>
      </c>
      <c r="RME22" s="498">
        <v>1</v>
      </c>
      <c r="RMF22" s="501">
        <v>6.75</v>
      </c>
      <c r="RMG22" s="486">
        <v>5.0999999999999996</v>
      </c>
      <c r="RMH22" s="452" t="s">
        <v>2691</v>
      </c>
      <c r="RMI22" s="498" t="s">
        <v>1620</v>
      </c>
      <c r="RMJ22" s="498">
        <v>1</v>
      </c>
      <c r="RMK22" s="499">
        <v>1500000</v>
      </c>
      <c r="RML22" s="498">
        <v>1.58</v>
      </c>
      <c r="RMM22" s="498">
        <v>1</v>
      </c>
      <c r="RMN22" s="501">
        <v>6.75</v>
      </c>
      <c r="RMO22" s="486">
        <v>5.0999999999999996</v>
      </c>
      <c r="RMP22" s="452" t="s">
        <v>2691</v>
      </c>
      <c r="RMQ22" s="498" t="s">
        <v>1620</v>
      </c>
      <c r="RMR22" s="498">
        <v>1</v>
      </c>
      <c r="RMS22" s="499">
        <v>1500000</v>
      </c>
      <c r="RMT22" s="498">
        <v>1.58</v>
      </c>
      <c r="RMU22" s="498">
        <v>1</v>
      </c>
      <c r="RMV22" s="501">
        <v>6.75</v>
      </c>
      <c r="RMW22" s="486">
        <v>5.0999999999999996</v>
      </c>
      <c r="RMX22" s="452" t="s">
        <v>2691</v>
      </c>
      <c r="RMY22" s="498" t="s">
        <v>1620</v>
      </c>
      <c r="RMZ22" s="498">
        <v>1</v>
      </c>
      <c r="RNA22" s="499">
        <v>1500000</v>
      </c>
      <c r="RNB22" s="498">
        <v>1.58</v>
      </c>
      <c r="RNC22" s="498">
        <v>1</v>
      </c>
      <c r="RND22" s="501">
        <v>6.75</v>
      </c>
      <c r="RNE22" s="486">
        <v>5.0999999999999996</v>
      </c>
      <c r="RNF22" s="452" t="s">
        <v>2691</v>
      </c>
      <c r="RNG22" s="498" t="s">
        <v>1620</v>
      </c>
      <c r="RNH22" s="498">
        <v>1</v>
      </c>
      <c r="RNI22" s="499">
        <v>1500000</v>
      </c>
      <c r="RNJ22" s="498">
        <v>1.58</v>
      </c>
      <c r="RNK22" s="498">
        <v>1</v>
      </c>
      <c r="RNL22" s="501">
        <v>6.75</v>
      </c>
      <c r="RNM22" s="486">
        <v>5.0999999999999996</v>
      </c>
      <c r="RNN22" s="452" t="s">
        <v>2691</v>
      </c>
      <c r="RNO22" s="498" t="s">
        <v>1620</v>
      </c>
      <c r="RNP22" s="498">
        <v>1</v>
      </c>
      <c r="RNQ22" s="499">
        <v>1500000</v>
      </c>
      <c r="RNR22" s="498">
        <v>1.58</v>
      </c>
      <c r="RNS22" s="498">
        <v>1</v>
      </c>
      <c r="RNT22" s="501">
        <v>6.75</v>
      </c>
      <c r="RNU22" s="486">
        <v>5.0999999999999996</v>
      </c>
      <c r="RNV22" s="452" t="s">
        <v>2691</v>
      </c>
      <c r="RNW22" s="498" t="s">
        <v>1620</v>
      </c>
      <c r="RNX22" s="498">
        <v>1</v>
      </c>
      <c r="RNY22" s="499">
        <v>1500000</v>
      </c>
      <c r="RNZ22" s="498">
        <v>1.58</v>
      </c>
      <c r="ROA22" s="498">
        <v>1</v>
      </c>
      <c r="ROB22" s="501">
        <v>6.75</v>
      </c>
      <c r="ROC22" s="486">
        <v>5.0999999999999996</v>
      </c>
      <c r="ROD22" s="452" t="s">
        <v>2691</v>
      </c>
      <c r="ROE22" s="498" t="s">
        <v>1620</v>
      </c>
      <c r="ROF22" s="498">
        <v>1</v>
      </c>
      <c r="ROG22" s="499">
        <v>1500000</v>
      </c>
      <c r="ROH22" s="498">
        <v>1.58</v>
      </c>
      <c r="ROI22" s="498">
        <v>1</v>
      </c>
      <c r="ROJ22" s="501">
        <v>6.75</v>
      </c>
      <c r="ROK22" s="486">
        <v>5.0999999999999996</v>
      </c>
      <c r="ROL22" s="452" t="s">
        <v>2691</v>
      </c>
      <c r="ROM22" s="498" t="s">
        <v>1620</v>
      </c>
      <c r="RON22" s="498">
        <v>1</v>
      </c>
      <c r="ROO22" s="499">
        <v>1500000</v>
      </c>
      <c r="ROP22" s="498">
        <v>1.58</v>
      </c>
      <c r="ROQ22" s="498">
        <v>1</v>
      </c>
      <c r="ROR22" s="501">
        <v>6.75</v>
      </c>
      <c r="ROS22" s="486">
        <v>5.0999999999999996</v>
      </c>
      <c r="ROT22" s="452" t="s">
        <v>2691</v>
      </c>
      <c r="ROU22" s="498" t="s">
        <v>1620</v>
      </c>
      <c r="ROV22" s="498">
        <v>1</v>
      </c>
      <c r="ROW22" s="499">
        <v>1500000</v>
      </c>
      <c r="ROX22" s="498">
        <v>1.58</v>
      </c>
      <c r="ROY22" s="498">
        <v>1</v>
      </c>
      <c r="ROZ22" s="501">
        <v>6.75</v>
      </c>
      <c r="RPA22" s="486">
        <v>5.0999999999999996</v>
      </c>
      <c r="RPB22" s="452" t="s">
        <v>2691</v>
      </c>
      <c r="RPC22" s="498" t="s">
        <v>1620</v>
      </c>
      <c r="RPD22" s="498">
        <v>1</v>
      </c>
      <c r="RPE22" s="499">
        <v>1500000</v>
      </c>
      <c r="RPF22" s="498">
        <v>1.58</v>
      </c>
      <c r="RPG22" s="498">
        <v>1</v>
      </c>
      <c r="RPH22" s="501">
        <v>6.75</v>
      </c>
      <c r="RPI22" s="486">
        <v>5.0999999999999996</v>
      </c>
      <c r="RPJ22" s="452" t="s">
        <v>2691</v>
      </c>
      <c r="RPK22" s="498" t="s">
        <v>1620</v>
      </c>
      <c r="RPL22" s="498">
        <v>1</v>
      </c>
      <c r="RPM22" s="499">
        <v>1500000</v>
      </c>
      <c r="RPN22" s="498">
        <v>1.58</v>
      </c>
      <c r="RPO22" s="498">
        <v>1</v>
      </c>
      <c r="RPP22" s="501">
        <v>6.75</v>
      </c>
      <c r="RPQ22" s="486">
        <v>5.0999999999999996</v>
      </c>
      <c r="RPR22" s="452" t="s">
        <v>2691</v>
      </c>
      <c r="RPS22" s="498" t="s">
        <v>1620</v>
      </c>
      <c r="RPT22" s="498">
        <v>1</v>
      </c>
      <c r="RPU22" s="499">
        <v>1500000</v>
      </c>
      <c r="RPV22" s="498">
        <v>1.58</v>
      </c>
      <c r="RPW22" s="498">
        <v>1</v>
      </c>
      <c r="RPX22" s="501">
        <v>6.75</v>
      </c>
      <c r="RPY22" s="486">
        <v>5.0999999999999996</v>
      </c>
      <c r="RPZ22" s="452" t="s">
        <v>2691</v>
      </c>
      <c r="RQA22" s="498" t="s">
        <v>1620</v>
      </c>
      <c r="RQB22" s="498">
        <v>1</v>
      </c>
      <c r="RQC22" s="499">
        <v>1500000</v>
      </c>
      <c r="RQD22" s="498">
        <v>1.58</v>
      </c>
      <c r="RQE22" s="498">
        <v>1</v>
      </c>
      <c r="RQF22" s="501">
        <v>6.75</v>
      </c>
      <c r="RQG22" s="486">
        <v>5.0999999999999996</v>
      </c>
      <c r="RQH22" s="452" t="s">
        <v>2691</v>
      </c>
      <c r="RQI22" s="498" t="s">
        <v>1620</v>
      </c>
      <c r="RQJ22" s="498">
        <v>1</v>
      </c>
      <c r="RQK22" s="499">
        <v>1500000</v>
      </c>
      <c r="RQL22" s="498">
        <v>1.58</v>
      </c>
      <c r="RQM22" s="498">
        <v>1</v>
      </c>
      <c r="RQN22" s="501">
        <v>6.75</v>
      </c>
      <c r="RQO22" s="486">
        <v>5.0999999999999996</v>
      </c>
      <c r="RQP22" s="452" t="s">
        <v>2691</v>
      </c>
      <c r="RQQ22" s="498" t="s">
        <v>1620</v>
      </c>
      <c r="RQR22" s="498">
        <v>1</v>
      </c>
      <c r="RQS22" s="499">
        <v>1500000</v>
      </c>
      <c r="RQT22" s="498">
        <v>1.58</v>
      </c>
      <c r="RQU22" s="498">
        <v>1</v>
      </c>
      <c r="RQV22" s="501">
        <v>6.75</v>
      </c>
      <c r="RQW22" s="486">
        <v>5.0999999999999996</v>
      </c>
      <c r="RQX22" s="452" t="s">
        <v>2691</v>
      </c>
      <c r="RQY22" s="498" t="s">
        <v>1620</v>
      </c>
      <c r="RQZ22" s="498">
        <v>1</v>
      </c>
      <c r="RRA22" s="499">
        <v>1500000</v>
      </c>
      <c r="RRB22" s="498">
        <v>1.58</v>
      </c>
      <c r="RRC22" s="498">
        <v>1</v>
      </c>
      <c r="RRD22" s="501">
        <v>6.75</v>
      </c>
      <c r="RRE22" s="486">
        <v>5.0999999999999996</v>
      </c>
      <c r="RRF22" s="452" t="s">
        <v>2691</v>
      </c>
      <c r="RRG22" s="498" t="s">
        <v>1620</v>
      </c>
      <c r="RRH22" s="498">
        <v>1</v>
      </c>
      <c r="RRI22" s="499">
        <v>1500000</v>
      </c>
      <c r="RRJ22" s="498">
        <v>1.58</v>
      </c>
      <c r="RRK22" s="498">
        <v>1</v>
      </c>
      <c r="RRL22" s="501">
        <v>6.75</v>
      </c>
      <c r="RRM22" s="486">
        <v>5.0999999999999996</v>
      </c>
      <c r="RRN22" s="452" t="s">
        <v>2691</v>
      </c>
      <c r="RRO22" s="498" t="s">
        <v>1620</v>
      </c>
      <c r="RRP22" s="498">
        <v>1</v>
      </c>
      <c r="RRQ22" s="499">
        <v>1500000</v>
      </c>
      <c r="RRR22" s="498">
        <v>1.58</v>
      </c>
      <c r="RRS22" s="498">
        <v>1</v>
      </c>
      <c r="RRT22" s="501">
        <v>6.75</v>
      </c>
      <c r="RRU22" s="486">
        <v>5.0999999999999996</v>
      </c>
      <c r="RRV22" s="452" t="s">
        <v>2691</v>
      </c>
      <c r="RRW22" s="498" t="s">
        <v>1620</v>
      </c>
      <c r="RRX22" s="498">
        <v>1</v>
      </c>
      <c r="RRY22" s="499">
        <v>1500000</v>
      </c>
      <c r="RRZ22" s="498">
        <v>1.58</v>
      </c>
      <c r="RSA22" s="498">
        <v>1</v>
      </c>
      <c r="RSB22" s="501">
        <v>6.75</v>
      </c>
      <c r="RSC22" s="486">
        <v>5.0999999999999996</v>
      </c>
      <c r="RSD22" s="452" t="s">
        <v>2691</v>
      </c>
      <c r="RSE22" s="498" t="s">
        <v>1620</v>
      </c>
      <c r="RSF22" s="498">
        <v>1</v>
      </c>
      <c r="RSG22" s="499">
        <v>1500000</v>
      </c>
      <c r="RSH22" s="498">
        <v>1.58</v>
      </c>
      <c r="RSI22" s="498">
        <v>1</v>
      </c>
      <c r="RSJ22" s="501">
        <v>6.75</v>
      </c>
      <c r="RSK22" s="486">
        <v>5.0999999999999996</v>
      </c>
      <c r="RSL22" s="452" t="s">
        <v>2691</v>
      </c>
      <c r="RSM22" s="498" t="s">
        <v>1620</v>
      </c>
      <c r="RSN22" s="498">
        <v>1</v>
      </c>
      <c r="RSO22" s="499">
        <v>1500000</v>
      </c>
      <c r="RSP22" s="498">
        <v>1.58</v>
      </c>
      <c r="RSQ22" s="498">
        <v>1</v>
      </c>
      <c r="RSR22" s="501">
        <v>6.75</v>
      </c>
      <c r="RSS22" s="486">
        <v>5.0999999999999996</v>
      </c>
      <c r="RST22" s="452" t="s">
        <v>2691</v>
      </c>
      <c r="RSU22" s="498" t="s">
        <v>1620</v>
      </c>
      <c r="RSV22" s="498">
        <v>1</v>
      </c>
      <c r="RSW22" s="499">
        <v>1500000</v>
      </c>
      <c r="RSX22" s="498">
        <v>1.58</v>
      </c>
      <c r="RSY22" s="498">
        <v>1</v>
      </c>
      <c r="RSZ22" s="501">
        <v>6.75</v>
      </c>
      <c r="RTA22" s="486">
        <v>5.0999999999999996</v>
      </c>
      <c r="RTB22" s="452" t="s">
        <v>2691</v>
      </c>
      <c r="RTC22" s="498" t="s">
        <v>1620</v>
      </c>
      <c r="RTD22" s="498">
        <v>1</v>
      </c>
      <c r="RTE22" s="499">
        <v>1500000</v>
      </c>
      <c r="RTF22" s="498">
        <v>1.58</v>
      </c>
      <c r="RTG22" s="498">
        <v>1</v>
      </c>
      <c r="RTH22" s="501">
        <v>6.75</v>
      </c>
      <c r="RTI22" s="486">
        <v>5.0999999999999996</v>
      </c>
      <c r="RTJ22" s="452" t="s">
        <v>2691</v>
      </c>
      <c r="RTK22" s="498" t="s">
        <v>1620</v>
      </c>
      <c r="RTL22" s="498">
        <v>1</v>
      </c>
      <c r="RTM22" s="499">
        <v>1500000</v>
      </c>
      <c r="RTN22" s="498">
        <v>1.58</v>
      </c>
      <c r="RTO22" s="498">
        <v>1</v>
      </c>
      <c r="RTP22" s="501">
        <v>6.75</v>
      </c>
      <c r="RTQ22" s="486">
        <v>5.0999999999999996</v>
      </c>
      <c r="RTR22" s="452" t="s">
        <v>2691</v>
      </c>
      <c r="RTS22" s="498" t="s">
        <v>1620</v>
      </c>
      <c r="RTT22" s="498">
        <v>1</v>
      </c>
      <c r="RTU22" s="499">
        <v>1500000</v>
      </c>
      <c r="RTV22" s="498">
        <v>1.58</v>
      </c>
      <c r="RTW22" s="498">
        <v>1</v>
      </c>
      <c r="RTX22" s="501">
        <v>6.75</v>
      </c>
      <c r="RTY22" s="486">
        <v>5.0999999999999996</v>
      </c>
      <c r="RTZ22" s="452" t="s">
        <v>2691</v>
      </c>
      <c r="RUA22" s="498" t="s">
        <v>1620</v>
      </c>
      <c r="RUB22" s="498">
        <v>1</v>
      </c>
      <c r="RUC22" s="499">
        <v>1500000</v>
      </c>
      <c r="RUD22" s="498">
        <v>1.58</v>
      </c>
      <c r="RUE22" s="498">
        <v>1</v>
      </c>
      <c r="RUF22" s="501">
        <v>6.75</v>
      </c>
      <c r="RUG22" s="486">
        <v>5.0999999999999996</v>
      </c>
      <c r="RUH22" s="452" t="s">
        <v>2691</v>
      </c>
      <c r="RUI22" s="498" t="s">
        <v>1620</v>
      </c>
      <c r="RUJ22" s="498">
        <v>1</v>
      </c>
      <c r="RUK22" s="499">
        <v>1500000</v>
      </c>
      <c r="RUL22" s="498">
        <v>1.58</v>
      </c>
      <c r="RUM22" s="498">
        <v>1</v>
      </c>
      <c r="RUN22" s="501">
        <v>6.75</v>
      </c>
      <c r="RUO22" s="486">
        <v>5.0999999999999996</v>
      </c>
      <c r="RUP22" s="452" t="s">
        <v>2691</v>
      </c>
      <c r="RUQ22" s="498" t="s">
        <v>1620</v>
      </c>
      <c r="RUR22" s="498">
        <v>1</v>
      </c>
      <c r="RUS22" s="499">
        <v>1500000</v>
      </c>
      <c r="RUT22" s="498">
        <v>1.58</v>
      </c>
      <c r="RUU22" s="498">
        <v>1</v>
      </c>
      <c r="RUV22" s="501">
        <v>6.75</v>
      </c>
      <c r="RUW22" s="486">
        <v>5.0999999999999996</v>
      </c>
      <c r="RUX22" s="452" t="s">
        <v>2691</v>
      </c>
      <c r="RUY22" s="498" t="s">
        <v>1620</v>
      </c>
      <c r="RUZ22" s="498">
        <v>1</v>
      </c>
      <c r="RVA22" s="499">
        <v>1500000</v>
      </c>
      <c r="RVB22" s="498">
        <v>1.58</v>
      </c>
      <c r="RVC22" s="498">
        <v>1</v>
      </c>
      <c r="RVD22" s="501">
        <v>6.75</v>
      </c>
      <c r="RVE22" s="486">
        <v>5.0999999999999996</v>
      </c>
      <c r="RVF22" s="452" t="s">
        <v>2691</v>
      </c>
      <c r="RVG22" s="498" t="s">
        <v>1620</v>
      </c>
      <c r="RVH22" s="498">
        <v>1</v>
      </c>
      <c r="RVI22" s="499">
        <v>1500000</v>
      </c>
      <c r="RVJ22" s="498">
        <v>1.58</v>
      </c>
      <c r="RVK22" s="498">
        <v>1</v>
      </c>
      <c r="RVL22" s="501">
        <v>6.75</v>
      </c>
      <c r="RVM22" s="486">
        <v>5.0999999999999996</v>
      </c>
      <c r="RVN22" s="452" t="s">
        <v>2691</v>
      </c>
      <c r="RVO22" s="498" t="s">
        <v>1620</v>
      </c>
      <c r="RVP22" s="498">
        <v>1</v>
      </c>
      <c r="RVQ22" s="499">
        <v>1500000</v>
      </c>
      <c r="RVR22" s="498">
        <v>1.58</v>
      </c>
      <c r="RVS22" s="498">
        <v>1</v>
      </c>
      <c r="RVT22" s="501">
        <v>6.75</v>
      </c>
      <c r="RVU22" s="486">
        <v>5.0999999999999996</v>
      </c>
      <c r="RVV22" s="452" t="s">
        <v>2691</v>
      </c>
      <c r="RVW22" s="498" t="s">
        <v>1620</v>
      </c>
      <c r="RVX22" s="498">
        <v>1</v>
      </c>
      <c r="RVY22" s="499">
        <v>1500000</v>
      </c>
      <c r="RVZ22" s="498">
        <v>1.58</v>
      </c>
      <c r="RWA22" s="498">
        <v>1</v>
      </c>
      <c r="RWB22" s="501">
        <v>6.75</v>
      </c>
      <c r="RWC22" s="486">
        <v>5.0999999999999996</v>
      </c>
      <c r="RWD22" s="452" t="s">
        <v>2691</v>
      </c>
      <c r="RWE22" s="498" t="s">
        <v>1620</v>
      </c>
      <c r="RWF22" s="498">
        <v>1</v>
      </c>
      <c r="RWG22" s="499">
        <v>1500000</v>
      </c>
      <c r="RWH22" s="498">
        <v>1.58</v>
      </c>
      <c r="RWI22" s="498">
        <v>1</v>
      </c>
      <c r="RWJ22" s="501">
        <v>6.75</v>
      </c>
      <c r="RWK22" s="486">
        <v>5.0999999999999996</v>
      </c>
      <c r="RWL22" s="452" t="s">
        <v>2691</v>
      </c>
      <c r="RWM22" s="498" t="s">
        <v>1620</v>
      </c>
      <c r="RWN22" s="498">
        <v>1</v>
      </c>
      <c r="RWO22" s="499">
        <v>1500000</v>
      </c>
      <c r="RWP22" s="498">
        <v>1.58</v>
      </c>
      <c r="RWQ22" s="498">
        <v>1</v>
      </c>
      <c r="RWR22" s="501">
        <v>6.75</v>
      </c>
      <c r="RWS22" s="486">
        <v>5.0999999999999996</v>
      </c>
      <c r="RWT22" s="452" t="s">
        <v>2691</v>
      </c>
      <c r="RWU22" s="498" t="s">
        <v>1620</v>
      </c>
      <c r="RWV22" s="498">
        <v>1</v>
      </c>
      <c r="RWW22" s="499">
        <v>1500000</v>
      </c>
      <c r="RWX22" s="498">
        <v>1.58</v>
      </c>
      <c r="RWY22" s="498">
        <v>1</v>
      </c>
      <c r="RWZ22" s="501">
        <v>6.75</v>
      </c>
      <c r="RXA22" s="486">
        <v>5.0999999999999996</v>
      </c>
      <c r="RXB22" s="452" t="s">
        <v>2691</v>
      </c>
      <c r="RXC22" s="498" t="s">
        <v>1620</v>
      </c>
      <c r="RXD22" s="498">
        <v>1</v>
      </c>
      <c r="RXE22" s="499">
        <v>1500000</v>
      </c>
      <c r="RXF22" s="498">
        <v>1.58</v>
      </c>
      <c r="RXG22" s="498">
        <v>1</v>
      </c>
      <c r="RXH22" s="501">
        <v>6.75</v>
      </c>
      <c r="RXI22" s="486">
        <v>5.0999999999999996</v>
      </c>
      <c r="RXJ22" s="452" t="s">
        <v>2691</v>
      </c>
      <c r="RXK22" s="498" t="s">
        <v>1620</v>
      </c>
      <c r="RXL22" s="498">
        <v>1</v>
      </c>
      <c r="RXM22" s="499">
        <v>1500000</v>
      </c>
      <c r="RXN22" s="498">
        <v>1.58</v>
      </c>
      <c r="RXO22" s="498">
        <v>1</v>
      </c>
      <c r="RXP22" s="501">
        <v>6.75</v>
      </c>
      <c r="RXQ22" s="486">
        <v>5.0999999999999996</v>
      </c>
      <c r="RXR22" s="452" t="s">
        <v>2691</v>
      </c>
      <c r="RXS22" s="498" t="s">
        <v>1620</v>
      </c>
      <c r="RXT22" s="498">
        <v>1</v>
      </c>
      <c r="RXU22" s="499">
        <v>1500000</v>
      </c>
      <c r="RXV22" s="498">
        <v>1.58</v>
      </c>
      <c r="RXW22" s="498">
        <v>1</v>
      </c>
      <c r="RXX22" s="501">
        <v>6.75</v>
      </c>
      <c r="RXY22" s="486">
        <v>5.0999999999999996</v>
      </c>
      <c r="RXZ22" s="452" t="s">
        <v>2691</v>
      </c>
      <c r="RYA22" s="498" t="s">
        <v>1620</v>
      </c>
      <c r="RYB22" s="498">
        <v>1</v>
      </c>
      <c r="RYC22" s="499">
        <v>1500000</v>
      </c>
      <c r="RYD22" s="498">
        <v>1.58</v>
      </c>
      <c r="RYE22" s="498">
        <v>1</v>
      </c>
      <c r="RYF22" s="501">
        <v>6.75</v>
      </c>
      <c r="RYG22" s="486">
        <v>5.0999999999999996</v>
      </c>
      <c r="RYH22" s="452" t="s">
        <v>2691</v>
      </c>
      <c r="RYI22" s="498" t="s">
        <v>1620</v>
      </c>
      <c r="RYJ22" s="498">
        <v>1</v>
      </c>
      <c r="RYK22" s="499">
        <v>1500000</v>
      </c>
      <c r="RYL22" s="498">
        <v>1.58</v>
      </c>
      <c r="RYM22" s="498">
        <v>1</v>
      </c>
      <c r="RYN22" s="501">
        <v>6.75</v>
      </c>
      <c r="RYO22" s="486">
        <v>5.0999999999999996</v>
      </c>
      <c r="RYP22" s="452" t="s">
        <v>2691</v>
      </c>
      <c r="RYQ22" s="498" t="s">
        <v>1620</v>
      </c>
      <c r="RYR22" s="498">
        <v>1</v>
      </c>
      <c r="RYS22" s="499">
        <v>1500000</v>
      </c>
      <c r="RYT22" s="498">
        <v>1.58</v>
      </c>
      <c r="RYU22" s="498">
        <v>1</v>
      </c>
      <c r="RYV22" s="501">
        <v>6.75</v>
      </c>
      <c r="RYW22" s="486">
        <v>5.0999999999999996</v>
      </c>
      <c r="RYX22" s="452" t="s">
        <v>2691</v>
      </c>
      <c r="RYY22" s="498" t="s">
        <v>1620</v>
      </c>
      <c r="RYZ22" s="498">
        <v>1</v>
      </c>
      <c r="RZA22" s="499">
        <v>1500000</v>
      </c>
      <c r="RZB22" s="498">
        <v>1.58</v>
      </c>
      <c r="RZC22" s="498">
        <v>1</v>
      </c>
      <c r="RZD22" s="501">
        <v>6.75</v>
      </c>
      <c r="RZE22" s="486">
        <v>5.0999999999999996</v>
      </c>
      <c r="RZF22" s="452" t="s">
        <v>2691</v>
      </c>
      <c r="RZG22" s="498" t="s">
        <v>1620</v>
      </c>
      <c r="RZH22" s="498">
        <v>1</v>
      </c>
      <c r="RZI22" s="499">
        <v>1500000</v>
      </c>
      <c r="RZJ22" s="498">
        <v>1.58</v>
      </c>
      <c r="RZK22" s="498">
        <v>1</v>
      </c>
      <c r="RZL22" s="501">
        <v>6.75</v>
      </c>
      <c r="RZM22" s="486">
        <v>5.0999999999999996</v>
      </c>
      <c r="RZN22" s="452" t="s">
        <v>2691</v>
      </c>
      <c r="RZO22" s="498" t="s">
        <v>1620</v>
      </c>
      <c r="RZP22" s="498">
        <v>1</v>
      </c>
      <c r="RZQ22" s="499">
        <v>1500000</v>
      </c>
      <c r="RZR22" s="498">
        <v>1.58</v>
      </c>
      <c r="RZS22" s="498">
        <v>1</v>
      </c>
      <c r="RZT22" s="501">
        <v>6.75</v>
      </c>
      <c r="RZU22" s="486">
        <v>5.0999999999999996</v>
      </c>
      <c r="RZV22" s="452" t="s">
        <v>2691</v>
      </c>
      <c r="RZW22" s="498" t="s">
        <v>1620</v>
      </c>
      <c r="RZX22" s="498">
        <v>1</v>
      </c>
      <c r="RZY22" s="499">
        <v>1500000</v>
      </c>
      <c r="RZZ22" s="498">
        <v>1.58</v>
      </c>
      <c r="SAA22" s="498">
        <v>1</v>
      </c>
      <c r="SAB22" s="501">
        <v>6.75</v>
      </c>
      <c r="SAC22" s="486">
        <v>5.0999999999999996</v>
      </c>
      <c r="SAD22" s="452" t="s">
        <v>2691</v>
      </c>
      <c r="SAE22" s="498" t="s">
        <v>1620</v>
      </c>
      <c r="SAF22" s="498">
        <v>1</v>
      </c>
      <c r="SAG22" s="499">
        <v>1500000</v>
      </c>
      <c r="SAH22" s="498">
        <v>1.58</v>
      </c>
      <c r="SAI22" s="498">
        <v>1</v>
      </c>
      <c r="SAJ22" s="501">
        <v>6.75</v>
      </c>
      <c r="SAK22" s="486">
        <v>5.0999999999999996</v>
      </c>
      <c r="SAL22" s="452" t="s">
        <v>2691</v>
      </c>
      <c r="SAM22" s="498" t="s">
        <v>1620</v>
      </c>
      <c r="SAN22" s="498">
        <v>1</v>
      </c>
      <c r="SAO22" s="499">
        <v>1500000</v>
      </c>
      <c r="SAP22" s="498">
        <v>1.58</v>
      </c>
      <c r="SAQ22" s="498">
        <v>1</v>
      </c>
      <c r="SAR22" s="501">
        <v>6.75</v>
      </c>
      <c r="SAS22" s="486">
        <v>5.0999999999999996</v>
      </c>
      <c r="SAT22" s="452" t="s">
        <v>2691</v>
      </c>
      <c r="SAU22" s="498" t="s">
        <v>1620</v>
      </c>
      <c r="SAV22" s="498">
        <v>1</v>
      </c>
      <c r="SAW22" s="499">
        <v>1500000</v>
      </c>
      <c r="SAX22" s="498">
        <v>1.58</v>
      </c>
      <c r="SAY22" s="498">
        <v>1</v>
      </c>
      <c r="SAZ22" s="501">
        <v>6.75</v>
      </c>
      <c r="SBA22" s="486">
        <v>5.0999999999999996</v>
      </c>
      <c r="SBB22" s="452" t="s">
        <v>2691</v>
      </c>
      <c r="SBC22" s="498" t="s">
        <v>1620</v>
      </c>
      <c r="SBD22" s="498">
        <v>1</v>
      </c>
      <c r="SBE22" s="499">
        <v>1500000</v>
      </c>
      <c r="SBF22" s="498">
        <v>1.58</v>
      </c>
      <c r="SBG22" s="498">
        <v>1</v>
      </c>
      <c r="SBH22" s="501">
        <v>6.75</v>
      </c>
      <c r="SBI22" s="486">
        <v>5.0999999999999996</v>
      </c>
      <c r="SBJ22" s="452" t="s">
        <v>2691</v>
      </c>
      <c r="SBK22" s="498" t="s">
        <v>1620</v>
      </c>
      <c r="SBL22" s="498">
        <v>1</v>
      </c>
      <c r="SBM22" s="499">
        <v>1500000</v>
      </c>
      <c r="SBN22" s="498">
        <v>1.58</v>
      </c>
      <c r="SBO22" s="498">
        <v>1</v>
      </c>
      <c r="SBP22" s="501">
        <v>6.75</v>
      </c>
      <c r="SBQ22" s="486">
        <v>5.0999999999999996</v>
      </c>
      <c r="SBR22" s="452" t="s">
        <v>2691</v>
      </c>
      <c r="SBS22" s="498" t="s">
        <v>1620</v>
      </c>
      <c r="SBT22" s="498">
        <v>1</v>
      </c>
      <c r="SBU22" s="499">
        <v>1500000</v>
      </c>
      <c r="SBV22" s="498">
        <v>1.58</v>
      </c>
      <c r="SBW22" s="498">
        <v>1</v>
      </c>
      <c r="SBX22" s="501">
        <v>6.75</v>
      </c>
      <c r="SBY22" s="486">
        <v>5.0999999999999996</v>
      </c>
      <c r="SBZ22" s="452" t="s">
        <v>2691</v>
      </c>
      <c r="SCA22" s="498" t="s">
        <v>1620</v>
      </c>
      <c r="SCB22" s="498">
        <v>1</v>
      </c>
      <c r="SCC22" s="499">
        <v>1500000</v>
      </c>
      <c r="SCD22" s="498">
        <v>1.58</v>
      </c>
      <c r="SCE22" s="498">
        <v>1</v>
      </c>
      <c r="SCF22" s="501">
        <v>6.75</v>
      </c>
      <c r="SCG22" s="486">
        <v>5.0999999999999996</v>
      </c>
      <c r="SCH22" s="452" t="s">
        <v>2691</v>
      </c>
      <c r="SCI22" s="498" t="s">
        <v>1620</v>
      </c>
      <c r="SCJ22" s="498">
        <v>1</v>
      </c>
      <c r="SCK22" s="499">
        <v>1500000</v>
      </c>
      <c r="SCL22" s="498">
        <v>1.58</v>
      </c>
      <c r="SCM22" s="498">
        <v>1</v>
      </c>
      <c r="SCN22" s="501">
        <v>6.75</v>
      </c>
      <c r="SCO22" s="486">
        <v>5.0999999999999996</v>
      </c>
      <c r="SCP22" s="452" t="s">
        <v>2691</v>
      </c>
      <c r="SCQ22" s="498" t="s">
        <v>1620</v>
      </c>
      <c r="SCR22" s="498">
        <v>1</v>
      </c>
      <c r="SCS22" s="499">
        <v>1500000</v>
      </c>
      <c r="SCT22" s="498">
        <v>1.58</v>
      </c>
      <c r="SCU22" s="498">
        <v>1</v>
      </c>
      <c r="SCV22" s="501">
        <v>6.75</v>
      </c>
      <c r="SCW22" s="486">
        <v>5.0999999999999996</v>
      </c>
      <c r="SCX22" s="452" t="s">
        <v>2691</v>
      </c>
      <c r="SCY22" s="498" t="s">
        <v>1620</v>
      </c>
      <c r="SCZ22" s="498">
        <v>1</v>
      </c>
      <c r="SDA22" s="499">
        <v>1500000</v>
      </c>
      <c r="SDB22" s="498">
        <v>1.58</v>
      </c>
      <c r="SDC22" s="498">
        <v>1</v>
      </c>
      <c r="SDD22" s="501">
        <v>6.75</v>
      </c>
      <c r="SDE22" s="486">
        <v>5.0999999999999996</v>
      </c>
      <c r="SDF22" s="452" t="s">
        <v>2691</v>
      </c>
      <c r="SDG22" s="498" t="s">
        <v>1620</v>
      </c>
      <c r="SDH22" s="498">
        <v>1</v>
      </c>
      <c r="SDI22" s="499">
        <v>1500000</v>
      </c>
      <c r="SDJ22" s="498">
        <v>1.58</v>
      </c>
      <c r="SDK22" s="498">
        <v>1</v>
      </c>
      <c r="SDL22" s="501">
        <v>6.75</v>
      </c>
      <c r="SDM22" s="486">
        <v>5.0999999999999996</v>
      </c>
      <c r="SDN22" s="452" t="s">
        <v>2691</v>
      </c>
      <c r="SDO22" s="498" t="s">
        <v>1620</v>
      </c>
      <c r="SDP22" s="498">
        <v>1</v>
      </c>
      <c r="SDQ22" s="499">
        <v>1500000</v>
      </c>
      <c r="SDR22" s="498">
        <v>1.58</v>
      </c>
      <c r="SDS22" s="498">
        <v>1</v>
      </c>
      <c r="SDT22" s="501">
        <v>6.75</v>
      </c>
      <c r="SDU22" s="486">
        <v>5.0999999999999996</v>
      </c>
      <c r="SDV22" s="452" t="s">
        <v>2691</v>
      </c>
      <c r="SDW22" s="498" t="s">
        <v>1620</v>
      </c>
      <c r="SDX22" s="498">
        <v>1</v>
      </c>
      <c r="SDY22" s="499">
        <v>1500000</v>
      </c>
      <c r="SDZ22" s="498">
        <v>1.58</v>
      </c>
      <c r="SEA22" s="498">
        <v>1</v>
      </c>
      <c r="SEB22" s="501">
        <v>6.75</v>
      </c>
      <c r="SEC22" s="486">
        <v>5.0999999999999996</v>
      </c>
      <c r="SED22" s="452" t="s">
        <v>2691</v>
      </c>
      <c r="SEE22" s="498" t="s">
        <v>1620</v>
      </c>
      <c r="SEF22" s="498">
        <v>1</v>
      </c>
      <c r="SEG22" s="499">
        <v>1500000</v>
      </c>
      <c r="SEH22" s="498">
        <v>1.58</v>
      </c>
      <c r="SEI22" s="498">
        <v>1</v>
      </c>
      <c r="SEJ22" s="501">
        <v>6.75</v>
      </c>
      <c r="SEK22" s="486">
        <v>5.0999999999999996</v>
      </c>
      <c r="SEL22" s="452" t="s">
        <v>2691</v>
      </c>
      <c r="SEM22" s="498" t="s">
        <v>1620</v>
      </c>
      <c r="SEN22" s="498">
        <v>1</v>
      </c>
      <c r="SEO22" s="499">
        <v>1500000</v>
      </c>
      <c r="SEP22" s="498">
        <v>1.58</v>
      </c>
      <c r="SEQ22" s="498">
        <v>1</v>
      </c>
      <c r="SER22" s="501">
        <v>6.75</v>
      </c>
      <c r="SES22" s="486">
        <v>5.0999999999999996</v>
      </c>
      <c r="SET22" s="452" t="s">
        <v>2691</v>
      </c>
      <c r="SEU22" s="498" t="s">
        <v>1620</v>
      </c>
      <c r="SEV22" s="498">
        <v>1</v>
      </c>
      <c r="SEW22" s="499">
        <v>1500000</v>
      </c>
      <c r="SEX22" s="498">
        <v>1.58</v>
      </c>
      <c r="SEY22" s="498">
        <v>1</v>
      </c>
      <c r="SEZ22" s="501">
        <v>6.75</v>
      </c>
      <c r="SFA22" s="486">
        <v>5.0999999999999996</v>
      </c>
      <c r="SFB22" s="452" t="s">
        <v>2691</v>
      </c>
      <c r="SFC22" s="498" t="s">
        <v>1620</v>
      </c>
      <c r="SFD22" s="498">
        <v>1</v>
      </c>
      <c r="SFE22" s="499">
        <v>1500000</v>
      </c>
      <c r="SFF22" s="498">
        <v>1.58</v>
      </c>
      <c r="SFG22" s="498">
        <v>1</v>
      </c>
      <c r="SFH22" s="501">
        <v>6.75</v>
      </c>
      <c r="SFI22" s="486">
        <v>5.0999999999999996</v>
      </c>
      <c r="SFJ22" s="452" t="s">
        <v>2691</v>
      </c>
      <c r="SFK22" s="498" t="s">
        <v>1620</v>
      </c>
      <c r="SFL22" s="498">
        <v>1</v>
      </c>
      <c r="SFM22" s="499">
        <v>1500000</v>
      </c>
      <c r="SFN22" s="498">
        <v>1.58</v>
      </c>
      <c r="SFO22" s="498">
        <v>1</v>
      </c>
      <c r="SFP22" s="501">
        <v>6.75</v>
      </c>
      <c r="SFQ22" s="486">
        <v>5.0999999999999996</v>
      </c>
      <c r="SFR22" s="452" t="s">
        <v>2691</v>
      </c>
      <c r="SFS22" s="498" t="s">
        <v>1620</v>
      </c>
      <c r="SFT22" s="498">
        <v>1</v>
      </c>
      <c r="SFU22" s="499">
        <v>1500000</v>
      </c>
      <c r="SFV22" s="498">
        <v>1.58</v>
      </c>
      <c r="SFW22" s="498">
        <v>1</v>
      </c>
      <c r="SFX22" s="501">
        <v>6.75</v>
      </c>
      <c r="SFY22" s="486">
        <v>5.0999999999999996</v>
      </c>
      <c r="SFZ22" s="452" t="s">
        <v>2691</v>
      </c>
      <c r="SGA22" s="498" t="s">
        <v>1620</v>
      </c>
      <c r="SGB22" s="498">
        <v>1</v>
      </c>
      <c r="SGC22" s="499">
        <v>1500000</v>
      </c>
      <c r="SGD22" s="498">
        <v>1.58</v>
      </c>
      <c r="SGE22" s="498">
        <v>1</v>
      </c>
      <c r="SGF22" s="501">
        <v>6.75</v>
      </c>
      <c r="SGG22" s="486">
        <v>5.0999999999999996</v>
      </c>
      <c r="SGH22" s="452" t="s">
        <v>2691</v>
      </c>
      <c r="SGI22" s="498" t="s">
        <v>1620</v>
      </c>
      <c r="SGJ22" s="498">
        <v>1</v>
      </c>
      <c r="SGK22" s="499">
        <v>1500000</v>
      </c>
      <c r="SGL22" s="498">
        <v>1.58</v>
      </c>
      <c r="SGM22" s="498">
        <v>1</v>
      </c>
      <c r="SGN22" s="501">
        <v>6.75</v>
      </c>
      <c r="SGO22" s="486">
        <v>5.0999999999999996</v>
      </c>
      <c r="SGP22" s="452" t="s">
        <v>2691</v>
      </c>
      <c r="SGQ22" s="498" t="s">
        <v>1620</v>
      </c>
      <c r="SGR22" s="498">
        <v>1</v>
      </c>
      <c r="SGS22" s="499">
        <v>1500000</v>
      </c>
      <c r="SGT22" s="498">
        <v>1.58</v>
      </c>
      <c r="SGU22" s="498">
        <v>1</v>
      </c>
      <c r="SGV22" s="501">
        <v>6.75</v>
      </c>
      <c r="SGW22" s="486">
        <v>5.0999999999999996</v>
      </c>
      <c r="SGX22" s="452" t="s">
        <v>2691</v>
      </c>
      <c r="SGY22" s="498" t="s">
        <v>1620</v>
      </c>
      <c r="SGZ22" s="498">
        <v>1</v>
      </c>
      <c r="SHA22" s="499">
        <v>1500000</v>
      </c>
      <c r="SHB22" s="498">
        <v>1.58</v>
      </c>
      <c r="SHC22" s="498">
        <v>1</v>
      </c>
      <c r="SHD22" s="501">
        <v>6.75</v>
      </c>
      <c r="SHE22" s="486">
        <v>5.0999999999999996</v>
      </c>
      <c r="SHF22" s="452" t="s">
        <v>2691</v>
      </c>
      <c r="SHG22" s="498" t="s">
        <v>1620</v>
      </c>
      <c r="SHH22" s="498">
        <v>1</v>
      </c>
      <c r="SHI22" s="499">
        <v>1500000</v>
      </c>
      <c r="SHJ22" s="498">
        <v>1.58</v>
      </c>
      <c r="SHK22" s="498">
        <v>1</v>
      </c>
      <c r="SHL22" s="501">
        <v>6.75</v>
      </c>
      <c r="SHM22" s="486">
        <v>5.0999999999999996</v>
      </c>
      <c r="SHN22" s="452" t="s">
        <v>2691</v>
      </c>
      <c r="SHO22" s="498" t="s">
        <v>1620</v>
      </c>
      <c r="SHP22" s="498">
        <v>1</v>
      </c>
      <c r="SHQ22" s="499">
        <v>1500000</v>
      </c>
      <c r="SHR22" s="498">
        <v>1.58</v>
      </c>
      <c r="SHS22" s="498">
        <v>1</v>
      </c>
      <c r="SHT22" s="501">
        <v>6.75</v>
      </c>
      <c r="SHU22" s="486">
        <v>5.0999999999999996</v>
      </c>
      <c r="SHV22" s="452" t="s">
        <v>2691</v>
      </c>
      <c r="SHW22" s="498" t="s">
        <v>1620</v>
      </c>
      <c r="SHX22" s="498">
        <v>1</v>
      </c>
      <c r="SHY22" s="499">
        <v>1500000</v>
      </c>
      <c r="SHZ22" s="498">
        <v>1.58</v>
      </c>
      <c r="SIA22" s="498">
        <v>1</v>
      </c>
      <c r="SIB22" s="501">
        <v>6.75</v>
      </c>
      <c r="SIC22" s="486">
        <v>5.0999999999999996</v>
      </c>
      <c r="SID22" s="452" t="s">
        <v>2691</v>
      </c>
      <c r="SIE22" s="498" t="s">
        <v>1620</v>
      </c>
      <c r="SIF22" s="498">
        <v>1</v>
      </c>
      <c r="SIG22" s="499">
        <v>1500000</v>
      </c>
      <c r="SIH22" s="498">
        <v>1.58</v>
      </c>
      <c r="SII22" s="498">
        <v>1</v>
      </c>
      <c r="SIJ22" s="501">
        <v>6.75</v>
      </c>
      <c r="SIK22" s="486">
        <v>5.0999999999999996</v>
      </c>
      <c r="SIL22" s="452" t="s">
        <v>2691</v>
      </c>
      <c r="SIM22" s="498" t="s">
        <v>1620</v>
      </c>
      <c r="SIN22" s="498">
        <v>1</v>
      </c>
      <c r="SIO22" s="499">
        <v>1500000</v>
      </c>
      <c r="SIP22" s="498">
        <v>1.58</v>
      </c>
      <c r="SIQ22" s="498">
        <v>1</v>
      </c>
      <c r="SIR22" s="501">
        <v>6.75</v>
      </c>
      <c r="SIS22" s="486">
        <v>5.0999999999999996</v>
      </c>
      <c r="SIT22" s="452" t="s">
        <v>2691</v>
      </c>
      <c r="SIU22" s="498" t="s">
        <v>1620</v>
      </c>
      <c r="SIV22" s="498">
        <v>1</v>
      </c>
      <c r="SIW22" s="499">
        <v>1500000</v>
      </c>
      <c r="SIX22" s="498">
        <v>1.58</v>
      </c>
      <c r="SIY22" s="498">
        <v>1</v>
      </c>
      <c r="SIZ22" s="501">
        <v>6.75</v>
      </c>
      <c r="SJA22" s="486">
        <v>5.0999999999999996</v>
      </c>
      <c r="SJB22" s="452" t="s">
        <v>2691</v>
      </c>
      <c r="SJC22" s="498" t="s">
        <v>1620</v>
      </c>
      <c r="SJD22" s="498">
        <v>1</v>
      </c>
      <c r="SJE22" s="499">
        <v>1500000</v>
      </c>
      <c r="SJF22" s="498">
        <v>1.58</v>
      </c>
      <c r="SJG22" s="498">
        <v>1</v>
      </c>
      <c r="SJH22" s="501">
        <v>6.75</v>
      </c>
      <c r="SJI22" s="486">
        <v>5.0999999999999996</v>
      </c>
      <c r="SJJ22" s="452" t="s">
        <v>2691</v>
      </c>
      <c r="SJK22" s="498" t="s">
        <v>1620</v>
      </c>
      <c r="SJL22" s="498">
        <v>1</v>
      </c>
      <c r="SJM22" s="499">
        <v>1500000</v>
      </c>
      <c r="SJN22" s="498">
        <v>1.58</v>
      </c>
      <c r="SJO22" s="498">
        <v>1</v>
      </c>
      <c r="SJP22" s="501">
        <v>6.75</v>
      </c>
      <c r="SJQ22" s="486">
        <v>5.0999999999999996</v>
      </c>
      <c r="SJR22" s="452" t="s">
        <v>2691</v>
      </c>
      <c r="SJS22" s="498" t="s">
        <v>1620</v>
      </c>
      <c r="SJT22" s="498">
        <v>1</v>
      </c>
      <c r="SJU22" s="499">
        <v>1500000</v>
      </c>
      <c r="SJV22" s="498">
        <v>1.58</v>
      </c>
      <c r="SJW22" s="498">
        <v>1</v>
      </c>
      <c r="SJX22" s="501">
        <v>6.75</v>
      </c>
      <c r="SJY22" s="486">
        <v>5.0999999999999996</v>
      </c>
      <c r="SJZ22" s="452" t="s">
        <v>2691</v>
      </c>
      <c r="SKA22" s="498" t="s">
        <v>1620</v>
      </c>
      <c r="SKB22" s="498">
        <v>1</v>
      </c>
      <c r="SKC22" s="499">
        <v>1500000</v>
      </c>
      <c r="SKD22" s="498">
        <v>1.58</v>
      </c>
      <c r="SKE22" s="498">
        <v>1</v>
      </c>
      <c r="SKF22" s="501">
        <v>6.75</v>
      </c>
      <c r="SKG22" s="486">
        <v>5.0999999999999996</v>
      </c>
      <c r="SKH22" s="452" t="s">
        <v>2691</v>
      </c>
      <c r="SKI22" s="498" t="s">
        <v>1620</v>
      </c>
      <c r="SKJ22" s="498">
        <v>1</v>
      </c>
      <c r="SKK22" s="499">
        <v>1500000</v>
      </c>
      <c r="SKL22" s="498">
        <v>1.58</v>
      </c>
      <c r="SKM22" s="498">
        <v>1</v>
      </c>
      <c r="SKN22" s="501">
        <v>6.75</v>
      </c>
      <c r="SKO22" s="486">
        <v>5.0999999999999996</v>
      </c>
      <c r="SKP22" s="452" t="s">
        <v>2691</v>
      </c>
      <c r="SKQ22" s="498" t="s">
        <v>1620</v>
      </c>
      <c r="SKR22" s="498">
        <v>1</v>
      </c>
      <c r="SKS22" s="499">
        <v>1500000</v>
      </c>
      <c r="SKT22" s="498">
        <v>1.58</v>
      </c>
      <c r="SKU22" s="498">
        <v>1</v>
      </c>
      <c r="SKV22" s="501">
        <v>6.75</v>
      </c>
      <c r="SKW22" s="486">
        <v>5.0999999999999996</v>
      </c>
      <c r="SKX22" s="452" t="s">
        <v>2691</v>
      </c>
      <c r="SKY22" s="498" t="s">
        <v>1620</v>
      </c>
      <c r="SKZ22" s="498">
        <v>1</v>
      </c>
      <c r="SLA22" s="499">
        <v>1500000</v>
      </c>
      <c r="SLB22" s="498">
        <v>1.58</v>
      </c>
      <c r="SLC22" s="498">
        <v>1</v>
      </c>
      <c r="SLD22" s="501">
        <v>6.75</v>
      </c>
      <c r="SLE22" s="486">
        <v>5.0999999999999996</v>
      </c>
      <c r="SLF22" s="452" t="s">
        <v>2691</v>
      </c>
      <c r="SLG22" s="498" t="s">
        <v>1620</v>
      </c>
      <c r="SLH22" s="498">
        <v>1</v>
      </c>
      <c r="SLI22" s="499">
        <v>1500000</v>
      </c>
      <c r="SLJ22" s="498">
        <v>1.58</v>
      </c>
      <c r="SLK22" s="498">
        <v>1</v>
      </c>
      <c r="SLL22" s="501">
        <v>6.75</v>
      </c>
      <c r="SLM22" s="486">
        <v>5.0999999999999996</v>
      </c>
      <c r="SLN22" s="452" t="s">
        <v>2691</v>
      </c>
      <c r="SLO22" s="498" t="s">
        <v>1620</v>
      </c>
      <c r="SLP22" s="498">
        <v>1</v>
      </c>
      <c r="SLQ22" s="499">
        <v>1500000</v>
      </c>
      <c r="SLR22" s="498">
        <v>1.58</v>
      </c>
      <c r="SLS22" s="498">
        <v>1</v>
      </c>
      <c r="SLT22" s="501">
        <v>6.75</v>
      </c>
      <c r="SLU22" s="486">
        <v>5.0999999999999996</v>
      </c>
      <c r="SLV22" s="452" t="s">
        <v>2691</v>
      </c>
      <c r="SLW22" s="498" t="s">
        <v>1620</v>
      </c>
      <c r="SLX22" s="498">
        <v>1</v>
      </c>
      <c r="SLY22" s="499">
        <v>1500000</v>
      </c>
      <c r="SLZ22" s="498">
        <v>1.58</v>
      </c>
      <c r="SMA22" s="498">
        <v>1</v>
      </c>
      <c r="SMB22" s="501">
        <v>6.75</v>
      </c>
      <c r="SMC22" s="486">
        <v>5.0999999999999996</v>
      </c>
      <c r="SMD22" s="452" t="s">
        <v>2691</v>
      </c>
      <c r="SME22" s="498" t="s">
        <v>1620</v>
      </c>
      <c r="SMF22" s="498">
        <v>1</v>
      </c>
      <c r="SMG22" s="499">
        <v>1500000</v>
      </c>
      <c r="SMH22" s="498">
        <v>1.58</v>
      </c>
      <c r="SMI22" s="498">
        <v>1</v>
      </c>
      <c r="SMJ22" s="501">
        <v>6.75</v>
      </c>
      <c r="SMK22" s="486">
        <v>5.0999999999999996</v>
      </c>
      <c r="SML22" s="452" t="s">
        <v>2691</v>
      </c>
      <c r="SMM22" s="498" t="s">
        <v>1620</v>
      </c>
      <c r="SMN22" s="498">
        <v>1</v>
      </c>
      <c r="SMO22" s="499">
        <v>1500000</v>
      </c>
      <c r="SMP22" s="498">
        <v>1.58</v>
      </c>
      <c r="SMQ22" s="498">
        <v>1</v>
      </c>
      <c r="SMR22" s="501">
        <v>6.75</v>
      </c>
      <c r="SMS22" s="486">
        <v>5.0999999999999996</v>
      </c>
      <c r="SMT22" s="452" t="s">
        <v>2691</v>
      </c>
      <c r="SMU22" s="498" t="s">
        <v>1620</v>
      </c>
      <c r="SMV22" s="498">
        <v>1</v>
      </c>
      <c r="SMW22" s="499">
        <v>1500000</v>
      </c>
      <c r="SMX22" s="498">
        <v>1.58</v>
      </c>
      <c r="SMY22" s="498">
        <v>1</v>
      </c>
      <c r="SMZ22" s="501">
        <v>6.75</v>
      </c>
      <c r="SNA22" s="486">
        <v>5.0999999999999996</v>
      </c>
      <c r="SNB22" s="452" t="s">
        <v>2691</v>
      </c>
      <c r="SNC22" s="498" t="s">
        <v>1620</v>
      </c>
      <c r="SND22" s="498">
        <v>1</v>
      </c>
      <c r="SNE22" s="499">
        <v>1500000</v>
      </c>
      <c r="SNF22" s="498">
        <v>1.58</v>
      </c>
      <c r="SNG22" s="498">
        <v>1</v>
      </c>
      <c r="SNH22" s="501">
        <v>6.75</v>
      </c>
      <c r="SNI22" s="486">
        <v>5.0999999999999996</v>
      </c>
      <c r="SNJ22" s="452" t="s">
        <v>2691</v>
      </c>
      <c r="SNK22" s="498" t="s">
        <v>1620</v>
      </c>
      <c r="SNL22" s="498">
        <v>1</v>
      </c>
      <c r="SNM22" s="499">
        <v>1500000</v>
      </c>
      <c r="SNN22" s="498">
        <v>1.58</v>
      </c>
      <c r="SNO22" s="498">
        <v>1</v>
      </c>
      <c r="SNP22" s="501">
        <v>6.75</v>
      </c>
      <c r="SNQ22" s="486">
        <v>5.0999999999999996</v>
      </c>
      <c r="SNR22" s="452" t="s">
        <v>2691</v>
      </c>
      <c r="SNS22" s="498" t="s">
        <v>1620</v>
      </c>
      <c r="SNT22" s="498">
        <v>1</v>
      </c>
      <c r="SNU22" s="499">
        <v>1500000</v>
      </c>
      <c r="SNV22" s="498">
        <v>1.58</v>
      </c>
      <c r="SNW22" s="498">
        <v>1</v>
      </c>
      <c r="SNX22" s="501">
        <v>6.75</v>
      </c>
      <c r="SNY22" s="486">
        <v>5.0999999999999996</v>
      </c>
      <c r="SNZ22" s="452" t="s">
        <v>2691</v>
      </c>
      <c r="SOA22" s="498" t="s">
        <v>1620</v>
      </c>
      <c r="SOB22" s="498">
        <v>1</v>
      </c>
      <c r="SOC22" s="499">
        <v>1500000</v>
      </c>
      <c r="SOD22" s="498">
        <v>1.58</v>
      </c>
      <c r="SOE22" s="498">
        <v>1</v>
      </c>
      <c r="SOF22" s="501">
        <v>6.75</v>
      </c>
      <c r="SOG22" s="486">
        <v>5.0999999999999996</v>
      </c>
      <c r="SOH22" s="452" t="s">
        <v>2691</v>
      </c>
      <c r="SOI22" s="498" t="s">
        <v>1620</v>
      </c>
      <c r="SOJ22" s="498">
        <v>1</v>
      </c>
      <c r="SOK22" s="499">
        <v>1500000</v>
      </c>
      <c r="SOL22" s="498">
        <v>1.58</v>
      </c>
      <c r="SOM22" s="498">
        <v>1</v>
      </c>
      <c r="SON22" s="501">
        <v>6.75</v>
      </c>
      <c r="SOO22" s="486">
        <v>5.0999999999999996</v>
      </c>
      <c r="SOP22" s="452" t="s">
        <v>2691</v>
      </c>
      <c r="SOQ22" s="498" t="s">
        <v>1620</v>
      </c>
      <c r="SOR22" s="498">
        <v>1</v>
      </c>
      <c r="SOS22" s="499">
        <v>1500000</v>
      </c>
      <c r="SOT22" s="498">
        <v>1.58</v>
      </c>
      <c r="SOU22" s="498">
        <v>1</v>
      </c>
      <c r="SOV22" s="501">
        <v>6.75</v>
      </c>
      <c r="SOW22" s="486">
        <v>5.0999999999999996</v>
      </c>
      <c r="SOX22" s="452" t="s">
        <v>2691</v>
      </c>
      <c r="SOY22" s="498" t="s">
        <v>1620</v>
      </c>
      <c r="SOZ22" s="498">
        <v>1</v>
      </c>
      <c r="SPA22" s="499">
        <v>1500000</v>
      </c>
      <c r="SPB22" s="498">
        <v>1.58</v>
      </c>
      <c r="SPC22" s="498">
        <v>1</v>
      </c>
      <c r="SPD22" s="501">
        <v>6.75</v>
      </c>
      <c r="SPE22" s="486">
        <v>5.0999999999999996</v>
      </c>
      <c r="SPF22" s="452" t="s">
        <v>2691</v>
      </c>
      <c r="SPG22" s="498" t="s">
        <v>1620</v>
      </c>
      <c r="SPH22" s="498">
        <v>1</v>
      </c>
      <c r="SPI22" s="499">
        <v>1500000</v>
      </c>
      <c r="SPJ22" s="498">
        <v>1.58</v>
      </c>
      <c r="SPK22" s="498">
        <v>1</v>
      </c>
      <c r="SPL22" s="501">
        <v>6.75</v>
      </c>
      <c r="SPM22" s="486">
        <v>5.0999999999999996</v>
      </c>
      <c r="SPN22" s="452" t="s">
        <v>2691</v>
      </c>
      <c r="SPO22" s="498" t="s">
        <v>1620</v>
      </c>
      <c r="SPP22" s="498">
        <v>1</v>
      </c>
      <c r="SPQ22" s="499">
        <v>1500000</v>
      </c>
      <c r="SPR22" s="498">
        <v>1.58</v>
      </c>
      <c r="SPS22" s="498">
        <v>1</v>
      </c>
      <c r="SPT22" s="501">
        <v>6.75</v>
      </c>
      <c r="SPU22" s="486">
        <v>5.0999999999999996</v>
      </c>
      <c r="SPV22" s="452" t="s">
        <v>2691</v>
      </c>
      <c r="SPW22" s="498" t="s">
        <v>1620</v>
      </c>
      <c r="SPX22" s="498">
        <v>1</v>
      </c>
      <c r="SPY22" s="499">
        <v>1500000</v>
      </c>
      <c r="SPZ22" s="498">
        <v>1.58</v>
      </c>
      <c r="SQA22" s="498">
        <v>1</v>
      </c>
      <c r="SQB22" s="501">
        <v>6.75</v>
      </c>
      <c r="SQC22" s="486">
        <v>5.0999999999999996</v>
      </c>
      <c r="SQD22" s="452" t="s">
        <v>2691</v>
      </c>
      <c r="SQE22" s="498" t="s">
        <v>1620</v>
      </c>
      <c r="SQF22" s="498">
        <v>1</v>
      </c>
      <c r="SQG22" s="499">
        <v>1500000</v>
      </c>
      <c r="SQH22" s="498">
        <v>1.58</v>
      </c>
      <c r="SQI22" s="498">
        <v>1</v>
      </c>
      <c r="SQJ22" s="501">
        <v>6.75</v>
      </c>
      <c r="SQK22" s="486">
        <v>5.0999999999999996</v>
      </c>
      <c r="SQL22" s="452" t="s">
        <v>2691</v>
      </c>
      <c r="SQM22" s="498" t="s">
        <v>1620</v>
      </c>
      <c r="SQN22" s="498">
        <v>1</v>
      </c>
      <c r="SQO22" s="499">
        <v>1500000</v>
      </c>
      <c r="SQP22" s="498">
        <v>1.58</v>
      </c>
      <c r="SQQ22" s="498">
        <v>1</v>
      </c>
      <c r="SQR22" s="501">
        <v>6.75</v>
      </c>
      <c r="SQS22" s="486">
        <v>5.0999999999999996</v>
      </c>
      <c r="SQT22" s="452" t="s">
        <v>2691</v>
      </c>
      <c r="SQU22" s="498" t="s">
        <v>1620</v>
      </c>
      <c r="SQV22" s="498">
        <v>1</v>
      </c>
      <c r="SQW22" s="499">
        <v>1500000</v>
      </c>
      <c r="SQX22" s="498">
        <v>1.58</v>
      </c>
      <c r="SQY22" s="498">
        <v>1</v>
      </c>
      <c r="SQZ22" s="501">
        <v>6.75</v>
      </c>
      <c r="SRA22" s="486">
        <v>5.0999999999999996</v>
      </c>
      <c r="SRB22" s="452" t="s">
        <v>2691</v>
      </c>
      <c r="SRC22" s="498" t="s">
        <v>1620</v>
      </c>
      <c r="SRD22" s="498">
        <v>1</v>
      </c>
      <c r="SRE22" s="499">
        <v>1500000</v>
      </c>
      <c r="SRF22" s="498">
        <v>1.58</v>
      </c>
      <c r="SRG22" s="498">
        <v>1</v>
      </c>
      <c r="SRH22" s="501">
        <v>6.75</v>
      </c>
      <c r="SRI22" s="486">
        <v>5.0999999999999996</v>
      </c>
      <c r="SRJ22" s="452" t="s">
        <v>2691</v>
      </c>
      <c r="SRK22" s="498" t="s">
        <v>1620</v>
      </c>
      <c r="SRL22" s="498">
        <v>1</v>
      </c>
      <c r="SRM22" s="499">
        <v>1500000</v>
      </c>
      <c r="SRN22" s="498">
        <v>1.58</v>
      </c>
      <c r="SRO22" s="498">
        <v>1</v>
      </c>
      <c r="SRP22" s="501">
        <v>6.75</v>
      </c>
      <c r="SRQ22" s="486">
        <v>5.0999999999999996</v>
      </c>
      <c r="SRR22" s="452" t="s">
        <v>2691</v>
      </c>
      <c r="SRS22" s="498" t="s">
        <v>1620</v>
      </c>
      <c r="SRT22" s="498">
        <v>1</v>
      </c>
      <c r="SRU22" s="499">
        <v>1500000</v>
      </c>
      <c r="SRV22" s="498">
        <v>1.58</v>
      </c>
      <c r="SRW22" s="498">
        <v>1</v>
      </c>
      <c r="SRX22" s="501">
        <v>6.75</v>
      </c>
      <c r="SRY22" s="486">
        <v>5.0999999999999996</v>
      </c>
      <c r="SRZ22" s="452" t="s">
        <v>2691</v>
      </c>
      <c r="SSA22" s="498" t="s">
        <v>1620</v>
      </c>
      <c r="SSB22" s="498">
        <v>1</v>
      </c>
      <c r="SSC22" s="499">
        <v>1500000</v>
      </c>
      <c r="SSD22" s="498">
        <v>1.58</v>
      </c>
      <c r="SSE22" s="498">
        <v>1</v>
      </c>
      <c r="SSF22" s="501">
        <v>6.75</v>
      </c>
      <c r="SSG22" s="486">
        <v>5.0999999999999996</v>
      </c>
      <c r="SSH22" s="452" t="s">
        <v>2691</v>
      </c>
      <c r="SSI22" s="498" t="s">
        <v>1620</v>
      </c>
      <c r="SSJ22" s="498">
        <v>1</v>
      </c>
      <c r="SSK22" s="499">
        <v>1500000</v>
      </c>
      <c r="SSL22" s="498">
        <v>1.58</v>
      </c>
      <c r="SSM22" s="498">
        <v>1</v>
      </c>
      <c r="SSN22" s="501">
        <v>6.75</v>
      </c>
      <c r="SSO22" s="486">
        <v>5.0999999999999996</v>
      </c>
      <c r="SSP22" s="452" t="s">
        <v>2691</v>
      </c>
      <c r="SSQ22" s="498" t="s">
        <v>1620</v>
      </c>
      <c r="SSR22" s="498">
        <v>1</v>
      </c>
      <c r="SSS22" s="499">
        <v>1500000</v>
      </c>
      <c r="SST22" s="498">
        <v>1.58</v>
      </c>
      <c r="SSU22" s="498">
        <v>1</v>
      </c>
      <c r="SSV22" s="501">
        <v>6.75</v>
      </c>
      <c r="SSW22" s="486">
        <v>5.0999999999999996</v>
      </c>
      <c r="SSX22" s="452" t="s">
        <v>2691</v>
      </c>
      <c r="SSY22" s="498" t="s">
        <v>1620</v>
      </c>
      <c r="SSZ22" s="498">
        <v>1</v>
      </c>
      <c r="STA22" s="499">
        <v>1500000</v>
      </c>
      <c r="STB22" s="498">
        <v>1.58</v>
      </c>
      <c r="STC22" s="498">
        <v>1</v>
      </c>
      <c r="STD22" s="501">
        <v>6.75</v>
      </c>
      <c r="STE22" s="486">
        <v>5.0999999999999996</v>
      </c>
      <c r="STF22" s="452" t="s">
        <v>2691</v>
      </c>
      <c r="STG22" s="498" t="s">
        <v>1620</v>
      </c>
      <c r="STH22" s="498">
        <v>1</v>
      </c>
      <c r="STI22" s="499">
        <v>1500000</v>
      </c>
      <c r="STJ22" s="498">
        <v>1.58</v>
      </c>
      <c r="STK22" s="498">
        <v>1</v>
      </c>
      <c r="STL22" s="501">
        <v>6.75</v>
      </c>
      <c r="STM22" s="486">
        <v>5.0999999999999996</v>
      </c>
      <c r="STN22" s="452" t="s">
        <v>2691</v>
      </c>
      <c r="STO22" s="498" t="s">
        <v>1620</v>
      </c>
      <c r="STP22" s="498">
        <v>1</v>
      </c>
      <c r="STQ22" s="499">
        <v>1500000</v>
      </c>
      <c r="STR22" s="498">
        <v>1.58</v>
      </c>
      <c r="STS22" s="498">
        <v>1</v>
      </c>
      <c r="STT22" s="501">
        <v>6.75</v>
      </c>
      <c r="STU22" s="486">
        <v>5.0999999999999996</v>
      </c>
      <c r="STV22" s="452" t="s">
        <v>2691</v>
      </c>
      <c r="STW22" s="498" t="s">
        <v>1620</v>
      </c>
      <c r="STX22" s="498">
        <v>1</v>
      </c>
      <c r="STY22" s="499">
        <v>1500000</v>
      </c>
      <c r="STZ22" s="498">
        <v>1.58</v>
      </c>
      <c r="SUA22" s="498">
        <v>1</v>
      </c>
      <c r="SUB22" s="501">
        <v>6.75</v>
      </c>
      <c r="SUC22" s="486">
        <v>5.0999999999999996</v>
      </c>
      <c r="SUD22" s="452" t="s">
        <v>2691</v>
      </c>
      <c r="SUE22" s="498" t="s">
        <v>1620</v>
      </c>
      <c r="SUF22" s="498">
        <v>1</v>
      </c>
      <c r="SUG22" s="499">
        <v>1500000</v>
      </c>
      <c r="SUH22" s="498">
        <v>1.58</v>
      </c>
      <c r="SUI22" s="498">
        <v>1</v>
      </c>
      <c r="SUJ22" s="501">
        <v>6.75</v>
      </c>
      <c r="SUK22" s="486">
        <v>5.0999999999999996</v>
      </c>
      <c r="SUL22" s="452" t="s">
        <v>2691</v>
      </c>
      <c r="SUM22" s="498" t="s">
        <v>1620</v>
      </c>
      <c r="SUN22" s="498">
        <v>1</v>
      </c>
      <c r="SUO22" s="499">
        <v>1500000</v>
      </c>
      <c r="SUP22" s="498">
        <v>1.58</v>
      </c>
      <c r="SUQ22" s="498">
        <v>1</v>
      </c>
      <c r="SUR22" s="501">
        <v>6.75</v>
      </c>
      <c r="SUS22" s="486">
        <v>5.0999999999999996</v>
      </c>
      <c r="SUT22" s="452" t="s">
        <v>2691</v>
      </c>
      <c r="SUU22" s="498" t="s">
        <v>1620</v>
      </c>
      <c r="SUV22" s="498">
        <v>1</v>
      </c>
      <c r="SUW22" s="499">
        <v>1500000</v>
      </c>
      <c r="SUX22" s="498">
        <v>1.58</v>
      </c>
      <c r="SUY22" s="498">
        <v>1</v>
      </c>
      <c r="SUZ22" s="501">
        <v>6.75</v>
      </c>
      <c r="SVA22" s="486">
        <v>5.0999999999999996</v>
      </c>
      <c r="SVB22" s="452" t="s">
        <v>2691</v>
      </c>
      <c r="SVC22" s="498" t="s">
        <v>1620</v>
      </c>
      <c r="SVD22" s="498">
        <v>1</v>
      </c>
      <c r="SVE22" s="499">
        <v>1500000</v>
      </c>
      <c r="SVF22" s="498">
        <v>1.58</v>
      </c>
      <c r="SVG22" s="498">
        <v>1</v>
      </c>
      <c r="SVH22" s="501">
        <v>6.75</v>
      </c>
      <c r="SVI22" s="486">
        <v>5.0999999999999996</v>
      </c>
      <c r="SVJ22" s="452" t="s">
        <v>2691</v>
      </c>
      <c r="SVK22" s="498" t="s">
        <v>1620</v>
      </c>
      <c r="SVL22" s="498">
        <v>1</v>
      </c>
      <c r="SVM22" s="499">
        <v>1500000</v>
      </c>
      <c r="SVN22" s="498">
        <v>1.58</v>
      </c>
      <c r="SVO22" s="498">
        <v>1</v>
      </c>
      <c r="SVP22" s="501">
        <v>6.75</v>
      </c>
      <c r="SVQ22" s="486">
        <v>5.0999999999999996</v>
      </c>
      <c r="SVR22" s="452" t="s">
        <v>2691</v>
      </c>
      <c r="SVS22" s="498" t="s">
        <v>1620</v>
      </c>
      <c r="SVT22" s="498">
        <v>1</v>
      </c>
      <c r="SVU22" s="499">
        <v>1500000</v>
      </c>
      <c r="SVV22" s="498">
        <v>1.58</v>
      </c>
      <c r="SVW22" s="498">
        <v>1</v>
      </c>
      <c r="SVX22" s="501">
        <v>6.75</v>
      </c>
      <c r="SVY22" s="486">
        <v>5.0999999999999996</v>
      </c>
      <c r="SVZ22" s="452" t="s">
        <v>2691</v>
      </c>
      <c r="SWA22" s="498" t="s">
        <v>1620</v>
      </c>
      <c r="SWB22" s="498">
        <v>1</v>
      </c>
      <c r="SWC22" s="499">
        <v>1500000</v>
      </c>
      <c r="SWD22" s="498">
        <v>1.58</v>
      </c>
      <c r="SWE22" s="498">
        <v>1</v>
      </c>
      <c r="SWF22" s="501">
        <v>6.75</v>
      </c>
      <c r="SWG22" s="486">
        <v>5.0999999999999996</v>
      </c>
      <c r="SWH22" s="452" t="s">
        <v>2691</v>
      </c>
      <c r="SWI22" s="498" t="s">
        <v>1620</v>
      </c>
      <c r="SWJ22" s="498">
        <v>1</v>
      </c>
      <c r="SWK22" s="499">
        <v>1500000</v>
      </c>
      <c r="SWL22" s="498">
        <v>1.58</v>
      </c>
      <c r="SWM22" s="498">
        <v>1</v>
      </c>
      <c r="SWN22" s="501">
        <v>6.75</v>
      </c>
      <c r="SWO22" s="486">
        <v>5.0999999999999996</v>
      </c>
      <c r="SWP22" s="452" t="s">
        <v>2691</v>
      </c>
      <c r="SWQ22" s="498" t="s">
        <v>1620</v>
      </c>
      <c r="SWR22" s="498">
        <v>1</v>
      </c>
      <c r="SWS22" s="499">
        <v>1500000</v>
      </c>
      <c r="SWT22" s="498">
        <v>1.58</v>
      </c>
      <c r="SWU22" s="498">
        <v>1</v>
      </c>
      <c r="SWV22" s="501">
        <v>6.75</v>
      </c>
      <c r="SWW22" s="486">
        <v>5.0999999999999996</v>
      </c>
      <c r="SWX22" s="452" t="s">
        <v>2691</v>
      </c>
      <c r="SWY22" s="498" t="s">
        <v>1620</v>
      </c>
      <c r="SWZ22" s="498">
        <v>1</v>
      </c>
      <c r="SXA22" s="499">
        <v>1500000</v>
      </c>
      <c r="SXB22" s="498">
        <v>1.58</v>
      </c>
      <c r="SXC22" s="498">
        <v>1</v>
      </c>
      <c r="SXD22" s="501">
        <v>6.75</v>
      </c>
      <c r="SXE22" s="486">
        <v>5.0999999999999996</v>
      </c>
      <c r="SXF22" s="452" t="s">
        <v>2691</v>
      </c>
      <c r="SXG22" s="498" t="s">
        <v>1620</v>
      </c>
      <c r="SXH22" s="498">
        <v>1</v>
      </c>
      <c r="SXI22" s="499">
        <v>1500000</v>
      </c>
      <c r="SXJ22" s="498">
        <v>1.58</v>
      </c>
      <c r="SXK22" s="498">
        <v>1</v>
      </c>
      <c r="SXL22" s="501">
        <v>6.75</v>
      </c>
      <c r="SXM22" s="486">
        <v>5.0999999999999996</v>
      </c>
      <c r="SXN22" s="452" t="s">
        <v>2691</v>
      </c>
      <c r="SXO22" s="498" t="s">
        <v>1620</v>
      </c>
      <c r="SXP22" s="498">
        <v>1</v>
      </c>
      <c r="SXQ22" s="499">
        <v>1500000</v>
      </c>
      <c r="SXR22" s="498">
        <v>1.58</v>
      </c>
      <c r="SXS22" s="498">
        <v>1</v>
      </c>
      <c r="SXT22" s="501">
        <v>6.75</v>
      </c>
      <c r="SXU22" s="486">
        <v>5.0999999999999996</v>
      </c>
      <c r="SXV22" s="452" t="s">
        <v>2691</v>
      </c>
      <c r="SXW22" s="498" t="s">
        <v>1620</v>
      </c>
      <c r="SXX22" s="498">
        <v>1</v>
      </c>
      <c r="SXY22" s="499">
        <v>1500000</v>
      </c>
      <c r="SXZ22" s="498">
        <v>1.58</v>
      </c>
      <c r="SYA22" s="498">
        <v>1</v>
      </c>
      <c r="SYB22" s="501">
        <v>6.75</v>
      </c>
      <c r="SYC22" s="486">
        <v>5.0999999999999996</v>
      </c>
      <c r="SYD22" s="452" t="s">
        <v>2691</v>
      </c>
      <c r="SYE22" s="498" t="s">
        <v>1620</v>
      </c>
      <c r="SYF22" s="498">
        <v>1</v>
      </c>
      <c r="SYG22" s="499">
        <v>1500000</v>
      </c>
      <c r="SYH22" s="498">
        <v>1.58</v>
      </c>
      <c r="SYI22" s="498">
        <v>1</v>
      </c>
      <c r="SYJ22" s="501">
        <v>6.75</v>
      </c>
      <c r="SYK22" s="486">
        <v>5.0999999999999996</v>
      </c>
      <c r="SYL22" s="452" t="s">
        <v>2691</v>
      </c>
      <c r="SYM22" s="498" t="s">
        <v>1620</v>
      </c>
      <c r="SYN22" s="498">
        <v>1</v>
      </c>
      <c r="SYO22" s="499">
        <v>1500000</v>
      </c>
      <c r="SYP22" s="498">
        <v>1.58</v>
      </c>
      <c r="SYQ22" s="498">
        <v>1</v>
      </c>
      <c r="SYR22" s="501">
        <v>6.75</v>
      </c>
      <c r="SYS22" s="486">
        <v>5.0999999999999996</v>
      </c>
      <c r="SYT22" s="452" t="s">
        <v>2691</v>
      </c>
      <c r="SYU22" s="498" t="s">
        <v>1620</v>
      </c>
      <c r="SYV22" s="498">
        <v>1</v>
      </c>
      <c r="SYW22" s="499">
        <v>1500000</v>
      </c>
      <c r="SYX22" s="498">
        <v>1.58</v>
      </c>
      <c r="SYY22" s="498">
        <v>1</v>
      </c>
      <c r="SYZ22" s="501">
        <v>6.75</v>
      </c>
      <c r="SZA22" s="486">
        <v>5.0999999999999996</v>
      </c>
      <c r="SZB22" s="452" t="s">
        <v>2691</v>
      </c>
      <c r="SZC22" s="498" t="s">
        <v>1620</v>
      </c>
      <c r="SZD22" s="498">
        <v>1</v>
      </c>
      <c r="SZE22" s="499">
        <v>1500000</v>
      </c>
      <c r="SZF22" s="498">
        <v>1.58</v>
      </c>
      <c r="SZG22" s="498">
        <v>1</v>
      </c>
      <c r="SZH22" s="501">
        <v>6.75</v>
      </c>
      <c r="SZI22" s="486">
        <v>5.0999999999999996</v>
      </c>
      <c r="SZJ22" s="452" t="s">
        <v>2691</v>
      </c>
      <c r="SZK22" s="498" t="s">
        <v>1620</v>
      </c>
      <c r="SZL22" s="498">
        <v>1</v>
      </c>
      <c r="SZM22" s="499">
        <v>1500000</v>
      </c>
      <c r="SZN22" s="498">
        <v>1.58</v>
      </c>
      <c r="SZO22" s="498">
        <v>1</v>
      </c>
      <c r="SZP22" s="501">
        <v>6.75</v>
      </c>
      <c r="SZQ22" s="486">
        <v>5.0999999999999996</v>
      </c>
      <c r="SZR22" s="452" t="s">
        <v>2691</v>
      </c>
      <c r="SZS22" s="498" t="s">
        <v>1620</v>
      </c>
      <c r="SZT22" s="498">
        <v>1</v>
      </c>
      <c r="SZU22" s="499">
        <v>1500000</v>
      </c>
      <c r="SZV22" s="498">
        <v>1.58</v>
      </c>
      <c r="SZW22" s="498">
        <v>1</v>
      </c>
      <c r="SZX22" s="501">
        <v>6.75</v>
      </c>
      <c r="SZY22" s="486">
        <v>5.0999999999999996</v>
      </c>
      <c r="SZZ22" s="452" t="s">
        <v>2691</v>
      </c>
      <c r="TAA22" s="498" t="s">
        <v>1620</v>
      </c>
      <c r="TAB22" s="498">
        <v>1</v>
      </c>
      <c r="TAC22" s="499">
        <v>1500000</v>
      </c>
      <c r="TAD22" s="498">
        <v>1.58</v>
      </c>
      <c r="TAE22" s="498">
        <v>1</v>
      </c>
      <c r="TAF22" s="501">
        <v>6.75</v>
      </c>
      <c r="TAG22" s="486">
        <v>5.0999999999999996</v>
      </c>
      <c r="TAH22" s="452" t="s">
        <v>2691</v>
      </c>
      <c r="TAI22" s="498" t="s">
        <v>1620</v>
      </c>
      <c r="TAJ22" s="498">
        <v>1</v>
      </c>
      <c r="TAK22" s="499">
        <v>1500000</v>
      </c>
      <c r="TAL22" s="498">
        <v>1.58</v>
      </c>
      <c r="TAM22" s="498">
        <v>1</v>
      </c>
      <c r="TAN22" s="501">
        <v>6.75</v>
      </c>
      <c r="TAO22" s="486">
        <v>5.0999999999999996</v>
      </c>
      <c r="TAP22" s="452" t="s">
        <v>2691</v>
      </c>
      <c r="TAQ22" s="498" t="s">
        <v>1620</v>
      </c>
      <c r="TAR22" s="498">
        <v>1</v>
      </c>
      <c r="TAS22" s="499">
        <v>1500000</v>
      </c>
      <c r="TAT22" s="498">
        <v>1.58</v>
      </c>
      <c r="TAU22" s="498">
        <v>1</v>
      </c>
      <c r="TAV22" s="501">
        <v>6.75</v>
      </c>
      <c r="TAW22" s="486">
        <v>5.0999999999999996</v>
      </c>
      <c r="TAX22" s="452" t="s">
        <v>2691</v>
      </c>
      <c r="TAY22" s="498" t="s">
        <v>1620</v>
      </c>
      <c r="TAZ22" s="498">
        <v>1</v>
      </c>
      <c r="TBA22" s="499">
        <v>1500000</v>
      </c>
      <c r="TBB22" s="498">
        <v>1.58</v>
      </c>
      <c r="TBC22" s="498">
        <v>1</v>
      </c>
      <c r="TBD22" s="501">
        <v>6.75</v>
      </c>
      <c r="TBE22" s="486">
        <v>5.0999999999999996</v>
      </c>
      <c r="TBF22" s="452" t="s">
        <v>2691</v>
      </c>
      <c r="TBG22" s="498" t="s">
        <v>1620</v>
      </c>
      <c r="TBH22" s="498">
        <v>1</v>
      </c>
      <c r="TBI22" s="499">
        <v>1500000</v>
      </c>
      <c r="TBJ22" s="498">
        <v>1.58</v>
      </c>
      <c r="TBK22" s="498">
        <v>1</v>
      </c>
      <c r="TBL22" s="501">
        <v>6.75</v>
      </c>
      <c r="TBM22" s="486">
        <v>5.0999999999999996</v>
      </c>
      <c r="TBN22" s="452" t="s">
        <v>2691</v>
      </c>
      <c r="TBO22" s="498" t="s">
        <v>1620</v>
      </c>
      <c r="TBP22" s="498">
        <v>1</v>
      </c>
      <c r="TBQ22" s="499">
        <v>1500000</v>
      </c>
      <c r="TBR22" s="498">
        <v>1.58</v>
      </c>
      <c r="TBS22" s="498">
        <v>1</v>
      </c>
      <c r="TBT22" s="501">
        <v>6.75</v>
      </c>
      <c r="TBU22" s="486">
        <v>5.0999999999999996</v>
      </c>
      <c r="TBV22" s="452" t="s">
        <v>2691</v>
      </c>
      <c r="TBW22" s="498" t="s">
        <v>1620</v>
      </c>
      <c r="TBX22" s="498">
        <v>1</v>
      </c>
      <c r="TBY22" s="499">
        <v>1500000</v>
      </c>
      <c r="TBZ22" s="498">
        <v>1.58</v>
      </c>
      <c r="TCA22" s="498">
        <v>1</v>
      </c>
      <c r="TCB22" s="501">
        <v>6.75</v>
      </c>
      <c r="TCC22" s="486">
        <v>5.0999999999999996</v>
      </c>
      <c r="TCD22" s="452" t="s">
        <v>2691</v>
      </c>
      <c r="TCE22" s="498" t="s">
        <v>1620</v>
      </c>
      <c r="TCF22" s="498">
        <v>1</v>
      </c>
      <c r="TCG22" s="499">
        <v>1500000</v>
      </c>
      <c r="TCH22" s="498">
        <v>1.58</v>
      </c>
      <c r="TCI22" s="498">
        <v>1</v>
      </c>
      <c r="TCJ22" s="501">
        <v>6.75</v>
      </c>
      <c r="TCK22" s="486">
        <v>5.0999999999999996</v>
      </c>
      <c r="TCL22" s="452" t="s">
        <v>2691</v>
      </c>
      <c r="TCM22" s="498" t="s">
        <v>1620</v>
      </c>
      <c r="TCN22" s="498">
        <v>1</v>
      </c>
      <c r="TCO22" s="499">
        <v>1500000</v>
      </c>
      <c r="TCP22" s="498">
        <v>1.58</v>
      </c>
      <c r="TCQ22" s="498">
        <v>1</v>
      </c>
      <c r="TCR22" s="501">
        <v>6.75</v>
      </c>
      <c r="TCS22" s="486">
        <v>5.0999999999999996</v>
      </c>
      <c r="TCT22" s="452" t="s">
        <v>2691</v>
      </c>
      <c r="TCU22" s="498" t="s">
        <v>1620</v>
      </c>
      <c r="TCV22" s="498">
        <v>1</v>
      </c>
      <c r="TCW22" s="499">
        <v>1500000</v>
      </c>
      <c r="TCX22" s="498">
        <v>1.58</v>
      </c>
      <c r="TCY22" s="498">
        <v>1</v>
      </c>
      <c r="TCZ22" s="501">
        <v>6.75</v>
      </c>
      <c r="TDA22" s="486">
        <v>5.0999999999999996</v>
      </c>
      <c r="TDB22" s="452" t="s">
        <v>2691</v>
      </c>
      <c r="TDC22" s="498" t="s">
        <v>1620</v>
      </c>
      <c r="TDD22" s="498">
        <v>1</v>
      </c>
      <c r="TDE22" s="499">
        <v>1500000</v>
      </c>
      <c r="TDF22" s="498">
        <v>1.58</v>
      </c>
      <c r="TDG22" s="498">
        <v>1</v>
      </c>
      <c r="TDH22" s="501">
        <v>6.75</v>
      </c>
      <c r="TDI22" s="486">
        <v>5.0999999999999996</v>
      </c>
      <c r="TDJ22" s="452" t="s">
        <v>2691</v>
      </c>
      <c r="TDK22" s="498" t="s">
        <v>1620</v>
      </c>
      <c r="TDL22" s="498">
        <v>1</v>
      </c>
      <c r="TDM22" s="499">
        <v>1500000</v>
      </c>
      <c r="TDN22" s="498">
        <v>1.58</v>
      </c>
      <c r="TDO22" s="498">
        <v>1</v>
      </c>
      <c r="TDP22" s="501">
        <v>6.75</v>
      </c>
      <c r="TDQ22" s="486">
        <v>5.0999999999999996</v>
      </c>
      <c r="TDR22" s="452" t="s">
        <v>2691</v>
      </c>
      <c r="TDS22" s="498" t="s">
        <v>1620</v>
      </c>
      <c r="TDT22" s="498">
        <v>1</v>
      </c>
      <c r="TDU22" s="499">
        <v>1500000</v>
      </c>
      <c r="TDV22" s="498">
        <v>1.58</v>
      </c>
      <c r="TDW22" s="498">
        <v>1</v>
      </c>
      <c r="TDX22" s="501">
        <v>6.75</v>
      </c>
      <c r="TDY22" s="486">
        <v>5.0999999999999996</v>
      </c>
      <c r="TDZ22" s="452" t="s">
        <v>2691</v>
      </c>
      <c r="TEA22" s="498" t="s">
        <v>1620</v>
      </c>
      <c r="TEB22" s="498">
        <v>1</v>
      </c>
      <c r="TEC22" s="499">
        <v>1500000</v>
      </c>
      <c r="TED22" s="498">
        <v>1.58</v>
      </c>
      <c r="TEE22" s="498">
        <v>1</v>
      </c>
      <c r="TEF22" s="501">
        <v>6.75</v>
      </c>
      <c r="TEG22" s="486">
        <v>5.0999999999999996</v>
      </c>
      <c r="TEH22" s="452" t="s">
        <v>2691</v>
      </c>
      <c r="TEI22" s="498" t="s">
        <v>1620</v>
      </c>
      <c r="TEJ22" s="498">
        <v>1</v>
      </c>
      <c r="TEK22" s="499">
        <v>1500000</v>
      </c>
      <c r="TEL22" s="498">
        <v>1.58</v>
      </c>
      <c r="TEM22" s="498">
        <v>1</v>
      </c>
      <c r="TEN22" s="501">
        <v>6.75</v>
      </c>
      <c r="TEO22" s="486">
        <v>5.0999999999999996</v>
      </c>
      <c r="TEP22" s="452" t="s">
        <v>2691</v>
      </c>
      <c r="TEQ22" s="498" t="s">
        <v>1620</v>
      </c>
      <c r="TER22" s="498">
        <v>1</v>
      </c>
      <c r="TES22" s="499">
        <v>1500000</v>
      </c>
      <c r="TET22" s="498">
        <v>1.58</v>
      </c>
      <c r="TEU22" s="498">
        <v>1</v>
      </c>
      <c r="TEV22" s="501">
        <v>6.75</v>
      </c>
      <c r="TEW22" s="486">
        <v>5.0999999999999996</v>
      </c>
      <c r="TEX22" s="452" t="s">
        <v>2691</v>
      </c>
      <c r="TEY22" s="498" t="s">
        <v>1620</v>
      </c>
      <c r="TEZ22" s="498">
        <v>1</v>
      </c>
      <c r="TFA22" s="499">
        <v>1500000</v>
      </c>
      <c r="TFB22" s="498">
        <v>1.58</v>
      </c>
      <c r="TFC22" s="498">
        <v>1</v>
      </c>
      <c r="TFD22" s="501">
        <v>6.75</v>
      </c>
      <c r="TFE22" s="486">
        <v>5.0999999999999996</v>
      </c>
      <c r="TFF22" s="452" t="s">
        <v>2691</v>
      </c>
      <c r="TFG22" s="498" t="s">
        <v>1620</v>
      </c>
      <c r="TFH22" s="498">
        <v>1</v>
      </c>
      <c r="TFI22" s="499">
        <v>1500000</v>
      </c>
      <c r="TFJ22" s="498">
        <v>1.58</v>
      </c>
      <c r="TFK22" s="498">
        <v>1</v>
      </c>
      <c r="TFL22" s="501">
        <v>6.75</v>
      </c>
      <c r="TFM22" s="486">
        <v>5.0999999999999996</v>
      </c>
      <c r="TFN22" s="452" t="s">
        <v>2691</v>
      </c>
      <c r="TFO22" s="498" t="s">
        <v>1620</v>
      </c>
      <c r="TFP22" s="498">
        <v>1</v>
      </c>
      <c r="TFQ22" s="499">
        <v>1500000</v>
      </c>
      <c r="TFR22" s="498">
        <v>1.58</v>
      </c>
      <c r="TFS22" s="498">
        <v>1</v>
      </c>
      <c r="TFT22" s="501">
        <v>6.75</v>
      </c>
      <c r="TFU22" s="486">
        <v>5.0999999999999996</v>
      </c>
      <c r="TFV22" s="452" t="s">
        <v>2691</v>
      </c>
      <c r="TFW22" s="498" t="s">
        <v>1620</v>
      </c>
      <c r="TFX22" s="498">
        <v>1</v>
      </c>
      <c r="TFY22" s="499">
        <v>1500000</v>
      </c>
      <c r="TFZ22" s="498">
        <v>1.58</v>
      </c>
      <c r="TGA22" s="498">
        <v>1</v>
      </c>
      <c r="TGB22" s="501">
        <v>6.75</v>
      </c>
      <c r="TGC22" s="486">
        <v>5.0999999999999996</v>
      </c>
      <c r="TGD22" s="452" t="s">
        <v>2691</v>
      </c>
      <c r="TGE22" s="498" t="s">
        <v>1620</v>
      </c>
      <c r="TGF22" s="498">
        <v>1</v>
      </c>
      <c r="TGG22" s="499">
        <v>1500000</v>
      </c>
      <c r="TGH22" s="498">
        <v>1.58</v>
      </c>
      <c r="TGI22" s="498">
        <v>1</v>
      </c>
      <c r="TGJ22" s="501">
        <v>6.75</v>
      </c>
      <c r="TGK22" s="486">
        <v>5.0999999999999996</v>
      </c>
      <c r="TGL22" s="452" t="s">
        <v>2691</v>
      </c>
      <c r="TGM22" s="498" t="s">
        <v>1620</v>
      </c>
      <c r="TGN22" s="498">
        <v>1</v>
      </c>
      <c r="TGO22" s="499">
        <v>1500000</v>
      </c>
      <c r="TGP22" s="498">
        <v>1.58</v>
      </c>
      <c r="TGQ22" s="498">
        <v>1</v>
      </c>
      <c r="TGR22" s="501">
        <v>6.75</v>
      </c>
      <c r="TGS22" s="486">
        <v>5.0999999999999996</v>
      </c>
      <c r="TGT22" s="452" t="s">
        <v>2691</v>
      </c>
      <c r="TGU22" s="498" t="s">
        <v>1620</v>
      </c>
      <c r="TGV22" s="498">
        <v>1</v>
      </c>
      <c r="TGW22" s="499">
        <v>1500000</v>
      </c>
      <c r="TGX22" s="498">
        <v>1.58</v>
      </c>
      <c r="TGY22" s="498">
        <v>1</v>
      </c>
      <c r="TGZ22" s="501">
        <v>6.75</v>
      </c>
      <c r="THA22" s="486">
        <v>5.0999999999999996</v>
      </c>
      <c r="THB22" s="452" t="s">
        <v>2691</v>
      </c>
      <c r="THC22" s="498" t="s">
        <v>1620</v>
      </c>
      <c r="THD22" s="498">
        <v>1</v>
      </c>
      <c r="THE22" s="499">
        <v>1500000</v>
      </c>
      <c r="THF22" s="498">
        <v>1.58</v>
      </c>
      <c r="THG22" s="498">
        <v>1</v>
      </c>
      <c r="THH22" s="501">
        <v>6.75</v>
      </c>
      <c r="THI22" s="486">
        <v>5.0999999999999996</v>
      </c>
      <c r="THJ22" s="452" t="s">
        <v>2691</v>
      </c>
      <c r="THK22" s="498" t="s">
        <v>1620</v>
      </c>
      <c r="THL22" s="498">
        <v>1</v>
      </c>
      <c r="THM22" s="499">
        <v>1500000</v>
      </c>
      <c r="THN22" s="498">
        <v>1.58</v>
      </c>
      <c r="THO22" s="498">
        <v>1</v>
      </c>
      <c r="THP22" s="501">
        <v>6.75</v>
      </c>
      <c r="THQ22" s="486">
        <v>5.0999999999999996</v>
      </c>
      <c r="THR22" s="452" t="s">
        <v>2691</v>
      </c>
      <c r="THS22" s="498" t="s">
        <v>1620</v>
      </c>
      <c r="THT22" s="498">
        <v>1</v>
      </c>
      <c r="THU22" s="499">
        <v>1500000</v>
      </c>
      <c r="THV22" s="498">
        <v>1.58</v>
      </c>
      <c r="THW22" s="498">
        <v>1</v>
      </c>
      <c r="THX22" s="501">
        <v>6.75</v>
      </c>
      <c r="THY22" s="486">
        <v>5.0999999999999996</v>
      </c>
      <c r="THZ22" s="452" t="s">
        <v>2691</v>
      </c>
      <c r="TIA22" s="498" t="s">
        <v>1620</v>
      </c>
      <c r="TIB22" s="498">
        <v>1</v>
      </c>
      <c r="TIC22" s="499">
        <v>1500000</v>
      </c>
      <c r="TID22" s="498">
        <v>1.58</v>
      </c>
      <c r="TIE22" s="498">
        <v>1</v>
      </c>
      <c r="TIF22" s="501">
        <v>6.75</v>
      </c>
      <c r="TIG22" s="486">
        <v>5.0999999999999996</v>
      </c>
      <c r="TIH22" s="452" t="s">
        <v>2691</v>
      </c>
      <c r="TII22" s="498" t="s">
        <v>1620</v>
      </c>
      <c r="TIJ22" s="498">
        <v>1</v>
      </c>
      <c r="TIK22" s="499">
        <v>1500000</v>
      </c>
      <c r="TIL22" s="498">
        <v>1.58</v>
      </c>
      <c r="TIM22" s="498">
        <v>1</v>
      </c>
      <c r="TIN22" s="501">
        <v>6.75</v>
      </c>
      <c r="TIO22" s="486">
        <v>5.0999999999999996</v>
      </c>
      <c r="TIP22" s="452" t="s">
        <v>2691</v>
      </c>
      <c r="TIQ22" s="498" t="s">
        <v>1620</v>
      </c>
      <c r="TIR22" s="498">
        <v>1</v>
      </c>
      <c r="TIS22" s="499">
        <v>1500000</v>
      </c>
      <c r="TIT22" s="498">
        <v>1.58</v>
      </c>
      <c r="TIU22" s="498">
        <v>1</v>
      </c>
      <c r="TIV22" s="501">
        <v>6.75</v>
      </c>
      <c r="TIW22" s="486">
        <v>5.0999999999999996</v>
      </c>
      <c r="TIX22" s="452" t="s">
        <v>2691</v>
      </c>
      <c r="TIY22" s="498" t="s">
        <v>1620</v>
      </c>
      <c r="TIZ22" s="498">
        <v>1</v>
      </c>
      <c r="TJA22" s="499">
        <v>1500000</v>
      </c>
      <c r="TJB22" s="498">
        <v>1.58</v>
      </c>
      <c r="TJC22" s="498">
        <v>1</v>
      </c>
      <c r="TJD22" s="501">
        <v>6.75</v>
      </c>
      <c r="TJE22" s="486">
        <v>5.0999999999999996</v>
      </c>
      <c r="TJF22" s="452" t="s">
        <v>2691</v>
      </c>
      <c r="TJG22" s="498" t="s">
        <v>1620</v>
      </c>
      <c r="TJH22" s="498">
        <v>1</v>
      </c>
      <c r="TJI22" s="499">
        <v>1500000</v>
      </c>
      <c r="TJJ22" s="498">
        <v>1.58</v>
      </c>
      <c r="TJK22" s="498">
        <v>1</v>
      </c>
      <c r="TJL22" s="501">
        <v>6.75</v>
      </c>
      <c r="TJM22" s="486">
        <v>5.0999999999999996</v>
      </c>
      <c r="TJN22" s="452" t="s">
        <v>2691</v>
      </c>
      <c r="TJO22" s="498" t="s">
        <v>1620</v>
      </c>
      <c r="TJP22" s="498">
        <v>1</v>
      </c>
      <c r="TJQ22" s="499">
        <v>1500000</v>
      </c>
      <c r="TJR22" s="498">
        <v>1.58</v>
      </c>
      <c r="TJS22" s="498">
        <v>1</v>
      </c>
      <c r="TJT22" s="501">
        <v>6.75</v>
      </c>
      <c r="TJU22" s="486">
        <v>5.0999999999999996</v>
      </c>
      <c r="TJV22" s="452" t="s">
        <v>2691</v>
      </c>
      <c r="TJW22" s="498" t="s">
        <v>1620</v>
      </c>
      <c r="TJX22" s="498">
        <v>1</v>
      </c>
      <c r="TJY22" s="499">
        <v>1500000</v>
      </c>
      <c r="TJZ22" s="498">
        <v>1.58</v>
      </c>
      <c r="TKA22" s="498">
        <v>1</v>
      </c>
      <c r="TKB22" s="501">
        <v>6.75</v>
      </c>
      <c r="TKC22" s="486">
        <v>5.0999999999999996</v>
      </c>
      <c r="TKD22" s="452" t="s">
        <v>2691</v>
      </c>
      <c r="TKE22" s="498" t="s">
        <v>1620</v>
      </c>
      <c r="TKF22" s="498">
        <v>1</v>
      </c>
      <c r="TKG22" s="499">
        <v>1500000</v>
      </c>
      <c r="TKH22" s="498">
        <v>1.58</v>
      </c>
      <c r="TKI22" s="498">
        <v>1</v>
      </c>
      <c r="TKJ22" s="501">
        <v>6.75</v>
      </c>
      <c r="TKK22" s="486">
        <v>5.0999999999999996</v>
      </c>
      <c r="TKL22" s="452" t="s">
        <v>2691</v>
      </c>
      <c r="TKM22" s="498" t="s">
        <v>1620</v>
      </c>
      <c r="TKN22" s="498">
        <v>1</v>
      </c>
      <c r="TKO22" s="499">
        <v>1500000</v>
      </c>
      <c r="TKP22" s="498">
        <v>1.58</v>
      </c>
      <c r="TKQ22" s="498">
        <v>1</v>
      </c>
      <c r="TKR22" s="501">
        <v>6.75</v>
      </c>
      <c r="TKS22" s="486">
        <v>5.0999999999999996</v>
      </c>
      <c r="TKT22" s="452" t="s">
        <v>2691</v>
      </c>
      <c r="TKU22" s="498" t="s">
        <v>1620</v>
      </c>
      <c r="TKV22" s="498">
        <v>1</v>
      </c>
      <c r="TKW22" s="499">
        <v>1500000</v>
      </c>
      <c r="TKX22" s="498">
        <v>1.58</v>
      </c>
      <c r="TKY22" s="498">
        <v>1</v>
      </c>
      <c r="TKZ22" s="501">
        <v>6.75</v>
      </c>
      <c r="TLA22" s="486">
        <v>5.0999999999999996</v>
      </c>
      <c r="TLB22" s="452" t="s">
        <v>2691</v>
      </c>
      <c r="TLC22" s="498" t="s">
        <v>1620</v>
      </c>
      <c r="TLD22" s="498">
        <v>1</v>
      </c>
      <c r="TLE22" s="499">
        <v>1500000</v>
      </c>
      <c r="TLF22" s="498">
        <v>1.58</v>
      </c>
      <c r="TLG22" s="498">
        <v>1</v>
      </c>
      <c r="TLH22" s="501">
        <v>6.75</v>
      </c>
      <c r="TLI22" s="486">
        <v>5.0999999999999996</v>
      </c>
      <c r="TLJ22" s="452" t="s">
        <v>2691</v>
      </c>
      <c r="TLK22" s="498" t="s">
        <v>1620</v>
      </c>
      <c r="TLL22" s="498">
        <v>1</v>
      </c>
      <c r="TLM22" s="499">
        <v>1500000</v>
      </c>
      <c r="TLN22" s="498">
        <v>1.58</v>
      </c>
      <c r="TLO22" s="498">
        <v>1</v>
      </c>
      <c r="TLP22" s="501">
        <v>6.75</v>
      </c>
      <c r="TLQ22" s="486">
        <v>5.0999999999999996</v>
      </c>
      <c r="TLR22" s="452" t="s">
        <v>2691</v>
      </c>
      <c r="TLS22" s="498" t="s">
        <v>1620</v>
      </c>
      <c r="TLT22" s="498">
        <v>1</v>
      </c>
      <c r="TLU22" s="499">
        <v>1500000</v>
      </c>
      <c r="TLV22" s="498">
        <v>1.58</v>
      </c>
      <c r="TLW22" s="498">
        <v>1</v>
      </c>
      <c r="TLX22" s="501">
        <v>6.75</v>
      </c>
      <c r="TLY22" s="486">
        <v>5.0999999999999996</v>
      </c>
      <c r="TLZ22" s="452" t="s">
        <v>2691</v>
      </c>
      <c r="TMA22" s="498" t="s">
        <v>1620</v>
      </c>
      <c r="TMB22" s="498">
        <v>1</v>
      </c>
      <c r="TMC22" s="499">
        <v>1500000</v>
      </c>
      <c r="TMD22" s="498">
        <v>1.58</v>
      </c>
      <c r="TME22" s="498">
        <v>1</v>
      </c>
      <c r="TMF22" s="501">
        <v>6.75</v>
      </c>
      <c r="TMG22" s="486">
        <v>5.0999999999999996</v>
      </c>
      <c r="TMH22" s="452" t="s">
        <v>2691</v>
      </c>
      <c r="TMI22" s="498" t="s">
        <v>1620</v>
      </c>
      <c r="TMJ22" s="498">
        <v>1</v>
      </c>
      <c r="TMK22" s="499">
        <v>1500000</v>
      </c>
      <c r="TML22" s="498">
        <v>1.58</v>
      </c>
      <c r="TMM22" s="498">
        <v>1</v>
      </c>
      <c r="TMN22" s="501">
        <v>6.75</v>
      </c>
      <c r="TMO22" s="486">
        <v>5.0999999999999996</v>
      </c>
      <c r="TMP22" s="452" t="s">
        <v>2691</v>
      </c>
      <c r="TMQ22" s="498" t="s">
        <v>1620</v>
      </c>
      <c r="TMR22" s="498">
        <v>1</v>
      </c>
      <c r="TMS22" s="499">
        <v>1500000</v>
      </c>
      <c r="TMT22" s="498">
        <v>1.58</v>
      </c>
      <c r="TMU22" s="498">
        <v>1</v>
      </c>
      <c r="TMV22" s="501">
        <v>6.75</v>
      </c>
      <c r="TMW22" s="486">
        <v>5.0999999999999996</v>
      </c>
      <c r="TMX22" s="452" t="s">
        <v>2691</v>
      </c>
      <c r="TMY22" s="498" t="s">
        <v>1620</v>
      </c>
      <c r="TMZ22" s="498">
        <v>1</v>
      </c>
      <c r="TNA22" s="499">
        <v>1500000</v>
      </c>
      <c r="TNB22" s="498">
        <v>1.58</v>
      </c>
      <c r="TNC22" s="498">
        <v>1</v>
      </c>
      <c r="TND22" s="501">
        <v>6.75</v>
      </c>
      <c r="TNE22" s="486">
        <v>5.0999999999999996</v>
      </c>
      <c r="TNF22" s="452" t="s">
        <v>2691</v>
      </c>
      <c r="TNG22" s="498" t="s">
        <v>1620</v>
      </c>
      <c r="TNH22" s="498">
        <v>1</v>
      </c>
      <c r="TNI22" s="499">
        <v>1500000</v>
      </c>
      <c r="TNJ22" s="498">
        <v>1.58</v>
      </c>
      <c r="TNK22" s="498">
        <v>1</v>
      </c>
      <c r="TNL22" s="501">
        <v>6.75</v>
      </c>
      <c r="TNM22" s="486">
        <v>5.0999999999999996</v>
      </c>
      <c r="TNN22" s="452" t="s">
        <v>2691</v>
      </c>
      <c r="TNO22" s="498" t="s">
        <v>1620</v>
      </c>
      <c r="TNP22" s="498">
        <v>1</v>
      </c>
      <c r="TNQ22" s="499">
        <v>1500000</v>
      </c>
      <c r="TNR22" s="498">
        <v>1.58</v>
      </c>
      <c r="TNS22" s="498">
        <v>1</v>
      </c>
      <c r="TNT22" s="501">
        <v>6.75</v>
      </c>
      <c r="TNU22" s="486">
        <v>5.0999999999999996</v>
      </c>
      <c r="TNV22" s="452" t="s">
        <v>2691</v>
      </c>
      <c r="TNW22" s="498" t="s">
        <v>1620</v>
      </c>
      <c r="TNX22" s="498">
        <v>1</v>
      </c>
      <c r="TNY22" s="499">
        <v>1500000</v>
      </c>
      <c r="TNZ22" s="498">
        <v>1.58</v>
      </c>
      <c r="TOA22" s="498">
        <v>1</v>
      </c>
      <c r="TOB22" s="501">
        <v>6.75</v>
      </c>
      <c r="TOC22" s="486">
        <v>5.0999999999999996</v>
      </c>
      <c r="TOD22" s="452" t="s">
        <v>2691</v>
      </c>
      <c r="TOE22" s="498" t="s">
        <v>1620</v>
      </c>
      <c r="TOF22" s="498">
        <v>1</v>
      </c>
      <c r="TOG22" s="499">
        <v>1500000</v>
      </c>
      <c r="TOH22" s="498">
        <v>1.58</v>
      </c>
      <c r="TOI22" s="498">
        <v>1</v>
      </c>
      <c r="TOJ22" s="501">
        <v>6.75</v>
      </c>
      <c r="TOK22" s="486">
        <v>5.0999999999999996</v>
      </c>
      <c r="TOL22" s="452" t="s">
        <v>2691</v>
      </c>
      <c r="TOM22" s="498" t="s">
        <v>1620</v>
      </c>
      <c r="TON22" s="498">
        <v>1</v>
      </c>
      <c r="TOO22" s="499">
        <v>1500000</v>
      </c>
      <c r="TOP22" s="498">
        <v>1.58</v>
      </c>
      <c r="TOQ22" s="498">
        <v>1</v>
      </c>
      <c r="TOR22" s="501">
        <v>6.75</v>
      </c>
      <c r="TOS22" s="486">
        <v>5.0999999999999996</v>
      </c>
      <c r="TOT22" s="452" t="s">
        <v>2691</v>
      </c>
      <c r="TOU22" s="498" t="s">
        <v>1620</v>
      </c>
      <c r="TOV22" s="498">
        <v>1</v>
      </c>
      <c r="TOW22" s="499">
        <v>1500000</v>
      </c>
      <c r="TOX22" s="498">
        <v>1.58</v>
      </c>
      <c r="TOY22" s="498">
        <v>1</v>
      </c>
      <c r="TOZ22" s="501">
        <v>6.75</v>
      </c>
      <c r="TPA22" s="486">
        <v>5.0999999999999996</v>
      </c>
      <c r="TPB22" s="452" t="s">
        <v>2691</v>
      </c>
      <c r="TPC22" s="498" t="s">
        <v>1620</v>
      </c>
      <c r="TPD22" s="498">
        <v>1</v>
      </c>
      <c r="TPE22" s="499">
        <v>1500000</v>
      </c>
      <c r="TPF22" s="498">
        <v>1.58</v>
      </c>
      <c r="TPG22" s="498">
        <v>1</v>
      </c>
      <c r="TPH22" s="501">
        <v>6.75</v>
      </c>
      <c r="TPI22" s="486">
        <v>5.0999999999999996</v>
      </c>
      <c r="TPJ22" s="452" t="s">
        <v>2691</v>
      </c>
      <c r="TPK22" s="498" t="s">
        <v>1620</v>
      </c>
      <c r="TPL22" s="498">
        <v>1</v>
      </c>
      <c r="TPM22" s="499">
        <v>1500000</v>
      </c>
      <c r="TPN22" s="498">
        <v>1.58</v>
      </c>
      <c r="TPO22" s="498">
        <v>1</v>
      </c>
      <c r="TPP22" s="501">
        <v>6.75</v>
      </c>
      <c r="TPQ22" s="486">
        <v>5.0999999999999996</v>
      </c>
      <c r="TPR22" s="452" t="s">
        <v>2691</v>
      </c>
      <c r="TPS22" s="498" t="s">
        <v>1620</v>
      </c>
      <c r="TPT22" s="498">
        <v>1</v>
      </c>
      <c r="TPU22" s="499">
        <v>1500000</v>
      </c>
      <c r="TPV22" s="498">
        <v>1.58</v>
      </c>
      <c r="TPW22" s="498">
        <v>1</v>
      </c>
      <c r="TPX22" s="501">
        <v>6.75</v>
      </c>
      <c r="TPY22" s="486">
        <v>5.0999999999999996</v>
      </c>
      <c r="TPZ22" s="452" t="s">
        <v>2691</v>
      </c>
      <c r="TQA22" s="498" t="s">
        <v>1620</v>
      </c>
      <c r="TQB22" s="498">
        <v>1</v>
      </c>
      <c r="TQC22" s="499">
        <v>1500000</v>
      </c>
      <c r="TQD22" s="498">
        <v>1.58</v>
      </c>
      <c r="TQE22" s="498">
        <v>1</v>
      </c>
      <c r="TQF22" s="501">
        <v>6.75</v>
      </c>
      <c r="TQG22" s="486">
        <v>5.0999999999999996</v>
      </c>
      <c r="TQH22" s="452" t="s">
        <v>2691</v>
      </c>
      <c r="TQI22" s="498" t="s">
        <v>1620</v>
      </c>
      <c r="TQJ22" s="498">
        <v>1</v>
      </c>
      <c r="TQK22" s="499">
        <v>1500000</v>
      </c>
      <c r="TQL22" s="498">
        <v>1.58</v>
      </c>
      <c r="TQM22" s="498">
        <v>1</v>
      </c>
      <c r="TQN22" s="501">
        <v>6.75</v>
      </c>
      <c r="TQO22" s="486">
        <v>5.0999999999999996</v>
      </c>
      <c r="TQP22" s="452" t="s">
        <v>2691</v>
      </c>
      <c r="TQQ22" s="498" t="s">
        <v>1620</v>
      </c>
      <c r="TQR22" s="498">
        <v>1</v>
      </c>
      <c r="TQS22" s="499">
        <v>1500000</v>
      </c>
      <c r="TQT22" s="498">
        <v>1.58</v>
      </c>
      <c r="TQU22" s="498">
        <v>1</v>
      </c>
      <c r="TQV22" s="501">
        <v>6.75</v>
      </c>
      <c r="TQW22" s="486">
        <v>5.0999999999999996</v>
      </c>
      <c r="TQX22" s="452" t="s">
        <v>2691</v>
      </c>
      <c r="TQY22" s="498" t="s">
        <v>1620</v>
      </c>
      <c r="TQZ22" s="498">
        <v>1</v>
      </c>
      <c r="TRA22" s="499">
        <v>1500000</v>
      </c>
      <c r="TRB22" s="498">
        <v>1.58</v>
      </c>
      <c r="TRC22" s="498">
        <v>1</v>
      </c>
      <c r="TRD22" s="501">
        <v>6.75</v>
      </c>
      <c r="TRE22" s="486">
        <v>5.0999999999999996</v>
      </c>
      <c r="TRF22" s="452" t="s">
        <v>2691</v>
      </c>
      <c r="TRG22" s="498" t="s">
        <v>1620</v>
      </c>
      <c r="TRH22" s="498">
        <v>1</v>
      </c>
      <c r="TRI22" s="499">
        <v>1500000</v>
      </c>
      <c r="TRJ22" s="498">
        <v>1.58</v>
      </c>
      <c r="TRK22" s="498">
        <v>1</v>
      </c>
      <c r="TRL22" s="501">
        <v>6.75</v>
      </c>
      <c r="TRM22" s="486">
        <v>5.0999999999999996</v>
      </c>
      <c r="TRN22" s="452" t="s">
        <v>2691</v>
      </c>
      <c r="TRO22" s="498" t="s">
        <v>1620</v>
      </c>
      <c r="TRP22" s="498">
        <v>1</v>
      </c>
      <c r="TRQ22" s="499">
        <v>1500000</v>
      </c>
      <c r="TRR22" s="498">
        <v>1.58</v>
      </c>
      <c r="TRS22" s="498">
        <v>1</v>
      </c>
      <c r="TRT22" s="501">
        <v>6.75</v>
      </c>
      <c r="TRU22" s="486">
        <v>5.0999999999999996</v>
      </c>
      <c r="TRV22" s="452" t="s">
        <v>2691</v>
      </c>
      <c r="TRW22" s="498" t="s">
        <v>1620</v>
      </c>
      <c r="TRX22" s="498">
        <v>1</v>
      </c>
      <c r="TRY22" s="499">
        <v>1500000</v>
      </c>
      <c r="TRZ22" s="498">
        <v>1.58</v>
      </c>
      <c r="TSA22" s="498">
        <v>1</v>
      </c>
      <c r="TSB22" s="501">
        <v>6.75</v>
      </c>
      <c r="TSC22" s="486">
        <v>5.0999999999999996</v>
      </c>
      <c r="TSD22" s="452" t="s">
        <v>2691</v>
      </c>
      <c r="TSE22" s="498" t="s">
        <v>1620</v>
      </c>
      <c r="TSF22" s="498">
        <v>1</v>
      </c>
      <c r="TSG22" s="499">
        <v>1500000</v>
      </c>
      <c r="TSH22" s="498">
        <v>1.58</v>
      </c>
      <c r="TSI22" s="498">
        <v>1</v>
      </c>
      <c r="TSJ22" s="501">
        <v>6.75</v>
      </c>
      <c r="TSK22" s="486">
        <v>5.0999999999999996</v>
      </c>
      <c r="TSL22" s="452" t="s">
        <v>2691</v>
      </c>
      <c r="TSM22" s="498" t="s">
        <v>1620</v>
      </c>
      <c r="TSN22" s="498">
        <v>1</v>
      </c>
      <c r="TSO22" s="499">
        <v>1500000</v>
      </c>
      <c r="TSP22" s="498">
        <v>1.58</v>
      </c>
      <c r="TSQ22" s="498">
        <v>1</v>
      </c>
      <c r="TSR22" s="501">
        <v>6.75</v>
      </c>
      <c r="TSS22" s="486">
        <v>5.0999999999999996</v>
      </c>
      <c r="TST22" s="452" t="s">
        <v>2691</v>
      </c>
      <c r="TSU22" s="498" t="s">
        <v>1620</v>
      </c>
      <c r="TSV22" s="498">
        <v>1</v>
      </c>
      <c r="TSW22" s="499">
        <v>1500000</v>
      </c>
      <c r="TSX22" s="498">
        <v>1.58</v>
      </c>
      <c r="TSY22" s="498">
        <v>1</v>
      </c>
      <c r="TSZ22" s="501">
        <v>6.75</v>
      </c>
      <c r="TTA22" s="486">
        <v>5.0999999999999996</v>
      </c>
      <c r="TTB22" s="452" t="s">
        <v>2691</v>
      </c>
      <c r="TTC22" s="498" t="s">
        <v>1620</v>
      </c>
      <c r="TTD22" s="498">
        <v>1</v>
      </c>
      <c r="TTE22" s="499">
        <v>1500000</v>
      </c>
      <c r="TTF22" s="498">
        <v>1.58</v>
      </c>
      <c r="TTG22" s="498">
        <v>1</v>
      </c>
      <c r="TTH22" s="501">
        <v>6.75</v>
      </c>
      <c r="TTI22" s="486">
        <v>5.0999999999999996</v>
      </c>
      <c r="TTJ22" s="452" t="s">
        <v>2691</v>
      </c>
      <c r="TTK22" s="498" t="s">
        <v>1620</v>
      </c>
      <c r="TTL22" s="498">
        <v>1</v>
      </c>
      <c r="TTM22" s="499">
        <v>1500000</v>
      </c>
      <c r="TTN22" s="498">
        <v>1.58</v>
      </c>
      <c r="TTO22" s="498">
        <v>1</v>
      </c>
      <c r="TTP22" s="501">
        <v>6.75</v>
      </c>
      <c r="TTQ22" s="486">
        <v>5.0999999999999996</v>
      </c>
      <c r="TTR22" s="452" t="s">
        <v>2691</v>
      </c>
      <c r="TTS22" s="498" t="s">
        <v>1620</v>
      </c>
      <c r="TTT22" s="498">
        <v>1</v>
      </c>
      <c r="TTU22" s="499">
        <v>1500000</v>
      </c>
      <c r="TTV22" s="498">
        <v>1.58</v>
      </c>
      <c r="TTW22" s="498">
        <v>1</v>
      </c>
      <c r="TTX22" s="501">
        <v>6.75</v>
      </c>
      <c r="TTY22" s="486">
        <v>5.0999999999999996</v>
      </c>
      <c r="TTZ22" s="452" t="s">
        <v>2691</v>
      </c>
      <c r="TUA22" s="498" t="s">
        <v>1620</v>
      </c>
      <c r="TUB22" s="498">
        <v>1</v>
      </c>
      <c r="TUC22" s="499">
        <v>1500000</v>
      </c>
      <c r="TUD22" s="498">
        <v>1.58</v>
      </c>
      <c r="TUE22" s="498">
        <v>1</v>
      </c>
      <c r="TUF22" s="501">
        <v>6.75</v>
      </c>
      <c r="TUG22" s="486">
        <v>5.0999999999999996</v>
      </c>
      <c r="TUH22" s="452" t="s">
        <v>2691</v>
      </c>
      <c r="TUI22" s="498" t="s">
        <v>1620</v>
      </c>
      <c r="TUJ22" s="498">
        <v>1</v>
      </c>
      <c r="TUK22" s="499">
        <v>1500000</v>
      </c>
      <c r="TUL22" s="498">
        <v>1.58</v>
      </c>
      <c r="TUM22" s="498">
        <v>1</v>
      </c>
      <c r="TUN22" s="501">
        <v>6.75</v>
      </c>
      <c r="TUO22" s="486">
        <v>5.0999999999999996</v>
      </c>
      <c r="TUP22" s="452" t="s">
        <v>2691</v>
      </c>
      <c r="TUQ22" s="498" t="s">
        <v>1620</v>
      </c>
      <c r="TUR22" s="498">
        <v>1</v>
      </c>
      <c r="TUS22" s="499">
        <v>1500000</v>
      </c>
      <c r="TUT22" s="498">
        <v>1.58</v>
      </c>
      <c r="TUU22" s="498">
        <v>1</v>
      </c>
      <c r="TUV22" s="501">
        <v>6.75</v>
      </c>
      <c r="TUW22" s="486">
        <v>5.0999999999999996</v>
      </c>
      <c r="TUX22" s="452" t="s">
        <v>2691</v>
      </c>
      <c r="TUY22" s="498" t="s">
        <v>1620</v>
      </c>
      <c r="TUZ22" s="498">
        <v>1</v>
      </c>
      <c r="TVA22" s="499">
        <v>1500000</v>
      </c>
      <c r="TVB22" s="498">
        <v>1.58</v>
      </c>
      <c r="TVC22" s="498">
        <v>1</v>
      </c>
      <c r="TVD22" s="501">
        <v>6.75</v>
      </c>
      <c r="TVE22" s="486">
        <v>5.0999999999999996</v>
      </c>
      <c r="TVF22" s="452" t="s">
        <v>2691</v>
      </c>
      <c r="TVG22" s="498" t="s">
        <v>1620</v>
      </c>
      <c r="TVH22" s="498">
        <v>1</v>
      </c>
      <c r="TVI22" s="499">
        <v>1500000</v>
      </c>
      <c r="TVJ22" s="498">
        <v>1.58</v>
      </c>
      <c r="TVK22" s="498">
        <v>1</v>
      </c>
      <c r="TVL22" s="501">
        <v>6.75</v>
      </c>
      <c r="TVM22" s="486">
        <v>5.0999999999999996</v>
      </c>
      <c r="TVN22" s="452" t="s">
        <v>2691</v>
      </c>
      <c r="TVO22" s="498" t="s">
        <v>1620</v>
      </c>
      <c r="TVP22" s="498">
        <v>1</v>
      </c>
      <c r="TVQ22" s="499">
        <v>1500000</v>
      </c>
      <c r="TVR22" s="498">
        <v>1.58</v>
      </c>
      <c r="TVS22" s="498">
        <v>1</v>
      </c>
      <c r="TVT22" s="501">
        <v>6.75</v>
      </c>
      <c r="TVU22" s="486">
        <v>5.0999999999999996</v>
      </c>
      <c r="TVV22" s="452" t="s">
        <v>2691</v>
      </c>
      <c r="TVW22" s="498" t="s">
        <v>1620</v>
      </c>
      <c r="TVX22" s="498">
        <v>1</v>
      </c>
      <c r="TVY22" s="499">
        <v>1500000</v>
      </c>
      <c r="TVZ22" s="498">
        <v>1.58</v>
      </c>
      <c r="TWA22" s="498">
        <v>1</v>
      </c>
      <c r="TWB22" s="501">
        <v>6.75</v>
      </c>
      <c r="TWC22" s="486">
        <v>5.0999999999999996</v>
      </c>
      <c r="TWD22" s="452" t="s">
        <v>2691</v>
      </c>
      <c r="TWE22" s="498" t="s">
        <v>1620</v>
      </c>
      <c r="TWF22" s="498">
        <v>1</v>
      </c>
      <c r="TWG22" s="499">
        <v>1500000</v>
      </c>
      <c r="TWH22" s="498">
        <v>1.58</v>
      </c>
      <c r="TWI22" s="498">
        <v>1</v>
      </c>
      <c r="TWJ22" s="501">
        <v>6.75</v>
      </c>
      <c r="TWK22" s="486">
        <v>5.0999999999999996</v>
      </c>
      <c r="TWL22" s="452" t="s">
        <v>2691</v>
      </c>
      <c r="TWM22" s="498" t="s">
        <v>1620</v>
      </c>
      <c r="TWN22" s="498">
        <v>1</v>
      </c>
      <c r="TWO22" s="499">
        <v>1500000</v>
      </c>
      <c r="TWP22" s="498">
        <v>1.58</v>
      </c>
      <c r="TWQ22" s="498">
        <v>1</v>
      </c>
      <c r="TWR22" s="501">
        <v>6.75</v>
      </c>
      <c r="TWS22" s="486">
        <v>5.0999999999999996</v>
      </c>
      <c r="TWT22" s="452" t="s">
        <v>2691</v>
      </c>
      <c r="TWU22" s="498" t="s">
        <v>1620</v>
      </c>
      <c r="TWV22" s="498">
        <v>1</v>
      </c>
      <c r="TWW22" s="499">
        <v>1500000</v>
      </c>
      <c r="TWX22" s="498">
        <v>1.58</v>
      </c>
      <c r="TWY22" s="498">
        <v>1</v>
      </c>
      <c r="TWZ22" s="501">
        <v>6.75</v>
      </c>
      <c r="TXA22" s="486">
        <v>5.0999999999999996</v>
      </c>
      <c r="TXB22" s="452" t="s">
        <v>2691</v>
      </c>
      <c r="TXC22" s="498" t="s">
        <v>1620</v>
      </c>
      <c r="TXD22" s="498">
        <v>1</v>
      </c>
      <c r="TXE22" s="499">
        <v>1500000</v>
      </c>
      <c r="TXF22" s="498">
        <v>1.58</v>
      </c>
      <c r="TXG22" s="498">
        <v>1</v>
      </c>
      <c r="TXH22" s="501">
        <v>6.75</v>
      </c>
      <c r="TXI22" s="486">
        <v>5.0999999999999996</v>
      </c>
      <c r="TXJ22" s="452" t="s">
        <v>2691</v>
      </c>
      <c r="TXK22" s="498" t="s">
        <v>1620</v>
      </c>
      <c r="TXL22" s="498">
        <v>1</v>
      </c>
      <c r="TXM22" s="499">
        <v>1500000</v>
      </c>
      <c r="TXN22" s="498">
        <v>1.58</v>
      </c>
      <c r="TXO22" s="498">
        <v>1</v>
      </c>
      <c r="TXP22" s="501">
        <v>6.75</v>
      </c>
      <c r="TXQ22" s="486">
        <v>5.0999999999999996</v>
      </c>
      <c r="TXR22" s="452" t="s">
        <v>2691</v>
      </c>
      <c r="TXS22" s="498" t="s">
        <v>1620</v>
      </c>
      <c r="TXT22" s="498">
        <v>1</v>
      </c>
      <c r="TXU22" s="499">
        <v>1500000</v>
      </c>
      <c r="TXV22" s="498">
        <v>1.58</v>
      </c>
      <c r="TXW22" s="498">
        <v>1</v>
      </c>
      <c r="TXX22" s="501">
        <v>6.75</v>
      </c>
      <c r="TXY22" s="486">
        <v>5.0999999999999996</v>
      </c>
      <c r="TXZ22" s="452" t="s">
        <v>2691</v>
      </c>
      <c r="TYA22" s="498" t="s">
        <v>1620</v>
      </c>
      <c r="TYB22" s="498">
        <v>1</v>
      </c>
      <c r="TYC22" s="499">
        <v>1500000</v>
      </c>
      <c r="TYD22" s="498">
        <v>1.58</v>
      </c>
      <c r="TYE22" s="498">
        <v>1</v>
      </c>
      <c r="TYF22" s="501">
        <v>6.75</v>
      </c>
      <c r="TYG22" s="486">
        <v>5.0999999999999996</v>
      </c>
      <c r="TYH22" s="452" t="s">
        <v>2691</v>
      </c>
      <c r="TYI22" s="498" t="s">
        <v>1620</v>
      </c>
      <c r="TYJ22" s="498">
        <v>1</v>
      </c>
      <c r="TYK22" s="499">
        <v>1500000</v>
      </c>
      <c r="TYL22" s="498">
        <v>1.58</v>
      </c>
      <c r="TYM22" s="498">
        <v>1</v>
      </c>
      <c r="TYN22" s="501">
        <v>6.75</v>
      </c>
      <c r="TYO22" s="486">
        <v>5.0999999999999996</v>
      </c>
      <c r="TYP22" s="452" t="s">
        <v>2691</v>
      </c>
      <c r="TYQ22" s="498" t="s">
        <v>1620</v>
      </c>
      <c r="TYR22" s="498">
        <v>1</v>
      </c>
      <c r="TYS22" s="499">
        <v>1500000</v>
      </c>
      <c r="TYT22" s="498">
        <v>1.58</v>
      </c>
      <c r="TYU22" s="498">
        <v>1</v>
      </c>
      <c r="TYV22" s="501">
        <v>6.75</v>
      </c>
      <c r="TYW22" s="486">
        <v>5.0999999999999996</v>
      </c>
      <c r="TYX22" s="452" t="s">
        <v>2691</v>
      </c>
      <c r="TYY22" s="498" t="s">
        <v>1620</v>
      </c>
      <c r="TYZ22" s="498">
        <v>1</v>
      </c>
      <c r="TZA22" s="499">
        <v>1500000</v>
      </c>
      <c r="TZB22" s="498">
        <v>1.58</v>
      </c>
      <c r="TZC22" s="498">
        <v>1</v>
      </c>
      <c r="TZD22" s="501">
        <v>6.75</v>
      </c>
      <c r="TZE22" s="486">
        <v>5.0999999999999996</v>
      </c>
      <c r="TZF22" s="452" t="s">
        <v>2691</v>
      </c>
      <c r="TZG22" s="498" t="s">
        <v>1620</v>
      </c>
      <c r="TZH22" s="498">
        <v>1</v>
      </c>
      <c r="TZI22" s="499">
        <v>1500000</v>
      </c>
      <c r="TZJ22" s="498">
        <v>1.58</v>
      </c>
      <c r="TZK22" s="498">
        <v>1</v>
      </c>
      <c r="TZL22" s="501">
        <v>6.75</v>
      </c>
      <c r="TZM22" s="486">
        <v>5.0999999999999996</v>
      </c>
      <c r="TZN22" s="452" t="s">
        <v>2691</v>
      </c>
      <c r="TZO22" s="498" t="s">
        <v>1620</v>
      </c>
      <c r="TZP22" s="498">
        <v>1</v>
      </c>
      <c r="TZQ22" s="499">
        <v>1500000</v>
      </c>
      <c r="TZR22" s="498">
        <v>1.58</v>
      </c>
      <c r="TZS22" s="498">
        <v>1</v>
      </c>
      <c r="TZT22" s="501">
        <v>6.75</v>
      </c>
      <c r="TZU22" s="486">
        <v>5.0999999999999996</v>
      </c>
      <c r="TZV22" s="452" t="s">
        <v>2691</v>
      </c>
      <c r="TZW22" s="498" t="s">
        <v>1620</v>
      </c>
      <c r="TZX22" s="498">
        <v>1</v>
      </c>
      <c r="TZY22" s="499">
        <v>1500000</v>
      </c>
      <c r="TZZ22" s="498">
        <v>1.58</v>
      </c>
      <c r="UAA22" s="498">
        <v>1</v>
      </c>
      <c r="UAB22" s="501">
        <v>6.75</v>
      </c>
      <c r="UAC22" s="486">
        <v>5.0999999999999996</v>
      </c>
      <c r="UAD22" s="452" t="s">
        <v>2691</v>
      </c>
      <c r="UAE22" s="498" t="s">
        <v>1620</v>
      </c>
      <c r="UAF22" s="498">
        <v>1</v>
      </c>
      <c r="UAG22" s="499">
        <v>1500000</v>
      </c>
      <c r="UAH22" s="498">
        <v>1.58</v>
      </c>
      <c r="UAI22" s="498">
        <v>1</v>
      </c>
      <c r="UAJ22" s="501">
        <v>6.75</v>
      </c>
      <c r="UAK22" s="486">
        <v>5.0999999999999996</v>
      </c>
      <c r="UAL22" s="452" t="s">
        <v>2691</v>
      </c>
      <c r="UAM22" s="498" t="s">
        <v>1620</v>
      </c>
      <c r="UAN22" s="498">
        <v>1</v>
      </c>
      <c r="UAO22" s="499">
        <v>1500000</v>
      </c>
      <c r="UAP22" s="498">
        <v>1.58</v>
      </c>
      <c r="UAQ22" s="498">
        <v>1</v>
      </c>
      <c r="UAR22" s="501">
        <v>6.75</v>
      </c>
      <c r="UAS22" s="486">
        <v>5.0999999999999996</v>
      </c>
      <c r="UAT22" s="452" t="s">
        <v>2691</v>
      </c>
      <c r="UAU22" s="498" t="s">
        <v>1620</v>
      </c>
      <c r="UAV22" s="498">
        <v>1</v>
      </c>
      <c r="UAW22" s="499">
        <v>1500000</v>
      </c>
      <c r="UAX22" s="498">
        <v>1.58</v>
      </c>
      <c r="UAY22" s="498">
        <v>1</v>
      </c>
      <c r="UAZ22" s="501">
        <v>6.75</v>
      </c>
      <c r="UBA22" s="486">
        <v>5.0999999999999996</v>
      </c>
      <c r="UBB22" s="452" t="s">
        <v>2691</v>
      </c>
      <c r="UBC22" s="498" t="s">
        <v>1620</v>
      </c>
      <c r="UBD22" s="498">
        <v>1</v>
      </c>
      <c r="UBE22" s="499">
        <v>1500000</v>
      </c>
      <c r="UBF22" s="498">
        <v>1.58</v>
      </c>
      <c r="UBG22" s="498">
        <v>1</v>
      </c>
      <c r="UBH22" s="501">
        <v>6.75</v>
      </c>
      <c r="UBI22" s="486">
        <v>5.0999999999999996</v>
      </c>
      <c r="UBJ22" s="452" t="s">
        <v>2691</v>
      </c>
      <c r="UBK22" s="498" t="s">
        <v>1620</v>
      </c>
      <c r="UBL22" s="498">
        <v>1</v>
      </c>
      <c r="UBM22" s="499">
        <v>1500000</v>
      </c>
      <c r="UBN22" s="498">
        <v>1.58</v>
      </c>
      <c r="UBO22" s="498">
        <v>1</v>
      </c>
      <c r="UBP22" s="501">
        <v>6.75</v>
      </c>
      <c r="UBQ22" s="486">
        <v>5.0999999999999996</v>
      </c>
      <c r="UBR22" s="452" t="s">
        <v>2691</v>
      </c>
      <c r="UBS22" s="498" t="s">
        <v>1620</v>
      </c>
      <c r="UBT22" s="498">
        <v>1</v>
      </c>
      <c r="UBU22" s="499">
        <v>1500000</v>
      </c>
      <c r="UBV22" s="498">
        <v>1.58</v>
      </c>
      <c r="UBW22" s="498">
        <v>1</v>
      </c>
      <c r="UBX22" s="501">
        <v>6.75</v>
      </c>
      <c r="UBY22" s="486">
        <v>5.0999999999999996</v>
      </c>
      <c r="UBZ22" s="452" t="s">
        <v>2691</v>
      </c>
      <c r="UCA22" s="498" t="s">
        <v>1620</v>
      </c>
      <c r="UCB22" s="498">
        <v>1</v>
      </c>
      <c r="UCC22" s="499">
        <v>1500000</v>
      </c>
      <c r="UCD22" s="498">
        <v>1.58</v>
      </c>
      <c r="UCE22" s="498">
        <v>1</v>
      </c>
      <c r="UCF22" s="501">
        <v>6.75</v>
      </c>
      <c r="UCG22" s="486">
        <v>5.0999999999999996</v>
      </c>
      <c r="UCH22" s="452" t="s">
        <v>2691</v>
      </c>
      <c r="UCI22" s="498" t="s">
        <v>1620</v>
      </c>
      <c r="UCJ22" s="498">
        <v>1</v>
      </c>
      <c r="UCK22" s="499">
        <v>1500000</v>
      </c>
      <c r="UCL22" s="498">
        <v>1.58</v>
      </c>
      <c r="UCM22" s="498">
        <v>1</v>
      </c>
      <c r="UCN22" s="501">
        <v>6.75</v>
      </c>
      <c r="UCO22" s="486">
        <v>5.0999999999999996</v>
      </c>
      <c r="UCP22" s="452" t="s">
        <v>2691</v>
      </c>
      <c r="UCQ22" s="498" t="s">
        <v>1620</v>
      </c>
      <c r="UCR22" s="498">
        <v>1</v>
      </c>
      <c r="UCS22" s="499">
        <v>1500000</v>
      </c>
      <c r="UCT22" s="498">
        <v>1.58</v>
      </c>
      <c r="UCU22" s="498">
        <v>1</v>
      </c>
      <c r="UCV22" s="501">
        <v>6.75</v>
      </c>
      <c r="UCW22" s="486">
        <v>5.0999999999999996</v>
      </c>
      <c r="UCX22" s="452" t="s">
        <v>2691</v>
      </c>
      <c r="UCY22" s="498" t="s">
        <v>1620</v>
      </c>
      <c r="UCZ22" s="498">
        <v>1</v>
      </c>
      <c r="UDA22" s="499">
        <v>1500000</v>
      </c>
      <c r="UDB22" s="498">
        <v>1.58</v>
      </c>
      <c r="UDC22" s="498">
        <v>1</v>
      </c>
      <c r="UDD22" s="501">
        <v>6.75</v>
      </c>
      <c r="UDE22" s="486">
        <v>5.0999999999999996</v>
      </c>
      <c r="UDF22" s="452" t="s">
        <v>2691</v>
      </c>
      <c r="UDG22" s="498" t="s">
        <v>1620</v>
      </c>
      <c r="UDH22" s="498">
        <v>1</v>
      </c>
      <c r="UDI22" s="499">
        <v>1500000</v>
      </c>
      <c r="UDJ22" s="498">
        <v>1.58</v>
      </c>
      <c r="UDK22" s="498">
        <v>1</v>
      </c>
      <c r="UDL22" s="501">
        <v>6.75</v>
      </c>
      <c r="UDM22" s="486">
        <v>5.0999999999999996</v>
      </c>
      <c r="UDN22" s="452" t="s">
        <v>2691</v>
      </c>
      <c r="UDO22" s="498" t="s">
        <v>1620</v>
      </c>
      <c r="UDP22" s="498">
        <v>1</v>
      </c>
      <c r="UDQ22" s="499">
        <v>1500000</v>
      </c>
      <c r="UDR22" s="498">
        <v>1.58</v>
      </c>
      <c r="UDS22" s="498">
        <v>1</v>
      </c>
      <c r="UDT22" s="501">
        <v>6.75</v>
      </c>
      <c r="UDU22" s="486">
        <v>5.0999999999999996</v>
      </c>
      <c r="UDV22" s="452" t="s">
        <v>2691</v>
      </c>
      <c r="UDW22" s="498" t="s">
        <v>1620</v>
      </c>
      <c r="UDX22" s="498">
        <v>1</v>
      </c>
      <c r="UDY22" s="499">
        <v>1500000</v>
      </c>
      <c r="UDZ22" s="498">
        <v>1.58</v>
      </c>
      <c r="UEA22" s="498">
        <v>1</v>
      </c>
      <c r="UEB22" s="501">
        <v>6.75</v>
      </c>
      <c r="UEC22" s="486">
        <v>5.0999999999999996</v>
      </c>
      <c r="UED22" s="452" t="s">
        <v>2691</v>
      </c>
      <c r="UEE22" s="498" t="s">
        <v>1620</v>
      </c>
      <c r="UEF22" s="498">
        <v>1</v>
      </c>
      <c r="UEG22" s="499">
        <v>1500000</v>
      </c>
      <c r="UEH22" s="498">
        <v>1.58</v>
      </c>
      <c r="UEI22" s="498">
        <v>1</v>
      </c>
      <c r="UEJ22" s="501">
        <v>6.75</v>
      </c>
      <c r="UEK22" s="486">
        <v>5.0999999999999996</v>
      </c>
      <c r="UEL22" s="452" t="s">
        <v>2691</v>
      </c>
      <c r="UEM22" s="498" t="s">
        <v>1620</v>
      </c>
      <c r="UEN22" s="498">
        <v>1</v>
      </c>
      <c r="UEO22" s="499">
        <v>1500000</v>
      </c>
      <c r="UEP22" s="498">
        <v>1.58</v>
      </c>
      <c r="UEQ22" s="498">
        <v>1</v>
      </c>
      <c r="UER22" s="501">
        <v>6.75</v>
      </c>
      <c r="UES22" s="486">
        <v>5.0999999999999996</v>
      </c>
      <c r="UET22" s="452" t="s">
        <v>2691</v>
      </c>
      <c r="UEU22" s="498" t="s">
        <v>1620</v>
      </c>
      <c r="UEV22" s="498">
        <v>1</v>
      </c>
      <c r="UEW22" s="499">
        <v>1500000</v>
      </c>
      <c r="UEX22" s="498">
        <v>1.58</v>
      </c>
      <c r="UEY22" s="498">
        <v>1</v>
      </c>
      <c r="UEZ22" s="501">
        <v>6.75</v>
      </c>
      <c r="UFA22" s="486">
        <v>5.0999999999999996</v>
      </c>
      <c r="UFB22" s="452" t="s">
        <v>2691</v>
      </c>
      <c r="UFC22" s="498" t="s">
        <v>1620</v>
      </c>
      <c r="UFD22" s="498">
        <v>1</v>
      </c>
      <c r="UFE22" s="499">
        <v>1500000</v>
      </c>
      <c r="UFF22" s="498">
        <v>1.58</v>
      </c>
      <c r="UFG22" s="498">
        <v>1</v>
      </c>
      <c r="UFH22" s="501">
        <v>6.75</v>
      </c>
      <c r="UFI22" s="486">
        <v>5.0999999999999996</v>
      </c>
      <c r="UFJ22" s="452" t="s">
        <v>2691</v>
      </c>
      <c r="UFK22" s="498" t="s">
        <v>1620</v>
      </c>
      <c r="UFL22" s="498">
        <v>1</v>
      </c>
      <c r="UFM22" s="499">
        <v>1500000</v>
      </c>
      <c r="UFN22" s="498">
        <v>1.58</v>
      </c>
      <c r="UFO22" s="498">
        <v>1</v>
      </c>
      <c r="UFP22" s="501">
        <v>6.75</v>
      </c>
      <c r="UFQ22" s="486">
        <v>5.0999999999999996</v>
      </c>
      <c r="UFR22" s="452" t="s">
        <v>2691</v>
      </c>
      <c r="UFS22" s="498" t="s">
        <v>1620</v>
      </c>
      <c r="UFT22" s="498">
        <v>1</v>
      </c>
      <c r="UFU22" s="499">
        <v>1500000</v>
      </c>
      <c r="UFV22" s="498">
        <v>1.58</v>
      </c>
      <c r="UFW22" s="498">
        <v>1</v>
      </c>
      <c r="UFX22" s="501">
        <v>6.75</v>
      </c>
      <c r="UFY22" s="486">
        <v>5.0999999999999996</v>
      </c>
      <c r="UFZ22" s="452" t="s">
        <v>2691</v>
      </c>
      <c r="UGA22" s="498" t="s">
        <v>1620</v>
      </c>
      <c r="UGB22" s="498">
        <v>1</v>
      </c>
      <c r="UGC22" s="499">
        <v>1500000</v>
      </c>
      <c r="UGD22" s="498">
        <v>1.58</v>
      </c>
      <c r="UGE22" s="498">
        <v>1</v>
      </c>
      <c r="UGF22" s="501">
        <v>6.75</v>
      </c>
      <c r="UGG22" s="486">
        <v>5.0999999999999996</v>
      </c>
      <c r="UGH22" s="452" t="s">
        <v>2691</v>
      </c>
      <c r="UGI22" s="498" t="s">
        <v>1620</v>
      </c>
      <c r="UGJ22" s="498">
        <v>1</v>
      </c>
      <c r="UGK22" s="499">
        <v>1500000</v>
      </c>
      <c r="UGL22" s="498">
        <v>1.58</v>
      </c>
      <c r="UGM22" s="498">
        <v>1</v>
      </c>
      <c r="UGN22" s="501">
        <v>6.75</v>
      </c>
      <c r="UGO22" s="486">
        <v>5.0999999999999996</v>
      </c>
      <c r="UGP22" s="452" t="s">
        <v>2691</v>
      </c>
      <c r="UGQ22" s="498" t="s">
        <v>1620</v>
      </c>
      <c r="UGR22" s="498">
        <v>1</v>
      </c>
      <c r="UGS22" s="499">
        <v>1500000</v>
      </c>
      <c r="UGT22" s="498">
        <v>1.58</v>
      </c>
      <c r="UGU22" s="498">
        <v>1</v>
      </c>
      <c r="UGV22" s="501">
        <v>6.75</v>
      </c>
      <c r="UGW22" s="486">
        <v>5.0999999999999996</v>
      </c>
      <c r="UGX22" s="452" t="s">
        <v>2691</v>
      </c>
      <c r="UGY22" s="498" t="s">
        <v>1620</v>
      </c>
      <c r="UGZ22" s="498">
        <v>1</v>
      </c>
      <c r="UHA22" s="499">
        <v>1500000</v>
      </c>
      <c r="UHB22" s="498">
        <v>1.58</v>
      </c>
      <c r="UHC22" s="498">
        <v>1</v>
      </c>
      <c r="UHD22" s="501">
        <v>6.75</v>
      </c>
      <c r="UHE22" s="486">
        <v>5.0999999999999996</v>
      </c>
      <c r="UHF22" s="452" t="s">
        <v>2691</v>
      </c>
      <c r="UHG22" s="498" t="s">
        <v>1620</v>
      </c>
      <c r="UHH22" s="498">
        <v>1</v>
      </c>
      <c r="UHI22" s="499">
        <v>1500000</v>
      </c>
      <c r="UHJ22" s="498">
        <v>1.58</v>
      </c>
      <c r="UHK22" s="498">
        <v>1</v>
      </c>
      <c r="UHL22" s="501">
        <v>6.75</v>
      </c>
      <c r="UHM22" s="486">
        <v>5.0999999999999996</v>
      </c>
      <c r="UHN22" s="452" t="s">
        <v>2691</v>
      </c>
      <c r="UHO22" s="498" t="s">
        <v>1620</v>
      </c>
      <c r="UHP22" s="498">
        <v>1</v>
      </c>
      <c r="UHQ22" s="499">
        <v>1500000</v>
      </c>
      <c r="UHR22" s="498">
        <v>1.58</v>
      </c>
      <c r="UHS22" s="498">
        <v>1</v>
      </c>
      <c r="UHT22" s="501">
        <v>6.75</v>
      </c>
      <c r="UHU22" s="486">
        <v>5.0999999999999996</v>
      </c>
      <c r="UHV22" s="452" t="s">
        <v>2691</v>
      </c>
      <c r="UHW22" s="498" t="s">
        <v>1620</v>
      </c>
      <c r="UHX22" s="498">
        <v>1</v>
      </c>
      <c r="UHY22" s="499">
        <v>1500000</v>
      </c>
      <c r="UHZ22" s="498">
        <v>1.58</v>
      </c>
      <c r="UIA22" s="498">
        <v>1</v>
      </c>
      <c r="UIB22" s="501">
        <v>6.75</v>
      </c>
      <c r="UIC22" s="486">
        <v>5.0999999999999996</v>
      </c>
      <c r="UID22" s="452" t="s">
        <v>2691</v>
      </c>
      <c r="UIE22" s="498" t="s">
        <v>1620</v>
      </c>
      <c r="UIF22" s="498">
        <v>1</v>
      </c>
      <c r="UIG22" s="499">
        <v>1500000</v>
      </c>
      <c r="UIH22" s="498">
        <v>1.58</v>
      </c>
      <c r="UII22" s="498">
        <v>1</v>
      </c>
      <c r="UIJ22" s="501">
        <v>6.75</v>
      </c>
      <c r="UIK22" s="486">
        <v>5.0999999999999996</v>
      </c>
      <c r="UIL22" s="452" t="s">
        <v>2691</v>
      </c>
      <c r="UIM22" s="498" t="s">
        <v>1620</v>
      </c>
      <c r="UIN22" s="498">
        <v>1</v>
      </c>
      <c r="UIO22" s="499">
        <v>1500000</v>
      </c>
      <c r="UIP22" s="498">
        <v>1.58</v>
      </c>
      <c r="UIQ22" s="498">
        <v>1</v>
      </c>
      <c r="UIR22" s="501">
        <v>6.75</v>
      </c>
      <c r="UIS22" s="486">
        <v>5.0999999999999996</v>
      </c>
      <c r="UIT22" s="452" t="s">
        <v>2691</v>
      </c>
      <c r="UIU22" s="498" t="s">
        <v>1620</v>
      </c>
      <c r="UIV22" s="498">
        <v>1</v>
      </c>
      <c r="UIW22" s="499">
        <v>1500000</v>
      </c>
      <c r="UIX22" s="498">
        <v>1.58</v>
      </c>
      <c r="UIY22" s="498">
        <v>1</v>
      </c>
      <c r="UIZ22" s="501">
        <v>6.75</v>
      </c>
      <c r="UJA22" s="486">
        <v>5.0999999999999996</v>
      </c>
      <c r="UJB22" s="452" t="s">
        <v>2691</v>
      </c>
      <c r="UJC22" s="498" t="s">
        <v>1620</v>
      </c>
      <c r="UJD22" s="498">
        <v>1</v>
      </c>
      <c r="UJE22" s="499">
        <v>1500000</v>
      </c>
      <c r="UJF22" s="498">
        <v>1.58</v>
      </c>
      <c r="UJG22" s="498">
        <v>1</v>
      </c>
      <c r="UJH22" s="501">
        <v>6.75</v>
      </c>
      <c r="UJI22" s="486">
        <v>5.0999999999999996</v>
      </c>
      <c r="UJJ22" s="452" t="s">
        <v>2691</v>
      </c>
      <c r="UJK22" s="498" t="s">
        <v>1620</v>
      </c>
      <c r="UJL22" s="498">
        <v>1</v>
      </c>
      <c r="UJM22" s="499">
        <v>1500000</v>
      </c>
      <c r="UJN22" s="498">
        <v>1.58</v>
      </c>
      <c r="UJO22" s="498">
        <v>1</v>
      </c>
      <c r="UJP22" s="501">
        <v>6.75</v>
      </c>
      <c r="UJQ22" s="486">
        <v>5.0999999999999996</v>
      </c>
      <c r="UJR22" s="452" t="s">
        <v>2691</v>
      </c>
      <c r="UJS22" s="498" t="s">
        <v>1620</v>
      </c>
      <c r="UJT22" s="498">
        <v>1</v>
      </c>
      <c r="UJU22" s="499">
        <v>1500000</v>
      </c>
      <c r="UJV22" s="498">
        <v>1.58</v>
      </c>
      <c r="UJW22" s="498">
        <v>1</v>
      </c>
      <c r="UJX22" s="501">
        <v>6.75</v>
      </c>
      <c r="UJY22" s="486">
        <v>5.0999999999999996</v>
      </c>
      <c r="UJZ22" s="452" t="s">
        <v>2691</v>
      </c>
      <c r="UKA22" s="498" t="s">
        <v>1620</v>
      </c>
      <c r="UKB22" s="498">
        <v>1</v>
      </c>
      <c r="UKC22" s="499">
        <v>1500000</v>
      </c>
      <c r="UKD22" s="498">
        <v>1.58</v>
      </c>
      <c r="UKE22" s="498">
        <v>1</v>
      </c>
      <c r="UKF22" s="501">
        <v>6.75</v>
      </c>
      <c r="UKG22" s="486">
        <v>5.0999999999999996</v>
      </c>
      <c r="UKH22" s="452" t="s">
        <v>2691</v>
      </c>
      <c r="UKI22" s="498" t="s">
        <v>1620</v>
      </c>
      <c r="UKJ22" s="498">
        <v>1</v>
      </c>
      <c r="UKK22" s="499">
        <v>1500000</v>
      </c>
      <c r="UKL22" s="498">
        <v>1.58</v>
      </c>
      <c r="UKM22" s="498">
        <v>1</v>
      </c>
      <c r="UKN22" s="501">
        <v>6.75</v>
      </c>
      <c r="UKO22" s="486">
        <v>5.0999999999999996</v>
      </c>
      <c r="UKP22" s="452" t="s">
        <v>2691</v>
      </c>
      <c r="UKQ22" s="498" t="s">
        <v>1620</v>
      </c>
      <c r="UKR22" s="498">
        <v>1</v>
      </c>
      <c r="UKS22" s="499">
        <v>1500000</v>
      </c>
      <c r="UKT22" s="498">
        <v>1.58</v>
      </c>
      <c r="UKU22" s="498">
        <v>1</v>
      </c>
      <c r="UKV22" s="501">
        <v>6.75</v>
      </c>
      <c r="UKW22" s="486">
        <v>5.0999999999999996</v>
      </c>
      <c r="UKX22" s="452" t="s">
        <v>2691</v>
      </c>
      <c r="UKY22" s="498" t="s">
        <v>1620</v>
      </c>
      <c r="UKZ22" s="498">
        <v>1</v>
      </c>
      <c r="ULA22" s="499">
        <v>1500000</v>
      </c>
      <c r="ULB22" s="498">
        <v>1.58</v>
      </c>
      <c r="ULC22" s="498">
        <v>1</v>
      </c>
      <c r="ULD22" s="501">
        <v>6.75</v>
      </c>
      <c r="ULE22" s="486">
        <v>5.0999999999999996</v>
      </c>
      <c r="ULF22" s="452" t="s">
        <v>2691</v>
      </c>
      <c r="ULG22" s="498" t="s">
        <v>1620</v>
      </c>
      <c r="ULH22" s="498">
        <v>1</v>
      </c>
      <c r="ULI22" s="499">
        <v>1500000</v>
      </c>
      <c r="ULJ22" s="498">
        <v>1.58</v>
      </c>
      <c r="ULK22" s="498">
        <v>1</v>
      </c>
      <c r="ULL22" s="501">
        <v>6.75</v>
      </c>
      <c r="ULM22" s="486">
        <v>5.0999999999999996</v>
      </c>
      <c r="ULN22" s="452" t="s">
        <v>2691</v>
      </c>
      <c r="ULO22" s="498" t="s">
        <v>1620</v>
      </c>
      <c r="ULP22" s="498">
        <v>1</v>
      </c>
      <c r="ULQ22" s="499">
        <v>1500000</v>
      </c>
      <c r="ULR22" s="498">
        <v>1.58</v>
      </c>
      <c r="ULS22" s="498">
        <v>1</v>
      </c>
      <c r="ULT22" s="501">
        <v>6.75</v>
      </c>
      <c r="ULU22" s="486">
        <v>5.0999999999999996</v>
      </c>
      <c r="ULV22" s="452" t="s">
        <v>2691</v>
      </c>
      <c r="ULW22" s="498" t="s">
        <v>1620</v>
      </c>
      <c r="ULX22" s="498">
        <v>1</v>
      </c>
      <c r="ULY22" s="499">
        <v>1500000</v>
      </c>
      <c r="ULZ22" s="498">
        <v>1.58</v>
      </c>
      <c r="UMA22" s="498">
        <v>1</v>
      </c>
      <c r="UMB22" s="501">
        <v>6.75</v>
      </c>
      <c r="UMC22" s="486">
        <v>5.0999999999999996</v>
      </c>
      <c r="UMD22" s="452" t="s">
        <v>2691</v>
      </c>
      <c r="UME22" s="498" t="s">
        <v>1620</v>
      </c>
      <c r="UMF22" s="498">
        <v>1</v>
      </c>
      <c r="UMG22" s="499">
        <v>1500000</v>
      </c>
      <c r="UMH22" s="498">
        <v>1.58</v>
      </c>
      <c r="UMI22" s="498">
        <v>1</v>
      </c>
      <c r="UMJ22" s="501">
        <v>6.75</v>
      </c>
      <c r="UMK22" s="486">
        <v>5.0999999999999996</v>
      </c>
      <c r="UML22" s="452" t="s">
        <v>2691</v>
      </c>
      <c r="UMM22" s="498" t="s">
        <v>1620</v>
      </c>
      <c r="UMN22" s="498">
        <v>1</v>
      </c>
      <c r="UMO22" s="499">
        <v>1500000</v>
      </c>
      <c r="UMP22" s="498">
        <v>1.58</v>
      </c>
      <c r="UMQ22" s="498">
        <v>1</v>
      </c>
      <c r="UMR22" s="501">
        <v>6.75</v>
      </c>
      <c r="UMS22" s="486">
        <v>5.0999999999999996</v>
      </c>
      <c r="UMT22" s="452" t="s">
        <v>2691</v>
      </c>
      <c r="UMU22" s="498" t="s">
        <v>1620</v>
      </c>
      <c r="UMV22" s="498">
        <v>1</v>
      </c>
      <c r="UMW22" s="499">
        <v>1500000</v>
      </c>
      <c r="UMX22" s="498">
        <v>1.58</v>
      </c>
      <c r="UMY22" s="498">
        <v>1</v>
      </c>
      <c r="UMZ22" s="501">
        <v>6.75</v>
      </c>
      <c r="UNA22" s="486">
        <v>5.0999999999999996</v>
      </c>
      <c r="UNB22" s="452" t="s">
        <v>2691</v>
      </c>
      <c r="UNC22" s="498" t="s">
        <v>1620</v>
      </c>
      <c r="UND22" s="498">
        <v>1</v>
      </c>
      <c r="UNE22" s="499">
        <v>1500000</v>
      </c>
      <c r="UNF22" s="498">
        <v>1.58</v>
      </c>
      <c r="UNG22" s="498">
        <v>1</v>
      </c>
      <c r="UNH22" s="501">
        <v>6.75</v>
      </c>
      <c r="UNI22" s="486">
        <v>5.0999999999999996</v>
      </c>
      <c r="UNJ22" s="452" t="s">
        <v>2691</v>
      </c>
      <c r="UNK22" s="498" t="s">
        <v>1620</v>
      </c>
      <c r="UNL22" s="498">
        <v>1</v>
      </c>
      <c r="UNM22" s="499">
        <v>1500000</v>
      </c>
      <c r="UNN22" s="498">
        <v>1.58</v>
      </c>
      <c r="UNO22" s="498">
        <v>1</v>
      </c>
      <c r="UNP22" s="501">
        <v>6.75</v>
      </c>
      <c r="UNQ22" s="486">
        <v>5.0999999999999996</v>
      </c>
      <c r="UNR22" s="452" t="s">
        <v>2691</v>
      </c>
      <c r="UNS22" s="498" t="s">
        <v>1620</v>
      </c>
      <c r="UNT22" s="498">
        <v>1</v>
      </c>
      <c r="UNU22" s="499">
        <v>1500000</v>
      </c>
      <c r="UNV22" s="498">
        <v>1.58</v>
      </c>
      <c r="UNW22" s="498">
        <v>1</v>
      </c>
      <c r="UNX22" s="501">
        <v>6.75</v>
      </c>
      <c r="UNY22" s="486">
        <v>5.0999999999999996</v>
      </c>
      <c r="UNZ22" s="452" t="s">
        <v>2691</v>
      </c>
      <c r="UOA22" s="498" t="s">
        <v>1620</v>
      </c>
      <c r="UOB22" s="498">
        <v>1</v>
      </c>
      <c r="UOC22" s="499">
        <v>1500000</v>
      </c>
      <c r="UOD22" s="498">
        <v>1.58</v>
      </c>
      <c r="UOE22" s="498">
        <v>1</v>
      </c>
      <c r="UOF22" s="501">
        <v>6.75</v>
      </c>
      <c r="UOG22" s="486">
        <v>5.0999999999999996</v>
      </c>
      <c r="UOH22" s="452" t="s">
        <v>2691</v>
      </c>
      <c r="UOI22" s="498" t="s">
        <v>1620</v>
      </c>
      <c r="UOJ22" s="498">
        <v>1</v>
      </c>
      <c r="UOK22" s="499">
        <v>1500000</v>
      </c>
      <c r="UOL22" s="498">
        <v>1.58</v>
      </c>
      <c r="UOM22" s="498">
        <v>1</v>
      </c>
      <c r="UON22" s="501">
        <v>6.75</v>
      </c>
      <c r="UOO22" s="486">
        <v>5.0999999999999996</v>
      </c>
      <c r="UOP22" s="452" t="s">
        <v>2691</v>
      </c>
      <c r="UOQ22" s="498" t="s">
        <v>1620</v>
      </c>
      <c r="UOR22" s="498">
        <v>1</v>
      </c>
      <c r="UOS22" s="499">
        <v>1500000</v>
      </c>
      <c r="UOT22" s="498">
        <v>1.58</v>
      </c>
      <c r="UOU22" s="498">
        <v>1</v>
      </c>
      <c r="UOV22" s="501">
        <v>6.75</v>
      </c>
      <c r="UOW22" s="486">
        <v>5.0999999999999996</v>
      </c>
      <c r="UOX22" s="452" t="s">
        <v>2691</v>
      </c>
      <c r="UOY22" s="498" t="s">
        <v>1620</v>
      </c>
      <c r="UOZ22" s="498">
        <v>1</v>
      </c>
      <c r="UPA22" s="499">
        <v>1500000</v>
      </c>
      <c r="UPB22" s="498">
        <v>1.58</v>
      </c>
      <c r="UPC22" s="498">
        <v>1</v>
      </c>
      <c r="UPD22" s="501">
        <v>6.75</v>
      </c>
      <c r="UPE22" s="486">
        <v>5.0999999999999996</v>
      </c>
      <c r="UPF22" s="452" t="s">
        <v>2691</v>
      </c>
      <c r="UPG22" s="498" t="s">
        <v>1620</v>
      </c>
      <c r="UPH22" s="498">
        <v>1</v>
      </c>
      <c r="UPI22" s="499">
        <v>1500000</v>
      </c>
      <c r="UPJ22" s="498">
        <v>1.58</v>
      </c>
      <c r="UPK22" s="498">
        <v>1</v>
      </c>
      <c r="UPL22" s="501">
        <v>6.75</v>
      </c>
      <c r="UPM22" s="486">
        <v>5.0999999999999996</v>
      </c>
      <c r="UPN22" s="452" t="s">
        <v>2691</v>
      </c>
      <c r="UPO22" s="498" t="s">
        <v>1620</v>
      </c>
      <c r="UPP22" s="498">
        <v>1</v>
      </c>
      <c r="UPQ22" s="499">
        <v>1500000</v>
      </c>
      <c r="UPR22" s="498">
        <v>1.58</v>
      </c>
      <c r="UPS22" s="498">
        <v>1</v>
      </c>
      <c r="UPT22" s="501">
        <v>6.75</v>
      </c>
      <c r="UPU22" s="486">
        <v>5.0999999999999996</v>
      </c>
      <c r="UPV22" s="452" t="s">
        <v>2691</v>
      </c>
      <c r="UPW22" s="498" t="s">
        <v>1620</v>
      </c>
      <c r="UPX22" s="498">
        <v>1</v>
      </c>
      <c r="UPY22" s="499">
        <v>1500000</v>
      </c>
      <c r="UPZ22" s="498">
        <v>1.58</v>
      </c>
      <c r="UQA22" s="498">
        <v>1</v>
      </c>
      <c r="UQB22" s="501">
        <v>6.75</v>
      </c>
      <c r="UQC22" s="486">
        <v>5.0999999999999996</v>
      </c>
      <c r="UQD22" s="452" t="s">
        <v>2691</v>
      </c>
      <c r="UQE22" s="498" t="s">
        <v>1620</v>
      </c>
      <c r="UQF22" s="498">
        <v>1</v>
      </c>
      <c r="UQG22" s="499">
        <v>1500000</v>
      </c>
      <c r="UQH22" s="498">
        <v>1.58</v>
      </c>
      <c r="UQI22" s="498">
        <v>1</v>
      </c>
      <c r="UQJ22" s="501">
        <v>6.75</v>
      </c>
      <c r="UQK22" s="486">
        <v>5.0999999999999996</v>
      </c>
      <c r="UQL22" s="452" t="s">
        <v>2691</v>
      </c>
      <c r="UQM22" s="498" t="s">
        <v>1620</v>
      </c>
      <c r="UQN22" s="498">
        <v>1</v>
      </c>
      <c r="UQO22" s="499">
        <v>1500000</v>
      </c>
      <c r="UQP22" s="498">
        <v>1.58</v>
      </c>
      <c r="UQQ22" s="498">
        <v>1</v>
      </c>
      <c r="UQR22" s="501">
        <v>6.75</v>
      </c>
      <c r="UQS22" s="486">
        <v>5.0999999999999996</v>
      </c>
      <c r="UQT22" s="452" t="s">
        <v>2691</v>
      </c>
      <c r="UQU22" s="498" t="s">
        <v>1620</v>
      </c>
      <c r="UQV22" s="498">
        <v>1</v>
      </c>
      <c r="UQW22" s="499">
        <v>1500000</v>
      </c>
      <c r="UQX22" s="498">
        <v>1.58</v>
      </c>
      <c r="UQY22" s="498">
        <v>1</v>
      </c>
      <c r="UQZ22" s="501">
        <v>6.75</v>
      </c>
      <c r="URA22" s="486">
        <v>5.0999999999999996</v>
      </c>
      <c r="URB22" s="452" t="s">
        <v>2691</v>
      </c>
      <c r="URC22" s="498" t="s">
        <v>1620</v>
      </c>
      <c r="URD22" s="498">
        <v>1</v>
      </c>
      <c r="URE22" s="499">
        <v>1500000</v>
      </c>
      <c r="URF22" s="498">
        <v>1.58</v>
      </c>
      <c r="URG22" s="498">
        <v>1</v>
      </c>
      <c r="URH22" s="501">
        <v>6.75</v>
      </c>
      <c r="URI22" s="486">
        <v>5.0999999999999996</v>
      </c>
      <c r="URJ22" s="452" t="s">
        <v>2691</v>
      </c>
      <c r="URK22" s="498" t="s">
        <v>1620</v>
      </c>
      <c r="URL22" s="498">
        <v>1</v>
      </c>
      <c r="URM22" s="499">
        <v>1500000</v>
      </c>
      <c r="URN22" s="498">
        <v>1.58</v>
      </c>
      <c r="URO22" s="498">
        <v>1</v>
      </c>
      <c r="URP22" s="501">
        <v>6.75</v>
      </c>
      <c r="URQ22" s="486">
        <v>5.0999999999999996</v>
      </c>
      <c r="URR22" s="452" t="s">
        <v>2691</v>
      </c>
      <c r="URS22" s="498" t="s">
        <v>1620</v>
      </c>
      <c r="URT22" s="498">
        <v>1</v>
      </c>
      <c r="URU22" s="499">
        <v>1500000</v>
      </c>
      <c r="URV22" s="498">
        <v>1.58</v>
      </c>
      <c r="URW22" s="498">
        <v>1</v>
      </c>
      <c r="URX22" s="501">
        <v>6.75</v>
      </c>
      <c r="URY22" s="486">
        <v>5.0999999999999996</v>
      </c>
      <c r="URZ22" s="452" t="s">
        <v>2691</v>
      </c>
      <c r="USA22" s="498" t="s">
        <v>1620</v>
      </c>
      <c r="USB22" s="498">
        <v>1</v>
      </c>
      <c r="USC22" s="499">
        <v>1500000</v>
      </c>
      <c r="USD22" s="498">
        <v>1.58</v>
      </c>
      <c r="USE22" s="498">
        <v>1</v>
      </c>
      <c r="USF22" s="501">
        <v>6.75</v>
      </c>
      <c r="USG22" s="486">
        <v>5.0999999999999996</v>
      </c>
      <c r="USH22" s="452" t="s">
        <v>2691</v>
      </c>
      <c r="USI22" s="498" t="s">
        <v>1620</v>
      </c>
      <c r="USJ22" s="498">
        <v>1</v>
      </c>
      <c r="USK22" s="499">
        <v>1500000</v>
      </c>
      <c r="USL22" s="498">
        <v>1.58</v>
      </c>
      <c r="USM22" s="498">
        <v>1</v>
      </c>
      <c r="USN22" s="501">
        <v>6.75</v>
      </c>
      <c r="USO22" s="486">
        <v>5.0999999999999996</v>
      </c>
      <c r="USP22" s="452" t="s">
        <v>2691</v>
      </c>
      <c r="USQ22" s="498" t="s">
        <v>1620</v>
      </c>
      <c r="USR22" s="498">
        <v>1</v>
      </c>
      <c r="USS22" s="499">
        <v>1500000</v>
      </c>
      <c r="UST22" s="498">
        <v>1.58</v>
      </c>
      <c r="USU22" s="498">
        <v>1</v>
      </c>
      <c r="USV22" s="501">
        <v>6.75</v>
      </c>
      <c r="USW22" s="486">
        <v>5.0999999999999996</v>
      </c>
      <c r="USX22" s="452" t="s">
        <v>2691</v>
      </c>
      <c r="USY22" s="498" t="s">
        <v>1620</v>
      </c>
      <c r="USZ22" s="498">
        <v>1</v>
      </c>
      <c r="UTA22" s="499">
        <v>1500000</v>
      </c>
      <c r="UTB22" s="498">
        <v>1.58</v>
      </c>
      <c r="UTC22" s="498">
        <v>1</v>
      </c>
      <c r="UTD22" s="501">
        <v>6.75</v>
      </c>
      <c r="UTE22" s="486">
        <v>5.0999999999999996</v>
      </c>
      <c r="UTF22" s="452" t="s">
        <v>2691</v>
      </c>
      <c r="UTG22" s="498" t="s">
        <v>1620</v>
      </c>
      <c r="UTH22" s="498">
        <v>1</v>
      </c>
      <c r="UTI22" s="499">
        <v>1500000</v>
      </c>
      <c r="UTJ22" s="498">
        <v>1.58</v>
      </c>
      <c r="UTK22" s="498">
        <v>1</v>
      </c>
      <c r="UTL22" s="501">
        <v>6.75</v>
      </c>
      <c r="UTM22" s="486">
        <v>5.0999999999999996</v>
      </c>
      <c r="UTN22" s="452" t="s">
        <v>2691</v>
      </c>
      <c r="UTO22" s="498" t="s">
        <v>1620</v>
      </c>
      <c r="UTP22" s="498">
        <v>1</v>
      </c>
      <c r="UTQ22" s="499">
        <v>1500000</v>
      </c>
      <c r="UTR22" s="498">
        <v>1.58</v>
      </c>
      <c r="UTS22" s="498">
        <v>1</v>
      </c>
      <c r="UTT22" s="501">
        <v>6.75</v>
      </c>
      <c r="UTU22" s="486">
        <v>5.0999999999999996</v>
      </c>
      <c r="UTV22" s="452" t="s">
        <v>2691</v>
      </c>
      <c r="UTW22" s="498" t="s">
        <v>1620</v>
      </c>
      <c r="UTX22" s="498">
        <v>1</v>
      </c>
      <c r="UTY22" s="499">
        <v>1500000</v>
      </c>
      <c r="UTZ22" s="498">
        <v>1.58</v>
      </c>
      <c r="UUA22" s="498">
        <v>1</v>
      </c>
      <c r="UUB22" s="501">
        <v>6.75</v>
      </c>
      <c r="UUC22" s="486">
        <v>5.0999999999999996</v>
      </c>
      <c r="UUD22" s="452" t="s">
        <v>2691</v>
      </c>
      <c r="UUE22" s="498" t="s">
        <v>1620</v>
      </c>
      <c r="UUF22" s="498">
        <v>1</v>
      </c>
      <c r="UUG22" s="499">
        <v>1500000</v>
      </c>
      <c r="UUH22" s="498">
        <v>1.58</v>
      </c>
      <c r="UUI22" s="498">
        <v>1</v>
      </c>
      <c r="UUJ22" s="501">
        <v>6.75</v>
      </c>
      <c r="UUK22" s="486">
        <v>5.0999999999999996</v>
      </c>
      <c r="UUL22" s="452" t="s">
        <v>2691</v>
      </c>
      <c r="UUM22" s="498" t="s">
        <v>1620</v>
      </c>
      <c r="UUN22" s="498">
        <v>1</v>
      </c>
      <c r="UUO22" s="499">
        <v>1500000</v>
      </c>
      <c r="UUP22" s="498">
        <v>1.58</v>
      </c>
      <c r="UUQ22" s="498">
        <v>1</v>
      </c>
      <c r="UUR22" s="501">
        <v>6.75</v>
      </c>
      <c r="UUS22" s="486">
        <v>5.0999999999999996</v>
      </c>
      <c r="UUT22" s="452" t="s">
        <v>2691</v>
      </c>
      <c r="UUU22" s="498" t="s">
        <v>1620</v>
      </c>
      <c r="UUV22" s="498">
        <v>1</v>
      </c>
      <c r="UUW22" s="499">
        <v>1500000</v>
      </c>
      <c r="UUX22" s="498">
        <v>1.58</v>
      </c>
      <c r="UUY22" s="498">
        <v>1</v>
      </c>
      <c r="UUZ22" s="501">
        <v>6.75</v>
      </c>
      <c r="UVA22" s="486">
        <v>5.0999999999999996</v>
      </c>
      <c r="UVB22" s="452" t="s">
        <v>2691</v>
      </c>
      <c r="UVC22" s="498" t="s">
        <v>1620</v>
      </c>
      <c r="UVD22" s="498">
        <v>1</v>
      </c>
      <c r="UVE22" s="499">
        <v>1500000</v>
      </c>
      <c r="UVF22" s="498">
        <v>1.58</v>
      </c>
      <c r="UVG22" s="498">
        <v>1</v>
      </c>
      <c r="UVH22" s="501">
        <v>6.75</v>
      </c>
      <c r="UVI22" s="486">
        <v>5.0999999999999996</v>
      </c>
      <c r="UVJ22" s="452" t="s">
        <v>2691</v>
      </c>
      <c r="UVK22" s="498" t="s">
        <v>1620</v>
      </c>
      <c r="UVL22" s="498">
        <v>1</v>
      </c>
      <c r="UVM22" s="499">
        <v>1500000</v>
      </c>
      <c r="UVN22" s="498">
        <v>1.58</v>
      </c>
      <c r="UVO22" s="498">
        <v>1</v>
      </c>
      <c r="UVP22" s="501">
        <v>6.75</v>
      </c>
      <c r="UVQ22" s="486">
        <v>5.0999999999999996</v>
      </c>
      <c r="UVR22" s="452" t="s">
        <v>2691</v>
      </c>
      <c r="UVS22" s="498" t="s">
        <v>1620</v>
      </c>
      <c r="UVT22" s="498">
        <v>1</v>
      </c>
      <c r="UVU22" s="499">
        <v>1500000</v>
      </c>
      <c r="UVV22" s="498">
        <v>1.58</v>
      </c>
      <c r="UVW22" s="498">
        <v>1</v>
      </c>
      <c r="UVX22" s="501">
        <v>6.75</v>
      </c>
      <c r="UVY22" s="486">
        <v>5.0999999999999996</v>
      </c>
      <c r="UVZ22" s="452" t="s">
        <v>2691</v>
      </c>
      <c r="UWA22" s="498" t="s">
        <v>1620</v>
      </c>
      <c r="UWB22" s="498">
        <v>1</v>
      </c>
      <c r="UWC22" s="499">
        <v>1500000</v>
      </c>
      <c r="UWD22" s="498">
        <v>1.58</v>
      </c>
      <c r="UWE22" s="498">
        <v>1</v>
      </c>
      <c r="UWF22" s="501">
        <v>6.75</v>
      </c>
      <c r="UWG22" s="486">
        <v>5.0999999999999996</v>
      </c>
      <c r="UWH22" s="452" t="s">
        <v>2691</v>
      </c>
      <c r="UWI22" s="498" t="s">
        <v>1620</v>
      </c>
      <c r="UWJ22" s="498">
        <v>1</v>
      </c>
      <c r="UWK22" s="499">
        <v>1500000</v>
      </c>
      <c r="UWL22" s="498">
        <v>1.58</v>
      </c>
      <c r="UWM22" s="498">
        <v>1</v>
      </c>
      <c r="UWN22" s="501">
        <v>6.75</v>
      </c>
      <c r="UWO22" s="486">
        <v>5.0999999999999996</v>
      </c>
      <c r="UWP22" s="452" t="s">
        <v>2691</v>
      </c>
      <c r="UWQ22" s="498" t="s">
        <v>1620</v>
      </c>
      <c r="UWR22" s="498">
        <v>1</v>
      </c>
      <c r="UWS22" s="499">
        <v>1500000</v>
      </c>
      <c r="UWT22" s="498">
        <v>1.58</v>
      </c>
      <c r="UWU22" s="498">
        <v>1</v>
      </c>
      <c r="UWV22" s="501">
        <v>6.75</v>
      </c>
      <c r="UWW22" s="486">
        <v>5.0999999999999996</v>
      </c>
      <c r="UWX22" s="452" t="s">
        <v>2691</v>
      </c>
      <c r="UWY22" s="498" t="s">
        <v>1620</v>
      </c>
      <c r="UWZ22" s="498">
        <v>1</v>
      </c>
      <c r="UXA22" s="499">
        <v>1500000</v>
      </c>
      <c r="UXB22" s="498">
        <v>1.58</v>
      </c>
      <c r="UXC22" s="498">
        <v>1</v>
      </c>
      <c r="UXD22" s="501">
        <v>6.75</v>
      </c>
      <c r="UXE22" s="486">
        <v>5.0999999999999996</v>
      </c>
      <c r="UXF22" s="452" t="s">
        <v>2691</v>
      </c>
      <c r="UXG22" s="498" t="s">
        <v>1620</v>
      </c>
      <c r="UXH22" s="498">
        <v>1</v>
      </c>
      <c r="UXI22" s="499">
        <v>1500000</v>
      </c>
      <c r="UXJ22" s="498">
        <v>1.58</v>
      </c>
      <c r="UXK22" s="498">
        <v>1</v>
      </c>
      <c r="UXL22" s="501">
        <v>6.75</v>
      </c>
      <c r="UXM22" s="486">
        <v>5.0999999999999996</v>
      </c>
      <c r="UXN22" s="452" t="s">
        <v>2691</v>
      </c>
      <c r="UXO22" s="498" t="s">
        <v>1620</v>
      </c>
      <c r="UXP22" s="498">
        <v>1</v>
      </c>
      <c r="UXQ22" s="499">
        <v>1500000</v>
      </c>
      <c r="UXR22" s="498">
        <v>1.58</v>
      </c>
      <c r="UXS22" s="498">
        <v>1</v>
      </c>
      <c r="UXT22" s="501">
        <v>6.75</v>
      </c>
      <c r="UXU22" s="486">
        <v>5.0999999999999996</v>
      </c>
      <c r="UXV22" s="452" t="s">
        <v>2691</v>
      </c>
      <c r="UXW22" s="498" t="s">
        <v>1620</v>
      </c>
      <c r="UXX22" s="498">
        <v>1</v>
      </c>
      <c r="UXY22" s="499">
        <v>1500000</v>
      </c>
      <c r="UXZ22" s="498">
        <v>1.58</v>
      </c>
      <c r="UYA22" s="498">
        <v>1</v>
      </c>
      <c r="UYB22" s="501">
        <v>6.75</v>
      </c>
      <c r="UYC22" s="486">
        <v>5.0999999999999996</v>
      </c>
      <c r="UYD22" s="452" t="s">
        <v>2691</v>
      </c>
      <c r="UYE22" s="498" t="s">
        <v>1620</v>
      </c>
      <c r="UYF22" s="498">
        <v>1</v>
      </c>
      <c r="UYG22" s="499">
        <v>1500000</v>
      </c>
      <c r="UYH22" s="498">
        <v>1.58</v>
      </c>
      <c r="UYI22" s="498">
        <v>1</v>
      </c>
      <c r="UYJ22" s="501">
        <v>6.75</v>
      </c>
      <c r="UYK22" s="486">
        <v>5.0999999999999996</v>
      </c>
      <c r="UYL22" s="452" t="s">
        <v>2691</v>
      </c>
      <c r="UYM22" s="498" t="s">
        <v>1620</v>
      </c>
      <c r="UYN22" s="498">
        <v>1</v>
      </c>
      <c r="UYO22" s="499">
        <v>1500000</v>
      </c>
      <c r="UYP22" s="498">
        <v>1.58</v>
      </c>
      <c r="UYQ22" s="498">
        <v>1</v>
      </c>
      <c r="UYR22" s="501">
        <v>6.75</v>
      </c>
      <c r="UYS22" s="486">
        <v>5.0999999999999996</v>
      </c>
      <c r="UYT22" s="452" t="s">
        <v>2691</v>
      </c>
      <c r="UYU22" s="498" t="s">
        <v>1620</v>
      </c>
      <c r="UYV22" s="498">
        <v>1</v>
      </c>
      <c r="UYW22" s="499">
        <v>1500000</v>
      </c>
      <c r="UYX22" s="498">
        <v>1.58</v>
      </c>
      <c r="UYY22" s="498">
        <v>1</v>
      </c>
      <c r="UYZ22" s="501">
        <v>6.75</v>
      </c>
      <c r="UZA22" s="486">
        <v>5.0999999999999996</v>
      </c>
      <c r="UZB22" s="452" t="s">
        <v>2691</v>
      </c>
      <c r="UZC22" s="498" t="s">
        <v>1620</v>
      </c>
      <c r="UZD22" s="498">
        <v>1</v>
      </c>
      <c r="UZE22" s="499">
        <v>1500000</v>
      </c>
      <c r="UZF22" s="498">
        <v>1.58</v>
      </c>
      <c r="UZG22" s="498">
        <v>1</v>
      </c>
      <c r="UZH22" s="501">
        <v>6.75</v>
      </c>
      <c r="UZI22" s="486">
        <v>5.0999999999999996</v>
      </c>
      <c r="UZJ22" s="452" t="s">
        <v>2691</v>
      </c>
      <c r="UZK22" s="498" t="s">
        <v>1620</v>
      </c>
      <c r="UZL22" s="498">
        <v>1</v>
      </c>
      <c r="UZM22" s="499">
        <v>1500000</v>
      </c>
      <c r="UZN22" s="498">
        <v>1.58</v>
      </c>
      <c r="UZO22" s="498">
        <v>1</v>
      </c>
      <c r="UZP22" s="501">
        <v>6.75</v>
      </c>
      <c r="UZQ22" s="486">
        <v>5.0999999999999996</v>
      </c>
      <c r="UZR22" s="452" t="s">
        <v>2691</v>
      </c>
      <c r="UZS22" s="498" t="s">
        <v>1620</v>
      </c>
      <c r="UZT22" s="498">
        <v>1</v>
      </c>
      <c r="UZU22" s="499">
        <v>1500000</v>
      </c>
      <c r="UZV22" s="498">
        <v>1.58</v>
      </c>
      <c r="UZW22" s="498">
        <v>1</v>
      </c>
      <c r="UZX22" s="501">
        <v>6.75</v>
      </c>
      <c r="UZY22" s="486">
        <v>5.0999999999999996</v>
      </c>
      <c r="UZZ22" s="452" t="s">
        <v>2691</v>
      </c>
      <c r="VAA22" s="498" t="s">
        <v>1620</v>
      </c>
      <c r="VAB22" s="498">
        <v>1</v>
      </c>
      <c r="VAC22" s="499">
        <v>1500000</v>
      </c>
      <c r="VAD22" s="498">
        <v>1.58</v>
      </c>
      <c r="VAE22" s="498">
        <v>1</v>
      </c>
      <c r="VAF22" s="501">
        <v>6.75</v>
      </c>
      <c r="VAG22" s="486">
        <v>5.0999999999999996</v>
      </c>
      <c r="VAH22" s="452" t="s">
        <v>2691</v>
      </c>
      <c r="VAI22" s="498" t="s">
        <v>1620</v>
      </c>
      <c r="VAJ22" s="498">
        <v>1</v>
      </c>
      <c r="VAK22" s="499">
        <v>1500000</v>
      </c>
      <c r="VAL22" s="498">
        <v>1.58</v>
      </c>
      <c r="VAM22" s="498">
        <v>1</v>
      </c>
      <c r="VAN22" s="501">
        <v>6.75</v>
      </c>
      <c r="VAO22" s="486">
        <v>5.0999999999999996</v>
      </c>
      <c r="VAP22" s="452" t="s">
        <v>2691</v>
      </c>
      <c r="VAQ22" s="498" t="s">
        <v>1620</v>
      </c>
      <c r="VAR22" s="498">
        <v>1</v>
      </c>
      <c r="VAS22" s="499">
        <v>1500000</v>
      </c>
      <c r="VAT22" s="498">
        <v>1.58</v>
      </c>
      <c r="VAU22" s="498">
        <v>1</v>
      </c>
      <c r="VAV22" s="501">
        <v>6.75</v>
      </c>
      <c r="VAW22" s="486">
        <v>5.0999999999999996</v>
      </c>
      <c r="VAX22" s="452" t="s">
        <v>2691</v>
      </c>
      <c r="VAY22" s="498" t="s">
        <v>1620</v>
      </c>
      <c r="VAZ22" s="498">
        <v>1</v>
      </c>
      <c r="VBA22" s="499">
        <v>1500000</v>
      </c>
      <c r="VBB22" s="498">
        <v>1.58</v>
      </c>
      <c r="VBC22" s="498">
        <v>1</v>
      </c>
      <c r="VBD22" s="501">
        <v>6.75</v>
      </c>
      <c r="VBE22" s="486">
        <v>5.0999999999999996</v>
      </c>
      <c r="VBF22" s="452" t="s">
        <v>2691</v>
      </c>
      <c r="VBG22" s="498" t="s">
        <v>1620</v>
      </c>
      <c r="VBH22" s="498">
        <v>1</v>
      </c>
      <c r="VBI22" s="499">
        <v>1500000</v>
      </c>
      <c r="VBJ22" s="498">
        <v>1.58</v>
      </c>
      <c r="VBK22" s="498">
        <v>1</v>
      </c>
      <c r="VBL22" s="501">
        <v>6.75</v>
      </c>
      <c r="VBM22" s="486">
        <v>5.0999999999999996</v>
      </c>
      <c r="VBN22" s="452" t="s">
        <v>2691</v>
      </c>
      <c r="VBO22" s="498" t="s">
        <v>1620</v>
      </c>
      <c r="VBP22" s="498">
        <v>1</v>
      </c>
      <c r="VBQ22" s="499">
        <v>1500000</v>
      </c>
      <c r="VBR22" s="498">
        <v>1.58</v>
      </c>
      <c r="VBS22" s="498">
        <v>1</v>
      </c>
      <c r="VBT22" s="501">
        <v>6.75</v>
      </c>
      <c r="VBU22" s="486">
        <v>5.0999999999999996</v>
      </c>
      <c r="VBV22" s="452" t="s">
        <v>2691</v>
      </c>
      <c r="VBW22" s="498" t="s">
        <v>1620</v>
      </c>
      <c r="VBX22" s="498">
        <v>1</v>
      </c>
      <c r="VBY22" s="499">
        <v>1500000</v>
      </c>
      <c r="VBZ22" s="498">
        <v>1.58</v>
      </c>
      <c r="VCA22" s="498">
        <v>1</v>
      </c>
      <c r="VCB22" s="501">
        <v>6.75</v>
      </c>
      <c r="VCC22" s="486">
        <v>5.0999999999999996</v>
      </c>
      <c r="VCD22" s="452" t="s">
        <v>2691</v>
      </c>
      <c r="VCE22" s="498" t="s">
        <v>1620</v>
      </c>
      <c r="VCF22" s="498">
        <v>1</v>
      </c>
      <c r="VCG22" s="499">
        <v>1500000</v>
      </c>
      <c r="VCH22" s="498">
        <v>1.58</v>
      </c>
      <c r="VCI22" s="498">
        <v>1</v>
      </c>
      <c r="VCJ22" s="501">
        <v>6.75</v>
      </c>
      <c r="VCK22" s="486">
        <v>5.0999999999999996</v>
      </c>
      <c r="VCL22" s="452" t="s">
        <v>2691</v>
      </c>
      <c r="VCM22" s="498" t="s">
        <v>1620</v>
      </c>
      <c r="VCN22" s="498">
        <v>1</v>
      </c>
      <c r="VCO22" s="499">
        <v>1500000</v>
      </c>
      <c r="VCP22" s="498">
        <v>1.58</v>
      </c>
      <c r="VCQ22" s="498">
        <v>1</v>
      </c>
      <c r="VCR22" s="501">
        <v>6.75</v>
      </c>
      <c r="VCS22" s="486">
        <v>5.0999999999999996</v>
      </c>
      <c r="VCT22" s="452" t="s">
        <v>2691</v>
      </c>
      <c r="VCU22" s="498" t="s">
        <v>1620</v>
      </c>
      <c r="VCV22" s="498">
        <v>1</v>
      </c>
      <c r="VCW22" s="499">
        <v>1500000</v>
      </c>
      <c r="VCX22" s="498">
        <v>1.58</v>
      </c>
      <c r="VCY22" s="498">
        <v>1</v>
      </c>
      <c r="VCZ22" s="501">
        <v>6.75</v>
      </c>
      <c r="VDA22" s="486">
        <v>5.0999999999999996</v>
      </c>
      <c r="VDB22" s="452" t="s">
        <v>2691</v>
      </c>
      <c r="VDC22" s="498" t="s">
        <v>1620</v>
      </c>
      <c r="VDD22" s="498">
        <v>1</v>
      </c>
      <c r="VDE22" s="499">
        <v>1500000</v>
      </c>
      <c r="VDF22" s="498">
        <v>1.58</v>
      </c>
      <c r="VDG22" s="498">
        <v>1</v>
      </c>
      <c r="VDH22" s="501">
        <v>6.75</v>
      </c>
      <c r="VDI22" s="486">
        <v>5.0999999999999996</v>
      </c>
      <c r="VDJ22" s="452" t="s">
        <v>2691</v>
      </c>
      <c r="VDK22" s="498" t="s">
        <v>1620</v>
      </c>
      <c r="VDL22" s="498">
        <v>1</v>
      </c>
      <c r="VDM22" s="499">
        <v>1500000</v>
      </c>
      <c r="VDN22" s="498">
        <v>1.58</v>
      </c>
      <c r="VDO22" s="498">
        <v>1</v>
      </c>
      <c r="VDP22" s="501">
        <v>6.75</v>
      </c>
      <c r="VDQ22" s="486">
        <v>5.0999999999999996</v>
      </c>
      <c r="VDR22" s="452" t="s">
        <v>2691</v>
      </c>
      <c r="VDS22" s="498" t="s">
        <v>1620</v>
      </c>
      <c r="VDT22" s="498">
        <v>1</v>
      </c>
      <c r="VDU22" s="499">
        <v>1500000</v>
      </c>
      <c r="VDV22" s="498">
        <v>1.58</v>
      </c>
      <c r="VDW22" s="498">
        <v>1</v>
      </c>
      <c r="VDX22" s="501">
        <v>6.75</v>
      </c>
      <c r="VDY22" s="486">
        <v>5.0999999999999996</v>
      </c>
      <c r="VDZ22" s="452" t="s">
        <v>2691</v>
      </c>
      <c r="VEA22" s="498" t="s">
        <v>1620</v>
      </c>
      <c r="VEB22" s="498">
        <v>1</v>
      </c>
      <c r="VEC22" s="499">
        <v>1500000</v>
      </c>
      <c r="VED22" s="498">
        <v>1.58</v>
      </c>
      <c r="VEE22" s="498">
        <v>1</v>
      </c>
      <c r="VEF22" s="501">
        <v>6.75</v>
      </c>
      <c r="VEG22" s="486">
        <v>5.0999999999999996</v>
      </c>
      <c r="VEH22" s="452" t="s">
        <v>2691</v>
      </c>
      <c r="VEI22" s="498" t="s">
        <v>1620</v>
      </c>
      <c r="VEJ22" s="498">
        <v>1</v>
      </c>
      <c r="VEK22" s="499">
        <v>1500000</v>
      </c>
      <c r="VEL22" s="498">
        <v>1.58</v>
      </c>
      <c r="VEM22" s="498">
        <v>1</v>
      </c>
      <c r="VEN22" s="501">
        <v>6.75</v>
      </c>
      <c r="VEO22" s="486">
        <v>5.0999999999999996</v>
      </c>
      <c r="VEP22" s="452" t="s">
        <v>2691</v>
      </c>
      <c r="VEQ22" s="498" t="s">
        <v>1620</v>
      </c>
      <c r="VER22" s="498">
        <v>1</v>
      </c>
      <c r="VES22" s="499">
        <v>1500000</v>
      </c>
      <c r="VET22" s="498">
        <v>1.58</v>
      </c>
      <c r="VEU22" s="498">
        <v>1</v>
      </c>
      <c r="VEV22" s="501">
        <v>6.75</v>
      </c>
      <c r="VEW22" s="486">
        <v>5.0999999999999996</v>
      </c>
      <c r="VEX22" s="452" t="s">
        <v>2691</v>
      </c>
      <c r="VEY22" s="498" t="s">
        <v>1620</v>
      </c>
      <c r="VEZ22" s="498">
        <v>1</v>
      </c>
      <c r="VFA22" s="499">
        <v>1500000</v>
      </c>
      <c r="VFB22" s="498">
        <v>1.58</v>
      </c>
      <c r="VFC22" s="498">
        <v>1</v>
      </c>
      <c r="VFD22" s="501">
        <v>6.75</v>
      </c>
      <c r="VFE22" s="486">
        <v>5.0999999999999996</v>
      </c>
      <c r="VFF22" s="452" t="s">
        <v>2691</v>
      </c>
      <c r="VFG22" s="498" t="s">
        <v>1620</v>
      </c>
      <c r="VFH22" s="498">
        <v>1</v>
      </c>
      <c r="VFI22" s="499">
        <v>1500000</v>
      </c>
      <c r="VFJ22" s="498">
        <v>1.58</v>
      </c>
      <c r="VFK22" s="498">
        <v>1</v>
      </c>
      <c r="VFL22" s="501">
        <v>6.75</v>
      </c>
      <c r="VFM22" s="486">
        <v>5.0999999999999996</v>
      </c>
      <c r="VFN22" s="452" t="s">
        <v>2691</v>
      </c>
      <c r="VFO22" s="498" t="s">
        <v>1620</v>
      </c>
      <c r="VFP22" s="498">
        <v>1</v>
      </c>
      <c r="VFQ22" s="499">
        <v>1500000</v>
      </c>
      <c r="VFR22" s="498">
        <v>1.58</v>
      </c>
      <c r="VFS22" s="498">
        <v>1</v>
      </c>
      <c r="VFT22" s="501">
        <v>6.75</v>
      </c>
      <c r="VFU22" s="486">
        <v>5.0999999999999996</v>
      </c>
      <c r="VFV22" s="452" t="s">
        <v>2691</v>
      </c>
      <c r="VFW22" s="498" t="s">
        <v>1620</v>
      </c>
      <c r="VFX22" s="498">
        <v>1</v>
      </c>
      <c r="VFY22" s="499">
        <v>1500000</v>
      </c>
      <c r="VFZ22" s="498">
        <v>1.58</v>
      </c>
      <c r="VGA22" s="498">
        <v>1</v>
      </c>
      <c r="VGB22" s="501">
        <v>6.75</v>
      </c>
      <c r="VGC22" s="486">
        <v>5.0999999999999996</v>
      </c>
      <c r="VGD22" s="452" t="s">
        <v>2691</v>
      </c>
      <c r="VGE22" s="498" t="s">
        <v>1620</v>
      </c>
      <c r="VGF22" s="498">
        <v>1</v>
      </c>
      <c r="VGG22" s="499">
        <v>1500000</v>
      </c>
      <c r="VGH22" s="498">
        <v>1.58</v>
      </c>
      <c r="VGI22" s="498">
        <v>1</v>
      </c>
      <c r="VGJ22" s="501">
        <v>6.75</v>
      </c>
      <c r="VGK22" s="486">
        <v>5.0999999999999996</v>
      </c>
      <c r="VGL22" s="452" t="s">
        <v>2691</v>
      </c>
      <c r="VGM22" s="498" t="s">
        <v>1620</v>
      </c>
      <c r="VGN22" s="498">
        <v>1</v>
      </c>
      <c r="VGO22" s="499">
        <v>1500000</v>
      </c>
      <c r="VGP22" s="498">
        <v>1.58</v>
      </c>
      <c r="VGQ22" s="498">
        <v>1</v>
      </c>
      <c r="VGR22" s="501">
        <v>6.75</v>
      </c>
      <c r="VGS22" s="486">
        <v>5.0999999999999996</v>
      </c>
      <c r="VGT22" s="452" t="s">
        <v>2691</v>
      </c>
      <c r="VGU22" s="498" t="s">
        <v>1620</v>
      </c>
      <c r="VGV22" s="498">
        <v>1</v>
      </c>
      <c r="VGW22" s="499">
        <v>1500000</v>
      </c>
      <c r="VGX22" s="498">
        <v>1.58</v>
      </c>
      <c r="VGY22" s="498">
        <v>1</v>
      </c>
      <c r="VGZ22" s="501">
        <v>6.75</v>
      </c>
      <c r="VHA22" s="486">
        <v>5.0999999999999996</v>
      </c>
      <c r="VHB22" s="452" t="s">
        <v>2691</v>
      </c>
      <c r="VHC22" s="498" t="s">
        <v>1620</v>
      </c>
      <c r="VHD22" s="498">
        <v>1</v>
      </c>
      <c r="VHE22" s="499">
        <v>1500000</v>
      </c>
      <c r="VHF22" s="498">
        <v>1.58</v>
      </c>
      <c r="VHG22" s="498">
        <v>1</v>
      </c>
      <c r="VHH22" s="501">
        <v>6.75</v>
      </c>
      <c r="VHI22" s="486">
        <v>5.0999999999999996</v>
      </c>
      <c r="VHJ22" s="452" t="s">
        <v>2691</v>
      </c>
      <c r="VHK22" s="498" t="s">
        <v>1620</v>
      </c>
      <c r="VHL22" s="498">
        <v>1</v>
      </c>
      <c r="VHM22" s="499">
        <v>1500000</v>
      </c>
      <c r="VHN22" s="498">
        <v>1.58</v>
      </c>
      <c r="VHO22" s="498">
        <v>1</v>
      </c>
      <c r="VHP22" s="501">
        <v>6.75</v>
      </c>
      <c r="VHQ22" s="486">
        <v>5.0999999999999996</v>
      </c>
      <c r="VHR22" s="452" t="s">
        <v>2691</v>
      </c>
      <c r="VHS22" s="498" t="s">
        <v>1620</v>
      </c>
      <c r="VHT22" s="498">
        <v>1</v>
      </c>
      <c r="VHU22" s="499">
        <v>1500000</v>
      </c>
      <c r="VHV22" s="498">
        <v>1.58</v>
      </c>
      <c r="VHW22" s="498">
        <v>1</v>
      </c>
      <c r="VHX22" s="501">
        <v>6.75</v>
      </c>
      <c r="VHY22" s="486">
        <v>5.0999999999999996</v>
      </c>
      <c r="VHZ22" s="452" t="s">
        <v>2691</v>
      </c>
      <c r="VIA22" s="498" t="s">
        <v>1620</v>
      </c>
      <c r="VIB22" s="498">
        <v>1</v>
      </c>
      <c r="VIC22" s="499">
        <v>1500000</v>
      </c>
      <c r="VID22" s="498">
        <v>1.58</v>
      </c>
      <c r="VIE22" s="498">
        <v>1</v>
      </c>
      <c r="VIF22" s="501">
        <v>6.75</v>
      </c>
      <c r="VIG22" s="486">
        <v>5.0999999999999996</v>
      </c>
      <c r="VIH22" s="452" t="s">
        <v>2691</v>
      </c>
      <c r="VII22" s="498" t="s">
        <v>1620</v>
      </c>
      <c r="VIJ22" s="498">
        <v>1</v>
      </c>
      <c r="VIK22" s="499">
        <v>1500000</v>
      </c>
      <c r="VIL22" s="498">
        <v>1.58</v>
      </c>
      <c r="VIM22" s="498">
        <v>1</v>
      </c>
      <c r="VIN22" s="501">
        <v>6.75</v>
      </c>
      <c r="VIO22" s="486">
        <v>5.0999999999999996</v>
      </c>
      <c r="VIP22" s="452" t="s">
        <v>2691</v>
      </c>
      <c r="VIQ22" s="498" t="s">
        <v>1620</v>
      </c>
      <c r="VIR22" s="498">
        <v>1</v>
      </c>
      <c r="VIS22" s="499">
        <v>1500000</v>
      </c>
      <c r="VIT22" s="498">
        <v>1.58</v>
      </c>
      <c r="VIU22" s="498">
        <v>1</v>
      </c>
      <c r="VIV22" s="501">
        <v>6.75</v>
      </c>
      <c r="VIW22" s="486">
        <v>5.0999999999999996</v>
      </c>
      <c r="VIX22" s="452" t="s">
        <v>2691</v>
      </c>
      <c r="VIY22" s="498" t="s">
        <v>1620</v>
      </c>
      <c r="VIZ22" s="498">
        <v>1</v>
      </c>
      <c r="VJA22" s="499">
        <v>1500000</v>
      </c>
      <c r="VJB22" s="498">
        <v>1.58</v>
      </c>
      <c r="VJC22" s="498">
        <v>1</v>
      </c>
      <c r="VJD22" s="501">
        <v>6.75</v>
      </c>
      <c r="VJE22" s="486">
        <v>5.0999999999999996</v>
      </c>
      <c r="VJF22" s="452" t="s">
        <v>2691</v>
      </c>
      <c r="VJG22" s="498" t="s">
        <v>1620</v>
      </c>
      <c r="VJH22" s="498">
        <v>1</v>
      </c>
      <c r="VJI22" s="499">
        <v>1500000</v>
      </c>
      <c r="VJJ22" s="498">
        <v>1.58</v>
      </c>
      <c r="VJK22" s="498">
        <v>1</v>
      </c>
      <c r="VJL22" s="501">
        <v>6.75</v>
      </c>
      <c r="VJM22" s="486">
        <v>5.0999999999999996</v>
      </c>
      <c r="VJN22" s="452" t="s">
        <v>2691</v>
      </c>
      <c r="VJO22" s="498" t="s">
        <v>1620</v>
      </c>
      <c r="VJP22" s="498">
        <v>1</v>
      </c>
      <c r="VJQ22" s="499">
        <v>1500000</v>
      </c>
      <c r="VJR22" s="498">
        <v>1.58</v>
      </c>
      <c r="VJS22" s="498">
        <v>1</v>
      </c>
      <c r="VJT22" s="501">
        <v>6.75</v>
      </c>
      <c r="VJU22" s="486">
        <v>5.0999999999999996</v>
      </c>
      <c r="VJV22" s="452" t="s">
        <v>2691</v>
      </c>
      <c r="VJW22" s="498" t="s">
        <v>1620</v>
      </c>
      <c r="VJX22" s="498">
        <v>1</v>
      </c>
      <c r="VJY22" s="499">
        <v>1500000</v>
      </c>
      <c r="VJZ22" s="498">
        <v>1.58</v>
      </c>
      <c r="VKA22" s="498">
        <v>1</v>
      </c>
      <c r="VKB22" s="501">
        <v>6.75</v>
      </c>
      <c r="VKC22" s="486">
        <v>5.0999999999999996</v>
      </c>
      <c r="VKD22" s="452" t="s">
        <v>2691</v>
      </c>
      <c r="VKE22" s="498" t="s">
        <v>1620</v>
      </c>
      <c r="VKF22" s="498">
        <v>1</v>
      </c>
      <c r="VKG22" s="499">
        <v>1500000</v>
      </c>
      <c r="VKH22" s="498">
        <v>1.58</v>
      </c>
      <c r="VKI22" s="498">
        <v>1</v>
      </c>
      <c r="VKJ22" s="501">
        <v>6.75</v>
      </c>
      <c r="VKK22" s="486">
        <v>5.0999999999999996</v>
      </c>
      <c r="VKL22" s="452" t="s">
        <v>2691</v>
      </c>
      <c r="VKM22" s="498" t="s">
        <v>1620</v>
      </c>
      <c r="VKN22" s="498">
        <v>1</v>
      </c>
      <c r="VKO22" s="499">
        <v>1500000</v>
      </c>
      <c r="VKP22" s="498">
        <v>1.58</v>
      </c>
      <c r="VKQ22" s="498">
        <v>1</v>
      </c>
      <c r="VKR22" s="501">
        <v>6.75</v>
      </c>
      <c r="VKS22" s="486">
        <v>5.0999999999999996</v>
      </c>
      <c r="VKT22" s="452" t="s">
        <v>2691</v>
      </c>
      <c r="VKU22" s="498" t="s">
        <v>1620</v>
      </c>
      <c r="VKV22" s="498">
        <v>1</v>
      </c>
      <c r="VKW22" s="499">
        <v>1500000</v>
      </c>
      <c r="VKX22" s="498">
        <v>1.58</v>
      </c>
      <c r="VKY22" s="498">
        <v>1</v>
      </c>
      <c r="VKZ22" s="501">
        <v>6.75</v>
      </c>
      <c r="VLA22" s="486">
        <v>5.0999999999999996</v>
      </c>
      <c r="VLB22" s="452" t="s">
        <v>2691</v>
      </c>
      <c r="VLC22" s="498" t="s">
        <v>1620</v>
      </c>
      <c r="VLD22" s="498">
        <v>1</v>
      </c>
      <c r="VLE22" s="499">
        <v>1500000</v>
      </c>
      <c r="VLF22" s="498">
        <v>1.58</v>
      </c>
      <c r="VLG22" s="498">
        <v>1</v>
      </c>
      <c r="VLH22" s="501">
        <v>6.75</v>
      </c>
      <c r="VLI22" s="486">
        <v>5.0999999999999996</v>
      </c>
      <c r="VLJ22" s="452" t="s">
        <v>2691</v>
      </c>
      <c r="VLK22" s="498" t="s">
        <v>1620</v>
      </c>
      <c r="VLL22" s="498">
        <v>1</v>
      </c>
      <c r="VLM22" s="499">
        <v>1500000</v>
      </c>
      <c r="VLN22" s="498">
        <v>1.58</v>
      </c>
      <c r="VLO22" s="498">
        <v>1</v>
      </c>
      <c r="VLP22" s="501">
        <v>6.75</v>
      </c>
      <c r="VLQ22" s="486">
        <v>5.0999999999999996</v>
      </c>
      <c r="VLR22" s="452" t="s">
        <v>2691</v>
      </c>
      <c r="VLS22" s="498" t="s">
        <v>1620</v>
      </c>
      <c r="VLT22" s="498">
        <v>1</v>
      </c>
      <c r="VLU22" s="499">
        <v>1500000</v>
      </c>
      <c r="VLV22" s="498">
        <v>1.58</v>
      </c>
      <c r="VLW22" s="498">
        <v>1</v>
      </c>
      <c r="VLX22" s="501">
        <v>6.75</v>
      </c>
      <c r="VLY22" s="486">
        <v>5.0999999999999996</v>
      </c>
      <c r="VLZ22" s="452" t="s">
        <v>2691</v>
      </c>
      <c r="VMA22" s="498" t="s">
        <v>1620</v>
      </c>
      <c r="VMB22" s="498">
        <v>1</v>
      </c>
      <c r="VMC22" s="499">
        <v>1500000</v>
      </c>
      <c r="VMD22" s="498">
        <v>1.58</v>
      </c>
      <c r="VME22" s="498">
        <v>1</v>
      </c>
      <c r="VMF22" s="501">
        <v>6.75</v>
      </c>
      <c r="VMG22" s="486">
        <v>5.0999999999999996</v>
      </c>
      <c r="VMH22" s="452" t="s">
        <v>2691</v>
      </c>
      <c r="VMI22" s="498" t="s">
        <v>1620</v>
      </c>
      <c r="VMJ22" s="498">
        <v>1</v>
      </c>
      <c r="VMK22" s="499">
        <v>1500000</v>
      </c>
      <c r="VML22" s="498">
        <v>1.58</v>
      </c>
      <c r="VMM22" s="498">
        <v>1</v>
      </c>
      <c r="VMN22" s="501">
        <v>6.75</v>
      </c>
      <c r="VMO22" s="486">
        <v>5.0999999999999996</v>
      </c>
      <c r="VMP22" s="452" t="s">
        <v>2691</v>
      </c>
      <c r="VMQ22" s="498" t="s">
        <v>1620</v>
      </c>
      <c r="VMR22" s="498">
        <v>1</v>
      </c>
      <c r="VMS22" s="499">
        <v>1500000</v>
      </c>
      <c r="VMT22" s="498">
        <v>1.58</v>
      </c>
      <c r="VMU22" s="498">
        <v>1</v>
      </c>
      <c r="VMV22" s="501">
        <v>6.75</v>
      </c>
      <c r="VMW22" s="486">
        <v>5.0999999999999996</v>
      </c>
      <c r="VMX22" s="452" t="s">
        <v>2691</v>
      </c>
      <c r="VMY22" s="498" t="s">
        <v>1620</v>
      </c>
      <c r="VMZ22" s="498">
        <v>1</v>
      </c>
      <c r="VNA22" s="499">
        <v>1500000</v>
      </c>
      <c r="VNB22" s="498">
        <v>1.58</v>
      </c>
      <c r="VNC22" s="498">
        <v>1</v>
      </c>
      <c r="VND22" s="501">
        <v>6.75</v>
      </c>
      <c r="VNE22" s="486">
        <v>5.0999999999999996</v>
      </c>
      <c r="VNF22" s="452" t="s">
        <v>2691</v>
      </c>
      <c r="VNG22" s="498" t="s">
        <v>1620</v>
      </c>
      <c r="VNH22" s="498">
        <v>1</v>
      </c>
      <c r="VNI22" s="499">
        <v>1500000</v>
      </c>
      <c r="VNJ22" s="498">
        <v>1.58</v>
      </c>
      <c r="VNK22" s="498">
        <v>1</v>
      </c>
      <c r="VNL22" s="501">
        <v>6.75</v>
      </c>
      <c r="VNM22" s="486">
        <v>5.0999999999999996</v>
      </c>
      <c r="VNN22" s="452" t="s">
        <v>2691</v>
      </c>
      <c r="VNO22" s="498" t="s">
        <v>1620</v>
      </c>
      <c r="VNP22" s="498">
        <v>1</v>
      </c>
      <c r="VNQ22" s="499">
        <v>1500000</v>
      </c>
      <c r="VNR22" s="498">
        <v>1.58</v>
      </c>
      <c r="VNS22" s="498">
        <v>1</v>
      </c>
      <c r="VNT22" s="501">
        <v>6.75</v>
      </c>
      <c r="VNU22" s="486">
        <v>5.0999999999999996</v>
      </c>
      <c r="VNV22" s="452" t="s">
        <v>2691</v>
      </c>
      <c r="VNW22" s="498" t="s">
        <v>1620</v>
      </c>
      <c r="VNX22" s="498">
        <v>1</v>
      </c>
      <c r="VNY22" s="499">
        <v>1500000</v>
      </c>
      <c r="VNZ22" s="498">
        <v>1.58</v>
      </c>
      <c r="VOA22" s="498">
        <v>1</v>
      </c>
      <c r="VOB22" s="501">
        <v>6.75</v>
      </c>
      <c r="VOC22" s="486">
        <v>5.0999999999999996</v>
      </c>
      <c r="VOD22" s="452" t="s">
        <v>2691</v>
      </c>
      <c r="VOE22" s="498" t="s">
        <v>1620</v>
      </c>
      <c r="VOF22" s="498">
        <v>1</v>
      </c>
      <c r="VOG22" s="499">
        <v>1500000</v>
      </c>
      <c r="VOH22" s="498">
        <v>1.58</v>
      </c>
      <c r="VOI22" s="498">
        <v>1</v>
      </c>
      <c r="VOJ22" s="501">
        <v>6.75</v>
      </c>
      <c r="VOK22" s="486">
        <v>5.0999999999999996</v>
      </c>
      <c r="VOL22" s="452" t="s">
        <v>2691</v>
      </c>
      <c r="VOM22" s="498" t="s">
        <v>1620</v>
      </c>
      <c r="VON22" s="498">
        <v>1</v>
      </c>
      <c r="VOO22" s="499">
        <v>1500000</v>
      </c>
      <c r="VOP22" s="498">
        <v>1.58</v>
      </c>
      <c r="VOQ22" s="498">
        <v>1</v>
      </c>
      <c r="VOR22" s="501">
        <v>6.75</v>
      </c>
      <c r="VOS22" s="486">
        <v>5.0999999999999996</v>
      </c>
      <c r="VOT22" s="452" t="s">
        <v>2691</v>
      </c>
      <c r="VOU22" s="498" t="s">
        <v>1620</v>
      </c>
      <c r="VOV22" s="498">
        <v>1</v>
      </c>
      <c r="VOW22" s="499">
        <v>1500000</v>
      </c>
      <c r="VOX22" s="498">
        <v>1.58</v>
      </c>
      <c r="VOY22" s="498">
        <v>1</v>
      </c>
      <c r="VOZ22" s="501">
        <v>6.75</v>
      </c>
      <c r="VPA22" s="486">
        <v>5.0999999999999996</v>
      </c>
      <c r="VPB22" s="452" t="s">
        <v>2691</v>
      </c>
      <c r="VPC22" s="498" t="s">
        <v>1620</v>
      </c>
      <c r="VPD22" s="498">
        <v>1</v>
      </c>
      <c r="VPE22" s="499">
        <v>1500000</v>
      </c>
      <c r="VPF22" s="498">
        <v>1.58</v>
      </c>
      <c r="VPG22" s="498">
        <v>1</v>
      </c>
      <c r="VPH22" s="501">
        <v>6.75</v>
      </c>
      <c r="VPI22" s="486">
        <v>5.0999999999999996</v>
      </c>
      <c r="VPJ22" s="452" t="s">
        <v>2691</v>
      </c>
      <c r="VPK22" s="498" t="s">
        <v>1620</v>
      </c>
      <c r="VPL22" s="498">
        <v>1</v>
      </c>
      <c r="VPM22" s="499">
        <v>1500000</v>
      </c>
      <c r="VPN22" s="498">
        <v>1.58</v>
      </c>
      <c r="VPO22" s="498">
        <v>1</v>
      </c>
      <c r="VPP22" s="501">
        <v>6.75</v>
      </c>
      <c r="VPQ22" s="486">
        <v>5.0999999999999996</v>
      </c>
      <c r="VPR22" s="452" t="s">
        <v>2691</v>
      </c>
      <c r="VPS22" s="498" t="s">
        <v>1620</v>
      </c>
      <c r="VPT22" s="498">
        <v>1</v>
      </c>
      <c r="VPU22" s="499">
        <v>1500000</v>
      </c>
      <c r="VPV22" s="498">
        <v>1.58</v>
      </c>
      <c r="VPW22" s="498">
        <v>1</v>
      </c>
      <c r="VPX22" s="501">
        <v>6.75</v>
      </c>
      <c r="VPY22" s="486">
        <v>5.0999999999999996</v>
      </c>
      <c r="VPZ22" s="452" t="s">
        <v>2691</v>
      </c>
      <c r="VQA22" s="498" t="s">
        <v>1620</v>
      </c>
      <c r="VQB22" s="498">
        <v>1</v>
      </c>
      <c r="VQC22" s="499">
        <v>1500000</v>
      </c>
      <c r="VQD22" s="498">
        <v>1.58</v>
      </c>
      <c r="VQE22" s="498">
        <v>1</v>
      </c>
      <c r="VQF22" s="501">
        <v>6.75</v>
      </c>
      <c r="VQG22" s="486">
        <v>5.0999999999999996</v>
      </c>
      <c r="VQH22" s="452" t="s">
        <v>2691</v>
      </c>
      <c r="VQI22" s="498" t="s">
        <v>1620</v>
      </c>
      <c r="VQJ22" s="498">
        <v>1</v>
      </c>
      <c r="VQK22" s="499">
        <v>1500000</v>
      </c>
      <c r="VQL22" s="498">
        <v>1.58</v>
      </c>
      <c r="VQM22" s="498">
        <v>1</v>
      </c>
      <c r="VQN22" s="501">
        <v>6.75</v>
      </c>
      <c r="VQO22" s="486">
        <v>5.0999999999999996</v>
      </c>
      <c r="VQP22" s="452" t="s">
        <v>2691</v>
      </c>
      <c r="VQQ22" s="498" t="s">
        <v>1620</v>
      </c>
      <c r="VQR22" s="498">
        <v>1</v>
      </c>
      <c r="VQS22" s="499">
        <v>1500000</v>
      </c>
      <c r="VQT22" s="498">
        <v>1.58</v>
      </c>
      <c r="VQU22" s="498">
        <v>1</v>
      </c>
      <c r="VQV22" s="501">
        <v>6.75</v>
      </c>
      <c r="VQW22" s="486">
        <v>5.0999999999999996</v>
      </c>
      <c r="VQX22" s="452" t="s">
        <v>2691</v>
      </c>
      <c r="VQY22" s="498" t="s">
        <v>1620</v>
      </c>
      <c r="VQZ22" s="498">
        <v>1</v>
      </c>
      <c r="VRA22" s="499">
        <v>1500000</v>
      </c>
      <c r="VRB22" s="498">
        <v>1.58</v>
      </c>
      <c r="VRC22" s="498">
        <v>1</v>
      </c>
      <c r="VRD22" s="501">
        <v>6.75</v>
      </c>
      <c r="VRE22" s="486">
        <v>5.0999999999999996</v>
      </c>
      <c r="VRF22" s="452" t="s">
        <v>2691</v>
      </c>
      <c r="VRG22" s="498" t="s">
        <v>1620</v>
      </c>
      <c r="VRH22" s="498">
        <v>1</v>
      </c>
      <c r="VRI22" s="499">
        <v>1500000</v>
      </c>
      <c r="VRJ22" s="498">
        <v>1.58</v>
      </c>
      <c r="VRK22" s="498">
        <v>1</v>
      </c>
      <c r="VRL22" s="501">
        <v>6.75</v>
      </c>
      <c r="VRM22" s="486">
        <v>5.0999999999999996</v>
      </c>
      <c r="VRN22" s="452" t="s">
        <v>2691</v>
      </c>
      <c r="VRO22" s="498" t="s">
        <v>1620</v>
      </c>
      <c r="VRP22" s="498">
        <v>1</v>
      </c>
      <c r="VRQ22" s="499">
        <v>1500000</v>
      </c>
      <c r="VRR22" s="498">
        <v>1.58</v>
      </c>
      <c r="VRS22" s="498">
        <v>1</v>
      </c>
      <c r="VRT22" s="501">
        <v>6.75</v>
      </c>
      <c r="VRU22" s="486">
        <v>5.0999999999999996</v>
      </c>
      <c r="VRV22" s="452" t="s">
        <v>2691</v>
      </c>
      <c r="VRW22" s="498" t="s">
        <v>1620</v>
      </c>
      <c r="VRX22" s="498">
        <v>1</v>
      </c>
      <c r="VRY22" s="499">
        <v>1500000</v>
      </c>
      <c r="VRZ22" s="498">
        <v>1.58</v>
      </c>
      <c r="VSA22" s="498">
        <v>1</v>
      </c>
      <c r="VSB22" s="501">
        <v>6.75</v>
      </c>
      <c r="VSC22" s="486">
        <v>5.0999999999999996</v>
      </c>
      <c r="VSD22" s="452" t="s">
        <v>2691</v>
      </c>
      <c r="VSE22" s="498" t="s">
        <v>1620</v>
      </c>
      <c r="VSF22" s="498">
        <v>1</v>
      </c>
      <c r="VSG22" s="499">
        <v>1500000</v>
      </c>
      <c r="VSH22" s="498">
        <v>1.58</v>
      </c>
      <c r="VSI22" s="498">
        <v>1</v>
      </c>
      <c r="VSJ22" s="501">
        <v>6.75</v>
      </c>
      <c r="VSK22" s="486">
        <v>5.0999999999999996</v>
      </c>
      <c r="VSL22" s="452" t="s">
        <v>2691</v>
      </c>
      <c r="VSM22" s="498" t="s">
        <v>1620</v>
      </c>
      <c r="VSN22" s="498">
        <v>1</v>
      </c>
      <c r="VSO22" s="499">
        <v>1500000</v>
      </c>
      <c r="VSP22" s="498">
        <v>1.58</v>
      </c>
      <c r="VSQ22" s="498">
        <v>1</v>
      </c>
      <c r="VSR22" s="501">
        <v>6.75</v>
      </c>
      <c r="VSS22" s="486">
        <v>5.0999999999999996</v>
      </c>
      <c r="VST22" s="452" t="s">
        <v>2691</v>
      </c>
      <c r="VSU22" s="498" t="s">
        <v>1620</v>
      </c>
      <c r="VSV22" s="498">
        <v>1</v>
      </c>
      <c r="VSW22" s="499">
        <v>1500000</v>
      </c>
      <c r="VSX22" s="498">
        <v>1.58</v>
      </c>
      <c r="VSY22" s="498">
        <v>1</v>
      </c>
      <c r="VSZ22" s="501">
        <v>6.75</v>
      </c>
      <c r="VTA22" s="486">
        <v>5.0999999999999996</v>
      </c>
      <c r="VTB22" s="452" t="s">
        <v>2691</v>
      </c>
      <c r="VTC22" s="498" t="s">
        <v>1620</v>
      </c>
      <c r="VTD22" s="498">
        <v>1</v>
      </c>
      <c r="VTE22" s="499">
        <v>1500000</v>
      </c>
      <c r="VTF22" s="498">
        <v>1.58</v>
      </c>
      <c r="VTG22" s="498">
        <v>1</v>
      </c>
      <c r="VTH22" s="501">
        <v>6.75</v>
      </c>
      <c r="VTI22" s="486">
        <v>5.0999999999999996</v>
      </c>
      <c r="VTJ22" s="452" t="s">
        <v>2691</v>
      </c>
      <c r="VTK22" s="498" t="s">
        <v>1620</v>
      </c>
      <c r="VTL22" s="498">
        <v>1</v>
      </c>
      <c r="VTM22" s="499">
        <v>1500000</v>
      </c>
      <c r="VTN22" s="498">
        <v>1.58</v>
      </c>
      <c r="VTO22" s="498">
        <v>1</v>
      </c>
      <c r="VTP22" s="501">
        <v>6.75</v>
      </c>
      <c r="VTQ22" s="486">
        <v>5.0999999999999996</v>
      </c>
      <c r="VTR22" s="452" t="s">
        <v>2691</v>
      </c>
      <c r="VTS22" s="498" t="s">
        <v>1620</v>
      </c>
      <c r="VTT22" s="498">
        <v>1</v>
      </c>
      <c r="VTU22" s="499">
        <v>1500000</v>
      </c>
      <c r="VTV22" s="498">
        <v>1.58</v>
      </c>
      <c r="VTW22" s="498">
        <v>1</v>
      </c>
      <c r="VTX22" s="501">
        <v>6.75</v>
      </c>
      <c r="VTY22" s="486">
        <v>5.0999999999999996</v>
      </c>
      <c r="VTZ22" s="452" t="s">
        <v>2691</v>
      </c>
      <c r="VUA22" s="498" t="s">
        <v>1620</v>
      </c>
      <c r="VUB22" s="498">
        <v>1</v>
      </c>
      <c r="VUC22" s="499">
        <v>1500000</v>
      </c>
      <c r="VUD22" s="498">
        <v>1.58</v>
      </c>
      <c r="VUE22" s="498">
        <v>1</v>
      </c>
      <c r="VUF22" s="501">
        <v>6.75</v>
      </c>
      <c r="VUG22" s="486">
        <v>5.0999999999999996</v>
      </c>
      <c r="VUH22" s="452" t="s">
        <v>2691</v>
      </c>
      <c r="VUI22" s="498" t="s">
        <v>1620</v>
      </c>
      <c r="VUJ22" s="498">
        <v>1</v>
      </c>
      <c r="VUK22" s="499">
        <v>1500000</v>
      </c>
      <c r="VUL22" s="498">
        <v>1.58</v>
      </c>
      <c r="VUM22" s="498">
        <v>1</v>
      </c>
      <c r="VUN22" s="501">
        <v>6.75</v>
      </c>
      <c r="VUO22" s="486">
        <v>5.0999999999999996</v>
      </c>
      <c r="VUP22" s="452" t="s">
        <v>2691</v>
      </c>
      <c r="VUQ22" s="498" t="s">
        <v>1620</v>
      </c>
      <c r="VUR22" s="498">
        <v>1</v>
      </c>
      <c r="VUS22" s="499">
        <v>1500000</v>
      </c>
      <c r="VUT22" s="498">
        <v>1.58</v>
      </c>
      <c r="VUU22" s="498">
        <v>1</v>
      </c>
      <c r="VUV22" s="501">
        <v>6.75</v>
      </c>
      <c r="VUW22" s="486">
        <v>5.0999999999999996</v>
      </c>
      <c r="VUX22" s="452" t="s">
        <v>2691</v>
      </c>
      <c r="VUY22" s="498" t="s">
        <v>1620</v>
      </c>
      <c r="VUZ22" s="498">
        <v>1</v>
      </c>
      <c r="VVA22" s="499">
        <v>1500000</v>
      </c>
      <c r="VVB22" s="498">
        <v>1.58</v>
      </c>
      <c r="VVC22" s="498">
        <v>1</v>
      </c>
      <c r="VVD22" s="501">
        <v>6.75</v>
      </c>
      <c r="VVE22" s="486">
        <v>5.0999999999999996</v>
      </c>
      <c r="VVF22" s="452" t="s">
        <v>2691</v>
      </c>
      <c r="VVG22" s="498" t="s">
        <v>1620</v>
      </c>
      <c r="VVH22" s="498">
        <v>1</v>
      </c>
      <c r="VVI22" s="499">
        <v>1500000</v>
      </c>
      <c r="VVJ22" s="498">
        <v>1.58</v>
      </c>
      <c r="VVK22" s="498">
        <v>1</v>
      </c>
      <c r="VVL22" s="501">
        <v>6.75</v>
      </c>
      <c r="VVM22" s="486">
        <v>5.0999999999999996</v>
      </c>
      <c r="VVN22" s="452" t="s">
        <v>2691</v>
      </c>
      <c r="VVO22" s="498" t="s">
        <v>1620</v>
      </c>
      <c r="VVP22" s="498">
        <v>1</v>
      </c>
      <c r="VVQ22" s="499">
        <v>1500000</v>
      </c>
      <c r="VVR22" s="498">
        <v>1.58</v>
      </c>
      <c r="VVS22" s="498">
        <v>1</v>
      </c>
      <c r="VVT22" s="501">
        <v>6.75</v>
      </c>
      <c r="VVU22" s="486">
        <v>5.0999999999999996</v>
      </c>
      <c r="VVV22" s="452" t="s">
        <v>2691</v>
      </c>
      <c r="VVW22" s="498" t="s">
        <v>1620</v>
      </c>
      <c r="VVX22" s="498">
        <v>1</v>
      </c>
      <c r="VVY22" s="499">
        <v>1500000</v>
      </c>
      <c r="VVZ22" s="498">
        <v>1.58</v>
      </c>
      <c r="VWA22" s="498">
        <v>1</v>
      </c>
      <c r="VWB22" s="501">
        <v>6.75</v>
      </c>
      <c r="VWC22" s="486">
        <v>5.0999999999999996</v>
      </c>
      <c r="VWD22" s="452" t="s">
        <v>2691</v>
      </c>
      <c r="VWE22" s="498" t="s">
        <v>1620</v>
      </c>
      <c r="VWF22" s="498">
        <v>1</v>
      </c>
      <c r="VWG22" s="499">
        <v>1500000</v>
      </c>
      <c r="VWH22" s="498">
        <v>1.58</v>
      </c>
      <c r="VWI22" s="498">
        <v>1</v>
      </c>
      <c r="VWJ22" s="501">
        <v>6.75</v>
      </c>
      <c r="VWK22" s="486">
        <v>5.0999999999999996</v>
      </c>
      <c r="VWL22" s="452" t="s">
        <v>2691</v>
      </c>
      <c r="VWM22" s="498" t="s">
        <v>1620</v>
      </c>
      <c r="VWN22" s="498">
        <v>1</v>
      </c>
      <c r="VWO22" s="499">
        <v>1500000</v>
      </c>
      <c r="VWP22" s="498">
        <v>1.58</v>
      </c>
      <c r="VWQ22" s="498">
        <v>1</v>
      </c>
      <c r="VWR22" s="501">
        <v>6.75</v>
      </c>
      <c r="VWS22" s="486">
        <v>5.0999999999999996</v>
      </c>
      <c r="VWT22" s="452" t="s">
        <v>2691</v>
      </c>
      <c r="VWU22" s="498" t="s">
        <v>1620</v>
      </c>
      <c r="VWV22" s="498">
        <v>1</v>
      </c>
      <c r="VWW22" s="499">
        <v>1500000</v>
      </c>
      <c r="VWX22" s="498">
        <v>1.58</v>
      </c>
      <c r="VWY22" s="498">
        <v>1</v>
      </c>
      <c r="VWZ22" s="501">
        <v>6.75</v>
      </c>
      <c r="VXA22" s="486">
        <v>5.0999999999999996</v>
      </c>
      <c r="VXB22" s="452" t="s">
        <v>2691</v>
      </c>
      <c r="VXC22" s="498" t="s">
        <v>1620</v>
      </c>
      <c r="VXD22" s="498">
        <v>1</v>
      </c>
      <c r="VXE22" s="499">
        <v>1500000</v>
      </c>
      <c r="VXF22" s="498">
        <v>1.58</v>
      </c>
      <c r="VXG22" s="498">
        <v>1</v>
      </c>
      <c r="VXH22" s="501">
        <v>6.75</v>
      </c>
      <c r="VXI22" s="486">
        <v>5.0999999999999996</v>
      </c>
      <c r="VXJ22" s="452" t="s">
        <v>2691</v>
      </c>
      <c r="VXK22" s="498" t="s">
        <v>1620</v>
      </c>
      <c r="VXL22" s="498">
        <v>1</v>
      </c>
      <c r="VXM22" s="499">
        <v>1500000</v>
      </c>
      <c r="VXN22" s="498">
        <v>1.58</v>
      </c>
      <c r="VXO22" s="498">
        <v>1</v>
      </c>
      <c r="VXP22" s="501">
        <v>6.75</v>
      </c>
      <c r="VXQ22" s="486">
        <v>5.0999999999999996</v>
      </c>
      <c r="VXR22" s="452" t="s">
        <v>2691</v>
      </c>
      <c r="VXS22" s="498" t="s">
        <v>1620</v>
      </c>
      <c r="VXT22" s="498">
        <v>1</v>
      </c>
      <c r="VXU22" s="499">
        <v>1500000</v>
      </c>
      <c r="VXV22" s="498">
        <v>1.58</v>
      </c>
      <c r="VXW22" s="498">
        <v>1</v>
      </c>
      <c r="VXX22" s="501">
        <v>6.75</v>
      </c>
      <c r="VXY22" s="486">
        <v>5.0999999999999996</v>
      </c>
      <c r="VXZ22" s="452" t="s">
        <v>2691</v>
      </c>
      <c r="VYA22" s="498" t="s">
        <v>1620</v>
      </c>
      <c r="VYB22" s="498">
        <v>1</v>
      </c>
      <c r="VYC22" s="499">
        <v>1500000</v>
      </c>
      <c r="VYD22" s="498">
        <v>1.58</v>
      </c>
      <c r="VYE22" s="498">
        <v>1</v>
      </c>
      <c r="VYF22" s="501">
        <v>6.75</v>
      </c>
      <c r="VYG22" s="486">
        <v>5.0999999999999996</v>
      </c>
      <c r="VYH22" s="452" t="s">
        <v>2691</v>
      </c>
      <c r="VYI22" s="498" t="s">
        <v>1620</v>
      </c>
      <c r="VYJ22" s="498">
        <v>1</v>
      </c>
      <c r="VYK22" s="499">
        <v>1500000</v>
      </c>
      <c r="VYL22" s="498">
        <v>1.58</v>
      </c>
      <c r="VYM22" s="498">
        <v>1</v>
      </c>
      <c r="VYN22" s="501">
        <v>6.75</v>
      </c>
      <c r="VYO22" s="486">
        <v>5.0999999999999996</v>
      </c>
      <c r="VYP22" s="452" t="s">
        <v>2691</v>
      </c>
      <c r="VYQ22" s="498" t="s">
        <v>1620</v>
      </c>
      <c r="VYR22" s="498">
        <v>1</v>
      </c>
      <c r="VYS22" s="499">
        <v>1500000</v>
      </c>
      <c r="VYT22" s="498">
        <v>1.58</v>
      </c>
      <c r="VYU22" s="498">
        <v>1</v>
      </c>
      <c r="VYV22" s="501">
        <v>6.75</v>
      </c>
      <c r="VYW22" s="486">
        <v>5.0999999999999996</v>
      </c>
      <c r="VYX22" s="452" t="s">
        <v>2691</v>
      </c>
      <c r="VYY22" s="498" t="s">
        <v>1620</v>
      </c>
      <c r="VYZ22" s="498">
        <v>1</v>
      </c>
      <c r="VZA22" s="499">
        <v>1500000</v>
      </c>
      <c r="VZB22" s="498">
        <v>1.58</v>
      </c>
      <c r="VZC22" s="498">
        <v>1</v>
      </c>
      <c r="VZD22" s="501">
        <v>6.75</v>
      </c>
      <c r="VZE22" s="486">
        <v>5.0999999999999996</v>
      </c>
      <c r="VZF22" s="452" t="s">
        <v>2691</v>
      </c>
      <c r="VZG22" s="498" t="s">
        <v>1620</v>
      </c>
      <c r="VZH22" s="498">
        <v>1</v>
      </c>
      <c r="VZI22" s="499">
        <v>1500000</v>
      </c>
      <c r="VZJ22" s="498">
        <v>1.58</v>
      </c>
      <c r="VZK22" s="498">
        <v>1</v>
      </c>
      <c r="VZL22" s="501">
        <v>6.75</v>
      </c>
      <c r="VZM22" s="486">
        <v>5.0999999999999996</v>
      </c>
      <c r="VZN22" s="452" t="s">
        <v>2691</v>
      </c>
      <c r="VZO22" s="498" t="s">
        <v>1620</v>
      </c>
      <c r="VZP22" s="498">
        <v>1</v>
      </c>
      <c r="VZQ22" s="499">
        <v>1500000</v>
      </c>
      <c r="VZR22" s="498">
        <v>1.58</v>
      </c>
      <c r="VZS22" s="498">
        <v>1</v>
      </c>
      <c r="VZT22" s="501">
        <v>6.75</v>
      </c>
      <c r="VZU22" s="486">
        <v>5.0999999999999996</v>
      </c>
      <c r="VZV22" s="452" t="s">
        <v>2691</v>
      </c>
      <c r="VZW22" s="498" t="s">
        <v>1620</v>
      </c>
      <c r="VZX22" s="498">
        <v>1</v>
      </c>
      <c r="VZY22" s="499">
        <v>1500000</v>
      </c>
      <c r="VZZ22" s="498">
        <v>1.58</v>
      </c>
      <c r="WAA22" s="498">
        <v>1</v>
      </c>
      <c r="WAB22" s="501">
        <v>6.75</v>
      </c>
      <c r="WAC22" s="486">
        <v>5.0999999999999996</v>
      </c>
      <c r="WAD22" s="452" t="s">
        <v>2691</v>
      </c>
      <c r="WAE22" s="498" t="s">
        <v>1620</v>
      </c>
      <c r="WAF22" s="498">
        <v>1</v>
      </c>
      <c r="WAG22" s="499">
        <v>1500000</v>
      </c>
      <c r="WAH22" s="498">
        <v>1.58</v>
      </c>
      <c r="WAI22" s="498">
        <v>1</v>
      </c>
      <c r="WAJ22" s="501">
        <v>6.75</v>
      </c>
      <c r="WAK22" s="486">
        <v>5.0999999999999996</v>
      </c>
      <c r="WAL22" s="452" t="s">
        <v>2691</v>
      </c>
      <c r="WAM22" s="498" t="s">
        <v>1620</v>
      </c>
      <c r="WAN22" s="498">
        <v>1</v>
      </c>
      <c r="WAO22" s="499">
        <v>1500000</v>
      </c>
      <c r="WAP22" s="498">
        <v>1.58</v>
      </c>
      <c r="WAQ22" s="498">
        <v>1</v>
      </c>
      <c r="WAR22" s="501">
        <v>6.75</v>
      </c>
      <c r="WAS22" s="486">
        <v>5.0999999999999996</v>
      </c>
      <c r="WAT22" s="452" t="s">
        <v>2691</v>
      </c>
      <c r="WAU22" s="498" t="s">
        <v>1620</v>
      </c>
      <c r="WAV22" s="498">
        <v>1</v>
      </c>
      <c r="WAW22" s="499">
        <v>1500000</v>
      </c>
      <c r="WAX22" s="498">
        <v>1.58</v>
      </c>
      <c r="WAY22" s="498">
        <v>1</v>
      </c>
      <c r="WAZ22" s="501">
        <v>6.75</v>
      </c>
      <c r="WBA22" s="486">
        <v>5.0999999999999996</v>
      </c>
      <c r="WBB22" s="452" t="s">
        <v>2691</v>
      </c>
      <c r="WBC22" s="498" t="s">
        <v>1620</v>
      </c>
      <c r="WBD22" s="498">
        <v>1</v>
      </c>
      <c r="WBE22" s="499">
        <v>1500000</v>
      </c>
      <c r="WBF22" s="498">
        <v>1.58</v>
      </c>
      <c r="WBG22" s="498">
        <v>1</v>
      </c>
      <c r="WBH22" s="501">
        <v>6.75</v>
      </c>
      <c r="WBI22" s="486">
        <v>5.0999999999999996</v>
      </c>
      <c r="WBJ22" s="452" t="s">
        <v>2691</v>
      </c>
      <c r="WBK22" s="498" t="s">
        <v>1620</v>
      </c>
      <c r="WBL22" s="498">
        <v>1</v>
      </c>
      <c r="WBM22" s="499">
        <v>1500000</v>
      </c>
      <c r="WBN22" s="498">
        <v>1.58</v>
      </c>
      <c r="WBO22" s="498">
        <v>1</v>
      </c>
      <c r="WBP22" s="501">
        <v>6.75</v>
      </c>
      <c r="WBQ22" s="486">
        <v>5.0999999999999996</v>
      </c>
      <c r="WBR22" s="452" t="s">
        <v>2691</v>
      </c>
      <c r="WBS22" s="498" t="s">
        <v>1620</v>
      </c>
      <c r="WBT22" s="498">
        <v>1</v>
      </c>
      <c r="WBU22" s="499">
        <v>1500000</v>
      </c>
      <c r="WBV22" s="498">
        <v>1.58</v>
      </c>
      <c r="WBW22" s="498">
        <v>1</v>
      </c>
      <c r="WBX22" s="501">
        <v>6.75</v>
      </c>
      <c r="WBY22" s="486">
        <v>5.0999999999999996</v>
      </c>
      <c r="WBZ22" s="452" t="s">
        <v>2691</v>
      </c>
      <c r="WCA22" s="498" t="s">
        <v>1620</v>
      </c>
      <c r="WCB22" s="498">
        <v>1</v>
      </c>
      <c r="WCC22" s="499">
        <v>1500000</v>
      </c>
      <c r="WCD22" s="498">
        <v>1.58</v>
      </c>
      <c r="WCE22" s="498">
        <v>1</v>
      </c>
      <c r="WCF22" s="501">
        <v>6.75</v>
      </c>
      <c r="WCG22" s="486">
        <v>5.0999999999999996</v>
      </c>
      <c r="WCH22" s="452" t="s">
        <v>2691</v>
      </c>
      <c r="WCI22" s="498" t="s">
        <v>1620</v>
      </c>
      <c r="WCJ22" s="498">
        <v>1</v>
      </c>
      <c r="WCK22" s="499">
        <v>1500000</v>
      </c>
      <c r="WCL22" s="498">
        <v>1.58</v>
      </c>
      <c r="WCM22" s="498">
        <v>1</v>
      </c>
      <c r="WCN22" s="501">
        <v>6.75</v>
      </c>
      <c r="WCO22" s="486">
        <v>5.0999999999999996</v>
      </c>
      <c r="WCP22" s="452" t="s">
        <v>2691</v>
      </c>
      <c r="WCQ22" s="498" t="s">
        <v>1620</v>
      </c>
      <c r="WCR22" s="498">
        <v>1</v>
      </c>
      <c r="WCS22" s="499">
        <v>1500000</v>
      </c>
      <c r="WCT22" s="498">
        <v>1.58</v>
      </c>
      <c r="WCU22" s="498">
        <v>1</v>
      </c>
      <c r="WCV22" s="501">
        <v>6.75</v>
      </c>
      <c r="WCW22" s="486">
        <v>5.0999999999999996</v>
      </c>
      <c r="WCX22" s="452" t="s">
        <v>2691</v>
      </c>
      <c r="WCY22" s="498" t="s">
        <v>1620</v>
      </c>
      <c r="WCZ22" s="498">
        <v>1</v>
      </c>
      <c r="WDA22" s="499">
        <v>1500000</v>
      </c>
      <c r="WDB22" s="498">
        <v>1.58</v>
      </c>
      <c r="WDC22" s="498">
        <v>1</v>
      </c>
      <c r="WDD22" s="501">
        <v>6.75</v>
      </c>
      <c r="WDE22" s="486">
        <v>5.0999999999999996</v>
      </c>
      <c r="WDF22" s="452" t="s">
        <v>2691</v>
      </c>
      <c r="WDG22" s="498" t="s">
        <v>1620</v>
      </c>
      <c r="WDH22" s="498">
        <v>1</v>
      </c>
      <c r="WDI22" s="499">
        <v>1500000</v>
      </c>
      <c r="WDJ22" s="498">
        <v>1.58</v>
      </c>
      <c r="WDK22" s="498">
        <v>1</v>
      </c>
      <c r="WDL22" s="501">
        <v>6.75</v>
      </c>
      <c r="WDM22" s="486">
        <v>5.0999999999999996</v>
      </c>
      <c r="WDN22" s="452" t="s">
        <v>2691</v>
      </c>
      <c r="WDO22" s="498" t="s">
        <v>1620</v>
      </c>
      <c r="WDP22" s="498">
        <v>1</v>
      </c>
      <c r="WDQ22" s="499">
        <v>1500000</v>
      </c>
      <c r="WDR22" s="498">
        <v>1.58</v>
      </c>
      <c r="WDS22" s="498">
        <v>1</v>
      </c>
      <c r="WDT22" s="501">
        <v>6.75</v>
      </c>
      <c r="WDU22" s="486">
        <v>5.0999999999999996</v>
      </c>
      <c r="WDV22" s="452" t="s">
        <v>2691</v>
      </c>
      <c r="WDW22" s="498" t="s">
        <v>1620</v>
      </c>
      <c r="WDX22" s="498">
        <v>1</v>
      </c>
      <c r="WDY22" s="499">
        <v>1500000</v>
      </c>
      <c r="WDZ22" s="498">
        <v>1.58</v>
      </c>
      <c r="WEA22" s="498">
        <v>1</v>
      </c>
      <c r="WEB22" s="501">
        <v>6.75</v>
      </c>
      <c r="WEC22" s="486">
        <v>5.0999999999999996</v>
      </c>
      <c r="WED22" s="452" t="s">
        <v>2691</v>
      </c>
      <c r="WEE22" s="498" t="s">
        <v>1620</v>
      </c>
      <c r="WEF22" s="498">
        <v>1</v>
      </c>
      <c r="WEG22" s="499">
        <v>1500000</v>
      </c>
      <c r="WEH22" s="498">
        <v>1.58</v>
      </c>
      <c r="WEI22" s="498">
        <v>1</v>
      </c>
      <c r="WEJ22" s="501">
        <v>6.75</v>
      </c>
      <c r="WEK22" s="486">
        <v>5.0999999999999996</v>
      </c>
      <c r="WEL22" s="452" t="s">
        <v>2691</v>
      </c>
      <c r="WEM22" s="498" t="s">
        <v>1620</v>
      </c>
      <c r="WEN22" s="498">
        <v>1</v>
      </c>
      <c r="WEO22" s="499">
        <v>1500000</v>
      </c>
      <c r="WEP22" s="498">
        <v>1.58</v>
      </c>
      <c r="WEQ22" s="498">
        <v>1</v>
      </c>
      <c r="WER22" s="501">
        <v>6.75</v>
      </c>
      <c r="WES22" s="486">
        <v>5.0999999999999996</v>
      </c>
      <c r="WET22" s="452" t="s">
        <v>2691</v>
      </c>
      <c r="WEU22" s="498" t="s">
        <v>1620</v>
      </c>
      <c r="WEV22" s="498">
        <v>1</v>
      </c>
      <c r="WEW22" s="499">
        <v>1500000</v>
      </c>
      <c r="WEX22" s="498">
        <v>1.58</v>
      </c>
      <c r="WEY22" s="498">
        <v>1</v>
      </c>
      <c r="WEZ22" s="501">
        <v>6.75</v>
      </c>
      <c r="WFA22" s="486">
        <v>5.0999999999999996</v>
      </c>
      <c r="WFB22" s="452" t="s">
        <v>2691</v>
      </c>
      <c r="WFC22" s="498" t="s">
        <v>1620</v>
      </c>
      <c r="WFD22" s="498">
        <v>1</v>
      </c>
      <c r="WFE22" s="499">
        <v>1500000</v>
      </c>
      <c r="WFF22" s="498">
        <v>1.58</v>
      </c>
      <c r="WFG22" s="498">
        <v>1</v>
      </c>
      <c r="WFH22" s="501">
        <v>6.75</v>
      </c>
      <c r="WFI22" s="486">
        <v>5.0999999999999996</v>
      </c>
      <c r="WFJ22" s="452" t="s">
        <v>2691</v>
      </c>
      <c r="WFK22" s="498" t="s">
        <v>1620</v>
      </c>
      <c r="WFL22" s="498">
        <v>1</v>
      </c>
      <c r="WFM22" s="499">
        <v>1500000</v>
      </c>
      <c r="WFN22" s="498">
        <v>1.58</v>
      </c>
      <c r="WFO22" s="498">
        <v>1</v>
      </c>
      <c r="WFP22" s="501">
        <v>6.75</v>
      </c>
      <c r="WFQ22" s="486">
        <v>5.0999999999999996</v>
      </c>
      <c r="WFR22" s="452" t="s">
        <v>2691</v>
      </c>
      <c r="WFS22" s="498" t="s">
        <v>1620</v>
      </c>
      <c r="WFT22" s="498">
        <v>1</v>
      </c>
      <c r="WFU22" s="499">
        <v>1500000</v>
      </c>
      <c r="WFV22" s="498">
        <v>1.58</v>
      </c>
      <c r="WFW22" s="498">
        <v>1</v>
      </c>
      <c r="WFX22" s="501">
        <v>6.75</v>
      </c>
      <c r="WFY22" s="486">
        <v>5.0999999999999996</v>
      </c>
      <c r="WFZ22" s="452" t="s">
        <v>2691</v>
      </c>
      <c r="WGA22" s="498" t="s">
        <v>1620</v>
      </c>
      <c r="WGB22" s="498">
        <v>1</v>
      </c>
      <c r="WGC22" s="499">
        <v>1500000</v>
      </c>
      <c r="WGD22" s="498">
        <v>1.58</v>
      </c>
      <c r="WGE22" s="498">
        <v>1</v>
      </c>
      <c r="WGF22" s="501">
        <v>6.75</v>
      </c>
      <c r="WGG22" s="486">
        <v>5.0999999999999996</v>
      </c>
      <c r="WGH22" s="452" t="s">
        <v>2691</v>
      </c>
      <c r="WGI22" s="498" t="s">
        <v>1620</v>
      </c>
      <c r="WGJ22" s="498">
        <v>1</v>
      </c>
      <c r="WGK22" s="499">
        <v>1500000</v>
      </c>
      <c r="WGL22" s="498">
        <v>1.58</v>
      </c>
      <c r="WGM22" s="498">
        <v>1</v>
      </c>
      <c r="WGN22" s="501">
        <v>6.75</v>
      </c>
      <c r="WGO22" s="486">
        <v>5.0999999999999996</v>
      </c>
      <c r="WGP22" s="452" t="s">
        <v>2691</v>
      </c>
      <c r="WGQ22" s="498" t="s">
        <v>1620</v>
      </c>
      <c r="WGR22" s="498">
        <v>1</v>
      </c>
      <c r="WGS22" s="499">
        <v>1500000</v>
      </c>
      <c r="WGT22" s="498">
        <v>1.58</v>
      </c>
      <c r="WGU22" s="498">
        <v>1</v>
      </c>
      <c r="WGV22" s="501">
        <v>6.75</v>
      </c>
      <c r="WGW22" s="486">
        <v>5.0999999999999996</v>
      </c>
      <c r="WGX22" s="452" t="s">
        <v>2691</v>
      </c>
      <c r="WGY22" s="498" t="s">
        <v>1620</v>
      </c>
      <c r="WGZ22" s="498">
        <v>1</v>
      </c>
      <c r="WHA22" s="499">
        <v>1500000</v>
      </c>
      <c r="WHB22" s="498">
        <v>1.58</v>
      </c>
      <c r="WHC22" s="498">
        <v>1</v>
      </c>
      <c r="WHD22" s="501">
        <v>6.75</v>
      </c>
      <c r="WHE22" s="486">
        <v>5.0999999999999996</v>
      </c>
      <c r="WHF22" s="452" t="s">
        <v>2691</v>
      </c>
      <c r="WHG22" s="498" t="s">
        <v>1620</v>
      </c>
      <c r="WHH22" s="498">
        <v>1</v>
      </c>
      <c r="WHI22" s="499">
        <v>1500000</v>
      </c>
      <c r="WHJ22" s="498">
        <v>1.58</v>
      </c>
      <c r="WHK22" s="498">
        <v>1</v>
      </c>
      <c r="WHL22" s="501">
        <v>6.75</v>
      </c>
      <c r="WHM22" s="486">
        <v>5.0999999999999996</v>
      </c>
      <c r="WHN22" s="452" t="s">
        <v>2691</v>
      </c>
      <c r="WHO22" s="498" t="s">
        <v>1620</v>
      </c>
      <c r="WHP22" s="498">
        <v>1</v>
      </c>
      <c r="WHQ22" s="499">
        <v>1500000</v>
      </c>
      <c r="WHR22" s="498">
        <v>1.58</v>
      </c>
      <c r="WHS22" s="498">
        <v>1</v>
      </c>
      <c r="WHT22" s="501">
        <v>6.75</v>
      </c>
      <c r="WHU22" s="486">
        <v>5.0999999999999996</v>
      </c>
      <c r="WHV22" s="452" t="s">
        <v>2691</v>
      </c>
      <c r="WHW22" s="498" t="s">
        <v>1620</v>
      </c>
      <c r="WHX22" s="498">
        <v>1</v>
      </c>
      <c r="WHY22" s="499">
        <v>1500000</v>
      </c>
      <c r="WHZ22" s="498">
        <v>1.58</v>
      </c>
      <c r="WIA22" s="498">
        <v>1</v>
      </c>
      <c r="WIB22" s="501">
        <v>6.75</v>
      </c>
      <c r="WIC22" s="486">
        <v>5.0999999999999996</v>
      </c>
      <c r="WID22" s="452" t="s">
        <v>2691</v>
      </c>
      <c r="WIE22" s="498" t="s">
        <v>1620</v>
      </c>
      <c r="WIF22" s="498">
        <v>1</v>
      </c>
      <c r="WIG22" s="499">
        <v>1500000</v>
      </c>
      <c r="WIH22" s="498">
        <v>1.58</v>
      </c>
      <c r="WII22" s="498">
        <v>1</v>
      </c>
      <c r="WIJ22" s="501">
        <v>6.75</v>
      </c>
      <c r="WIK22" s="486">
        <v>5.0999999999999996</v>
      </c>
      <c r="WIL22" s="452" t="s">
        <v>2691</v>
      </c>
      <c r="WIM22" s="498" t="s">
        <v>1620</v>
      </c>
      <c r="WIN22" s="498">
        <v>1</v>
      </c>
      <c r="WIO22" s="499">
        <v>1500000</v>
      </c>
      <c r="WIP22" s="498">
        <v>1.58</v>
      </c>
      <c r="WIQ22" s="498">
        <v>1</v>
      </c>
      <c r="WIR22" s="501">
        <v>6.75</v>
      </c>
      <c r="WIS22" s="486">
        <v>5.0999999999999996</v>
      </c>
      <c r="WIT22" s="452" t="s">
        <v>2691</v>
      </c>
      <c r="WIU22" s="498" t="s">
        <v>1620</v>
      </c>
      <c r="WIV22" s="498">
        <v>1</v>
      </c>
      <c r="WIW22" s="499">
        <v>1500000</v>
      </c>
      <c r="WIX22" s="498">
        <v>1.58</v>
      </c>
      <c r="WIY22" s="498">
        <v>1</v>
      </c>
      <c r="WIZ22" s="501">
        <v>6.75</v>
      </c>
      <c r="WJA22" s="486">
        <v>5.0999999999999996</v>
      </c>
      <c r="WJB22" s="452" t="s">
        <v>2691</v>
      </c>
      <c r="WJC22" s="498" t="s">
        <v>1620</v>
      </c>
      <c r="WJD22" s="498">
        <v>1</v>
      </c>
      <c r="WJE22" s="499">
        <v>1500000</v>
      </c>
      <c r="WJF22" s="498">
        <v>1.58</v>
      </c>
      <c r="WJG22" s="498">
        <v>1</v>
      </c>
      <c r="WJH22" s="501">
        <v>6.75</v>
      </c>
      <c r="WJI22" s="486">
        <v>5.0999999999999996</v>
      </c>
      <c r="WJJ22" s="452" t="s">
        <v>2691</v>
      </c>
      <c r="WJK22" s="498" t="s">
        <v>1620</v>
      </c>
      <c r="WJL22" s="498">
        <v>1</v>
      </c>
      <c r="WJM22" s="499">
        <v>1500000</v>
      </c>
      <c r="WJN22" s="498">
        <v>1.58</v>
      </c>
      <c r="WJO22" s="498">
        <v>1</v>
      </c>
      <c r="WJP22" s="501">
        <v>6.75</v>
      </c>
      <c r="WJQ22" s="486">
        <v>5.0999999999999996</v>
      </c>
      <c r="WJR22" s="452" t="s">
        <v>2691</v>
      </c>
      <c r="WJS22" s="498" t="s">
        <v>1620</v>
      </c>
      <c r="WJT22" s="498">
        <v>1</v>
      </c>
      <c r="WJU22" s="499">
        <v>1500000</v>
      </c>
      <c r="WJV22" s="498">
        <v>1.58</v>
      </c>
      <c r="WJW22" s="498">
        <v>1</v>
      </c>
      <c r="WJX22" s="501">
        <v>6.75</v>
      </c>
      <c r="WJY22" s="486">
        <v>5.0999999999999996</v>
      </c>
      <c r="WJZ22" s="452" t="s">
        <v>2691</v>
      </c>
      <c r="WKA22" s="498" t="s">
        <v>1620</v>
      </c>
      <c r="WKB22" s="498">
        <v>1</v>
      </c>
      <c r="WKC22" s="499">
        <v>1500000</v>
      </c>
      <c r="WKD22" s="498">
        <v>1.58</v>
      </c>
      <c r="WKE22" s="498">
        <v>1</v>
      </c>
      <c r="WKF22" s="501">
        <v>6.75</v>
      </c>
      <c r="WKG22" s="486">
        <v>5.0999999999999996</v>
      </c>
      <c r="WKH22" s="452" t="s">
        <v>2691</v>
      </c>
      <c r="WKI22" s="498" t="s">
        <v>1620</v>
      </c>
      <c r="WKJ22" s="498">
        <v>1</v>
      </c>
      <c r="WKK22" s="499">
        <v>1500000</v>
      </c>
      <c r="WKL22" s="498">
        <v>1.58</v>
      </c>
      <c r="WKM22" s="498">
        <v>1</v>
      </c>
      <c r="WKN22" s="501">
        <v>6.75</v>
      </c>
      <c r="WKO22" s="486">
        <v>5.0999999999999996</v>
      </c>
      <c r="WKP22" s="452" t="s">
        <v>2691</v>
      </c>
      <c r="WKQ22" s="498" t="s">
        <v>1620</v>
      </c>
      <c r="WKR22" s="498">
        <v>1</v>
      </c>
      <c r="WKS22" s="499">
        <v>1500000</v>
      </c>
      <c r="WKT22" s="498">
        <v>1.58</v>
      </c>
      <c r="WKU22" s="498">
        <v>1</v>
      </c>
      <c r="WKV22" s="501">
        <v>6.75</v>
      </c>
      <c r="WKW22" s="486">
        <v>5.0999999999999996</v>
      </c>
      <c r="WKX22" s="452" t="s">
        <v>2691</v>
      </c>
      <c r="WKY22" s="498" t="s">
        <v>1620</v>
      </c>
      <c r="WKZ22" s="498">
        <v>1</v>
      </c>
      <c r="WLA22" s="499">
        <v>1500000</v>
      </c>
      <c r="WLB22" s="498">
        <v>1.58</v>
      </c>
      <c r="WLC22" s="498">
        <v>1</v>
      </c>
      <c r="WLD22" s="501">
        <v>6.75</v>
      </c>
      <c r="WLE22" s="486">
        <v>5.0999999999999996</v>
      </c>
      <c r="WLF22" s="452" t="s">
        <v>2691</v>
      </c>
      <c r="WLG22" s="498" t="s">
        <v>1620</v>
      </c>
      <c r="WLH22" s="498">
        <v>1</v>
      </c>
      <c r="WLI22" s="499">
        <v>1500000</v>
      </c>
      <c r="WLJ22" s="498">
        <v>1.58</v>
      </c>
      <c r="WLK22" s="498">
        <v>1</v>
      </c>
      <c r="WLL22" s="501">
        <v>6.75</v>
      </c>
      <c r="WLM22" s="486">
        <v>5.0999999999999996</v>
      </c>
      <c r="WLN22" s="452" t="s">
        <v>2691</v>
      </c>
      <c r="WLO22" s="498" t="s">
        <v>1620</v>
      </c>
      <c r="WLP22" s="498">
        <v>1</v>
      </c>
      <c r="WLQ22" s="499">
        <v>1500000</v>
      </c>
      <c r="WLR22" s="498">
        <v>1.58</v>
      </c>
      <c r="WLS22" s="498">
        <v>1</v>
      </c>
      <c r="WLT22" s="501">
        <v>6.75</v>
      </c>
      <c r="WLU22" s="486">
        <v>5.0999999999999996</v>
      </c>
      <c r="WLV22" s="452" t="s">
        <v>2691</v>
      </c>
      <c r="WLW22" s="498" t="s">
        <v>1620</v>
      </c>
      <c r="WLX22" s="498">
        <v>1</v>
      </c>
      <c r="WLY22" s="499">
        <v>1500000</v>
      </c>
      <c r="WLZ22" s="498">
        <v>1.58</v>
      </c>
      <c r="WMA22" s="498">
        <v>1</v>
      </c>
      <c r="WMB22" s="501">
        <v>6.75</v>
      </c>
      <c r="WMC22" s="486">
        <v>5.0999999999999996</v>
      </c>
      <c r="WMD22" s="452" t="s">
        <v>2691</v>
      </c>
      <c r="WME22" s="498" t="s">
        <v>1620</v>
      </c>
      <c r="WMF22" s="498">
        <v>1</v>
      </c>
      <c r="WMG22" s="499">
        <v>1500000</v>
      </c>
      <c r="WMH22" s="498">
        <v>1.58</v>
      </c>
      <c r="WMI22" s="498">
        <v>1</v>
      </c>
      <c r="WMJ22" s="501">
        <v>6.75</v>
      </c>
      <c r="WMK22" s="486">
        <v>5.0999999999999996</v>
      </c>
      <c r="WML22" s="452" t="s">
        <v>2691</v>
      </c>
      <c r="WMM22" s="498" t="s">
        <v>1620</v>
      </c>
      <c r="WMN22" s="498">
        <v>1</v>
      </c>
      <c r="WMO22" s="499">
        <v>1500000</v>
      </c>
      <c r="WMP22" s="498">
        <v>1.58</v>
      </c>
      <c r="WMQ22" s="498">
        <v>1</v>
      </c>
      <c r="WMR22" s="501">
        <v>6.75</v>
      </c>
      <c r="WMS22" s="486">
        <v>5.0999999999999996</v>
      </c>
      <c r="WMT22" s="452" t="s">
        <v>2691</v>
      </c>
      <c r="WMU22" s="498" t="s">
        <v>1620</v>
      </c>
      <c r="WMV22" s="498">
        <v>1</v>
      </c>
      <c r="WMW22" s="499">
        <v>1500000</v>
      </c>
      <c r="WMX22" s="498">
        <v>1.58</v>
      </c>
      <c r="WMY22" s="498">
        <v>1</v>
      </c>
      <c r="WMZ22" s="501">
        <v>6.75</v>
      </c>
      <c r="WNA22" s="486">
        <v>5.0999999999999996</v>
      </c>
      <c r="WNB22" s="452" t="s">
        <v>2691</v>
      </c>
      <c r="WNC22" s="498" t="s">
        <v>1620</v>
      </c>
      <c r="WND22" s="498">
        <v>1</v>
      </c>
      <c r="WNE22" s="499">
        <v>1500000</v>
      </c>
      <c r="WNF22" s="498">
        <v>1.58</v>
      </c>
      <c r="WNG22" s="498">
        <v>1</v>
      </c>
      <c r="WNH22" s="501">
        <v>6.75</v>
      </c>
      <c r="WNI22" s="486">
        <v>5.0999999999999996</v>
      </c>
      <c r="WNJ22" s="452" t="s">
        <v>2691</v>
      </c>
      <c r="WNK22" s="498" t="s">
        <v>1620</v>
      </c>
      <c r="WNL22" s="498">
        <v>1</v>
      </c>
      <c r="WNM22" s="499">
        <v>1500000</v>
      </c>
      <c r="WNN22" s="498">
        <v>1.58</v>
      </c>
      <c r="WNO22" s="498">
        <v>1</v>
      </c>
      <c r="WNP22" s="501">
        <v>6.75</v>
      </c>
      <c r="WNQ22" s="486">
        <v>5.0999999999999996</v>
      </c>
      <c r="WNR22" s="452" t="s">
        <v>2691</v>
      </c>
      <c r="WNS22" s="498" t="s">
        <v>1620</v>
      </c>
      <c r="WNT22" s="498">
        <v>1</v>
      </c>
      <c r="WNU22" s="499">
        <v>1500000</v>
      </c>
      <c r="WNV22" s="498">
        <v>1.58</v>
      </c>
      <c r="WNW22" s="498">
        <v>1</v>
      </c>
      <c r="WNX22" s="501">
        <v>6.75</v>
      </c>
      <c r="WNY22" s="486">
        <v>5.0999999999999996</v>
      </c>
      <c r="WNZ22" s="452" t="s">
        <v>2691</v>
      </c>
      <c r="WOA22" s="498" t="s">
        <v>1620</v>
      </c>
      <c r="WOB22" s="498">
        <v>1</v>
      </c>
      <c r="WOC22" s="499">
        <v>1500000</v>
      </c>
      <c r="WOD22" s="498">
        <v>1.58</v>
      </c>
      <c r="WOE22" s="498">
        <v>1</v>
      </c>
      <c r="WOF22" s="501">
        <v>6.75</v>
      </c>
      <c r="WOG22" s="486">
        <v>5.0999999999999996</v>
      </c>
      <c r="WOH22" s="452" t="s">
        <v>2691</v>
      </c>
      <c r="WOI22" s="498" t="s">
        <v>1620</v>
      </c>
      <c r="WOJ22" s="498">
        <v>1</v>
      </c>
      <c r="WOK22" s="499">
        <v>1500000</v>
      </c>
      <c r="WOL22" s="498">
        <v>1.58</v>
      </c>
      <c r="WOM22" s="498">
        <v>1</v>
      </c>
      <c r="WON22" s="501">
        <v>6.75</v>
      </c>
      <c r="WOO22" s="486">
        <v>5.0999999999999996</v>
      </c>
      <c r="WOP22" s="452" t="s">
        <v>2691</v>
      </c>
      <c r="WOQ22" s="498" t="s">
        <v>1620</v>
      </c>
      <c r="WOR22" s="498">
        <v>1</v>
      </c>
      <c r="WOS22" s="499">
        <v>1500000</v>
      </c>
      <c r="WOT22" s="498">
        <v>1.58</v>
      </c>
      <c r="WOU22" s="498">
        <v>1</v>
      </c>
      <c r="WOV22" s="501">
        <v>6.75</v>
      </c>
      <c r="WOW22" s="486">
        <v>5.0999999999999996</v>
      </c>
      <c r="WOX22" s="452" t="s">
        <v>2691</v>
      </c>
      <c r="WOY22" s="498" t="s">
        <v>1620</v>
      </c>
      <c r="WOZ22" s="498">
        <v>1</v>
      </c>
      <c r="WPA22" s="499">
        <v>1500000</v>
      </c>
      <c r="WPB22" s="498">
        <v>1.58</v>
      </c>
      <c r="WPC22" s="498">
        <v>1</v>
      </c>
      <c r="WPD22" s="501">
        <v>6.75</v>
      </c>
      <c r="WPE22" s="486">
        <v>5.0999999999999996</v>
      </c>
      <c r="WPF22" s="452" t="s">
        <v>2691</v>
      </c>
      <c r="WPG22" s="498" t="s">
        <v>1620</v>
      </c>
      <c r="WPH22" s="498">
        <v>1</v>
      </c>
      <c r="WPI22" s="499">
        <v>1500000</v>
      </c>
      <c r="WPJ22" s="498">
        <v>1.58</v>
      </c>
      <c r="WPK22" s="498">
        <v>1</v>
      </c>
      <c r="WPL22" s="501">
        <v>6.75</v>
      </c>
      <c r="WPM22" s="486">
        <v>5.0999999999999996</v>
      </c>
      <c r="WPN22" s="452" t="s">
        <v>2691</v>
      </c>
      <c r="WPO22" s="498" t="s">
        <v>1620</v>
      </c>
      <c r="WPP22" s="498">
        <v>1</v>
      </c>
      <c r="WPQ22" s="499">
        <v>1500000</v>
      </c>
      <c r="WPR22" s="498">
        <v>1.58</v>
      </c>
      <c r="WPS22" s="498">
        <v>1</v>
      </c>
      <c r="WPT22" s="501">
        <v>6.75</v>
      </c>
      <c r="WPU22" s="486">
        <v>5.0999999999999996</v>
      </c>
      <c r="WPV22" s="452" t="s">
        <v>2691</v>
      </c>
      <c r="WPW22" s="498" t="s">
        <v>1620</v>
      </c>
      <c r="WPX22" s="498">
        <v>1</v>
      </c>
      <c r="WPY22" s="499">
        <v>1500000</v>
      </c>
      <c r="WPZ22" s="498">
        <v>1.58</v>
      </c>
      <c r="WQA22" s="498">
        <v>1</v>
      </c>
      <c r="WQB22" s="501">
        <v>6.75</v>
      </c>
      <c r="WQC22" s="486">
        <v>5.0999999999999996</v>
      </c>
      <c r="WQD22" s="452" t="s">
        <v>2691</v>
      </c>
      <c r="WQE22" s="498" t="s">
        <v>1620</v>
      </c>
      <c r="WQF22" s="498">
        <v>1</v>
      </c>
      <c r="WQG22" s="499">
        <v>1500000</v>
      </c>
      <c r="WQH22" s="498">
        <v>1.58</v>
      </c>
      <c r="WQI22" s="498">
        <v>1</v>
      </c>
      <c r="WQJ22" s="501">
        <v>6.75</v>
      </c>
      <c r="WQK22" s="486">
        <v>5.0999999999999996</v>
      </c>
      <c r="WQL22" s="452" t="s">
        <v>2691</v>
      </c>
      <c r="WQM22" s="498" t="s">
        <v>1620</v>
      </c>
      <c r="WQN22" s="498">
        <v>1</v>
      </c>
      <c r="WQO22" s="499">
        <v>1500000</v>
      </c>
      <c r="WQP22" s="498">
        <v>1.58</v>
      </c>
      <c r="WQQ22" s="498">
        <v>1</v>
      </c>
      <c r="WQR22" s="501">
        <v>6.75</v>
      </c>
      <c r="WQS22" s="486">
        <v>5.0999999999999996</v>
      </c>
      <c r="WQT22" s="452" t="s">
        <v>2691</v>
      </c>
      <c r="WQU22" s="498" t="s">
        <v>1620</v>
      </c>
      <c r="WQV22" s="498">
        <v>1</v>
      </c>
      <c r="WQW22" s="499">
        <v>1500000</v>
      </c>
      <c r="WQX22" s="498">
        <v>1.58</v>
      </c>
      <c r="WQY22" s="498">
        <v>1</v>
      </c>
      <c r="WQZ22" s="501">
        <v>6.75</v>
      </c>
      <c r="WRA22" s="486">
        <v>5.0999999999999996</v>
      </c>
      <c r="WRB22" s="452" t="s">
        <v>2691</v>
      </c>
      <c r="WRC22" s="498" t="s">
        <v>1620</v>
      </c>
      <c r="WRD22" s="498">
        <v>1</v>
      </c>
      <c r="WRE22" s="499">
        <v>1500000</v>
      </c>
      <c r="WRF22" s="498">
        <v>1.58</v>
      </c>
      <c r="WRG22" s="498">
        <v>1</v>
      </c>
      <c r="WRH22" s="501">
        <v>6.75</v>
      </c>
      <c r="WRI22" s="486">
        <v>5.0999999999999996</v>
      </c>
      <c r="WRJ22" s="452" t="s">
        <v>2691</v>
      </c>
      <c r="WRK22" s="498" t="s">
        <v>1620</v>
      </c>
      <c r="WRL22" s="498">
        <v>1</v>
      </c>
      <c r="WRM22" s="499">
        <v>1500000</v>
      </c>
      <c r="WRN22" s="498">
        <v>1.58</v>
      </c>
      <c r="WRO22" s="498">
        <v>1</v>
      </c>
      <c r="WRP22" s="501">
        <v>6.75</v>
      </c>
      <c r="WRQ22" s="486">
        <v>5.0999999999999996</v>
      </c>
      <c r="WRR22" s="452" t="s">
        <v>2691</v>
      </c>
      <c r="WRS22" s="498" t="s">
        <v>1620</v>
      </c>
      <c r="WRT22" s="498">
        <v>1</v>
      </c>
      <c r="WRU22" s="499">
        <v>1500000</v>
      </c>
      <c r="WRV22" s="498">
        <v>1.58</v>
      </c>
      <c r="WRW22" s="498">
        <v>1</v>
      </c>
      <c r="WRX22" s="501">
        <v>6.75</v>
      </c>
      <c r="WRY22" s="486">
        <v>5.0999999999999996</v>
      </c>
      <c r="WRZ22" s="452" t="s">
        <v>2691</v>
      </c>
      <c r="WSA22" s="498" t="s">
        <v>1620</v>
      </c>
      <c r="WSB22" s="498">
        <v>1</v>
      </c>
      <c r="WSC22" s="499">
        <v>1500000</v>
      </c>
      <c r="WSD22" s="498">
        <v>1.58</v>
      </c>
      <c r="WSE22" s="498">
        <v>1</v>
      </c>
      <c r="WSF22" s="501">
        <v>6.75</v>
      </c>
      <c r="WSG22" s="486">
        <v>5.0999999999999996</v>
      </c>
      <c r="WSH22" s="452" t="s">
        <v>2691</v>
      </c>
      <c r="WSI22" s="498" t="s">
        <v>1620</v>
      </c>
      <c r="WSJ22" s="498">
        <v>1</v>
      </c>
      <c r="WSK22" s="499">
        <v>1500000</v>
      </c>
      <c r="WSL22" s="498">
        <v>1.58</v>
      </c>
      <c r="WSM22" s="498">
        <v>1</v>
      </c>
      <c r="WSN22" s="501">
        <v>6.75</v>
      </c>
      <c r="WSO22" s="486">
        <v>5.0999999999999996</v>
      </c>
      <c r="WSP22" s="452" t="s">
        <v>2691</v>
      </c>
      <c r="WSQ22" s="498" t="s">
        <v>1620</v>
      </c>
      <c r="WSR22" s="498">
        <v>1</v>
      </c>
      <c r="WSS22" s="499">
        <v>1500000</v>
      </c>
      <c r="WST22" s="498">
        <v>1.58</v>
      </c>
      <c r="WSU22" s="498">
        <v>1</v>
      </c>
      <c r="WSV22" s="501">
        <v>6.75</v>
      </c>
      <c r="WSW22" s="486">
        <v>5.0999999999999996</v>
      </c>
      <c r="WSX22" s="452" t="s">
        <v>2691</v>
      </c>
      <c r="WSY22" s="498" t="s">
        <v>1620</v>
      </c>
      <c r="WSZ22" s="498">
        <v>1</v>
      </c>
      <c r="WTA22" s="499">
        <v>1500000</v>
      </c>
      <c r="WTB22" s="498">
        <v>1.58</v>
      </c>
      <c r="WTC22" s="498">
        <v>1</v>
      </c>
      <c r="WTD22" s="501">
        <v>6.75</v>
      </c>
      <c r="WTE22" s="486">
        <v>5.0999999999999996</v>
      </c>
      <c r="WTF22" s="452" t="s">
        <v>2691</v>
      </c>
      <c r="WTG22" s="498" t="s">
        <v>1620</v>
      </c>
      <c r="WTH22" s="498">
        <v>1</v>
      </c>
      <c r="WTI22" s="499">
        <v>1500000</v>
      </c>
      <c r="WTJ22" s="498">
        <v>1.58</v>
      </c>
      <c r="WTK22" s="498">
        <v>1</v>
      </c>
      <c r="WTL22" s="501">
        <v>6.75</v>
      </c>
      <c r="WTM22" s="486">
        <v>5.0999999999999996</v>
      </c>
      <c r="WTN22" s="452" t="s">
        <v>2691</v>
      </c>
      <c r="WTO22" s="498" t="s">
        <v>1620</v>
      </c>
      <c r="WTP22" s="498">
        <v>1</v>
      </c>
      <c r="WTQ22" s="499">
        <v>1500000</v>
      </c>
      <c r="WTR22" s="498">
        <v>1.58</v>
      </c>
      <c r="WTS22" s="498">
        <v>1</v>
      </c>
      <c r="WTT22" s="501">
        <v>6.75</v>
      </c>
      <c r="WTU22" s="486">
        <v>5.0999999999999996</v>
      </c>
      <c r="WTV22" s="452" t="s">
        <v>2691</v>
      </c>
      <c r="WTW22" s="498" t="s">
        <v>1620</v>
      </c>
      <c r="WTX22" s="498">
        <v>1</v>
      </c>
      <c r="WTY22" s="499">
        <v>1500000</v>
      </c>
      <c r="WTZ22" s="498">
        <v>1.58</v>
      </c>
      <c r="WUA22" s="498">
        <v>1</v>
      </c>
      <c r="WUB22" s="501">
        <v>6.75</v>
      </c>
      <c r="WUC22" s="486">
        <v>5.0999999999999996</v>
      </c>
      <c r="WUD22" s="452" t="s">
        <v>2691</v>
      </c>
      <c r="WUE22" s="498" t="s">
        <v>1620</v>
      </c>
      <c r="WUF22" s="498">
        <v>1</v>
      </c>
      <c r="WUG22" s="499">
        <v>1500000</v>
      </c>
      <c r="WUH22" s="498">
        <v>1.58</v>
      </c>
      <c r="WUI22" s="498">
        <v>1</v>
      </c>
      <c r="WUJ22" s="501">
        <v>6.75</v>
      </c>
      <c r="WUK22" s="486">
        <v>5.0999999999999996</v>
      </c>
      <c r="WUL22" s="452" t="s">
        <v>2691</v>
      </c>
      <c r="WUM22" s="498" t="s">
        <v>1620</v>
      </c>
      <c r="WUN22" s="498">
        <v>1</v>
      </c>
      <c r="WUO22" s="499">
        <v>1500000</v>
      </c>
      <c r="WUP22" s="498">
        <v>1.58</v>
      </c>
      <c r="WUQ22" s="498">
        <v>1</v>
      </c>
      <c r="WUR22" s="501">
        <v>6.75</v>
      </c>
      <c r="WUS22" s="486">
        <v>5.0999999999999996</v>
      </c>
      <c r="WUT22" s="452" t="s">
        <v>2691</v>
      </c>
      <c r="WUU22" s="498" t="s">
        <v>1620</v>
      </c>
      <c r="WUV22" s="498">
        <v>1</v>
      </c>
      <c r="WUW22" s="499">
        <v>1500000</v>
      </c>
      <c r="WUX22" s="498">
        <v>1.58</v>
      </c>
      <c r="WUY22" s="498">
        <v>1</v>
      </c>
      <c r="WUZ22" s="501">
        <v>6.75</v>
      </c>
      <c r="WVA22" s="486">
        <v>5.0999999999999996</v>
      </c>
      <c r="WVB22" s="452" t="s">
        <v>2691</v>
      </c>
      <c r="WVC22" s="498" t="s">
        <v>1620</v>
      </c>
      <c r="WVD22" s="498">
        <v>1</v>
      </c>
      <c r="WVE22" s="499">
        <v>1500000</v>
      </c>
      <c r="WVF22" s="498">
        <v>1.58</v>
      </c>
      <c r="WVG22" s="498">
        <v>1</v>
      </c>
      <c r="WVH22" s="501">
        <v>6.75</v>
      </c>
      <c r="WVI22" s="486">
        <v>5.0999999999999996</v>
      </c>
      <c r="WVJ22" s="452" t="s">
        <v>2691</v>
      </c>
      <c r="WVK22" s="498" t="s">
        <v>1620</v>
      </c>
      <c r="WVL22" s="498">
        <v>1</v>
      </c>
      <c r="WVM22" s="499">
        <v>1500000</v>
      </c>
      <c r="WVN22" s="498">
        <v>1.58</v>
      </c>
      <c r="WVO22" s="498">
        <v>1</v>
      </c>
      <c r="WVP22" s="501">
        <v>6.75</v>
      </c>
      <c r="WVQ22" s="486">
        <v>5.0999999999999996</v>
      </c>
      <c r="WVR22" s="452" t="s">
        <v>2691</v>
      </c>
      <c r="WVS22" s="498" t="s">
        <v>1620</v>
      </c>
      <c r="WVT22" s="498">
        <v>1</v>
      </c>
      <c r="WVU22" s="499">
        <v>1500000</v>
      </c>
      <c r="WVV22" s="498">
        <v>1.58</v>
      </c>
      <c r="WVW22" s="498">
        <v>1</v>
      </c>
      <c r="WVX22" s="501">
        <v>6.75</v>
      </c>
      <c r="WVY22" s="486">
        <v>5.0999999999999996</v>
      </c>
      <c r="WVZ22" s="452" t="s">
        <v>2691</v>
      </c>
      <c r="WWA22" s="498" t="s">
        <v>1620</v>
      </c>
      <c r="WWB22" s="498">
        <v>1</v>
      </c>
      <c r="WWC22" s="499">
        <v>1500000</v>
      </c>
      <c r="WWD22" s="498">
        <v>1.58</v>
      </c>
      <c r="WWE22" s="498">
        <v>1</v>
      </c>
      <c r="WWF22" s="501">
        <v>6.75</v>
      </c>
      <c r="WWG22" s="486">
        <v>5.0999999999999996</v>
      </c>
      <c r="WWH22" s="452" t="s">
        <v>2691</v>
      </c>
      <c r="WWI22" s="498" t="s">
        <v>1620</v>
      </c>
      <c r="WWJ22" s="498">
        <v>1</v>
      </c>
      <c r="WWK22" s="499">
        <v>1500000</v>
      </c>
      <c r="WWL22" s="498">
        <v>1.58</v>
      </c>
      <c r="WWM22" s="498">
        <v>1</v>
      </c>
      <c r="WWN22" s="501">
        <v>6.75</v>
      </c>
      <c r="WWO22" s="486">
        <v>5.0999999999999996</v>
      </c>
      <c r="WWP22" s="452" t="s">
        <v>2691</v>
      </c>
      <c r="WWQ22" s="498" t="s">
        <v>1620</v>
      </c>
      <c r="WWR22" s="498">
        <v>1</v>
      </c>
      <c r="WWS22" s="499">
        <v>1500000</v>
      </c>
      <c r="WWT22" s="498">
        <v>1.58</v>
      </c>
      <c r="WWU22" s="498">
        <v>1</v>
      </c>
      <c r="WWV22" s="501">
        <v>6.75</v>
      </c>
      <c r="WWW22" s="486">
        <v>5.0999999999999996</v>
      </c>
      <c r="WWX22" s="452" t="s">
        <v>2691</v>
      </c>
      <c r="WWY22" s="498" t="s">
        <v>1620</v>
      </c>
      <c r="WWZ22" s="498">
        <v>1</v>
      </c>
      <c r="WXA22" s="499">
        <v>1500000</v>
      </c>
      <c r="WXB22" s="498">
        <v>1.58</v>
      </c>
      <c r="WXC22" s="498">
        <v>1</v>
      </c>
      <c r="WXD22" s="501">
        <v>6.75</v>
      </c>
      <c r="WXE22" s="486">
        <v>5.0999999999999996</v>
      </c>
      <c r="WXF22" s="452" t="s">
        <v>2691</v>
      </c>
      <c r="WXG22" s="498" t="s">
        <v>1620</v>
      </c>
      <c r="WXH22" s="498">
        <v>1</v>
      </c>
      <c r="WXI22" s="499">
        <v>1500000</v>
      </c>
      <c r="WXJ22" s="498">
        <v>1.58</v>
      </c>
      <c r="WXK22" s="498">
        <v>1</v>
      </c>
      <c r="WXL22" s="501">
        <v>6.75</v>
      </c>
      <c r="WXM22" s="486">
        <v>5.0999999999999996</v>
      </c>
      <c r="WXN22" s="452" t="s">
        <v>2691</v>
      </c>
      <c r="WXO22" s="498" t="s">
        <v>1620</v>
      </c>
      <c r="WXP22" s="498">
        <v>1</v>
      </c>
      <c r="WXQ22" s="499">
        <v>1500000</v>
      </c>
      <c r="WXR22" s="498">
        <v>1.58</v>
      </c>
      <c r="WXS22" s="498">
        <v>1</v>
      </c>
      <c r="WXT22" s="501">
        <v>6.75</v>
      </c>
      <c r="WXU22" s="486">
        <v>5.0999999999999996</v>
      </c>
      <c r="WXV22" s="452" t="s">
        <v>2691</v>
      </c>
      <c r="WXW22" s="498" t="s">
        <v>1620</v>
      </c>
      <c r="WXX22" s="498">
        <v>1</v>
      </c>
      <c r="WXY22" s="499">
        <v>1500000</v>
      </c>
      <c r="WXZ22" s="498">
        <v>1.58</v>
      </c>
      <c r="WYA22" s="498">
        <v>1</v>
      </c>
      <c r="WYB22" s="501">
        <v>6.75</v>
      </c>
      <c r="WYC22" s="486">
        <v>5.0999999999999996</v>
      </c>
      <c r="WYD22" s="452" t="s">
        <v>2691</v>
      </c>
      <c r="WYE22" s="498" t="s">
        <v>1620</v>
      </c>
      <c r="WYF22" s="498">
        <v>1</v>
      </c>
      <c r="WYG22" s="499">
        <v>1500000</v>
      </c>
      <c r="WYH22" s="498">
        <v>1.58</v>
      </c>
      <c r="WYI22" s="498">
        <v>1</v>
      </c>
      <c r="WYJ22" s="501">
        <v>6.75</v>
      </c>
      <c r="WYK22" s="486">
        <v>5.0999999999999996</v>
      </c>
      <c r="WYL22" s="452" t="s">
        <v>2691</v>
      </c>
      <c r="WYM22" s="498" t="s">
        <v>1620</v>
      </c>
      <c r="WYN22" s="498">
        <v>1</v>
      </c>
      <c r="WYO22" s="499">
        <v>1500000</v>
      </c>
      <c r="WYP22" s="498">
        <v>1.58</v>
      </c>
      <c r="WYQ22" s="498">
        <v>1</v>
      </c>
      <c r="WYR22" s="501">
        <v>6.75</v>
      </c>
      <c r="WYS22" s="486">
        <v>5.0999999999999996</v>
      </c>
      <c r="WYT22" s="452" t="s">
        <v>2691</v>
      </c>
      <c r="WYU22" s="498" t="s">
        <v>1620</v>
      </c>
      <c r="WYV22" s="498">
        <v>1</v>
      </c>
      <c r="WYW22" s="499">
        <v>1500000</v>
      </c>
      <c r="WYX22" s="498">
        <v>1.58</v>
      </c>
      <c r="WYY22" s="498">
        <v>1</v>
      </c>
      <c r="WYZ22" s="501">
        <v>6.75</v>
      </c>
      <c r="WZA22" s="486">
        <v>5.0999999999999996</v>
      </c>
      <c r="WZB22" s="452" t="s">
        <v>2691</v>
      </c>
      <c r="WZC22" s="498" t="s">
        <v>1620</v>
      </c>
      <c r="WZD22" s="498">
        <v>1</v>
      </c>
      <c r="WZE22" s="499">
        <v>1500000</v>
      </c>
      <c r="WZF22" s="498">
        <v>1.58</v>
      </c>
      <c r="WZG22" s="498">
        <v>1</v>
      </c>
      <c r="WZH22" s="501">
        <v>6.75</v>
      </c>
      <c r="WZI22" s="486">
        <v>5.0999999999999996</v>
      </c>
      <c r="WZJ22" s="452" t="s">
        <v>2691</v>
      </c>
      <c r="WZK22" s="498" t="s">
        <v>1620</v>
      </c>
      <c r="WZL22" s="498">
        <v>1</v>
      </c>
      <c r="WZM22" s="499">
        <v>1500000</v>
      </c>
      <c r="WZN22" s="498">
        <v>1.58</v>
      </c>
      <c r="WZO22" s="498">
        <v>1</v>
      </c>
      <c r="WZP22" s="501">
        <v>6.75</v>
      </c>
      <c r="WZQ22" s="486">
        <v>5.0999999999999996</v>
      </c>
      <c r="WZR22" s="452" t="s">
        <v>2691</v>
      </c>
      <c r="WZS22" s="498" t="s">
        <v>1620</v>
      </c>
      <c r="WZT22" s="498">
        <v>1</v>
      </c>
      <c r="WZU22" s="499">
        <v>1500000</v>
      </c>
      <c r="WZV22" s="498">
        <v>1.58</v>
      </c>
      <c r="WZW22" s="498">
        <v>1</v>
      </c>
      <c r="WZX22" s="501">
        <v>6.75</v>
      </c>
      <c r="WZY22" s="486">
        <v>5.0999999999999996</v>
      </c>
      <c r="WZZ22" s="452" t="s">
        <v>2691</v>
      </c>
      <c r="XAA22" s="498" t="s">
        <v>1620</v>
      </c>
      <c r="XAB22" s="498">
        <v>1</v>
      </c>
      <c r="XAC22" s="499">
        <v>1500000</v>
      </c>
      <c r="XAD22" s="498">
        <v>1.58</v>
      </c>
      <c r="XAE22" s="498">
        <v>1</v>
      </c>
      <c r="XAF22" s="501">
        <v>6.75</v>
      </c>
      <c r="XAG22" s="486">
        <v>5.0999999999999996</v>
      </c>
      <c r="XAH22" s="452" t="s">
        <v>2691</v>
      </c>
      <c r="XAI22" s="498" t="s">
        <v>1620</v>
      </c>
      <c r="XAJ22" s="498">
        <v>1</v>
      </c>
      <c r="XAK22" s="499">
        <v>1500000</v>
      </c>
      <c r="XAL22" s="498">
        <v>1.58</v>
      </c>
      <c r="XAM22" s="498">
        <v>1</v>
      </c>
      <c r="XAN22" s="501">
        <v>6.75</v>
      </c>
      <c r="XAO22" s="486">
        <v>5.0999999999999996</v>
      </c>
      <c r="XAP22" s="452" t="s">
        <v>2691</v>
      </c>
      <c r="XAQ22" s="498" t="s">
        <v>1620</v>
      </c>
      <c r="XAR22" s="498">
        <v>1</v>
      </c>
      <c r="XAS22" s="499">
        <v>1500000</v>
      </c>
      <c r="XAT22" s="498">
        <v>1.58</v>
      </c>
      <c r="XAU22" s="498">
        <v>1</v>
      </c>
      <c r="XAV22" s="501">
        <v>6.75</v>
      </c>
      <c r="XAW22" s="486">
        <v>5.0999999999999996</v>
      </c>
      <c r="XAX22" s="452" t="s">
        <v>2691</v>
      </c>
      <c r="XAY22" s="498" t="s">
        <v>1620</v>
      </c>
      <c r="XAZ22" s="498">
        <v>1</v>
      </c>
      <c r="XBA22" s="499">
        <v>1500000</v>
      </c>
      <c r="XBB22" s="498">
        <v>1.58</v>
      </c>
      <c r="XBC22" s="498">
        <v>1</v>
      </c>
      <c r="XBD22" s="501">
        <v>6.75</v>
      </c>
      <c r="XBE22" s="486">
        <v>5.0999999999999996</v>
      </c>
      <c r="XBF22" s="452" t="s">
        <v>2691</v>
      </c>
      <c r="XBG22" s="498" t="s">
        <v>1620</v>
      </c>
      <c r="XBH22" s="498">
        <v>1</v>
      </c>
      <c r="XBI22" s="499">
        <v>1500000</v>
      </c>
      <c r="XBJ22" s="498">
        <v>1.58</v>
      </c>
      <c r="XBK22" s="498">
        <v>1</v>
      </c>
      <c r="XBL22" s="501">
        <v>6.75</v>
      </c>
      <c r="XBM22" s="486">
        <v>5.0999999999999996</v>
      </c>
      <c r="XBN22" s="452" t="s">
        <v>2691</v>
      </c>
      <c r="XBO22" s="498" t="s">
        <v>1620</v>
      </c>
      <c r="XBP22" s="498">
        <v>1</v>
      </c>
      <c r="XBQ22" s="499">
        <v>1500000</v>
      </c>
      <c r="XBR22" s="498">
        <v>1.58</v>
      </c>
      <c r="XBS22" s="498">
        <v>1</v>
      </c>
      <c r="XBT22" s="501">
        <v>6.75</v>
      </c>
      <c r="XBU22" s="486">
        <v>5.0999999999999996</v>
      </c>
      <c r="XBV22" s="452" t="s">
        <v>2691</v>
      </c>
      <c r="XBW22" s="498" t="s">
        <v>1620</v>
      </c>
      <c r="XBX22" s="498">
        <v>1</v>
      </c>
      <c r="XBY22" s="499">
        <v>1500000</v>
      </c>
      <c r="XBZ22" s="498">
        <v>1.58</v>
      </c>
      <c r="XCA22" s="498">
        <v>1</v>
      </c>
      <c r="XCB22" s="501">
        <v>6.75</v>
      </c>
      <c r="XCC22" s="486">
        <v>5.0999999999999996</v>
      </c>
      <c r="XCD22" s="452" t="s">
        <v>2691</v>
      </c>
      <c r="XCE22" s="498" t="s">
        <v>1620</v>
      </c>
      <c r="XCF22" s="498">
        <v>1</v>
      </c>
      <c r="XCG22" s="499">
        <v>1500000</v>
      </c>
      <c r="XCH22" s="498">
        <v>1.58</v>
      </c>
      <c r="XCI22" s="498">
        <v>1</v>
      </c>
      <c r="XCJ22" s="501">
        <v>6.75</v>
      </c>
      <c r="XCK22" s="486">
        <v>5.0999999999999996</v>
      </c>
      <c r="XCL22" s="452" t="s">
        <v>2691</v>
      </c>
      <c r="XCM22" s="498" t="s">
        <v>1620</v>
      </c>
      <c r="XCN22" s="498">
        <v>1</v>
      </c>
      <c r="XCO22" s="499">
        <v>1500000</v>
      </c>
      <c r="XCP22" s="498">
        <v>1.58</v>
      </c>
      <c r="XCQ22" s="498">
        <v>1</v>
      </c>
      <c r="XCR22" s="501">
        <v>6.75</v>
      </c>
      <c r="XCS22" s="486">
        <v>5.0999999999999996</v>
      </c>
      <c r="XCT22" s="452" t="s">
        <v>2691</v>
      </c>
      <c r="XCU22" s="498" t="s">
        <v>1620</v>
      </c>
      <c r="XCV22" s="498">
        <v>1</v>
      </c>
      <c r="XCW22" s="499">
        <v>1500000</v>
      </c>
      <c r="XCX22" s="498">
        <v>1.58</v>
      </c>
      <c r="XCY22" s="498">
        <v>1</v>
      </c>
      <c r="XCZ22" s="501">
        <v>6.75</v>
      </c>
      <c r="XDA22" s="486">
        <v>5.0999999999999996</v>
      </c>
      <c r="XDB22" s="452" t="s">
        <v>2691</v>
      </c>
      <c r="XDC22" s="498" t="s">
        <v>1620</v>
      </c>
      <c r="XDD22" s="498">
        <v>1</v>
      </c>
      <c r="XDE22" s="499">
        <v>1500000</v>
      </c>
      <c r="XDF22" s="498">
        <v>1.58</v>
      </c>
      <c r="XDG22" s="498">
        <v>1</v>
      </c>
      <c r="XDH22" s="501">
        <v>6.75</v>
      </c>
      <c r="XDI22" s="486">
        <v>5.0999999999999996</v>
      </c>
      <c r="XDJ22" s="452" t="s">
        <v>2691</v>
      </c>
      <c r="XDK22" s="498" t="s">
        <v>1620</v>
      </c>
      <c r="XDL22" s="498">
        <v>1</v>
      </c>
      <c r="XDM22" s="499">
        <v>1500000</v>
      </c>
      <c r="XDN22" s="498">
        <v>1.58</v>
      </c>
      <c r="XDO22" s="498">
        <v>1</v>
      </c>
      <c r="XDP22" s="501">
        <v>6.75</v>
      </c>
      <c r="XDQ22" s="486">
        <v>5.0999999999999996</v>
      </c>
      <c r="XDR22" s="452" t="s">
        <v>2691</v>
      </c>
      <c r="XDS22" s="498" t="s">
        <v>1620</v>
      </c>
      <c r="XDT22" s="498">
        <v>1</v>
      </c>
      <c r="XDU22" s="499">
        <v>1500000</v>
      </c>
      <c r="XDV22" s="498">
        <v>1.58</v>
      </c>
      <c r="XDW22" s="498">
        <v>1</v>
      </c>
      <c r="XDX22" s="501">
        <v>6.75</v>
      </c>
      <c r="XDY22" s="486">
        <v>5.0999999999999996</v>
      </c>
      <c r="XDZ22" s="452" t="s">
        <v>2691</v>
      </c>
      <c r="XEA22" s="498" t="s">
        <v>1620</v>
      </c>
      <c r="XEB22" s="498">
        <v>1</v>
      </c>
      <c r="XEC22" s="499">
        <v>1500000</v>
      </c>
      <c r="XED22" s="498">
        <v>1.58</v>
      </c>
      <c r="XEE22" s="498">
        <v>1</v>
      </c>
      <c r="XEF22" s="501">
        <v>6.75</v>
      </c>
      <c r="XEG22" s="486">
        <v>5.0999999999999996</v>
      </c>
      <c r="XEH22" s="452" t="s">
        <v>2691</v>
      </c>
      <c r="XEI22" s="498" t="s">
        <v>1620</v>
      </c>
      <c r="XEJ22" s="498">
        <v>1</v>
      </c>
      <c r="XEK22" s="499">
        <v>1500000</v>
      </c>
      <c r="XEL22" s="498">
        <v>1.58</v>
      </c>
      <c r="XEM22" s="498">
        <v>1</v>
      </c>
      <c r="XEN22" s="501">
        <v>6.75</v>
      </c>
      <c r="XEO22" s="486">
        <v>5.0999999999999996</v>
      </c>
      <c r="XEP22" s="452" t="s">
        <v>2691</v>
      </c>
      <c r="XEQ22" s="498" t="s">
        <v>1620</v>
      </c>
      <c r="XER22" s="498">
        <v>1</v>
      </c>
      <c r="XES22" s="499">
        <v>1500000</v>
      </c>
      <c r="XET22" s="498">
        <v>1.58</v>
      </c>
      <c r="XEU22" s="498">
        <v>1</v>
      </c>
      <c r="XEV22" s="501">
        <v>6.75</v>
      </c>
      <c r="XEW22" s="486">
        <v>5.0999999999999996</v>
      </c>
      <c r="XEX22" s="452" t="s">
        <v>2691</v>
      </c>
      <c r="XEY22" s="498" t="s">
        <v>1620</v>
      </c>
      <c r="XEZ22" s="498">
        <v>1</v>
      </c>
      <c r="XFA22" s="499">
        <v>1500000</v>
      </c>
      <c r="XFB22" s="498">
        <v>1.58</v>
      </c>
      <c r="XFC22" s="498">
        <v>1</v>
      </c>
      <c r="XFD22" s="501">
        <v>6.75</v>
      </c>
    </row>
    <row r="23" spans="1:16384" ht="24.75" customHeight="1">
      <c r="A23" s="495">
        <v>5</v>
      </c>
      <c r="B23" s="864" t="s">
        <v>2744</v>
      </c>
      <c r="C23" s="864"/>
      <c r="D23" s="864"/>
      <c r="E23" s="864"/>
      <c r="F23" s="864"/>
      <c r="G23" s="864"/>
      <c r="H23" s="864"/>
      <c r="I23" s="865"/>
      <c r="J23" s="482"/>
      <c r="K23" s="483"/>
      <c r="L23" s="483"/>
      <c r="M23" s="483"/>
      <c r="N23" s="483"/>
      <c r="O23" s="483"/>
      <c r="P23" s="483"/>
      <c r="Q23" s="483"/>
      <c r="R23" s="483"/>
      <c r="S23" s="483"/>
      <c r="T23" s="483"/>
      <c r="U23" s="483"/>
      <c r="V23" s="483"/>
      <c r="W23" s="483"/>
      <c r="X23" s="483"/>
      <c r="Y23" s="483"/>
      <c r="Z23" s="483"/>
      <c r="AA23" s="483"/>
      <c r="AB23" s="483"/>
      <c r="AC23" s="483"/>
    </row>
    <row r="24" spans="1:16384" ht="34.5" customHeight="1">
      <c r="A24" s="451">
        <v>5.0999999999999996</v>
      </c>
      <c r="B24" s="716" t="s">
        <v>2745</v>
      </c>
      <c r="C24" s="498" t="s">
        <v>1620</v>
      </c>
      <c r="D24" s="498">
        <v>2</v>
      </c>
      <c r="E24" s="499">
        <v>750000</v>
      </c>
      <c r="F24" s="499"/>
      <c r="G24" s="503"/>
      <c r="H24" s="509"/>
      <c r="I24" s="502">
        <f t="shared" ref="I24:I34" si="0">+E24*D24</f>
        <v>1500000</v>
      </c>
      <c r="J24" s="496"/>
      <c r="K24" s="497"/>
      <c r="L24" s="497"/>
      <c r="M24" s="497"/>
      <c r="N24" s="497"/>
      <c r="O24" s="497"/>
      <c r="P24" s="497"/>
      <c r="Q24" s="497"/>
      <c r="R24" s="497"/>
      <c r="S24" s="497"/>
      <c r="T24" s="497"/>
      <c r="U24" s="497"/>
      <c r="V24" s="497"/>
      <c r="W24" s="497"/>
      <c r="X24" s="497"/>
      <c r="Y24" s="497"/>
      <c r="Z24" s="497"/>
      <c r="AA24" s="497"/>
      <c r="AB24" s="497"/>
      <c r="AC24" s="497"/>
    </row>
    <row r="25" spans="1:16384" ht="34.5" customHeight="1">
      <c r="A25" s="451">
        <v>5.2</v>
      </c>
      <c r="B25" s="716" t="s">
        <v>2759</v>
      </c>
      <c r="C25" s="498" t="s">
        <v>1620</v>
      </c>
      <c r="D25" s="498">
        <v>1</v>
      </c>
      <c r="E25" s="499">
        <v>400000</v>
      </c>
      <c r="F25" s="499"/>
      <c r="G25" s="503"/>
      <c r="H25" s="509"/>
      <c r="I25" s="502">
        <f t="shared" si="0"/>
        <v>400000</v>
      </c>
      <c r="J25" s="496"/>
      <c r="K25" s="497"/>
      <c r="L25" s="497"/>
      <c r="M25" s="497"/>
      <c r="N25" s="497"/>
      <c r="O25" s="497"/>
      <c r="P25" s="497"/>
      <c r="Q25" s="497"/>
      <c r="R25" s="497"/>
      <c r="S25" s="497"/>
      <c r="T25" s="497"/>
      <c r="U25" s="497"/>
      <c r="V25" s="497"/>
      <c r="W25" s="497"/>
      <c r="X25" s="497"/>
      <c r="Y25" s="497"/>
      <c r="Z25" s="497"/>
      <c r="AA25" s="497"/>
      <c r="AB25" s="497"/>
      <c r="AC25" s="497"/>
    </row>
    <row r="26" spans="1:16384" ht="34.5" customHeight="1">
      <c r="A26" s="451">
        <v>5.3</v>
      </c>
      <c r="B26" s="716" t="s">
        <v>2746</v>
      </c>
      <c r="C26" s="498" t="s">
        <v>1620</v>
      </c>
      <c r="D26" s="498">
        <v>3</v>
      </c>
      <c r="E26" s="499">
        <v>550000</v>
      </c>
      <c r="F26" s="499"/>
      <c r="G26" s="503"/>
      <c r="H26" s="509"/>
      <c r="I26" s="502">
        <f t="shared" si="0"/>
        <v>1650000</v>
      </c>
      <c r="J26" s="496"/>
      <c r="K26" s="497"/>
      <c r="L26" s="497"/>
      <c r="M26" s="497"/>
      <c r="N26" s="497"/>
      <c r="O26" s="497"/>
      <c r="P26" s="497"/>
      <c r="Q26" s="497"/>
      <c r="R26" s="497"/>
      <c r="S26" s="497"/>
      <c r="T26" s="497"/>
      <c r="U26" s="497"/>
      <c r="V26" s="497"/>
      <c r="W26" s="497"/>
      <c r="X26" s="497"/>
      <c r="Y26" s="497"/>
      <c r="Z26" s="497"/>
      <c r="AA26" s="497"/>
      <c r="AB26" s="497"/>
      <c r="AC26" s="497"/>
    </row>
    <row r="27" spans="1:16384" ht="34.5" customHeight="1">
      <c r="A27" s="451">
        <v>5.4</v>
      </c>
      <c r="B27" s="716" t="s">
        <v>2747</v>
      </c>
      <c r="C27" s="498" t="s">
        <v>1620</v>
      </c>
      <c r="D27" s="498">
        <v>1</v>
      </c>
      <c r="E27" s="499">
        <v>2700000</v>
      </c>
      <c r="F27" s="499"/>
      <c r="G27" s="503"/>
      <c r="H27" s="509"/>
      <c r="I27" s="502">
        <f t="shared" si="0"/>
        <v>2700000</v>
      </c>
      <c r="J27" s="496"/>
      <c r="K27" s="497"/>
      <c r="L27" s="497"/>
      <c r="M27" s="497"/>
      <c r="N27" s="497"/>
      <c r="O27" s="497"/>
      <c r="P27" s="497"/>
      <c r="Q27" s="497"/>
      <c r="R27" s="497"/>
      <c r="S27" s="497"/>
      <c r="T27" s="497"/>
      <c r="U27" s="497"/>
      <c r="V27" s="497"/>
      <c r="W27" s="497"/>
      <c r="X27" s="497"/>
      <c r="Y27" s="497"/>
      <c r="Z27" s="497"/>
      <c r="AA27" s="497"/>
      <c r="AB27" s="497"/>
      <c r="AC27" s="497"/>
    </row>
    <row r="28" spans="1:16384" ht="34.5" customHeight="1">
      <c r="A28" s="451">
        <v>5.5</v>
      </c>
      <c r="B28" s="716" t="s">
        <v>2748</v>
      </c>
      <c r="C28" s="498" t="s">
        <v>1620</v>
      </c>
      <c r="D28" s="498">
        <v>2</v>
      </c>
      <c r="E28" s="499">
        <v>4500000</v>
      </c>
      <c r="F28" s="499"/>
      <c r="G28" s="503"/>
      <c r="H28" s="509"/>
      <c r="I28" s="502">
        <f t="shared" si="0"/>
        <v>9000000</v>
      </c>
      <c r="J28" s="496"/>
      <c r="K28" s="497"/>
      <c r="L28" s="497"/>
      <c r="M28" s="497"/>
      <c r="N28" s="497"/>
      <c r="O28" s="497"/>
      <c r="P28" s="497"/>
      <c r="Q28" s="497"/>
      <c r="R28" s="497"/>
      <c r="S28" s="497"/>
      <c r="T28" s="497"/>
      <c r="U28" s="497"/>
      <c r="V28" s="497"/>
      <c r="W28" s="497"/>
      <c r="X28" s="497"/>
      <c r="Y28" s="497"/>
      <c r="Z28" s="497"/>
      <c r="AA28" s="497"/>
      <c r="AB28" s="497"/>
      <c r="AC28" s="497"/>
    </row>
    <row r="29" spans="1:16384" ht="34.5" customHeight="1">
      <c r="A29" s="451">
        <v>5.6</v>
      </c>
      <c r="B29" s="716" t="s">
        <v>2749</v>
      </c>
      <c r="C29" s="498" t="s">
        <v>1620</v>
      </c>
      <c r="D29" s="498">
        <v>1</v>
      </c>
      <c r="E29" s="499">
        <v>1500000</v>
      </c>
      <c r="F29" s="499"/>
      <c r="G29" s="503"/>
      <c r="H29" s="509"/>
      <c r="I29" s="502">
        <f t="shared" si="0"/>
        <v>1500000</v>
      </c>
      <c r="J29" s="496"/>
      <c r="K29" s="497"/>
      <c r="L29" s="497"/>
      <c r="M29" s="497"/>
      <c r="N29" s="497"/>
      <c r="O29" s="497"/>
      <c r="P29" s="497"/>
      <c r="Q29" s="497"/>
      <c r="R29" s="497"/>
      <c r="S29" s="497"/>
      <c r="T29" s="497"/>
      <c r="U29" s="497"/>
      <c r="V29" s="497"/>
      <c r="W29" s="497"/>
      <c r="X29" s="497"/>
      <c r="Y29" s="497"/>
      <c r="Z29" s="497"/>
      <c r="AA29" s="497"/>
      <c r="AB29" s="497"/>
      <c r="AC29" s="497"/>
    </row>
    <row r="30" spans="1:16384" ht="34.5" customHeight="1">
      <c r="A30" s="451">
        <v>5.7</v>
      </c>
      <c r="B30" s="716" t="s">
        <v>2750</v>
      </c>
      <c r="C30" s="498" t="s">
        <v>1620</v>
      </c>
      <c r="D30" s="498">
        <v>1</v>
      </c>
      <c r="E30" s="499">
        <v>138000</v>
      </c>
      <c r="F30" s="499"/>
      <c r="G30" s="503"/>
      <c r="H30" s="509"/>
      <c r="I30" s="502">
        <f t="shared" si="0"/>
        <v>138000</v>
      </c>
      <c r="J30" s="496"/>
      <c r="K30" s="497"/>
      <c r="L30" s="497"/>
      <c r="M30" s="497"/>
      <c r="N30" s="497"/>
      <c r="O30" s="497"/>
      <c r="P30" s="497"/>
      <c r="Q30" s="497"/>
      <c r="R30" s="497"/>
      <c r="S30" s="497"/>
      <c r="T30" s="497"/>
      <c r="U30" s="497"/>
      <c r="V30" s="497"/>
      <c r="W30" s="497"/>
      <c r="X30" s="497"/>
      <c r="Y30" s="497"/>
      <c r="Z30" s="497"/>
      <c r="AA30" s="497"/>
      <c r="AB30" s="497"/>
      <c r="AC30" s="497"/>
    </row>
    <row r="31" spans="1:16384" ht="34.5" customHeight="1">
      <c r="A31" s="451">
        <v>5.8</v>
      </c>
      <c r="B31" s="716" t="s">
        <v>2751</v>
      </c>
      <c r="C31" s="498" t="s">
        <v>1620</v>
      </c>
      <c r="D31" s="498">
        <v>1</v>
      </c>
      <c r="E31" s="499">
        <v>130000</v>
      </c>
      <c r="F31" s="499"/>
      <c r="G31" s="503"/>
      <c r="H31" s="509"/>
      <c r="I31" s="502">
        <f t="shared" si="0"/>
        <v>130000</v>
      </c>
      <c r="J31" s="496"/>
      <c r="K31" s="497"/>
      <c r="L31" s="497"/>
      <c r="M31" s="497"/>
      <c r="N31" s="497"/>
      <c r="O31" s="497"/>
      <c r="P31" s="497"/>
      <c r="Q31" s="497"/>
      <c r="R31" s="497"/>
      <c r="S31" s="497"/>
      <c r="T31" s="497"/>
      <c r="U31" s="497"/>
      <c r="V31" s="497"/>
      <c r="W31" s="497"/>
      <c r="X31" s="497"/>
      <c r="Y31" s="497"/>
      <c r="Z31" s="497"/>
      <c r="AA31" s="497"/>
      <c r="AB31" s="497"/>
      <c r="AC31" s="497"/>
    </row>
    <row r="32" spans="1:16384" ht="34.5" customHeight="1">
      <c r="A32" s="451">
        <v>5.9</v>
      </c>
      <c r="B32" s="716" t="s">
        <v>2752</v>
      </c>
      <c r="C32" s="498" t="s">
        <v>1620</v>
      </c>
      <c r="D32" s="498">
        <v>1</v>
      </c>
      <c r="E32" s="499">
        <v>1300000</v>
      </c>
      <c r="F32" s="499"/>
      <c r="G32" s="503"/>
      <c r="H32" s="509"/>
      <c r="I32" s="502">
        <f t="shared" si="0"/>
        <v>1300000</v>
      </c>
      <c r="J32" s="496"/>
      <c r="K32" s="497"/>
      <c r="L32" s="497"/>
      <c r="M32" s="497"/>
      <c r="N32" s="497"/>
      <c r="O32" s="497"/>
      <c r="P32" s="497"/>
      <c r="Q32" s="497"/>
      <c r="R32" s="497"/>
      <c r="S32" s="497"/>
      <c r="T32" s="497"/>
      <c r="U32" s="497"/>
      <c r="V32" s="497"/>
      <c r="W32" s="497"/>
      <c r="X32" s="497"/>
      <c r="Y32" s="497"/>
      <c r="Z32" s="497"/>
      <c r="AA32" s="497"/>
      <c r="AB32" s="497"/>
      <c r="AC32" s="497"/>
    </row>
    <row r="33" spans="1:29" ht="34.5" customHeight="1">
      <c r="A33" s="454">
        <v>5.0999999999999996</v>
      </c>
      <c r="B33" s="716" t="s">
        <v>2753</v>
      </c>
      <c r="C33" s="498" t="s">
        <v>1620</v>
      </c>
      <c r="D33" s="498">
        <v>1</v>
      </c>
      <c r="E33" s="499">
        <v>350000</v>
      </c>
      <c r="F33" s="499"/>
      <c r="G33" s="503"/>
      <c r="H33" s="509"/>
      <c r="I33" s="502">
        <f t="shared" si="0"/>
        <v>350000</v>
      </c>
      <c r="J33" s="496"/>
      <c r="K33" s="497"/>
      <c r="L33" s="497"/>
      <c r="M33" s="497"/>
      <c r="N33" s="497"/>
      <c r="O33" s="497"/>
      <c r="P33" s="497"/>
      <c r="Q33" s="497"/>
      <c r="R33" s="497"/>
      <c r="S33" s="497"/>
      <c r="T33" s="497"/>
      <c r="U33" s="497"/>
      <c r="V33" s="497"/>
      <c r="W33" s="497"/>
      <c r="X33" s="497"/>
      <c r="Y33" s="497"/>
      <c r="Z33" s="497"/>
      <c r="AA33" s="497"/>
      <c r="AB33" s="497"/>
      <c r="AC33" s="497"/>
    </row>
    <row r="34" spans="1:29" ht="34.5" customHeight="1">
      <c r="A34" s="451">
        <v>5.1100000000000003</v>
      </c>
      <c r="B34" s="716" t="s">
        <v>2754</v>
      </c>
      <c r="C34" s="498" t="s">
        <v>1620</v>
      </c>
      <c r="D34" s="498">
        <v>8</v>
      </c>
      <c r="E34" s="499">
        <v>160000</v>
      </c>
      <c r="F34" s="511"/>
      <c r="G34" s="503"/>
      <c r="H34" s="509"/>
      <c r="I34" s="502">
        <f t="shared" si="0"/>
        <v>1280000</v>
      </c>
      <c r="J34" s="496"/>
      <c r="K34" s="497"/>
      <c r="L34" s="497"/>
      <c r="M34" s="497"/>
      <c r="N34" s="497"/>
      <c r="O34" s="497"/>
      <c r="P34" s="497"/>
      <c r="Q34" s="497"/>
      <c r="R34" s="497"/>
      <c r="S34" s="497"/>
      <c r="T34" s="497"/>
      <c r="U34" s="497"/>
      <c r="V34" s="497"/>
      <c r="W34" s="497"/>
      <c r="X34" s="497"/>
      <c r="Y34" s="497"/>
      <c r="Z34" s="497"/>
      <c r="AA34" s="497"/>
      <c r="AB34" s="497"/>
      <c r="AC34" s="497"/>
    </row>
    <row r="35" spans="1:29" ht="34.5" customHeight="1">
      <c r="A35" s="451">
        <v>5.12</v>
      </c>
      <c r="B35" s="716" t="s">
        <v>2694</v>
      </c>
      <c r="C35" s="498" t="s">
        <v>1620</v>
      </c>
      <c r="D35" s="498">
        <v>1</v>
      </c>
      <c r="E35" s="499">
        <v>1200000</v>
      </c>
      <c r="F35" s="511"/>
      <c r="G35" s="503"/>
      <c r="H35" s="504">
        <v>8</v>
      </c>
      <c r="I35" s="502">
        <f>ROUND(D35*E35*H35,0)</f>
        <v>9600000</v>
      </c>
      <c r="J35" s="496"/>
      <c r="K35" s="497"/>
      <c r="L35" s="497"/>
      <c r="M35" s="497"/>
      <c r="N35" s="497"/>
      <c r="O35" s="497"/>
      <c r="P35" s="497"/>
      <c r="Q35" s="497"/>
      <c r="R35" s="497"/>
      <c r="S35" s="497"/>
      <c r="T35" s="497"/>
      <c r="U35" s="497"/>
      <c r="V35" s="497"/>
      <c r="W35" s="497"/>
      <c r="X35" s="497"/>
      <c r="Y35" s="497"/>
      <c r="Z35" s="497"/>
      <c r="AA35" s="497"/>
      <c r="AB35" s="497"/>
      <c r="AC35" s="497"/>
    </row>
    <row r="36" spans="1:29" ht="48" customHeight="1">
      <c r="A36" s="451">
        <v>5.13</v>
      </c>
      <c r="B36" s="716" t="s">
        <v>2692</v>
      </c>
      <c r="C36" s="498" t="s">
        <v>1620</v>
      </c>
      <c r="D36" s="498">
        <v>1</v>
      </c>
      <c r="E36" s="499">
        <v>600000</v>
      </c>
      <c r="F36" s="509"/>
      <c r="G36" s="510"/>
      <c r="H36" s="504">
        <v>8</v>
      </c>
      <c r="I36" s="502">
        <v>3037500</v>
      </c>
      <c r="J36" s="482"/>
      <c r="K36" s="483"/>
      <c r="L36" s="483"/>
      <c r="M36" s="483"/>
      <c r="N36" s="483"/>
      <c r="O36" s="483"/>
      <c r="P36" s="483"/>
      <c r="Q36" s="483"/>
      <c r="R36" s="483"/>
      <c r="S36" s="483"/>
      <c r="T36" s="483"/>
      <c r="U36" s="483"/>
      <c r="V36" s="483"/>
      <c r="W36" s="483"/>
      <c r="X36" s="483"/>
      <c r="Y36" s="483"/>
      <c r="Z36" s="483"/>
      <c r="AA36" s="483"/>
      <c r="AB36" s="483"/>
      <c r="AC36" s="483"/>
    </row>
    <row r="37" spans="1:29" ht="48" customHeight="1">
      <c r="A37" s="451">
        <v>5.14</v>
      </c>
      <c r="B37" s="716" t="s">
        <v>2695</v>
      </c>
      <c r="C37" s="498" t="s">
        <v>1620</v>
      </c>
      <c r="D37" s="498">
        <v>50</v>
      </c>
      <c r="E37" s="499">
        <v>200000</v>
      </c>
      <c r="F37" s="503"/>
      <c r="G37" s="510"/>
      <c r="H37" s="510"/>
      <c r="I37" s="502">
        <f>+D37*E37</f>
        <v>10000000</v>
      </c>
      <c r="J37" s="482"/>
      <c r="K37" s="483"/>
      <c r="L37" s="483"/>
      <c r="M37" s="483"/>
      <c r="N37" s="483"/>
      <c r="O37" s="483"/>
      <c r="P37" s="483"/>
      <c r="Q37" s="483"/>
      <c r="R37" s="483"/>
      <c r="S37" s="483"/>
      <c r="T37" s="483"/>
      <c r="U37" s="483"/>
      <c r="V37" s="483"/>
      <c r="W37" s="483"/>
      <c r="X37" s="483"/>
      <c r="Y37" s="483"/>
      <c r="Z37" s="483"/>
      <c r="AA37" s="483"/>
      <c r="AB37" s="483"/>
      <c r="AC37" s="483"/>
    </row>
    <row r="38" spans="1:29" ht="24.75" customHeight="1">
      <c r="A38" s="495">
        <v>6</v>
      </c>
      <c r="B38" s="864" t="s">
        <v>2696</v>
      </c>
      <c r="C38" s="864"/>
      <c r="D38" s="864"/>
      <c r="E38" s="864"/>
      <c r="F38" s="864"/>
      <c r="G38" s="864"/>
      <c r="H38" s="864"/>
      <c r="I38" s="865"/>
      <c r="J38" s="482"/>
      <c r="K38" s="483"/>
      <c r="L38" s="483"/>
      <c r="M38" s="483"/>
      <c r="N38" s="483"/>
      <c r="O38" s="483"/>
      <c r="P38" s="483"/>
      <c r="Q38" s="483"/>
      <c r="R38" s="483"/>
      <c r="S38" s="483"/>
      <c r="T38" s="483"/>
      <c r="U38" s="483"/>
      <c r="V38" s="483"/>
      <c r="W38" s="483"/>
      <c r="X38" s="483"/>
      <c r="Y38" s="483"/>
      <c r="Z38" s="483"/>
      <c r="AA38" s="483"/>
      <c r="AB38" s="483"/>
      <c r="AC38" s="483"/>
    </row>
    <row r="39" spans="1:29" ht="29.25" customHeight="1">
      <c r="A39" s="451">
        <v>6.1</v>
      </c>
      <c r="B39" s="716" t="s">
        <v>2697</v>
      </c>
      <c r="C39" s="498" t="s">
        <v>1620</v>
      </c>
      <c r="D39" s="498">
        <v>2</v>
      </c>
      <c r="E39" s="499">
        <v>1000000</v>
      </c>
      <c r="F39" s="715"/>
      <c r="G39" s="715"/>
      <c r="H39" s="715"/>
      <c r="I39" s="512">
        <f>D39*E39</f>
        <v>2000000</v>
      </c>
      <c r="J39" s="482"/>
      <c r="K39" s="483"/>
      <c r="L39" s="483"/>
      <c r="M39" s="483"/>
      <c r="N39" s="483"/>
      <c r="O39" s="483"/>
      <c r="P39" s="483"/>
      <c r="Q39" s="483"/>
      <c r="R39" s="483"/>
      <c r="S39" s="483"/>
      <c r="T39" s="483"/>
      <c r="U39" s="483"/>
      <c r="V39" s="483"/>
      <c r="W39" s="483"/>
      <c r="X39" s="483"/>
      <c r="Y39" s="483"/>
      <c r="Z39" s="483"/>
      <c r="AA39" s="483"/>
      <c r="AB39" s="483"/>
      <c r="AC39" s="483"/>
    </row>
    <row r="40" spans="1:29" ht="69.75" customHeight="1">
      <c r="A40" s="451">
        <v>6.2</v>
      </c>
      <c r="B40" s="716" t="s">
        <v>2698</v>
      </c>
      <c r="C40" s="498" t="s">
        <v>1620</v>
      </c>
      <c r="D40" s="498">
        <v>20</v>
      </c>
      <c r="E40" s="499">
        <v>8500</v>
      </c>
      <c r="F40" s="715"/>
      <c r="G40" s="715"/>
      <c r="H40" s="715"/>
      <c r="I40" s="512">
        <f>D40*E40</f>
        <v>170000</v>
      </c>
      <c r="J40" s="482"/>
      <c r="K40" s="483"/>
      <c r="L40" s="483"/>
      <c r="M40" s="483"/>
      <c r="N40" s="483"/>
      <c r="O40" s="483"/>
      <c r="P40" s="483"/>
      <c r="Q40" s="483"/>
      <c r="R40" s="483"/>
      <c r="S40" s="483"/>
      <c r="T40" s="483"/>
      <c r="U40" s="483"/>
      <c r="V40" s="483"/>
      <c r="W40" s="483"/>
      <c r="X40" s="483"/>
      <c r="Y40" s="483"/>
      <c r="Z40" s="483"/>
      <c r="AA40" s="483"/>
      <c r="AB40" s="483"/>
      <c r="AC40" s="483"/>
    </row>
    <row r="41" spans="1:29" ht="24.75" customHeight="1">
      <c r="A41" s="495">
        <v>7</v>
      </c>
      <c r="B41" s="864" t="s">
        <v>2699</v>
      </c>
      <c r="C41" s="864"/>
      <c r="D41" s="864"/>
      <c r="E41" s="864"/>
      <c r="F41" s="864"/>
      <c r="G41" s="864"/>
      <c r="H41" s="864"/>
      <c r="I41" s="865"/>
      <c r="J41" s="482"/>
      <c r="K41" s="483"/>
      <c r="L41" s="483"/>
      <c r="M41" s="483"/>
      <c r="N41" s="483"/>
      <c r="O41" s="483"/>
      <c r="P41" s="483"/>
      <c r="Q41" s="483"/>
      <c r="R41" s="483"/>
      <c r="S41" s="483"/>
      <c r="T41" s="483"/>
      <c r="U41" s="483"/>
      <c r="V41" s="483"/>
      <c r="W41" s="483"/>
      <c r="X41" s="483"/>
      <c r="Y41" s="483"/>
      <c r="Z41" s="483"/>
      <c r="AA41" s="483"/>
      <c r="AB41" s="483"/>
      <c r="AC41" s="483"/>
    </row>
    <row r="42" spans="1:29" ht="52.5" customHeight="1">
      <c r="A42" s="451">
        <v>7.1</v>
      </c>
      <c r="B42" s="716" t="s">
        <v>2700</v>
      </c>
      <c r="C42" s="498" t="s">
        <v>2693</v>
      </c>
      <c r="D42" s="498">
        <v>2</v>
      </c>
      <c r="E42" s="499">
        <v>7000000</v>
      </c>
      <c r="F42" s="511"/>
      <c r="G42" s="513"/>
      <c r="H42" s="514"/>
      <c r="I42" s="502">
        <f>+ROUND(D42*E42,0)</f>
        <v>14000000</v>
      </c>
      <c r="J42" s="482"/>
      <c r="K42" s="483"/>
      <c r="L42" s="483"/>
      <c r="M42" s="483"/>
      <c r="N42" s="483"/>
      <c r="O42" s="483"/>
      <c r="P42" s="483"/>
      <c r="Q42" s="483"/>
      <c r="R42" s="483"/>
      <c r="S42" s="483"/>
      <c r="T42" s="483"/>
      <c r="U42" s="483"/>
      <c r="V42" s="483"/>
      <c r="W42" s="483"/>
      <c r="X42" s="483"/>
      <c r="Y42" s="483"/>
      <c r="Z42" s="483"/>
      <c r="AA42" s="483"/>
      <c r="AB42" s="483"/>
      <c r="AC42" s="483"/>
    </row>
    <row r="43" spans="1:29" ht="15.75" customHeight="1">
      <c r="A43" s="495">
        <v>8</v>
      </c>
      <c r="B43" s="864" t="s">
        <v>2701</v>
      </c>
      <c r="C43" s="864"/>
      <c r="D43" s="864"/>
      <c r="E43" s="864"/>
      <c r="F43" s="864"/>
      <c r="G43" s="864"/>
      <c r="H43" s="864"/>
      <c r="I43" s="865"/>
      <c r="J43" s="482"/>
      <c r="K43" s="483"/>
      <c r="L43" s="483"/>
      <c r="M43" s="483"/>
      <c r="N43" s="483"/>
      <c r="O43" s="483"/>
      <c r="P43" s="483"/>
      <c r="Q43" s="483"/>
      <c r="R43" s="483"/>
      <c r="S43" s="483"/>
      <c r="T43" s="483"/>
      <c r="U43" s="483"/>
      <c r="V43" s="483"/>
      <c r="W43" s="483"/>
      <c r="X43" s="483"/>
      <c r="Y43" s="483"/>
      <c r="Z43" s="483"/>
      <c r="AA43" s="483"/>
      <c r="AB43" s="483"/>
      <c r="AC43" s="483"/>
    </row>
    <row r="44" spans="1:29" ht="32.25" customHeight="1">
      <c r="A44" s="451">
        <v>8.1</v>
      </c>
      <c r="B44" s="716" t="s">
        <v>2702</v>
      </c>
      <c r="C44" s="716" t="s">
        <v>2703</v>
      </c>
      <c r="D44" s="700">
        <v>0.01</v>
      </c>
      <c r="E44" s="499">
        <f>+D44*I50</f>
        <v>62940897.865754634</v>
      </c>
      <c r="F44" s="715"/>
      <c r="G44" s="715"/>
      <c r="H44" s="715"/>
      <c r="I44" s="502">
        <f>+E44</f>
        <v>62940897.865754634</v>
      </c>
      <c r="J44" s="482"/>
      <c r="K44" s="483"/>
      <c r="L44" s="483"/>
      <c r="M44" s="483"/>
      <c r="N44" s="483"/>
      <c r="O44" s="483"/>
      <c r="P44" s="483"/>
      <c r="Q44" s="483"/>
      <c r="R44" s="483"/>
      <c r="S44" s="483"/>
      <c r="T44" s="483"/>
      <c r="U44" s="483"/>
      <c r="V44" s="483"/>
      <c r="W44" s="483"/>
      <c r="X44" s="483"/>
      <c r="Y44" s="483"/>
      <c r="Z44" s="483"/>
      <c r="AA44" s="483"/>
      <c r="AB44" s="483"/>
      <c r="AC44" s="483"/>
    </row>
    <row r="45" spans="1:29" ht="19.5" customHeight="1">
      <c r="A45" s="495">
        <v>9</v>
      </c>
      <c r="B45" s="864" t="s">
        <v>2704</v>
      </c>
      <c r="C45" s="864"/>
      <c r="D45" s="864"/>
      <c r="E45" s="864"/>
      <c r="F45" s="864"/>
      <c r="G45" s="864"/>
      <c r="H45" s="864"/>
      <c r="I45" s="865"/>
      <c r="J45" s="496"/>
      <c r="K45" s="497"/>
      <c r="L45" s="497"/>
      <c r="M45" s="497"/>
      <c r="N45" s="497"/>
      <c r="O45" s="497"/>
      <c r="P45" s="497"/>
      <c r="Q45" s="497"/>
      <c r="R45" s="497"/>
      <c r="S45" s="497"/>
      <c r="T45" s="497"/>
      <c r="U45" s="497"/>
      <c r="V45" s="497"/>
      <c r="W45" s="497"/>
      <c r="X45" s="497"/>
      <c r="Y45" s="497"/>
      <c r="Z45" s="497"/>
      <c r="AA45" s="497"/>
      <c r="AB45" s="497"/>
      <c r="AC45" s="497"/>
    </row>
    <row r="46" spans="1:29" ht="34.5" customHeight="1">
      <c r="A46" s="451">
        <v>9.6</v>
      </c>
      <c r="B46" s="716" t="s">
        <v>2705</v>
      </c>
      <c r="C46" s="716"/>
      <c r="D46" s="716"/>
      <c r="E46" s="716"/>
      <c r="F46" s="716"/>
      <c r="G46" s="716"/>
      <c r="H46" s="515">
        <v>0.05</v>
      </c>
      <c r="I46" s="502">
        <f>+H46*$I$50</f>
        <v>314704489.3287732</v>
      </c>
      <c r="J46" s="482"/>
      <c r="K46" s="483"/>
      <c r="L46" s="483"/>
      <c r="M46" s="483"/>
      <c r="N46" s="483"/>
      <c r="O46" s="483"/>
      <c r="P46" s="483"/>
      <c r="Q46" s="483"/>
      <c r="R46" s="483"/>
      <c r="S46" s="483"/>
      <c r="T46" s="483"/>
      <c r="U46" s="483"/>
      <c r="V46" s="483"/>
      <c r="W46" s="483"/>
      <c r="X46" s="483"/>
      <c r="Y46" s="483"/>
      <c r="Z46" s="483"/>
      <c r="AA46" s="483"/>
      <c r="AB46" s="483"/>
      <c r="AC46" s="483"/>
    </row>
    <row r="47" spans="1:29" ht="24.75" customHeight="1">
      <c r="A47" s="516"/>
      <c r="B47" s="884" t="s">
        <v>2706</v>
      </c>
      <c r="C47" s="885"/>
      <c r="D47" s="885"/>
      <c r="E47" s="885"/>
      <c r="F47" s="885"/>
      <c r="G47" s="517" t="s">
        <v>1177</v>
      </c>
      <c r="H47" s="518">
        <f>+I47/I50</f>
        <v>0.11069308702277035</v>
      </c>
      <c r="I47" s="519">
        <f>SUM(I11:I46)</f>
        <v>696712228.47452784</v>
      </c>
      <c r="J47" s="621"/>
      <c r="K47" s="520"/>
      <c r="L47" s="483"/>
      <c r="M47" s="483"/>
      <c r="N47" s="483"/>
      <c r="O47" s="483"/>
      <c r="P47" s="483"/>
      <c r="Q47" s="483"/>
      <c r="R47" s="483"/>
      <c r="S47" s="483"/>
      <c r="T47" s="483"/>
      <c r="U47" s="483"/>
      <c r="V47" s="483"/>
      <c r="W47" s="483"/>
      <c r="X47" s="483"/>
      <c r="Y47" s="483"/>
      <c r="Z47" s="483"/>
      <c r="AA47" s="483"/>
      <c r="AB47" s="483"/>
      <c r="AC47" s="483"/>
    </row>
    <row r="48" spans="1:29" ht="24.75" customHeight="1">
      <c r="A48" s="521"/>
      <c r="B48" s="884" t="s">
        <v>2707</v>
      </c>
      <c r="C48" s="885"/>
      <c r="D48" s="885"/>
      <c r="E48" s="885"/>
      <c r="F48" s="885"/>
      <c r="G48" s="522" t="s">
        <v>2708</v>
      </c>
      <c r="H48" s="518">
        <v>0.05</v>
      </c>
      <c r="I48" s="519">
        <f>+I50*H48</f>
        <v>314704489.3287732</v>
      </c>
      <c r="J48" s="482"/>
      <c r="K48" s="483"/>
      <c r="L48" s="483"/>
      <c r="M48" s="483"/>
      <c r="N48" s="483"/>
      <c r="O48" s="483"/>
      <c r="P48" s="483"/>
      <c r="Q48" s="483"/>
      <c r="R48" s="483"/>
      <c r="S48" s="483"/>
      <c r="T48" s="483"/>
      <c r="U48" s="483"/>
      <c r="V48" s="483"/>
      <c r="W48" s="483"/>
      <c r="X48" s="483"/>
      <c r="Y48" s="483"/>
      <c r="Z48" s="483"/>
      <c r="AA48" s="483"/>
      <c r="AB48" s="483"/>
      <c r="AC48" s="483"/>
    </row>
    <row r="49" spans="1:29" ht="24.75" customHeight="1">
      <c r="A49" s="523"/>
      <c r="B49" s="883" t="s">
        <v>2709</v>
      </c>
      <c r="C49" s="883"/>
      <c r="D49" s="883"/>
      <c r="E49" s="883"/>
      <c r="F49" s="883"/>
      <c r="G49" s="883"/>
      <c r="H49" s="524">
        <f>+H47+H48</f>
        <v>0.16069308702277035</v>
      </c>
      <c r="I49" s="525">
        <f>+I48+I47</f>
        <v>1011416717.8033011</v>
      </c>
      <c r="J49" s="635"/>
      <c r="K49" s="526"/>
      <c r="L49" s="483"/>
      <c r="M49" s="520"/>
      <c r="N49" s="483"/>
      <c r="O49" s="483"/>
      <c r="P49" s="483"/>
      <c r="Q49" s="483"/>
      <c r="R49" s="483"/>
      <c r="S49" s="483"/>
      <c r="T49" s="483"/>
      <c r="U49" s="483"/>
      <c r="V49" s="483"/>
      <c r="W49" s="483"/>
      <c r="X49" s="483"/>
      <c r="Y49" s="483"/>
      <c r="Z49" s="483"/>
      <c r="AA49" s="483"/>
      <c r="AB49" s="483"/>
      <c r="AC49" s="483"/>
    </row>
    <row r="50" spans="1:29" ht="24.75" customHeight="1">
      <c r="A50" s="523"/>
      <c r="B50" s="883" t="s">
        <v>2710</v>
      </c>
      <c r="C50" s="883"/>
      <c r="D50" s="883"/>
      <c r="E50" s="883"/>
      <c r="F50" s="883"/>
      <c r="G50" s="883"/>
      <c r="H50" s="497"/>
      <c r="I50" s="527">
        <f>Presupuesto!F654</f>
        <v>6294089786.5754633</v>
      </c>
      <c r="J50" s="482"/>
      <c r="K50" s="526"/>
      <c r="L50" s="483"/>
      <c r="M50" s="520"/>
      <c r="N50" s="483"/>
      <c r="O50" s="483"/>
      <c r="P50" s="483"/>
      <c r="Q50" s="483"/>
      <c r="R50" s="483"/>
      <c r="S50" s="483"/>
      <c r="T50" s="483"/>
      <c r="U50" s="483"/>
      <c r="V50" s="483"/>
      <c r="W50" s="483"/>
      <c r="X50" s="483"/>
      <c r="Y50" s="483"/>
      <c r="Z50" s="483"/>
      <c r="AA50" s="483"/>
      <c r="AB50" s="483"/>
      <c r="AC50" s="483"/>
    </row>
    <row r="51" spans="1:29" ht="32.25" customHeight="1">
      <c r="A51" s="507"/>
      <c r="B51" s="883" t="s">
        <v>2711</v>
      </c>
      <c r="C51" s="883"/>
      <c r="D51" s="883"/>
      <c r="E51" s="883"/>
      <c r="F51" s="883"/>
      <c r="G51" s="883"/>
      <c r="H51" s="883"/>
      <c r="I51" s="527">
        <f>+I50+I49</f>
        <v>7305506504.3787642</v>
      </c>
      <c r="J51" s="482"/>
      <c r="L51" s="483"/>
      <c r="M51" s="520"/>
      <c r="N51" s="483"/>
      <c r="O51" s="483"/>
      <c r="P51" s="483"/>
      <c r="Q51" s="483"/>
      <c r="R51" s="483"/>
      <c r="S51" s="483"/>
      <c r="T51" s="483"/>
      <c r="U51" s="483"/>
      <c r="V51" s="483"/>
      <c r="W51" s="483"/>
      <c r="X51" s="483"/>
      <c r="Y51" s="483"/>
      <c r="Z51" s="483"/>
      <c r="AA51" s="483"/>
      <c r="AB51" s="483"/>
      <c r="AC51" s="483"/>
    </row>
    <row r="52" spans="1:29" ht="15.6" thickBot="1">
      <c r="A52" s="734"/>
      <c r="B52" s="888"/>
      <c r="C52" s="889"/>
      <c r="D52" s="889"/>
      <c r="E52" s="889"/>
      <c r="F52" s="889"/>
      <c r="G52" s="889"/>
      <c r="H52" s="890"/>
      <c r="I52" s="891"/>
      <c r="J52" s="482"/>
      <c r="K52" s="483"/>
      <c r="L52" s="483"/>
      <c r="M52" s="483"/>
      <c r="N52" s="483"/>
      <c r="O52" s="483"/>
      <c r="P52" s="483"/>
      <c r="Q52" s="483"/>
      <c r="R52" s="483"/>
      <c r="S52" s="483"/>
      <c r="T52" s="483"/>
      <c r="U52" s="483"/>
      <c r="V52" s="483"/>
      <c r="W52" s="483"/>
      <c r="X52" s="483"/>
      <c r="Y52" s="483"/>
      <c r="Z52" s="483"/>
      <c r="AA52" s="483"/>
      <c r="AB52" s="483"/>
      <c r="AC52" s="483"/>
    </row>
    <row r="53" spans="1:29">
      <c r="A53" s="544"/>
      <c r="B53" s="731"/>
      <c r="C53" s="544"/>
      <c r="D53" s="732"/>
      <c r="E53" s="733"/>
      <c r="F53" s="733"/>
      <c r="G53" s="886"/>
      <c r="H53" s="887"/>
      <c r="I53" s="545"/>
      <c r="J53" s="483"/>
      <c r="K53" s="483"/>
      <c r="L53" s="483"/>
      <c r="M53" s="483"/>
      <c r="N53" s="483"/>
      <c r="O53" s="483"/>
      <c r="P53" s="483"/>
      <c r="Q53" s="483"/>
      <c r="R53" s="483"/>
      <c r="S53" s="483"/>
      <c r="T53" s="483"/>
      <c r="U53" s="483"/>
      <c r="V53" s="483"/>
      <c r="W53" s="483"/>
      <c r="X53" s="483"/>
      <c r="Y53" s="483"/>
      <c r="Z53" s="483"/>
      <c r="AA53" s="483"/>
      <c r="AB53" s="483"/>
      <c r="AC53" s="483"/>
    </row>
    <row r="54" spans="1:29" ht="40.5" customHeight="1">
      <c r="A54" s="528"/>
      <c r="B54" s="529"/>
      <c r="C54" s="528"/>
      <c r="D54" s="530"/>
      <c r="E54" s="531"/>
      <c r="F54" s="531"/>
      <c r="G54" s="528"/>
      <c r="H54" s="532"/>
      <c r="I54" s="533"/>
      <c r="J54" s="533"/>
      <c r="K54" s="533"/>
      <c r="L54" s="483"/>
      <c r="M54" s="483"/>
      <c r="N54" s="483"/>
      <c r="O54" s="483"/>
      <c r="P54" s="483"/>
      <c r="Q54" s="483"/>
      <c r="R54" s="483"/>
      <c r="S54" s="483"/>
      <c r="T54" s="483"/>
      <c r="U54" s="483"/>
      <c r="V54" s="483"/>
      <c r="W54" s="483"/>
      <c r="X54" s="483"/>
      <c r="Y54" s="483"/>
      <c r="Z54" s="483"/>
      <c r="AA54" s="483"/>
      <c r="AB54" s="483"/>
      <c r="AC54" s="483"/>
    </row>
    <row r="55" spans="1:29" ht="21" customHeight="1">
      <c r="A55" s="528"/>
      <c r="B55" s="529"/>
      <c r="C55" s="528"/>
      <c r="D55" s="530"/>
      <c r="E55" s="531"/>
      <c r="F55" s="531"/>
      <c r="G55" s="528"/>
      <c r="H55" s="532"/>
      <c r="I55" s="533"/>
      <c r="J55" s="533"/>
      <c r="K55" s="533"/>
      <c r="L55" s="483"/>
      <c r="M55" s="483"/>
      <c r="N55" s="483"/>
      <c r="O55" s="483"/>
      <c r="P55" s="483"/>
      <c r="Q55" s="483"/>
      <c r="R55" s="483"/>
      <c r="S55" s="483"/>
      <c r="T55" s="483"/>
      <c r="U55" s="483"/>
      <c r="V55" s="483"/>
      <c r="W55" s="483"/>
      <c r="X55" s="483"/>
      <c r="Y55" s="483"/>
      <c r="Z55" s="483"/>
      <c r="AA55" s="483"/>
      <c r="AB55" s="483"/>
      <c r="AC55" s="483"/>
    </row>
    <row r="56" spans="1:29" ht="21" customHeight="1">
      <c r="A56" s="528"/>
      <c r="B56" s="529"/>
      <c r="C56" s="528"/>
      <c r="D56" s="530"/>
      <c r="E56" s="531"/>
      <c r="F56" s="531"/>
      <c r="G56" s="528"/>
      <c r="H56" s="532"/>
      <c r="I56" s="533"/>
      <c r="J56" s="533"/>
      <c r="K56" s="533"/>
      <c r="L56" s="483"/>
      <c r="M56" s="483"/>
      <c r="N56" s="483"/>
      <c r="O56" s="483"/>
      <c r="P56" s="483"/>
      <c r="Q56" s="483"/>
      <c r="R56" s="483"/>
      <c r="S56" s="483"/>
      <c r="T56" s="483"/>
      <c r="U56" s="483"/>
      <c r="V56" s="483"/>
      <c r="W56" s="483"/>
      <c r="X56" s="483"/>
      <c r="Y56" s="483"/>
      <c r="Z56" s="483"/>
      <c r="AA56" s="483"/>
      <c r="AB56" s="483"/>
      <c r="AC56" s="483"/>
    </row>
    <row r="57" spans="1:29" ht="21" customHeight="1">
      <c r="A57" s="528"/>
      <c r="B57" s="529"/>
      <c r="C57" s="528"/>
      <c r="D57" s="530"/>
      <c r="E57" s="531"/>
      <c r="F57" s="531"/>
      <c r="G57" s="528"/>
      <c r="H57" s="532"/>
      <c r="I57" s="533"/>
      <c r="J57" s="533"/>
      <c r="K57" s="533"/>
      <c r="L57" s="483"/>
      <c r="M57" s="483"/>
      <c r="N57" s="483"/>
      <c r="O57" s="483"/>
      <c r="P57" s="483"/>
      <c r="Q57" s="483"/>
      <c r="R57" s="483"/>
      <c r="S57" s="483"/>
      <c r="T57" s="483"/>
      <c r="U57" s="483"/>
      <c r="V57" s="483"/>
      <c r="W57" s="483"/>
      <c r="X57" s="483"/>
      <c r="Y57" s="483"/>
      <c r="Z57" s="483"/>
      <c r="AA57" s="483"/>
      <c r="AB57" s="483"/>
      <c r="AC57" s="483"/>
    </row>
    <row r="58" spans="1:29" ht="21" customHeight="1">
      <c r="A58" s="528"/>
      <c r="B58" s="529"/>
      <c r="C58" s="528"/>
      <c r="D58" s="530"/>
      <c r="E58" s="531"/>
      <c r="F58" s="531"/>
      <c r="G58" s="528"/>
      <c r="H58" s="532"/>
      <c r="I58" s="533"/>
      <c r="J58" s="533"/>
      <c r="K58" s="533"/>
      <c r="L58" s="483"/>
      <c r="M58" s="483"/>
      <c r="N58" s="483"/>
      <c r="O58" s="483"/>
      <c r="P58" s="483"/>
      <c r="Q58" s="483"/>
      <c r="R58" s="483"/>
      <c r="S58" s="483"/>
      <c r="T58" s="483"/>
      <c r="U58" s="483"/>
      <c r="V58" s="483"/>
      <c r="W58" s="483"/>
      <c r="X58" s="483"/>
      <c r="Y58" s="483"/>
      <c r="Z58" s="483"/>
      <c r="AA58" s="483"/>
      <c r="AB58" s="483"/>
      <c r="AC58" s="483"/>
    </row>
    <row r="59" spans="1:29" ht="21" customHeight="1">
      <c r="A59" s="528"/>
      <c r="B59" s="529"/>
      <c r="C59" s="528"/>
      <c r="D59" s="530"/>
      <c r="E59" s="531"/>
      <c r="F59" s="531"/>
      <c r="G59" s="528"/>
      <c r="H59" s="532"/>
      <c r="I59" s="533"/>
      <c r="J59" s="533"/>
      <c r="K59" s="533"/>
      <c r="L59" s="483"/>
      <c r="M59" s="483"/>
      <c r="N59" s="483"/>
      <c r="O59" s="483"/>
      <c r="P59" s="483"/>
      <c r="Q59" s="483"/>
      <c r="R59" s="483"/>
      <c r="S59" s="483"/>
      <c r="T59" s="483"/>
      <c r="U59" s="483"/>
      <c r="V59" s="483"/>
      <c r="W59" s="483"/>
      <c r="X59" s="483"/>
      <c r="Y59" s="483"/>
      <c r="Z59" s="483"/>
      <c r="AA59" s="483"/>
      <c r="AB59" s="483"/>
      <c r="AC59" s="483"/>
    </row>
    <row r="60" spans="1:29" ht="12.75" customHeight="1">
      <c r="A60" s="528"/>
      <c r="B60" s="533"/>
      <c r="C60" s="533"/>
      <c r="D60" s="534"/>
      <c r="E60" s="535"/>
      <c r="F60" s="535"/>
      <c r="G60" s="534"/>
      <c r="H60" s="536"/>
      <c r="I60" s="537"/>
      <c r="J60" s="533"/>
      <c r="K60" s="533"/>
      <c r="L60" s="483"/>
      <c r="M60" s="483"/>
      <c r="N60" s="483"/>
      <c r="O60" s="483"/>
      <c r="P60" s="483"/>
      <c r="Q60" s="483"/>
      <c r="R60" s="483"/>
      <c r="S60" s="483"/>
      <c r="T60" s="483"/>
      <c r="U60" s="483"/>
      <c r="V60" s="483"/>
      <c r="W60" s="483"/>
      <c r="X60" s="483"/>
      <c r="Y60" s="483"/>
      <c r="Z60" s="483"/>
      <c r="AA60" s="483"/>
      <c r="AB60" s="483"/>
      <c r="AC60" s="483"/>
    </row>
    <row r="61" spans="1:29" ht="12.75" customHeight="1">
      <c r="A61" s="538"/>
      <c r="B61" s="539"/>
      <c r="C61" s="539"/>
      <c r="D61" s="540"/>
      <c r="E61" s="541"/>
      <c r="F61" s="541"/>
      <c r="G61" s="540"/>
      <c r="H61" s="542"/>
      <c r="I61" s="543"/>
      <c r="J61" s="539"/>
      <c r="K61" s="539"/>
      <c r="L61" s="482"/>
      <c r="M61" s="483"/>
      <c r="N61" s="483"/>
      <c r="O61" s="483"/>
      <c r="P61" s="483"/>
      <c r="Q61" s="483"/>
      <c r="R61" s="483"/>
      <c r="S61" s="483"/>
      <c r="T61" s="483"/>
      <c r="U61" s="483"/>
      <c r="V61" s="483"/>
      <c r="W61" s="483"/>
      <c r="X61" s="483"/>
      <c r="Y61" s="483"/>
      <c r="Z61" s="483"/>
      <c r="AA61" s="483"/>
      <c r="AB61" s="483"/>
      <c r="AC61" s="483"/>
    </row>
    <row r="62" spans="1:29" ht="12.75" customHeight="1">
      <c r="A62" s="538"/>
      <c r="B62" s="539"/>
      <c r="C62" s="539"/>
      <c r="D62" s="540"/>
      <c r="E62" s="541"/>
      <c r="F62" s="541"/>
      <c r="G62" s="540"/>
      <c r="H62" s="542"/>
      <c r="I62" s="543"/>
      <c r="J62" s="539"/>
      <c r="K62" s="539"/>
      <c r="L62" s="482"/>
      <c r="M62" s="483"/>
      <c r="N62" s="483"/>
      <c r="O62" s="483"/>
      <c r="P62" s="483"/>
      <c r="Q62" s="483"/>
      <c r="R62" s="483"/>
      <c r="S62" s="483"/>
      <c r="T62" s="483"/>
      <c r="U62" s="483"/>
      <c r="V62" s="483"/>
      <c r="W62" s="483"/>
      <c r="X62" s="483"/>
      <c r="Y62" s="483"/>
      <c r="Z62" s="483"/>
      <c r="AA62" s="483"/>
      <c r="AB62" s="483"/>
      <c r="AC62" s="483"/>
    </row>
    <row r="63" spans="1:29" ht="12.75" customHeight="1">
      <c r="A63" s="538"/>
      <c r="B63" s="539"/>
      <c r="C63" s="539"/>
      <c r="D63" s="540"/>
      <c r="E63" s="541"/>
      <c r="F63" s="541"/>
      <c r="G63" s="540"/>
      <c r="H63" s="542"/>
      <c r="I63" s="543"/>
      <c r="J63" s="539"/>
      <c r="K63" s="539"/>
      <c r="L63" s="482"/>
      <c r="M63" s="483"/>
      <c r="N63" s="483"/>
      <c r="O63" s="483"/>
      <c r="P63" s="483"/>
      <c r="Q63" s="483"/>
      <c r="R63" s="483"/>
      <c r="S63" s="483"/>
      <c r="T63" s="483"/>
      <c r="U63" s="483"/>
      <c r="V63" s="483"/>
      <c r="W63" s="483"/>
      <c r="X63" s="483"/>
      <c r="Y63" s="483"/>
      <c r="Z63" s="483"/>
      <c r="AA63" s="483"/>
      <c r="AB63" s="483"/>
      <c r="AC63" s="483"/>
    </row>
    <row r="64" spans="1:29" ht="12.75" customHeight="1">
      <c r="A64" s="538"/>
      <c r="B64" s="539"/>
      <c r="C64" s="539"/>
      <c r="D64" s="540"/>
      <c r="E64" s="541"/>
      <c r="F64" s="541"/>
      <c r="G64" s="540"/>
      <c r="H64" s="542"/>
      <c r="I64" s="543"/>
      <c r="J64" s="539"/>
      <c r="K64" s="539"/>
      <c r="L64" s="482"/>
      <c r="M64" s="483"/>
      <c r="N64" s="483"/>
      <c r="O64" s="483"/>
      <c r="P64" s="483"/>
      <c r="Q64" s="483"/>
      <c r="R64" s="483"/>
      <c r="S64" s="483"/>
      <c r="T64" s="483"/>
      <c r="U64" s="483"/>
      <c r="V64" s="483"/>
      <c r="W64" s="483"/>
      <c r="X64" s="483"/>
      <c r="Y64" s="483"/>
      <c r="Z64" s="483"/>
      <c r="AA64" s="483"/>
      <c r="AB64" s="483"/>
      <c r="AC64" s="483"/>
    </row>
    <row r="65" spans="1:29" ht="12.75" customHeight="1">
      <c r="A65" s="538"/>
      <c r="B65" s="539"/>
      <c r="C65" s="539"/>
      <c r="D65" s="540"/>
      <c r="E65" s="541"/>
      <c r="F65" s="541"/>
      <c r="G65" s="540"/>
      <c r="H65" s="542"/>
      <c r="I65" s="543"/>
      <c r="J65" s="539"/>
      <c r="K65" s="539"/>
      <c r="L65" s="482"/>
      <c r="M65" s="483"/>
      <c r="N65" s="483"/>
      <c r="O65" s="483"/>
      <c r="P65" s="483"/>
      <c r="Q65" s="483"/>
      <c r="R65" s="483"/>
      <c r="S65" s="483"/>
      <c r="T65" s="483"/>
      <c r="U65" s="483"/>
      <c r="V65" s="483"/>
      <c r="W65" s="483"/>
      <c r="X65" s="483"/>
      <c r="Y65" s="483"/>
      <c r="Z65" s="483"/>
      <c r="AA65" s="483"/>
      <c r="AB65" s="483"/>
      <c r="AC65" s="483"/>
    </row>
    <row r="66" spans="1:29" ht="12.75" customHeight="1">
      <c r="A66" s="538"/>
      <c r="B66" s="539"/>
      <c r="C66" s="539"/>
      <c r="D66" s="540"/>
      <c r="E66" s="541"/>
      <c r="F66" s="541"/>
      <c r="G66" s="540"/>
      <c r="H66" s="542"/>
      <c r="I66" s="543"/>
      <c r="J66" s="539"/>
      <c r="K66" s="539"/>
      <c r="L66" s="482"/>
      <c r="M66" s="483"/>
      <c r="N66" s="483"/>
      <c r="O66" s="483"/>
      <c r="P66" s="483"/>
      <c r="Q66" s="483"/>
      <c r="R66" s="483"/>
      <c r="S66" s="483"/>
      <c r="T66" s="483"/>
      <c r="U66" s="483"/>
      <c r="V66" s="483"/>
      <c r="W66" s="483"/>
      <c r="X66" s="483"/>
      <c r="Y66" s="483"/>
      <c r="Z66" s="483"/>
      <c r="AA66" s="483"/>
      <c r="AB66" s="483"/>
      <c r="AC66" s="483"/>
    </row>
    <row r="67" spans="1:29" ht="12.75" customHeight="1">
      <c r="A67" s="538"/>
      <c r="B67" s="539"/>
      <c r="C67" s="539"/>
      <c r="D67" s="540"/>
      <c r="E67" s="541"/>
      <c r="F67" s="541"/>
      <c r="G67" s="540"/>
      <c r="H67" s="542"/>
      <c r="I67" s="543"/>
      <c r="J67" s="539"/>
      <c r="K67" s="539"/>
      <c r="L67" s="482"/>
      <c r="M67" s="483"/>
      <c r="N67" s="483"/>
      <c r="O67" s="483"/>
      <c r="P67" s="483"/>
      <c r="Q67" s="483"/>
      <c r="R67" s="483"/>
      <c r="S67" s="483"/>
      <c r="T67" s="483"/>
      <c r="U67" s="483"/>
      <c r="V67" s="483"/>
      <c r="W67" s="483"/>
      <c r="X67" s="483"/>
      <c r="Y67" s="483"/>
      <c r="Z67" s="483"/>
      <c r="AA67" s="483"/>
      <c r="AB67" s="483"/>
      <c r="AC67" s="483"/>
    </row>
    <row r="68" spans="1:29" ht="12.75" customHeight="1">
      <c r="A68" s="538"/>
      <c r="B68" s="539"/>
      <c r="C68" s="539"/>
      <c r="D68" s="540"/>
      <c r="E68" s="541"/>
      <c r="F68" s="541"/>
      <c r="G68" s="540"/>
      <c r="H68" s="542"/>
      <c r="I68" s="543"/>
      <c r="J68" s="539"/>
      <c r="K68" s="539"/>
      <c r="L68" s="482"/>
      <c r="M68" s="483"/>
      <c r="N68" s="483"/>
      <c r="O68" s="483"/>
      <c r="P68" s="483"/>
      <c r="Q68" s="483"/>
      <c r="R68" s="483"/>
      <c r="S68" s="483"/>
      <c r="T68" s="483"/>
      <c r="U68" s="483"/>
      <c r="V68" s="483"/>
      <c r="W68" s="483"/>
      <c r="X68" s="483"/>
      <c r="Y68" s="483"/>
      <c r="Z68" s="483"/>
      <c r="AA68" s="483"/>
      <c r="AB68" s="483"/>
      <c r="AC68" s="483"/>
    </row>
    <row r="69" spans="1:29" ht="12.75" customHeight="1">
      <c r="A69" s="538"/>
      <c r="B69" s="539"/>
      <c r="C69" s="539"/>
      <c r="D69" s="540"/>
      <c r="E69" s="541"/>
      <c r="F69" s="541"/>
      <c r="G69" s="540"/>
      <c r="H69" s="542"/>
      <c r="I69" s="543"/>
      <c r="J69" s="539"/>
      <c r="K69" s="539"/>
      <c r="L69" s="482"/>
      <c r="M69" s="483"/>
      <c r="N69" s="483"/>
      <c r="O69" s="483"/>
      <c r="P69" s="483"/>
      <c r="Q69" s="483"/>
      <c r="R69" s="483"/>
      <c r="S69" s="483"/>
      <c r="T69" s="483"/>
      <c r="U69" s="483"/>
      <c r="V69" s="483"/>
      <c r="W69" s="483"/>
      <c r="X69" s="483"/>
      <c r="Y69" s="483"/>
      <c r="Z69" s="483"/>
      <c r="AA69" s="483"/>
      <c r="AB69" s="483"/>
      <c r="AC69" s="483"/>
    </row>
    <row r="70" spans="1:29" ht="12.75" customHeight="1">
      <c r="A70" s="538"/>
      <c r="B70" s="539"/>
      <c r="C70" s="539"/>
      <c r="D70" s="540"/>
      <c r="E70" s="541"/>
      <c r="F70" s="541"/>
      <c r="G70" s="540"/>
      <c r="H70" s="542"/>
      <c r="I70" s="543"/>
      <c r="J70" s="539"/>
      <c r="K70" s="539"/>
      <c r="L70" s="482"/>
      <c r="M70" s="483"/>
      <c r="N70" s="483"/>
      <c r="O70" s="483"/>
      <c r="P70" s="483"/>
      <c r="Q70" s="483"/>
      <c r="R70" s="483"/>
      <c r="S70" s="483"/>
      <c r="T70" s="483"/>
      <c r="U70" s="483"/>
      <c r="V70" s="483"/>
      <c r="W70" s="483"/>
      <c r="X70" s="483"/>
      <c r="Y70" s="483"/>
      <c r="Z70" s="483"/>
      <c r="AA70" s="483"/>
      <c r="AB70" s="483"/>
      <c r="AC70" s="483"/>
    </row>
    <row r="71" spans="1:29" ht="12.75" customHeight="1">
      <c r="A71" s="538"/>
      <c r="B71" s="539"/>
      <c r="C71" s="539"/>
      <c r="D71" s="540"/>
      <c r="E71" s="541"/>
      <c r="F71" s="541"/>
      <c r="G71" s="540"/>
      <c r="H71" s="542"/>
      <c r="I71" s="543"/>
      <c r="J71" s="539"/>
      <c r="K71" s="539"/>
      <c r="L71" s="482"/>
      <c r="M71" s="483"/>
      <c r="N71" s="483"/>
      <c r="O71" s="483"/>
      <c r="P71" s="483"/>
      <c r="Q71" s="483"/>
      <c r="R71" s="483"/>
      <c r="S71" s="483"/>
      <c r="T71" s="483"/>
      <c r="U71" s="483"/>
      <c r="V71" s="483"/>
      <c r="W71" s="483"/>
      <c r="X71" s="483"/>
      <c r="Y71" s="483"/>
      <c r="Z71" s="483"/>
      <c r="AA71" s="483"/>
      <c r="AB71" s="483"/>
      <c r="AC71" s="483"/>
    </row>
    <row r="72" spans="1:29" ht="12.75" customHeight="1">
      <c r="A72" s="538"/>
      <c r="B72" s="539"/>
      <c r="C72" s="539"/>
      <c r="D72" s="540"/>
      <c r="E72" s="541"/>
      <c r="F72" s="541"/>
      <c r="G72" s="540"/>
      <c r="H72" s="542"/>
      <c r="I72" s="543"/>
      <c r="J72" s="539"/>
      <c r="K72" s="539"/>
      <c r="L72" s="482"/>
      <c r="M72" s="483"/>
      <c r="N72" s="483"/>
      <c r="O72" s="483"/>
      <c r="P72" s="483"/>
      <c r="Q72" s="483"/>
      <c r="R72" s="483"/>
      <c r="S72" s="483"/>
      <c r="T72" s="483"/>
      <c r="U72" s="483"/>
      <c r="V72" s="483"/>
      <c r="W72" s="483"/>
      <c r="X72" s="483"/>
      <c r="Y72" s="483"/>
      <c r="Z72" s="483"/>
      <c r="AA72" s="483"/>
      <c r="AB72" s="483"/>
      <c r="AC72" s="483"/>
    </row>
    <row r="73" spans="1:29" ht="12.75" customHeight="1">
      <c r="A73" s="538"/>
      <c r="B73" s="539"/>
      <c r="C73" s="539"/>
      <c r="D73" s="540"/>
      <c r="E73" s="541"/>
      <c r="F73" s="541"/>
      <c r="G73" s="540"/>
      <c r="H73" s="542"/>
      <c r="I73" s="543"/>
      <c r="J73" s="539"/>
      <c r="K73" s="539"/>
      <c r="L73" s="482"/>
      <c r="M73" s="483"/>
      <c r="N73" s="483"/>
      <c r="O73" s="483"/>
      <c r="P73" s="483"/>
      <c r="Q73" s="483"/>
      <c r="R73" s="483"/>
      <c r="S73" s="483"/>
      <c r="T73" s="483"/>
      <c r="U73" s="483"/>
      <c r="V73" s="483"/>
      <c r="W73" s="483"/>
      <c r="X73" s="483"/>
      <c r="Y73" s="483"/>
      <c r="Z73" s="483"/>
      <c r="AA73" s="483"/>
      <c r="AB73" s="483"/>
      <c r="AC73" s="483"/>
    </row>
    <row r="74" spans="1:29" ht="12.75" customHeight="1">
      <c r="A74" s="538"/>
      <c r="B74" s="539"/>
      <c r="C74" s="539"/>
      <c r="D74" s="540"/>
      <c r="E74" s="541"/>
      <c r="F74" s="541"/>
      <c r="G74" s="540"/>
      <c r="H74" s="542"/>
      <c r="I74" s="543"/>
      <c r="J74" s="539"/>
      <c r="K74" s="539"/>
      <c r="L74" s="482"/>
      <c r="M74" s="483"/>
      <c r="N74" s="483"/>
      <c r="O74" s="483"/>
      <c r="P74" s="483"/>
      <c r="Q74" s="483"/>
      <c r="R74" s="483"/>
      <c r="S74" s="483"/>
      <c r="T74" s="483"/>
      <c r="U74" s="483"/>
      <c r="V74" s="483"/>
      <c r="W74" s="483"/>
      <c r="X74" s="483"/>
      <c r="Y74" s="483"/>
      <c r="Z74" s="483"/>
      <c r="AA74" s="483"/>
      <c r="AB74" s="483"/>
      <c r="AC74" s="483"/>
    </row>
    <row r="75" spans="1:29" ht="12.75" customHeight="1">
      <c r="A75" s="538"/>
      <c r="B75" s="539"/>
      <c r="C75" s="539"/>
      <c r="D75" s="540"/>
      <c r="E75" s="541"/>
      <c r="F75" s="541"/>
      <c r="G75" s="540"/>
      <c r="H75" s="542"/>
      <c r="I75" s="543"/>
      <c r="J75" s="539"/>
      <c r="K75" s="539"/>
      <c r="L75" s="482"/>
      <c r="M75" s="483"/>
      <c r="N75" s="483"/>
      <c r="O75" s="483"/>
      <c r="P75" s="483"/>
      <c r="Q75" s="483"/>
      <c r="R75" s="483"/>
      <c r="S75" s="483"/>
      <c r="T75" s="483"/>
      <c r="U75" s="483"/>
      <c r="V75" s="483"/>
      <c r="W75" s="483"/>
      <c r="X75" s="483"/>
      <c r="Y75" s="483"/>
      <c r="Z75" s="483"/>
      <c r="AA75" s="483"/>
      <c r="AB75" s="483"/>
      <c r="AC75" s="483"/>
    </row>
    <row r="76" spans="1:29" ht="12.75" customHeight="1">
      <c r="A76" s="538"/>
      <c r="B76" s="539"/>
      <c r="C76" s="539"/>
      <c r="D76" s="540"/>
      <c r="E76" s="541"/>
      <c r="F76" s="541"/>
      <c r="G76" s="540"/>
      <c r="H76" s="542"/>
      <c r="I76" s="543"/>
      <c r="J76" s="539"/>
      <c r="K76" s="539"/>
      <c r="L76" s="482"/>
      <c r="M76" s="483"/>
      <c r="N76" s="483"/>
      <c r="O76" s="483"/>
      <c r="P76" s="483"/>
      <c r="Q76" s="483"/>
      <c r="R76" s="483"/>
      <c r="S76" s="483"/>
      <c r="T76" s="483"/>
      <c r="U76" s="483"/>
      <c r="V76" s="483"/>
      <c r="W76" s="483"/>
      <c r="X76" s="483"/>
      <c r="Y76" s="483"/>
      <c r="Z76" s="483"/>
      <c r="AA76" s="483"/>
      <c r="AB76" s="483"/>
      <c r="AC76" s="483"/>
    </row>
    <row r="77" spans="1:29" ht="12.75" customHeight="1">
      <c r="A77" s="538"/>
      <c r="B77" s="539"/>
      <c r="C77" s="539"/>
      <c r="D77" s="540"/>
      <c r="E77" s="541"/>
      <c r="F77" s="541"/>
      <c r="G77" s="540"/>
      <c r="H77" s="542"/>
      <c r="I77" s="543"/>
      <c r="J77" s="539"/>
      <c r="K77" s="539"/>
      <c r="L77" s="482"/>
      <c r="M77" s="483"/>
      <c r="N77" s="483"/>
      <c r="O77" s="483"/>
      <c r="P77" s="483"/>
      <c r="Q77" s="483"/>
      <c r="R77" s="483"/>
      <c r="S77" s="483"/>
      <c r="T77" s="483"/>
      <c r="U77" s="483"/>
      <c r="V77" s="483"/>
      <c r="W77" s="483"/>
      <c r="X77" s="483"/>
      <c r="Y77" s="483"/>
      <c r="Z77" s="483"/>
      <c r="AA77" s="483"/>
      <c r="AB77" s="483"/>
      <c r="AC77" s="483"/>
    </row>
    <row r="78" spans="1:29" ht="12.75" customHeight="1">
      <c r="A78" s="538"/>
      <c r="B78" s="539"/>
      <c r="C78" s="539"/>
      <c r="D78" s="540"/>
      <c r="E78" s="541"/>
      <c r="F78" s="541"/>
      <c r="G78" s="540"/>
      <c r="H78" s="542"/>
      <c r="I78" s="543"/>
      <c r="J78" s="539"/>
      <c r="K78" s="539"/>
      <c r="L78" s="482"/>
      <c r="M78" s="483"/>
      <c r="N78" s="483"/>
      <c r="O78" s="483"/>
      <c r="P78" s="483"/>
      <c r="Q78" s="483"/>
      <c r="R78" s="483"/>
      <c r="S78" s="483"/>
      <c r="T78" s="483"/>
      <c r="U78" s="483"/>
      <c r="V78" s="483"/>
      <c r="W78" s="483"/>
      <c r="X78" s="483"/>
      <c r="Y78" s="483"/>
      <c r="Z78" s="483"/>
      <c r="AA78" s="483"/>
      <c r="AB78" s="483"/>
      <c r="AC78" s="483"/>
    </row>
    <row r="79" spans="1:29" ht="12.75" customHeight="1">
      <c r="A79" s="538"/>
      <c r="B79" s="539"/>
      <c r="C79" s="539"/>
      <c r="D79" s="540"/>
      <c r="E79" s="541"/>
      <c r="F79" s="541"/>
      <c r="G79" s="540"/>
      <c r="H79" s="542"/>
      <c r="I79" s="543"/>
      <c r="J79" s="539"/>
      <c r="K79" s="539"/>
      <c r="L79" s="482"/>
      <c r="M79" s="483"/>
      <c r="N79" s="483"/>
      <c r="O79" s="483"/>
      <c r="P79" s="483"/>
      <c r="Q79" s="483"/>
      <c r="R79" s="483"/>
      <c r="S79" s="483"/>
      <c r="T79" s="483"/>
      <c r="U79" s="483"/>
      <c r="V79" s="483"/>
      <c r="W79" s="483"/>
      <c r="X79" s="483"/>
      <c r="Y79" s="483"/>
      <c r="Z79" s="483"/>
      <c r="AA79" s="483"/>
      <c r="AB79" s="483"/>
      <c r="AC79" s="483"/>
    </row>
    <row r="80" spans="1:29" ht="12.75" customHeight="1">
      <c r="A80" s="538"/>
      <c r="B80" s="539"/>
      <c r="C80" s="539"/>
      <c r="D80" s="540"/>
      <c r="E80" s="541"/>
      <c r="F80" s="541"/>
      <c r="G80" s="540"/>
      <c r="H80" s="542"/>
      <c r="I80" s="543"/>
      <c r="J80" s="539"/>
      <c r="K80" s="539"/>
      <c r="L80" s="482"/>
      <c r="M80" s="483"/>
      <c r="N80" s="483"/>
      <c r="O80" s="483"/>
      <c r="P80" s="483"/>
      <c r="Q80" s="483"/>
      <c r="R80" s="483"/>
      <c r="S80" s="483"/>
      <c r="T80" s="483"/>
      <c r="U80" s="483"/>
      <c r="V80" s="483"/>
      <c r="W80" s="483"/>
      <c r="X80" s="483"/>
      <c r="Y80" s="483"/>
      <c r="Z80" s="483"/>
      <c r="AA80" s="483"/>
      <c r="AB80" s="483"/>
      <c r="AC80" s="483"/>
    </row>
    <row r="81" spans="1:29" ht="12.75" customHeight="1">
      <c r="A81" s="538"/>
      <c r="B81" s="539"/>
      <c r="C81" s="539"/>
      <c r="D81" s="540"/>
      <c r="E81" s="541"/>
      <c r="F81" s="541"/>
      <c r="G81" s="540"/>
      <c r="H81" s="542"/>
      <c r="I81" s="543"/>
      <c r="J81" s="539"/>
      <c r="K81" s="539"/>
      <c r="L81" s="482"/>
      <c r="M81" s="483"/>
      <c r="N81" s="483"/>
      <c r="O81" s="483"/>
      <c r="P81" s="483"/>
      <c r="Q81" s="483"/>
      <c r="R81" s="483"/>
      <c r="S81" s="483"/>
      <c r="T81" s="483"/>
      <c r="U81" s="483"/>
      <c r="V81" s="483"/>
      <c r="W81" s="483"/>
      <c r="X81" s="483"/>
      <c r="Y81" s="483"/>
      <c r="Z81" s="483"/>
      <c r="AA81" s="483"/>
      <c r="AB81" s="483"/>
      <c r="AC81" s="483"/>
    </row>
    <row r="82" spans="1:29" ht="12.75" customHeight="1">
      <c r="A82" s="538"/>
      <c r="B82" s="539"/>
      <c r="C82" s="539"/>
      <c r="D82" s="540"/>
      <c r="E82" s="541"/>
      <c r="F82" s="541"/>
      <c r="G82" s="540"/>
      <c r="H82" s="542"/>
      <c r="I82" s="543"/>
      <c r="J82" s="539"/>
      <c r="K82" s="539"/>
      <c r="L82" s="482"/>
      <c r="M82" s="483"/>
      <c r="N82" s="483"/>
      <c r="O82" s="483"/>
      <c r="P82" s="483"/>
      <c r="Q82" s="483"/>
      <c r="R82" s="483"/>
      <c r="S82" s="483"/>
      <c r="T82" s="483"/>
      <c r="U82" s="483"/>
      <c r="V82" s="483"/>
      <c r="W82" s="483"/>
      <c r="X82" s="483"/>
      <c r="Y82" s="483"/>
      <c r="Z82" s="483"/>
      <c r="AA82" s="483"/>
      <c r="AB82" s="483"/>
      <c r="AC82" s="483"/>
    </row>
    <row r="83" spans="1:29" ht="12.75" customHeight="1">
      <c r="A83" s="538"/>
      <c r="B83" s="539"/>
      <c r="C83" s="539"/>
      <c r="D83" s="540"/>
      <c r="E83" s="541"/>
      <c r="F83" s="541"/>
      <c r="G83" s="540"/>
      <c r="H83" s="542"/>
      <c r="I83" s="543"/>
      <c r="J83" s="539"/>
      <c r="K83" s="539"/>
      <c r="L83" s="482"/>
      <c r="M83" s="483"/>
      <c r="N83" s="483"/>
      <c r="O83" s="483"/>
      <c r="P83" s="483"/>
      <c r="Q83" s="483"/>
      <c r="R83" s="483"/>
      <c r="S83" s="483"/>
      <c r="T83" s="483"/>
      <c r="U83" s="483"/>
      <c r="V83" s="483"/>
      <c r="W83" s="483"/>
      <c r="X83" s="483"/>
      <c r="Y83" s="483"/>
      <c r="Z83" s="483"/>
      <c r="AA83" s="483"/>
      <c r="AB83" s="483"/>
      <c r="AC83" s="483"/>
    </row>
    <row r="84" spans="1:29" ht="12.75" customHeight="1">
      <c r="A84" s="538"/>
      <c r="B84" s="539"/>
      <c r="C84" s="539"/>
      <c r="D84" s="540"/>
      <c r="E84" s="541"/>
      <c r="F84" s="541"/>
      <c r="G84" s="540"/>
      <c r="H84" s="542"/>
      <c r="I84" s="543"/>
      <c r="J84" s="539"/>
      <c r="K84" s="539"/>
      <c r="L84" s="482"/>
      <c r="M84" s="483"/>
      <c r="N84" s="483"/>
      <c r="O84" s="483"/>
      <c r="P84" s="483"/>
      <c r="Q84" s="483"/>
      <c r="R84" s="483"/>
      <c r="S84" s="483"/>
      <c r="T84" s="483"/>
      <c r="U84" s="483"/>
      <c r="V84" s="483"/>
      <c r="W84" s="483"/>
      <c r="X84" s="483"/>
      <c r="Y84" s="483"/>
      <c r="Z84" s="483"/>
      <c r="AA84" s="483"/>
      <c r="AB84" s="483"/>
      <c r="AC84" s="483"/>
    </row>
    <row r="85" spans="1:29" ht="12.75" customHeight="1">
      <c r="A85" s="538"/>
      <c r="B85" s="539"/>
      <c r="C85" s="539"/>
      <c r="D85" s="540"/>
      <c r="E85" s="541"/>
      <c r="F85" s="541"/>
      <c r="G85" s="540"/>
      <c r="H85" s="542"/>
      <c r="I85" s="543"/>
      <c r="J85" s="539"/>
      <c r="K85" s="539"/>
      <c r="L85" s="482"/>
      <c r="M85" s="483"/>
      <c r="N85" s="483"/>
      <c r="O85" s="483"/>
      <c r="P85" s="483"/>
      <c r="Q85" s="483"/>
      <c r="R85" s="483"/>
      <c r="S85" s="483"/>
      <c r="T85" s="483"/>
      <c r="U85" s="483"/>
      <c r="V85" s="483"/>
      <c r="W85" s="483"/>
      <c r="X85" s="483"/>
      <c r="Y85" s="483"/>
      <c r="Z85" s="483"/>
      <c r="AA85" s="483"/>
      <c r="AB85" s="483"/>
      <c r="AC85" s="483"/>
    </row>
    <row r="86" spans="1:29" ht="12.75" customHeight="1">
      <c r="A86" s="538"/>
      <c r="B86" s="539"/>
      <c r="C86" s="539"/>
      <c r="D86" s="540"/>
      <c r="E86" s="541"/>
      <c r="F86" s="541"/>
      <c r="G86" s="540"/>
      <c r="H86" s="542"/>
      <c r="I86" s="543"/>
      <c r="J86" s="539"/>
      <c r="K86" s="539"/>
      <c r="L86" s="482"/>
      <c r="M86" s="483"/>
      <c r="N86" s="483"/>
      <c r="O86" s="483"/>
      <c r="P86" s="483"/>
      <c r="Q86" s="483"/>
      <c r="R86" s="483"/>
      <c r="S86" s="483"/>
      <c r="T86" s="483"/>
      <c r="U86" s="483"/>
      <c r="V86" s="483"/>
      <c r="W86" s="483"/>
      <c r="X86" s="483"/>
      <c r="Y86" s="483"/>
      <c r="Z86" s="483"/>
      <c r="AA86" s="483"/>
      <c r="AB86" s="483"/>
      <c r="AC86" s="483"/>
    </row>
    <row r="87" spans="1:29" ht="12.75" customHeight="1">
      <c r="A87" s="538"/>
      <c r="B87" s="539"/>
      <c r="C87" s="539"/>
      <c r="D87" s="540"/>
      <c r="E87" s="541"/>
      <c r="F87" s="541"/>
      <c r="G87" s="540"/>
      <c r="H87" s="542"/>
      <c r="I87" s="543"/>
      <c r="J87" s="539"/>
      <c r="K87" s="539"/>
      <c r="L87" s="482"/>
      <c r="M87" s="483"/>
      <c r="N87" s="483"/>
      <c r="O87" s="483"/>
      <c r="P87" s="483"/>
      <c r="Q87" s="483"/>
      <c r="R87" s="483"/>
      <c r="S87" s="483"/>
      <c r="T87" s="483"/>
      <c r="U87" s="483"/>
      <c r="V87" s="483"/>
      <c r="W87" s="483"/>
      <c r="X87" s="483"/>
      <c r="Y87" s="483"/>
      <c r="Z87" s="483"/>
      <c r="AA87" s="483"/>
      <c r="AB87" s="483"/>
      <c r="AC87" s="483"/>
    </row>
    <row r="88" spans="1:29" ht="12.75" customHeight="1">
      <c r="A88" s="538"/>
      <c r="B88" s="539"/>
      <c r="C88" s="539"/>
      <c r="D88" s="540"/>
      <c r="E88" s="541"/>
      <c r="F88" s="541"/>
      <c r="G88" s="540"/>
      <c r="H88" s="542"/>
      <c r="I88" s="543"/>
      <c r="J88" s="539"/>
      <c r="K88" s="539"/>
      <c r="L88" s="482"/>
      <c r="M88" s="483"/>
      <c r="N88" s="483"/>
      <c r="O88" s="483"/>
      <c r="P88" s="483"/>
      <c r="Q88" s="483"/>
      <c r="R88" s="483"/>
      <c r="S88" s="483"/>
      <c r="T88" s="483"/>
      <c r="U88" s="483"/>
      <c r="V88" s="483"/>
      <c r="W88" s="483"/>
      <c r="X88" s="483"/>
      <c r="Y88" s="483"/>
      <c r="Z88" s="483"/>
      <c r="AA88" s="483"/>
      <c r="AB88" s="483"/>
      <c r="AC88" s="483"/>
    </row>
    <row r="89" spans="1:29" ht="12.75" customHeight="1">
      <c r="A89" s="538"/>
      <c r="B89" s="539"/>
      <c r="C89" s="539"/>
      <c r="D89" s="540"/>
      <c r="E89" s="541"/>
      <c r="F89" s="541"/>
      <c r="G89" s="540"/>
      <c r="H89" s="542"/>
      <c r="I89" s="543"/>
      <c r="J89" s="539"/>
      <c r="K89" s="539"/>
      <c r="L89" s="482"/>
      <c r="M89" s="483"/>
      <c r="N89" s="483"/>
      <c r="O89" s="483"/>
      <c r="P89" s="483"/>
      <c r="Q89" s="483"/>
      <c r="R89" s="483"/>
      <c r="S89" s="483"/>
      <c r="T89" s="483"/>
      <c r="U89" s="483"/>
      <c r="V89" s="483"/>
      <c r="W89" s="483"/>
      <c r="X89" s="483"/>
      <c r="Y89" s="483"/>
      <c r="Z89" s="483"/>
      <c r="AA89" s="483"/>
      <c r="AB89" s="483"/>
      <c r="AC89" s="483"/>
    </row>
    <row r="90" spans="1:29" ht="12.75" customHeight="1">
      <c r="A90" s="538"/>
      <c r="B90" s="539"/>
      <c r="C90" s="539"/>
      <c r="D90" s="540"/>
      <c r="E90" s="541"/>
      <c r="F90" s="541"/>
      <c r="G90" s="540"/>
      <c r="H90" s="542"/>
      <c r="I90" s="543"/>
      <c r="J90" s="539"/>
      <c r="K90" s="539"/>
      <c r="L90" s="482"/>
      <c r="M90" s="483"/>
      <c r="N90" s="483"/>
      <c r="O90" s="483"/>
      <c r="P90" s="483"/>
      <c r="Q90" s="483"/>
      <c r="R90" s="483"/>
      <c r="S90" s="483"/>
      <c r="T90" s="483"/>
      <c r="U90" s="483"/>
      <c r="V90" s="483"/>
      <c r="W90" s="483"/>
      <c r="X90" s="483"/>
      <c r="Y90" s="483"/>
      <c r="Z90" s="483"/>
      <c r="AA90" s="483"/>
      <c r="AB90" s="483"/>
      <c r="AC90" s="483"/>
    </row>
    <row r="91" spans="1:29" ht="12.75" customHeight="1">
      <c r="A91" s="538"/>
      <c r="B91" s="539"/>
      <c r="C91" s="539"/>
      <c r="D91" s="540"/>
      <c r="E91" s="541"/>
      <c r="F91" s="541"/>
      <c r="G91" s="540"/>
      <c r="H91" s="542"/>
      <c r="I91" s="543"/>
      <c r="J91" s="539"/>
      <c r="K91" s="539"/>
      <c r="L91" s="482"/>
      <c r="M91" s="483"/>
      <c r="N91" s="483"/>
      <c r="O91" s="483"/>
      <c r="P91" s="483"/>
      <c r="Q91" s="483"/>
      <c r="R91" s="483"/>
      <c r="S91" s="483"/>
      <c r="T91" s="483"/>
      <c r="U91" s="483"/>
      <c r="V91" s="483"/>
      <c r="W91" s="483"/>
      <c r="X91" s="483"/>
      <c r="Y91" s="483"/>
      <c r="Z91" s="483"/>
      <c r="AA91" s="483"/>
      <c r="AB91" s="483"/>
      <c r="AC91" s="483"/>
    </row>
    <row r="92" spans="1:29" ht="12.75" customHeight="1">
      <c r="A92" s="538"/>
      <c r="B92" s="539"/>
      <c r="C92" s="539"/>
      <c r="D92" s="540"/>
      <c r="E92" s="541"/>
      <c r="F92" s="541"/>
      <c r="G92" s="540"/>
      <c r="H92" s="542"/>
      <c r="I92" s="543"/>
      <c r="J92" s="539"/>
      <c r="K92" s="539"/>
      <c r="L92" s="482"/>
      <c r="M92" s="483"/>
      <c r="N92" s="483"/>
      <c r="O92" s="483"/>
      <c r="P92" s="483"/>
      <c r="Q92" s="483"/>
      <c r="R92" s="483"/>
      <c r="S92" s="483"/>
      <c r="T92" s="483"/>
      <c r="U92" s="483"/>
      <c r="V92" s="483"/>
      <c r="W92" s="483"/>
      <c r="X92" s="483"/>
      <c r="Y92" s="483"/>
      <c r="Z92" s="483"/>
      <c r="AA92" s="483"/>
      <c r="AB92" s="483"/>
      <c r="AC92" s="483"/>
    </row>
    <row r="93" spans="1:29" ht="12.75" customHeight="1">
      <c r="A93" s="538"/>
      <c r="B93" s="539"/>
      <c r="C93" s="539"/>
      <c r="D93" s="540"/>
      <c r="E93" s="541"/>
      <c r="F93" s="541"/>
      <c r="G93" s="540"/>
      <c r="H93" s="542"/>
      <c r="I93" s="543"/>
      <c r="J93" s="539"/>
      <c r="K93" s="539"/>
      <c r="L93" s="482"/>
      <c r="M93" s="483"/>
      <c r="N93" s="483"/>
      <c r="O93" s="483"/>
      <c r="P93" s="483"/>
      <c r="Q93" s="483"/>
      <c r="R93" s="483"/>
      <c r="S93" s="483"/>
      <c r="T93" s="483"/>
      <c r="U93" s="483"/>
      <c r="V93" s="483"/>
      <c r="W93" s="483"/>
      <c r="X93" s="483"/>
      <c r="Y93" s="483"/>
      <c r="Z93" s="483"/>
      <c r="AA93" s="483"/>
      <c r="AB93" s="483"/>
      <c r="AC93" s="483"/>
    </row>
    <row r="94" spans="1:29" ht="12.75" customHeight="1">
      <c r="A94" s="538"/>
      <c r="B94" s="539"/>
      <c r="C94" s="539"/>
      <c r="D94" s="540"/>
      <c r="E94" s="541"/>
      <c r="F94" s="541"/>
      <c r="G94" s="540"/>
      <c r="H94" s="542"/>
      <c r="I94" s="543"/>
      <c r="J94" s="539"/>
      <c r="K94" s="539"/>
      <c r="L94" s="482"/>
      <c r="M94" s="483"/>
      <c r="N94" s="483"/>
      <c r="O94" s="483"/>
      <c r="P94" s="483"/>
      <c r="Q94" s="483"/>
      <c r="R94" s="483"/>
      <c r="S94" s="483"/>
      <c r="T94" s="483"/>
      <c r="U94" s="483"/>
      <c r="V94" s="483"/>
      <c r="W94" s="483"/>
      <c r="X94" s="483"/>
      <c r="Y94" s="483"/>
      <c r="Z94" s="483"/>
      <c r="AA94" s="483"/>
      <c r="AB94" s="483"/>
      <c r="AC94" s="483"/>
    </row>
    <row r="95" spans="1:29" ht="12.75" customHeight="1">
      <c r="A95" s="538"/>
      <c r="B95" s="539"/>
      <c r="C95" s="539"/>
      <c r="D95" s="540"/>
      <c r="E95" s="541"/>
      <c r="F95" s="541"/>
      <c r="G95" s="540"/>
      <c r="H95" s="542"/>
      <c r="I95" s="543"/>
      <c r="J95" s="539"/>
      <c r="K95" s="539"/>
      <c r="L95" s="482"/>
      <c r="M95" s="483"/>
      <c r="N95" s="483"/>
      <c r="O95" s="483"/>
      <c r="P95" s="483"/>
      <c r="Q95" s="483"/>
      <c r="R95" s="483"/>
      <c r="S95" s="483"/>
      <c r="T95" s="483"/>
      <c r="U95" s="483"/>
      <c r="V95" s="483"/>
      <c r="W95" s="483"/>
      <c r="X95" s="483"/>
      <c r="Y95" s="483"/>
      <c r="Z95" s="483"/>
      <c r="AA95" s="483"/>
      <c r="AB95" s="483"/>
      <c r="AC95" s="483"/>
    </row>
    <row r="96" spans="1:29" ht="12.75" customHeight="1">
      <c r="A96" s="538"/>
      <c r="B96" s="539"/>
      <c r="C96" s="539"/>
      <c r="D96" s="540"/>
      <c r="E96" s="541"/>
      <c r="F96" s="541"/>
      <c r="G96" s="540"/>
      <c r="H96" s="542"/>
      <c r="I96" s="543"/>
      <c r="J96" s="539"/>
      <c r="K96" s="539"/>
      <c r="L96" s="482"/>
      <c r="M96" s="483"/>
      <c r="N96" s="483"/>
      <c r="O96" s="483"/>
      <c r="P96" s="483"/>
      <c r="Q96" s="483"/>
      <c r="R96" s="483"/>
      <c r="S96" s="483"/>
      <c r="T96" s="483"/>
      <c r="U96" s="483"/>
      <c r="V96" s="483"/>
      <c r="W96" s="483"/>
      <c r="X96" s="483"/>
      <c r="Y96" s="483"/>
      <c r="Z96" s="483"/>
      <c r="AA96" s="483"/>
      <c r="AB96" s="483"/>
      <c r="AC96" s="483"/>
    </row>
    <row r="97" spans="1:29" ht="12.75" customHeight="1">
      <c r="A97" s="538"/>
      <c r="B97" s="539"/>
      <c r="C97" s="539"/>
      <c r="D97" s="540"/>
      <c r="E97" s="541"/>
      <c r="F97" s="541"/>
      <c r="G97" s="540"/>
      <c r="H97" s="542"/>
      <c r="I97" s="543"/>
      <c r="J97" s="539"/>
      <c r="K97" s="539"/>
      <c r="L97" s="482"/>
      <c r="M97" s="483"/>
      <c r="N97" s="483"/>
      <c r="O97" s="483"/>
      <c r="P97" s="483"/>
      <c r="Q97" s="483"/>
      <c r="R97" s="483"/>
      <c r="S97" s="483"/>
      <c r="T97" s="483"/>
      <c r="U97" s="483"/>
      <c r="V97" s="483"/>
      <c r="W97" s="483"/>
      <c r="X97" s="483"/>
      <c r="Y97" s="483"/>
      <c r="Z97" s="483"/>
      <c r="AA97" s="483"/>
      <c r="AB97" s="483"/>
      <c r="AC97" s="483"/>
    </row>
    <row r="98" spans="1:29" ht="12.75" customHeight="1">
      <c r="A98" s="538"/>
      <c r="B98" s="539"/>
      <c r="C98" s="539"/>
      <c r="D98" s="540"/>
      <c r="E98" s="541"/>
      <c r="F98" s="541"/>
      <c r="G98" s="540"/>
      <c r="H98" s="542"/>
      <c r="I98" s="543"/>
      <c r="J98" s="539"/>
      <c r="K98" s="539"/>
      <c r="L98" s="482"/>
      <c r="M98" s="483"/>
      <c r="N98" s="483"/>
      <c r="O98" s="483"/>
      <c r="P98" s="483"/>
      <c r="Q98" s="483"/>
      <c r="R98" s="483"/>
      <c r="S98" s="483"/>
      <c r="T98" s="483"/>
      <c r="U98" s="483"/>
      <c r="V98" s="483"/>
      <c r="W98" s="483"/>
      <c r="X98" s="483"/>
      <c r="Y98" s="483"/>
      <c r="Z98" s="483"/>
      <c r="AA98" s="483"/>
      <c r="AB98" s="483"/>
      <c r="AC98" s="483"/>
    </row>
    <row r="99" spans="1:29" ht="12.75" customHeight="1">
      <c r="A99" s="538"/>
      <c r="B99" s="539"/>
      <c r="C99" s="539"/>
      <c r="D99" s="540"/>
      <c r="E99" s="541"/>
      <c r="F99" s="541"/>
      <c r="G99" s="540"/>
      <c r="H99" s="542"/>
      <c r="I99" s="543"/>
      <c r="J99" s="539"/>
      <c r="K99" s="539"/>
      <c r="L99" s="482"/>
      <c r="M99" s="483"/>
      <c r="N99" s="483"/>
      <c r="O99" s="483"/>
      <c r="P99" s="483"/>
      <c r="Q99" s="483"/>
      <c r="R99" s="483"/>
      <c r="S99" s="483"/>
      <c r="T99" s="483"/>
      <c r="U99" s="483"/>
      <c r="V99" s="483"/>
      <c r="W99" s="483"/>
      <c r="X99" s="483"/>
      <c r="Y99" s="483"/>
      <c r="Z99" s="483"/>
      <c r="AA99" s="483"/>
      <c r="AB99" s="483"/>
      <c r="AC99" s="483"/>
    </row>
    <row r="100" spans="1:29" ht="12.75" customHeight="1">
      <c r="A100" s="538"/>
      <c r="B100" s="539"/>
      <c r="C100" s="539"/>
      <c r="D100" s="540"/>
      <c r="E100" s="541"/>
      <c r="F100" s="541"/>
      <c r="G100" s="540"/>
      <c r="H100" s="542"/>
      <c r="I100" s="543"/>
      <c r="J100" s="539"/>
      <c r="K100" s="539"/>
      <c r="L100" s="482"/>
      <c r="M100" s="483"/>
      <c r="N100" s="483"/>
      <c r="O100" s="483"/>
      <c r="P100" s="483"/>
      <c r="Q100" s="483"/>
      <c r="R100" s="483"/>
      <c r="S100" s="483"/>
      <c r="T100" s="483"/>
      <c r="U100" s="483"/>
      <c r="V100" s="483"/>
      <c r="W100" s="483"/>
      <c r="X100" s="483"/>
      <c r="Y100" s="483"/>
      <c r="Z100" s="483"/>
      <c r="AA100" s="483"/>
      <c r="AB100" s="483"/>
      <c r="AC100" s="483"/>
    </row>
    <row r="101" spans="1:29" ht="12.75" customHeight="1">
      <c r="A101" s="538"/>
      <c r="B101" s="539"/>
      <c r="C101" s="539"/>
      <c r="D101" s="540"/>
      <c r="E101" s="541"/>
      <c r="F101" s="541"/>
      <c r="G101" s="540"/>
      <c r="H101" s="542"/>
      <c r="I101" s="543"/>
      <c r="J101" s="539"/>
      <c r="K101" s="539"/>
      <c r="L101" s="482"/>
      <c r="M101" s="483"/>
      <c r="N101" s="483"/>
      <c r="O101" s="483"/>
      <c r="P101" s="483"/>
      <c r="Q101" s="483"/>
      <c r="R101" s="483"/>
      <c r="S101" s="483"/>
      <c r="T101" s="483"/>
      <c r="U101" s="483"/>
      <c r="V101" s="483"/>
      <c r="W101" s="483"/>
      <c r="X101" s="483"/>
      <c r="Y101" s="483"/>
      <c r="Z101" s="483"/>
      <c r="AA101" s="483"/>
      <c r="AB101" s="483"/>
      <c r="AC101" s="483"/>
    </row>
    <row r="102" spans="1:29" ht="12.75" customHeight="1">
      <c r="A102" s="538"/>
      <c r="B102" s="539"/>
      <c r="C102" s="539"/>
      <c r="D102" s="540"/>
      <c r="E102" s="541"/>
      <c r="F102" s="541"/>
      <c r="G102" s="540"/>
      <c r="H102" s="542"/>
      <c r="I102" s="543"/>
      <c r="J102" s="539"/>
      <c r="K102" s="539"/>
      <c r="L102" s="482"/>
      <c r="M102" s="483"/>
      <c r="N102" s="483"/>
      <c r="O102" s="483"/>
      <c r="P102" s="483"/>
      <c r="Q102" s="483"/>
      <c r="R102" s="483"/>
      <c r="S102" s="483"/>
      <c r="T102" s="483"/>
      <c r="U102" s="483"/>
      <c r="V102" s="483"/>
      <c r="W102" s="483"/>
      <c r="X102" s="483"/>
      <c r="Y102" s="483"/>
      <c r="Z102" s="483"/>
      <c r="AA102" s="483"/>
      <c r="AB102" s="483"/>
      <c r="AC102" s="483"/>
    </row>
    <row r="103" spans="1:29" ht="12.75" customHeight="1">
      <c r="A103" s="538"/>
      <c r="B103" s="539"/>
      <c r="C103" s="539"/>
      <c r="D103" s="540"/>
      <c r="E103" s="541"/>
      <c r="F103" s="541"/>
      <c r="G103" s="540"/>
      <c r="H103" s="542"/>
      <c r="I103" s="543"/>
      <c r="J103" s="539"/>
      <c r="K103" s="539"/>
      <c r="L103" s="482"/>
      <c r="M103" s="483"/>
      <c r="N103" s="483"/>
      <c r="O103" s="483"/>
      <c r="P103" s="483"/>
      <c r="Q103" s="483"/>
      <c r="R103" s="483"/>
      <c r="S103" s="483"/>
      <c r="T103" s="483"/>
      <c r="U103" s="483"/>
      <c r="V103" s="483"/>
      <c r="W103" s="483"/>
      <c r="X103" s="483"/>
      <c r="Y103" s="483"/>
      <c r="Z103" s="483"/>
      <c r="AA103" s="483"/>
      <c r="AB103" s="483"/>
      <c r="AC103" s="483"/>
    </row>
    <row r="104" spans="1:29" ht="12.75" customHeight="1">
      <c r="A104" s="538"/>
      <c r="B104" s="539"/>
      <c r="C104" s="539"/>
      <c r="D104" s="540"/>
      <c r="E104" s="541"/>
      <c r="F104" s="541"/>
      <c r="G104" s="540"/>
      <c r="H104" s="542"/>
      <c r="I104" s="543"/>
      <c r="J104" s="539"/>
      <c r="K104" s="539"/>
      <c r="L104" s="482"/>
      <c r="M104" s="483"/>
      <c r="N104" s="483"/>
      <c r="O104" s="483"/>
      <c r="P104" s="483"/>
      <c r="Q104" s="483"/>
      <c r="R104" s="483"/>
      <c r="S104" s="483"/>
      <c r="T104" s="483"/>
      <c r="U104" s="483"/>
      <c r="V104" s="483"/>
      <c r="W104" s="483"/>
      <c r="X104" s="483"/>
      <c r="Y104" s="483"/>
      <c r="Z104" s="483"/>
      <c r="AA104" s="483"/>
      <c r="AB104" s="483"/>
      <c r="AC104" s="483"/>
    </row>
    <row r="105" spans="1:29" ht="12.75" customHeight="1">
      <c r="A105" s="538"/>
      <c r="B105" s="539"/>
      <c r="C105" s="539"/>
      <c r="D105" s="540"/>
      <c r="E105" s="541"/>
      <c r="F105" s="541"/>
      <c r="G105" s="540"/>
      <c r="H105" s="542"/>
      <c r="I105" s="543"/>
      <c r="J105" s="539"/>
      <c r="K105" s="539"/>
      <c r="L105" s="482"/>
      <c r="M105" s="483"/>
      <c r="N105" s="483"/>
      <c r="O105" s="483"/>
      <c r="P105" s="483"/>
      <c r="Q105" s="483"/>
      <c r="R105" s="483"/>
      <c r="S105" s="483"/>
      <c r="T105" s="483"/>
      <c r="U105" s="483"/>
      <c r="V105" s="483"/>
      <c r="W105" s="483"/>
      <c r="X105" s="483"/>
      <c r="Y105" s="483"/>
      <c r="Z105" s="483"/>
      <c r="AA105" s="483"/>
      <c r="AB105" s="483"/>
      <c r="AC105" s="483"/>
    </row>
    <row r="106" spans="1:29" ht="12.75" customHeight="1">
      <c r="A106" s="538"/>
      <c r="B106" s="539"/>
      <c r="C106" s="539"/>
      <c r="D106" s="540"/>
      <c r="E106" s="541"/>
      <c r="F106" s="541"/>
      <c r="G106" s="540"/>
      <c r="H106" s="542"/>
      <c r="I106" s="543"/>
      <c r="J106" s="539"/>
      <c r="K106" s="539"/>
      <c r="L106" s="482"/>
      <c r="M106" s="483"/>
      <c r="N106" s="483"/>
      <c r="O106" s="483"/>
      <c r="P106" s="483"/>
      <c r="Q106" s="483"/>
      <c r="R106" s="483"/>
      <c r="S106" s="483"/>
      <c r="T106" s="483"/>
      <c r="U106" s="483"/>
      <c r="V106" s="483"/>
      <c r="W106" s="483"/>
      <c r="X106" s="483"/>
      <c r="Y106" s="483"/>
      <c r="Z106" s="483"/>
      <c r="AA106" s="483"/>
      <c r="AB106" s="483"/>
      <c r="AC106" s="483"/>
    </row>
    <row r="107" spans="1:29" ht="12.75" customHeight="1">
      <c r="A107" s="538"/>
      <c r="B107" s="539"/>
      <c r="C107" s="539"/>
      <c r="D107" s="540"/>
      <c r="E107" s="541"/>
      <c r="F107" s="541"/>
      <c r="G107" s="540"/>
      <c r="H107" s="542"/>
      <c r="I107" s="543"/>
      <c r="J107" s="539"/>
      <c r="K107" s="539"/>
      <c r="L107" s="482"/>
      <c r="M107" s="483"/>
      <c r="N107" s="483"/>
      <c r="O107" s="483"/>
      <c r="P107" s="483"/>
      <c r="Q107" s="483"/>
      <c r="R107" s="483"/>
      <c r="S107" s="483"/>
      <c r="T107" s="483"/>
      <c r="U107" s="483"/>
      <c r="V107" s="483"/>
      <c r="W107" s="483"/>
      <c r="X107" s="483"/>
      <c r="Y107" s="483"/>
      <c r="Z107" s="483"/>
      <c r="AA107" s="483"/>
      <c r="AB107" s="483"/>
      <c r="AC107" s="483"/>
    </row>
    <row r="108" spans="1:29" ht="12.75" customHeight="1">
      <c r="A108" s="538"/>
      <c r="B108" s="539"/>
      <c r="C108" s="539"/>
      <c r="D108" s="540"/>
      <c r="E108" s="541"/>
      <c r="F108" s="541"/>
      <c r="G108" s="540"/>
      <c r="H108" s="542"/>
      <c r="I108" s="543"/>
      <c r="J108" s="539"/>
      <c r="K108" s="539"/>
      <c r="L108" s="482"/>
      <c r="M108" s="483"/>
      <c r="N108" s="483"/>
      <c r="O108" s="483"/>
      <c r="P108" s="483"/>
      <c r="Q108" s="483"/>
      <c r="R108" s="483"/>
      <c r="S108" s="483"/>
      <c r="T108" s="483"/>
      <c r="U108" s="483"/>
      <c r="V108" s="483"/>
      <c r="W108" s="483"/>
      <c r="X108" s="483"/>
      <c r="Y108" s="483"/>
      <c r="Z108" s="483"/>
      <c r="AA108" s="483"/>
      <c r="AB108" s="483"/>
      <c r="AC108" s="483"/>
    </row>
    <row r="109" spans="1:29" ht="12.75" customHeight="1">
      <c r="A109" s="538"/>
      <c r="B109" s="539"/>
      <c r="C109" s="539"/>
      <c r="D109" s="540"/>
      <c r="E109" s="541"/>
      <c r="F109" s="541"/>
      <c r="G109" s="540"/>
      <c r="H109" s="542"/>
      <c r="I109" s="543"/>
      <c r="J109" s="539"/>
      <c r="K109" s="539"/>
      <c r="L109" s="482"/>
      <c r="M109" s="483"/>
      <c r="N109" s="483"/>
      <c r="O109" s="483"/>
      <c r="P109" s="483"/>
      <c r="Q109" s="483"/>
      <c r="R109" s="483"/>
      <c r="S109" s="483"/>
      <c r="T109" s="483"/>
      <c r="U109" s="483"/>
      <c r="V109" s="483"/>
      <c r="W109" s="483"/>
      <c r="X109" s="483"/>
      <c r="Y109" s="483"/>
      <c r="Z109" s="483"/>
      <c r="AA109" s="483"/>
      <c r="AB109" s="483"/>
      <c r="AC109" s="483"/>
    </row>
    <row r="110" spans="1:29" ht="12.75" customHeight="1">
      <c r="A110" s="538"/>
      <c r="B110" s="539"/>
      <c r="C110" s="539"/>
      <c r="D110" s="540"/>
      <c r="E110" s="541"/>
      <c r="F110" s="541"/>
      <c r="G110" s="540"/>
      <c r="H110" s="542"/>
      <c r="I110" s="543"/>
      <c r="J110" s="539"/>
      <c r="K110" s="539"/>
      <c r="L110" s="482"/>
      <c r="M110" s="483"/>
      <c r="N110" s="483"/>
      <c r="O110" s="483"/>
      <c r="P110" s="483"/>
      <c r="Q110" s="483"/>
      <c r="R110" s="483"/>
      <c r="S110" s="483"/>
      <c r="T110" s="483"/>
      <c r="U110" s="483"/>
      <c r="V110" s="483"/>
      <c r="W110" s="483"/>
      <c r="X110" s="483"/>
      <c r="Y110" s="483"/>
      <c r="Z110" s="483"/>
      <c r="AA110" s="483"/>
      <c r="AB110" s="483"/>
      <c r="AC110" s="483"/>
    </row>
    <row r="111" spans="1:29" ht="12.75" customHeight="1">
      <c r="A111" s="538"/>
      <c r="B111" s="539"/>
      <c r="C111" s="539"/>
      <c r="D111" s="540"/>
      <c r="E111" s="541"/>
      <c r="F111" s="541"/>
      <c r="G111" s="540"/>
      <c r="H111" s="542"/>
      <c r="I111" s="543"/>
      <c r="J111" s="539"/>
      <c r="K111" s="539"/>
      <c r="L111" s="482"/>
      <c r="M111" s="483"/>
      <c r="N111" s="483"/>
      <c r="O111" s="483"/>
      <c r="P111" s="483"/>
      <c r="Q111" s="483"/>
      <c r="R111" s="483"/>
      <c r="S111" s="483"/>
      <c r="T111" s="483"/>
      <c r="U111" s="483"/>
      <c r="V111" s="483"/>
      <c r="W111" s="483"/>
      <c r="X111" s="483"/>
      <c r="Y111" s="483"/>
      <c r="Z111" s="483"/>
      <c r="AA111" s="483"/>
      <c r="AB111" s="483"/>
      <c r="AC111" s="483"/>
    </row>
    <row r="112" spans="1:29" ht="12.75" customHeight="1">
      <c r="A112" s="538"/>
      <c r="B112" s="539"/>
      <c r="C112" s="539"/>
      <c r="D112" s="540"/>
      <c r="E112" s="541"/>
      <c r="F112" s="541"/>
      <c r="G112" s="540"/>
      <c r="H112" s="542"/>
      <c r="I112" s="543"/>
      <c r="J112" s="539"/>
      <c r="K112" s="539"/>
      <c r="L112" s="482"/>
      <c r="M112" s="483"/>
      <c r="N112" s="483"/>
      <c r="O112" s="483"/>
      <c r="P112" s="483"/>
      <c r="Q112" s="483"/>
      <c r="R112" s="483"/>
      <c r="S112" s="483"/>
      <c r="T112" s="483"/>
      <c r="U112" s="483"/>
      <c r="V112" s="483"/>
      <c r="W112" s="483"/>
      <c r="X112" s="483"/>
      <c r="Y112" s="483"/>
      <c r="Z112" s="483"/>
      <c r="AA112" s="483"/>
      <c r="AB112" s="483"/>
      <c r="AC112" s="483"/>
    </row>
    <row r="113" spans="1:29" ht="12.75" customHeight="1">
      <c r="A113" s="538"/>
      <c r="B113" s="539"/>
      <c r="C113" s="539"/>
      <c r="D113" s="540"/>
      <c r="E113" s="541"/>
      <c r="F113" s="541"/>
      <c r="G113" s="540"/>
      <c r="H113" s="542"/>
      <c r="I113" s="543"/>
      <c r="J113" s="539"/>
      <c r="K113" s="539"/>
      <c r="L113" s="482"/>
      <c r="M113" s="483"/>
      <c r="N113" s="483"/>
      <c r="O113" s="483"/>
      <c r="P113" s="483"/>
      <c r="Q113" s="483"/>
      <c r="R113" s="483"/>
      <c r="S113" s="483"/>
      <c r="T113" s="483"/>
      <c r="U113" s="483"/>
      <c r="V113" s="483"/>
      <c r="W113" s="483"/>
      <c r="X113" s="483"/>
      <c r="Y113" s="483"/>
      <c r="Z113" s="483"/>
      <c r="AA113" s="483"/>
      <c r="AB113" s="483"/>
      <c r="AC113" s="483"/>
    </row>
    <row r="114" spans="1:29" ht="12.75" customHeight="1">
      <c r="A114" s="538"/>
      <c r="B114" s="539"/>
      <c r="C114" s="539"/>
      <c r="D114" s="540"/>
      <c r="E114" s="541"/>
      <c r="F114" s="541"/>
      <c r="G114" s="540"/>
      <c r="H114" s="542"/>
      <c r="I114" s="543"/>
      <c r="J114" s="539"/>
      <c r="K114" s="539"/>
      <c r="L114" s="482"/>
      <c r="M114" s="483"/>
      <c r="N114" s="483"/>
      <c r="O114" s="483"/>
      <c r="P114" s="483"/>
      <c r="Q114" s="483"/>
      <c r="R114" s="483"/>
      <c r="S114" s="483"/>
      <c r="T114" s="483"/>
      <c r="U114" s="483"/>
      <c r="V114" s="483"/>
      <c r="W114" s="483"/>
      <c r="X114" s="483"/>
      <c r="Y114" s="483"/>
      <c r="Z114" s="483"/>
      <c r="AA114" s="483"/>
      <c r="AB114" s="483"/>
      <c r="AC114" s="483"/>
    </row>
    <row r="115" spans="1:29" ht="12.75" customHeight="1">
      <c r="A115" s="538"/>
      <c r="B115" s="539"/>
      <c r="C115" s="539"/>
      <c r="D115" s="540"/>
      <c r="E115" s="541"/>
      <c r="F115" s="541"/>
      <c r="G115" s="540"/>
      <c r="H115" s="542"/>
      <c r="I115" s="543"/>
      <c r="J115" s="539"/>
      <c r="K115" s="539"/>
      <c r="L115" s="482"/>
      <c r="M115" s="483"/>
      <c r="N115" s="483"/>
      <c r="O115" s="483"/>
      <c r="P115" s="483"/>
      <c r="Q115" s="483"/>
      <c r="R115" s="483"/>
      <c r="S115" s="483"/>
      <c r="T115" s="483"/>
      <c r="U115" s="483"/>
      <c r="V115" s="483"/>
      <c r="W115" s="483"/>
      <c r="X115" s="483"/>
      <c r="Y115" s="483"/>
      <c r="Z115" s="483"/>
      <c r="AA115" s="483"/>
      <c r="AB115" s="483"/>
      <c r="AC115" s="483"/>
    </row>
    <row r="116" spans="1:29" ht="12.75" customHeight="1">
      <c r="A116" s="538"/>
      <c r="B116" s="539"/>
      <c r="C116" s="539"/>
      <c r="D116" s="540"/>
      <c r="E116" s="541"/>
      <c r="F116" s="541"/>
      <c r="G116" s="540"/>
      <c r="H116" s="542"/>
      <c r="I116" s="543"/>
      <c r="J116" s="539"/>
      <c r="K116" s="539"/>
      <c r="L116" s="482"/>
      <c r="M116" s="483"/>
      <c r="N116" s="483"/>
      <c r="O116" s="483"/>
      <c r="P116" s="483"/>
      <c r="Q116" s="483"/>
      <c r="R116" s="483"/>
      <c r="S116" s="483"/>
      <c r="T116" s="483"/>
      <c r="U116" s="483"/>
      <c r="V116" s="483"/>
      <c r="W116" s="483"/>
      <c r="X116" s="483"/>
      <c r="Y116" s="483"/>
      <c r="Z116" s="483"/>
      <c r="AA116" s="483"/>
      <c r="AB116" s="483"/>
      <c r="AC116" s="483"/>
    </row>
    <row r="117" spans="1:29" ht="12.75" customHeight="1">
      <c r="A117" s="538"/>
      <c r="B117" s="539"/>
      <c r="C117" s="539"/>
      <c r="D117" s="540"/>
      <c r="E117" s="541"/>
      <c r="F117" s="541"/>
      <c r="G117" s="540"/>
      <c r="H117" s="542"/>
      <c r="I117" s="543"/>
      <c r="J117" s="539"/>
      <c r="K117" s="539"/>
      <c r="L117" s="482"/>
      <c r="M117" s="483"/>
      <c r="N117" s="483"/>
      <c r="O117" s="483"/>
      <c r="P117" s="483"/>
      <c r="Q117" s="483"/>
      <c r="R117" s="483"/>
      <c r="S117" s="483"/>
      <c r="T117" s="483"/>
      <c r="U117" s="483"/>
      <c r="V117" s="483"/>
      <c r="W117" s="483"/>
      <c r="X117" s="483"/>
      <c r="Y117" s="483"/>
      <c r="Z117" s="483"/>
      <c r="AA117" s="483"/>
      <c r="AB117" s="483"/>
      <c r="AC117" s="483"/>
    </row>
    <row r="118" spans="1:29" ht="12.75" customHeight="1">
      <c r="A118" s="538"/>
      <c r="B118" s="539"/>
      <c r="C118" s="539"/>
      <c r="D118" s="540"/>
      <c r="E118" s="541"/>
      <c r="F118" s="541"/>
      <c r="G118" s="540"/>
      <c r="H118" s="542"/>
      <c r="I118" s="543"/>
      <c r="J118" s="539"/>
      <c r="K118" s="539"/>
      <c r="L118" s="482"/>
      <c r="M118" s="483"/>
      <c r="N118" s="483"/>
      <c r="O118" s="483"/>
      <c r="P118" s="483"/>
      <c r="Q118" s="483"/>
      <c r="R118" s="483"/>
      <c r="S118" s="483"/>
      <c r="T118" s="483"/>
      <c r="U118" s="483"/>
      <c r="V118" s="483"/>
      <c r="W118" s="483"/>
      <c r="X118" s="483"/>
      <c r="Y118" s="483"/>
      <c r="Z118" s="483"/>
      <c r="AA118" s="483"/>
      <c r="AB118" s="483"/>
      <c r="AC118" s="483"/>
    </row>
    <row r="119" spans="1:29" ht="12.75" customHeight="1">
      <c r="A119" s="538"/>
      <c r="B119" s="539"/>
      <c r="C119" s="539"/>
      <c r="D119" s="540"/>
      <c r="E119" s="541"/>
      <c r="F119" s="541"/>
      <c r="G119" s="540"/>
      <c r="H119" s="542"/>
      <c r="I119" s="543"/>
      <c r="J119" s="539"/>
      <c r="K119" s="539"/>
      <c r="L119" s="482"/>
      <c r="M119" s="483"/>
      <c r="N119" s="483"/>
      <c r="O119" s="483"/>
      <c r="P119" s="483"/>
      <c r="Q119" s="483"/>
      <c r="R119" s="483"/>
      <c r="S119" s="483"/>
      <c r="T119" s="483"/>
      <c r="U119" s="483"/>
      <c r="V119" s="483"/>
      <c r="W119" s="483"/>
      <c r="X119" s="483"/>
      <c r="Y119" s="483"/>
      <c r="Z119" s="483"/>
      <c r="AA119" s="483"/>
      <c r="AB119" s="483"/>
      <c r="AC119" s="483"/>
    </row>
    <row r="120" spans="1:29" ht="12.75" customHeight="1">
      <c r="A120" s="538"/>
      <c r="B120" s="539"/>
      <c r="C120" s="539"/>
      <c r="D120" s="540"/>
      <c r="E120" s="541"/>
      <c r="F120" s="541"/>
      <c r="G120" s="540"/>
      <c r="H120" s="542"/>
      <c r="I120" s="543"/>
      <c r="J120" s="539"/>
      <c r="K120" s="539"/>
      <c r="L120" s="482"/>
      <c r="M120" s="483"/>
      <c r="N120" s="483"/>
      <c r="O120" s="483"/>
      <c r="P120" s="483"/>
      <c r="Q120" s="483"/>
      <c r="R120" s="483"/>
      <c r="S120" s="483"/>
      <c r="T120" s="483"/>
      <c r="U120" s="483"/>
      <c r="V120" s="483"/>
      <c r="W120" s="483"/>
      <c r="X120" s="483"/>
      <c r="Y120" s="483"/>
      <c r="Z120" s="483"/>
      <c r="AA120" s="483"/>
      <c r="AB120" s="483"/>
      <c r="AC120" s="483"/>
    </row>
    <row r="121" spans="1:29" ht="12.75" customHeight="1">
      <c r="A121" s="538"/>
      <c r="B121" s="539"/>
      <c r="C121" s="539"/>
      <c r="D121" s="540"/>
      <c r="E121" s="541"/>
      <c r="F121" s="541"/>
      <c r="G121" s="540"/>
      <c r="H121" s="542"/>
      <c r="I121" s="543"/>
      <c r="J121" s="539"/>
      <c r="K121" s="539"/>
      <c r="L121" s="482"/>
      <c r="M121" s="483"/>
      <c r="N121" s="483"/>
      <c r="O121" s="483"/>
      <c r="P121" s="483"/>
      <c r="Q121" s="483"/>
      <c r="R121" s="483"/>
      <c r="S121" s="483"/>
      <c r="T121" s="483"/>
      <c r="U121" s="483"/>
      <c r="V121" s="483"/>
      <c r="W121" s="483"/>
      <c r="X121" s="483"/>
      <c r="Y121" s="483"/>
      <c r="Z121" s="483"/>
      <c r="AA121" s="483"/>
      <c r="AB121" s="483"/>
      <c r="AC121" s="483"/>
    </row>
    <row r="122" spans="1:29" ht="12.75" customHeight="1">
      <c r="A122" s="538"/>
      <c r="B122" s="539"/>
      <c r="C122" s="539"/>
      <c r="D122" s="540"/>
      <c r="E122" s="541"/>
      <c r="F122" s="541"/>
      <c r="G122" s="540"/>
      <c r="H122" s="542"/>
      <c r="I122" s="543"/>
      <c r="J122" s="539"/>
      <c r="K122" s="539"/>
      <c r="L122" s="482"/>
      <c r="M122" s="483"/>
      <c r="N122" s="483"/>
      <c r="O122" s="483"/>
      <c r="P122" s="483"/>
      <c r="Q122" s="483"/>
      <c r="R122" s="483"/>
      <c r="S122" s="483"/>
      <c r="T122" s="483"/>
      <c r="U122" s="483"/>
      <c r="V122" s="483"/>
      <c r="W122" s="483"/>
      <c r="X122" s="483"/>
      <c r="Y122" s="483"/>
      <c r="Z122" s="483"/>
      <c r="AA122" s="483"/>
      <c r="AB122" s="483"/>
      <c r="AC122" s="483"/>
    </row>
    <row r="123" spans="1:29" ht="12.75" customHeight="1">
      <c r="A123" s="544"/>
      <c r="B123" s="545"/>
      <c r="C123" s="545"/>
      <c r="D123" s="546"/>
      <c r="E123" s="547"/>
      <c r="F123" s="547"/>
      <c r="G123" s="546"/>
      <c r="H123" s="548"/>
      <c r="I123" s="549"/>
      <c r="J123" s="545"/>
      <c r="K123" s="545"/>
      <c r="L123" s="483"/>
      <c r="M123" s="483"/>
      <c r="N123" s="483"/>
      <c r="O123" s="483"/>
      <c r="P123" s="483"/>
      <c r="Q123" s="483"/>
      <c r="R123" s="483"/>
      <c r="S123" s="483"/>
      <c r="T123" s="483"/>
      <c r="U123" s="483"/>
      <c r="V123" s="483"/>
      <c r="W123" s="483"/>
      <c r="X123" s="483"/>
      <c r="Y123" s="483"/>
      <c r="Z123" s="483"/>
      <c r="AA123" s="483"/>
      <c r="AB123" s="483"/>
      <c r="AC123" s="483"/>
    </row>
    <row r="124" spans="1:29" ht="12.75" customHeight="1">
      <c r="A124" s="486"/>
      <c r="B124" s="483"/>
      <c r="C124" s="483"/>
      <c r="D124" s="503"/>
      <c r="E124" s="550"/>
      <c r="F124" s="550"/>
      <c r="G124" s="503"/>
      <c r="H124" s="551"/>
      <c r="I124" s="552"/>
      <c r="J124" s="483"/>
      <c r="K124" s="483"/>
      <c r="L124" s="483"/>
      <c r="M124" s="483"/>
      <c r="N124" s="483"/>
      <c r="O124" s="483"/>
      <c r="P124" s="483"/>
      <c r="Q124" s="483"/>
      <c r="R124" s="483"/>
      <c r="S124" s="483"/>
      <c r="T124" s="483"/>
      <c r="U124" s="483"/>
      <c r="V124" s="483"/>
      <c r="W124" s="483"/>
      <c r="X124" s="483"/>
      <c r="Y124" s="483"/>
      <c r="Z124" s="483"/>
      <c r="AA124" s="483"/>
      <c r="AB124" s="483"/>
      <c r="AC124" s="483"/>
    </row>
    <row r="125" spans="1:29" ht="12.75" customHeight="1">
      <c r="A125" s="486"/>
      <c r="B125" s="483"/>
      <c r="C125" s="483"/>
      <c r="D125" s="503"/>
      <c r="E125" s="550"/>
      <c r="F125" s="550"/>
      <c r="G125" s="503"/>
      <c r="H125" s="551"/>
      <c r="I125" s="552"/>
      <c r="J125" s="483"/>
      <c r="K125" s="483"/>
      <c r="L125" s="483"/>
      <c r="M125" s="483"/>
      <c r="N125" s="483"/>
      <c r="O125" s="483"/>
      <c r="P125" s="483"/>
      <c r="Q125" s="483"/>
      <c r="R125" s="483"/>
      <c r="S125" s="483"/>
      <c r="T125" s="483"/>
      <c r="U125" s="483"/>
      <c r="V125" s="483"/>
      <c r="W125" s="483"/>
      <c r="X125" s="483"/>
      <c r="Y125" s="483"/>
      <c r="Z125" s="483"/>
      <c r="AA125" s="483"/>
      <c r="AB125" s="483"/>
      <c r="AC125" s="483"/>
    </row>
    <row r="126" spans="1:29" ht="12.75" customHeight="1">
      <c r="A126" s="486"/>
      <c r="B126" s="483"/>
      <c r="C126" s="483"/>
      <c r="D126" s="503"/>
      <c r="E126" s="550"/>
      <c r="F126" s="550"/>
      <c r="G126" s="503"/>
      <c r="H126" s="551"/>
      <c r="I126" s="552"/>
      <c r="J126" s="483"/>
      <c r="K126" s="483"/>
      <c r="L126" s="483"/>
      <c r="M126" s="483"/>
      <c r="N126" s="483"/>
      <c r="O126" s="483"/>
      <c r="P126" s="483"/>
      <c r="Q126" s="483"/>
      <c r="R126" s="483"/>
      <c r="S126" s="483"/>
      <c r="T126" s="483"/>
      <c r="U126" s="483"/>
      <c r="V126" s="483"/>
      <c r="W126" s="483"/>
      <c r="X126" s="483"/>
      <c r="Y126" s="483"/>
      <c r="Z126" s="483"/>
      <c r="AA126" s="483"/>
      <c r="AB126" s="483"/>
      <c r="AC126" s="483"/>
    </row>
    <row r="127" spans="1:29" ht="12.75" customHeight="1">
      <c r="A127" s="486"/>
      <c r="B127" s="483"/>
      <c r="C127" s="483"/>
      <c r="D127" s="503"/>
      <c r="E127" s="550"/>
      <c r="F127" s="550"/>
      <c r="G127" s="503"/>
      <c r="H127" s="551"/>
      <c r="I127" s="552"/>
      <c r="J127" s="483"/>
      <c r="K127" s="483"/>
      <c r="L127" s="483"/>
      <c r="M127" s="483"/>
      <c r="N127" s="483"/>
      <c r="O127" s="483"/>
      <c r="P127" s="483"/>
      <c r="Q127" s="483"/>
      <c r="R127" s="483"/>
      <c r="S127" s="483"/>
      <c r="T127" s="483"/>
      <c r="U127" s="483"/>
      <c r="V127" s="483"/>
      <c r="W127" s="483"/>
      <c r="X127" s="483"/>
      <c r="Y127" s="483"/>
      <c r="Z127" s="483"/>
      <c r="AA127" s="483"/>
      <c r="AB127" s="483"/>
      <c r="AC127" s="483"/>
    </row>
    <row r="128" spans="1:29" ht="12.75" customHeight="1">
      <c r="A128" s="486"/>
      <c r="B128" s="483"/>
      <c r="C128" s="483"/>
      <c r="D128" s="503"/>
      <c r="E128" s="550"/>
      <c r="F128" s="550"/>
      <c r="G128" s="503"/>
      <c r="H128" s="551"/>
      <c r="I128" s="552"/>
      <c r="J128" s="483"/>
      <c r="K128" s="483"/>
      <c r="L128" s="483"/>
      <c r="M128" s="483"/>
      <c r="N128" s="483"/>
      <c r="O128" s="483"/>
      <c r="P128" s="483"/>
      <c r="Q128" s="483"/>
      <c r="R128" s="483"/>
      <c r="S128" s="483"/>
      <c r="T128" s="483"/>
      <c r="U128" s="483"/>
      <c r="V128" s="483"/>
      <c r="W128" s="483"/>
      <c r="X128" s="483"/>
      <c r="Y128" s="483"/>
      <c r="Z128" s="483"/>
      <c r="AA128" s="483"/>
      <c r="AB128" s="483"/>
      <c r="AC128" s="483"/>
    </row>
    <row r="129" spans="1:29" ht="12.75" customHeight="1">
      <c r="A129" s="486"/>
      <c r="B129" s="483"/>
      <c r="C129" s="483"/>
      <c r="D129" s="503"/>
      <c r="E129" s="550"/>
      <c r="F129" s="550"/>
      <c r="G129" s="503"/>
      <c r="H129" s="551"/>
      <c r="I129" s="552"/>
      <c r="J129" s="483"/>
      <c r="K129" s="483"/>
      <c r="L129" s="483"/>
      <c r="M129" s="483"/>
      <c r="N129" s="483"/>
      <c r="O129" s="483"/>
      <c r="P129" s="483"/>
      <c r="Q129" s="483"/>
      <c r="R129" s="483"/>
      <c r="S129" s="483"/>
      <c r="T129" s="483"/>
      <c r="U129" s="483"/>
      <c r="V129" s="483"/>
      <c r="W129" s="483"/>
      <c r="X129" s="483"/>
      <c r="Y129" s="483"/>
      <c r="Z129" s="483"/>
      <c r="AA129" s="483"/>
      <c r="AB129" s="483"/>
      <c r="AC129" s="483"/>
    </row>
    <row r="130" spans="1:29" ht="12.75" customHeight="1">
      <c r="A130" s="486"/>
      <c r="B130" s="483"/>
      <c r="C130" s="483"/>
      <c r="D130" s="503"/>
      <c r="E130" s="550"/>
      <c r="F130" s="550"/>
      <c r="G130" s="503"/>
      <c r="H130" s="551"/>
      <c r="I130" s="552"/>
      <c r="J130" s="483"/>
      <c r="K130" s="483"/>
      <c r="L130" s="483"/>
      <c r="M130" s="483"/>
      <c r="N130" s="483"/>
      <c r="O130" s="483"/>
      <c r="P130" s="483"/>
      <c r="Q130" s="483"/>
      <c r="R130" s="483"/>
      <c r="S130" s="483"/>
      <c r="T130" s="483"/>
      <c r="U130" s="483"/>
      <c r="V130" s="483"/>
      <c r="W130" s="483"/>
      <c r="X130" s="483"/>
      <c r="Y130" s="483"/>
      <c r="Z130" s="483"/>
      <c r="AA130" s="483"/>
      <c r="AB130" s="483"/>
      <c r="AC130" s="483"/>
    </row>
    <row r="131" spans="1:29" ht="12.75" customHeight="1">
      <c r="A131" s="486"/>
      <c r="B131" s="483"/>
      <c r="C131" s="483"/>
      <c r="D131" s="503"/>
      <c r="E131" s="550"/>
      <c r="F131" s="550"/>
      <c r="G131" s="503"/>
      <c r="H131" s="551"/>
      <c r="I131" s="552"/>
      <c r="J131" s="483"/>
      <c r="K131" s="483"/>
      <c r="L131" s="483"/>
      <c r="M131" s="483"/>
      <c r="N131" s="483"/>
      <c r="O131" s="483"/>
      <c r="P131" s="483"/>
      <c r="Q131" s="483"/>
      <c r="R131" s="483"/>
      <c r="S131" s="483"/>
      <c r="T131" s="483"/>
      <c r="U131" s="483"/>
      <c r="V131" s="483"/>
      <c r="W131" s="483"/>
      <c r="X131" s="483"/>
      <c r="Y131" s="483"/>
      <c r="Z131" s="483"/>
      <c r="AA131" s="483"/>
      <c r="AB131" s="483"/>
      <c r="AC131" s="483"/>
    </row>
    <row r="132" spans="1:29" ht="12.75" customHeight="1">
      <c r="A132" s="486"/>
      <c r="B132" s="483"/>
      <c r="C132" s="483"/>
      <c r="D132" s="503"/>
      <c r="E132" s="550"/>
      <c r="F132" s="550"/>
      <c r="G132" s="503"/>
      <c r="H132" s="551"/>
      <c r="I132" s="552"/>
      <c r="J132" s="483"/>
      <c r="K132" s="483"/>
      <c r="L132" s="483"/>
      <c r="M132" s="483"/>
      <c r="N132" s="483"/>
      <c r="O132" s="483"/>
      <c r="P132" s="483"/>
      <c r="Q132" s="483"/>
      <c r="R132" s="483"/>
      <c r="S132" s="483"/>
      <c r="T132" s="483"/>
      <c r="U132" s="483"/>
      <c r="V132" s="483"/>
      <c r="W132" s="483"/>
      <c r="X132" s="483"/>
      <c r="Y132" s="483"/>
      <c r="Z132" s="483"/>
      <c r="AA132" s="483"/>
      <c r="AB132" s="483"/>
      <c r="AC132" s="483"/>
    </row>
    <row r="133" spans="1:29" ht="12.75" customHeight="1">
      <c r="A133" s="486"/>
      <c r="B133" s="483"/>
      <c r="C133" s="483"/>
      <c r="D133" s="503"/>
      <c r="E133" s="550"/>
      <c r="F133" s="550"/>
      <c r="G133" s="503"/>
      <c r="H133" s="551"/>
      <c r="I133" s="552"/>
      <c r="J133" s="483"/>
      <c r="K133" s="483"/>
      <c r="L133" s="483"/>
      <c r="M133" s="483"/>
      <c r="N133" s="483"/>
      <c r="O133" s="483"/>
      <c r="P133" s="483"/>
      <c r="Q133" s="483"/>
      <c r="R133" s="483"/>
      <c r="S133" s="483"/>
      <c r="T133" s="483"/>
      <c r="U133" s="483"/>
      <c r="V133" s="483"/>
      <c r="W133" s="483"/>
      <c r="X133" s="483"/>
      <c r="Y133" s="483"/>
      <c r="Z133" s="483"/>
      <c r="AA133" s="483"/>
      <c r="AB133" s="483"/>
      <c r="AC133" s="483"/>
    </row>
    <row r="134" spans="1:29" ht="12.75" customHeight="1">
      <c r="A134" s="486"/>
      <c r="B134" s="483"/>
      <c r="C134" s="483"/>
      <c r="D134" s="503"/>
      <c r="E134" s="550"/>
      <c r="F134" s="550"/>
      <c r="G134" s="503"/>
      <c r="H134" s="551"/>
      <c r="I134" s="552"/>
      <c r="J134" s="483"/>
      <c r="K134" s="483"/>
      <c r="L134" s="483"/>
      <c r="M134" s="483"/>
      <c r="N134" s="483"/>
      <c r="O134" s="483"/>
      <c r="P134" s="483"/>
      <c r="Q134" s="483"/>
      <c r="R134" s="483"/>
      <c r="S134" s="483"/>
      <c r="T134" s="483"/>
      <c r="U134" s="483"/>
      <c r="V134" s="483"/>
      <c r="W134" s="483"/>
      <c r="X134" s="483"/>
      <c r="Y134" s="483"/>
      <c r="Z134" s="483"/>
      <c r="AA134" s="483"/>
      <c r="AB134" s="483"/>
      <c r="AC134" s="483"/>
    </row>
    <row r="135" spans="1:29" ht="12.75" customHeight="1">
      <c r="A135" s="486"/>
      <c r="B135" s="483"/>
      <c r="C135" s="483"/>
      <c r="D135" s="503"/>
      <c r="E135" s="550"/>
      <c r="F135" s="550"/>
      <c r="G135" s="503"/>
      <c r="H135" s="551"/>
      <c r="I135" s="552"/>
      <c r="J135" s="483"/>
      <c r="K135" s="483"/>
      <c r="L135" s="483"/>
      <c r="M135" s="483"/>
      <c r="N135" s="483"/>
      <c r="O135" s="483"/>
      <c r="P135" s="483"/>
      <c r="Q135" s="483"/>
      <c r="R135" s="483"/>
      <c r="S135" s="483"/>
      <c r="T135" s="483"/>
      <c r="U135" s="483"/>
      <c r="V135" s="483"/>
      <c r="W135" s="483"/>
      <c r="X135" s="483"/>
      <c r="Y135" s="483"/>
      <c r="Z135" s="483"/>
      <c r="AA135" s="483"/>
      <c r="AB135" s="483"/>
      <c r="AC135" s="483"/>
    </row>
    <row r="136" spans="1:29" ht="12.75" customHeight="1">
      <c r="A136" s="486"/>
      <c r="B136" s="483"/>
      <c r="C136" s="483"/>
      <c r="D136" s="503"/>
      <c r="E136" s="550"/>
      <c r="F136" s="550"/>
      <c r="G136" s="503"/>
      <c r="H136" s="551"/>
      <c r="I136" s="552"/>
      <c r="J136" s="483"/>
      <c r="K136" s="483"/>
      <c r="L136" s="483"/>
      <c r="M136" s="483"/>
      <c r="N136" s="483"/>
      <c r="O136" s="483"/>
      <c r="P136" s="483"/>
      <c r="Q136" s="483"/>
      <c r="R136" s="483"/>
      <c r="S136" s="483"/>
      <c r="T136" s="483"/>
      <c r="U136" s="483"/>
      <c r="V136" s="483"/>
      <c r="W136" s="483"/>
      <c r="X136" s="483"/>
      <c r="Y136" s="483"/>
      <c r="Z136" s="483"/>
      <c r="AA136" s="483"/>
      <c r="AB136" s="483"/>
      <c r="AC136" s="483"/>
    </row>
    <row r="137" spans="1:29" ht="12.75" customHeight="1">
      <c r="A137" s="486"/>
      <c r="B137" s="483"/>
      <c r="C137" s="483"/>
      <c r="D137" s="503"/>
      <c r="E137" s="550"/>
      <c r="F137" s="550"/>
      <c r="G137" s="503"/>
      <c r="H137" s="551"/>
      <c r="I137" s="552"/>
      <c r="J137" s="483"/>
      <c r="K137" s="483"/>
      <c r="L137" s="483"/>
      <c r="M137" s="483"/>
      <c r="N137" s="483"/>
      <c r="O137" s="483"/>
      <c r="P137" s="483"/>
      <c r="Q137" s="483"/>
      <c r="R137" s="483"/>
      <c r="S137" s="483"/>
      <c r="T137" s="483"/>
      <c r="U137" s="483"/>
      <c r="V137" s="483"/>
      <c r="W137" s="483"/>
      <c r="X137" s="483"/>
      <c r="Y137" s="483"/>
      <c r="Z137" s="483"/>
      <c r="AA137" s="483"/>
      <c r="AB137" s="483"/>
      <c r="AC137" s="483"/>
    </row>
    <row r="138" spans="1:29" ht="12.75" customHeight="1">
      <c r="A138" s="486"/>
      <c r="B138" s="483"/>
      <c r="C138" s="483"/>
      <c r="D138" s="503"/>
      <c r="E138" s="550"/>
      <c r="F138" s="550"/>
      <c r="G138" s="503"/>
      <c r="H138" s="551"/>
      <c r="I138" s="552"/>
      <c r="J138" s="483"/>
      <c r="K138" s="483"/>
      <c r="L138" s="483"/>
      <c r="M138" s="483"/>
      <c r="N138" s="483"/>
      <c r="O138" s="483"/>
      <c r="P138" s="483"/>
      <c r="Q138" s="483"/>
      <c r="R138" s="483"/>
      <c r="S138" s="483"/>
      <c r="T138" s="483"/>
      <c r="U138" s="483"/>
      <c r="V138" s="483"/>
      <c r="W138" s="483"/>
      <c r="X138" s="483"/>
      <c r="Y138" s="483"/>
      <c r="Z138" s="483"/>
      <c r="AA138" s="483"/>
      <c r="AB138" s="483"/>
      <c r="AC138" s="483"/>
    </row>
    <row r="139" spans="1:29" ht="12.75" customHeight="1">
      <c r="A139" s="486"/>
      <c r="B139" s="483"/>
      <c r="C139" s="483"/>
      <c r="D139" s="503"/>
      <c r="E139" s="550"/>
      <c r="F139" s="550"/>
      <c r="G139" s="503"/>
      <c r="H139" s="551"/>
      <c r="I139" s="552"/>
      <c r="J139" s="483"/>
      <c r="K139" s="483"/>
      <c r="L139" s="483"/>
      <c r="M139" s="483"/>
      <c r="N139" s="483"/>
      <c r="O139" s="483"/>
      <c r="P139" s="483"/>
      <c r="Q139" s="483"/>
      <c r="R139" s="483"/>
      <c r="S139" s="483"/>
      <c r="T139" s="483"/>
      <c r="U139" s="483"/>
      <c r="V139" s="483"/>
      <c r="W139" s="483"/>
      <c r="X139" s="483"/>
      <c r="Y139" s="483"/>
      <c r="Z139" s="483"/>
      <c r="AA139" s="483"/>
      <c r="AB139" s="483"/>
      <c r="AC139" s="483"/>
    </row>
    <row r="140" spans="1:29" ht="12.75" customHeight="1">
      <c r="A140" s="486"/>
      <c r="B140" s="483"/>
      <c r="C140" s="483"/>
      <c r="D140" s="503"/>
      <c r="E140" s="550"/>
      <c r="F140" s="550"/>
      <c r="G140" s="503"/>
      <c r="H140" s="551"/>
      <c r="I140" s="552"/>
      <c r="J140" s="483"/>
      <c r="K140" s="483"/>
      <c r="L140" s="483"/>
      <c r="M140" s="483"/>
      <c r="N140" s="483"/>
      <c r="O140" s="483"/>
      <c r="P140" s="483"/>
      <c r="Q140" s="483"/>
      <c r="R140" s="483"/>
      <c r="S140" s="483"/>
      <c r="T140" s="483"/>
      <c r="U140" s="483"/>
      <c r="V140" s="483"/>
      <c r="W140" s="483"/>
      <c r="X140" s="483"/>
      <c r="Y140" s="483"/>
      <c r="Z140" s="483"/>
      <c r="AA140" s="483"/>
      <c r="AB140" s="483"/>
      <c r="AC140" s="483"/>
    </row>
    <row r="141" spans="1:29" ht="12.75" customHeight="1">
      <c r="A141" s="486"/>
      <c r="B141" s="483"/>
      <c r="C141" s="483"/>
      <c r="D141" s="503"/>
      <c r="E141" s="550"/>
      <c r="F141" s="550"/>
      <c r="G141" s="503"/>
      <c r="H141" s="551"/>
      <c r="I141" s="552"/>
      <c r="J141" s="483"/>
      <c r="K141" s="483"/>
      <c r="L141" s="483"/>
      <c r="M141" s="483"/>
      <c r="N141" s="483"/>
      <c r="O141" s="483"/>
      <c r="P141" s="483"/>
      <c r="Q141" s="483"/>
      <c r="R141" s="483"/>
      <c r="S141" s="483"/>
      <c r="T141" s="483"/>
      <c r="U141" s="483"/>
      <c r="V141" s="483"/>
      <c r="W141" s="483"/>
      <c r="X141" s="483"/>
      <c r="Y141" s="483"/>
      <c r="Z141" s="483"/>
      <c r="AA141" s="483"/>
      <c r="AB141" s="483"/>
      <c r="AC141" s="483"/>
    </row>
    <row r="142" spans="1:29" ht="12.75" customHeight="1">
      <c r="A142" s="486"/>
      <c r="B142" s="483"/>
      <c r="C142" s="483"/>
      <c r="D142" s="503"/>
      <c r="E142" s="550"/>
      <c r="F142" s="550"/>
      <c r="G142" s="503"/>
      <c r="H142" s="551"/>
      <c r="I142" s="552"/>
      <c r="J142" s="483"/>
      <c r="K142" s="483"/>
      <c r="L142" s="483"/>
      <c r="M142" s="483"/>
      <c r="N142" s="483"/>
      <c r="O142" s="483"/>
      <c r="P142" s="483"/>
      <c r="Q142" s="483"/>
      <c r="R142" s="483"/>
      <c r="S142" s="483"/>
      <c r="T142" s="483"/>
      <c r="U142" s="483"/>
      <c r="V142" s="483"/>
      <c r="W142" s="483"/>
      <c r="X142" s="483"/>
      <c r="Y142" s="483"/>
      <c r="Z142" s="483"/>
      <c r="AA142" s="483"/>
      <c r="AB142" s="483"/>
      <c r="AC142" s="483"/>
    </row>
    <row r="143" spans="1:29" ht="12.75" customHeight="1">
      <c r="A143" s="486"/>
      <c r="B143" s="483"/>
      <c r="C143" s="483"/>
      <c r="D143" s="503"/>
      <c r="E143" s="550"/>
      <c r="F143" s="550"/>
      <c r="G143" s="503"/>
      <c r="H143" s="551"/>
      <c r="I143" s="552"/>
      <c r="J143" s="483"/>
      <c r="K143" s="483"/>
      <c r="L143" s="483"/>
      <c r="M143" s="483"/>
      <c r="N143" s="483"/>
      <c r="O143" s="483"/>
      <c r="P143" s="483"/>
      <c r="Q143" s="483"/>
      <c r="R143" s="483"/>
      <c r="S143" s="483"/>
      <c r="T143" s="483"/>
      <c r="U143" s="483"/>
      <c r="V143" s="483"/>
      <c r="W143" s="483"/>
      <c r="X143" s="483"/>
      <c r="Y143" s="483"/>
      <c r="Z143" s="483"/>
      <c r="AA143" s="483"/>
      <c r="AB143" s="483"/>
      <c r="AC143" s="483"/>
    </row>
    <row r="144" spans="1:29" ht="12.75" customHeight="1">
      <c r="A144" s="486"/>
      <c r="B144" s="483"/>
      <c r="C144" s="483"/>
      <c r="D144" s="503"/>
      <c r="E144" s="550"/>
      <c r="F144" s="550"/>
      <c r="G144" s="503"/>
      <c r="H144" s="551"/>
      <c r="I144" s="552"/>
      <c r="J144" s="483"/>
      <c r="K144" s="483"/>
      <c r="L144" s="483"/>
      <c r="M144" s="483"/>
      <c r="N144" s="483"/>
      <c r="O144" s="483"/>
      <c r="P144" s="483"/>
      <c r="Q144" s="483"/>
      <c r="R144" s="483"/>
      <c r="S144" s="483"/>
      <c r="T144" s="483"/>
      <c r="U144" s="483"/>
      <c r="V144" s="483"/>
      <c r="W144" s="483"/>
      <c r="X144" s="483"/>
      <c r="Y144" s="483"/>
      <c r="Z144" s="483"/>
      <c r="AA144" s="483"/>
      <c r="AB144" s="483"/>
      <c r="AC144" s="483"/>
    </row>
    <row r="145" spans="1:29" ht="12.75" customHeight="1">
      <c r="A145" s="486"/>
      <c r="B145" s="483"/>
      <c r="C145" s="483"/>
      <c r="D145" s="503"/>
      <c r="E145" s="550"/>
      <c r="F145" s="550"/>
      <c r="G145" s="503"/>
      <c r="H145" s="551"/>
      <c r="I145" s="552"/>
      <c r="J145" s="483"/>
      <c r="K145" s="483"/>
      <c r="L145" s="483"/>
      <c r="M145" s="483"/>
      <c r="N145" s="483"/>
      <c r="O145" s="483"/>
      <c r="P145" s="483"/>
      <c r="Q145" s="483"/>
      <c r="R145" s="483"/>
      <c r="S145" s="483"/>
      <c r="T145" s="483"/>
      <c r="U145" s="483"/>
      <c r="V145" s="483"/>
      <c r="W145" s="483"/>
      <c r="X145" s="483"/>
      <c r="Y145" s="483"/>
      <c r="Z145" s="483"/>
      <c r="AA145" s="483"/>
      <c r="AB145" s="483"/>
      <c r="AC145" s="483"/>
    </row>
    <row r="146" spans="1:29" ht="12.75" customHeight="1">
      <c r="A146" s="486"/>
      <c r="B146" s="483"/>
      <c r="C146" s="483"/>
      <c r="D146" s="503"/>
      <c r="E146" s="550"/>
      <c r="F146" s="550"/>
      <c r="G146" s="503"/>
      <c r="H146" s="551"/>
      <c r="I146" s="552"/>
      <c r="J146" s="483"/>
      <c r="K146" s="483"/>
      <c r="L146" s="483"/>
      <c r="M146" s="483"/>
      <c r="N146" s="483"/>
      <c r="O146" s="483"/>
      <c r="P146" s="483"/>
      <c r="Q146" s="483"/>
      <c r="R146" s="483"/>
      <c r="S146" s="483"/>
      <c r="T146" s="483"/>
      <c r="U146" s="483"/>
      <c r="V146" s="483"/>
      <c r="W146" s="483"/>
      <c r="X146" s="483"/>
      <c r="Y146" s="483"/>
      <c r="Z146" s="483"/>
      <c r="AA146" s="483"/>
      <c r="AB146" s="483"/>
      <c r="AC146" s="483"/>
    </row>
    <row r="147" spans="1:29" ht="12.75" customHeight="1">
      <c r="A147" s="486"/>
      <c r="B147" s="483"/>
      <c r="C147" s="483"/>
      <c r="D147" s="503"/>
      <c r="E147" s="550"/>
      <c r="F147" s="550"/>
      <c r="G147" s="503"/>
      <c r="H147" s="551"/>
      <c r="I147" s="552"/>
      <c r="J147" s="483"/>
      <c r="K147" s="483"/>
      <c r="L147" s="483"/>
      <c r="M147" s="483"/>
      <c r="N147" s="483"/>
      <c r="O147" s="483"/>
      <c r="P147" s="483"/>
      <c r="Q147" s="483"/>
      <c r="R147" s="483"/>
      <c r="S147" s="483"/>
      <c r="T147" s="483"/>
      <c r="U147" s="483"/>
      <c r="V147" s="483"/>
      <c r="W147" s="483"/>
      <c r="X147" s="483"/>
      <c r="Y147" s="483"/>
      <c r="Z147" s="483"/>
      <c r="AA147" s="483"/>
      <c r="AB147" s="483"/>
      <c r="AC147" s="483"/>
    </row>
    <row r="148" spans="1:29" ht="12.75" customHeight="1">
      <c r="A148" s="486"/>
      <c r="B148" s="483"/>
      <c r="C148" s="483"/>
      <c r="D148" s="503"/>
      <c r="E148" s="550"/>
      <c r="F148" s="550"/>
      <c r="G148" s="503"/>
      <c r="H148" s="551"/>
      <c r="I148" s="552"/>
      <c r="J148" s="483"/>
      <c r="K148" s="483"/>
      <c r="L148" s="483"/>
      <c r="M148" s="483"/>
      <c r="N148" s="483"/>
      <c r="O148" s="483"/>
      <c r="P148" s="483"/>
      <c r="Q148" s="483"/>
      <c r="R148" s="483"/>
      <c r="S148" s="483"/>
      <c r="T148" s="483"/>
      <c r="U148" s="483"/>
      <c r="V148" s="483"/>
      <c r="W148" s="483"/>
      <c r="X148" s="483"/>
      <c r="Y148" s="483"/>
      <c r="Z148" s="483"/>
      <c r="AA148" s="483"/>
      <c r="AB148" s="483"/>
      <c r="AC148" s="483"/>
    </row>
    <row r="149" spans="1:29" ht="12.75" customHeight="1">
      <c r="A149" s="486"/>
      <c r="B149" s="483"/>
      <c r="C149" s="483"/>
      <c r="D149" s="503"/>
      <c r="E149" s="550"/>
      <c r="F149" s="550"/>
      <c r="G149" s="503"/>
      <c r="H149" s="551"/>
      <c r="I149" s="552"/>
      <c r="J149" s="483"/>
      <c r="K149" s="483"/>
      <c r="L149" s="483"/>
      <c r="M149" s="483"/>
      <c r="N149" s="483"/>
      <c r="O149" s="483"/>
      <c r="P149" s="483"/>
      <c r="Q149" s="483"/>
      <c r="R149" s="483"/>
      <c r="S149" s="483"/>
      <c r="T149" s="483"/>
      <c r="U149" s="483"/>
      <c r="V149" s="483"/>
      <c r="W149" s="483"/>
      <c r="X149" s="483"/>
      <c r="Y149" s="483"/>
      <c r="Z149" s="483"/>
      <c r="AA149" s="483"/>
      <c r="AB149" s="483"/>
      <c r="AC149" s="483"/>
    </row>
    <row r="150" spans="1:29" ht="12.75" customHeight="1">
      <c r="A150" s="486"/>
      <c r="B150" s="483"/>
      <c r="C150" s="483"/>
      <c r="D150" s="503"/>
      <c r="E150" s="550"/>
      <c r="F150" s="550"/>
      <c r="G150" s="503"/>
      <c r="H150" s="551"/>
      <c r="I150" s="552"/>
      <c r="J150" s="483"/>
      <c r="K150" s="483"/>
      <c r="L150" s="483"/>
      <c r="M150" s="483"/>
      <c r="N150" s="483"/>
      <c r="O150" s="483"/>
      <c r="P150" s="483"/>
      <c r="Q150" s="483"/>
      <c r="R150" s="483"/>
      <c r="S150" s="483"/>
      <c r="T150" s="483"/>
      <c r="U150" s="483"/>
      <c r="V150" s="483"/>
      <c r="W150" s="483"/>
      <c r="X150" s="483"/>
      <c r="Y150" s="483"/>
      <c r="Z150" s="483"/>
      <c r="AA150" s="483"/>
      <c r="AB150" s="483"/>
      <c r="AC150" s="483"/>
    </row>
    <row r="151" spans="1:29" ht="12.75" customHeight="1">
      <c r="A151" s="486"/>
      <c r="B151" s="483"/>
      <c r="C151" s="483"/>
      <c r="D151" s="503"/>
      <c r="E151" s="550"/>
      <c r="F151" s="550"/>
      <c r="G151" s="503"/>
      <c r="H151" s="551"/>
      <c r="I151" s="552"/>
      <c r="J151" s="483"/>
      <c r="K151" s="483"/>
      <c r="L151" s="483"/>
      <c r="M151" s="483"/>
      <c r="N151" s="483"/>
      <c r="O151" s="483"/>
      <c r="P151" s="483"/>
      <c r="Q151" s="483"/>
      <c r="R151" s="483"/>
      <c r="S151" s="483"/>
      <c r="T151" s="483"/>
      <c r="U151" s="483"/>
      <c r="V151" s="483"/>
      <c r="W151" s="483"/>
      <c r="X151" s="483"/>
      <c r="Y151" s="483"/>
      <c r="Z151" s="483"/>
      <c r="AA151" s="483"/>
      <c r="AB151" s="483"/>
      <c r="AC151" s="483"/>
    </row>
    <row r="152" spans="1:29" ht="12.75" customHeight="1">
      <c r="A152" s="486"/>
      <c r="B152" s="483"/>
      <c r="C152" s="483"/>
      <c r="D152" s="503"/>
      <c r="E152" s="550"/>
      <c r="F152" s="550"/>
      <c r="G152" s="503"/>
      <c r="H152" s="551"/>
      <c r="I152" s="552"/>
      <c r="J152" s="483"/>
      <c r="K152" s="483"/>
      <c r="L152" s="483"/>
      <c r="M152" s="483"/>
      <c r="N152" s="483"/>
      <c r="O152" s="483"/>
      <c r="P152" s="483"/>
      <c r="Q152" s="483"/>
      <c r="R152" s="483"/>
      <c r="S152" s="483"/>
      <c r="T152" s="483"/>
      <c r="U152" s="483"/>
      <c r="V152" s="483"/>
      <c r="W152" s="483"/>
      <c r="X152" s="483"/>
      <c r="Y152" s="483"/>
      <c r="Z152" s="483"/>
      <c r="AA152" s="483"/>
      <c r="AB152" s="483"/>
      <c r="AC152" s="483"/>
    </row>
    <row r="153" spans="1:29" ht="12.75" customHeight="1">
      <c r="A153" s="486"/>
      <c r="B153" s="483"/>
      <c r="C153" s="483"/>
      <c r="D153" s="503"/>
      <c r="E153" s="550"/>
      <c r="F153" s="550"/>
      <c r="G153" s="503"/>
      <c r="H153" s="551"/>
      <c r="I153" s="552"/>
      <c r="J153" s="483"/>
      <c r="K153" s="483"/>
      <c r="L153" s="483"/>
      <c r="M153" s="483"/>
      <c r="N153" s="483"/>
      <c r="O153" s="483"/>
      <c r="P153" s="483"/>
      <c r="Q153" s="483"/>
      <c r="R153" s="483"/>
      <c r="S153" s="483"/>
      <c r="T153" s="483"/>
      <c r="U153" s="483"/>
      <c r="V153" s="483"/>
      <c r="W153" s="483"/>
      <c r="X153" s="483"/>
      <c r="Y153" s="483"/>
      <c r="Z153" s="483"/>
      <c r="AA153" s="483"/>
      <c r="AB153" s="483"/>
      <c r="AC153" s="483"/>
    </row>
    <row r="154" spans="1:29" ht="12.75" customHeight="1">
      <c r="A154" s="486"/>
      <c r="B154" s="483"/>
      <c r="C154" s="483"/>
      <c r="D154" s="503"/>
      <c r="E154" s="550"/>
      <c r="F154" s="550"/>
      <c r="G154" s="503"/>
      <c r="H154" s="551"/>
      <c r="I154" s="552"/>
      <c r="J154" s="483"/>
      <c r="K154" s="483"/>
      <c r="L154" s="483"/>
      <c r="M154" s="483"/>
      <c r="N154" s="483"/>
      <c r="O154" s="483"/>
      <c r="P154" s="483"/>
      <c r="Q154" s="483"/>
      <c r="R154" s="483"/>
      <c r="S154" s="483"/>
      <c r="T154" s="483"/>
      <c r="U154" s="483"/>
      <c r="V154" s="483"/>
      <c r="W154" s="483"/>
      <c r="X154" s="483"/>
      <c r="Y154" s="483"/>
      <c r="Z154" s="483"/>
      <c r="AA154" s="483"/>
      <c r="AB154" s="483"/>
      <c r="AC154" s="483"/>
    </row>
    <row r="155" spans="1:29" ht="12.75" customHeight="1">
      <c r="A155" s="486"/>
      <c r="B155" s="483"/>
      <c r="C155" s="483"/>
      <c r="D155" s="503"/>
      <c r="E155" s="550"/>
      <c r="F155" s="550"/>
      <c r="G155" s="503"/>
      <c r="H155" s="551"/>
      <c r="I155" s="552"/>
      <c r="J155" s="483"/>
      <c r="K155" s="483"/>
      <c r="L155" s="483"/>
      <c r="M155" s="483"/>
      <c r="N155" s="483"/>
      <c r="O155" s="483"/>
      <c r="P155" s="483"/>
      <c r="Q155" s="483"/>
      <c r="R155" s="483"/>
      <c r="S155" s="483"/>
      <c r="T155" s="483"/>
      <c r="U155" s="483"/>
      <c r="V155" s="483"/>
      <c r="W155" s="483"/>
      <c r="X155" s="483"/>
      <c r="Y155" s="483"/>
      <c r="Z155" s="483"/>
      <c r="AA155" s="483"/>
      <c r="AB155" s="483"/>
      <c r="AC155" s="483"/>
    </row>
    <row r="156" spans="1:29" ht="12.75" customHeight="1">
      <c r="A156" s="486"/>
      <c r="B156" s="483"/>
      <c r="C156" s="483"/>
      <c r="D156" s="503"/>
      <c r="E156" s="550"/>
      <c r="F156" s="550"/>
      <c r="G156" s="503"/>
      <c r="H156" s="551"/>
      <c r="I156" s="552"/>
      <c r="J156" s="483"/>
      <c r="K156" s="483"/>
      <c r="L156" s="483"/>
      <c r="M156" s="483"/>
      <c r="N156" s="483"/>
      <c r="O156" s="483"/>
      <c r="P156" s="483"/>
      <c r="Q156" s="483"/>
      <c r="R156" s="483"/>
      <c r="S156" s="483"/>
      <c r="T156" s="483"/>
      <c r="U156" s="483"/>
      <c r="V156" s="483"/>
      <c r="W156" s="483"/>
      <c r="X156" s="483"/>
      <c r="Y156" s="483"/>
      <c r="Z156" s="483"/>
      <c r="AA156" s="483"/>
      <c r="AB156" s="483"/>
      <c r="AC156" s="483"/>
    </row>
    <row r="157" spans="1:29" ht="12.75" customHeight="1">
      <c r="A157" s="486"/>
      <c r="B157" s="483"/>
      <c r="C157" s="483"/>
      <c r="D157" s="503"/>
      <c r="E157" s="550"/>
      <c r="F157" s="550"/>
      <c r="G157" s="503"/>
      <c r="H157" s="551"/>
      <c r="I157" s="552"/>
      <c r="J157" s="483"/>
      <c r="K157" s="483"/>
      <c r="L157" s="483"/>
      <c r="M157" s="483"/>
      <c r="N157" s="483"/>
      <c r="O157" s="483"/>
      <c r="P157" s="483"/>
      <c r="Q157" s="483"/>
      <c r="R157" s="483"/>
      <c r="S157" s="483"/>
      <c r="T157" s="483"/>
      <c r="U157" s="483"/>
      <c r="V157" s="483"/>
      <c r="W157" s="483"/>
      <c r="X157" s="483"/>
      <c r="Y157" s="483"/>
      <c r="Z157" s="483"/>
      <c r="AA157" s="483"/>
      <c r="AB157" s="483"/>
      <c r="AC157" s="483"/>
    </row>
    <row r="158" spans="1:29" ht="12.75" customHeight="1">
      <c r="A158" s="486"/>
      <c r="B158" s="483"/>
      <c r="C158" s="483"/>
      <c r="D158" s="503"/>
      <c r="E158" s="550"/>
      <c r="F158" s="550"/>
      <c r="G158" s="503"/>
      <c r="H158" s="551"/>
      <c r="I158" s="552"/>
      <c r="J158" s="483"/>
      <c r="K158" s="483"/>
      <c r="L158" s="483"/>
      <c r="M158" s="483"/>
      <c r="N158" s="483"/>
      <c r="O158" s="483"/>
      <c r="P158" s="483"/>
      <c r="Q158" s="483"/>
      <c r="R158" s="483"/>
      <c r="S158" s="483"/>
      <c r="T158" s="483"/>
      <c r="U158" s="483"/>
      <c r="V158" s="483"/>
      <c r="W158" s="483"/>
      <c r="X158" s="483"/>
      <c r="Y158" s="483"/>
      <c r="Z158" s="483"/>
      <c r="AA158" s="483"/>
      <c r="AB158" s="483"/>
      <c r="AC158" s="483"/>
    </row>
    <row r="159" spans="1:29" ht="12.75" customHeight="1">
      <c r="A159" s="486"/>
      <c r="B159" s="483"/>
      <c r="C159" s="483"/>
      <c r="D159" s="503"/>
      <c r="E159" s="550"/>
      <c r="F159" s="550"/>
      <c r="G159" s="503"/>
      <c r="H159" s="551"/>
      <c r="I159" s="552"/>
      <c r="J159" s="483"/>
      <c r="K159" s="483"/>
      <c r="L159" s="483"/>
      <c r="M159" s="483"/>
      <c r="N159" s="483"/>
      <c r="O159" s="483"/>
      <c r="P159" s="483"/>
      <c r="Q159" s="483"/>
      <c r="R159" s="483"/>
      <c r="S159" s="483"/>
      <c r="T159" s="483"/>
      <c r="U159" s="483"/>
      <c r="V159" s="483"/>
      <c r="W159" s="483"/>
      <c r="X159" s="483"/>
      <c r="Y159" s="483"/>
      <c r="Z159" s="483"/>
      <c r="AA159" s="483"/>
      <c r="AB159" s="483"/>
      <c r="AC159" s="483"/>
    </row>
    <row r="160" spans="1:29" ht="12.75" customHeight="1">
      <c r="A160" s="486"/>
      <c r="B160" s="483"/>
      <c r="C160" s="483"/>
      <c r="D160" s="503"/>
      <c r="E160" s="550"/>
      <c r="F160" s="550"/>
      <c r="G160" s="503"/>
      <c r="H160" s="551"/>
      <c r="I160" s="552"/>
      <c r="J160" s="483"/>
      <c r="K160" s="483"/>
      <c r="L160" s="483"/>
      <c r="M160" s="483"/>
      <c r="N160" s="483"/>
      <c r="O160" s="483"/>
      <c r="P160" s="483"/>
      <c r="Q160" s="483"/>
      <c r="R160" s="483"/>
      <c r="S160" s="483"/>
      <c r="T160" s="483"/>
      <c r="U160" s="483"/>
      <c r="V160" s="483"/>
      <c r="W160" s="483"/>
      <c r="X160" s="483"/>
      <c r="Y160" s="483"/>
      <c r="Z160" s="483"/>
      <c r="AA160" s="483"/>
      <c r="AB160" s="483"/>
      <c r="AC160" s="483"/>
    </row>
    <row r="161" spans="1:29" ht="12.75" customHeight="1">
      <c r="A161" s="486"/>
      <c r="B161" s="483"/>
      <c r="C161" s="483"/>
      <c r="D161" s="503"/>
      <c r="E161" s="550"/>
      <c r="F161" s="550"/>
      <c r="G161" s="503"/>
      <c r="H161" s="551"/>
      <c r="I161" s="552"/>
      <c r="J161" s="483"/>
      <c r="K161" s="483"/>
      <c r="L161" s="483"/>
      <c r="M161" s="483"/>
      <c r="N161" s="483"/>
      <c r="O161" s="483"/>
      <c r="P161" s="483"/>
      <c r="Q161" s="483"/>
      <c r="R161" s="483"/>
      <c r="S161" s="483"/>
      <c r="T161" s="483"/>
      <c r="U161" s="483"/>
      <c r="V161" s="483"/>
      <c r="W161" s="483"/>
      <c r="X161" s="483"/>
      <c r="Y161" s="483"/>
      <c r="Z161" s="483"/>
      <c r="AA161" s="483"/>
      <c r="AB161" s="483"/>
      <c r="AC161" s="483"/>
    </row>
    <row r="162" spans="1:29" ht="12.75" customHeight="1">
      <c r="A162" s="486"/>
      <c r="B162" s="483"/>
      <c r="C162" s="483"/>
      <c r="D162" s="503"/>
      <c r="E162" s="550"/>
      <c r="F162" s="550"/>
      <c r="G162" s="503"/>
      <c r="H162" s="551"/>
      <c r="I162" s="552"/>
      <c r="J162" s="483"/>
      <c r="K162" s="483"/>
      <c r="L162" s="483"/>
      <c r="M162" s="483"/>
      <c r="N162" s="483"/>
      <c r="O162" s="483"/>
      <c r="P162" s="483"/>
      <c r="Q162" s="483"/>
      <c r="R162" s="483"/>
      <c r="S162" s="483"/>
      <c r="T162" s="483"/>
      <c r="U162" s="483"/>
      <c r="V162" s="483"/>
      <c r="W162" s="483"/>
      <c r="X162" s="483"/>
      <c r="Y162" s="483"/>
      <c r="Z162" s="483"/>
      <c r="AA162" s="483"/>
      <c r="AB162" s="483"/>
      <c r="AC162" s="483"/>
    </row>
    <row r="163" spans="1:29" ht="12.75" customHeight="1">
      <c r="A163" s="486"/>
      <c r="B163" s="483"/>
      <c r="C163" s="483"/>
      <c r="D163" s="503"/>
      <c r="E163" s="550"/>
      <c r="F163" s="550"/>
      <c r="G163" s="503"/>
      <c r="H163" s="551"/>
      <c r="I163" s="552"/>
      <c r="J163" s="483"/>
      <c r="K163" s="483"/>
      <c r="L163" s="483"/>
      <c r="M163" s="483"/>
      <c r="N163" s="483"/>
      <c r="O163" s="483"/>
      <c r="P163" s="483"/>
      <c r="Q163" s="483"/>
      <c r="R163" s="483"/>
      <c r="S163" s="483"/>
      <c r="T163" s="483"/>
      <c r="U163" s="483"/>
      <c r="V163" s="483"/>
      <c r="W163" s="483"/>
      <c r="X163" s="483"/>
      <c r="Y163" s="483"/>
      <c r="Z163" s="483"/>
      <c r="AA163" s="483"/>
      <c r="AB163" s="483"/>
      <c r="AC163" s="483"/>
    </row>
    <row r="164" spans="1:29" ht="12.75" customHeight="1">
      <c r="A164" s="486"/>
      <c r="B164" s="483"/>
      <c r="C164" s="483"/>
      <c r="D164" s="503"/>
      <c r="E164" s="550"/>
      <c r="F164" s="550"/>
      <c r="G164" s="503"/>
      <c r="H164" s="551"/>
      <c r="I164" s="552"/>
      <c r="J164" s="483"/>
      <c r="K164" s="483"/>
      <c r="L164" s="483"/>
      <c r="M164" s="483"/>
      <c r="N164" s="483"/>
      <c r="O164" s="483"/>
      <c r="P164" s="483"/>
      <c r="Q164" s="483"/>
      <c r="R164" s="483"/>
      <c r="S164" s="483"/>
      <c r="T164" s="483"/>
      <c r="U164" s="483"/>
      <c r="V164" s="483"/>
      <c r="W164" s="483"/>
      <c r="X164" s="483"/>
      <c r="Y164" s="483"/>
      <c r="Z164" s="483"/>
      <c r="AA164" s="483"/>
      <c r="AB164" s="483"/>
      <c r="AC164" s="483"/>
    </row>
    <row r="165" spans="1:29" ht="12.75" customHeight="1">
      <c r="A165" s="486"/>
      <c r="B165" s="483"/>
      <c r="C165" s="483"/>
      <c r="D165" s="503"/>
      <c r="E165" s="550"/>
      <c r="F165" s="550"/>
      <c r="G165" s="503"/>
      <c r="H165" s="551"/>
      <c r="I165" s="552"/>
      <c r="J165" s="483"/>
      <c r="K165" s="483"/>
      <c r="L165" s="483"/>
      <c r="M165" s="483"/>
      <c r="N165" s="483"/>
      <c r="O165" s="483"/>
      <c r="P165" s="483"/>
      <c r="Q165" s="483"/>
      <c r="R165" s="483"/>
      <c r="S165" s="483"/>
      <c r="T165" s="483"/>
      <c r="U165" s="483"/>
      <c r="V165" s="483"/>
      <c r="W165" s="483"/>
      <c r="X165" s="483"/>
      <c r="Y165" s="483"/>
      <c r="Z165" s="483"/>
      <c r="AA165" s="483"/>
      <c r="AB165" s="483"/>
      <c r="AC165" s="483"/>
    </row>
    <row r="166" spans="1:29" ht="12.75" customHeight="1">
      <c r="A166" s="486"/>
      <c r="B166" s="483"/>
      <c r="C166" s="483"/>
      <c r="D166" s="503"/>
      <c r="E166" s="550"/>
      <c r="F166" s="550"/>
      <c r="G166" s="503"/>
      <c r="H166" s="551"/>
      <c r="I166" s="552"/>
      <c r="J166" s="483"/>
      <c r="K166" s="483"/>
      <c r="L166" s="483"/>
      <c r="M166" s="483"/>
      <c r="N166" s="483"/>
      <c r="O166" s="483"/>
      <c r="P166" s="483"/>
      <c r="Q166" s="483"/>
      <c r="R166" s="483"/>
      <c r="S166" s="483"/>
      <c r="T166" s="483"/>
      <c r="U166" s="483"/>
      <c r="V166" s="483"/>
      <c r="W166" s="483"/>
      <c r="X166" s="483"/>
      <c r="Y166" s="483"/>
      <c r="Z166" s="483"/>
      <c r="AA166" s="483"/>
      <c r="AB166" s="483"/>
      <c r="AC166" s="483"/>
    </row>
    <row r="167" spans="1:29" ht="12.75" customHeight="1">
      <c r="A167" s="486"/>
      <c r="B167" s="483"/>
      <c r="C167" s="483"/>
      <c r="D167" s="503"/>
      <c r="E167" s="550"/>
      <c r="F167" s="550"/>
      <c r="G167" s="503"/>
      <c r="H167" s="551"/>
      <c r="I167" s="552"/>
      <c r="J167" s="483"/>
      <c r="K167" s="483"/>
      <c r="L167" s="483"/>
      <c r="M167" s="483"/>
      <c r="N167" s="483"/>
      <c r="O167" s="483"/>
      <c r="P167" s="483"/>
      <c r="Q167" s="483"/>
      <c r="R167" s="483"/>
      <c r="S167" s="483"/>
      <c r="T167" s="483"/>
      <c r="U167" s="483"/>
      <c r="V167" s="483"/>
      <c r="W167" s="483"/>
      <c r="X167" s="483"/>
      <c r="Y167" s="483"/>
      <c r="Z167" s="483"/>
      <c r="AA167" s="483"/>
      <c r="AB167" s="483"/>
      <c r="AC167" s="483"/>
    </row>
    <row r="168" spans="1:29" ht="12.75" customHeight="1">
      <c r="A168" s="486"/>
      <c r="B168" s="483"/>
      <c r="C168" s="483"/>
      <c r="D168" s="503"/>
      <c r="E168" s="550"/>
      <c r="F168" s="550"/>
      <c r="G168" s="503"/>
      <c r="H168" s="551"/>
      <c r="I168" s="552"/>
      <c r="J168" s="483"/>
      <c r="K168" s="483"/>
      <c r="L168" s="483"/>
      <c r="M168" s="483"/>
      <c r="N168" s="483"/>
      <c r="O168" s="483"/>
      <c r="P168" s="483"/>
      <c r="Q168" s="483"/>
      <c r="R168" s="483"/>
      <c r="S168" s="483"/>
      <c r="T168" s="483"/>
      <c r="U168" s="483"/>
      <c r="V168" s="483"/>
      <c r="W168" s="483"/>
      <c r="X168" s="483"/>
      <c r="Y168" s="483"/>
      <c r="Z168" s="483"/>
      <c r="AA168" s="483"/>
      <c r="AB168" s="483"/>
      <c r="AC168" s="483"/>
    </row>
    <row r="169" spans="1:29" ht="12.75" customHeight="1">
      <c r="A169" s="486"/>
      <c r="B169" s="483"/>
      <c r="C169" s="483"/>
      <c r="D169" s="503"/>
      <c r="E169" s="550"/>
      <c r="F169" s="550"/>
      <c r="G169" s="503"/>
      <c r="H169" s="551"/>
      <c r="I169" s="552"/>
      <c r="J169" s="483"/>
      <c r="K169" s="483"/>
      <c r="L169" s="483"/>
      <c r="M169" s="483"/>
      <c r="N169" s="483"/>
      <c r="O169" s="483"/>
      <c r="P169" s="483"/>
      <c r="Q169" s="483"/>
      <c r="R169" s="483"/>
      <c r="S169" s="483"/>
      <c r="T169" s="483"/>
      <c r="U169" s="483"/>
      <c r="V169" s="483"/>
      <c r="W169" s="483"/>
      <c r="X169" s="483"/>
      <c r="Y169" s="483"/>
      <c r="Z169" s="483"/>
      <c r="AA169" s="483"/>
      <c r="AB169" s="483"/>
      <c r="AC169" s="483"/>
    </row>
    <row r="170" spans="1:29" ht="12.75" customHeight="1">
      <c r="A170" s="486"/>
      <c r="B170" s="483"/>
      <c r="C170" s="483"/>
      <c r="D170" s="503"/>
      <c r="E170" s="550"/>
      <c r="F170" s="550"/>
      <c r="G170" s="503"/>
      <c r="H170" s="551"/>
      <c r="I170" s="552"/>
      <c r="J170" s="483"/>
      <c r="K170" s="483"/>
      <c r="L170" s="483"/>
      <c r="M170" s="483"/>
      <c r="N170" s="483"/>
      <c r="O170" s="483"/>
      <c r="P170" s="483"/>
      <c r="Q170" s="483"/>
      <c r="R170" s="483"/>
      <c r="S170" s="483"/>
      <c r="T170" s="483"/>
      <c r="U170" s="483"/>
      <c r="V170" s="483"/>
      <c r="W170" s="483"/>
      <c r="X170" s="483"/>
      <c r="Y170" s="483"/>
      <c r="Z170" s="483"/>
      <c r="AA170" s="483"/>
      <c r="AB170" s="483"/>
      <c r="AC170" s="483"/>
    </row>
    <row r="171" spans="1:29" ht="12.75" customHeight="1">
      <c r="A171" s="486"/>
      <c r="B171" s="483"/>
      <c r="C171" s="483"/>
      <c r="D171" s="503"/>
      <c r="E171" s="550"/>
      <c r="F171" s="550"/>
      <c r="G171" s="503"/>
      <c r="H171" s="551"/>
      <c r="I171" s="552"/>
      <c r="J171" s="483"/>
      <c r="K171" s="483"/>
      <c r="L171" s="483"/>
      <c r="M171" s="483"/>
      <c r="N171" s="483"/>
      <c r="O171" s="483"/>
      <c r="P171" s="483"/>
      <c r="Q171" s="483"/>
      <c r="R171" s="483"/>
      <c r="S171" s="483"/>
      <c r="T171" s="483"/>
      <c r="U171" s="483"/>
      <c r="V171" s="483"/>
      <c r="W171" s="483"/>
      <c r="X171" s="483"/>
      <c r="Y171" s="483"/>
      <c r="Z171" s="483"/>
      <c r="AA171" s="483"/>
      <c r="AB171" s="483"/>
      <c r="AC171" s="483"/>
    </row>
    <row r="172" spans="1:29" ht="12.75" customHeight="1">
      <c r="A172" s="486"/>
      <c r="B172" s="483"/>
      <c r="C172" s="483"/>
      <c r="D172" s="503"/>
      <c r="E172" s="550"/>
      <c r="F172" s="550"/>
      <c r="G172" s="503"/>
      <c r="H172" s="551"/>
      <c r="I172" s="552"/>
      <c r="J172" s="483"/>
      <c r="K172" s="483"/>
      <c r="L172" s="483"/>
      <c r="M172" s="483"/>
      <c r="N172" s="483"/>
      <c r="O172" s="483"/>
      <c r="P172" s="483"/>
      <c r="Q172" s="483"/>
      <c r="R172" s="483"/>
      <c r="S172" s="483"/>
      <c r="T172" s="483"/>
      <c r="U172" s="483"/>
      <c r="V172" s="483"/>
      <c r="W172" s="483"/>
      <c r="X172" s="483"/>
      <c r="Y172" s="483"/>
      <c r="Z172" s="483"/>
      <c r="AA172" s="483"/>
      <c r="AB172" s="483"/>
      <c r="AC172" s="483"/>
    </row>
    <row r="173" spans="1:29" ht="12.75" customHeight="1">
      <c r="A173" s="486"/>
      <c r="B173" s="483"/>
      <c r="C173" s="483"/>
      <c r="D173" s="503"/>
      <c r="E173" s="550"/>
      <c r="F173" s="550"/>
      <c r="G173" s="503"/>
      <c r="H173" s="551"/>
      <c r="I173" s="552"/>
      <c r="J173" s="483"/>
      <c r="K173" s="483"/>
      <c r="L173" s="483"/>
      <c r="M173" s="483"/>
      <c r="N173" s="483"/>
      <c r="O173" s="483"/>
      <c r="P173" s="483"/>
      <c r="Q173" s="483"/>
      <c r="R173" s="483"/>
      <c r="S173" s="483"/>
      <c r="T173" s="483"/>
      <c r="U173" s="483"/>
      <c r="V173" s="483"/>
      <c r="W173" s="483"/>
      <c r="X173" s="483"/>
      <c r="Y173" s="483"/>
      <c r="Z173" s="483"/>
      <c r="AA173" s="483"/>
      <c r="AB173" s="483"/>
      <c r="AC173" s="483"/>
    </row>
    <row r="174" spans="1:29" ht="12.75" customHeight="1">
      <c r="A174" s="486"/>
      <c r="B174" s="483"/>
      <c r="C174" s="483"/>
      <c r="D174" s="503"/>
      <c r="E174" s="550"/>
      <c r="F174" s="550"/>
      <c r="G174" s="503"/>
      <c r="H174" s="551"/>
      <c r="I174" s="552"/>
      <c r="J174" s="483"/>
      <c r="K174" s="483"/>
      <c r="L174" s="483"/>
      <c r="M174" s="483"/>
      <c r="N174" s="483"/>
      <c r="O174" s="483"/>
      <c r="P174" s="483"/>
      <c r="Q174" s="483"/>
      <c r="R174" s="483"/>
      <c r="S174" s="483"/>
      <c r="T174" s="483"/>
      <c r="U174" s="483"/>
      <c r="V174" s="483"/>
      <c r="W174" s="483"/>
      <c r="X174" s="483"/>
      <c r="Y174" s="483"/>
      <c r="Z174" s="483"/>
      <c r="AA174" s="483"/>
      <c r="AB174" s="483"/>
      <c r="AC174" s="483"/>
    </row>
    <row r="175" spans="1:29" ht="12.75" customHeight="1">
      <c r="A175" s="486"/>
      <c r="B175" s="483"/>
      <c r="C175" s="483"/>
      <c r="D175" s="503"/>
      <c r="E175" s="550"/>
      <c r="F175" s="550"/>
      <c r="G175" s="503"/>
      <c r="H175" s="551"/>
      <c r="I175" s="552"/>
      <c r="J175" s="483"/>
      <c r="K175" s="483"/>
      <c r="L175" s="483"/>
      <c r="M175" s="483"/>
      <c r="N175" s="483"/>
      <c r="O175" s="483"/>
      <c r="P175" s="483"/>
      <c r="Q175" s="483"/>
      <c r="R175" s="483"/>
      <c r="S175" s="483"/>
      <c r="T175" s="483"/>
      <c r="U175" s="483"/>
      <c r="V175" s="483"/>
      <c r="W175" s="483"/>
      <c r="X175" s="483"/>
      <c r="Y175" s="483"/>
      <c r="Z175" s="483"/>
      <c r="AA175" s="483"/>
      <c r="AB175" s="483"/>
      <c r="AC175" s="483"/>
    </row>
    <row r="176" spans="1:29" ht="12.75" customHeight="1">
      <c r="A176" s="486"/>
      <c r="B176" s="483"/>
      <c r="C176" s="483"/>
      <c r="D176" s="503"/>
      <c r="E176" s="550"/>
      <c r="F176" s="550"/>
      <c r="G176" s="503"/>
      <c r="H176" s="551"/>
      <c r="I176" s="552"/>
      <c r="J176" s="483"/>
      <c r="K176" s="483"/>
      <c r="L176" s="483"/>
      <c r="M176" s="483"/>
      <c r="N176" s="483"/>
      <c r="O176" s="483"/>
      <c r="P176" s="483"/>
      <c r="Q176" s="483"/>
      <c r="R176" s="483"/>
      <c r="S176" s="483"/>
      <c r="T176" s="483"/>
      <c r="U176" s="483"/>
      <c r="V176" s="483"/>
      <c r="W176" s="483"/>
      <c r="X176" s="483"/>
      <c r="Y176" s="483"/>
      <c r="Z176" s="483"/>
      <c r="AA176" s="483"/>
      <c r="AB176" s="483"/>
      <c r="AC176" s="483"/>
    </row>
    <row r="177" spans="1:29" ht="12.75" customHeight="1">
      <c r="A177" s="486"/>
      <c r="B177" s="483"/>
      <c r="C177" s="483"/>
      <c r="D177" s="503"/>
      <c r="E177" s="550"/>
      <c r="F177" s="550"/>
      <c r="G177" s="503"/>
      <c r="H177" s="551"/>
      <c r="I177" s="552"/>
      <c r="J177" s="483"/>
      <c r="K177" s="483"/>
      <c r="L177" s="483"/>
      <c r="M177" s="483"/>
      <c r="N177" s="483"/>
      <c r="O177" s="483"/>
      <c r="P177" s="483"/>
      <c r="Q177" s="483"/>
      <c r="R177" s="483"/>
      <c r="S177" s="483"/>
      <c r="T177" s="483"/>
      <c r="U177" s="483"/>
      <c r="V177" s="483"/>
      <c r="W177" s="483"/>
      <c r="X177" s="483"/>
      <c r="Y177" s="483"/>
      <c r="Z177" s="483"/>
      <c r="AA177" s="483"/>
      <c r="AB177" s="483"/>
      <c r="AC177" s="483"/>
    </row>
    <row r="178" spans="1:29" ht="12.75" customHeight="1">
      <c r="A178" s="486"/>
      <c r="B178" s="483"/>
      <c r="C178" s="483"/>
      <c r="D178" s="503"/>
      <c r="E178" s="550"/>
      <c r="F178" s="550"/>
      <c r="G178" s="503"/>
      <c r="H178" s="551"/>
      <c r="I178" s="552"/>
      <c r="J178" s="483"/>
      <c r="K178" s="483"/>
      <c r="L178" s="483"/>
      <c r="M178" s="483"/>
      <c r="N178" s="483"/>
      <c r="O178" s="483"/>
      <c r="P178" s="483"/>
      <c r="Q178" s="483"/>
      <c r="R178" s="483"/>
      <c r="S178" s="483"/>
      <c r="T178" s="483"/>
      <c r="U178" s="483"/>
      <c r="V178" s="483"/>
      <c r="W178" s="483"/>
      <c r="X178" s="483"/>
      <c r="Y178" s="483"/>
      <c r="Z178" s="483"/>
      <c r="AA178" s="483"/>
      <c r="AB178" s="483"/>
      <c r="AC178" s="483"/>
    </row>
    <row r="179" spans="1:29" ht="12.75" customHeight="1">
      <c r="A179" s="486"/>
      <c r="B179" s="483"/>
      <c r="C179" s="483"/>
      <c r="D179" s="503"/>
      <c r="E179" s="550"/>
      <c r="F179" s="550"/>
      <c r="G179" s="503"/>
      <c r="H179" s="551"/>
      <c r="I179" s="552"/>
      <c r="J179" s="483"/>
      <c r="K179" s="483"/>
      <c r="L179" s="483"/>
      <c r="M179" s="483"/>
      <c r="N179" s="483"/>
      <c r="O179" s="483"/>
      <c r="P179" s="483"/>
      <c r="Q179" s="483"/>
      <c r="R179" s="483"/>
      <c r="S179" s="483"/>
      <c r="T179" s="483"/>
      <c r="U179" s="483"/>
      <c r="V179" s="483"/>
      <c r="W179" s="483"/>
      <c r="X179" s="483"/>
      <c r="Y179" s="483"/>
      <c r="Z179" s="483"/>
      <c r="AA179" s="483"/>
      <c r="AB179" s="483"/>
      <c r="AC179" s="483"/>
    </row>
    <row r="180" spans="1:29" ht="12.75" customHeight="1">
      <c r="A180" s="486"/>
      <c r="B180" s="483"/>
      <c r="C180" s="483"/>
      <c r="D180" s="503"/>
      <c r="E180" s="550"/>
      <c r="F180" s="550"/>
      <c r="G180" s="503"/>
      <c r="H180" s="551"/>
      <c r="I180" s="552"/>
      <c r="J180" s="483"/>
      <c r="K180" s="483"/>
      <c r="L180" s="483"/>
      <c r="M180" s="483"/>
      <c r="N180" s="483"/>
      <c r="O180" s="483"/>
      <c r="P180" s="483"/>
      <c r="Q180" s="483"/>
      <c r="R180" s="483"/>
      <c r="S180" s="483"/>
      <c r="T180" s="483"/>
      <c r="U180" s="483"/>
      <c r="V180" s="483"/>
      <c r="W180" s="483"/>
      <c r="X180" s="483"/>
      <c r="Y180" s="483"/>
      <c r="Z180" s="483"/>
      <c r="AA180" s="483"/>
      <c r="AB180" s="483"/>
      <c r="AC180" s="483"/>
    </row>
    <row r="181" spans="1:29" ht="12.75" customHeight="1">
      <c r="A181" s="486"/>
      <c r="B181" s="483"/>
      <c r="C181" s="483"/>
      <c r="D181" s="503"/>
      <c r="E181" s="550"/>
      <c r="F181" s="550"/>
      <c r="G181" s="503"/>
      <c r="H181" s="551"/>
      <c r="I181" s="552"/>
      <c r="J181" s="483"/>
      <c r="K181" s="483"/>
      <c r="L181" s="483"/>
      <c r="M181" s="483"/>
      <c r="N181" s="483"/>
      <c r="O181" s="483"/>
      <c r="P181" s="483"/>
      <c r="Q181" s="483"/>
      <c r="R181" s="483"/>
      <c r="S181" s="483"/>
      <c r="T181" s="483"/>
      <c r="U181" s="483"/>
      <c r="V181" s="483"/>
      <c r="W181" s="483"/>
      <c r="X181" s="483"/>
      <c r="Y181" s="483"/>
      <c r="Z181" s="483"/>
      <c r="AA181" s="483"/>
      <c r="AB181" s="483"/>
      <c r="AC181" s="483"/>
    </row>
    <row r="182" spans="1:29" ht="12.75" customHeight="1">
      <c r="A182" s="486"/>
      <c r="B182" s="483"/>
      <c r="C182" s="483"/>
      <c r="D182" s="503"/>
      <c r="E182" s="550"/>
      <c r="F182" s="550"/>
      <c r="G182" s="503"/>
      <c r="H182" s="551"/>
      <c r="I182" s="552"/>
      <c r="J182" s="483"/>
      <c r="K182" s="483"/>
      <c r="L182" s="483"/>
      <c r="M182" s="483"/>
      <c r="N182" s="483"/>
      <c r="O182" s="483"/>
      <c r="P182" s="483"/>
      <c r="Q182" s="483"/>
      <c r="R182" s="483"/>
      <c r="S182" s="483"/>
      <c r="T182" s="483"/>
      <c r="U182" s="483"/>
      <c r="V182" s="483"/>
      <c r="W182" s="483"/>
      <c r="X182" s="483"/>
      <c r="Y182" s="483"/>
      <c r="Z182" s="483"/>
      <c r="AA182" s="483"/>
      <c r="AB182" s="483"/>
      <c r="AC182" s="483"/>
    </row>
    <row r="183" spans="1:29" ht="12.75" customHeight="1">
      <c r="A183" s="486"/>
      <c r="B183" s="483"/>
      <c r="C183" s="483"/>
      <c r="D183" s="503"/>
      <c r="E183" s="550"/>
      <c r="F183" s="550"/>
      <c r="G183" s="503"/>
      <c r="H183" s="551"/>
      <c r="I183" s="552"/>
      <c r="J183" s="483"/>
      <c r="K183" s="483"/>
      <c r="L183" s="483"/>
      <c r="M183" s="483"/>
      <c r="N183" s="483"/>
      <c r="O183" s="483"/>
      <c r="P183" s="483"/>
      <c r="Q183" s="483"/>
      <c r="R183" s="483"/>
      <c r="S183" s="483"/>
      <c r="T183" s="483"/>
      <c r="U183" s="483"/>
      <c r="V183" s="483"/>
      <c r="W183" s="483"/>
      <c r="X183" s="483"/>
      <c r="Y183" s="483"/>
      <c r="Z183" s="483"/>
      <c r="AA183" s="483"/>
      <c r="AB183" s="483"/>
      <c r="AC183" s="483"/>
    </row>
    <row r="184" spans="1:29" ht="12.75" customHeight="1">
      <c r="A184" s="486"/>
      <c r="B184" s="483"/>
      <c r="C184" s="483"/>
      <c r="D184" s="503"/>
      <c r="E184" s="550"/>
      <c r="F184" s="550"/>
      <c r="G184" s="503"/>
      <c r="H184" s="551"/>
      <c r="I184" s="552"/>
      <c r="J184" s="483"/>
      <c r="K184" s="483"/>
      <c r="L184" s="483"/>
      <c r="M184" s="483"/>
      <c r="N184" s="483"/>
      <c r="O184" s="483"/>
      <c r="P184" s="483"/>
      <c r="Q184" s="483"/>
      <c r="R184" s="483"/>
      <c r="S184" s="483"/>
      <c r="T184" s="483"/>
      <c r="U184" s="483"/>
      <c r="V184" s="483"/>
      <c r="W184" s="483"/>
      <c r="X184" s="483"/>
      <c r="Y184" s="483"/>
      <c r="Z184" s="483"/>
      <c r="AA184" s="483"/>
      <c r="AB184" s="483"/>
      <c r="AC184" s="483"/>
    </row>
    <row r="185" spans="1:29" ht="12.75" customHeight="1">
      <c r="A185" s="486"/>
      <c r="B185" s="483"/>
      <c r="C185" s="483"/>
      <c r="D185" s="503"/>
      <c r="E185" s="550"/>
      <c r="F185" s="550"/>
      <c r="G185" s="503"/>
      <c r="H185" s="551"/>
      <c r="I185" s="552"/>
      <c r="J185" s="483"/>
      <c r="K185" s="483"/>
      <c r="L185" s="483"/>
      <c r="M185" s="483"/>
      <c r="N185" s="483"/>
      <c r="O185" s="483"/>
      <c r="P185" s="483"/>
      <c r="Q185" s="483"/>
      <c r="R185" s="483"/>
      <c r="S185" s="483"/>
      <c r="T185" s="483"/>
      <c r="U185" s="483"/>
      <c r="V185" s="483"/>
      <c r="W185" s="483"/>
      <c r="X185" s="483"/>
      <c r="Y185" s="483"/>
      <c r="Z185" s="483"/>
      <c r="AA185" s="483"/>
      <c r="AB185" s="483"/>
      <c r="AC185" s="483"/>
    </row>
    <row r="186" spans="1:29" ht="12.75" customHeight="1">
      <c r="A186" s="486"/>
      <c r="B186" s="483"/>
      <c r="C186" s="483"/>
      <c r="D186" s="503"/>
      <c r="E186" s="550"/>
      <c r="F186" s="550"/>
      <c r="G186" s="503"/>
      <c r="H186" s="551"/>
      <c r="I186" s="552"/>
      <c r="J186" s="483"/>
      <c r="K186" s="483"/>
      <c r="L186" s="483"/>
      <c r="M186" s="483"/>
      <c r="N186" s="483"/>
      <c r="O186" s="483"/>
      <c r="P186" s="483"/>
      <c r="Q186" s="483"/>
      <c r="R186" s="483"/>
      <c r="S186" s="483"/>
      <c r="T186" s="483"/>
      <c r="U186" s="483"/>
      <c r="V186" s="483"/>
      <c r="W186" s="483"/>
      <c r="X186" s="483"/>
      <c r="Y186" s="483"/>
      <c r="Z186" s="483"/>
      <c r="AA186" s="483"/>
      <c r="AB186" s="483"/>
      <c r="AC186" s="483"/>
    </row>
    <row r="187" spans="1:29" ht="12.75" customHeight="1">
      <c r="A187" s="486"/>
      <c r="B187" s="483"/>
      <c r="C187" s="483"/>
      <c r="D187" s="503"/>
      <c r="E187" s="550"/>
      <c r="F187" s="550"/>
      <c r="G187" s="503"/>
      <c r="H187" s="551"/>
      <c r="I187" s="552"/>
      <c r="J187" s="483"/>
      <c r="K187" s="483"/>
      <c r="L187" s="483"/>
      <c r="M187" s="483"/>
      <c r="N187" s="483"/>
      <c r="O187" s="483"/>
      <c r="P187" s="483"/>
      <c r="Q187" s="483"/>
      <c r="R187" s="483"/>
      <c r="S187" s="483"/>
      <c r="T187" s="483"/>
      <c r="U187" s="483"/>
      <c r="V187" s="483"/>
      <c r="W187" s="483"/>
      <c r="X187" s="483"/>
      <c r="Y187" s="483"/>
      <c r="Z187" s="483"/>
      <c r="AA187" s="483"/>
      <c r="AB187" s="483"/>
      <c r="AC187" s="483"/>
    </row>
    <row r="188" spans="1:29" ht="12.75" customHeight="1">
      <c r="A188" s="486"/>
      <c r="B188" s="483"/>
      <c r="C188" s="483"/>
      <c r="D188" s="503"/>
      <c r="E188" s="550"/>
      <c r="F188" s="550"/>
      <c r="G188" s="503"/>
      <c r="H188" s="551"/>
      <c r="I188" s="552"/>
      <c r="J188" s="483"/>
      <c r="K188" s="483"/>
      <c r="L188" s="483"/>
      <c r="M188" s="483"/>
      <c r="N188" s="483"/>
      <c r="O188" s="483"/>
      <c r="P188" s="483"/>
      <c r="Q188" s="483"/>
      <c r="R188" s="483"/>
      <c r="S188" s="483"/>
      <c r="T188" s="483"/>
      <c r="U188" s="483"/>
      <c r="V188" s="483"/>
      <c r="W188" s="483"/>
      <c r="X188" s="483"/>
      <c r="Y188" s="483"/>
      <c r="Z188" s="483"/>
      <c r="AA188" s="483"/>
      <c r="AB188" s="483"/>
      <c r="AC188" s="483"/>
    </row>
    <row r="189" spans="1:29" ht="12.75" customHeight="1">
      <c r="A189" s="486"/>
      <c r="B189" s="483"/>
      <c r="C189" s="483"/>
      <c r="D189" s="503"/>
      <c r="E189" s="550"/>
      <c r="F189" s="550"/>
      <c r="G189" s="503"/>
      <c r="H189" s="551"/>
      <c r="I189" s="552"/>
      <c r="J189" s="483"/>
      <c r="K189" s="483"/>
      <c r="L189" s="483"/>
      <c r="M189" s="483"/>
      <c r="N189" s="483"/>
      <c r="O189" s="483"/>
      <c r="P189" s="483"/>
      <c r="Q189" s="483"/>
      <c r="R189" s="483"/>
      <c r="S189" s="483"/>
      <c r="T189" s="483"/>
      <c r="U189" s="483"/>
      <c r="V189" s="483"/>
      <c r="W189" s="483"/>
      <c r="X189" s="483"/>
      <c r="Y189" s="483"/>
      <c r="Z189" s="483"/>
      <c r="AA189" s="483"/>
      <c r="AB189" s="483"/>
      <c r="AC189" s="483"/>
    </row>
    <row r="190" spans="1:29" ht="12.75" customHeight="1">
      <c r="A190" s="486"/>
      <c r="B190" s="483"/>
      <c r="C190" s="483"/>
      <c r="D190" s="503"/>
      <c r="E190" s="550"/>
      <c r="F190" s="550"/>
      <c r="G190" s="503"/>
      <c r="H190" s="551"/>
      <c r="I190" s="552"/>
      <c r="J190" s="483"/>
      <c r="K190" s="483"/>
      <c r="L190" s="483"/>
      <c r="M190" s="483"/>
      <c r="N190" s="483"/>
      <c r="O190" s="483"/>
      <c r="P190" s="483"/>
      <c r="Q190" s="483"/>
      <c r="R190" s="483"/>
      <c r="S190" s="483"/>
      <c r="T190" s="483"/>
      <c r="U190" s="483"/>
      <c r="V190" s="483"/>
      <c r="W190" s="483"/>
      <c r="X190" s="483"/>
      <c r="Y190" s="483"/>
      <c r="Z190" s="483"/>
      <c r="AA190" s="483"/>
      <c r="AB190" s="483"/>
      <c r="AC190" s="483"/>
    </row>
    <row r="191" spans="1:29" ht="12.75" customHeight="1">
      <c r="A191" s="486"/>
      <c r="B191" s="483"/>
      <c r="C191" s="483"/>
      <c r="D191" s="503"/>
      <c r="E191" s="550"/>
      <c r="F191" s="550"/>
      <c r="G191" s="503"/>
      <c r="H191" s="551"/>
      <c r="I191" s="552"/>
      <c r="J191" s="483"/>
      <c r="K191" s="483"/>
      <c r="L191" s="483"/>
      <c r="M191" s="483"/>
      <c r="N191" s="483"/>
      <c r="O191" s="483"/>
      <c r="P191" s="483"/>
      <c r="Q191" s="483"/>
      <c r="R191" s="483"/>
      <c r="S191" s="483"/>
      <c r="T191" s="483"/>
      <c r="U191" s="483"/>
      <c r="V191" s="483"/>
      <c r="W191" s="483"/>
      <c r="X191" s="483"/>
      <c r="Y191" s="483"/>
      <c r="Z191" s="483"/>
      <c r="AA191" s="483"/>
      <c r="AB191" s="483"/>
      <c r="AC191" s="483"/>
    </row>
    <row r="192" spans="1:29" ht="12.75" customHeight="1">
      <c r="A192" s="486"/>
      <c r="B192" s="483"/>
      <c r="C192" s="483"/>
      <c r="D192" s="503"/>
      <c r="E192" s="550"/>
      <c r="F192" s="550"/>
      <c r="G192" s="503"/>
      <c r="H192" s="551"/>
      <c r="I192" s="552"/>
      <c r="J192" s="483"/>
      <c r="K192" s="483"/>
      <c r="L192" s="483"/>
      <c r="M192" s="483"/>
      <c r="N192" s="483"/>
      <c r="O192" s="483"/>
      <c r="P192" s="483"/>
      <c r="Q192" s="483"/>
      <c r="R192" s="483"/>
      <c r="S192" s="483"/>
      <c r="T192" s="483"/>
      <c r="U192" s="483"/>
      <c r="V192" s="483"/>
      <c r="W192" s="483"/>
      <c r="X192" s="483"/>
      <c r="Y192" s="483"/>
      <c r="Z192" s="483"/>
      <c r="AA192" s="483"/>
      <c r="AB192" s="483"/>
      <c r="AC192" s="483"/>
    </row>
    <row r="193" spans="1:29" ht="12.75" customHeight="1">
      <c r="A193" s="486"/>
      <c r="B193" s="483"/>
      <c r="C193" s="483"/>
      <c r="D193" s="503"/>
      <c r="E193" s="550"/>
      <c r="F193" s="550"/>
      <c r="G193" s="503"/>
      <c r="H193" s="551"/>
      <c r="I193" s="552"/>
      <c r="J193" s="483"/>
      <c r="K193" s="483"/>
      <c r="L193" s="483"/>
      <c r="M193" s="483"/>
      <c r="N193" s="483"/>
      <c r="O193" s="483"/>
      <c r="P193" s="483"/>
      <c r="Q193" s="483"/>
      <c r="R193" s="483"/>
      <c r="S193" s="483"/>
      <c r="T193" s="483"/>
      <c r="U193" s="483"/>
      <c r="V193" s="483"/>
      <c r="W193" s="483"/>
      <c r="X193" s="483"/>
      <c r="Y193" s="483"/>
      <c r="Z193" s="483"/>
      <c r="AA193" s="483"/>
      <c r="AB193" s="483"/>
      <c r="AC193" s="483"/>
    </row>
    <row r="194" spans="1:29" ht="12.75" customHeight="1">
      <c r="A194" s="486"/>
      <c r="B194" s="483"/>
      <c r="C194" s="483"/>
      <c r="D194" s="503"/>
      <c r="E194" s="550"/>
      <c r="F194" s="550"/>
      <c r="G194" s="503"/>
      <c r="H194" s="551"/>
      <c r="I194" s="552"/>
      <c r="J194" s="483"/>
      <c r="K194" s="483"/>
      <c r="L194" s="483"/>
      <c r="M194" s="483"/>
      <c r="N194" s="483"/>
      <c r="O194" s="483"/>
      <c r="P194" s="483"/>
      <c r="Q194" s="483"/>
      <c r="R194" s="483"/>
      <c r="S194" s="483"/>
      <c r="T194" s="483"/>
      <c r="U194" s="483"/>
      <c r="V194" s="483"/>
      <c r="W194" s="483"/>
      <c r="X194" s="483"/>
      <c r="Y194" s="483"/>
      <c r="Z194" s="483"/>
      <c r="AA194" s="483"/>
      <c r="AB194" s="483"/>
      <c r="AC194" s="483"/>
    </row>
    <row r="195" spans="1:29" ht="12.75" customHeight="1">
      <c r="A195" s="486"/>
      <c r="B195" s="483"/>
      <c r="C195" s="483"/>
      <c r="D195" s="503"/>
      <c r="E195" s="550"/>
      <c r="F195" s="550"/>
      <c r="G195" s="503"/>
      <c r="H195" s="551"/>
      <c r="I195" s="552"/>
      <c r="J195" s="483"/>
      <c r="K195" s="483"/>
      <c r="L195" s="483"/>
      <c r="M195" s="483"/>
      <c r="N195" s="483"/>
      <c r="O195" s="483"/>
      <c r="P195" s="483"/>
      <c r="Q195" s="483"/>
      <c r="R195" s="483"/>
      <c r="S195" s="483"/>
      <c r="T195" s="483"/>
      <c r="U195" s="483"/>
      <c r="V195" s="483"/>
      <c r="W195" s="483"/>
      <c r="X195" s="483"/>
      <c r="Y195" s="483"/>
      <c r="Z195" s="483"/>
      <c r="AA195" s="483"/>
      <c r="AB195" s="483"/>
      <c r="AC195" s="483"/>
    </row>
    <row r="196" spans="1:29" ht="12.75" customHeight="1">
      <c r="A196" s="486"/>
      <c r="B196" s="483"/>
      <c r="C196" s="483"/>
      <c r="D196" s="503"/>
      <c r="E196" s="550"/>
      <c r="F196" s="550"/>
      <c r="G196" s="503"/>
      <c r="H196" s="551"/>
      <c r="I196" s="552"/>
      <c r="J196" s="483"/>
      <c r="K196" s="483"/>
      <c r="L196" s="483"/>
      <c r="M196" s="483"/>
      <c r="N196" s="483"/>
      <c r="O196" s="483"/>
      <c r="P196" s="483"/>
      <c r="Q196" s="483"/>
      <c r="R196" s="483"/>
      <c r="S196" s="483"/>
      <c r="T196" s="483"/>
      <c r="U196" s="483"/>
      <c r="V196" s="483"/>
      <c r="W196" s="483"/>
      <c r="X196" s="483"/>
      <c r="Y196" s="483"/>
      <c r="Z196" s="483"/>
      <c r="AA196" s="483"/>
      <c r="AB196" s="483"/>
      <c r="AC196" s="483"/>
    </row>
    <row r="197" spans="1:29" ht="12.75" customHeight="1">
      <c r="A197" s="486"/>
      <c r="B197" s="483"/>
      <c r="C197" s="483"/>
      <c r="D197" s="503"/>
      <c r="E197" s="550"/>
      <c r="F197" s="550"/>
      <c r="G197" s="503"/>
      <c r="H197" s="551"/>
      <c r="I197" s="552"/>
      <c r="J197" s="483"/>
      <c r="K197" s="483"/>
      <c r="L197" s="483"/>
      <c r="M197" s="483"/>
      <c r="N197" s="483"/>
      <c r="O197" s="483"/>
      <c r="P197" s="483"/>
      <c r="Q197" s="483"/>
      <c r="R197" s="483"/>
      <c r="S197" s="483"/>
      <c r="T197" s="483"/>
      <c r="U197" s="483"/>
      <c r="V197" s="483"/>
      <c r="W197" s="483"/>
      <c r="X197" s="483"/>
      <c r="Y197" s="483"/>
      <c r="Z197" s="483"/>
      <c r="AA197" s="483"/>
      <c r="AB197" s="483"/>
      <c r="AC197" s="483"/>
    </row>
    <row r="198" spans="1:29" ht="12.75" customHeight="1">
      <c r="A198" s="486"/>
      <c r="B198" s="483"/>
      <c r="C198" s="483"/>
      <c r="D198" s="503"/>
      <c r="E198" s="550"/>
      <c r="F198" s="550"/>
      <c r="G198" s="503"/>
      <c r="H198" s="551"/>
      <c r="I198" s="552"/>
      <c r="J198" s="483"/>
      <c r="K198" s="483"/>
      <c r="L198" s="483"/>
      <c r="M198" s="483"/>
      <c r="N198" s="483"/>
      <c r="O198" s="483"/>
      <c r="P198" s="483"/>
      <c r="Q198" s="483"/>
      <c r="R198" s="483"/>
      <c r="S198" s="483"/>
      <c r="T198" s="483"/>
      <c r="U198" s="483"/>
      <c r="V198" s="483"/>
      <c r="W198" s="483"/>
      <c r="X198" s="483"/>
      <c r="Y198" s="483"/>
      <c r="Z198" s="483"/>
      <c r="AA198" s="483"/>
      <c r="AB198" s="483"/>
      <c r="AC198" s="483"/>
    </row>
    <row r="199" spans="1:29" ht="12.75" customHeight="1">
      <c r="A199" s="486"/>
      <c r="B199" s="483"/>
      <c r="C199" s="483"/>
      <c r="D199" s="503"/>
      <c r="E199" s="550"/>
      <c r="F199" s="550"/>
      <c r="G199" s="503"/>
      <c r="H199" s="551"/>
      <c r="I199" s="552"/>
      <c r="J199" s="483"/>
      <c r="K199" s="483"/>
      <c r="L199" s="483"/>
      <c r="M199" s="483"/>
      <c r="N199" s="483"/>
      <c r="O199" s="483"/>
      <c r="P199" s="483"/>
      <c r="Q199" s="483"/>
      <c r="R199" s="483"/>
      <c r="S199" s="483"/>
      <c r="T199" s="483"/>
      <c r="U199" s="483"/>
      <c r="V199" s="483"/>
      <c r="W199" s="483"/>
      <c r="X199" s="483"/>
      <c r="Y199" s="483"/>
      <c r="Z199" s="483"/>
      <c r="AA199" s="483"/>
      <c r="AB199" s="483"/>
      <c r="AC199" s="483"/>
    </row>
    <row r="200" spans="1:29" ht="12.75" customHeight="1">
      <c r="A200" s="486"/>
      <c r="B200" s="483"/>
      <c r="C200" s="483"/>
      <c r="D200" s="503"/>
      <c r="E200" s="550"/>
      <c r="F200" s="550"/>
      <c r="G200" s="503"/>
      <c r="H200" s="551"/>
      <c r="I200" s="552"/>
      <c r="J200" s="483"/>
      <c r="K200" s="483"/>
      <c r="L200" s="483"/>
      <c r="M200" s="483"/>
      <c r="N200" s="483"/>
      <c r="O200" s="483"/>
      <c r="P200" s="483"/>
      <c r="Q200" s="483"/>
      <c r="R200" s="483"/>
      <c r="S200" s="483"/>
      <c r="T200" s="483"/>
      <c r="U200" s="483"/>
      <c r="V200" s="483"/>
      <c r="W200" s="483"/>
      <c r="X200" s="483"/>
      <c r="Y200" s="483"/>
      <c r="Z200" s="483"/>
      <c r="AA200" s="483"/>
      <c r="AB200" s="483"/>
      <c r="AC200" s="483"/>
    </row>
    <row r="201" spans="1:29" ht="12.75" customHeight="1">
      <c r="A201" s="486"/>
      <c r="B201" s="483"/>
      <c r="C201" s="483"/>
      <c r="D201" s="503"/>
      <c r="E201" s="550"/>
      <c r="F201" s="550"/>
      <c r="G201" s="503"/>
      <c r="H201" s="551"/>
      <c r="I201" s="552"/>
      <c r="J201" s="483"/>
      <c r="K201" s="483"/>
      <c r="L201" s="483"/>
      <c r="M201" s="483"/>
      <c r="N201" s="483"/>
      <c r="O201" s="483"/>
      <c r="P201" s="483"/>
      <c r="Q201" s="483"/>
      <c r="R201" s="483"/>
      <c r="S201" s="483"/>
      <c r="T201" s="483"/>
      <c r="U201" s="483"/>
      <c r="V201" s="483"/>
      <c r="W201" s="483"/>
      <c r="X201" s="483"/>
      <c r="Y201" s="483"/>
      <c r="Z201" s="483"/>
      <c r="AA201" s="483"/>
      <c r="AB201" s="483"/>
      <c r="AC201" s="483"/>
    </row>
    <row r="202" spans="1:29" ht="12.75" customHeight="1">
      <c r="A202" s="486"/>
      <c r="B202" s="483"/>
      <c r="C202" s="483"/>
      <c r="D202" s="503"/>
      <c r="E202" s="550"/>
      <c r="F202" s="550"/>
      <c r="G202" s="503"/>
      <c r="H202" s="551"/>
      <c r="I202" s="552"/>
      <c r="J202" s="483"/>
      <c r="K202" s="483"/>
      <c r="L202" s="483"/>
      <c r="M202" s="483"/>
      <c r="N202" s="483"/>
      <c r="O202" s="483"/>
      <c r="P202" s="483"/>
      <c r="Q202" s="483"/>
      <c r="R202" s="483"/>
      <c r="S202" s="483"/>
      <c r="T202" s="483"/>
      <c r="U202" s="483"/>
      <c r="V202" s="483"/>
      <c r="W202" s="483"/>
      <c r="X202" s="483"/>
      <c r="Y202" s="483"/>
      <c r="Z202" s="483"/>
      <c r="AA202" s="483"/>
      <c r="AB202" s="483"/>
      <c r="AC202" s="483"/>
    </row>
    <row r="203" spans="1:29" ht="12.75" customHeight="1">
      <c r="A203" s="486"/>
      <c r="B203" s="483"/>
      <c r="C203" s="483"/>
      <c r="D203" s="503"/>
      <c r="E203" s="550"/>
      <c r="F203" s="550"/>
      <c r="G203" s="503"/>
      <c r="H203" s="551"/>
      <c r="I203" s="552"/>
      <c r="J203" s="483"/>
      <c r="K203" s="483"/>
      <c r="L203" s="483"/>
      <c r="M203" s="483"/>
      <c r="N203" s="483"/>
      <c r="O203" s="483"/>
      <c r="P203" s="483"/>
      <c r="Q203" s="483"/>
      <c r="R203" s="483"/>
      <c r="S203" s="483"/>
      <c r="T203" s="483"/>
      <c r="U203" s="483"/>
      <c r="V203" s="483"/>
      <c r="W203" s="483"/>
      <c r="X203" s="483"/>
      <c r="Y203" s="483"/>
      <c r="Z203" s="483"/>
      <c r="AA203" s="483"/>
      <c r="AB203" s="483"/>
      <c r="AC203" s="483"/>
    </row>
    <row r="204" spans="1:29" ht="12.75" customHeight="1">
      <c r="A204" s="486"/>
      <c r="B204" s="483"/>
      <c r="C204" s="483"/>
      <c r="D204" s="503"/>
      <c r="E204" s="550"/>
      <c r="F204" s="550"/>
      <c r="G204" s="503"/>
      <c r="H204" s="551"/>
      <c r="I204" s="552"/>
      <c r="J204" s="483"/>
      <c r="K204" s="483"/>
      <c r="L204" s="483"/>
      <c r="M204" s="483"/>
      <c r="N204" s="483"/>
      <c r="O204" s="483"/>
      <c r="P204" s="483"/>
      <c r="Q204" s="483"/>
      <c r="R204" s="483"/>
      <c r="S204" s="483"/>
      <c r="T204" s="483"/>
      <c r="U204" s="483"/>
      <c r="V204" s="483"/>
      <c r="W204" s="483"/>
      <c r="X204" s="483"/>
      <c r="Y204" s="483"/>
      <c r="Z204" s="483"/>
      <c r="AA204" s="483"/>
      <c r="AB204" s="483"/>
      <c r="AC204" s="483"/>
    </row>
    <row r="205" spans="1:29" ht="12.75" customHeight="1">
      <c r="A205" s="486"/>
      <c r="B205" s="483"/>
      <c r="C205" s="483"/>
      <c r="D205" s="503"/>
      <c r="E205" s="550"/>
      <c r="F205" s="550"/>
      <c r="G205" s="503"/>
      <c r="H205" s="551"/>
      <c r="I205" s="552"/>
      <c r="J205" s="483"/>
      <c r="K205" s="483"/>
      <c r="L205" s="483"/>
      <c r="M205" s="483"/>
      <c r="N205" s="483"/>
      <c r="O205" s="483"/>
      <c r="P205" s="483"/>
      <c r="Q205" s="483"/>
      <c r="R205" s="483"/>
      <c r="S205" s="483"/>
      <c r="T205" s="483"/>
      <c r="U205" s="483"/>
      <c r="V205" s="483"/>
      <c r="W205" s="483"/>
      <c r="X205" s="483"/>
      <c r="Y205" s="483"/>
      <c r="Z205" s="483"/>
      <c r="AA205" s="483"/>
      <c r="AB205" s="483"/>
      <c r="AC205" s="483"/>
    </row>
    <row r="206" spans="1:29" ht="12.75" customHeight="1">
      <c r="A206" s="486"/>
      <c r="B206" s="483"/>
      <c r="C206" s="483"/>
      <c r="D206" s="503"/>
      <c r="E206" s="550"/>
      <c r="F206" s="550"/>
      <c r="G206" s="503"/>
      <c r="H206" s="551"/>
      <c r="I206" s="552"/>
      <c r="J206" s="483"/>
      <c r="K206" s="483"/>
      <c r="L206" s="483"/>
      <c r="M206" s="483"/>
      <c r="N206" s="483"/>
      <c r="O206" s="483"/>
      <c r="P206" s="483"/>
      <c r="Q206" s="483"/>
      <c r="R206" s="483"/>
      <c r="S206" s="483"/>
      <c r="T206" s="483"/>
      <c r="U206" s="483"/>
      <c r="V206" s="483"/>
      <c r="W206" s="483"/>
      <c r="X206" s="483"/>
      <c r="Y206" s="483"/>
      <c r="Z206" s="483"/>
      <c r="AA206" s="483"/>
      <c r="AB206" s="483"/>
      <c r="AC206" s="483"/>
    </row>
    <row r="207" spans="1:29" ht="12.75" customHeight="1">
      <c r="A207" s="486"/>
      <c r="B207" s="483"/>
      <c r="C207" s="483"/>
      <c r="D207" s="503"/>
      <c r="E207" s="550"/>
      <c r="F207" s="550"/>
      <c r="G207" s="503"/>
      <c r="H207" s="551"/>
      <c r="I207" s="552"/>
      <c r="J207" s="483"/>
      <c r="K207" s="483"/>
      <c r="L207" s="483"/>
      <c r="M207" s="483"/>
      <c r="N207" s="483"/>
      <c r="O207" s="483"/>
      <c r="P207" s="483"/>
      <c r="Q207" s="483"/>
      <c r="R207" s="483"/>
      <c r="S207" s="483"/>
      <c r="T207" s="483"/>
      <c r="U207" s="483"/>
      <c r="V207" s="483"/>
      <c r="W207" s="483"/>
      <c r="X207" s="483"/>
      <c r="Y207" s="483"/>
      <c r="Z207" s="483"/>
      <c r="AA207" s="483"/>
      <c r="AB207" s="483"/>
      <c r="AC207" s="483"/>
    </row>
    <row r="208" spans="1:29" ht="12.75" customHeight="1">
      <c r="A208" s="486"/>
      <c r="B208" s="483"/>
      <c r="C208" s="483"/>
      <c r="D208" s="503"/>
      <c r="E208" s="550"/>
      <c r="F208" s="550"/>
      <c r="G208" s="503"/>
      <c r="H208" s="551"/>
      <c r="I208" s="552"/>
      <c r="J208" s="483"/>
      <c r="K208" s="483"/>
      <c r="L208" s="483"/>
      <c r="M208" s="483"/>
      <c r="N208" s="483"/>
      <c r="O208" s="483"/>
      <c r="P208" s="483"/>
      <c r="Q208" s="483"/>
      <c r="R208" s="483"/>
      <c r="S208" s="483"/>
      <c r="T208" s="483"/>
      <c r="U208" s="483"/>
      <c r="V208" s="483"/>
      <c r="W208" s="483"/>
      <c r="X208" s="483"/>
      <c r="Y208" s="483"/>
      <c r="Z208" s="483"/>
      <c r="AA208" s="483"/>
      <c r="AB208" s="483"/>
      <c r="AC208" s="483"/>
    </row>
    <row r="209" spans="1:29" ht="12.75" customHeight="1">
      <c r="A209" s="486"/>
      <c r="B209" s="483"/>
      <c r="C209" s="483"/>
      <c r="D209" s="503"/>
      <c r="E209" s="550"/>
      <c r="F209" s="550"/>
      <c r="G209" s="503"/>
      <c r="H209" s="551"/>
      <c r="I209" s="552"/>
      <c r="J209" s="483"/>
      <c r="K209" s="483"/>
      <c r="L209" s="483"/>
      <c r="M209" s="483"/>
      <c r="N209" s="483"/>
      <c r="O209" s="483"/>
      <c r="P209" s="483"/>
      <c r="Q209" s="483"/>
      <c r="R209" s="483"/>
      <c r="S209" s="483"/>
      <c r="T209" s="483"/>
      <c r="U209" s="483"/>
      <c r="V209" s="483"/>
      <c r="W209" s="483"/>
      <c r="X209" s="483"/>
      <c r="Y209" s="483"/>
      <c r="Z209" s="483"/>
      <c r="AA209" s="483"/>
      <c r="AB209" s="483"/>
      <c r="AC209" s="483"/>
    </row>
    <row r="210" spans="1:29" ht="12.75" customHeight="1">
      <c r="A210" s="486"/>
      <c r="B210" s="483"/>
      <c r="C210" s="483"/>
      <c r="D210" s="503"/>
      <c r="E210" s="550"/>
      <c r="F210" s="550"/>
      <c r="G210" s="503"/>
      <c r="H210" s="551"/>
      <c r="I210" s="552"/>
      <c r="J210" s="483"/>
      <c r="K210" s="483"/>
      <c r="L210" s="483"/>
      <c r="M210" s="483"/>
      <c r="N210" s="483"/>
      <c r="O210" s="483"/>
      <c r="P210" s="483"/>
      <c r="Q210" s="483"/>
      <c r="R210" s="483"/>
      <c r="S210" s="483"/>
      <c r="T210" s="483"/>
      <c r="U210" s="483"/>
      <c r="V210" s="483"/>
      <c r="W210" s="483"/>
      <c r="X210" s="483"/>
      <c r="Y210" s="483"/>
      <c r="Z210" s="483"/>
      <c r="AA210" s="483"/>
      <c r="AB210" s="483"/>
      <c r="AC210" s="483"/>
    </row>
    <row r="211" spans="1:29" ht="12.75" customHeight="1">
      <c r="A211" s="486"/>
      <c r="B211" s="483"/>
      <c r="C211" s="483"/>
      <c r="D211" s="503"/>
      <c r="E211" s="550"/>
      <c r="F211" s="550"/>
      <c r="G211" s="503"/>
      <c r="H211" s="551"/>
      <c r="I211" s="552"/>
      <c r="J211" s="483"/>
      <c r="K211" s="483"/>
      <c r="L211" s="483"/>
      <c r="M211" s="483"/>
      <c r="N211" s="483"/>
      <c r="O211" s="483"/>
      <c r="P211" s="483"/>
      <c r="Q211" s="483"/>
      <c r="R211" s="483"/>
      <c r="S211" s="483"/>
      <c r="T211" s="483"/>
      <c r="U211" s="483"/>
      <c r="V211" s="483"/>
      <c r="W211" s="483"/>
      <c r="X211" s="483"/>
      <c r="Y211" s="483"/>
      <c r="Z211" s="483"/>
      <c r="AA211" s="483"/>
      <c r="AB211" s="483"/>
      <c r="AC211" s="483"/>
    </row>
    <row r="212" spans="1:29" ht="12.75" customHeight="1">
      <c r="A212" s="486"/>
      <c r="B212" s="483"/>
      <c r="C212" s="483"/>
      <c r="D212" s="503"/>
      <c r="E212" s="550"/>
      <c r="F212" s="550"/>
      <c r="G212" s="503"/>
      <c r="H212" s="551"/>
      <c r="I212" s="552"/>
      <c r="J212" s="483"/>
      <c r="K212" s="483"/>
      <c r="L212" s="483"/>
      <c r="M212" s="483"/>
      <c r="N212" s="483"/>
      <c r="O212" s="483"/>
      <c r="P212" s="483"/>
      <c r="Q212" s="483"/>
      <c r="R212" s="483"/>
      <c r="S212" s="483"/>
      <c r="T212" s="483"/>
      <c r="U212" s="483"/>
      <c r="V212" s="483"/>
      <c r="W212" s="483"/>
      <c r="X212" s="483"/>
      <c r="Y212" s="483"/>
      <c r="Z212" s="483"/>
      <c r="AA212" s="483"/>
      <c r="AB212" s="483"/>
      <c r="AC212" s="483"/>
    </row>
    <row r="213" spans="1:29" ht="12.75" customHeight="1">
      <c r="A213" s="486"/>
      <c r="B213" s="483"/>
      <c r="C213" s="483"/>
      <c r="D213" s="503"/>
      <c r="E213" s="550"/>
      <c r="F213" s="550"/>
      <c r="G213" s="503"/>
      <c r="H213" s="551"/>
      <c r="I213" s="552"/>
      <c r="J213" s="483"/>
      <c r="K213" s="483"/>
      <c r="L213" s="483"/>
      <c r="M213" s="483"/>
      <c r="N213" s="483"/>
      <c r="O213" s="483"/>
      <c r="P213" s="483"/>
      <c r="Q213" s="483"/>
      <c r="R213" s="483"/>
      <c r="S213" s="483"/>
      <c r="T213" s="483"/>
      <c r="U213" s="483"/>
      <c r="V213" s="483"/>
      <c r="W213" s="483"/>
      <c r="X213" s="483"/>
      <c r="Y213" s="483"/>
      <c r="Z213" s="483"/>
      <c r="AA213" s="483"/>
      <c r="AB213" s="483"/>
      <c r="AC213" s="483"/>
    </row>
    <row r="214" spans="1:29" ht="12.75" customHeight="1">
      <c r="A214" s="486"/>
      <c r="B214" s="483"/>
      <c r="C214" s="483"/>
      <c r="D214" s="503"/>
      <c r="E214" s="550"/>
      <c r="F214" s="550"/>
      <c r="G214" s="503"/>
      <c r="H214" s="551"/>
      <c r="I214" s="552"/>
      <c r="J214" s="483"/>
      <c r="K214" s="483"/>
      <c r="L214" s="483"/>
      <c r="M214" s="483"/>
      <c r="N214" s="483"/>
      <c r="O214" s="483"/>
      <c r="P214" s="483"/>
      <c r="Q214" s="483"/>
      <c r="R214" s="483"/>
      <c r="S214" s="483"/>
      <c r="T214" s="483"/>
      <c r="U214" s="483"/>
      <c r="V214" s="483"/>
      <c r="W214" s="483"/>
      <c r="X214" s="483"/>
      <c r="Y214" s="483"/>
      <c r="Z214" s="483"/>
      <c r="AA214" s="483"/>
      <c r="AB214" s="483"/>
      <c r="AC214" s="483"/>
    </row>
    <row r="215" spans="1:29" ht="12.75" customHeight="1">
      <c r="A215" s="486"/>
      <c r="B215" s="483"/>
      <c r="C215" s="483"/>
      <c r="D215" s="503"/>
      <c r="E215" s="550"/>
      <c r="F215" s="550"/>
      <c r="G215" s="503"/>
      <c r="H215" s="551"/>
      <c r="I215" s="552"/>
      <c r="J215" s="483"/>
      <c r="K215" s="483"/>
      <c r="L215" s="483"/>
      <c r="M215" s="483"/>
      <c r="N215" s="483"/>
      <c r="O215" s="483"/>
      <c r="P215" s="483"/>
      <c r="Q215" s="483"/>
      <c r="R215" s="483"/>
      <c r="S215" s="483"/>
      <c r="T215" s="483"/>
      <c r="U215" s="483"/>
      <c r="V215" s="483"/>
      <c r="W215" s="483"/>
      <c r="X215" s="483"/>
      <c r="Y215" s="483"/>
      <c r="Z215" s="483"/>
      <c r="AA215" s="483"/>
      <c r="AB215" s="483"/>
      <c r="AC215" s="483"/>
    </row>
    <row r="216" spans="1:29" ht="12.75" customHeight="1">
      <c r="A216" s="486"/>
      <c r="B216" s="483"/>
      <c r="C216" s="483"/>
      <c r="D216" s="503"/>
      <c r="E216" s="550"/>
      <c r="F216" s="550"/>
      <c r="G216" s="503"/>
      <c r="H216" s="551"/>
      <c r="I216" s="552"/>
      <c r="J216" s="483"/>
      <c r="K216" s="483"/>
      <c r="L216" s="483"/>
      <c r="M216" s="483"/>
      <c r="N216" s="483"/>
      <c r="O216" s="483"/>
      <c r="P216" s="483"/>
      <c r="Q216" s="483"/>
      <c r="R216" s="483"/>
      <c r="S216" s="483"/>
      <c r="T216" s="483"/>
      <c r="U216" s="483"/>
      <c r="V216" s="483"/>
      <c r="W216" s="483"/>
      <c r="X216" s="483"/>
      <c r="Y216" s="483"/>
      <c r="Z216" s="483"/>
      <c r="AA216" s="483"/>
      <c r="AB216" s="483"/>
      <c r="AC216" s="483"/>
    </row>
    <row r="217" spans="1:29" ht="12.75" customHeight="1">
      <c r="A217" s="486"/>
      <c r="B217" s="483"/>
      <c r="C217" s="483"/>
      <c r="D217" s="503"/>
      <c r="E217" s="550"/>
      <c r="F217" s="550"/>
      <c r="G217" s="503"/>
      <c r="H217" s="551"/>
      <c r="I217" s="552"/>
      <c r="J217" s="483"/>
      <c r="K217" s="483"/>
      <c r="L217" s="483"/>
      <c r="M217" s="483"/>
      <c r="N217" s="483"/>
      <c r="O217" s="483"/>
      <c r="P217" s="483"/>
      <c r="Q217" s="483"/>
      <c r="R217" s="483"/>
      <c r="S217" s="483"/>
      <c r="T217" s="483"/>
      <c r="U217" s="483"/>
      <c r="V217" s="483"/>
      <c r="W217" s="483"/>
      <c r="X217" s="483"/>
      <c r="Y217" s="483"/>
      <c r="Z217" s="483"/>
      <c r="AA217" s="483"/>
      <c r="AB217" s="483"/>
      <c r="AC217" s="483"/>
    </row>
    <row r="218" spans="1:29" ht="12.75" customHeight="1">
      <c r="A218" s="486"/>
      <c r="B218" s="483"/>
      <c r="C218" s="483"/>
      <c r="D218" s="503"/>
      <c r="E218" s="550"/>
      <c r="F218" s="550"/>
      <c r="G218" s="503"/>
      <c r="H218" s="551"/>
      <c r="I218" s="552"/>
      <c r="J218" s="483"/>
      <c r="K218" s="483"/>
      <c r="L218" s="483"/>
      <c r="M218" s="483"/>
      <c r="N218" s="483"/>
      <c r="O218" s="483"/>
      <c r="P218" s="483"/>
      <c r="Q218" s="483"/>
      <c r="R218" s="483"/>
      <c r="S218" s="483"/>
      <c r="T218" s="483"/>
      <c r="U218" s="483"/>
      <c r="V218" s="483"/>
      <c r="W218" s="483"/>
      <c r="X218" s="483"/>
      <c r="Y218" s="483"/>
      <c r="Z218" s="483"/>
      <c r="AA218" s="483"/>
      <c r="AB218" s="483"/>
      <c r="AC218" s="483"/>
    </row>
    <row r="219" spans="1:29" ht="12.75" customHeight="1">
      <c r="A219" s="486"/>
      <c r="B219" s="483"/>
      <c r="C219" s="483"/>
      <c r="D219" s="503"/>
      <c r="E219" s="550"/>
      <c r="F219" s="550"/>
      <c r="G219" s="503"/>
      <c r="H219" s="551"/>
      <c r="I219" s="552"/>
      <c r="J219" s="483"/>
      <c r="K219" s="483"/>
      <c r="L219" s="483"/>
      <c r="M219" s="483"/>
      <c r="N219" s="483"/>
      <c r="O219" s="483"/>
      <c r="P219" s="483"/>
      <c r="Q219" s="483"/>
      <c r="R219" s="483"/>
      <c r="S219" s="483"/>
      <c r="T219" s="483"/>
      <c r="U219" s="483"/>
      <c r="V219" s="483"/>
      <c r="W219" s="483"/>
      <c r="X219" s="483"/>
      <c r="Y219" s="483"/>
      <c r="Z219" s="483"/>
      <c r="AA219" s="483"/>
      <c r="AB219" s="483"/>
      <c r="AC219" s="483"/>
    </row>
    <row r="220" spans="1:29" ht="12.75" customHeight="1">
      <c r="A220" s="486"/>
      <c r="B220" s="483"/>
      <c r="C220" s="483"/>
      <c r="D220" s="503"/>
      <c r="E220" s="550"/>
      <c r="F220" s="550"/>
      <c r="G220" s="503"/>
      <c r="H220" s="551"/>
      <c r="I220" s="552"/>
      <c r="J220" s="483"/>
      <c r="K220" s="483"/>
      <c r="L220" s="483"/>
      <c r="M220" s="483"/>
      <c r="N220" s="483"/>
      <c r="O220" s="483"/>
      <c r="P220" s="483"/>
      <c r="Q220" s="483"/>
      <c r="R220" s="483"/>
      <c r="S220" s="483"/>
      <c r="T220" s="483"/>
      <c r="U220" s="483"/>
      <c r="V220" s="483"/>
      <c r="W220" s="483"/>
      <c r="X220" s="483"/>
      <c r="Y220" s="483"/>
      <c r="Z220" s="483"/>
      <c r="AA220" s="483"/>
      <c r="AB220" s="483"/>
      <c r="AC220" s="483"/>
    </row>
    <row r="221" spans="1:29" ht="12.75" customHeight="1">
      <c r="A221" s="486"/>
      <c r="B221" s="483"/>
      <c r="C221" s="483"/>
      <c r="D221" s="503"/>
      <c r="E221" s="550"/>
      <c r="F221" s="550"/>
      <c r="G221" s="503"/>
      <c r="H221" s="551"/>
      <c r="I221" s="552"/>
      <c r="J221" s="483"/>
      <c r="K221" s="483"/>
      <c r="L221" s="483"/>
      <c r="M221" s="483"/>
      <c r="N221" s="483"/>
      <c r="O221" s="483"/>
      <c r="P221" s="483"/>
      <c r="Q221" s="483"/>
      <c r="R221" s="483"/>
      <c r="S221" s="483"/>
      <c r="T221" s="483"/>
      <c r="U221" s="483"/>
      <c r="V221" s="483"/>
      <c r="W221" s="483"/>
      <c r="X221" s="483"/>
      <c r="Y221" s="483"/>
      <c r="Z221" s="483"/>
      <c r="AA221" s="483"/>
      <c r="AB221" s="483"/>
      <c r="AC221" s="483"/>
    </row>
    <row r="222" spans="1:29" ht="12.75" customHeight="1">
      <c r="A222" s="486"/>
      <c r="B222" s="483"/>
      <c r="C222" s="483"/>
      <c r="D222" s="503"/>
      <c r="E222" s="550"/>
      <c r="F222" s="550"/>
      <c r="G222" s="503"/>
      <c r="H222" s="551"/>
      <c r="I222" s="552"/>
      <c r="J222" s="483"/>
      <c r="K222" s="483"/>
      <c r="L222" s="483"/>
      <c r="M222" s="483"/>
      <c r="N222" s="483"/>
      <c r="O222" s="483"/>
      <c r="P222" s="483"/>
      <c r="Q222" s="483"/>
      <c r="R222" s="483"/>
      <c r="S222" s="483"/>
      <c r="T222" s="483"/>
      <c r="U222" s="483"/>
      <c r="V222" s="483"/>
      <c r="W222" s="483"/>
      <c r="X222" s="483"/>
      <c r="Y222" s="483"/>
      <c r="Z222" s="483"/>
      <c r="AA222" s="483"/>
      <c r="AB222" s="483"/>
      <c r="AC222" s="483"/>
    </row>
    <row r="223" spans="1:29" ht="12.75" customHeight="1">
      <c r="A223" s="486"/>
      <c r="B223" s="483"/>
      <c r="C223" s="483"/>
      <c r="D223" s="503"/>
      <c r="E223" s="550"/>
      <c r="F223" s="550"/>
      <c r="G223" s="503"/>
      <c r="H223" s="551"/>
      <c r="I223" s="552"/>
      <c r="J223" s="483"/>
      <c r="K223" s="483"/>
      <c r="L223" s="483"/>
      <c r="M223" s="483"/>
      <c r="N223" s="483"/>
      <c r="O223" s="483"/>
      <c r="P223" s="483"/>
      <c r="Q223" s="483"/>
      <c r="R223" s="483"/>
      <c r="S223" s="483"/>
      <c r="T223" s="483"/>
      <c r="U223" s="483"/>
      <c r="V223" s="483"/>
      <c r="W223" s="483"/>
      <c r="X223" s="483"/>
      <c r="Y223" s="483"/>
      <c r="Z223" s="483"/>
      <c r="AA223" s="483"/>
      <c r="AB223" s="483"/>
      <c r="AC223" s="483"/>
    </row>
    <row r="224" spans="1:29" ht="12.75" customHeight="1">
      <c r="A224" s="486"/>
      <c r="B224" s="483"/>
      <c r="C224" s="483"/>
      <c r="D224" s="503"/>
      <c r="E224" s="550"/>
      <c r="F224" s="550"/>
      <c r="G224" s="503"/>
      <c r="H224" s="551"/>
      <c r="I224" s="552"/>
      <c r="J224" s="483"/>
      <c r="K224" s="483"/>
      <c r="L224" s="483"/>
      <c r="M224" s="483"/>
      <c r="N224" s="483"/>
      <c r="O224" s="483"/>
      <c r="P224" s="483"/>
      <c r="Q224" s="483"/>
      <c r="R224" s="483"/>
      <c r="S224" s="483"/>
      <c r="T224" s="483"/>
      <c r="U224" s="483"/>
      <c r="V224" s="483"/>
      <c r="W224" s="483"/>
      <c r="X224" s="483"/>
      <c r="Y224" s="483"/>
      <c r="Z224" s="483"/>
      <c r="AA224" s="483"/>
      <c r="AB224" s="483"/>
      <c r="AC224" s="483"/>
    </row>
    <row r="225" spans="1:29" ht="12.75" customHeight="1">
      <c r="A225" s="486"/>
      <c r="B225" s="483"/>
      <c r="C225" s="483"/>
      <c r="D225" s="503"/>
      <c r="E225" s="550"/>
      <c r="F225" s="550"/>
      <c r="G225" s="503"/>
      <c r="H225" s="551"/>
      <c r="I225" s="552"/>
      <c r="J225" s="483"/>
      <c r="K225" s="483"/>
      <c r="L225" s="483"/>
      <c r="M225" s="483"/>
      <c r="N225" s="483"/>
      <c r="O225" s="483"/>
      <c r="P225" s="483"/>
      <c r="Q225" s="483"/>
      <c r="R225" s="483"/>
      <c r="S225" s="483"/>
      <c r="T225" s="483"/>
      <c r="U225" s="483"/>
      <c r="V225" s="483"/>
      <c r="W225" s="483"/>
      <c r="X225" s="483"/>
      <c r="Y225" s="483"/>
      <c r="Z225" s="483"/>
      <c r="AA225" s="483"/>
      <c r="AB225" s="483"/>
      <c r="AC225" s="483"/>
    </row>
    <row r="226" spans="1:29" ht="12.75" customHeight="1">
      <c r="A226" s="486"/>
      <c r="B226" s="483"/>
      <c r="C226" s="483"/>
      <c r="D226" s="503"/>
      <c r="E226" s="550"/>
      <c r="F226" s="550"/>
      <c r="G226" s="503"/>
      <c r="H226" s="551"/>
      <c r="I226" s="552"/>
      <c r="J226" s="483"/>
      <c r="K226" s="483"/>
      <c r="L226" s="483"/>
      <c r="M226" s="483"/>
      <c r="N226" s="483"/>
      <c r="O226" s="483"/>
      <c r="P226" s="483"/>
      <c r="Q226" s="483"/>
      <c r="R226" s="483"/>
      <c r="S226" s="483"/>
      <c r="T226" s="483"/>
      <c r="U226" s="483"/>
      <c r="V226" s="483"/>
      <c r="W226" s="483"/>
      <c r="X226" s="483"/>
      <c r="Y226" s="483"/>
      <c r="Z226" s="483"/>
      <c r="AA226" s="483"/>
      <c r="AB226" s="483"/>
      <c r="AC226" s="483"/>
    </row>
    <row r="227" spans="1:29" ht="12.75" customHeight="1">
      <c r="A227" s="486"/>
      <c r="B227" s="483"/>
      <c r="C227" s="483"/>
      <c r="D227" s="503"/>
      <c r="E227" s="550"/>
      <c r="F227" s="550"/>
      <c r="G227" s="503"/>
      <c r="H227" s="551"/>
      <c r="I227" s="552"/>
      <c r="J227" s="483"/>
      <c r="K227" s="483"/>
      <c r="L227" s="483"/>
      <c r="M227" s="483"/>
      <c r="N227" s="483"/>
      <c r="O227" s="483"/>
      <c r="P227" s="483"/>
      <c r="Q227" s="483"/>
      <c r="R227" s="483"/>
      <c r="S227" s="483"/>
      <c r="T227" s="483"/>
      <c r="U227" s="483"/>
      <c r="V227" s="483"/>
      <c r="W227" s="483"/>
      <c r="X227" s="483"/>
      <c r="Y227" s="483"/>
      <c r="Z227" s="483"/>
      <c r="AA227" s="483"/>
      <c r="AB227" s="483"/>
      <c r="AC227" s="483"/>
    </row>
    <row r="228" spans="1:29" ht="12.75" customHeight="1">
      <c r="A228" s="486"/>
      <c r="B228" s="483"/>
      <c r="C228" s="483"/>
      <c r="D228" s="503"/>
      <c r="E228" s="550"/>
      <c r="F228" s="550"/>
      <c r="G228" s="503"/>
      <c r="H228" s="551"/>
      <c r="I228" s="552"/>
      <c r="J228" s="483"/>
      <c r="K228" s="483"/>
      <c r="L228" s="483"/>
      <c r="M228" s="483"/>
      <c r="N228" s="483"/>
      <c r="O228" s="483"/>
      <c r="P228" s="483"/>
      <c r="Q228" s="483"/>
      <c r="R228" s="483"/>
      <c r="S228" s="483"/>
      <c r="T228" s="483"/>
      <c r="U228" s="483"/>
      <c r="V228" s="483"/>
      <c r="W228" s="483"/>
      <c r="X228" s="483"/>
      <c r="Y228" s="483"/>
      <c r="Z228" s="483"/>
      <c r="AA228" s="483"/>
      <c r="AB228" s="483"/>
      <c r="AC228" s="483"/>
    </row>
    <row r="229" spans="1:29" ht="12.75" customHeight="1">
      <c r="A229" s="486"/>
      <c r="B229" s="483"/>
      <c r="C229" s="483"/>
      <c r="D229" s="503"/>
      <c r="E229" s="550"/>
      <c r="F229" s="550"/>
      <c r="G229" s="503"/>
      <c r="H229" s="551"/>
      <c r="I229" s="552"/>
      <c r="J229" s="483"/>
      <c r="K229" s="483"/>
      <c r="L229" s="483"/>
      <c r="M229" s="483"/>
      <c r="N229" s="483"/>
      <c r="O229" s="483"/>
      <c r="P229" s="483"/>
      <c r="Q229" s="483"/>
      <c r="R229" s="483"/>
      <c r="S229" s="483"/>
      <c r="T229" s="483"/>
      <c r="U229" s="483"/>
      <c r="V229" s="483"/>
      <c r="W229" s="483"/>
      <c r="X229" s="483"/>
      <c r="Y229" s="483"/>
      <c r="Z229" s="483"/>
      <c r="AA229" s="483"/>
      <c r="AB229" s="483"/>
      <c r="AC229" s="483"/>
    </row>
    <row r="230" spans="1:29" ht="12.75" customHeight="1">
      <c r="A230" s="486"/>
      <c r="B230" s="483"/>
      <c r="C230" s="483"/>
      <c r="D230" s="503"/>
      <c r="E230" s="550"/>
      <c r="F230" s="550"/>
      <c r="G230" s="503"/>
      <c r="H230" s="551"/>
      <c r="I230" s="552"/>
      <c r="J230" s="483"/>
      <c r="K230" s="483"/>
      <c r="L230" s="483"/>
      <c r="M230" s="483"/>
      <c r="N230" s="483"/>
      <c r="O230" s="483"/>
      <c r="P230" s="483"/>
      <c r="Q230" s="483"/>
      <c r="R230" s="483"/>
      <c r="S230" s="483"/>
      <c r="T230" s="483"/>
      <c r="U230" s="483"/>
      <c r="V230" s="483"/>
      <c r="W230" s="483"/>
      <c r="X230" s="483"/>
      <c r="Y230" s="483"/>
      <c r="Z230" s="483"/>
      <c r="AA230" s="483"/>
      <c r="AB230" s="483"/>
      <c r="AC230" s="483"/>
    </row>
    <row r="231" spans="1:29" ht="12.75" customHeight="1">
      <c r="A231" s="486"/>
      <c r="B231" s="483"/>
      <c r="C231" s="483"/>
      <c r="D231" s="503"/>
      <c r="E231" s="550"/>
      <c r="F231" s="550"/>
      <c r="G231" s="503"/>
      <c r="H231" s="551"/>
      <c r="I231" s="552"/>
      <c r="J231" s="483"/>
      <c r="K231" s="483"/>
      <c r="L231" s="483"/>
      <c r="M231" s="483"/>
      <c r="N231" s="483"/>
      <c r="O231" s="483"/>
      <c r="P231" s="483"/>
      <c r="Q231" s="483"/>
      <c r="R231" s="483"/>
      <c r="S231" s="483"/>
      <c r="T231" s="483"/>
      <c r="U231" s="483"/>
      <c r="V231" s="483"/>
      <c r="W231" s="483"/>
      <c r="X231" s="483"/>
      <c r="Y231" s="483"/>
      <c r="Z231" s="483"/>
      <c r="AA231" s="483"/>
      <c r="AB231" s="483"/>
      <c r="AC231" s="483"/>
    </row>
    <row r="232" spans="1:29" ht="12.75" customHeight="1">
      <c r="A232" s="486"/>
      <c r="B232" s="483"/>
      <c r="C232" s="483"/>
      <c r="D232" s="503"/>
      <c r="E232" s="550"/>
      <c r="F232" s="550"/>
      <c r="G232" s="503"/>
      <c r="H232" s="551"/>
      <c r="I232" s="552"/>
      <c r="J232" s="483"/>
      <c r="K232" s="483"/>
      <c r="L232" s="483"/>
      <c r="M232" s="483"/>
      <c r="N232" s="483"/>
      <c r="O232" s="483"/>
      <c r="P232" s="483"/>
      <c r="Q232" s="483"/>
      <c r="R232" s="483"/>
      <c r="S232" s="483"/>
      <c r="T232" s="483"/>
      <c r="U232" s="483"/>
      <c r="V232" s="483"/>
      <c r="W232" s="483"/>
      <c r="X232" s="483"/>
      <c r="Y232" s="483"/>
      <c r="Z232" s="483"/>
      <c r="AA232" s="483"/>
      <c r="AB232" s="483"/>
      <c r="AC232" s="483"/>
    </row>
    <row r="233" spans="1:29" ht="12.75" customHeight="1">
      <c r="A233" s="486"/>
      <c r="B233" s="483"/>
      <c r="C233" s="483"/>
      <c r="D233" s="503"/>
      <c r="E233" s="550"/>
      <c r="F233" s="550"/>
      <c r="G233" s="503"/>
      <c r="H233" s="551"/>
      <c r="I233" s="552"/>
      <c r="J233" s="483"/>
      <c r="K233" s="483"/>
      <c r="L233" s="483"/>
      <c r="M233" s="483"/>
      <c r="N233" s="483"/>
      <c r="O233" s="483"/>
      <c r="P233" s="483"/>
      <c r="Q233" s="483"/>
      <c r="R233" s="483"/>
      <c r="S233" s="483"/>
      <c r="T233" s="483"/>
      <c r="U233" s="483"/>
      <c r="V233" s="483"/>
      <c r="W233" s="483"/>
      <c r="X233" s="483"/>
      <c r="Y233" s="483"/>
      <c r="Z233" s="483"/>
      <c r="AA233" s="483"/>
      <c r="AB233" s="483"/>
      <c r="AC233" s="483"/>
    </row>
    <row r="234" spans="1:29" ht="12.75" customHeight="1">
      <c r="A234" s="486"/>
      <c r="B234" s="483"/>
      <c r="C234" s="483"/>
      <c r="D234" s="503"/>
      <c r="E234" s="550"/>
      <c r="F234" s="550"/>
      <c r="G234" s="503"/>
      <c r="H234" s="551"/>
      <c r="I234" s="552"/>
      <c r="J234" s="483"/>
      <c r="K234" s="483"/>
      <c r="L234" s="483"/>
      <c r="M234" s="483"/>
      <c r="N234" s="483"/>
      <c r="O234" s="483"/>
      <c r="P234" s="483"/>
      <c r="Q234" s="483"/>
      <c r="R234" s="483"/>
      <c r="S234" s="483"/>
      <c r="T234" s="483"/>
      <c r="U234" s="483"/>
      <c r="V234" s="483"/>
      <c r="W234" s="483"/>
      <c r="X234" s="483"/>
      <c r="Y234" s="483"/>
      <c r="Z234" s="483"/>
      <c r="AA234" s="483"/>
      <c r="AB234" s="483"/>
      <c r="AC234" s="483"/>
    </row>
    <row r="235" spans="1:29" ht="12.75" customHeight="1">
      <c r="A235" s="486"/>
      <c r="B235" s="483"/>
      <c r="C235" s="483"/>
      <c r="D235" s="503"/>
      <c r="E235" s="550"/>
      <c r="F235" s="550"/>
      <c r="G235" s="503"/>
      <c r="H235" s="551"/>
      <c r="I235" s="552"/>
      <c r="J235" s="483"/>
      <c r="K235" s="483"/>
      <c r="L235" s="483"/>
      <c r="M235" s="483"/>
      <c r="N235" s="483"/>
      <c r="O235" s="483"/>
      <c r="P235" s="483"/>
      <c r="Q235" s="483"/>
      <c r="R235" s="483"/>
      <c r="S235" s="483"/>
      <c r="T235" s="483"/>
      <c r="U235" s="483"/>
      <c r="V235" s="483"/>
      <c r="W235" s="483"/>
      <c r="X235" s="483"/>
      <c r="Y235" s="483"/>
      <c r="Z235" s="483"/>
      <c r="AA235" s="483"/>
      <c r="AB235" s="483"/>
      <c r="AC235" s="483"/>
    </row>
    <row r="236" spans="1:29" ht="12.75" customHeight="1">
      <c r="A236" s="486"/>
      <c r="B236" s="483"/>
      <c r="C236" s="483"/>
      <c r="D236" s="503"/>
      <c r="E236" s="550"/>
      <c r="F236" s="550"/>
      <c r="G236" s="503"/>
      <c r="H236" s="551"/>
      <c r="I236" s="552"/>
      <c r="J236" s="483"/>
      <c r="K236" s="483"/>
      <c r="L236" s="483"/>
      <c r="M236" s="483"/>
      <c r="N236" s="483"/>
      <c r="O236" s="483"/>
      <c r="P236" s="483"/>
      <c r="Q236" s="483"/>
      <c r="R236" s="483"/>
      <c r="S236" s="483"/>
      <c r="T236" s="483"/>
      <c r="U236" s="483"/>
      <c r="V236" s="483"/>
      <c r="W236" s="483"/>
      <c r="X236" s="483"/>
      <c r="Y236" s="483"/>
      <c r="Z236" s="483"/>
      <c r="AA236" s="483"/>
      <c r="AB236" s="483"/>
      <c r="AC236" s="483"/>
    </row>
    <row r="237" spans="1:29" ht="12.75" customHeight="1">
      <c r="A237" s="486"/>
      <c r="B237" s="483"/>
      <c r="C237" s="483"/>
      <c r="D237" s="503"/>
      <c r="E237" s="550"/>
      <c r="F237" s="550"/>
      <c r="G237" s="503"/>
      <c r="H237" s="551"/>
      <c r="I237" s="552"/>
      <c r="J237" s="483"/>
      <c r="K237" s="483"/>
      <c r="L237" s="483"/>
      <c r="M237" s="483"/>
      <c r="N237" s="483"/>
      <c r="O237" s="483"/>
      <c r="P237" s="483"/>
      <c r="Q237" s="483"/>
      <c r="R237" s="483"/>
      <c r="S237" s="483"/>
      <c r="T237" s="483"/>
      <c r="U237" s="483"/>
      <c r="V237" s="483"/>
      <c r="W237" s="483"/>
      <c r="X237" s="483"/>
      <c r="Y237" s="483"/>
      <c r="Z237" s="483"/>
      <c r="AA237" s="483"/>
      <c r="AB237" s="483"/>
      <c r="AC237" s="483"/>
    </row>
    <row r="238" spans="1:29" ht="12.75" customHeight="1">
      <c r="A238" s="486"/>
      <c r="B238" s="483"/>
      <c r="C238" s="483"/>
      <c r="D238" s="503"/>
      <c r="E238" s="550"/>
      <c r="F238" s="550"/>
      <c r="G238" s="503"/>
      <c r="H238" s="551"/>
      <c r="I238" s="552"/>
      <c r="J238" s="483"/>
      <c r="K238" s="483"/>
      <c r="L238" s="483"/>
      <c r="M238" s="483"/>
      <c r="N238" s="483"/>
      <c r="O238" s="483"/>
      <c r="P238" s="483"/>
      <c r="Q238" s="483"/>
      <c r="R238" s="483"/>
      <c r="S238" s="483"/>
      <c r="T238" s="483"/>
      <c r="U238" s="483"/>
      <c r="V238" s="483"/>
      <c r="W238" s="483"/>
      <c r="X238" s="483"/>
      <c r="Y238" s="483"/>
      <c r="Z238" s="483"/>
      <c r="AA238" s="483"/>
      <c r="AB238" s="483"/>
      <c r="AC238" s="483"/>
    </row>
    <row r="239" spans="1:29" ht="12.75" customHeight="1">
      <c r="A239" s="486"/>
      <c r="B239" s="483"/>
      <c r="C239" s="483"/>
      <c r="D239" s="503"/>
      <c r="E239" s="550"/>
      <c r="F239" s="550"/>
      <c r="G239" s="503"/>
      <c r="H239" s="551"/>
      <c r="I239" s="552"/>
      <c r="J239" s="483"/>
      <c r="K239" s="483"/>
      <c r="L239" s="483"/>
      <c r="M239" s="483"/>
      <c r="N239" s="483"/>
      <c r="O239" s="483"/>
      <c r="P239" s="483"/>
      <c r="Q239" s="483"/>
      <c r="R239" s="483"/>
      <c r="S239" s="483"/>
      <c r="T239" s="483"/>
      <c r="U239" s="483"/>
      <c r="V239" s="483"/>
      <c r="W239" s="483"/>
      <c r="X239" s="483"/>
      <c r="Y239" s="483"/>
      <c r="Z239" s="483"/>
      <c r="AA239" s="483"/>
      <c r="AB239" s="483"/>
      <c r="AC239" s="483"/>
    </row>
    <row r="240" spans="1:29" ht="12.75" customHeight="1">
      <c r="A240" s="486"/>
      <c r="B240" s="483"/>
      <c r="C240" s="483"/>
      <c r="D240" s="503"/>
      <c r="E240" s="550"/>
      <c r="F240" s="550"/>
      <c r="G240" s="503"/>
      <c r="H240" s="551"/>
      <c r="I240" s="552"/>
      <c r="J240" s="483"/>
      <c r="K240" s="483"/>
      <c r="L240" s="483"/>
      <c r="M240" s="483"/>
      <c r="N240" s="483"/>
      <c r="O240" s="483"/>
      <c r="P240" s="483"/>
      <c r="Q240" s="483"/>
      <c r="R240" s="483"/>
      <c r="S240" s="483"/>
      <c r="T240" s="483"/>
      <c r="U240" s="483"/>
      <c r="V240" s="483"/>
      <c r="W240" s="483"/>
      <c r="X240" s="483"/>
      <c r="Y240" s="483"/>
      <c r="Z240" s="483"/>
      <c r="AA240" s="483"/>
      <c r="AB240" s="483"/>
      <c r="AC240" s="483"/>
    </row>
    <row r="241" spans="1:29" ht="12.75" customHeight="1">
      <c r="A241" s="486"/>
      <c r="B241" s="483"/>
      <c r="C241" s="483"/>
      <c r="D241" s="503"/>
      <c r="E241" s="550"/>
      <c r="F241" s="550"/>
      <c r="G241" s="503"/>
      <c r="H241" s="551"/>
      <c r="I241" s="552"/>
      <c r="J241" s="483"/>
      <c r="K241" s="483"/>
      <c r="L241" s="483"/>
      <c r="M241" s="483"/>
      <c r="N241" s="483"/>
      <c r="O241" s="483"/>
      <c r="P241" s="483"/>
      <c r="Q241" s="483"/>
      <c r="R241" s="483"/>
      <c r="S241" s="483"/>
      <c r="T241" s="483"/>
      <c r="U241" s="483"/>
      <c r="V241" s="483"/>
      <c r="W241" s="483"/>
      <c r="X241" s="483"/>
      <c r="Y241" s="483"/>
      <c r="Z241" s="483"/>
      <c r="AA241" s="483"/>
      <c r="AB241" s="483"/>
      <c r="AC241" s="483"/>
    </row>
    <row r="242" spans="1:29" ht="12.75" customHeight="1">
      <c r="A242" s="486"/>
      <c r="B242" s="483"/>
      <c r="C242" s="483"/>
      <c r="D242" s="503"/>
      <c r="E242" s="550"/>
      <c r="F242" s="550"/>
      <c r="G242" s="503"/>
      <c r="H242" s="551"/>
      <c r="I242" s="552"/>
      <c r="J242" s="483"/>
      <c r="K242" s="483"/>
      <c r="L242" s="483"/>
      <c r="M242" s="483"/>
      <c r="N242" s="483"/>
      <c r="O242" s="483"/>
      <c r="P242" s="483"/>
      <c r="Q242" s="483"/>
      <c r="R242" s="483"/>
      <c r="S242" s="483"/>
      <c r="T242" s="483"/>
      <c r="U242" s="483"/>
      <c r="V242" s="483"/>
      <c r="W242" s="483"/>
      <c r="X242" s="483"/>
      <c r="Y242" s="483"/>
      <c r="Z242" s="483"/>
      <c r="AA242" s="483"/>
      <c r="AB242" s="483"/>
      <c r="AC242" s="483"/>
    </row>
    <row r="243" spans="1:29" ht="12.75" customHeight="1">
      <c r="A243" s="486"/>
      <c r="B243" s="483"/>
      <c r="C243" s="483"/>
      <c r="D243" s="503"/>
      <c r="E243" s="550"/>
      <c r="F243" s="550"/>
      <c r="G243" s="503"/>
      <c r="H243" s="551"/>
      <c r="I243" s="552"/>
      <c r="J243" s="483"/>
      <c r="K243" s="483"/>
      <c r="L243" s="483"/>
      <c r="M243" s="483"/>
      <c r="N243" s="483"/>
      <c r="O243" s="483"/>
      <c r="P243" s="483"/>
      <c r="Q243" s="483"/>
      <c r="R243" s="483"/>
      <c r="S243" s="483"/>
      <c r="T243" s="483"/>
      <c r="U243" s="483"/>
      <c r="V243" s="483"/>
      <c r="W243" s="483"/>
      <c r="X243" s="483"/>
      <c r="Y243" s="483"/>
      <c r="Z243" s="483"/>
      <c r="AA243" s="483"/>
      <c r="AB243" s="483"/>
      <c r="AC243" s="483"/>
    </row>
    <row r="244" spans="1:29" ht="12.75" customHeight="1">
      <c r="A244" s="486"/>
      <c r="B244" s="483"/>
      <c r="C244" s="483"/>
      <c r="D244" s="503"/>
      <c r="E244" s="550"/>
      <c r="F244" s="550"/>
      <c r="G244" s="503"/>
      <c r="H244" s="551"/>
      <c r="I244" s="552"/>
      <c r="J244" s="483"/>
      <c r="K244" s="483"/>
      <c r="L244" s="483"/>
      <c r="M244" s="483"/>
      <c r="N244" s="483"/>
      <c r="O244" s="483"/>
      <c r="P244" s="483"/>
      <c r="Q244" s="483"/>
      <c r="R244" s="483"/>
      <c r="S244" s="483"/>
      <c r="T244" s="483"/>
      <c r="U244" s="483"/>
      <c r="V244" s="483"/>
      <c r="W244" s="483"/>
      <c r="X244" s="483"/>
      <c r="Y244" s="483"/>
      <c r="Z244" s="483"/>
      <c r="AA244" s="483"/>
      <c r="AB244" s="483"/>
      <c r="AC244" s="483"/>
    </row>
    <row r="245" spans="1:29" ht="12.75" customHeight="1">
      <c r="A245" s="486"/>
      <c r="B245" s="483"/>
      <c r="C245" s="483"/>
      <c r="D245" s="503"/>
      <c r="E245" s="550"/>
      <c r="F245" s="550"/>
      <c r="G245" s="503"/>
      <c r="H245" s="551"/>
      <c r="I245" s="552"/>
      <c r="J245" s="483"/>
      <c r="K245" s="483"/>
      <c r="L245" s="483"/>
      <c r="M245" s="483"/>
      <c r="N245" s="483"/>
      <c r="O245" s="483"/>
      <c r="P245" s="483"/>
      <c r="Q245" s="483"/>
      <c r="R245" s="483"/>
      <c r="S245" s="483"/>
      <c r="T245" s="483"/>
      <c r="U245" s="483"/>
      <c r="V245" s="483"/>
      <c r="W245" s="483"/>
      <c r="X245" s="483"/>
      <c r="Y245" s="483"/>
      <c r="Z245" s="483"/>
      <c r="AA245" s="483"/>
      <c r="AB245" s="483"/>
      <c r="AC245" s="483"/>
    </row>
    <row r="246" spans="1:29" ht="12.75" customHeight="1">
      <c r="A246" s="486"/>
      <c r="B246" s="483"/>
      <c r="C246" s="483"/>
      <c r="D246" s="503"/>
      <c r="E246" s="550"/>
      <c r="F246" s="550"/>
      <c r="G246" s="503"/>
      <c r="H246" s="551"/>
      <c r="I246" s="552"/>
      <c r="J246" s="483"/>
      <c r="K246" s="483"/>
      <c r="L246" s="483"/>
      <c r="M246" s="483"/>
      <c r="N246" s="483"/>
      <c r="O246" s="483"/>
      <c r="P246" s="483"/>
      <c r="Q246" s="483"/>
      <c r="R246" s="483"/>
      <c r="S246" s="483"/>
      <c r="T246" s="483"/>
      <c r="U246" s="483"/>
      <c r="V246" s="483"/>
      <c r="W246" s="483"/>
      <c r="X246" s="483"/>
      <c r="Y246" s="483"/>
      <c r="Z246" s="483"/>
      <c r="AA246" s="483"/>
      <c r="AB246" s="483"/>
      <c r="AC246" s="483"/>
    </row>
    <row r="247" spans="1:29" ht="12.75" customHeight="1">
      <c r="A247" s="486"/>
      <c r="B247" s="483"/>
      <c r="C247" s="483"/>
      <c r="D247" s="503"/>
      <c r="E247" s="550"/>
      <c r="F247" s="550"/>
      <c r="G247" s="503"/>
      <c r="H247" s="551"/>
      <c r="I247" s="552"/>
      <c r="J247" s="483"/>
      <c r="K247" s="483"/>
      <c r="L247" s="483"/>
      <c r="M247" s="483"/>
      <c r="N247" s="483"/>
      <c r="O247" s="483"/>
      <c r="P247" s="483"/>
      <c r="Q247" s="483"/>
      <c r="R247" s="483"/>
      <c r="S247" s="483"/>
      <c r="T247" s="483"/>
      <c r="U247" s="483"/>
      <c r="V247" s="483"/>
      <c r="W247" s="483"/>
      <c r="X247" s="483"/>
      <c r="Y247" s="483"/>
      <c r="Z247" s="483"/>
      <c r="AA247" s="483"/>
      <c r="AB247" s="483"/>
      <c r="AC247" s="483"/>
    </row>
    <row r="248" spans="1:29" ht="12.75" customHeight="1">
      <c r="A248" s="486"/>
      <c r="B248" s="483"/>
      <c r="C248" s="483"/>
      <c r="D248" s="503"/>
      <c r="E248" s="550"/>
      <c r="F248" s="550"/>
      <c r="G248" s="503"/>
      <c r="H248" s="551"/>
      <c r="I248" s="552"/>
      <c r="J248" s="483"/>
      <c r="K248" s="483"/>
      <c r="L248" s="483"/>
      <c r="M248" s="483"/>
      <c r="N248" s="483"/>
      <c r="O248" s="483"/>
      <c r="P248" s="483"/>
      <c r="Q248" s="483"/>
      <c r="R248" s="483"/>
      <c r="S248" s="483"/>
      <c r="T248" s="483"/>
      <c r="U248" s="483"/>
      <c r="V248" s="483"/>
      <c r="W248" s="483"/>
      <c r="X248" s="483"/>
      <c r="Y248" s="483"/>
      <c r="Z248" s="483"/>
      <c r="AA248" s="483"/>
      <c r="AB248" s="483"/>
      <c r="AC248" s="483"/>
    </row>
    <row r="249" spans="1:29" ht="12.75" customHeight="1">
      <c r="A249" s="486"/>
      <c r="B249" s="483"/>
      <c r="C249" s="483"/>
      <c r="D249" s="503"/>
      <c r="E249" s="550"/>
      <c r="F249" s="550"/>
      <c r="G249" s="503"/>
      <c r="H249" s="551"/>
      <c r="I249" s="552"/>
      <c r="J249" s="483"/>
      <c r="K249" s="483"/>
      <c r="L249" s="483"/>
      <c r="M249" s="483"/>
      <c r="N249" s="483"/>
      <c r="O249" s="483"/>
      <c r="P249" s="483"/>
      <c r="Q249" s="483"/>
      <c r="R249" s="483"/>
      <c r="S249" s="483"/>
      <c r="T249" s="483"/>
      <c r="U249" s="483"/>
      <c r="V249" s="483"/>
      <c r="W249" s="483"/>
      <c r="X249" s="483"/>
      <c r="Y249" s="483"/>
      <c r="Z249" s="483"/>
      <c r="AA249" s="483"/>
      <c r="AB249" s="483"/>
      <c r="AC249" s="483"/>
    </row>
    <row r="250" spans="1:29" ht="12.75" customHeight="1">
      <c r="A250" s="486"/>
      <c r="B250" s="483"/>
      <c r="C250" s="483"/>
      <c r="D250" s="503"/>
      <c r="E250" s="550"/>
      <c r="F250" s="550"/>
      <c r="G250" s="503"/>
      <c r="H250" s="551"/>
      <c r="I250" s="552"/>
      <c r="J250" s="483"/>
      <c r="K250" s="483"/>
      <c r="L250" s="483"/>
      <c r="M250" s="483"/>
      <c r="N250" s="483"/>
      <c r="O250" s="483"/>
      <c r="P250" s="483"/>
      <c r="Q250" s="483"/>
      <c r="R250" s="483"/>
      <c r="S250" s="483"/>
      <c r="T250" s="483"/>
      <c r="U250" s="483"/>
      <c r="V250" s="483"/>
      <c r="W250" s="483"/>
      <c r="X250" s="483"/>
      <c r="Y250" s="483"/>
      <c r="Z250" s="483"/>
      <c r="AA250" s="483"/>
      <c r="AB250" s="483"/>
      <c r="AC250" s="483"/>
    </row>
    <row r="251" spans="1:29" ht="12.75" customHeight="1">
      <c r="A251" s="486"/>
      <c r="B251" s="483"/>
      <c r="C251" s="483"/>
      <c r="D251" s="503"/>
      <c r="E251" s="550"/>
      <c r="F251" s="550"/>
      <c r="G251" s="503"/>
      <c r="H251" s="551"/>
      <c r="I251" s="552"/>
      <c r="J251" s="483"/>
      <c r="K251" s="483"/>
      <c r="L251" s="483"/>
      <c r="M251" s="483"/>
      <c r="N251" s="483"/>
      <c r="O251" s="483"/>
      <c r="P251" s="483"/>
      <c r="Q251" s="483"/>
      <c r="R251" s="483"/>
      <c r="S251" s="483"/>
      <c r="T251" s="483"/>
      <c r="U251" s="483"/>
      <c r="V251" s="483"/>
      <c r="W251" s="483"/>
      <c r="X251" s="483"/>
      <c r="Y251" s="483"/>
      <c r="Z251" s="483"/>
      <c r="AA251" s="483"/>
      <c r="AB251" s="483"/>
      <c r="AC251" s="483"/>
    </row>
    <row r="252" spans="1:29" ht="12.75" customHeight="1">
      <c r="A252" s="486"/>
      <c r="B252" s="483"/>
      <c r="C252" s="483"/>
      <c r="D252" s="503"/>
      <c r="E252" s="550"/>
      <c r="F252" s="550"/>
      <c r="G252" s="503"/>
      <c r="H252" s="551"/>
      <c r="I252" s="552"/>
      <c r="J252" s="483"/>
      <c r="K252" s="483"/>
      <c r="L252" s="483"/>
      <c r="M252" s="483"/>
      <c r="N252" s="483"/>
      <c r="O252" s="483"/>
      <c r="P252" s="483"/>
      <c r="Q252" s="483"/>
      <c r="R252" s="483"/>
      <c r="S252" s="483"/>
      <c r="T252" s="483"/>
      <c r="U252" s="483"/>
      <c r="V252" s="483"/>
      <c r="W252" s="483"/>
      <c r="X252" s="483"/>
      <c r="Y252" s="483"/>
      <c r="Z252" s="483"/>
      <c r="AA252" s="483"/>
      <c r="AB252" s="483"/>
      <c r="AC252" s="483"/>
    </row>
    <row r="253" spans="1:29" ht="12.75" customHeight="1">
      <c r="A253" s="486"/>
      <c r="B253" s="483"/>
      <c r="C253" s="483"/>
      <c r="D253" s="503"/>
      <c r="E253" s="550"/>
      <c r="F253" s="550"/>
      <c r="G253" s="503"/>
      <c r="H253" s="551"/>
      <c r="I253" s="552"/>
      <c r="J253" s="483"/>
      <c r="K253" s="483"/>
      <c r="L253" s="483"/>
      <c r="M253" s="483"/>
      <c r="N253" s="483"/>
      <c r="O253" s="483"/>
      <c r="P253" s="483"/>
      <c r="Q253" s="483"/>
      <c r="R253" s="483"/>
      <c r="S253" s="483"/>
      <c r="T253" s="483"/>
      <c r="U253" s="483"/>
      <c r="V253" s="483"/>
      <c r="W253" s="483"/>
      <c r="X253" s="483"/>
      <c r="Y253" s="483"/>
      <c r="Z253" s="483"/>
      <c r="AA253" s="483"/>
      <c r="AB253" s="483"/>
      <c r="AC253" s="483"/>
    </row>
    <row r="254" spans="1:29" ht="12.75" customHeight="1">
      <c r="A254" s="486"/>
      <c r="B254" s="483"/>
      <c r="C254" s="483"/>
      <c r="D254" s="503"/>
      <c r="E254" s="550"/>
      <c r="F254" s="550"/>
      <c r="G254" s="503"/>
      <c r="H254" s="551"/>
      <c r="I254" s="552"/>
      <c r="J254" s="483"/>
      <c r="K254" s="483"/>
      <c r="L254" s="483"/>
      <c r="M254" s="483"/>
      <c r="N254" s="483"/>
      <c r="O254" s="483"/>
      <c r="P254" s="483"/>
      <c r="Q254" s="483"/>
      <c r="R254" s="483"/>
      <c r="S254" s="483"/>
      <c r="T254" s="483"/>
      <c r="U254" s="483"/>
      <c r="V254" s="483"/>
      <c r="W254" s="483"/>
      <c r="X254" s="483"/>
      <c r="Y254" s="483"/>
      <c r="Z254" s="483"/>
      <c r="AA254" s="483"/>
      <c r="AB254" s="483"/>
      <c r="AC254" s="483"/>
    </row>
    <row r="255" spans="1:29" ht="12.75" customHeight="1">
      <c r="A255" s="486"/>
      <c r="B255" s="483"/>
      <c r="C255" s="483"/>
      <c r="D255" s="503"/>
      <c r="E255" s="550"/>
      <c r="F255" s="550"/>
      <c r="G255" s="503"/>
      <c r="H255" s="551"/>
      <c r="I255" s="552"/>
      <c r="J255" s="483"/>
      <c r="K255" s="483"/>
      <c r="L255" s="483"/>
      <c r="M255" s="483"/>
      <c r="N255" s="483"/>
      <c r="O255" s="483"/>
      <c r="P255" s="483"/>
      <c r="Q255" s="483"/>
      <c r="R255" s="483"/>
      <c r="S255" s="483"/>
      <c r="T255" s="483"/>
      <c r="U255" s="483"/>
      <c r="V255" s="483"/>
      <c r="W255" s="483"/>
      <c r="X255" s="483"/>
      <c r="Y255" s="483"/>
      <c r="Z255" s="483"/>
      <c r="AA255" s="483"/>
      <c r="AB255" s="483"/>
      <c r="AC255" s="483"/>
    </row>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spans="19:19" ht="15.75" customHeight="1"/>
    <row r="418" spans="19:19" ht="15.75" customHeight="1"/>
    <row r="419" spans="19:19" ht="15.75" customHeight="1"/>
    <row r="420" spans="19:19" ht="15.75" customHeight="1"/>
    <row r="421" spans="19:19" ht="15.75" customHeight="1">
      <c r="S421" s="484">
        <v>1337379.75</v>
      </c>
    </row>
    <row r="422" spans="19:19" ht="15.75" customHeight="1">
      <c r="S422" s="484">
        <v>1887831.23</v>
      </c>
    </row>
    <row r="423" spans="19:19" ht="15.75" customHeight="1">
      <c r="S423" s="484">
        <v>2326710.88</v>
      </c>
    </row>
    <row r="424" spans="19:19" ht="15.75" customHeight="1"/>
    <row r="425" spans="19:19" ht="15.75" customHeight="1">
      <c r="S425" s="484">
        <v>589861.56000000006</v>
      </c>
    </row>
    <row r="426" spans="19:19" ht="15.75" customHeight="1"/>
    <row r="427" spans="19:19" ht="15.75" customHeight="1"/>
    <row r="428" spans="19:19" ht="15.75" customHeight="1">
      <c r="S428" s="484">
        <v>705363.19</v>
      </c>
    </row>
    <row r="429" spans="19:19" ht="15.75" customHeight="1">
      <c r="S429" s="484">
        <v>705363.19</v>
      </c>
    </row>
    <row r="430" spans="19:19" ht="15.75" customHeight="1">
      <c r="S430" s="484">
        <v>594317.76</v>
      </c>
    </row>
    <row r="431" spans="19:19" ht="15.75" customHeight="1">
      <c r="S431" s="484">
        <v>225139.26</v>
      </c>
    </row>
    <row r="432" spans="19:19" ht="15.75" customHeight="1"/>
    <row r="433" spans="19:19" ht="15.75" customHeight="1">
      <c r="S433" s="484">
        <v>5354001.58</v>
      </c>
    </row>
    <row r="434" spans="19:19" ht="15.75" customHeight="1"/>
    <row r="435" spans="19:19" ht="15.75" customHeight="1"/>
    <row r="436" spans="19:19" ht="15.75" customHeight="1"/>
    <row r="437" spans="19:19" ht="15.75" customHeight="1"/>
    <row r="438" spans="19:19" ht="15.75" customHeight="1"/>
    <row r="439" spans="19:19" ht="15.75" customHeight="1"/>
    <row r="440" spans="19:19" ht="15.75" customHeight="1"/>
    <row r="441" spans="19:19" ht="15.75" customHeight="1"/>
    <row r="442" spans="19:19" ht="15.75" customHeight="1"/>
    <row r="443" spans="19:19" ht="15.75" customHeight="1">
      <c r="S443" s="484">
        <v>13058.54</v>
      </c>
    </row>
    <row r="444" spans="19:19" ht="15.75" customHeight="1"/>
    <row r="445" spans="19:19" ht="15.75" customHeight="1">
      <c r="S445" s="484">
        <v>19602.2</v>
      </c>
    </row>
    <row r="446" spans="19:19" ht="15.75" customHeight="1"/>
    <row r="447" spans="19:19" ht="15.75" customHeight="1">
      <c r="S447" s="484">
        <v>114342.21</v>
      </c>
    </row>
    <row r="448" spans="19:19" ht="15.75" customHeight="1">
      <c r="S448" s="484">
        <v>114342.21</v>
      </c>
    </row>
    <row r="449" spans="19:19" ht="15.75" customHeight="1">
      <c r="S449" s="484">
        <v>112819.25</v>
      </c>
    </row>
    <row r="450" spans="19:19" ht="15.75" customHeight="1">
      <c r="S450" s="484">
        <v>112819.25</v>
      </c>
    </row>
    <row r="451" spans="19:19" ht="15.75" customHeight="1">
      <c r="S451" s="484">
        <v>128799.1</v>
      </c>
    </row>
    <row r="452" spans="19:19" ht="15.75" customHeight="1">
      <c r="S452" s="484">
        <v>147807.21</v>
      </c>
    </row>
    <row r="453" spans="19:19" ht="15.75" customHeight="1">
      <c r="S453" s="484">
        <v>147807.21</v>
      </c>
    </row>
    <row r="454" spans="19:19" ht="15.75" customHeight="1"/>
    <row r="455" spans="19:19" ht="15.75" customHeight="1">
      <c r="S455" s="484">
        <v>138259.60999999999</v>
      </c>
    </row>
    <row r="456" spans="19:19" ht="15.75" customHeight="1">
      <c r="S456" s="484">
        <v>242682.11</v>
      </c>
    </row>
    <row r="457" spans="19:19" ht="15.75" customHeight="1">
      <c r="S457" s="484">
        <v>155931.10999999999</v>
      </c>
    </row>
    <row r="458" spans="19:19" ht="15.75" customHeight="1"/>
    <row r="459" spans="19:19" ht="15.75" customHeight="1"/>
    <row r="460" spans="19:19" ht="15.75" customHeight="1">
      <c r="S460" s="484">
        <v>28953.27</v>
      </c>
    </row>
    <row r="461" spans="19:19" ht="15.75" customHeight="1">
      <c r="S461" s="484">
        <v>50516.480000000003</v>
      </c>
    </row>
    <row r="462" spans="19:19" ht="15.75" customHeight="1">
      <c r="S462" s="484">
        <v>72561.98</v>
      </c>
    </row>
    <row r="463" spans="19:19" ht="15.75" customHeight="1">
      <c r="S463" s="484">
        <v>13599.65</v>
      </c>
    </row>
    <row r="464" spans="19:19" ht="15.75" customHeight="1"/>
    <row r="465" spans="19:19" ht="15.75" customHeight="1">
      <c r="S465" s="484">
        <v>4457.93</v>
      </c>
    </row>
    <row r="466" spans="19:19" ht="15.75" customHeight="1">
      <c r="S466" s="484">
        <v>99359.54</v>
      </c>
    </row>
    <row r="467" spans="19:19" ht="15.75" customHeight="1">
      <c r="S467" s="484">
        <v>2326710.88</v>
      </c>
    </row>
    <row r="468" spans="19:19" ht="15.75" customHeight="1">
      <c r="S468" s="484">
        <v>294626.84999999998</v>
      </c>
    </row>
    <row r="469" spans="19:19" ht="15.75" customHeight="1">
      <c r="S469" s="484">
        <v>31045.35</v>
      </c>
    </row>
    <row r="470" spans="19:19" ht="15.75" customHeight="1"/>
    <row r="471" spans="19:19" ht="15.75" customHeight="1"/>
    <row r="472" spans="19:19" ht="15.75" customHeight="1"/>
    <row r="473" spans="19:19" ht="15.75" customHeight="1">
      <c r="S473" s="484">
        <v>705363.19</v>
      </c>
    </row>
    <row r="474" spans="19:19" ht="15.75" customHeight="1">
      <c r="S474" s="484">
        <v>705363.19</v>
      </c>
    </row>
    <row r="475" spans="19:19" ht="15.75" customHeight="1">
      <c r="S475" s="484">
        <v>297158.88</v>
      </c>
    </row>
    <row r="476" spans="19:19" ht="15.75" customHeight="1">
      <c r="S476" s="484">
        <v>25015.47</v>
      </c>
    </row>
    <row r="477" spans="19:19" ht="15.75" customHeight="1"/>
    <row r="478" spans="19:19" ht="15.75" customHeight="1">
      <c r="S478" s="484">
        <v>13058.54</v>
      </c>
    </row>
    <row r="479" spans="19:19" ht="15.75" customHeight="1"/>
    <row r="480" spans="19:19" ht="15.75" customHeight="1">
      <c r="S480" s="484">
        <v>19602.2</v>
      </c>
    </row>
    <row r="481" spans="19:19" ht="15.75" customHeight="1">
      <c r="S481" s="484">
        <v>50516.480000000003</v>
      </c>
    </row>
    <row r="482" spans="19:19" ht="15.75" customHeight="1">
      <c r="S482" s="484">
        <v>67220.11</v>
      </c>
    </row>
    <row r="483" spans="19:19" ht="15.75" customHeight="1">
      <c r="S483" s="484">
        <v>72561.98</v>
      </c>
    </row>
    <row r="484" spans="19:19" ht="15.75" customHeight="1">
      <c r="S484" s="639"/>
    </row>
    <row r="485" spans="19:19" ht="15.75" customHeight="1">
      <c r="S485" s="484">
        <v>114342.21</v>
      </c>
    </row>
    <row r="486" spans="19:19" ht="15.75" customHeight="1">
      <c r="S486" s="484">
        <v>145199.85999999999</v>
      </c>
    </row>
    <row r="487" spans="19:19" ht="15.75" customHeight="1">
      <c r="S487" s="484">
        <v>211031.02</v>
      </c>
    </row>
    <row r="488" spans="19:19" ht="15.75" customHeight="1">
      <c r="S488" s="639"/>
    </row>
    <row r="489" spans="19:19" ht="15.75" customHeight="1">
      <c r="S489" s="637"/>
    </row>
    <row r="490" spans="19:19" ht="15.75" customHeight="1">
      <c r="S490" s="484">
        <v>705363.19</v>
      </c>
    </row>
    <row r="491" spans="19:19" ht="15.75" customHeight="1">
      <c r="S491" s="484">
        <v>188681.4</v>
      </c>
    </row>
    <row r="492" spans="19:19" ht="15.75" customHeight="1">
      <c r="S492" s="484">
        <v>13003.2</v>
      </c>
    </row>
    <row r="493" spans="19:19" ht="15.75" customHeight="1">
      <c r="S493" s="639"/>
    </row>
    <row r="494" spans="19:19" ht="15.75" customHeight="1">
      <c r="S494" s="484">
        <v>13058.54</v>
      </c>
    </row>
    <row r="495" spans="19:19" ht="15.75" customHeight="1"/>
    <row r="496" spans="19:19" ht="15.75" customHeight="1">
      <c r="S496" s="484">
        <v>19602.2</v>
      </c>
    </row>
    <row r="497" spans="19:19" ht="15.75" customHeight="1">
      <c r="S497" s="637"/>
    </row>
    <row r="498" spans="19:19" ht="15.75" customHeight="1">
      <c r="S498" s="484">
        <v>114342.21</v>
      </c>
    </row>
    <row r="499" spans="19:19" ht="15.75" customHeight="1">
      <c r="S499" s="484">
        <v>112819.25</v>
      </c>
    </row>
    <row r="500" spans="19:19" ht="15.75" customHeight="1">
      <c r="S500" s="484">
        <v>147807.21</v>
      </c>
    </row>
    <row r="501" spans="19:19" ht="15.75" customHeight="1">
      <c r="S501" s="637"/>
    </row>
    <row r="502" spans="19:19" ht="15.75" customHeight="1">
      <c r="S502" s="484">
        <v>138259.60999999999</v>
      </c>
    </row>
    <row r="503" spans="19:19" ht="15.75" customHeight="1">
      <c r="S503" s="484">
        <v>242682.11</v>
      </c>
    </row>
    <row r="504" spans="19:19" ht="15.75" customHeight="1">
      <c r="S504" s="484">
        <v>155931.10999999999</v>
      </c>
    </row>
    <row r="505" spans="19:19" ht="15.75" customHeight="1"/>
    <row r="506" spans="19:19" ht="15.75" customHeight="1"/>
    <row r="507" spans="19:19" ht="15.75" customHeight="1">
      <c r="S507" s="484">
        <v>28953.27</v>
      </c>
    </row>
    <row r="508" spans="19:19" ht="15.75" customHeight="1">
      <c r="S508" s="484">
        <v>72561.98</v>
      </c>
    </row>
    <row r="509" spans="19:19" ht="15.75" customHeight="1">
      <c r="S509" s="484">
        <v>13599.65</v>
      </c>
    </row>
    <row r="510" spans="19:19" ht="15.75" customHeight="1">
      <c r="S510" s="637"/>
    </row>
    <row r="511" spans="19:19" ht="15.75" customHeight="1">
      <c r="S511" s="484">
        <v>4457.93</v>
      </c>
    </row>
    <row r="512" spans="19:19" ht="15.75" customHeight="1">
      <c r="S512" s="484">
        <v>99359.54</v>
      </c>
    </row>
    <row r="513" spans="19:19" ht="15.75" customHeight="1">
      <c r="S513" s="484">
        <v>2326710.88</v>
      </c>
    </row>
    <row r="514" spans="19:19" ht="15.75" customHeight="1">
      <c r="S514" s="484">
        <v>294626.84999999998</v>
      </c>
    </row>
    <row r="515" spans="19:19" ht="15.75" customHeight="1">
      <c r="S515" s="484">
        <v>31045.35</v>
      </c>
    </row>
    <row r="516" spans="19:19" ht="15.75" customHeight="1">
      <c r="S516" s="637"/>
    </row>
    <row r="517" spans="19:19" ht="15.75" customHeight="1">
      <c r="S517" s="637"/>
    </row>
    <row r="518" spans="19:19" ht="15.75" customHeight="1">
      <c r="S518" s="638"/>
    </row>
    <row r="519" spans="19:19" ht="15.75" customHeight="1">
      <c r="S519" s="484">
        <v>795327.19</v>
      </c>
    </row>
    <row r="520" spans="19:19" ht="15.75" customHeight="1">
      <c r="S520" s="484">
        <v>795327.19</v>
      </c>
    </row>
    <row r="521" spans="19:19" ht="15.75" customHeight="1">
      <c r="S521" s="484">
        <v>297158.88</v>
      </c>
    </row>
    <row r="522" spans="19:19" ht="15.75" customHeight="1">
      <c r="S522" s="484">
        <v>25015.47</v>
      </c>
    </row>
    <row r="523" spans="19:19" ht="15.75" customHeight="1"/>
    <row r="524" spans="19:19" ht="15.75" customHeight="1">
      <c r="S524" s="484">
        <v>13058.54</v>
      </c>
    </row>
    <row r="525" spans="19:19" ht="15.75" customHeight="1"/>
    <row r="526" spans="19:19" ht="15.75" customHeight="1">
      <c r="S526" s="484">
        <v>50516.480000000003</v>
      </c>
    </row>
    <row r="527" spans="19:19" ht="15.75" customHeight="1">
      <c r="S527" s="484">
        <v>67220.11</v>
      </c>
    </row>
    <row r="528" spans="19:19" ht="15.75" customHeight="1">
      <c r="S528" s="484">
        <v>67742.48</v>
      </c>
    </row>
    <row r="529" spans="19:19" ht="15.75" customHeight="1"/>
    <row r="530" spans="19:19" ht="15.75" customHeight="1">
      <c r="S530" s="484">
        <v>114342.21</v>
      </c>
    </row>
    <row r="531" spans="19:19" ht="15.75" customHeight="1">
      <c r="S531" s="484">
        <v>114342.21</v>
      </c>
    </row>
    <row r="532" spans="19:19" ht="15.75" customHeight="1">
      <c r="S532" s="484">
        <v>114342.21</v>
      </c>
    </row>
    <row r="533" spans="19:19" ht="15.75" customHeight="1">
      <c r="S533" s="484">
        <v>114342.21</v>
      </c>
    </row>
    <row r="534" spans="19:19" ht="15.75" customHeight="1">
      <c r="S534" s="484">
        <v>114342.21</v>
      </c>
    </row>
    <row r="535" spans="19:19" ht="15.75" customHeight="1"/>
    <row r="536" spans="19:19" ht="15.75" customHeight="1"/>
    <row r="537" spans="19:19" ht="15.75" customHeight="1">
      <c r="S537" s="484">
        <v>795327.19</v>
      </c>
    </row>
    <row r="538" spans="19:19" ht="15.75" customHeight="1">
      <c r="S538" s="484">
        <v>281093.88</v>
      </c>
    </row>
    <row r="539" spans="19:19" ht="15.75" customHeight="1">
      <c r="S539" s="484">
        <v>25015.47</v>
      </c>
    </row>
    <row r="540" spans="19:19" ht="15.75" customHeight="1"/>
    <row r="541" spans="19:19" ht="15.75" customHeight="1">
      <c r="S541" s="484">
        <v>13058.54</v>
      </c>
    </row>
    <row r="542" spans="19:19" ht="15.75" customHeight="1"/>
    <row r="543" spans="19:19" ht="15.75" customHeight="1">
      <c r="S543" s="484">
        <v>19602.2</v>
      </c>
    </row>
    <row r="544" spans="19:19" ht="15.75" customHeight="1"/>
    <row r="545" spans="19:19" ht="15.75" customHeight="1">
      <c r="S545" s="484">
        <v>114342.21</v>
      </c>
    </row>
    <row r="546" spans="19:19" ht="15.75" customHeight="1">
      <c r="S546" s="484">
        <v>112819.25</v>
      </c>
    </row>
    <row r="547" spans="19:19" ht="15.75" customHeight="1">
      <c r="S547" s="484">
        <v>112819.25</v>
      </c>
    </row>
    <row r="548" spans="19:19" ht="15.75" customHeight="1">
      <c r="S548" s="484">
        <v>128799.1</v>
      </c>
    </row>
    <row r="549" spans="19:19" ht="15.75" customHeight="1">
      <c r="S549" s="484">
        <v>147807.21</v>
      </c>
    </row>
    <row r="550" spans="19:19" ht="15.75" customHeight="1">
      <c r="S550" s="484">
        <v>147807.21</v>
      </c>
    </row>
    <row r="551" spans="19:19" ht="15.75" customHeight="1"/>
    <row r="552" spans="19:19" ht="15.75" customHeight="1">
      <c r="S552" s="484">
        <v>138259.60999999999</v>
      </c>
    </row>
    <row r="553" spans="19:19" ht="15.75" customHeight="1">
      <c r="S553" s="484">
        <v>242682.11</v>
      </c>
    </row>
    <row r="554" spans="19:19" ht="15.75" customHeight="1">
      <c r="S554" s="484">
        <v>155931.10999999999</v>
      </c>
    </row>
    <row r="555" spans="19:19" ht="15.75" customHeight="1"/>
    <row r="556" spans="19:19" ht="15.75" customHeight="1"/>
    <row r="557" spans="19:19" ht="15.75" customHeight="1">
      <c r="S557" s="484">
        <v>28953.27</v>
      </c>
    </row>
    <row r="558" spans="19:19" ht="15.75" customHeight="1">
      <c r="S558" s="484">
        <v>72561.98</v>
      </c>
    </row>
    <row r="559" spans="19:19" ht="15.75" customHeight="1"/>
    <row r="560" spans="19:19" ht="15.75" customHeight="1">
      <c r="S560" s="484">
        <v>4457.93</v>
      </c>
    </row>
    <row r="561" spans="19:19" ht="15.75" customHeight="1">
      <c r="S561" s="484">
        <v>99359.54</v>
      </c>
    </row>
    <row r="562" spans="19:19" ht="15.75" customHeight="1">
      <c r="S562" s="484">
        <v>2326710.88</v>
      </c>
    </row>
    <row r="563" spans="19:19" ht="15.75" customHeight="1">
      <c r="S563" s="484">
        <v>294626.84999999998</v>
      </c>
    </row>
    <row r="564" spans="19:19" ht="15.75" customHeight="1">
      <c r="S564" s="484">
        <v>31045.35</v>
      </c>
    </row>
    <row r="565" spans="19:19" ht="15.75" customHeight="1"/>
    <row r="566" spans="19:19" ht="15.75" customHeight="1"/>
    <row r="567" spans="19:19" ht="15.75" customHeight="1"/>
    <row r="568" spans="19:19" ht="15.75" customHeight="1">
      <c r="S568" s="484">
        <v>13058.54</v>
      </c>
    </row>
    <row r="569" spans="19:19" ht="15.75" customHeight="1"/>
    <row r="570" spans="19:19" ht="15.75" customHeight="1">
      <c r="S570" s="484">
        <v>19602.2</v>
      </c>
    </row>
    <row r="571" spans="19:19" ht="15.75" customHeight="1"/>
    <row r="572" spans="19:19" ht="15.75" customHeight="1">
      <c r="S572" s="484">
        <v>114342.21</v>
      </c>
    </row>
    <row r="573" spans="19:19" ht="15.75" customHeight="1">
      <c r="S573" s="484">
        <v>112819.25</v>
      </c>
    </row>
    <row r="574" spans="19:19" ht="15.75" customHeight="1">
      <c r="S574" s="484">
        <v>126519.48</v>
      </c>
    </row>
    <row r="575" spans="19:19" ht="15.75" customHeight="1"/>
    <row r="576" spans="19:19" ht="15.75" customHeight="1">
      <c r="S576" s="484">
        <v>138259.60999999999</v>
      </c>
    </row>
    <row r="577" spans="19:19" ht="15.75" customHeight="1">
      <c r="S577" s="484">
        <v>242682.11</v>
      </c>
    </row>
    <row r="578" spans="19:19" ht="15.75" customHeight="1">
      <c r="S578" s="484">
        <v>155931.10999999999</v>
      </c>
    </row>
    <row r="579" spans="19:19" ht="15.75" customHeight="1"/>
    <row r="580" spans="19:19" ht="15.75" customHeight="1">
      <c r="S580" s="484">
        <v>79616.67</v>
      </c>
    </row>
    <row r="581" spans="19:19" ht="15.75" customHeight="1">
      <c r="S581" s="484">
        <v>35323.86</v>
      </c>
    </row>
    <row r="582" spans="19:19" ht="15.75" customHeight="1">
      <c r="S582" s="484">
        <v>13264.9</v>
      </c>
    </row>
    <row r="583" spans="19:19" ht="15.75" customHeight="1">
      <c r="S583" s="484">
        <v>60856.56</v>
      </c>
    </row>
    <row r="584" spans="19:19" ht="15.75" customHeight="1">
      <c r="S584" s="484">
        <v>59591.47</v>
      </c>
    </row>
    <row r="585" spans="19:19" ht="15.75" customHeight="1">
      <c r="S585" s="484">
        <v>100015.29</v>
      </c>
    </row>
    <row r="586" spans="19:19" ht="15.75" customHeight="1">
      <c r="S586" s="484">
        <v>114497.67</v>
      </c>
    </row>
    <row r="587" spans="19:19" ht="15.75" customHeight="1">
      <c r="S587" s="484">
        <v>438067.65</v>
      </c>
    </row>
    <row r="588" spans="19:19" ht="15.75" customHeight="1">
      <c r="S588" s="484">
        <v>75174.86</v>
      </c>
    </row>
    <row r="589" spans="19:19" ht="15.75" customHeight="1"/>
    <row r="590" spans="19:19" ht="15.75" customHeight="1">
      <c r="S590" s="484">
        <v>568350</v>
      </c>
    </row>
    <row r="591" spans="19:19" ht="15.75" customHeight="1">
      <c r="S591" s="484">
        <v>1111922.0900000001</v>
      </c>
    </row>
    <row r="592" spans="19:19" ht="15.75" customHeight="1">
      <c r="S592" s="484">
        <v>629972.09</v>
      </c>
    </row>
    <row r="593" spans="19:19" ht="15.75" customHeight="1">
      <c r="S593" s="484">
        <v>155279.09</v>
      </c>
    </row>
    <row r="594" spans="19:19" ht="15.75" customHeight="1">
      <c r="S594" s="484">
        <v>80446.91</v>
      </c>
    </row>
    <row r="595" spans="19:19" ht="15.75" customHeight="1"/>
    <row r="596" spans="19:19" ht="15.75" customHeight="1">
      <c r="S596" s="484">
        <v>128052.91</v>
      </c>
    </row>
    <row r="597" spans="19:19" ht="15.75" customHeight="1">
      <c r="S597" s="484">
        <v>62814.04</v>
      </c>
    </row>
    <row r="598" spans="19:19" ht="15.75" customHeight="1">
      <c r="S598" s="484">
        <v>278075.99</v>
      </c>
    </row>
    <row r="599" spans="19:19" ht="15.75" customHeight="1">
      <c r="S599" s="484">
        <v>93952.11</v>
      </c>
    </row>
    <row r="600" spans="19:19" ht="15.75" customHeight="1">
      <c r="S600" s="484">
        <v>17758.919999999998</v>
      </c>
    </row>
    <row r="601" spans="19:19" ht="15.75" customHeight="1">
      <c r="S601" s="484">
        <v>4457.93</v>
      </c>
    </row>
    <row r="602" spans="19:19" ht="15.75" customHeight="1">
      <c r="S602" s="484">
        <v>2698411.5</v>
      </c>
    </row>
    <row r="603" spans="19:19" ht="15.75" customHeight="1">
      <c r="S603" s="484">
        <v>1656130.25</v>
      </c>
    </row>
    <row r="604" spans="19:19" ht="15.75" customHeight="1">
      <c r="S604" s="484">
        <v>7357261.5</v>
      </c>
    </row>
    <row r="605" spans="19:19" ht="15.75" customHeight="1">
      <c r="S605" s="484">
        <v>2614961.75</v>
      </c>
    </row>
    <row r="606" spans="19:19" ht="15.75" customHeight="1">
      <c r="S606" s="484">
        <v>18281461.5</v>
      </c>
    </row>
    <row r="607" spans="19:19" ht="15.75" customHeight="1"/>
    <row r="608" spans="19:19" ht="15.75" customHeight="1">
      <c r="S608" s="484">
        <v>4425521.82</v>
      </c>
    </row>
    <row r="609" spans="19:19" ht="15.75" customHeight="1">
      <c r="S609" s="484">
        <v>541346.26</v>
      </c>
    </row>
    <row r="610" spans="19:19" ht="15.75" customHeight="1">
      <c r="S610" s="484">
        <v>550223.63</v>
      </c>
    </row>
    <row r="611" spans="19:19" ht="15.75" customHeight="1">
      <c r="S611" s="484">
        <v>287899.7</v>
      </c>
    </row>
    <row r="612" spans="19:19" ht="15.75" customHeight="1">
      <c r="S612" s="484">
        <v>550223.63</v>
      </c>
    </row>
    <row r="613" spans="19:19" ht="15.75" customHeight="1">
      <c r="S613" s="484">
        <v>4216708.8</v>
      </c>
    </row>
    <row r="614" spans="19:19" ht="15.75" customHeight="1">
      <c r="S614" s="484">
        <v>4524704.63</v>
      </c>
    </row>
    <row r="615" spans="19:19" ht="15.75" customHeight="1">
      <c r="S615" s="484">
        <v>1311704.6299999999</v>
      </c>
    </row>
    <row r="616" spans="19:19" ht="15.75" customHeight="1">
      <c r="S616" s="484">
        <v>26105609.25</v>
      </c>
    </row>
    <row r="617" spans="19:19" ht="15.75" customHeight="1">
      <c r="S617" s="484">
        <v>746211.38</v>
      </c>
    </row>
    <row r="618" spans="19:19" ht="15.75" customHeight="1">
      <c r="S618" s="484">
        <v>310672.49</v>
      </c>
    </row>
    <row r="619" spans="19:19" ht="15.75" customHeight="1">
      <c r="S619" s="484">
        <v>485903.09</v>
      </c>
    </row>
    <row r="620" spans="19:19" ht="15.75" customHeight="1">
      <c r="S620" s="484">
        <v>247850.15</v>
      </c>
    </row>
    <row r="621" spans="19:19" ht="15.75" customHeight="1">
      <c r="S621" s="484">
        <v>7044802.7999999998</v>
      </c>
    </row>
    <row r="622" spans="19:19" ht="15.75" customHeight="1"/>
    <row r="623" spans="19:19" ht="15.75" customHeight="1">
      <c r="S623" s="484">
        <v>9432019.8000000007</v>
      </c>
    </row>
    <row r="624" spans="19:19" ht="15.75" customHeight="1">
      <c r="S624" s="484">
        <v>6422.55</v>
      </c>
    </row>
    <row r="625" spans="19:19" ht="15.75" customHeight="1">
      <c r="S625" s="484">
        <v>1285200</v>
      </c>
    </row>
    <row r="626" spans="19:19" ht="15.75" customHeight="1"/>
    <row r="627" spans="19:19" ht="15.75" customHeight="1"/>
    <row r="628" spans="19:19" ht="15.75" customHeight="1"/>
    <row r="629" spans="19:19" ht="15.75" customHeight="1"/>
    <row r="630" spans="19:19" ht="15.75" customHeight="1"/>
    <row r="631" spans="19:19" ht="15.75" customHeight="1"/>
    <row r="632" spans="19:19" ht="15.75" customHeight="1"/>
    <row r="633" spans="19:19" ht="15.75" customHeight="1"/>
    <row r="634" spans="19:19" ht="15.75" customHeight="1"/>
    <row r="635" spans="19:19" ht="15.75" customHeight="1"/>
    <row r="636" spans="19:19" ht="15.75" customHeight="1"/>
    <row r="637" spans="19:19" ht="15.75" customHeight="1"/>
    <row r="638" spans="19:19" ht="15.75" customHeight="1"/>
    <row r="639" spans="19:19" ht="15.75" customHeight="1"/>
    <row r="640" spans="19:19"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2">
    <mergeCell ref="G53:H53"/>
    <mergeCell ref="B50:G50"/>
    <mergeCell ref="B51:H51"/>
    <mergeCell ref="B52:G52"/>
    <mergeCell ref="H52:I52"/>
    <mergeCell ref="B49:G49"/>
    <mergeCell ref="B14:I14"/>
    <mergeCell ref="B19:I19"/>
    <mergeCell ref="B23:I23"/>
    <mergeCell ref="B38:I38"/>
    <mergeCell ref="B41:I41"/>
    <mergeCell ref="B43:I43"/>
    <mergeCell ref="B45:I45"/>
    <mergeCell ref="B47:F47"/>
    <mergeCell ref="B48:F48"/>
    <mergeCell ref="B10:I10"/>
    <mergeCell ref="B21:I21"/>
    <mergeCell ref="A1:I1"/>
    <mergeCell ref="A2:I2"/>
    <mergeCell ref="A3:I5"/>
    <mergeCell ref="A6:I6"/>
    <mergeCell ref="A7:I8"/>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39997558519241921"/>
    <pageSetUpPr fitToPage="1"/>
  </sheetPr>
  <dimension ref="A1:J516"/>
  <sheetViews>
    <sheetView topLeftCell="A302" zoomScale="70" zoomScaleNormal="70" workbookViewId="0">
      <selection activeCell="E307" sqref="E307"/>
    </sheetView>
  </sheetViews>
  <sheetFormatPr baseColWidth="10" defaultColWidth="10.88671875" defaultRowHeight="17.399999999999999"/>
  <cols>
    <col min="1" max="1" width="2" style="302" customWidth="1"/>
    <col min="2" max="2" width="110.33203125" style="302" bestFit="1" customWidth="1"/>
    <col min="3" max="3" width="13" style="302" hidden="1" customWidth="1"/>
    <col min="4" max="4" width="10.33203125" style="302" customWidth="1"/>
    <col min="5" max="5" width="19.44140625" style="302" bestFit="1" customWidth="1"/>
    <col min="6" max="6" width="24.6640625" style="302" customWidth="1"/>
    <col min="7" max="7" width="106.44140625" style="302" bestFit="1" customWidth="1"/>
    <col min="8" max="9" width="10.88671875" style="302"/>
    <col min="10" max="10" width="15.6640625" style="302" bestFit="1" customWidth="1"/>
    <col min="11" max="16384" width="10.88671875" style="302"/>
  </cols>
  <sheetData>
    <row r="1" spans="1:7" ht="61.5" customHeight="1">
      <c r="B1" s="1165" t="s">
        <v>995</v>
      </c>
      <c r="C1" s="1165"/>
      <c r="D1" s="1165"/>
      <c r="E1" s="1165"/>
      <c r="F1" s="1165"/>
      <c r="G1" s="1165"/>
    </row>
    <row r="2" spans="1:7">
      <c r="B2" s="303" t="s">
        <v>996</v>
      </c>
      <c r="C2" s="304" t="s">
        <v>997</v>
      </c>
      <c r="D2" s="305" t="s">
        <v>998</v>
      </c>
      <c r="E2" s="306" t="s">
        <v>999</v>
      </c>
      <c r="F2" s="307" t="s">
        <v>1000</v>
      </c>
      <c r="G2" s="307" t="s">
        <v>1001</v>
      </c>
    </row>
    <row r="3" spans="1:7">
      <c r="A3" s="317"/>
      <c r="B3" s="336" t="s">
        <v>123</v>
      </c>
      <c r="C3" s="334"/>
      <c r="D3" s="310" t="s">
        <v>37</v>
      </c>
      <c r="E3" s="311">
        <v>48700</v>
      </c>
      <c r="F3" s="310" t="s">
        <v>1002</v>
      </c>
      <c r="G3" s="312" t="s">
        <v>1354</v>
      </c>
    </row>
    <row r="4" spans="1:7">
      <c r="A4" s="317"/>
      <c r="B4" s="336" t="s">
        <v>1003</v>
      </c>
      <c r="C4" s="334"/>
      <c r="D4" s="310" t="s">
        <v>39</v>
      </c>
      <c r="E4" s="311">
        <v>75800</v>
      </c>
      <c r="F4" s="310" t="s">
        <v>1004</v>
      </c>
      <c r="G4" s="310" t="s">
        <v>1004</v>
      </c>
    </row>
    <row r="5" spans="1:7" ht="34.799999999999997">
      <c r="A5" s="317"/>
      <c r="B5" s="335" t="s">
        <v>1005</v>
      </c>
      <c r="C5" s="309"/>
      <c r="D5" s="310" t="s">
        <v>100</v>
      </c>
      <c r="E5" s="311">
        <v>37157</v>
      </c>
      <c r="F5" s="310" t="s">
        <v>1006</v>
      </c>
      <c r="G5" s="314" t="s">
        <v>1317</v>
      </c>
    </row>
    <row r="6" spans="1:7">
      <c r="A6" s="317"/>
      <c r="B6" s="308" t="s">
        <v>387</v>
      </c>
      <c r="C6" s="309"/>
      <c r="D6" s="310" t="s">
        <v>998</v>
      </c>
      <c r="E6" s="311">
        <v>1120000</v>
      </c>
      <c r="F6" s="310" t="s">
        <v>1352</v>
      </c>
      <c r="G6" s="254" t="s">
        <v>1372</v>
      </c>
    </row>
    <row r="7" spans="1:7" s="308" customFormat="1">
      <c r="A7" s="315"/>
      <c r="B7" s="313" t="s">
        <v>1007</v>
      </c>
      <c r="C7" s="309"/>
      <c r="D7" s="310" t="s">
        <v>190</v>
      </c>
      <c r="E7" s="311">
        <v>74900</v>
      </c>
      <c r="F7" s="310" t="s">
        <v>1308</v>
      </c>
      <c r="G7" s="254" t="s">
        <v>1353</v>
      </c>
    </row>
    <row r="8" spans="1:7" s="308" customFormat="1">
      <c r="A8" s="315"/>
      <c r="B8" s="313" t="s">
        <v>1008</v>
      </c>
      <c r="C8" s="309"/>
      <c r="D8" s="310" t="s">
        <v>39</v>
      </c>
      <c r="E8" s="311"/>
      <c r="F8" s="310" t="s">
        <v>1004</v>
      </c>
      <c r="G8" s="312" t="s">
        <v>1373</v>
      </c>
    </row>
    <row r="9" spans="1:7" s="308" customFormat="1">
      <c r="A9" s="318"/>
      <c r="B9" s="313" t="s">
        <v>1010</v>
      </c>
      <c r="C9" s="309"/>
      <c r="D9" s="310" t="s">
        <v>39</v>
      </c>
      <c r="E9" s="311">
        <f>SUBANÁLISIS!G61</f>
        <v>604072.9916666667</v>
      </c>
      <c r="F9" s="310" t="s">
        <v>1004</v>
      </c>
      <c r="G9" s="312" t="s">
        <v>1373</v>
      </c>
    </row>
    <row r="10" spans="1:7" s="308" customFormat="1" ht="28.8">
      <c r="A10" s="315"/>
      <c r="B10" s="313" t="s">
        <v>186</v>
      </c>
      <c r="C10" s="309"/>
      <c r="D10" s="310" t="s">
        <v>998</v>
      </c>
      <c r="E10" s="311">
        <v>5900</v>
      </c>
      <c r="F10" s="310" t="s">
        <v>1012</v>
      </c>
      <c r="G10" s="254" t="s">
        <v>1378</v>
      </c>
    </row>
    <row r="11" spans="1:7" s="308" customFormat="1" ht="38.25" customHeight="1">
      <c r="A11" s="315"/>
      <c r="B11" s="313" t="s">
        <v>1013</v>
      </c>
      <c r="C11" s="309"/>
      <c r="D11" s="310" t="s">
        <v>998</v>
      </c>
      <c r="E11" s="311">
        <v>150000</v>
      </c>
      <c r="F11" s="310" t="s">
        <v>1014</v>
      </c>
      <c r="G11" s="254" t="s">
        <v>1379</v>
      </c>
    </row>
    <row r="12" spans="1:7" s="308" customFormat="1" ht="34.5" customHeight="1">
      <c r="A12" s="315"/>
      <c r="B12" s="313" t="s">
        <v>1015</v>
      </c>
      <c r="C12" s="309"/>
      <c r="D12" s="310" t="s">
        <v>34</v>
      </c>
      <c r="E12" s="311">
        <v>5033</v>
      </c>
      <c r="F12" s="310" t="s">
        <v>1016</v>
      </c>
      <c r="G12" s="481" t="s">
        <v>2669</v>
      </c>
    </row>
    <row r="13" spans="1:7" s="308" customFormat="1" ht="34.799999999999997">
      <c r="A13" s="315"/>
      <c r="B13" s="313" t="s">
        <v>12</v>
      </c>
      <c r="C13" s="309"/>
      <c r="D13" s="310" t="s">
        <v>998</v>
      </c>
      <c r="E13" s="311">
        <v>14900</v>
      </c>
      <c r="F13" s="310" t="s">
        <v>1016</v>
      </c>
      <c r="G13" s="314" t="s">
        <v>1309</v>
      </c>
    </row>
    <row r="14" spans="1:7" s="308" customFormat="1">
      <c r="A14" s="315"/>
      <c r="B14" s="313" t="s">
        <v>12</v>
      </c>
      <c r="C14" s="309"/>
      <c r="D14" s="310" t="s">
        <v>100</v>
      </c>
      <c r="E14" s="311">
        <f>E13/3.2</f>
        <v>4656.25</v>
      </c>
      <c r="F14" s="310" t="s">
        <v>1016</v>
      </c>
      <c r="G14" s="254" t="s">
        <v>1309</v>
      </c>
    </row>
    <row r="15" spans="1:7" s="308" customFormat="1">
      <c r="A15" s="315"/>
      <c r="B15" s="313" t="s">
        <v>1375</v>
      </c>
      <c r="C15" s="309"/>
      <c r="D15" s="310" t="s">
        <v>998</v>
      </c>
      <c r="E15" s="311">
        <v>42900</v>
      </c>
      <c r="F15" s="310" t="s">
        <v>1016</v>
      </c>
      <c r="G15" s="254" t="s">
        <v>1374</v>
      </c>
    </row>
    <row r="16" spans="1:7" s="308" customFormat="1">
      <c r="A16" s="315"/>
      <c r="B16" s="313" t="s">
        <v>1017</v>
      </c>
      <c r="C16" s="309"/>
      <c r="D16" s="310" t="s">
        <v>998</v>
      </c>
      <c r="E16" s="311">
        <v>172200</v>
      </c>
      <c r="F16" s="310" t="s">
        <v>2416</v>
      </c>
      <c r="G16" s="310" t="s">
        <v>1091</v>
      </c>
    </row>
    <row r="17" spans="1:7" s="308" customFormat="1">
      <c r="A17" s="315"/>
      <c r="B17" s="313" t="s">
        <v>1017</v>
      </c>
      <c r="C17" s="309"/>
      <c r="D17" s="310" t="s">
        <v>37</v>
      </c>
      <c r="E17" s="311">
        <f>E16/(2.35*6)</f>
        <v>12212.765957446807</v>
      </c>
      <c r="F17" s="310" t="s">
        <v>2416</v>
      </c>
      <c r="G17" s="310" t="s">
        <v>1091</v>
      </c>
    </row>
    <row r="18" spans="1:7" s="308" customFormat="1">
      <c r="A18" s="315"/>
      <c r="B18" s="313" t="s">
        <v>1018</v>
      </c>
      <c r="C18" s="309"/>
      <c r="D18" s="310" t="s">
        <v>998</v>
      </c>
      <c r="E18" s="311">
        <v>17500</v>
      </c>
      <c r="F18" s="310" t="s">
        <v>1380</v>
      </c>
      <c r="G18" s="314" t="s">
        <v>1298</v>
      </c>
    </row>
    <row r="19" spans="1:7" s="308" customFormat="1">
      <c r="A19" s="315"/>
      <c r="B19" s="313" t="s">
        <v>1018</v>
      </c>
      <c r="C19" s="309"/>
      <c r="D19" s="310" t="s">
        <v>37</v>
      </c>
      <c r="E19" s="311">
        <f>E18/(0.9*1.35)</f>
        <v>14403.292181069957</v>
      </c>
      <c r="F19" s="310" t="s">
        <v>1380</v>
      </c>
      <c r="G19" s="314" t="s">
        <v>1298</v>
      </c>
    </row>
    <row r="20" spans="1:7" s="308" customFormat="1" ht="28.8">
      <c r="A20" s="315"/>
      <c r="B20" s="313" t="s">
        <v>1019</v>
      </c>
      <c r="C20" s="309"/>
      <c r="D20" s="310" t="s">
        <v>998</v>
      </c>
      <c r="E20" s="311">
        <v>27900</v>
      </c>
      <c r="F20" s="310" t="s">
        <v>1016</v>
      </c>
      <c r="G20" s="254" t="s">
        <v>1376</v>
      </c>
    </row>
    <row r="21" spans="1:7" s="308" customFormat="1" ht="28.8">
      <c r="A21" s="315"/>
      <c r="B21" s="313" t="s">
        <v>1020</v>
      </c>
      <c r="C21" s="309"/>
      <c r="D21" s="310" t="s">
        <v>998</v>
      </c>
      <c r="E21" s="311">
        <f>E20/8.6</f>
        <v>3244.1860465116279</v>
      </c>
      <c r="F21" s="310" t="s">
        <v>1016</v>
      </c>
      <c r="G21" s="254" t="s">
        <v>1376</v>
      </c>
    </row>
    <row r="22" spans="1:7" s="308" customFormat="1" ht="28.8">
      <c r="A22" s="315"/>
      <c r="B22" s="313" t="s">
        <v>1021</v>
      </c>
      <c r="C22" s="309"/>
      <c r="D22" s="310" t="s">
        <v>998</v>
      </c>
      <c r="E22" s="311">
        <v>40900</v>
      </c>
      <c r="F22" s="310" t="s">
        <v>1016</v>
      </c>
      <c r="G22" s="254" t="s">
        <v>1364</v>
      </c>
    </row>
    <row r="23" spans="1:7" s="308" customFormat="1" ht="28.8">
      <c r="A23" s="315"/>
      <c r="B23" s="313" t="s">
        <v>1021</v>
      </c>
      <c r="C23" s="309"/>
      <c r="D23" s="310" t="s">
        <v>37</v>
      </c>
      <c r="E23" s="311">
        <f>E22/(0.25*2.44)</f>
        <v>67049.18032786886</v>
      </c>
      <c r="F23" s="310" t="s">
        <v>1016</v>
      </c>
      <c r="G23" s="254" t="s">
        <v>2738</v>
      </c>
    </row>
    <row r="24" spans="1:7" s="308" customFormat="1">
      <c r="A24" s="317"/>
      <c r="B24" s="313" t="s">
        <v>1362</v>
      </c>
      <c r="C24" s="309"/>
      <c r="D24" s="310" t="s">
        <v>37</v>
      </c>
      <c r="E24" s="311">
        <f>11111.4/3.5</f>
        <v>3174.6857142857143</v>
      </c>
      <c r="F24" s="310" t="s">
        <v>1363</v>
      </c>
      <c r="G24" s="254" t="s">
        <v>1563</v>
      </c>
    </row>
    <row r="25" spans="1:7" s="308" customFormat="1" ht="28.8">
      <c r="A25" s="317"/>
      <c r="B25" s="313" t="s">
        <v>1022</v>
      </c>
      <c r="C25" s="309"/>
      <c r="D25" s="310" t="s">
        <v>34</v>
      </c>
      <c r="E25" s="311">
        <v>272.5</v>
      </c>
      <c r="F25" s="310" t="s">
        <v>1016</v>
      </c>
      <c r="G25" s="254" t="s">
        <v>1553</v>
      </c>
    </row>
    <row r="26" spans="1:7" s="308" customFormat="1" ht="28.8">
      <c r="A26" s="317"/>
      <c r="B26" s="313" t="s">
        <v>1022</v>
      </c>
      <c r="C26" s="309"/>
      <c r="D26" s="310" t="s">
        <v>39</v>
      </c>
      <c r="E26" s="311">
        <f>E25*(1500)</f>
        <v>408750</v>
      </c>
      <c r="F26" s="310" t="s">
        <v>1016</v>
      </c>
      <c r="G26" s="254" t="s">
        <v>1553</v>
      </c>
    </row>
    <row r="27" spans="1:7" s="308" customFormat="1">
      <c r="A27" s="317"/>
      <c r="B27" s="313" t="s">
        <v>1023</v>
      </c>
      <c r="C27" s="309"/>
      <c r="D27" s="310" t="s">
        <v>100</v>
      </c>
      <c r="E27" s="311">
        <v>34396</v>
      </c>
      <c r="F27" s="310" t="s">
        <v>1024</v>
      </c>
      <c r="G27" s="254" t="s">
        <v>1355</v>
      </c>
    </row>
    <row r="28" spans="1:7" s="308" customFormat="1" ht="28.8">
      <c r="A28" s="317"/>
      <c r="B28" s="313" t="s">
        <v>115</v>
      </c>
      <c r="C28" s="309"/>
      <c r="D28" s="310" t="s">
        <v>998</v>
      </c>
      <c r="E28" s="311">
        <v>51900</v>
      </c>
      <c r="F28" s="310" t="s">
        <v>1016</v>
      </c>
      <c r="G28" s="254" t="s">
        <v>1377</v>
      </c>
    </row>
    <row r="29" spans="1:7" s="308" customFormat="1" ht="51" customHeight="1">
      <c r="A29" s="317"/>
      <c r="B29" s="313" t="s">
        <v>1459</v>
      </c>
      <c r="C29" s="309"/>
      <c r="D29" s="310" t="s">
        <v>998</v>
      </c>
      <c r="E29" s="311">
        <v>643900</v>
      </c>
      <c r="F29" s="310" t="s">
        <v>1016</v>
      </c>
      <c r="G29" s="254" t="s">
        <v>1460</v>
      </c>
    </row>
    <row r="30" spans="1:7" s="308" customFormat="1" ht="34.799999999999997">
      <c r="A30" s="317"/>
      <c r="B30" s="313" t="s">
        <v>1297</v>
      </c>
      <c r="C30" s="309"/>
      <c r="D30" s="310" t="s">
        <v>998</v>
      </c>
      <c r="E30" s="311">
        <v>86900</v>
      </c>
      <c r="F30" s="310" t="s">
        <v>1016</v>
      </c>
      <c r="G30" s="314" t="s">
        <v>1025</v>
      </c>
    </row>
    <row r="31" spans="1:7" s="308" customFormat="1">
      <c r="A31" s="318"/>
      <c r="B31" s="313" t="s">
        <v>306</v>
      </c>
      <c r="C31" s="309"/>
      <c r="D31" s="310" t="s">
        <v>39</v>
      </c>
      <c r="E31" s="311">
        <v>0</v>
      </c>
      <c r="F31" s="310" t="s">
        <v>1004</v>
      </c>
      <c r="G31" s="312" t="s">
        <v>1011</v>
      </c>
    </row>
    <row r="32" spans="1:7" s="308" customFormat="1">
      <c r="A32" s="318"/>
      <c r="B32" s="313" t="s">
        <v>1026</v>
      </c>
      <c r="C32" s="316" t="s">
        <v>224</v>
      </c>
      <c r="D32" s="310" t="s">
        <v>39</v>
      </c>
      <c r="E32" s="311">
        <v>0</v>
      </c>
      <c r="F32" s="310" t="s">
        <v>1004</v>
      </c>
      <c r="G32" s="312" t="s">
        <v>1011</v>
      </c>
    </row>
    <row r="33" spans="1:7" s="308" customFormat="1">
      <c r="A33" s="317"/>
      <c r="B33" s="313" t="s">
        <v>1027</v>
      </c>
      <c r="C33" s="316"/>
      <c r="D33" s="310" t="s">
        <v>998</v>
      </c>
      <c r="E33" s="311">
        <v>30900</v>
      </c>
      <c r="F33" s="310" t="s">
        <v>1016</v>
      </c>
      <c r="G33" s="254" t="s">
        <v>1381</v>
      </c>
    </row>
    <row r="34" spans="1:7" s="308" customFormat="1">
      <c r="A34" s="317"/>
      <c r="B34" s="313" t="s">
        <v>1028</v>
      </c>
      <c r="C34" s="316"/>
      <c r="D34" s="310" t="s">
        <v>998</v>
      </c>
      <c r="E34" s="311">
        <v>15000</v>
      </c>
      <c r="F34" s="310" t="s">
        <v>1016</v>
      </c>
      <c r="G34" s="254" t="s">
        <v>1382</v>
      </c>
    </row>
    <row r="35" spans="1:7" s="308" customFormat="1">
      <c r="A35" s="317"/>
      <c r="B35" s="313" t="s">
        <v>1029</v>
      </c>
      <c r="C35" s="316" t="s">
        <v>1030</v>
      </c>
      <c r="D35" s="310" t="s">
        <v>998</v>
      </c>
      <c r="E35" s="311">
        <v>42900</v>
      </c>
      <c r="F35" s="310" t="s">
        <v>1031</v>
      </c>
      <c r="G35" s="254" t="s">
        <v>1383</v>
      </c>
    </row>
    <row r="36" spans="1:7" s="308" customFormat="1">
      <c r="A36" s="317"/>
      <c r="B36" s="313" t="s">
        <v>1029</v>
      </c>
      <c r="C36" s="316"/>
      <c r="D36" s="310" t="s">
        <v>34</v>
      </c>
      <c r="E36" s="311">
        <f>E35/25</f>
        <v>1716</v>
      </c>
      <c r="F36" s="310" t="s">
        <v>1031</v>
      </c>
      <c r="G36" s="254" t="s">
        <v>1383</v>
      </c>
    </row>
    <row r="37" spans="1:7" s="308" customFormat="1" ht="28.8">
      <c r="A37" s="317"/>
      <c r="B37" s="313" t="s">
        <v>1032</v>
      </c>
      <c r="C37" s="316" t="s">
        <v>1030</v>
      </c>
      <c r="D37" s="310" t="s">
        <v>998</v>
      </c>
      <c r="E37" s="311">
        <v>32500</v>
      </c>
      <c r="F37" s="310" t="s">
        <v>1031</v>
      </c>
      <c r="G37" s="254" t="s">
        <v>1384</v>
      </c>
    </row>
    <row r="38" spans="1:7" s="308" customFormat="1" ht="28.8">
      <c r="A38" s="315"/>
      <c r="B38" s="313" t="s">
        <v>1032</v>
      </c>
      <c r="C38" s="316"/>
      <c r="D38" s="310" t="s">
        <v>34</v>
      </c>
      <c r="E38" s="311">
        <f>E37/5</f>
        <v>6500</v>
      </c>
      <c r="F38" s="310" t="s">
        <v>1031</v>
      </c>
      <c r="G38" s="254" t="s">
        <v>1384</v>
      </c>
    </row>
    <row r="39" spans="1:7" s="308" customFormat="1">
      <c r="A39" s="315"/>
      <c r="B39" s="313" t="s">
        <v>1033</v>
      </c>
      <c r="C39" s="316" t="s">
        <v>1030</v>
      </c>
      <c r="D39" s="310" t="s">
        <v>100</v>
      </c>
      <c r="E39" s="311">
        <v>2042</v>
      </c>
      <c r="F39" s="310" t="s">
        <v>1016</v>
      </c>
      <c r="G39" s="254" t="s">
        <v>1385</v>
      </c>
    </row>
    <row r="40" spans="1:7" s="308" customFormat="1" ht="43.2">
      <c r="A40" s="315"/>
      <c r="B40" s="313" t="s">
        <v>126</v>
      </c>
      <c r="C40" s="316" t="s">
        <v>1034</v>
      </c>
      <c r="D40" s="310" t="s">
        <v>34</v>
      </c>
      <c r="E40" s="311">
        <v>18900</v>
      </c>
      <c r="F40" s="310" t="s">
        <v>1016</v>
      </c>
      <c r="G40" s="254" t="s">
        <v>1386</v>
      </c>
    </row>
    <row r="41" spans="1:7" s="308" customFormat="1">
      <c r="A41" s="315"/>
      <c r="B41" s="313" t="s">
        <v>227</v>
      </c>
      <c r="C41" s="316" t="s">
        <v>226</v>
      </c>
      <c r="D41" s="310" t="s">
        <v>37</v>
      </c>
      <c r="E41" s="311">
        <v>38300</v>
      </c>
      <c r="F41" s="310" t="s">
        <v>1031</v>
      </c>
      <c r="G41" s="254" t="s">
        <v>1387</v>
      </c>
    </row>
    <row r="42" spans="1:7" s="308" customFormat="1" ht="35.25" customHeight="1">
      <c r="A42" s="315"/>
      <c r="B42" s="313" t="s">
        <v>1035</v>
      </c>
      <c r="C42" s="316" t="s">
        <v>228</v>
      </c>
      <c r="D42" s="310" t="s">
        <v>998</v>
      </c>
      <c r="E42" s="311">
        <v>1200</v>
      </c>
      <c r="F42" s="310" t="s">
        <v>1016</v>
      </c>
      <c r="G42" s="254" t="s">
        <v>1388</v>
      </c>
    </row>
    <row r="43" spans="1:7" s="308" customFormat="1" ht="34.799999999999997">
      <c r="A43" s="337"/>
      <c r="B43" s="313" t="s">
        <v>1036</v>
      </c>
      <c r="C43" s="316" t="s">
        <v>1037</v>
      </c>
      <c r="D43" s="310" t="s">
        <v>39</v>
      </c>
      <c r="E43" s="311">
        <v>425081</v>
      </c>
      <c r="F43" s="310" t="s">
        <v>1004</v>
      </c>
      <c r="G43" s="312" t="s">
        <v>1011</v>
      </c>
    </row>
    <row r="44" spans="1:7" s="308" customFormat="1">
      <c r="A44" s="317"/>
      <c r="B44" s="313" t="s">
        <v>1038</v>
      </c>
      <c r="C44" s="316" t="s">
        <v>229</v>
      </c>
      <c r="D44" s="310" t="s">
        <v>998</v>
      </c>
      <c r="E44" s="311">
        <f>2734*1.19</f>
        <v>3253.46</v>
      </c>
      <c r="F44" s="310" t="s">
        <v>1039</v>
      </c>
      <c r="G44" s="312" t="s">
        <v>1354</v>
      </c>
    </row>
    <row r="45" spans="1:7" s="308" customFormat="1">
      <c r="A45" s="317"/>
      <c r="B45" s="313" t="s">
        <v>1040</v>
      </c>
      <c r="C45" s="316"/>
      <c r="D45" s="310" t="s">
        <v>998</v>
      </c>
      <c r="E45" s="311">
        <f t="shared" ref="E45:E46" si="0">2734*1.19</f>
        <v>3253.46</v>
      </c>
      <c r="F45" s="310" t="s">
        <v>1039</v>
      </c>
      <c r="G45" s="312" t="s">
        <v>1354</v>
      </c>
    </row>
    <row r="46" spans="1:7" s="308" customFormat="1">
      <c r="A46" s="317"/>
      <c r="B46" s="313" t="s">
        <v>1041</v>
      </c>
      <c r="C46" s="316" t="s">
        <v>230</v>
      </c>
      <c r="D46" s="310" t="s">
        <v>998</v>
      </c>
      <c r="E46" s="311">
        <f t="shared" si="0"/>
        <v>3253.46</v>
      </c>
      <c r="F46" s="310" t="s">
        <v>1039</v>
      </c>
      <c r="G46" s="312" t="s">
        <v>1354</v>
      </c>
    </row>
    <row r="47" spans="1:7" s="308" customFormat="1">
      <c r="A47" s="317"/>
      <c r="B47" s="313" t="s">
        <v>1042</v>
      </c>
      <c r="C47" s="316" t="s">
        <v>232</v>
      </c>
      <c r="D47" s="310" t="s">
        <v>998</v>
      </c>
      <c r="E47" s="311">
        <v>4150</v>
      </c>
      <c r="F47" s="310" t="s">
        <v>1039</v>
      </c>
      <c r="G47" s="312" t="s">
        <v>1354</v>
      </c>
    </row>
    <row r="48" spans="1:7" s="308" customFormat="1">
      <c r="A48" s="317"/>
      <c r="B48" s="313" t="s">
        <v>1043</v>
      </c>
      <c r="C48" s="316" t="s">
        <v>233</v>
      </c>
      <c r="D48" s="310" t="s">
        <v>998</v>
      </c>
      <c r="E48" s="311">
        <v>4150</v>
      </c>
      <c r="F48" s="310" t="s">
        <v>1039</v>
      </c>
      <c r="G48" s="312" t="s">
        <v>1354</v>
      </c>
    </row>
    <row r="49" spans="1:7" s="308" customFormat="1">
      <c r="A49" s="317"/>
      <c r="B49" s="313" t="s">
        <v>1044</v>
      </c>
      <c r="C49" s="316" t="s">
        <v>236</v>
      </c>
      <c r="D49" s="310" t="s">
        <v>998</v>
      </c>
      <c r="E49" s="311">
        <v>4150</v>
      </c>
      <c r="F49" s="310" t="s">
        <v>1039</v>
      </c>
      <c r="G49" s="312" t="s">
        <v>1354</v>
      </c>
    </row>
    <row r="50" spans="1:7" s="308" customFormat="1">
      <c r="A50" s="317"/>
      <c r="B50" s="313" t="s">
        <v>1045</v>
      </c>
      <c r="C50" s="316"/>
      <c r="D50" s="310" t="s">
        <v>998</v>
      </c>
      <c r="E50" s="311">
        <v>4150</v>
      </c>
      <c r="F50" s="310" t="s">
        <v>1039</v>
      </c>
      <c r="G50" s="312" t="s">
        <v>1354</v>
      </c>
    </row>
    <row r="51" spans="1:7" s="308" customFormat="1" ht="28.8">
      <c r="A51" s="317"/>
      <c r="B51" s="313" t="s">
        <v>239</v>
      </c>
      <c r="C51" s="316" t="s">
        <v>1046</v>
      </c>
      <c r="D51" s="310" t="s">
        <v>998</v>
      </c>
      <c r="E51" s="311">
        <v>40500</v>
      </c>
      <c r="F51" s="310" t="s">
        <v>1016</v>
      </c>
      <c r="G51" s="254" t="s">
        <v>1389</v>
      </c>
    </row>
    <row r="52" spans="1:7" s="308" customFormat="1" ht="52.2">
      <c r="A52" s="317"/>
      <c r="B52" s="313" t="s">
        <v>239</v>
      </c>
      <c r="C52" s="316"/>
      <c r="D52" s="310" t="s">
        <v>100</v>
      </c>
      <c r="E52" s="311">
        <f>E51/3</f>
        <v>13500</v>
      </c>
      <c r="F52" s="310" t="s">
        <v>1016</v>
      </c>
      <c r="G52" s="312" t="s">
        <v>1047</v>
      </c>
    </row>
    <row r="53" spans="1:7" s="308" customFormat="1">
      <c r="A53" s="317"/>
      <c r="B53" s="313" t="s">
        <v>172</v>
      </c>
      <c r="C53" s="309" t="s">
        <v>1046</v>
      </c>
      <c r="D53" s="310" t="s">
        <v>998</v>
      </c>
      <c r="E53" s="311">
        <v>82700</v>
      </c>
      <c r="F53" s="310" t="s">
        <v>1002</v>
      </c>
      <c r="G53" s="312" t="s">
        <v>1354</v>
      </c>
    </row>
    <row r="54" spans="1:7" s="308" customFormat="1">
      <c r="A54" s="317"/>
      <c r="B54" s="313" t="s">
        <v>172</v>
      </c>
      <c r="C54" s="309" t="s">
        <v>1554</v>
      </c>
      <c r="D54" s="310" t="s">
        <v>34</v>
      </c>
      <c r="E54" s="311">
        <f>E53/28</f>
        <v>2953.5714285714284</v>
      </c>
      <c r="F54" s="310" t="s">
        <v>1002</v>
      </c>
      <c r="G54" s="312" t="s">
        <v>1354</v>
      </c>
    </row>
    <row r="55" spans="1:7" s="308" customFormat="1">
      <c r="A55" s="317"/>
      <c r="B55" s="313" t="s">
        <v>1048</v>
      </c>
      <c r="C55" s="316" t="s">
        <v>242</v>
      </c>
      <c r="D55" s="310" t="s">
        <v>998</v>
      </c>
      <c r="E55" s="311">
        <v>54300</v>
      </c>
      <c r="F55" s="310" t="s">
        <v>1031</v>
      </c>
      <c r="G55" s="254" t="s">
        <v>1390</v>
      </c>
    </row>
    <row r="56" spans="1:7" s="308" customFormat="1">
      <c r="A56" s="317"/>
      <c r="B56" s="313" t="s">
        <v>1049</v>
      </c>
      <c r="C56" s="316" t="s">
        <v>242</v>
      </c>
      <c r="D56" s="310" t="s">
        <v>998</v>
      </c>
      <c r="E56" s="311">
        <v>210900</v>
      </c>
      <c r="F56" s="310" t="s">
        <v>1016</v>
      </c>
      <c r="G56" s="254" t="s">
        <v>1391</v>
      </c>
    </row>
    <row r="57" spans="1:7" s="308" customFormat="1">
      <c r="A57" s="318"/>
      <c r="B57" s="313" t="s">
        <v>283</v>
      </c>
      <c r="C57" s="316" t="s">
        <v>243</v>
      </c>
      <c r="D57" s="310" t="s">
        <v>39</v>
      </c>
      <c r="E57" s="311">
        <v>420813</v>
      </c>
      <c r="F57" s="310" t="s">
        <v>1004</v>
      </c>
      <c r="G57" s="312" t="s">
        <v>1011</v>
      </c>
    </row>
    <row r="58" spans="1:7" s="308" customFormat="1">
      <c r="A58" s="315"/>
      <c r="B58" s="313" t="s">
        <v>118</v>
      </c>
      <c r="C58" s="316" t="s">
        <v>243</v>
      </c>
      <c r="D58" s="310" t="s">
        <v>37</v>
      </c>
      <c r="E58" s="311">
        <f>88900/(2.35*6)</f>
        <v>6304.9645390070918</v>
      </c>
      <c r="F58" s="310" t="s">
        <v>2416</v>
      </c>
      <c r="G58" s="310" t="s">
        <v>1091</v>
      </c>
    </row>
    <row r="59" spans="1:7" s="308" customFormat="1">
      <c r="A59" s="315"/>
      <c r="B59" s="313" t="s">
        <v>1050</v>
      </c>
      <c r="C59" s="316"/>
      <c r="D59" s="310" t="s">
        <v>37</v>
      </c>
      <c r="E59" s="311">
        <f>184093/(2.35*6)</f>
        <v>13056.241134751772</v>
      </c>
      <c r="F59" s="310" t="s">
        <v>2416</v>
      </c>
      <c r="G59" s="310" t="s">
        <v>1091</v>
      </c>
    </row>
    <row r="60" spans="1:7" s="308" customFormat="1">
      <c r="A60" s="318"/>
      <c r="B60" s="313" t="s">
        <v>1051</v>
      </c>
      <c r="C60" s="316"/>
      <c r="D60" s="310" t="s">
        <v>37</v>
      </c>
      <c r="E60" s="311"/>
      <c r="F60" s="310"/>
      <c r="G60" s="312"/>
    </row>
    <row r="61" spans="1:7" s="308" customFormat="1">
      <c r="A61" s="317"/>
      <c r="B61" s="313" t="s">
        <v>1314</v>
      </c>
      <c r="C61" s="316"/>
      <c r="D61" s="310" t="s">
        <v>998</v>
      </c>
      <c r="E61" s="311">
        <v>489900</v>
      </c>
      <c r="F61" s="310" t="s">
        <v>1016</v>
      </c>
      <c r="G61" s="254" t="s">
        <v>1313</v>
      </c>
    </row>
    <row r="62" spans="1:7" s="308" customFormat="1">
      <c r="A62" s="317"/>
      <c r="B62" s="313" t="s">
        <v>1314</v>
      </c>
      <c r="C62" s="316"/>
      <c r="D62" s="310" t="s">
        <v>100</v>
      </c>
      <c r="E62" s="311">
        <f>E61/100</f>
        <v>4899</v>
      </c>
      <c r="F62" s="310" t="s">
        <v>1016</v>
      </c>
      <c r="G62" s="314" t="s">
        <v>1313</v>
      </c>
    </row>
    <row r="63" spans="1:7" s="308" customFormat="1">
      <c r="A63" s="318"/>
      <c r="B63" s="313" t="s">
        <v>51</v>
      </c>
      <c r="C63" s="316"/>
      <c r="D63" s="310" t="s">
        <v>39</v>
      </c>
      <c r="E63" s="311">
        <v>391352</v>
      </c>
      <c r="F63" s="310" t="s">
        <v>1004</v>
      </c>
      <c r="G63" s="312" t="s">
        <v>1011</v>
      </c>
    </row>
    <row r="64" spans="1:7" s="308" customFormat="1" ht="28.8">
      <c r="A64" s="317"/>
      <c r="B64" s="313" t="s">
        <v>1052</v>
      </c>
      <c r="C64" s="316"/>
      <c r="D64" s="310" t="s">
        <v>34</v>
      </c>
      <c r="E64" s="311">
        <v>8123</v>
      </c>
      <c r="F64" s="310" t="s">
        <v>1016</v>
      </c>
      <c r="G64" s="254" t="s">
        <v>2739</v>
      </c>
    </row>
    <row r="65" spans="1:10" s="308" customFormat="1">
      <c r="A65" s="317"/>
      <c r="B65" s="313" t="s">
        <v>1054</v>
      </c>
      <c r="C65" s="309"/>
      <c r="D65" s="310" t="s">
        <v>54</v>
      </c>
      <c r="E65" s="311">
        <v>14</v>
      </c>
      <c r="F65" s="310" t="s">
        <v>1308</v>
      </c>
      <c r="G65" s="314" t="s">
        <v>1301</v>
      </c>
    </row>
    <row r="66" spans="1:10" s="308" customFormat="1">
      <c r="A66" s="317"/>
      <c r="B66" s="313" t="s">
        <v>1055</v>
      </c>
      <c r="C66" s="316"/>
      <c r="D66" s="310" t="s">
        <v>998</v>
      </c>
      <c r="E66" s="311">
        <v>40900</v>
      </c>
      <c r="F66" s="310" t="s">
        <v>1016</v>
      </c>
      <c r="G66" s="254" t="s">
        <v>1366</v>
      </c>
    </row>
    <row r="67" spans="1:10" s="308" customFormat="1">
      <c r="A67" s="315"/>
      <c r="B67" s="313" t="s">
        <v>1056</v>
      </c>
      <c r="C67" s="316"/>
      <c r="D67" s="310" t="s">
        <v>998</v>
      </c>
      <c r="E67" s="311">
        <v>88900</v>
      </c>
      <c r="F67" s="310" t="s">
        <v>1016</v>
      </c>
      <c r="G67" s="254" t="s">
        <v>1365</v>
      </c>
    </row>
    <row r="68" spans="1:10" s="308" customFormat="1">
      <c r="A68" s="317"/>
      <c r="B68" s="313" t="s">
        <v>1056</v>
      </c>
      <c r="C68" s="316"/>
      <c r="D68" s="310" t="s">
        <v>34</v>
      </c>
      <c r="E68" s="311">
        <f>E67/4</f>
        <v>22225</v>
      </c>
      <c r="F68" s="310" t="s">
        <v>1016</v>
      </c>
      <c r="G68" s="254" t="s">
        <v>1365</v>
      </c>
    </row>
    <row r="69" spans="1:10" s="308" customFormat="1">
      <c r="A69" s="317"/>
      <c r="B69" s="313" t="s">
        <v>107</v>
      </c>
      <c r="C69" s="316"/>
      <c r="D69" s="310" t="s">
        <v>998</v>
      </c>
      <c r="E69" s="311">
        <v>37900</v>
      </c>
      <c r="F69" s="310" t="s">
        <v>1016</v>
      </c>
      <c r="G69" s="254" t="s">
        <v>1374</v>
      </c>
    </row>
    <row r="70" spans="1:10" s="308" customFormat="1">
      <c r="A70" s="317"/>
      <c r="B70" s="313" t="s">
        <v>91</v>
      </c>
      <c r="C70" s="316"/>
      <c r="D70" s="310" t="s">
        <v>39</v>
      </c>
      <c r="E70" s="311">
        <v>688700</v>
      </c>
      <c r="F70" s="310" t="s">
        <v>1009</v>
      </c>
      <c r="G70" s="254" t="s">
        <v>1359</v>
      </c>
    </row>
    <row r="71" spans="1:10" s="308" customFormat="1" ht="82.5" customHeight="1">
      <c r="A71" s="317"/>
      <c r="B71" s="313" t="s">
        <v>1057</v>
      </c>
      <c r="C71" s="316"/>
      <c r="D71" s="310" t="s">
        <v>998</v>
      </c>
      <c r="E71" s="311">
        <v>33500</v>
      </c>
      <c r="F71" s="310" t="s">
        <v>2671</v>
      </c>
      <c r="G71" s="254" t="s">
        <v>2672</v>
      </c>
    </row>
    <row r="72" spans="1:10" s="308" customFormat="1">
      <c r="A72" s="317"/>
      <c r="B72" s="313" t="s">
        <v>1058</v>
      </c>
      <c r="C72" s="316"/>
      <c r="D72" s="310" t="s">
        <v>998</v>
      </c>
      <c r="E72" s="311">
        <v>9000</v>
      </c>
      <c r="F72" s="310" t="s">
        <v>1016</v>
      </c>
      <c r="G72" s="254" t="s">
        <v>1392</v>
      </c>
    </row>
    <row r="73" spans="1:10" s="308" customFormat="1">
      <c r="A73" s="317"/>
      <c r="B73" s="313" t="s">
        <v>1059</v>
      </c>
      <c r="C73" s="316"/>
      <c r="D73" s="310" t="s">
        <v>37</v>
      </c>
      <c r="E73" s="311">
        <f>E74/(6*2.35)</f>
        <v>28113.475177304961</v>
      </c>
      <c r="F73" s="310" t="s">
        <v>2416</v>
      </c>
      <c r="G73" s="310" t="s">
        <v>1091</v>
      </c>
      <c r="J73" s="308">
        <v>3134180525</v>
      </c>
    </row>
    <row r="74" spans="1:10" s="308" customFormat="1">
      <c r="A74" s="317"/>
      <c r="B74" s="313" t="s">
        <v>1059</v>
      </c>
      <c r="C74" s="316"/>
      <c r="D74" s="310" t="s">
        <v>998</v>
      </c>
      <c r="E74" s="311">
        <v>396400</v>
      </c>
      <c r="F74" s="310" t="s">
        <v>2416</v>
      </c>
      <c r="G74" s="310" t="s">
        <v>1091</v>
      </c>
    </row>
    <row r="75" spans="1:10" s="308" customFormat="1">
      <c r="A75" s="317"/>
      <c r="B75" s="313" t="s">
        <v>1060</v>
      </c>
      <c r="C75" s="316"/>
      <c r="D75" s="310" t="s">
        <v>998</v>
      </c>
      <c r="E75" s="311">
        <v>8800</v>
      </c>
      <c r="F75" s="310" t="s">
        <v>1016</v>
      </c>
      <c r="G75" s="254" t="s">
        <v>1393</v>
      </c>
    </row>
    <row r="76" spans="1:10" s="308" customFormat="1">
      <c r="A76" s="317"/>
      <c r="B76" s="313" t="s">
        <v>1061</v>
      </c>
      <c r="C76" s="316"/>
      <c r="D76" s="310" t="s">
        <v>998</v>
      </c>
      <c r="E76" s="311">
        <v>172900</v>
      </c>
      <c r="F76" s="310" t="s">
        <v>1016</v>
      </c>
      <c r="G76" s="254" t="s">
        <v>1360</v>
      </c>
    </row>
    <row r="77" spans="1:10" s="308" customFormat="1">
      <c r="A77" s="317"/>
      <c r="B77" s="313" t="s">
        <v>1062</v>
      </c>
      <c r="C77" s="316"/>
      <c r="D77" s="310" t="s">
        <v>100</v>
      </c>
      <c r="E77" s="311">
        <v>3082</v>
      </c>
      <c r="F77" s="310" t="s">
        <v>1016</v>
      </c>
      <c r="G77" s="254" t="s">
        <v>1394</v>
      </c>
    </row>
    <row r="78" spans="1:10" s="308" customFormat="1">
      <c r="A78" s="317"/>
      <c r="B78" s="313" t="s">
        <v>1063</v>
      </c>
      <c r="C78" s="316"/>
      <c r="D78" s="310" t="s">
        <v>188</v>
      </c>
      <c r="E78" s="311">
        <f>E79/0.75</f>
        <v>13733.333333333334</v>
      </c>
      <c r="F78" s="310" t="s">
        <v>1053</v>
      </c>
      <c r="G78" s="254" t="s">
        <v>1358</v>
      </c>
    </row>
    <row r="79" spans="1:10" s="308" customFormat="1">
      <c r="A79" s="317"/>
      <c r="B79" s="313" t="s">
        <v>1064</v>
      </c>
      <c r="C79" s="316"/>
      <c r="D79" s="310" t="s">
        <v>998</v>
      </c>
      <c r="E79" s="311">
        <v>10300</v>
      </c>
      <c r="F79" s="310" t="s">
        <v>1053</v>
      </c>
      <c r="G79" s="254" t="s">
        <v>1358</v>
      </c>
    </row>
    <row r="80" spans="1:10" s="308" customFormat="1">
      <c r="A80" s="317"/>
      <c r="B80" s="313" t="s">
        <v>1065</v>
      </c>
      <c r="C80" s="316"/>
      <c r="D80" s="310" t="s">
        <v>998</v>
      </c>
      <c r="E80" s="311">
        <v>67000</v>
      </c>
      <c r="F80" s="310" t="s">
        <v>1420</v>
      </c>
      <c r="G80" s="312" t="s">
        <v>1354</v>
      </c>
    </row>
    <row r="81" spans="1:7" s="308" customFormat="1" ht="34.799999999999997">
      <c r="A81" s="315"/>
      <c r="B81" s="313" t="s">
        <v>1066</v>
      </c>
      <c r="C81" s="316"/>
      <c r="D81" s="310" t="s">
        <v>998</v>
      </c>
      <c r="E81" s="311">
        <v>101900</v>
      </c>
      <c r="F81" s="310" t="s">
        <v>1002</v>
      </c>
      <c r="G81" s="312" t="s">
        <v>1354</v>
      </c>
    </row>
    <row r="82" spans="1:7" s="308" customFormat="1">
      <c r="A82" s="315"/>
      <c r="B82" s="313" t="s">
        <v>278</v>
      </c>
      <c r="C82" s="316"/>
      <c r="D82" s="310" t="s">
        <v>998</v>
      </c>
      <c r="E82" s="311">
        <v>1350</v>
      </c>
      <c r="F82" s="310" t="s">
        <v>1016</v>
      </c>
      <c r="G82" s="254" t="s">
        <v>1395</v>
      </c>
    </row>
    <row r="83" spans="1:7" s="308" customFormat="1" ht="43.2">
      <c r="A83" s="315"/>
      <c r="B83" s="313" t="s">
        <v>1067</v>
      </c>
      <c r="C83" s="316"/>
      <c r="D83" s="310" t="s">
        <v>998</v>
      </c>
      <c r="E83" s="311">
        <v>35700</v>
      </c>
      <c r="F83" s="310" t="s">
        <v>1016</v>
      </c>
      <c r="G83" s="254" t="s">
        <v>2740</v>
      </c>
    </row>
    <row r="84" spans="1:7" s="308" customFormat="1" ht="43.2">
      <c r="A84" s="317"/>
      <c r="B84" s="313" t="s">
        <v>295</v>
      </c>
      <c r="C84" s="316"/>
      <c r="D84" s="310" t="s">
        <v>998</v>
      </c>
      <c r="E84" s="311">
        <v>1700</v>
      </c>
      <c r="F84" s="310" t="s">
        <v>1016</v>
      </c>
      <c r="G84" s="254" t="s">
        <v>1396</v>
      </c>
    </row>
    <row r="85" spans="1:7" s="308" customFormat="1">
      <c r="A85" s="317"/>
      <c r="B85" s="313" t="s">
        <v>1068</v>
      </c>
      <c r="C85" s="316"/>
      <c r="D85" s="310" t="s">
        <v>998</v>
      </c>
      <c r="E85" s="311">
        <v>34900</v>
      </c>
      <c r="F85" s="310" t="s">
        <v>1016</v>
      </c>
      <c r="G85" s="254" t="s">
        <v>1397</v>
      </c>
    </row>
    <row r="86" spans="1:7" s="308" customFormat="1">
      <c r="A86" s="317"/>
      <c r="B86" s="313" t="s">
        <v>1069</v>
      </c>
      <c r="C86" s="316"/>
      <c r="D86" s="310" t="s">
        <v>998</v>
      </c>
      <c r="E86" s="311">
        <v>162900</v>
      </c>
      <c r="F86" s="310" t="s">
        <v>1016</v>
      </c>
      <c r="G86" s="254" t="s">
        <v>1398</v>
      </c>
    </row>
    <row r="87" spans="1:7" s="308" customFormat="1" ht="43.2">
      <c r="A87" s="317"/>
      <c r="B87" s="313" t="s">
        <v>1070</v>
      </c>
      <c r="C87" s="316"/>
      <c r="D87" s="310" t="s">
        <v>998</v>
      </c>
      <c r="E87" s="311">
        <v>427900</v>
      </c>
      <c r="F87" s="310" t="s">
        <v>1016</v>
      </c>
      <c r="G87" s="254" t="s">
        <v>1399</v>
      </c>
    </row>
    <row r="88" spans="1:7" s="308" customFormat="1" ht="28.8">
      <c r="A88" s="317"/>
      <c r="B88" s="313" t="s">
        <v>1071</v>
      </c>
      <c r="C88" s="316"/>
      <c r="D88" s="310" t="s">
        <v>1072</v>
      </c>
      <c r="E88" s="311">
        <v>122500</v>
      </c>
      <c r="F88" s="310" t="s">
        <v>1016</v>
      </c>
      <c r="G88" s="254" t="s">
        <v>1400</v>
      </c>
    </row>
    <row r="89" spans="1:7" s="308" customFormat="1" ht="36" customHeight="1">
      <c r="A89" s="338"/>
      <c r="B89" s="313" t="s">
        <v>2390</v>
      </c>
      <c r="C89" s="316"/>
      <c r="D89" s="310" t="s">
        <v>37</v>
      </c>
      <c r="E89" s="311">
        <v>98100</v>
      </c>
      <c r="F89" s="310" t="s">
        <v>2388</v>
      </c>
      <c r="G89" s="254" t="s">
        <v>2389</v>
      </c>
    </row>
    <row r="90" spans="1:7" s="308" customFormat="1" ht="28.8">
      <c r="A90" s="317"/>
      <c r="B90" s="313" t="s">
        <v>1073</v>
      </c>
      <c r="C90" s="316"/>
      <c r="D90" s="310" t="s">
        <v>998</v>
      </c>
      <c r="E90" s="311">
        <f>E91/(24*12)</f>
        <v>6169.791666666667</v>
      </c>
      <c r="F90" s="310" t="s">
        <v>1016</v>
      </c>
      <c r="G90" s="254" t="s">
        <v>1421</v>
      </c>
    </row>
    <row r="91" spans="1:7" s="308" customFormat="1" ht="28.8">
      <c r="A91" s="317"/>
      <c r="B91" s="313" t="s">
        <v>1073</v>
      </c>
      <c r="C91" s="316"/>
      <c r="D91" s="310" t="s">
        <v>1074</v>
      </c>
      <c r="E91" s="311">
        <v>1776900</v>
      </c>
      <c r="F91" s="310" t="s">
        <v>1016</v>
      </c>
      <c r="G91" s="254" t="s">
        <v>1422</v>
      </c>
    </row>
    <row r="92" spans="1:7" s="308" customFormat="1" ht="28.8">
      <c r="A92" s="317"/>
      <c r="B92" s="313" t="s">
        <v>1075</v>
      </c>
      <c r="C92" s="316"/>
      <c r="D92" s="310" t="s">
        <v>100</v>
      </c>
      <c r="E92" s="311">
        <v>47500</v>
      </c>
      <c r="F92" s="310" t="s">
        <v>1016</v>
      </c>
      <c r="G92" s="254" t="s">
        <v>1401</v>
      </c>
    </row>
    <row r="93" spans="1:7" s="308" customFormat="1">
      <c r="A93" s="317"/>
      <c r="B93" s="313" t="s">
        <v>1076</v>
      </c>
      <c r="C93" s="316"/>
      <c r="D93" s="310" t="s">
        <v>190</v>
      </c>
      <c r="E93" s="311">
        <v>29900</v>
      </c>
      <c r="F93" s="310" t="s">
        <v>1016</v>
      </c>
      <c r="G93" s="254" t="s">
        <v>1402</v>
      </c>
    </row>
    <row r="94" spans="1:7" s="308" customFormat="1" ht="28.8">
      <c r="A94" s="317"/>
      <c r="B94" s="313" t="s">
        <v>1077</v>
      </c>
      <c r="C94" s="316"/>
      <c r="D94" s="310" t="s">
        <v>39</v>
      </c>
      <c r="E94" s="311">
        <v>364596.67</v>
      </c>
      <c r="F94" s="310" t="s">
        <v>1078</v>
      </c>
      <c r="G94" s="254" t="s">
        <v>1403</v>
      </c>
    </row>
    <row r="95" spans="1:7" s="308" customFormat="1">
      <c r="A95" s="317"/>
      <c r="B95" s="313" t="s">
        <v>1079</v>
      </c>
      <c r="C95" s="316"/>
      <c r="D95" s="310" t="s">
        <v>190</v>
      </c>
      <c r="E95" s="311">
        <v>72900</v>
      </c>
      <c r="F95" s="310" t="s">
        <v>1016</v>
      </c>
      <c r="G95" s="254" t="s">
        <v>1404</v>
      </c>
    </row>
    <row r="96" spans="1:7" s="308" customFormat="1">
      <c r="A96" s="317"/>
      <c r="B96" s="313" t="s">
        <v>1405</v>
      </c>
      <c r="C96" s="316"/>
      <c r="D96" s="310" t="s">
        <v>37</v>
      </c>
      <c r="E96" s="311">
        <v>1567</v>
      </c>
      <c r="F96" s="310" t="s">
        <v>1016</v>
      </c>
      <c r="G96" s="314" t="s">
        <v>1300</v>
      </c>
    </row>
    <row r="97" spans="1:7" s="308" customFormat="1">
      <c r="A97" s="315"/>
      <c r="B97" s="313" t="s">
        <v>1080</v>
      </c>
      <c r="C97" s="316"/>
      <c r="D97" s="310" t="s">
        <v>998</v>
      </c>
      <c r="E97" s="311">
        <v>704900</v>
      </c>
      <c r="F97" s="310" t="s">
        <v>1016</v>
      </c>
      <c r="G97" s="314" t="s">
        <v>1423</v>
      </c>
    </row>
    <row r="98" spans="1:7" s="308" customFormat="1">
      <c r="A98" s="315"/>
      <c r="B98" s="313" t="s">
        <v>1081</v>
      </c>
      <c r="C98" s="316"/>
      <c r="D98" s="310" t="s">
        <v>998</v>
      </c>
      <c r="E98" s="311">
        <v>16000</v>
      </c>
      <c r="F98" s="310" t="s">
        <v>1082</v>
      </c>
      <c r="G98" s="254" t="s">
        <v>1406</v>
      </c>
    </row>
    <row r="99" spans="1:7" s="308" customFormat="1">
      <c r="A99" s="315"/>
      <c r="B99" s="313" t="s">
        <v>1083</v>
      </c>
      <c r="C99" s="316"/>
      <c r="D99" s="310" t="s">
        <v>998</v>
      </c>
      <c r="E99" s="311">
        <v>1775</v>
      </c>
      <c r="F99" s="310" t="s">
        <v>1039</v>
      </c>
      <c r="G99" s="312" t="s">
        <v>1091</v>
      </c>
    </row>
    <row r="100" spans="1:7" s="308" customFormat="1">
      <c r="A100" s="315"/>
      <c r="B100" s="313" t="s">
        <v>1084</v>
      </c>
      <c r="C100" s="316"/>
      <c r="D100" s="310" t="s">
        <v>998</v>
      </c>
      <c r="E100" s="311">
        <v>49900</v>
      </c>
      <c r="F100" s="310" t="s">
        <v>1016</v>
      </c>
      <c r="G100" s="254" t="s">
        <v>1407</v>
      </c>
    </row>
    <row r="101" spans="1:7" s="308" customFormat="1">
      <c r="A101" s="315"/>
      <c r="B101" s="313" t="s">
        <v>2436</v>
      </c>
      <c r="C101" s="316"/>
      <c r="D101" s="310" t="s">
        <v>998</v>
      </c>
      <c r="E101" s="311">
        <v>57900</v>
      </c>
      <c r="F101" s="310" t="s">
        <v>1016</v>
      </c>
      <c r="G101" s="254" t="s">
        <v>1408</v>
      </c>
    </row>
    <row r="102" spans="1:7" s="308" customFormat="1">
      <c r="A102" s="317"/>
      <c r="B102" s="313" t="s">
        <v>381</v>
      </c>
      <c r="C102" s="316"/>
      <c r="D102" s="310" t="s">
        <v>998</v>
      </c>
      <c r="E102" s="311">
        <v>27650</v>
      </c>
      <c r="F102" s="310" t="s">
        <v>1098</v>
      </c>
      <c r="G102" s="254" t="s">
        <v>1409</v>
      </c>
    </row>
    <row r="103" spans="1:7" s="308" customFormat="1" ht="43.2">
      <c r="A103" s="317"/>
      <c r="B103" s="313" t="s">
        <v>382</v>
      </c>
      <c r="C103" s="316"/>
      <c r="D103" s="310" t="s">
        <v>998</v>
      </c>
      <c r="E103" s="311">
        <v>47900</v>
      </c>
      <c r="F103" s="310" t="s">
        <v>1016</v>
      </c>
      <c r="G103" s="254" t="s">
        <v>1410</v>
      </c>
    </row>
    <row r="104" spans="1:7" s="308" customFormat="1" ht="28.8">
      <c r="A104" s="317"/>
      <c r="B104" s="313" t="s">
        <v>1085</v>
      </c>
      <c r="C104" s="316"/>
      <c r="D104" s="310" t="s">
        <v>998</v>
      </c>
      <c r="E104" s="311">
        <v>136900</v>
      </c>
      <c r="F104" s="310" t="s">
        <v>1016</v>
      </c>
      <c r="G104" s="254" t="s">
        <v>1411</v>
      </c>
    </row>
    <row r="105" spans="1:7" s="308" customFormat="1">
      <c r="A105" s="317"/>
      <c r="B105" s="313" t="s">
        <v>395</v>
      </c>
      <c r="C105" s="316"/>
      <c r="D105" s="310" t="s">
        <v>998</v>
      </c>
      <c r="E105" s="311">
        <v>67900</v>
      </c>
      <c r="F105" s="310" t="s">
        <v>1016</v>
      </c>
      <c r="G105" s="254" t="s">
        <v>1412</v>
      </c>
    </row>
    <row r="106" spans="1:7" s="308" customFormat="1" ht="39.75" customHeight="1">
      <c r="A106" s="317"/>
      <c r="B106" s="313" t="s">
        <v>1086</v>
      </c>
      <c r="C106" s="316"/>
      <c r="D106" s="310" t="s">
        <v>998</v>
      </c>
      <c r="E106" s="311">
        <v>294900</v>
      </c>
      <c r="F106" s="310" t="s">
        <v>1016</v>
      </c>
      <c r="G106" s="254" t="s">
        <v>1413</v>
      </c>
    </row>
    <row r="107" spans="1:7" s="308" customFormat="1">
      <c r="A107" s="315"/>
      <c r="B107" s="313" t="s">
        <v>1087</v>
      </c>
      <c r="C107" s="316"/>
      <c r="D107" s="310" t="s">
        <v>998</v>
      </c>
      <c r="E107" s="311">
        <v>21900</v>
      </c>
      <c r="F107" s="310" t="s">
        <v>1016</v>
      </c>
      <c r="G107" s="254" t="s">
        <v>1424</v>
      </c>
    </row>
    <row r="108" spans="1:7" s="308" customFormat="1">
      <c r="A108" s="318"/>
      <c r="B108" s="313" t="s">
        <v>1088</v>
      </c>
      <c r="C108" s="316"/>
      <c r="D108" s="310" t="s">
        <v>37</v>
      </c>
      <c r="E108" s="311">
        <v>24500</v>
      </c>
      <c r="F108" s="310" t="s">
        <v>1016</v>
      </c>
      <c r="G108" s="310" t="s">
        <v>1004</v>
      </c>
    </row>
    <row r="109" spans="1:7" s="308" customFormat="1">
      <c r="A109" s="315"/>
      <c r="B109" s="313" t="s">
        <v>1089</v>
      </c>
      <c r="C109" s="316"/>
      <c r="D109" s="310" t="s">
        <v>998</v>
      </c>
      <c r="E109" s="311">
        <v>6300</v>
      </c>
      <c r="F109" s="310" t="s">
        <v>1016</v>
      </c>
      <c r="G109" s="254" t="s">
        <v>1425</v>
      </c>
    </row>
    <row r="110" spans="1:7" s="308" customFormat="1">
      <c r="A110" s="317"/>
      <c r="B110" s="313" t="s">
        <v>348</v>
      </c>
      <c r="C110" s="316"/>
      <c r="D110" s="310" t="s">
        <v>37</v>
      </c>
      <c r="E110" s="324">
        <f>611000/3.66</f>
        <v>166939.89071038252</v>
      </c>
      <c r="F110" s="310" t="s">
        <v>1090</v>
      </c>
      <c r="G110" s="312" t="s">
        <v>2409</v>
      </c>
    </row>
    <row r="111" spans="1:7" s="308" customFormat="1">
      <c r="A111" s="317"/>
      <c r="B111" s="313" t="s">
        <v>1426</v>
      </c>
      <c r="C111" s="316"/>
      <c r="D111" s="310" t="s">
        <v>998</v>
      </c>
      <c r="E111" s="311">
        <f>370000*1.19</f>
        <v>440300</v>
      </c>
      <c r="F111" s="310" t="s">
        <v>1092</v>
      </c>
      <c r="G111" s="310" t="s">
        <v>1091</v>
      </c>
    </row>
    <row r="112" spans="1:7" s="308" customFormat="1">
      <c r="A112" s="315"/>
      <c r="B112" s="313" t="s">
        <v>1427</v>
      </c>
      <c r="C112" s="316"/>
      <c r="D112" s="310" t="s">
        <v>998</v>
      </c>
      <c r="E112" s="311">
        <f>155600*1.19</f>
        <v>185164</v>
      </c>
      <c r="F112" s="310" t="s">
        <v>1092</v>
      </c>
      <c r="G112" s="310" t="s">
        <v>1091</v>
      </c>
    </row>
    <row r="113" spans="1:7" s="308" customFormat="1" ht="34.799999999999997">
      <c r="A113" s="315"/>
      <c r="B113" s="313" t="s">
        <v>1093</v>
      </c>
      <c r="C113" s="316"/>
      <c r="D113" s="310" t="s">
        <v>998</v>
      </c>
      <c r="E113" s="311">
        <v>44900</v>
      </c>
      <c r="F113" s="310" t="s">
        <v>1016</v>
      </c>
      <c r="G113" s="312" t="s">
        <v>1094</v>
      </c>
    </row>
    <row r="114" spans="1:7" s="308" customFormat="1" ht="28.8">
      <c r="A114" s="315"/>
      <c r="B114" s="313" t="s">
        <v>450</v>
      </c>
      <c r="C114" s="319"/>
      <c r="D114" s="310" t="s">
        <v>998</v>
      </c>
      <c r="E114" s="311">
        <v>13900</v>
      </c>
      <c r="F114" s="310" t="s">
        <v>1016</v>
      </c>
      <c r="G114" s="254" t="s">
        <v>1428</v>
      </c>
    </row>
    <row r="115" spans="1:7" s="308" customFormat="1" ht="45.75" customHeight="1">
      <c r="A115" s="315"/>
      <c r="B115" s="313" t="s">
        <v>2429</v>
      </c>
      <c r="C115" s="316"/>
      <c r="D115" s="310" t="s">
        <v>998</v>
      </c>
      <c r="E115" s="311">
        <v>201400</v>
      </c>
      <c r="F115" s="310" t="s">
        <v>1016</v>
      </c>
      <c r="G115" s="254" t="s">
        <v>2428</v>
      </c>
    </row>
    <row r="116" spans="1:7" s="308" customFormat="1">
      <c r="A116" s="315"/>
      <c r="B116" s="313" t="s">
        <v>1095</v>
      </c>
      <c r="C116" s="316"/>
      <c r="D116" s="310" t="s">
        <v>998</v>
      </c>
      <c r="E116" s="311">
        <v>90900</v>
      </c>
      <c r="F116" s="310" t="s">
        <v>1016</v>
      </c>
      <c r="G116" s="254" t="s">
        <v>1429</v>
      </c>
    </row>
    <row r="117" spans="1:7" s="308" customFormat="1">
      <c r="A117" s="315"/>
      <c r="B117" s="313" t="s">
        <v>1096</v>
      </c>
      <c r="C117" s="316"/>
      <c r="D117" s="310" t="s">
        <v>998</v>
      </c>
      <c r="E117" s="311">
        <v>450</v>
      </c>
      <c r="F117" s="310" t="s">
        <v>1016</v>
      </c>
      <c r="G117" s="254" t="s">
        <v>1430</v>
      </c>
    </row>
    <row r="118" spans="1:7" s="308" customFormat="1" ht="34.799999999999997">
      <c r="A118" s="315"/>
      <c r="B118" s="313" t="s">
        <v>1097</v>
      </c>
      <c r="C118" s="316"/>
      <c r="D118" s="310" t="s">
        <v>998</v>
      </c>
      <c r="E118" s="311">
        <v>610700</v>
      </c>
      <c r="F118" s="310" t="s">
        <v>1098</v>
      </c>
      <c r="G118" s="312" t="s">
        <v>1099</v>
      </c>
    </row>
    <row r="119" spans="1:7" s="308" customFormat="1">
      <c r="A119" s="315"/>
      <c r="B119" s="313" t="s">
        <v>1100</v>
      </c>
      <c r="C119" s="316"/>
      <c r="D119" s="310" t="s">
        <v>998</v>
      </c>
      <c r="E119" s="311">
        <v>2330000</v>
      </c>
      <c r="F119" s="310" t="s">
        <v>1456</v>
      </c>
      <c r="G119" s="312" t="s">
        <v>1091</v>
      </c>
    </row>
    <row r="120" spans="1:7" s="308" customFormat="1">
      <c r="A120" s="315"/>
      <c r="B120" s="313" t="s">
        <v>1101</v>
      </c>
      <c r="C120" s="316"/>
      <c r="D120" s="310" t="s">
        <v>998</v>
      </c>
      <c r="E120" s="311">
        <v>260900</v>
      </c>
      <c r="F120" s="310" t="s">
        <v>1016</v>
      </c>
      <c r="G120" s="254" t="s">
        <v>1431</v>
      </c>
    </row>
    <row r="121" spans="1:7" s="308" customFormat="1">
      <c r="A121" s="315"/>
      <c r="B121" s="313" t="s">
        <v>1102</v>
      </c>
      <c r="C121" s="316"/>
      <c r="D121" s="310" t="s">
        <v>998</v>
      </c>
      <c r="E121" s="311">
        <v>59100</v>
      </c>
      <c r="F121" s="310" t="s">
        <v>1016</v>
      </c>
      <c r="G121" s="254" t="s">
        <v>1432</v>
      </c>
    </row>
    <row r="122" spans="1:7" s="308" customFormat="1" ht="78.75" customHeight="1">
      <c r="A122" s="315"/>
      <c r="B122" s="313" t="s">
        <v>1558</v>
      </c>
      <c r="C122" s="316"/>
      <c r="D122" s="310" t="s">
        <v>998</v>
      </c>
      <c r="E122" s="311">
        <v>197600</v>
      </c>
      <c r="F122" s="310" t="s">
        <v>1016</v>
      </c>
      <c r="G122" s="254" t="s">
        <v>1557</v>
      </c>
    </row>
    <row r="123" spans="1:7" s="308" customFormat="1" ht="78.75" customHeight="1">
      <c r="A123" s="315"/>
      <c r="B123" s="313" t="s">
        <v>1558</v>
      </c>
      <c r="C123" s="316"/>
      <c r="D123" s="310" t="s">
        <v>37</v>
      </c>
      <c r="E123" s="311">
        <f>E122/(2.44*1.22)</f>
        <v>66380.005374899221</v>
      </c>
      <c r="F123" s="310" t="s">
        <v>1016</v>
      </c>
      <c r="G123" s="254" t="s">
        <v>1557</v>
      </c>
    </row>
    <row r="124" spans="1:7" s="308" customFormat="1">
      <c r="A124" s="315"/>
      <c r="B124" s="313" t="s">
        <v>1103</v>
      </c>
      <c r="C124" s="316"/>
      <c r="D124" s="310" t="s">
        <v>998</v>
      </c>
      <c r="E124" s="311">
        <v>6100</v>
      </c>
      <c r="F124" s="310" t="s">
        <v>1016</v>
      </c>
      <c r="G124" s="254" t="s">
        <v>1433</v>
      </c>
    </row>
    <row r="125" spans="1:7" s="308" customFormat="1">
      <c r="A125" s="315"/>
      <c r="B125" s="313" t="s">
        <v>374</v>
      </c>
      <c r="C125" s="316"/>
      <c r="D125" s="310" t="s">
        <v>998</v>
      </c>
      <c r="E125" s="311">
        <v>1250</v>
      </c>
      <c r="F125" s="310" t="s">
        <v>1016</v>
      </c>
      <c r="G125" s="254" t="s">
        <v>1434</v>
      </c>
    </row>
    <row r="126" spans="1:7" s="308" customFormat="1">
      <c r="A126" s="315"/>
      <c r="B126" s="313" t="s">
        <v>1104</v>
      </c>
      <c r="C126" s="316"/>
      <c r="D126" s="310" t="s">
        <v>998</v>
      </c>
      <c r="E126" s="311">
        <v>3224</v>
      </c>
      <c r="F126" s="310" t="s">
        <v>1016</v>
      </c>
      <c r="G126" s="254" t="s">
        <v>1435</v>
      </c>
    </row>
    <row r="127" spans="1:7" s="308" customFormat="1">
      <c r="A127" s="315"/>
      <c r="B127" s="313" t="s">
        <v>1105</v>
      </c>
      <c r="C127" s="316"/>
      <c r="D127" s="310" t="s">
        <v>100</v>
      </c>
      <c r="E127" s="311">
        <f>10400/90</f>
        <v>115.55555555555556</v>
      </c>
      <c r="F127" s="310" t="s">
        <v>1016</v>
      </c>
      <c r="G127" s="254" t="s">
        <v>1436</v>
      </c>
    </row>
    <row r="128" spans="1:7" s="308" customFormat="1">
      <c r="A128" s="315"/>
      <c r="B128" s="313" t="s">
        <v>502</v>
      </c>
      <c r="C128" s="316"/>
      <c r="D128" s="310" t="s">
        <v>998</v>
      </c>
      <c r="E128" s="311">
        <v>45600</v>
      </c>
      <c r="F128" s="310" t="s">
        <v>1016</v>
      </c>
      <c r="G128" s="254" t="s">
        <v>1437</v>
      </c>
    </row>
    <row r="129" spans="1:7" s="308" customFormat="1">
      <c r="A129" s="315"/>
      <c r="B129" s="313" t="s">
        <v>502</v>
      </c>
      <c r="C129" s="316"/>
      <c r="D129" s="310" t="s">
        <v>37</v>
      </c>
      <c r="E129" s="311">
        <v>52560</v>
      </c>
      <c r="F129" s="310" t="s">
        <v>1016</v>
      </c>
      <c r="G129" s="254" t="s">
        <v>1106</v>
      </c>
    </row>
    <row r="130" spans="1:7" s="308" customFormat="1" ht="34.799999999999997">
      <c r="A130" s="315"/>
      <c r="B130" s="313" t="s">
        <v>1107</v>
      </c>
      <c r="C130" s="316"/>
      <c r="D130" s="310" t="s">
        <v>998</v>
      </c>
      <c r="E130" s="311">
        <v>152000</v>
      </c>
      <c r="F130" s="310" t="s">
        <v>1016</v>
      </c>
      <c r="G130" s="314" t="s">
        <v>1311</v>
      </c>
    </row>
    <row r="131" spans="1:7" s="308" customFormat="1" ht="34.799999999999997">
      <c r="A131" s="317"/>
      <c r="B131" s="313" t="s">
        <v>1307</v>
      </c>
      <c r="C131" s="316"/>
      <c r="D131" s="310" t="s">
        <v>998</v>
      </c>
      <c r="E131" s="311">
        <v>61450</v>
      </c>
      <c r="F131" s="310" t="s">
        <v>1016</v>
      </c>
      <c r="G131" s="314" t="s">
        <v>1306</v>
      </c>
    </row>
    <row r="132" spans="1:7" s="308" customFormat="1">
      <c r="A132" s="315"/>
      <c r="B132" s="313" t="s">
        <v>1108</v>
      </c>
      <c r="C132" s="316"/>
      <c r="D132" s="310" t="s">
        <v>998</v>
      </c>
      <c r="E132" s="311">
        <v>270000</v>
      </c>
      <c r="F132" s="310" t="s">
        <v>1004</v>
      </c>
      <c r="G132" s="310" t="s">
        <v>1004</v>
      </c>
    </row>
    <row r="133" spans="1:7" s="308" customFormat="1" ht="69.599999999999994">
      <c r="A133" s="317"/>
      <c r="B133" s="313" t="s">
        <v>35</v>
      </c>
      <c r="C133" s="316"/>
      <c r="D133" s="310" t="s">
        <v>998</v>
      </c>
      <c r="E133" s="311">
        <v>239900</v>
      </c>
      <c r="F133" s="310" t="s">
        <v>1016</v>
      </c>
      <c r="G133" s="320" t="s">
        <v>1299</v>
      </c>
    </row>
    <row r="134" spans="1:7" s="308" customFormat="1" ht="34.799999999999997">
      <c r="A134" s="317"/>
      <c r="B134" s="313" t="s">
        <v>43</v>
      </c>
      <c r="C134" s="316"/>
      <c r="D134" s="310" t="s">
        <v>998</v>
      </c>
      <c r="E134" s="311">
        <v>12300</v>
      </c>
      <c r="F134" s="310" t="s">
        <v>1016</v>
      </c>
      <c r="G134" s="314" t="s">
        <v>1302</v>
      </c>
    </row>
    <row r="135" spans="1:7" s="308" customFormat="1">
      <c r="A135" s="317"/>
      <c r="B135" s="313" t="s">
        <v>44</v>
      </c>
      <c r="C135" s="316"/>
      <c r="D135" s="310" t="s">
        <v>100</v>
      </c>
      <c r="E135" s="311">
        <v>2679</v>
      </c>
      <c r="F135" s="310" t="s">
        <v>1053</v>
      </c>
      <c r="G135" s="314" t="s">
        <v>1303</v>
      </c>
    </row>
    <row r="136" spans="1:7" s="308" customFormat="1">
      <c r="A136" s="315"/>
      <c r="B136" s="313" t="s">
        <v>1109</v>
      </c>
      <c r="C136" s="316"/>
      <c r="D136" s="310" t="s">
        <v>998</v>
      </c>
      <c r="E136" s="311">
        <v>9100</v>
      </c>
      <c r="F136" s="310" t="s">
        <v>1016</v>
      </c>
      <c r="G136" s="314"/>
    </row>
    <row r="137" spans="1:7" s="308" customFormat="1" ht="34.799999999999997">
      <c r="A137" s="315"/>
      <c r="B137" s="313" t="s">
        <v>1305</v>
      </c>
      <c r="C137" s="316"/>
      <c r="D137" s="310" t="s">
        <v>998</v>
      </c>
      <c r="E137" s="311">
        <v>33900</v>
      </c>
      <c r="F137" s="310" t="s">
        <v>1016</v>
      </c>
      <c r="G137" s="314" t="s">
        <v>1304</v>
      </c>
    </row>
    <row r="138" spans="1:7" s="308" customFormat="1">
      <c r="A138" s="315"/>
      <c r="B138" s="313" t="s">
        <v>1110</v>
      </c>
      <c r="C138" s="316"/>
      <c r="D138" s="310" t="s">
        <v>998</v>
      </c>
      <c r="E138" s="311">
        <v>39900</v>
      </c>
      <c r="F138" s="310" t="s">
        <v>1016</v>
      </c>
      <c r="G138" s="254" t="s">
        <v>1366</v>
      </c>
    </row>
    <row r="139" spans="1:7" s="308" customFormat="1" ht="34.799999999999997">
      <c r="A139" s="315"/>
      <c r="B139" s="313" t="s">
        <v>1111</v>
      </c>
      <c r="C139" s="316"/>
      <c r="D139" s="310" t="s">
        <v>998</v>
      </c>
      <c r="E139" s="311">
        <v>11900</v>
      </c>
      <c r="F139" s="310" t="s">
        <v>1016</v>
      </c>
      <c r="G139" s="314" t="s">
        <v>1310</v>
      </c>
    </row>
    <row r="140" spans="1:7" s="308" customFormat="1" ht="34.799999999999997">
      <c r="A140" s="315"/>
      <c r="B140" s="313" t="s">
        <v>14</v>
      </c>
      <c r="C140" s="316"/>
      <c r="D140" s="310" t="s">
        <v>998</v>
      </c>
      <c r="E140" s="311">
        <v>18900</v>
      </c>
      <c r="F140" s="310" t="s">
        <v>1016</v>
      </c>
      <c r="G140" s="314" t="s">
        <v>1312</v>
      </c>
    </row>
    <row r="141" spans="1:7" s="308" customFormat="1">
      <c r="A141" s="315"/>
      <c r="B141" s="313" t="s">
        <v>1112</v>
      </c>
      <c r="C141" s="316"/>
      <c r="D141" s="310" t="s">
        <v>100</v>
      </c>
      <c r="E141" s="311">
        <v>600</v>
      </c>
      <c r="F141" s="310" t="s">
        <v>1016</v>
      </c>
      <c r="G141" s="254" t="s">
        <v>1367</v>
      </c>
    </row>
    <row r="142" spans="1:7" s="308" customFormat="1">
      <c r="A142" s="315"/>
      <c r="B142" s="313" t="s">
        <v>581</v>
      </c>
      <c r="C142" s="316"/>
      <c r="D142" s="310" t="s">
        <v>37</v>
      </c>
      <c r="E142" s="311">
        <v>10930</v>
      </c>
      <c r="F142" s="310" t="s">
        <v>1016</v>
      </c>
      <c r="G142" s="254" t="s">
        <v>1368</v>
      </c>
    </row>
    <row r="143" spans="1:7" s="308" customFormat="1">
      <c r="A143" s="315"/>
      <c r="B143" s="313" t="s">
        <v>582</v>
      </c>
      <c r="C143" s="316"/>
      <c r="D143" s="310" t="s">
        <v>998</v>
      </c>
      <c r="E143" s="311">
        <v>38900</v>
      </c>
      <c r="F143" s="310" t="s">
        <v>1053</v>
      </c>
      <c r="G143" s="254" t="s">
        <v>1369</v>
      </c>
    </row>
    <row r="144" spans="1:7" s="308" customFormat="1">
      <c r="A144" s="317"/>
      <c r="B144" s="313" t="s">
        <v>583</v>
      </c>
      <c r="C144" s="316"/>
      <c r="D144" s="310" t="s">
        <v>998</v>
      </c>
      <c r="E144" s="311">
        <v>54</v>
      </c>
      <c r="F144" s="310" t="s">
        <v>1016</v>
      </c>
      <c r="G144" s="254" t="s">
        <v>1370</v>
      </c>
    </row>
    <row r="145" spans="1:7" s="308" customFormat="1">
      <c r="A145" s="317"/>
      <c r="B145" s="313" t="s">
        <v>584</v>
      </c>
      <c r="C145" s="316"/>
      <c r="D145" s="310" t="s">
        <v>998</v>
      </c>
      <c r="E145" s="311">
        <v>57800</v>
      </c>
      <c r="F145" s="310" t="s">
        <v>1016</v>
      </c>
      <c r="G145" s="254" t="s">
        <v>1371</v>
      </c>
    </row>
    <row r="146" spans="1:7" s="308" customFormat="1">
      <c r="A146" s="315"/>
      <c r="B146" s="313" t="s">
        <v>585</v>
      </c>
      <c r="C146" s="316"/>
      <c r="D146" s="310" t="s">
        <v>100</v>
      </c>
      <c r="E146" s="311">
        <f>6796/2.44</f>
        <v>2785.2459016393445</v>
      </c>
      <c r="F146" s="310" t="s">
        <v>1415</v>
      </c>
      <c r="G146" s="254" t="s">
        <v>1414</v>
      </c>
    </row>
    <row r="147" spans="1:7" s="308" customFormat="1">
      <c r="A147" s="315"/>
      <c r="B147" s="313" t="s">
        <v>586</v>
      </c>
      <c r="C147" s="316"/>
      <c r="D147" s="310" t="s">
        <v>100</v>
      </c>
      <c r="E147" s="311">
        <v>347</v>
      </c>
      <c r="F147" s="310" t="s">
        <v>1016</v>
      </c>
      <c r="G147" s="254" t="s">
        <v>1416</v>
      </c>
    </row>
    <row r="148" spans="1:7" s="308" customFormat="1" ht="28.8">
      <c r="A148" s="315"/>
      <c r="B148" s="313" t="s">
        <v>1113</v>
      </c>
      <c r="C148" s="316"/>
      <c r="D148" s="310" t="s">
        <v>998</v>
      </c>
      <c r="E148" s="311">
        <v>302900</v>
      </c>
      <c r="F148" s="310" t="s">
        <v>1016</v>
      </c>
      <c r="G148" s="254" t="s">
        <v>1417</v>
      </c>
    </row>
    <row r="149" spans="1:7" s="308" customFormat="1" ht="28.8">
      <c r="A149" s="315"/>
      <c r="B149" s="313" t="s">
        <v>1114</v>
      </c>
      <c r="C149" s="316"/>
      <c r="D149" s="310" t="s">
        <v>190</v>
      </c>
      <c r="E149" s="311">
        <v>107900</v>
      </c>
      <c r="F149" s="310" t="s">
        <v>1016</v>
      </c>
      <c r="G149" s="254" t="s">
        <v>1418</v>
      </c>
    </row>
    <row r="150" spans="1:7" s="308" customFormat="1">
      <c r="A150" s="315"/>
      <c r="B150" s="313" t="s">
        <v>499</v>
      </c>
      <c r="C150" s="319"/>
      <c r="D150" s="310" t="s">
        <v>998</v>
      </c>
      <c r="E150" s="311">
        <v>90300</v>
      </c>
      <c r="F150" s="310" t="s">
        <v>1115</v>
      </c>
      <c r="G150" s="254" t="s">
        <v>1419</v>
      </c>
    </row>
    <row r="151" spans="1:7" s="308" customFormat="1">
      <c r="A151" s="315"/>
      <c r="B151" s="313" t="s">
        <v>499</v>
      </c>
      <c r="C151" s="319"/>
      <c r="D151" s="310" t="s">
        <v>100</v>
      </c>
      <c r="E151" s="311">
        <f>E150/6</f>
        <v>15050</v>
      </c>
      <c r="F151" s="310" t="s">
        <v>1115</v>
      </c>
      <c r="G151" s="312" t="s">
        <v>1116</v>
      </c>
    </row>
    <row r="152" spans="1:7" s="308" customFormat="1" ht="28.8">
      <c r="A152" s="315"/>
      <c r="B152" s="313" t="s">
        <v>1585</v>
      </c>
      <c r="C152" s="319"/>
      <c r="D152" s="310" t="s">
        <v>998</v>
      </c>
      <c r="E152" s="311">
        <v>191100</v>
      </c>
      <c r="F152" s="310" t="s">
        <v>1016</v>
      </c>
      <c r="G152" s="254" t="s">
        <v>1583</v>
      </c>
    </row>
    <row r="153" spans="1:7" s="308" customFormat="1" ht="28.8">
      <c r="A153" s="315"/>
      <c r="B153" s="313" t="s">
        <v>1585</v>
      </c>
      <c r="C153" s="319"/>
      <c r="D153" s="310" t="s">
        <v>100</v>
      </c>
      <c r="E153" s="311">
        <f>E152/6</f>
        <v>31850</v>
      </c>
      <c r="F153" s="310" t="s">
        <v>1016</v>
      </c>
      <c r="G153" s="254" t="s">
        <v>1584</v>
      </c>
    </row>
    <row r="154" spans="1:7" s="308" customFormat="1" ht="33.75" customHeight="1">
      <c r="A154" s="315"/>
      <c r="B154" s="313" t="s">
        <v>1438</v>
      </c>
      <c r="C154" s="316"/>
      <c r="D154" s="310" t="s">
        <v>998</v>
      </c>
      <c r="E154" s="311">
        <v>6650</v>
      </c>
      <c r="F154" s="310" t="s">
        <v>1439</v>
      </c>
      <c r="G154" s="254" t="s">
        <v>1556</v>
      </c>
    </row>
    <row r="155" spans="1:7" s="308" customFormat="1" ht="33.75" customHeight="1">
      <c r="A155" s="315"/>
      <c r="B155" s="313" t="s">
        <v>1438</v>
      </c>
      <c r="C155" s="316"/>
      <c r="D155" s="310" t="s">
        <v>100</v>
      </c>
      <c r="E155" s="311">
        <f>E154/3.05</f>
        <v>2180.3278688524592</v>
      </c>
      <c r="F155" s="310" t="s">
        <v>1439</v>
      </c>
      <c r="G155" s="254" t="s">
        <v>1556</v>
      </c>
    </row>
    <row r="156" spans="1:7" s="308" customFormat="1" ht="63.75" customHeight="1">
      <c r="A156" s="315"/>
      <c r="B156" s="313" t="s">
        <v>1117</v>
      </c>
      <c r="C156" s="316"/>
      <c r="D156" s="310" t="s">
        <v>998</v>
      </c>
      <c r="E156" s="311">
        <v>589000</v>
      </c>
      <c r="F156" s="310" t="s">
        <v>1441</v>
      </c>
      <c r="G156" s="254" t="s">
        <v>1440</v>
      </c>
    </row>
    <row r="157" spans="1:7" s="308" customFormat="1" ht="43.2">
      <c r="A157" s="315"/>
      <c r="B157" s="313" t="s">
        <v>1118</v>
      </c>
      <c r="C157" s="316"/>
      <c r="D157" s="310" t="s">
        <v>37</v>
      </c>
      <c r="E157" s="311">
        <f>E156/(5.9*0.94)</f>
        <v>106202.66858997475</v>
      </c>
      <c r="F157" s="310" t="s">
        <v>1441</v>
      </c>
      <c r="G157" s="254" t="s">
        <v>1440</v>
      </c>
    </row>
    <row r="158" spans="1:7" s="308" customFormat="1">
      <c r="A158" s="315"/>
      <c r="B158" s="313" t="s">
        <v>1119</v>
      </c>
      <c r="C158" s="316"/>
      <c r="D158" s="310" t="s">
        <v>998</v>
      </c>
      <c r="E158" s="311">
        <v>702800</v>
      </c>
      <c r="F158" s="310" t="s">
        <v>1443</v>
      </c>
      <c r="G158" s="254" t="s">
        <v>1442</v>
      </c>
    </row>
    <row r="159" spans="1:7" s="308" customFormat="1">
      <c r="A159" s="315"/>
      <c r="B159" s="313" t="s">
        <v>1120</v>
      </c>
      <c r="C159" s="316"/>
      <c r="D159" s="310" t="s">
        <v>100</v>
      </c>
      <c r="E159" s="311">
        <f>E158/6</f>
        <v>117133.33333333333</v>
      </c>
      <c r="F159" s="310" t="s">
        <v>1443</v>
      </c>
      <c r="G159" s="254" t="s">
        <v>1442</v>
      </c>
    </row>
    <row r="160" spans="1:7" s="308" customFormat="1" ht="28.8">
      <c r="A160" s="315"/>
      <c r="B160" s="313" t="s">
        <v>1121</v>
      </c>
      <c r="C160" s="316"/>
      <c r="D160" s="310" t="s">
        <v>998</v>
      </c>
      <c r="E160" s="311">
        <v>240100</v>
      </c>
      <c r="F160" s="310" t="s">
        <v>1016</v>
      </c>
      <c r="G160" s="254" t="s">
        <v>1444</v>
      </c>
    </row>
    <row r="161" spans="1:7" s="308" customFormat="1" ht="34.799999999999997">
      <c r="A161" s="315"/>
      <c r="B161" s="313" t="s">
        <v>1122</v>
      </c>
      <c r="C161" s="316"/>
      <c r="D161" s="310" t="s">
        <v>100</v>
      </c>
      <c r="E161" s="311">
        <f>E160/6</f>
        <v>40016.666666666664</v>
      </c>
      <c r="F161" s="310" t="s">
        <v>1016</v>
      </c>
      <c r="G161" s="312" t="s">
        <v>1444</v>
      </c>
    </row>
    <row r="162" spans="1:7" s="308" customFormat="1" ht="28.8">
      <c r="A162" s="315"/>
      <c r="B162" s="313" t="s">
        <v>1123</v>
      </c>
      <c r="C162" s="316"/>
      <c r="D162" s="310" t="s">
        <v>998</v>
      </c>
      <c r="E162" s="311">
        <v>21900</v>
      </c>
      <c r="F162" s="310" t="s">
        <v>1016</v>
      </c>
      <c r="G162" s="254" t="s">
        <v>1445</v>
      </c>
    </row>
    <row r="163" spans="1:7" s="308" customFormat="1" ht="28.8">
      <c r="A163" s="315"/>
      <c r="B163" s="313" t="s">
        <v>1124</v>
      </c>
      <c r="C163" s="319"/>
      <c r="D163" s="310" t="s">
        <v>1074</v>
      </c>
      <c r="E163" s="311">
        <v>189900</v>
      </c>
      <c r="F163" s="310" t="s">
        <v>1016</v>
      </c>
      <c r="G163" s="254" t="s">
        <v>1446</v>
      </c>
    </row>
    <row r="164" spans="1:7" s="308" customFormat="1" ht="28.8">
      <c r="A164" s="315"/>
      <c r="B164" s="313" t="s">
        <v>1124</v>
      </c>
      <c r="C164" s="319"/>
      <c r="D164" s="310" t="s">
        <v>998</v>
      </c>
      <c r="E164" s="311">
        <f>E163/800</f>
        <v>237.375</v>
      </c>
      <c r="F164" s="310" t="s">
        <v>1016</v>
      </c>
      <c r="G164" s="254" t="s">
        <v>1446</v>
      </c>
    </row>
    <row r="165" spans="1:7" s="308" customFormat="1" ht="28.8">
      <c r="A165" s="315"/>
      <c r="B165" s="313" t="s">
        <v>1125</v>
      </c>
      <c r="C165" s="316"/>
      <c r="D165" s="310" t="s">
        <v>998</v>
      </c>
      <c r="E165" s="311">
        <f>E162/10</f>
        <v>2190</v>
      </c>
      <c r="F165" s="310" t="s">
        <v>1016</v>
      </c>
      <c r="G165" s="254" t="s">
        <v>1445</v>
      </c>
    </row>
    <row r="166" spans="1:7" s="308" customFormat="1" ht="28.8">
      <c r="A166" s="315"/>
      <c r="B166" s="313" t="s">
        <v>1126</v>
      </c>
      <c r="C166" s="316"/>
      <c r="D166" s="310" t="s">
        <v>998</v>
      </c>
      <c r="E166" s="311">
        <v>3149000</v>
      </c>
      <c r="F166" s="310" t="s">
        <v>1016</v>
      </c>
      <c r="G166" s="254" t="s">
        <v>1447</v>
      </c>
    </row>
    <row r="167" spans="1:7" s="308" customFormat="1" ht="28.8">
      <c r="A167" s="315"/>
      <c r="B167" s="313" t="s">
        <v>1126</v>
      </c>
      <c r="C167" s="316"/>
      <c r="D167" s="310" t="s">
        <v>37</v>
      </c>
      <c r="E167" s="311">
        <f>E166/10</f>
        <v>314900</v>
      </c>
      <c r="F167" s="310" t="s">
        <v>1016</v>
      </c>
      <c r="G167" s="254" t="s">
        <v>1127</v>
      </c>
    </row>
    <row r="168" spans="1:7" s="308" customFormat="1" ht="28.8">
      <c r="A168" s="315"/>
      <c r="B168" s="313" t="s">
        <v>1128</v>
      </c>
      <c r="C168" s="316"/>
      <c r="D168" s="310" t="s">
        <v>998</v>
      </c>
      <c r="E168" s="311">
        <v>201990</v>
      </c>
      <c r="F168" s="310" t="s">
        <v>1016</v>
      </c>
      <c r="G168" s="254" t="s">
        <v>1448</v>
      </c>
    </row>
    <row r="169" spans="1:7" s="308" customFormat="1" ht="28.8">
      <c r="A169" s="315"/>
      <c r="B169" s="313" t="s">
        <v>1128</v>
      </c>
      <c r="C169" s="310"/>
      <c r="D169" s="310" t="s">
        <v>190</v>
      </c>
      <c r="E169" s="311">
        <f>E168/5</f>
        <v>40398</v>
      </c>
      <c r="F169" s="310" t="s">
        <v>1016</v>
      </c>
      <c r="G169" s="254" t="s">
        <v>1129</v>
      </c>
    </row>
    <row r="170" spans="1:7" s="308" customFormat="1" ht="28.8">
      <c r="A170" s="315"/>
      <c r="B170" s="313" t="s">
        <v>1130</v>
      </c>
      <c r="C170" s="310"/>
      <c r="D170" s="310" t="s">
        <v>998</v>
      </c>
      <c r="E170" s="311">
        <v>14900</v>
      </c>
      <c r="F170" s="310" t="s">
        <v>1016</v>
      </c>
      <c r="G170" s="254" t="s">
        <v>1449</v>
      </c>
    </row>
    <row r="171" spans="1:7" s="308" customFormat="1" ht="34.799999999999997">
      <c r="A171" s="315"/>
      <c r="B171" s="313" t="s">
        <v>1132</v>
      </c>
      <c r="C171" s="310"/>
      <c r="D171" s="310" t="s">
        <v>39</v>
      </c>
      <c r="E171" s="311">
        <f>E170*37.5</f>
        <v>558750</v>
      </c>
      <c r="F171" s="310" t="s">
        <v>1016</v>
      </c>
      <c r="G171" s="312" t="s">
        <v>1131</v>
      </c>
    </row>
    <row r="172" spans="1:7" s="308" customFormat="1" ht="28.8">
      <c r="A172" s="315"/>
      <c r="B172" s="313" t="s">
        <v>1133</v>
      </c>
      <c r="C172" s="310"/>
      <c r="D172" s="321" t="s">
        <v>950</v>
      </c>
      <c r="E172" s="311">
        <v>51964</v>
      </c>
      <c r="F172" s="310" t="s">
        <v>1078</v>
      </c>
      <c r="G172" s="254" t="s">
        <v>1450</v>
      </c>
    </row>
    <row r="173" spans="1:7" s="308" customFormat="1" ht="34.799999999999997">
      <c r="A173" s="315"/>
      <c r="B173" s="313" t="s">
        <v>1133</v>
      </c>
      <c r="C173" s="310"/>
      <c r="D173" s="310" t="s">
        <v>39</v>
      </c>
      <c r="E173" s="311">
        <f>E172/0.588</f>
        <v>88374.14965986395</v>
      </c>
      <c r="F173" s="310" t="s">
        <v>1078</v>
      </c>
      <c r="G173" s="312" t="s">
        <v>1134</v>
      </c>
    </row>
    <row r="174" spans="1:7" s="308" customFormat="1">
      <c r="A174" s="315"/>
      <c r="B174" s="313" t="s">
        <v>1135</v>
      </c>
      <c r="C174" s="310"/>
      <c r="D174" s="310" t="s">
        <v>998</v>
      </c>
      <c r="E174" s="311">
        <v>25900</v>
      </c>
      <c r="F174" s="310" t="s">
        <v>1016</v>
      </c>
      <c r="G174" s="254" t="s">
        <v>1451</v>
      </c>
    </row>
    <row r="175" spans="1:7" s="308" customFormat="1">
      <c r="A175" s="315"/>
      <c r="B175" s="313" t="s">
        <v>1137</v>
      </c>
      <c r="C175" s="310"/>
      <c r="D175" s="310" t="s">
        <v>39</v>
      </c>
      <c r="E175" s="311">
        <f>E174/0.0098</f>
        <v>2642857.1428571427</v>
      </c>
      <c r="F175" s="310" t="s">
        <v>1016</v>
      </c>
      <c r="G175" s="312" t="s">
        <v>1136</v>
      </c>
    </row>
    <row r="176" spans="1:7" s="308" customFormat="1" ht="28.8">
      <c r="A176" s="315"/>
      <c r="B176" s="313" t="s">
        <v>1138</v>
      </c>
      <c r="C176" s="310"/>
      <c r="D176" s="310" t="s">
        <v>37</v>
      </c>
      <c r="E176" s="311">
        <v>15210</v>
      </c>
      <c r="F176" s="310" t="s">
        <v>1078</v>
      </c>
      <c r="G176" s="254" t="s">
        <v>1452</v>
      </c>
    </row>
    <row r="177" spans="1:7" s="308" customFormat="1" ht="28.8">
      <c r="A177" s="315"/>
      <c r="B177" s="313" t="s">
        <v>1139</v>
      </c>
      <c r="C177" s="310"/>
      <c r="D177" s="310" t="s">
        <v>998</v>
      </c>
      <c r="E177" s="311">
        <v>135900</v>
      </c>
      <c r="F177" s="310" t="s">
        <v>1016</v>
      </c>
      <c r="G177" s="254" t="s">
        <v>1453</v>
      </c>
    </row>
    <row r="178" spans="1:7" s="308" customFormat="1" ht="34.799999999999997">
      <c r="A178" s="315"/>
      <c r="B178" s="313" t="s">
        <v>954</v>
      </c>
      <c r="C178" s="310"/>
      <c r="D178" s="310" t="s">
        <v>100</v>
      </c>
      <c r="E178" s="311">
        <f>E177/3.962</f>
        <v>34300.858152448258</v>
      </c>
      <c r="F178" s="310" t="s">
        <v>1016</v>
      </c>
      <c r="G178" s="312" t="s">
        <v>1140</v>
      </c>
    </row>
    <row r="179" spans="1:7" s="308" customFormat="1">
      <c r="A179" s="315"/>
      <c r="B179" s="313" t="s">
        <v>1141</v>
      </c>
      <c r="C179" s="310"/>
      <c r="D179" s="310" t="s">
        <v>998</v>
      </c>
      <c r="E179" s="311">
        <v>140900</v>
      </c>
      <c r="F179" s="310" t="s">
        <v>1016</v>
      </c>
      <c r="G179" s="612" t="s">
        <v>2741</v>
      </c>
    </row>
    <row r="180" spans="1:7" s="308" customFormat="1">
      <c r="A180" s="315"/>
      <c r="B180" s="313" t="s">
        <v>953</v>
      </c>
      <c r="C180" s="310"/>
      <c r="D180" s="310" t="s">
        <v>37</v>
      </c>
      <c r="E180" s="311">
        <f>E179/0.39</f>
        <v>361282.05128205125</v>
      </c>
      <c r="F180" s="310" t="s">
        <v>1016</v>
      </c>
      <c r="G180" s="612" t="s">
        <v>2741</v>
      </c>
    </row>
    <row r="181" spans="1:7" s="308" customFormat="1">
      <c r="A181" s="315"/>
      <c r="B181" s="313" t="s">
        <v>331</v>
      </c>
      <c r="C181" s="310"/>
      <c r="D181" s="310" t="s">
        <v>998</v>
      </c>
      <c r="E181" s="311">
        <v>2600</v>
      </c>
      <c r="F181" s="310" t="s">
        <v>1016</v>
      </c>
      <c r="G181" s="254" t="s">
        <v>1454</v>
      </c>
    </row>
    <row r="182" spans="1:7" s="308" customFormat="1">
      <c r="A182" s="315"/>
      <c r="B182" s="313" t="s">
        <v>588</v>
      </c>
      <c r="C182" s="316"/>
      <c r="D182" s="310" t="s">
        <v>100</v>
      </c>
      <c r="E182" s="311">
        <f>6380/2.44</f>
        <v>2614.7540983606559</v>
      </c>
      <c r="F182" s="310" t="s">
        <v>1016</v>
      </c>
      <c r="G182" s="254" t="s">
        <v>1455</v>
      </c>
    </row>
    <row r="183" spans="1:7" s="308" customFormat="1" ht="52.2">
      <c r="A183" s="470"/>
      <c r="B183" s="313" t="s">
        <v>403</v>
      </c>
      <c r="C183" s="322"/>
      <c r="D183" s="310" t="s">
        <v>998</v>
      </c>
      <c r="E183" s="642">
        <f>120000*1.5</f>
        <v>180000</v>
      </c>
      <c r="F183" s="310" t="s">
        <v>1142</v>
      </c>
      <c r="G183" s="312" t="s">
        <v>1143</v>
      </c>
    </row>
    <row r="184" spans="1:7" s="308" customFormat="1" ht="52.2">
      <c r="A184" s="470"/>
      <c r="B184" s="313" t="s">
        <v>405</v>
      </c>
      <c r="C184" s="322"/>
      <c r="D184" s="310" t="s">
        <v>998</v>
      </c>
      <c r="E184" s="311">
        <f>2010000*1.5</f>
        <v>3015000</v>
      </c>
      <c r="F184" s="310" t="s">
        <v>1142</v>
      </c>
      <c r="G184" s="312" t="s">
        <v>1143</v>
      </c>
    </row>
    <row r="185" spans="1:7" s="308" customFormat="1" ht="34.799999999999997">
      <c r="A185" s="470"/>
      <c r="B185" s="313" t="s">
        <v>407</v>
      </c>
      <c r="C185" s="322"/>
      <c r="D185" s="310" t="s">
        <v>998</v>
      </c>
      <c r="E185" s="311">
        <f>2900000*1.5</f>
        <v>4350000</v>
      </c>
      <c r="F185" s="310" t="s">
        <v>1142</v>
      </c>
      <c r="G185" s="312" t="s">
        <v>1143</v>
      </c>
    </row>
    <row r="186" spans="1:7" s="308" customFormat="1" ht="59.25" customHeight="1">
      <c r="A186" s="470"/>
      <c r="B186" s="313" t="s">
        <v>409</v>
      </c>
      <c r="C186" s="322"/>
      <c r="D186" s="310" t="s">
        <v>998</v>
      </c>
      <c r="E186" s="311">
        <f>1.5*2450000</f>
        <v>3675000</v>
      </c>
      <c r="F186" s="310" t="s">
        <v>1142</v>
      </c>
      <c r="G186" s="312" t="s">
        <v>1143</v>
      </c>
    </row>
    <row r="187" spans="1:7" s="308" customFormat="1" ht="34.799999999999997">
      <c r="A187" s="470"/>
      <c r="B187" s="313" t="s">
        <v>411</v>
      </c>
      <c r="C187" s="322"/>
      <c r="D187" s="310" t="s">
        <v>998</v>
      </c>
      <c r="E187" s="311">
        <f>1.5*2350000</f>
        <v>3525000</v>
      </c>
      <c r="F187" s="310" t="s">
        <v>1142</v>
      </c>
      <c r="G187" s="312" t="s">
        <v>1143</v>
      </c>
    </row>
    <row r="188" spans="1:7" s="308" customFormat="1" ht="34.799999999999997">
      <c r="A188" s="470"/>
      <c r="B188" s="313" t="s">
        <v>413</v>
      </c>
      <c r="C188" s="322"/>
      <c r="D188" s="310" t="s">
        <v>998</v>
      </c>
      <c r="E188" s="311">
        <f>1.5*3170000</f>
        <v>4755000</v>
      </c>
      <c r="F188" s="310" t="s">
        <v>1142</v>
      </c>
      <c r="G188" s="312" t="s">
        <v>1143</v>
      </c>
    </row>
    <row r="189" spans="1:7" s="308" customFormat="1" ht="34.799999999999997">
      <c r="A189" s="338"/>
      <c r="B189" s="313" t="s">
        <v>415</v>
      </c>
      <c r="C189" s="322"/>
      <c r="D189" s="310" t="s">
        <v>998</v>
      </c>
      <c r="E189" s="311">
        <f>1.5*1950000</f>
        <v>2925000</v>
      </c>
      <c r="F189" s="310" t="s">
        <v>1142</v>
      </c>
      <c r="G189" s="312" t="s">
        <v>1143</v>
      </c>
    </row>
    <row r="190" spans="1:7" ht="34.799999999999997">
      <c r="A190" s="338"/>
      <c r="B190" s="313" t="s">
        <v>417</v>
      </c>
      <c r="C190" s="322"/>
      <c r="D190" s="310" t="s">
        <v>998</v>
      </c>
      <c r="E190" s="311">
        <f>1.5*2470000</f>
        <v>3705000</v>
      </c>
      <c r="F190" s="310" t="s">
        <v>1142</v>
      </c>
      <c r="G190" s="312" t="s">
        <v>1143</v>
      </c>
    </row>
    <row r="191" spans="1:7" ht="34.799999999999997">
      <c r="A191" s="338"/>
      <c r="B191" s="313" t="s">
        <v>1144</v>
      </c>
      <c r="C191" s="322"/>
      <c r="D191" s="310" t="s">
        <v>18</v>
      </c>
      <c r="E191" s="311">
        <f>1.5*2030000</f>
        <v>3045000</v>
      </c>
      <c r="F191" s="310" t="s">
        <v>1142</v>
      </c>
      <c r="G191" s="312" t="s">
        <v>1143</v>
      </c>
    </row>
    <row r="192" spans="1:7" ht="34.799999999999997">
      <c r="A192" s="338"/>
      <c r="B192" s="313" t="s">
        <v>1145</v>
      </c>
      <c r="C192" s="322"/>
      <c r="D192" s="310" t="s">
        <v>998</v>
      </c>
      <c r="E192" s="311">
        <f>+E191/2</f>
        <v>1522500</v>
      </c>
      <c r="F192" s="310" t="s">
        <v>1142</v>
      </c>
      <c r="G192" s="312" t="s">
        <v>1143</v>
      </c>
    </row>
    <row r="193" spans="1:7" ht="34.799999999999997">
      <c r="A193" s="338"/>
      <c r="B193" s="313" t="s">
        <v>1146</v>
      </c>
      <c r="C193" s="323"/>
      <c r="D193" s="310" t="s">
        <v>100</v>
      </c>
      <c r="E193" s="324">
        <f>($E$191/(0.6*1.6))*0.6</f>
        <v>1903125</v>
      </c>
      <c r="F193" s="310" t="s">
        <v>1142</v>
      </c>
      <c r="G193" s="312" t="s">
        <v>1143</v>
      </c>
    </row>
    <row r="194" spans="1:7">
      <c r="A194" s="338"/>
      <c r="B194" s="313" t="s">
        <v>1147</v>
      </c>
      <c r="C194" s="323"/>
      <c r="D194" s="310" t="s">
        <v>100</v>
      </c>
      <c r="E194" s="324">
        <f>($E$191/(0.6*1.6))*0.6</f>
        <v>1903125</v>
      </c>
      <c r="F194" s="310" t="s">
        <v>1142</v>
      </c>
      <c r="G194" s="312" t="s">
        <v>1143</v>
      </c>
    </row>
    <row r="195" spans="1:7" ht="34.799999999999997">
      <c r="A195" s="338"/>
      <c r="B195" s="313" t="s">
        <v>1148</v>
      </c>
      <c r="C195" s="323"/>
      <c r="D195" s="310" t="s">
        <v>37</v>
      </c>
      <c r="E195" s="324">
        <f>E187/(0.7*3.87)</f>
        <v>1301218.1616832779</v>
      </c>
      <c r="F195" s="310" t="s">
        <v>1142</v>
      </c>
      <c r="G195" s="312" t="s">
        <v>1143</v>
      </c>
    </row>
    <row r="196" spans="1:7" ht="87">
      <c r="A196" s="338"/>
      <c r="B196" s="313" t="s">
        <v>1149</v>
      </c>
      <c r="C196" s="322"/>
      <c r="D196" s="310" t="s">
        <v>18</v>
      </c>
      <c r="E196" s="311">
        <v>2170000</v>
      </c>
      <c r="F196" s="310" t="s">
        <v>1142</v>
      </c>
      <c r="G196" s="312" t="s">
        <v>1143</v>
      </c>
    </row>
    <row r="197" spans="1:7" ht="87">
      <c r="A197" s="338"/>
      <c r="B197" s="313" t="s">
        <v>1149</v>
      </c>
      <c r="C197" s="322"/>
      <c r="D197" s="310" t="s">
        <v>100</v>
      </c>
      <c r="E197" s="311">
        <v>520100</v>
      </c>
      <c r="F197" s="310" t="s">
        <v>1142</v>
      </c>
      <c r="G197" s="312" t="s">
        <v>1143</v>
      </c>
    </row>
    <row r="198" spans="1:7">
      <c r="A198" s="338"/>
      <c r="B198" s="313" t="s">
        <v>1150</v>
      </c>
      <c r="C198" s="322"/>
      <c r="D198" s="310" t="s">
        <v>18</v>
      </c>
      <c r="E198" s="311">
        <v>1800000</v>
      </c>
      <c r="F198" s="310" t="s">
        <v>1142</v>
      </c>
      <c r="G198" s="312" t="s">
        <v>1143</v>
      </c>
    </row>
    <row r="199" spans="1:7">
      <c r="A199" s="338"/>
      <c r="B199" s="313" t="s">
        <v>1150</v>
      </c>
      <c r="C199" s="322"/>
      <c r="D199" s="310" t="s">
        <v>100</v>
      </c>
      <c r="E199" s="311">
        <v>520000</v>
      </c>
      <c r="F199" s="310" t="s">
        <v>1142</v>
      </c>
      <c r="G199" s="312" t="s">
        <v>1143</v>
      </c>
    </row>
    <row r="200" spans="1:7" ht="87">
      <c r="A200" s="338"/>
      <c r="B200" s="313" t="s">
        <v>1151</v>
      </c>
      <c r="C200" s="322"/>
      <c r="D200" s="310" t="s">
        <v>18</v>
      </c>
      <c r="E200" s="311">
        <v>2100000</v>
      </c>
      <c r="F200" s="310" t="s">
        <v>1142</v>
      </c>
      <c r="G200" s="312" t="s">
        <v>1143</v>
      </c>
    </row>
    <row r="201" spans="1:7" ht="87">
      <c r="A201" s="338"/>
      <c r="B201" s="313" t="s">
        <v>1151</v>
      </c>
      <c r="C201" s="322"/>
      <c r="D201" s="310" t="s">
        <v>100</v>
      </c>
      <c r="E201" s="311">
        <f>E200/4.26</f>
        <v>492957.74647887325</v>
      </c>
      <c r="F201" s="310" t="s">
        <v>1142</v>
      </c>
      <c r="G201" s="312" t="s">
        <v>1143</v>
      </c>
    </row>
    <row r="202" spans="1:7" ht="104.4">
      <c r="A202" s="338"/>
      <c r="B202" s="313" t="s">
        <v>147</v>
      </c>
      <c r="C202" s="323"/>
      <c r="D202" s="310" t="s">
        <v>998</v>
      </c>
      <c r="E202" s="311">
        <f>31200000*1.19</f>
        <v>37128000</v>
      </c>
      <c r="F202" s="310" t="s">
        <v>1152</v>
      </c>
      <c r="G202" s="312" t="s">
        <v>2417</v>
      </c>
    </row>
    <row r="203" spans="1:7" ht="104.4">
      <c r="A203" s="338"/>
      <c r="B203" s="313" t="s">
        <v>2418</v>
      </c>
      <c r="C203" s="323"/>
      <c r="D203" s="310" t="s">
        <v>998</v>
      </c>
      <c r="E203" s="311">
        <f>5508000*1.19</f>
        <v>6554520</v>
      </c>
      <c r="F203" s="310" t="s">
        <v>1152</v>
      </c>
      <c r="G203" s="312" t="s">
        <v>2417</v>
      </c>
    </row>
    <row r="204" spans="1:7" ht="87">
      <c r="A204" s="338"/>
      <c r="B204" s="313" t="s">
        <v>2419</v>
      </c>
      <c r="C204" s="323"/>
      <c r="D204" s="310" t="s">
        <v>998</v>
      </c>
      <c r="E204" s="311">
        <f>3140000*1.19</f>
        <v>3736600</v>
      </c>
      <c r="F204" s="310" t="s">
        <v>1152</v>
      </c>
      <c r="G204" s="312" t="s">
        <v>2417</v>
      </c>
    </row>
    <row r="205" spans="1:7" ht="87">
      <c r="A205" s="338"/>
      <c r="B205" s="313" t="s">
        <v>2420</v>
      </c>
      <c r="C205" s="323"/>
      <c r="D205" s="310" t="s">
        <v>998</v>
      </c>
      <c r="E205" s="311">
        <f>2090000*1.19</f>
        <v>2487100</v>
      </c>
      <c r="F205" s="310" t="s">
        <v>1152</v>
      </c>
      <c r="G205" s="312" t="s">
        <v>2417</v>
      </c>
    </row>
    <row r="206" spans="1:7" ht="87">
      <c r="A206" s="338"/>
      <c r="B206" s="313" t="s">
        <v>2421</v>
      </c>
      <c r="C206" s="323"/>
      <c r="D206" s="310" t="s">
        <v>998</v>
      </c>
      <c r="E206" s="311">
        <f>3975000*1.19</f>
        <v>4730250</v>
      </c>
      <c r="F206" s="310" t="s">
        <v>1152</v>
      </c>
      <c r="G206" s="312" t="s">
        <v>2417</v>
      </c>
    </row>
    <row r="207" spans="1:7" ht="121.8">
      <c r="A207" s="338"/>
      <c r="B207" s="313" t="s">
        <v>2422</v>
      </c>
      <c r="C207" s="323"/>
      <c r="D207" s="310" t="s">
        <v>18</v>
      </c>
      <c r="E207" s="311">
        <f>10100000*1.19</f>
        <v>12019000</v>
      </c>
      <c r="F207" s="310" t="s">
        <v>1152</v>
      </c>
      <c r="G207" s="312" t="s">
        <v>2417</v>
      </c>
    </row>
    <row r="208" spans="1:7" ht="121.8">
      <c r="A208" s="338"/>
      <c r="B208" s="313" t="s">
        <v>2422</v>
      </c>
      <c r="C208" s="323"/>
      <c r="D208" s="310" t="s">
        <v>100</v>
      </c>
      <c r="E208" s="311">
        <f>E207/12.49</f>
        <v>962289.83186549239</v>
      </c>
      <c r="F208" s="310" t="s">
        <v>1152</v>
      </c>
      <c r="G208" s="312" t="s">
        <v>2417</v>
      </c>
    </row>
    <row r="209" spans="1:7">
      <c r="A209" s="338"/>
      <c r="B209" s="313" t="s">
        <v>429</v>
      </c>
      <c r="C209" s="323"/>
      <c r="D209" s="310" t="s">
        <v>18</v>
      </c>
      <c r="E209" s="311">
        <f>E210*38.1</f>
        <v>77076300</v>
      </c>
      <c r="F209" s="310" t="s">
        <v>1152</v>
      </c>
      <c r="G209" s="312" t="s">
        <v>2417</v>
      </c>
    </row>
    <row r="210" spans="1:7">
      <c r="A210" s="338"/>
      <c r="B210" s="313" t="s">
        <v>429</v>
      </c>
      <c r="C210" s="323"/>
      <c r="D210" s="310" t="s">
        <v>100</v>
      </c>
      <c r="E210" s="311">
        <f>1700000*1.19</f>
        <v>2023000</v>
      </c>
      <c r="F210" s="310" t="s">
        <v>2476</v>
      </c>
      <c r="G210" s="312" t="s">
        <v>2417</v>
      </c>
    </row>
    <row r="211" spans="1:7">
      <c r="A211" s="338"/>
      <c r="B211" s="313" t="s">
        <v>431</v>
      </c>
      <c r="C211" s="323"/>
      <c r="D211" s="310" t="s">
        <v>18</v>
      </c>
      <c r="E211" s="311">
        <f>E212*7</f>
        <v>4414900</v>
      </c>
      <c r="F211" s="310" t="s">
        <v>1152</v>
      </c>
      <c r="G211" s="312" t="s">
        <v>2417</v>
      </c>
    </row>
    <row r="212" spans="1:7">
      <c r="A212" s="338"/>
      <c r="B212" s="313" t="s">
        <v>431</v>
      </c>
      <c r="C212" s="323"/>
      <c r="D212" s="310" t="s">
        <v>998</v>
      </c>
      <c r="E212" s="311">
        <f>530000*1.19</f>
        <v>630700</v>
      </c>
      <c r="F212" s="310" t="s">
        <v>1152</v>
      </c>
      <c r="G212" s="312" t="s">
        <v>2417</v>
      </c>
    </row>
    <row r="213" spans="1:7">
      <c r="A213" s="338"/>
      <c r="B213" s="313" t="s">
        <v>433</v>
      </c>
      <c r="C213" s="323"/>
      <c r="D213" s="310" t="s">
        <v>18</v>
      </c>
      <c r="E213" s="311">
        <f>E214*25</f>
        <v>41650000</v>
      </c>
      <c r="F213" s="310" t="s">
        <v>1152</v>
      </c>
      <c r="G213" s="312" t="s">
        <v>2417</v>
      </c>
    </row>
    <row r="214" spans="1:7">
      <c r="A214" s="338"/>
      <c r="B214" s="313" t="s">
        <v>433</v>
      </c>
      <c r="C214" s="323"/>
      <c r="D214" s="310" t="s">
        <v>998</v>
      </c>
      <c r="E214" s="311">
        <f>1400000*1.19</f>
        <v>1666000</v>
      </c>
      <c r="F214" s="310" t="s">
        <v>1152</v>
      </c>
      <c r="G214" s="312" t="s">
        <v>2417</v>
      </c>
    </row>
    <row r="215" spans="1:7" ht="104.4">
      <c r="A215" s="338"/>
      <c r="B215" s="313" t="s">
        <v>457</v>
      </c>
      <c r="C215" s="323"/>
      <c r="D215" s="310" t="s">
        <v>18</v>
      </c>
      <c r="E215" s="311">
        <v>19600369</v>
      </c>
      <c r="F215" s="310" t="s">
        <v>2476</v>
      </c>
      <c r="G215" s="312" t="s">
        <v>2417</v>
      </c>
    </row>
    <row r="216" spans="1:7" ht="104.4">
      <c r="A216" s="338"/>
      <c r="B216" s="313" t="s">
        <v>457</v>
      </c>
      <c r="C216" s="323"/>
      <c r="D216" s="310" t="s">
        <v>998</v>
      </c>
      <c r="E216" s="311">
        <f>1500000*1.19</f>
        <v>1785000</v>
      </c>
      <c r="F216" s="310" t="s">
        <v>2476</v>
      </c>
      <c r="G216" s="312" t="s">
        <v>2417</v>
      </c>
    </row>
    <row r="217" spans="1:7" ht="104.4">
      <c r="A217" s="338"/>
      <c r="B217" s="313" t="s">
        <v>460</v>
      </c>
      <c r="C217" s="323"/>
      <c r="D217" s="310" t="s">
        <v>18</v>
      </c>
      <c r="E217" s="311">
        <f>E218*2</f>
        <v>3094000</v>
      </c>
      <c r="F217" s="310" t="s">
        <v>2476</v>
      </c>
      <c r="G217" s="312" t="s">
        <v>2417</v>
      </c>
    </row>
    <row r="218" spans="1:7" ht="104.4">
      <c r="A218" s="338"/>
      <c r="B218" s="313" t="s">
        <v>460</v>
      </c>
      <c r="C218" s="323"/>
      <c r="D218" s="310" t="s">
        <v>998</v>
      </c>
      <c r="E218" s="311">
        <f>1300000*1.19</f>
        <v>1547000</v>
      </c>
      <c r="F218" s="310" t="s">
        <v>2476</v>
      </c>
      <c r="G218" s="312" t="s">
        <v>2417</v>
      </c>
    </row>
    <row r="219" spans="1:7" ht="104.4">
      <c r="A219" s="338"/>
      <c r="B219" s="313" t="s">
        <v>462</v>
      </c>
      <c r="C219" s="323"/>
      <c r="D219" s="310" t="s">
        <v>998</v>
      </c>
      <c r="E219" s="311">
        <f>1200000*1.19</f>
        <v>1428000</v>
      </c>
      <c r="F219" s="310" t="s">
        <v>2476</v>
      </c>
      <c r="G219" s="312" t="s">
        <v>2417</v>
      </c>
    </row>
    <row r="220" spans="1:7" ht="104.4">
      <c r="A220" s="338"/>
      <c r="B220" s="313" t="s">
        <v>464</v>
      </c>
      <c r="C220" s="323"/>
      <c r="D220" s="310" t="s">
        <v>18</v>
      </c>
      <c r="E220" s="311">
        <f>E221*10</f>
        <v>11900000</v>
      </c>
      <c r="F220" s="310" t="s">
        <v>2476</v>
      </c>
      <c r="G220" s="312" t="s">
        <v>2417</v>
      </c>
    </row>
    <row r="221" spans="1:7" ht="104.4">
      <c r="A221" s="338"/>
      <c r="B221" s="313" t="s">
        <v>464</v>
      </c>
      <c r="C221" s="323"/>
      <c r="D221" s="310" t="s">
        <v>998</v>
      </c>
      <c r="E221" s="311">
        <f>1000000*1.19</f>
        <v>1190000</v>
      </c>
      <c r="F221" s="310" t="s">
        <v>2476</v>
      </c>
      <c r="G221" s="312" t="s">
        <v>2417</v>
      </c>
    </row>
    <row r="222" spans="1:7" ht="104.4">
      <c r="A222" s="338"/>
      <c r="B222" s="313" t="s">
        <v>466</v>
      </c>
      <c r="C222" s="323"/>
      <c r="D222" s="310" t="s">
        <v>18</v>
      </c>
      <c r="E222" s="311">
        <f>E223*2</f>
        <v>4284000</v>
      </c>
      <c r="F222" s="310" t="s">
        <v>2476</v>
      </c>
      <c r="G222" s="312" t="s">
        <v>2417</v>
      </c>
    </row>
    <row r="223" spans="1:7" ht="104.4">
      <c r="A223" s="338"/>
      <c r="B223" s="313" t="s">
        <v>466</v>
      </c>
      <c r="C223" s="323"/>
      <c r="D223" s="310" t="s">
        <v>998</v>
      </c>
      <c r="E223" s="311">
        <f>1800000*1.19</f>
        <v>2142000</v>
      </c>
      <c r="F223" s="310" t="s">
        <v>2476</v>
      </c>
      <c r="G223" s="312" t="s">
        <v>2417</v>
      </c>
    </row>
    <row r="224" spans="1:7" ht="104.4">
      <c r="A224" s="338"/>
      <c r="B224" s="313" t="s">
        <v>468</v>
      </c>
      <c r="C224" s="323"/>
      <c r="D224" s="310" t="s">
        <v>18</v>
      </c>
      <c r="E224" s="311">
        <f>E225*2</f>
        <v>4284000</v>
      </c>
      <c r="F224" s="310" t="s">
        <v>2476</v>
      </c>
      <c r="G224" s="312" t="s">
        <v>2417</v>
      </c>
    </row>
    <row r="225" spans="1:7" ht="104.4">
      <c r="A225" s="338"/>
      <c r="B225" s="313" t="s">
        <v>468</v>
      </c>
      <c r="C225" s="323"/>
      <c r="D225" s="310" t="s">
        <v>998</v>
      </c>
      <c r="E225" s="311">
        <f>1800000*1.19</f>
        <v>2142000</v>
      </c>
      <c r="F225" s="310" t="s">
        <v>2476</v>
      </c>
      <c r="G225" s="312" t="s">
        <v>2417</v>
      </c>
    </row>
    <row r="226" spans="1:7" ht="104.4">
      <c r="A226" s="338"/>
      <c r="B226" s="313" t="s">
        <v>2423</v>
      </c>
      <c r="C226" s="323"/>
      <c r="D226" s="310" t="s">
        <v>18</v>
      </c>
      <c r="E226" s="311">
        <f>E227*3</f>
        <v>5712000</v>
      </c>
      <c r="F226" s="310" t="s">
        <v>2476</v>
      </c>
      <c r="G226" s="312" t="s">
        <v>2417</v>
      </c>
    </row>
    <row r="227" spans="1:7" ht="104.4">
      <c r="A227" s="338"/>
      <c r="B227" s="313" t="s">
        <v>2423</v>
      </c>
      <c r="C227" s="323"/>
      <c r="D227" s="310" t="s">
        <v>998</v>
      </c>
      <c r="E227" s="311">
        <f>1600000*1.19</f>
        <v>1904000</v>
      </c>
      <c r="F227" s="310" t="s">
        <v>2476</v>
      </c>
      <c r="G227" s="312" t="s">
        <v>2417</v>
      </c>
    </row>
    <row r="228" spans="1:7" ht="87">
      <c r="A228" s="338"/>
      <c r="B228" s="313" t="s">
        <v>472</v>
      </c>
      <c r="C228" s="323"/>
      <c r="D228" s="310" t="s">
        <v>18</v>
      </c>
      <c r="E228" s="311">
        <f>E229*29</f>
        <v>34510000</v>
      </c>
      <c r="F228" s="310" t="s">
        <v>2476</v>
      </c>
      <c r="G228" s="312" t="s">
        <v>2417</v>
      </c>
    </row>
    <row r="229" spans="1:7" ht="87">
      <c r="A229" s="338"/>
      <c r="B229" s="313" t="s">
        <v>472</v>
      </c>
      <c r="C229" s="323"/>
      <c r="D229" s="310" t="s">
        <v>998</v>
      </c>
      <c r="E229" s="311">
        <f>1000000*1.19</f>
        <v>1190000</v>
      </c>
      <c r="F229" s="310" t="s">
        <v>2476</v>
      </c>
      <c r="G229" s="312" t="s">
        <v>2417</v>
      </c>
    </row>
    <row r="230" spans="1:7" ht="87">
      <c r="A230" s="338"/>
      <c r="B230" s="313" t="s">
        <v>474</v>
      </c>
      <c r="C230" s="323"/>
      <c r="D230" s="310" t="s">
        <v>998</v>
      </c>
      <c r="E230" s="311">
        <f>1000000*1.19</f>
        <v>1190000</v>
      </c>
      <c r="F230" s="310" t="s">
        <v>2476</v>
      </c>
      <c r="G230" s="312" t="s">
        <v>2417</v>
      </c>
    </row>
    <row r="231" spans="1:7" ht="87">
      <c r="A231" s="338"/>
      <c r="B231" s="313" t="s">
        <v>2424</v>
      </c>
      <c r="C231" s="323"/>
      <c r="D231" s="310" t="s">
        <v>18</v>
      </c>
      <c r="E231" s="311">
        <f>E232*18</f>
        <v>21420000</v>
      </c>
      <c r="F231" s="310" t="s">
        <v>2476</v>
      </c>
      <c r="G231" s="312" t="s">
        <v>2417</v>
      </c>
    </row>
    <row r="232" spans="1:7" ht="87">
      <c r="A232" s="338"/>
      <c r="B232" s="313" t="s">
        <v>2424</v>
      </c>
      <c r="C232" s="323"/>
      <c r="D232" s="310" t="s">
        <v>998</v>
      </c>
      <c r="E232" s="311">
        <f>1000000*1.19</f>
        <v>1190000</v>
      </c>
      <c r="F232" s="310" t="s">
        <v>2476</v>
      </c>
      <c r="G232" s="312" t="s">
        <v>2417</v>
      </c>
    </row>
    <row r="233" spans="1:7" ht="87">
      <c r="A233" s="338"/>
      <c r="B233" s="313" t="s">
        <v>478</v>
      </c>
      <c r="C233" s="323"/>
      <c r="D233" s="310" t="s">
        <v>998</v>
      </c>
      <c r="E233" s="311">
        <f>1498000*1.19</f>
        <v>1782620</v>
      </c>
      <c r="F233" s="310" t="s">
        <v>1152</v>
      </c>
      <c r="G233" s="312" t="s">
        <v>2417</v>
      </c>
    </row>
    <row r="234" spans="1:7" ht="87">
      <c r="A234" s="338"/>
      <c r="B234" s="313" t="s">
        <v>480</v>
      </c>
      <c r="C234" s="323"/>
      <c r="D234" s="310" t="s">
        <v>18</v>
      </c>
      <c r="E234" s="311">
        <f>E235*2</f>
        <v>7544600</v>
      </c>
      <c r="F234" s="310" t="s">
        <v>1152</v>
      </c>
      <c r="G234" s="312" t="s">
        <v>2417</v>
      </c>
    </row>
    <row r="235" spans="1:7" ht="87">
      <c r="A235" s="338"/>
      <c r="B235" s="313" t="s">
        <v>480</v>
      </c>
      <c r="C235" s="323"/>
      <c r="D235" s="310" t="s">
        <v>998</v>
      </c>
      <c r="E235" s="311">
        <f>3170000*1.19</f>
        <v>3772300</v>
      </c>
      <c r="F235" s="310" t="s">
        <v>1152</v>
      </c>
      <c r="G235" s="312" t="s">
        <v>2417</v>
      </c>
    </row>
    <row r="236" spans="1:7" ht="87">
      <c r="A236" s="338"/>
      <c r="B236" s="313" t="s">
        <v>2425</v>
      </c>
      <c r="C236" s="323"/>
      <c r="D236" s="310" t="s">
        <v>998</v>
      </c>
      <c r="E236" s="311">
        <f>1570000*1.19</f>
        <v>1868300</v>
      </c>
      <c r="F236" s="310" t="s">
        <v>1152</v>
      </c>
      <c r="G236" s="312" t="s">
        <v>2417</v>
      </c>
    </row>
    <row r="237" spans="1:7" ht="87">
      <c r="A237" s="338"/>
      <c r="B237" s="313" t="s">
        <v>484</v>
      </c>
      <c r="C237" s="323"/>
      <c r="D237" s="310" t="s">
        <v>998</v>
      </c>
      <c r="E237" s="311">
        <f>1500000*1.19</f>
        <v>1785000</v>
      </c>
      <c r="F237" s="310" t="s">
        <v>1152</v>
      </c>
      <c r="G237" s="312" t="s">
        <v>2417</v>
      </c>
    </row>
    <row r="238" spans="1:7" ht="87">
      <c r="A238" s="338"/>
      <c r="B238" s="313" t="s">
        <v>486</v>
      </c>
      <c r="C238" s="323"/>
      <c r="D238" s="310" t="s">
        <v>18</v>
      </c>
      <c r="E238" s="311">
        <f>E239*2</f>
        <v>4041240</v>
      </c>
      <c r="F238" s="310" t="s">
        <v>1152</v>
      </c>
      <c r="G238" s="312" t="s">
        <v>2417</v>
      </c>
    </row>
    <row r="239" spans="1:7" ht="87">
      <c r="A239" s="338"/>
      <c r="B239" s="313" t="s">
        <v>486</v>
      </c>
      <c r="C239" s="323"/>
      <c r="D239" s="310" t="s">
        <v>998</v>
      </c>
      <c r="E239" s="311">
        <f>1698000*1.19</f>
        <v>2020620</v>
      </c>
      <c r="F239" s="310" t="s">
        <v>1152</v>
      </c>
      <c r="G239" s="312" t="s">
        <v>2417</v>
      </c>
    </row>
    <row r="240" spans="1:7" ht="87">
      <c r="A240" s="338"/>
      <c r="B240" s="313" t="s">
        <v>488</v>
      </c>
      <c r="C240" s="323"/>
      <c r="D240" s="310" t="s">
        <v>18</v>
      </c>
      <c r="E240" s="311">
        <f>E241*3</f>
        <v>6525960</v>
      </c>
      <c r="F240" s="310" t="s">
        <v>1152</v>
      </c>
      <c r="G240" s="312" t="s">
        <v>2417</v>
      </c>
    </row>
    <row r="241" spans="1:7" ht="87">
      <c r="A241" s="338"/>
      <c r="B241" s="313" t="s">
        <v>488</v>
      </c>
      <c r="C241" s="323"/>
      <c r="D241" s="310" t="s">
        <v>998</v>
      </c>
      <c r="E241" s="311">
        <f>1828000*1.19</f>
        <v>2175320</v>
      </c>
      <c r="F241" s="310" t="s">
        <v>1152</v>
      </c>
      <c r="G241" s="312" t="s">
        <v>2417</v>
      </c>
    </row>
    <row r="242" spans="1:7" ht="104.4">
      <c r="A242" s="338"/>
      <c r="B242" s="313" t="s">
        <v>1862</v>
      </c>
      <c r="C242" s="323"/>
      <c r="D242" s="310" t="s">
        <v>18</v>
      </c>
      <c r="E242" s="311">
        <f>4494400*1.19</f>
        <v>5348336</v>
      </c>
      <c r="F242" s="310" t="s">
        <v>2476</v>
      </c>
      <c r="G242" s="312" t="s">
        <v>2417</v>
      </c>
    </row>
    <row r="243" spans="1:7" ht="104.4">
      <c r="A243" s="338"/>
      <c r="B243" s="313" t="s">
        <v>1862</v>
      </c>
      <c r="C243" s="323"/>
      <c r="D243" s="310" t="s">
        <v>37</v>
      </c>
      <c r="E243" s="311">
        <f>E242/7.425</f>
        <v>720314.61279461277</v>
      </c>
      <c r="F243" s="310" t="s">
        <v>1152</v>
      </c>
      <c r="G243" s="312"/>
    </row>
    <row r="244" spans="1:7" ht="104.4">
      <c r="A244" s="338"/>
      <c r="B244" s="313" t="s">
        <v>492</v>
      </c>
      <c r="C244" s="323"/>
      <c r="D244" s="310" t="s">
        <v>18</v>
      </c>
      <c r="E244" s="311">
        <f>27000000*1.5</f>
        <v>40500000</v>
      </c>
      <c r="F244" s="310" t="s">
        <v>1152</v>
      </c>
      <c r="G244" s="312"/>
    </row>
    <row r="245" spans="1:7" ht="104.4">
      <c r="A245" s="338"/>
      <c r="B245" s="313" t="s">
        <v>492</v>
      </c>
      <c r="C245" s="323"/>
      <c r="D245" s="310" t="s">
        <v>37</v>
      </c>
      <c r="E245" s="311">
        <f>E244/53.298</f>
        <v>759878.41945288749</v>
      </c>
      <c r="F245" s="310" t="s">
        <v>1152</v>
      </c>
      <c r="G245" s="312"/>
    </row>
    <row r="246" spans="1:7" ht="34.799999999999997">
      <c r="A246" s="338"/>
      <c r="B246" s="313" t="s">
        <v>1581</v>
      </c>
      <c r="C246" s="323"/>
      <c r="D246" s="310" t="s">
        <v>18</v>
      </c>
      <c r="E246" s="311">
        <f>E247*3</f>
        <v>6426000</v>
      </c>
      <c r="F246" s="310" t="s">
        <v>2476</v>
      </c>
      <c r="G246" s="312" t="s">
        <v>2417</v>
      </c>
    </row>
    <row r="247" spans="1:7" ht="34.799999999999997">
      <c r="A247" s="338"/>
      <c r="B247" s="313" t="s">
        <v>1581</v>
      </c>
      <c r="C247" s="323"/>
      <c r="D247" s="310" t="s">
        <v>998</v>
      </c>
      <c r="E247" s="311">
        <f>1800000*1.19</f>
        <v>2142000</v>
      </c>
      <c r="F247" s="310" t="s">
        <v>2476</v>
      </c>
      <c r="G247" s="312" t="s">
        <v>2417</v>
      </c>
    </row>
    <row r="248" spans="1:7" ht="34.799999999999997">
      <c r="A248" s="338"/>
      <c r="B248" s="313" t="s">
        <v>1582</v>
      </c>
      <c r="C248" s="323"/>
      <c r="D248" s="310" t="s">
        <v>998</v>
      </c>
      <c r="E248" s="311">
        <f>1050000*1.19</f>
        <v>1249500</v>
      </c>
      <c r="F248" s="310" t="s">
        <v>2476</v>
      </c>
      <c r="G248" s="312" t="s">
        <v>2417</v>
      </c>
    </row>
    <row r="249" spans="1:7" ht="34.799999999999997">
      <c r="A249" s="340"/>
      <c r="B249" s="313" t="s">
        <v>2426</v>
      </c>
      <c r="C249" s="323"/>
      <c r="D249" s="310" t="s">
        <v>18</v>
      </c>
      <c r="E249" s="311">
        <v>2805600</v>
      </c>
      <c r="F249" s="310" t="s">
        <v>1152</v>
      </c>
      <c r="G249" s="312"/>
    </row>
    <row r="250" spans="1:7" ht="34.799999999999997">
      <c r="A250" s="340"/>
      <c r="B250" s="313" t="s">
        <v>2426</v>
      </c>
      <c r="C250" s="323"/>
      <c r="D250" s="310" t="s">
        <v>37</v>
      </c>
      <c r="E250" s="311">
        <f>E249/6.4</f>
        <v>438375</v>
      </c>
      <c r="F250" s="310" t="s">
        <v>1152</v>
      </c>
      <c r="G250" s="312"/>
    </row>
    <row r="251" spans="1:7" ht="104.4">
      <c r="A251" s="340"/>
      <c r="B251" s="313" t="s">
        <v>2427</v>
      </c>
      <c r="C251" s="323"/>
      <c r="D251" s="310" t="s">
        <v>18</v>
      </c>
      <c r="E251" s="311">
        <v>147200000</v>
      </c>
      <c r="F251" s="310" t="s">
        <v>1152</v>
      </c>
      <c r="G251" s="312"/>
    </row>
    <row r="252" spans="1:7" ht="104.4">
      <c r="A252" s="340"/>
      <c r="B252" s="313" t="s">
        <v>2427</v>
      </c>
      <c r="C252" s="323"/>
      <c r="D252" s="310" t="s">
        <v>100</v>
      </c>
      <c r="E252" s="311">
        <f>E251/318.17</f>
        <v>462645.75541377248</v>
      </c>
      <c r="F252" s="310" t="s">
        <v>1152</v>
      </c>
      <c r="G252" s="312"/>
    </row>
    <row r="253" spans="1:7" ht="69.599999999999994">
      <c r="A253" s="338"/>
      <c r="B253" s="313" t="s">
        <v>506</v>
      </c>
      <c r="C253" s="323"/>
      <c r="D253" s="310" t="s">
        <v>18</v>
      </c>
      <c r="E253" s="311">
        <f>5856000*1.19</f>
        <v>6968640</v>
      </c>
      <c r="F253" s="310" t="s">
        <v>1152</v>
      </c>
      <c r="G253" s="312" t="s">
        <v>2417</v>
      </c>
    </row>
    <row r="254" spans="1:7" ht="69.599999999999994">
      <c r="A254" s="338"/>
      <c r="B254" s="313" t="s">
        <v>506</v>
      </c>
      <c r="C254" s="323"/>
      <c r="D254" s="310" t="s">
        <v>37</v>
      </c>
      <c r="E254" s="311">
        <f>E253/(6.06*1.6)</f>
        <v>718712.87128712877</v>
      </c>
      <c r="F254" s="310" t="s">
        <v>1152</v>
      </c>
      <c r="G254" s="312" t="s">
        <v>2417</v>
      </c>
    </row>
    <row r="255" spans="1:7" ht="69.599999999999994">
      <c r="A255" s="338"/>
      <c r="B255" s="313" t="s">
        <v>508</v>
      </c>
      <c r="C255" s="323"/>
      <c r="D255" s="310" t="s">
        <v>18</v>
      </c>
      <c r="E255" s="311">
        <f>4378000*1.19</f>
        <v>5209820</v>
      </c>
      <c r="F255" s="310" t="s">
        <v>1152</v>
      </c>
      <c r="G255" s="312" t="s">
        <v>2417</v>
      </c>
    </row>
    <row r="256" spans="1:7" ht="69.599999999999994">
      <c r="A256" s="338"/>
      <c r="B256" s="313" t="s">
        <v>508</v>
      </c>
      <c r="C256" s="323"/>
      <c r="D256" s="310" t="s">
        <v>37</v>
      </c>
      <c r="E256" s="311">
        <f>E255/(3.1*2.25)</f>
        <v>746927.59856630815</v>
      </c>
      <c r="F256" s="310" t="s">
        <v>1152</v>
      </c>
      <c r="G256" s="312" t="s">
        <v>2417</v>
      </c>
    </row>
    <row r="257" spans="1:7" ht="69.599999999999994">
      <c r="A257" s="338"/>
      <c r="B257" s="313" t="s">
        <v>510</v>
      </c>
      <c r="C257" s="323"/>
      <c r="D257" s="310" t="s">
        <v>18</v>
      </c>
      <c r="E257" s="311">
        <f>5664000*1.19</f>
        <v>6740160</v>
      </c>
      <c r="F257" s="310" t="s">
        <v>1152</v>
      </c>
      <c r="G257" s="312" t="s">
        <v>2417</v>
      </c>
    </row>
    <row r="258" spans="1:7" ht="69.599999999999994">
      <c r="A258" s="338"/>
      <c r="B258" s="313" t="s">
        <v>510</v>
      </c>
      <c r="C258" s="323"/>
      <c r="D258" s="310" t="s">
        <v>37</v>
      </c>
      <c r="E258" s="311">
        <f>E257/(5.9*1.6)</f>
        <v>713999.99999999988</v>
      </c>
      <c r="F258" s="310" t="s">
        <v>1152</v>
      </c>
      <c r="G258" s="312" t="s">
        <v>2417</v>
      </c>
    </row>
    <row r="259" spans="1:7" ht="69.599999999999994">
      <c r="A259" s="338"/>
      <c r="B259" s="313" t="s">
        <v>512</v>
      </c>
      <c r="C259" s="323"/>
      <c r="D259" s="310" t="s">
        <v>18</v>
      </c>
      <c r="E259" s="311">
        <f>6390000*1.19</f>
        <v>7604100</v>
      </c>
      <c r="F259" s="310" t="s">
        <v>1152</v>
      </c>
      <c r="G259" s="312" t="s">
        <v>2417</v>
      </c>
    </row>
    <row r="260" spans="1:7" ht="69.599999999999994">
      <c r="A260" s="338"/>
      <c r="B260" s="313" t="s">
        <v>512</v>
      </c>
      <c r="C260" s="323"/>
      <c r="D260" s="310" t="s">
        <v>37</v>
      </c>
      <c r="E260" s="311">
        <f>E259/(7.06*1.5)</f>
        <v>718045.32577903685</v>
      </c>
      <c r="F260" s="310" t="s">
        <v>1152</v>
      </c>
      <c r="G260" s="312" t="s">
        <v>2417</v>
      </c>
    </row>
    <row r="261" spans="1:7" ht="69.599999999999994">
      <c r="A261" s="338"/>
      <c r="B261" s="313" t="s">
        <v>514</v>
      </c>
      <c r="C261" s="325"/>
      <c r="D261" s="310" t="s">
        <v>18</v>
      </c>
      <c r="E261" s="311">
        <f>3412000*1.19</f>
        <v>4060280</v>
      </c>
      <c r="F261" s="310" t="s">
        <v>1152</v>
      </c>
      <c r="G261" s="312" t="s">
        <v>2417</v>
      </c>
    </row>
    <row r="262" spans="1:7" ht="69.599999999999994">
      <c r="A262" s="338"/>
      <c r="B262" s="313" t="s">
        <v>514</v>
      </c>
      <c r="C262" s="325"/>
      <c r="D262" s="310" t="s">
        <v>37</v>
      </c>
      <c r="E262" s="311">
        <f>E261/(2.4*2.25)</f>
        <v>751903.70370370382</v>
      </c>
      <c r="F262" s="310" t="s">
        <v>1152</v>
      </c>
      <c r="G262" s="312" t="s">
        <v>2417</v>
      </c>
    </row>
    <row r="263" spans="1:7" ht="69.599999999999994">
      <c r="A263" s="338"/>
      <c r="B263" s="313" t="s">
        <v>516</v>
      </c>
      <c r="C263" s="325"/>
      <c r="D263" s="310" t="s">
        <v>18</v>
      </c>
      <c r="E263" s="311">
        <f>6218000*1.19</f>
        <v>7399420</v>
      </c>
      <c r="F263" s="310" t="s">
        <v>1152</v>
      </c>
      <c r="G263" s="312" t="s">
        <v>2417</v>
      </c>
    </row>
    <row r="264" spans="1:7" ht="69.599999999999994">
      <c r="A264" s="338"/>
      <c r="B264" s="313" t="s">
        <v>516</v>
      </c>
      <c r="C264" s="325"/>
      <c r="D264" s="310" t="s">
        <v>37</v>
      </c>
      <c r="E264" s="311">
        <f>E263/(1.7*5.9)</f>
        <v>737728.81355932192</v>
      </c>
      <c r="F264" s="310" t="s">
        <v>1152</v>
      </c>
      <c r="G264" s="312" t="s">
        <v>2417</v>
      </c>
    </row>
    <row r="265" spans="1:7" ht="69.599999999999994">
      <c r="A265" s="338"/>
      <c r="B265" s="313" t="s">
        <v>518</v>
      </c>
      <c r="C265" s="325"/>
      <c r="D265" s="310" t="s">
        <v>18</v>
      </c>
      <c r="E265" s="311">
        <f>6824000*1.19</f>
        <v>8120560</v>
      </c>
      <c r="F265" s="310" t="s">
        <v>1152</v>
      </c>
      <c r="G265" s="312" t="s">
        <v>2417</v>
      </c>
    </row>
    <row r="266" spans="1:7" ht="69.599999999999994">
      <c r="A266" s="338"/>
      <c r="B266" s="313" t="s">
        <v>518</v>
      </c>
      <c r="C266" s="325"/>
      <c r="D266" s="310" t="s">
        <v>37</v>
      </c>
      <c r="E266" s="311">
        <f>E265/(1.6*6.9)</f>
        <v>735557.97101449268</v>
      </c>
      <c r="F266" s="310" t="s">
        <v>1152</v>
      </c>
      <c r="G266" s="312" t="s">
        <v>2417</v>
      </c>
    </row>
    <row r="267" spans="1:7" ht="69.599999999999994">
      <c r="A267" s="338"/>
      <c r="B267" s="313" t="s">
        <v>520</v>
      </c>
      <c r="C267" s="326"/>
      <c r="D267" s="310" t="s">
        <v>18</v>
      </c>
      <c r="E267" s="311">
        <f>5796000*1.19</f>
        <v>6897240</v>
      </c>
      <c r="F267" s="310" t="s">
        <v>1152</v>
      </c>
      <c r="G267" s="312" t="s">
        <v>2417</v>
      </c>
    </row>
    <row r="268" spans="1:7" ht="69.599999999999994">
      <c r="A268" s="338"/>
      <c r="B268" s="313" t="s">
        <v>520</v>
      </c>
      <c r="C268" s="326"/>
      <c r="D268" s="310" t="s">
        <v>37</v>
      </c>
      <c r="E268" s="311">
        <f>E267/(1.4*6.9)</f>
        <v>714000</v>
      </c>
      <c r="F268" s="310" t="s">
        <v>1152</v>
      </c>
      <c r="G268" s="312" t="s">
        <v>2417</v>
      </c>
    </row>
    <row r="269" spans="1:7" ht="69.599999999999994">
      <c r="A269" s="338"/>
      <c r="B269" s="313" t="s">
        <v>522</v>
      </c>
      <c r="C269" s="326"/>
      <c r="D269" s="310" t="s">
        <v>18</v>
      </c>
      <c r="E269" s="311">
        <f>2308000*1.19</f>
        <v>2746520</v>
      </c>
      <c r="F269" s="310" t="s">
        <v>1152</v>
      </c>
      <c r="G269" s="312" t="s">
        <v>2417</v>
      </c>
    </row>
    <row r="270" spans="1:7" ht="69.599999999999994">
      <c r="A270" s="338"/>
      <c r="B270" s="313" t="s">
        <v>522</v>
      </c>
      <c r="C270" s="326"/>
      <c r="D270" s="310" t="s">
        <v>37</v>
      </c>
      <c r="E270" s="311">
        <f>E269/(1.6*2.25)</f>
        <v>762922.22222222225</v>
      </c>
      <c r="F270" s="310" t="s">
        <v>1152</v>
      </c>
      <c r="G270" s="312" t="s">
        <v>2417</v>
      </c>
    </row>
    <row r="271" spans="1:7" ht="69.599999999999994">
      <c r="A271" s="338"/>
      <c r="B271" s="313" t="s">
        <v>524</v>
      </c>
      <c r="C271" s="326"/>
      <c r="D271" s="310" t="s">
        <v>18</v>
      </c>
      <c r="E271" s="311">
        <f>6322000*1.19</f>
        <v>7523180</v>
      </c>
      <c r="F271" s="310" t="s">
        <v>1152</v>
      </c>
      <c r="G271" s="312" t="s">
        <v>2417</v>
      </c>
    </row>
    <row r="272" spans="1:7" ht="69.599999999999994">
      <c r="A272" s="338"/>
      <c r="B272" s="313" t="s">
        <v>524</v>
      </c>
      <c r="C272" s="326"/>
      <c r="D272" s="310" t="s">
        <v>37</v>
      </c>
      <c r="E272" s="311">
        <f>E271/(1.7*6.06)</f>
        <v>730264.02640264027</v>
      </c>
      <c r="F272" s="310" t="s">
        <v>1152</v>
      </c>
      <c r="G272" s="312" t="s">
        <v>2417</v>
      </c>
    </row>
    <row r="273" spans="1:7" ht="69.599999999999994">
      <c r="A273" s="338"/>
      <c r="B273" s="313" t="s">
        <v>524</v>
      </c>
      <c r="C273" s="326"/>
      <c r="D273" s="310" t="s">
        <v>18</v>
      </c>
      <c r="E273" s="311">
        <f>6222000*1.19</f>
        <v>7404180</v>
      </c>
      <c r="F273" s="310" t="s">
        <v>1152</v>
      </c>
      <c r="G273" s="312" t="s">
        <v>2417</v>
      </c>
    </row>
    <row r="274" spans="1:7" ht="69.599999999999994">
      <c r="A274" s="338"/>
      <c r="B274" s="313" t="s">
        <v>524</v>
      </c>
      <c r="C274" s="326"/>
      <c r="D274" s="310" t="s">
        <v>37</v>
      </c>
      <c r="E274" s="311">
        <f>E273/(1.7*6.06)</f>
        <v>718712.87128712877</v>
      </c>
      <c r="F274" s="310" t="s">
        <v>1152</v>
      </c>
      <c r="G274" s="312" t="s">
        <v>2417</v>
      </c>
    </row>
    <row r="275" spans="1:7" ht="87">
      <c r="A275" s="338"/>
      <c r="B275" s="313" t="s">
        <v>527</v>
      </c>
      <c r="C275" s="326"/>
      <c r="D275" s="310" t="s">
        <v>18</v>
      </c>
      <c r="E275" s="311">
        <f>912000*1.19</f>
        <v>1085280</v>
      </c>
      <c r="F275" s="310" t="s">
        <v>1152</v>
      </c>
      <c r="G275" s="312" t="s">
        <v>2417</v>
      </c>
    </row>
    <row r="276" spans="1:7" ht="87">
      <c r="A276" s="338"/>
      <c r="B276" s="313" t="s">
        <v>527</v>
      </c>
      <c r="C276" s="326"/>
      <c r="D276" s="310" t="s">
        <v>37</v>
      </c>
      <c r="E276" s="311">
        <f>E275/(0.8*1.9)</f>
        <v>714000</v>
      </c>
      <c r="F276" s="310" t="s">
        <v>1152</v>
      </c>
      <c r="G276" s="312" t="s">
        <v>2417</v>
      </c>
    </row>
    <row r="277" spans="1:7" ht="87">
      <c r="A277" s="338"/>
      <c r="B277" s="313" t="s">
        <v>529</v>
      </c>
      <c r="C277" s="326"/>
      <c r="D277" s="310" t="s">
        <v>18</v>
      </c>
      <c r="E277" s="311">
        <f>673600*1.19</f>
        <v>801584</v>
      </c>
      <c r="F277" s="310" t="s">
        <v>2476</v>
      </c>
      <c r="G277" s="312" t="s">
        <v>2417</v>
      </c>
    </row>
    <row r="278" spans="1:7" ht="87">
      <c r="A278" s="338"/>
      <c r="B278" s="313" t="s">
        <v>529</v>
      </c>
      <c r="C278" s="326"/>
      <c r="D278" s="310" t="s">
        <v>37</v>
      </c>
      <c r="E278" s="311">
        <f>E277/(0.8*1.9)</f>
        <v>527357.89473684214</v>
      </c>
      <c r="F278" s="310" t="s">
        <v>2476</v>
      </c>
      <c r="G278" s="312" t="s">
        <v>2417</v>
      </c>
    </row>
    <row r="279" spans="1:7" ht="87">
      <c r="A279" s="338"/>
      <c r="B279" s="313" t="s">
        <v>531</v>
      </c>
      <c r="C279" s="326"/>
      <c r="D279" s="310" t="s">
        <v>18</v>
      </c>
      <c r="E279" s="311">
        <f>774400*1.19</f>
        <v>921536</v>
      </c>
      <c r="F279" s="310" t="s">
        <v>1152</v>
      </c>
      <c r="G279" s="312" t="s">
        <v>2417</v>
      </c>
    </row>
    <row r="280" spans="1:7" ht="87">
      <c r="A280" s="338"/>
      <c r="B280" s="313" t="s">
        <v>531</v>
      </c>
      <c r="C280" s="326"/>
      <c r="D280" s="310" t="s">
        <v>37</v>
      </c>
      <c r="E280" s="311">
        <f>E279/(0.8*2.2)</f>
        <v>523599.99999999994</v>
      </c>
      <c r="F280" s="310" t="s">
        <v>1152</v>
      </c>
      <c r="G280" s="312" t="s">
        <v>2417</v>
      </c>
    </row>
    <row r="281" spans="1:7" ht="87">
      <c r="A281" s="338"/>
      <c r="B281" s="313" t="s">
        <v>533</v>
      </c>
      <c r="C281" s="326"/>
      <c r="D281" s="310" t="s">
        <v>18</v>
      </c>
      <c r="E281" s="311">
        <f>164040*1.19</f>
        <v>195207.59999999998</v>
      </c>
      <c r="F281" s="310" t="s">
        <v>1152</v>
      </c>
      <c r="G281" s="312" t="s">
        <v>2417</v>
      </c>
    </row>
    <row r="282" spans="1:7" ht="87">
      <c r="A282" s="338"/>
      <c r="B282" s="313" t="s">
        <v>533</v>
      </c>
      <c r="C282" s="326"/>
      <c r="D282" s="310" t="s">
        <v>37</v>
      </c>
      <c r="E282" s="311">
        <f>E281/(0.4*0.4)</f>
        <v>1220047.4999999995</v>
      </c>
      <c r="F282" s="310" t="s">
        <v>1152</v>
      </c>
      <c r="G282" s="312" t="s">
        <v>2417</v>
      </c>
    </row>
    <row r="283" spans="1:7" ht="87">
      <c r="A283" s="338"/>
      <c r="B283" s="313" t="s">
        <v>535</v>
      </c>
      <c r="C283" s="326"/>
      <c r="D283" s="310" t="s">
        <v>18</v>
      </c>
      <c r="E283" s="311">
        <f>4620000*1.19</f>
        <v>5497800</v>
      </c>
      <c r="F283" s="310" t="s">
        <v>1152</v>
      </c>
      <c r="G283" s="312" t="s">
        <v>2417</v>
      </c>
    </row>
    <row r="284" spans="1:7" ht="87">
      <c r="A284" s="338"/>
      <c r="B284" s="313" t="s">
        <v>535</v>
      </c>
      <c r="C284" s="326"/>
      <c r="D284" s="310" t="s">
        <v>37</v>
      </c>
      <c r="E284" s="311">
        <f>E283/(3.5*2.2)</f>
        <v>713999.99999999988</v>
      </c>
      <c r="F284" s="310" t="s">
        <v>1152</v>
      </c>
      <c r="G284" s="312" t="s">
        <v>2417</v>
      </c>
    </row>
    <row r="285" spans="1:7" ht="69.599999999999994">
      <c r="A285" s="338"/>
      <c r="B285" s="313" t="s">
        <v>537</v>
      </c>
      <c r="C285" s="326"/>
      <c r="D285" s="310" t="s">
        <v>18</v>
      </c>
      <c r="E285" s="311">
        <f>1828000*1.19</f>
        <v>2175320</v>
      </c>
      <c r="F285" s="310" t="s">
        <v>1152</v>
      </c>
      <c r="G285" s="312" t="s">
        <v>2417</v>
      </c>
    </row>
    <row r="286" spans="1:7" ht="69.599999999999994">
      <c r="A286" s="338"/>
      <c r="B286" s="313" t="s">
        <v>537</v>
      </c>
      <c r="C286" s="326"/>
      <c r="D286" s="310" t="s">
        <v>37</v>
      </c>
      <c r="E286" s="311">
        <f>E285/(1.2*2.4)</f>
        <v>755319.4444444445</v>
      </c>
      <c r="F286" s="310" t="s">
        <v>1152</v>
      </c>
      <c r="G286" s="312" t="s">
        <v>2417</v>
      </c>
    </row>
    <row r="287" spans="1:7" ht="69.599999999999994">
      <c r="A287" s="338"/>
      <c r="B287" s="313" t="s">
        <v>539</v>
      </c>
      <c r="C287" s="326"/>
      <c r="D287" s="310" t="s">
        <v>18</v>
      </c>
      <c r="E287" s="311">
        <f>1252000*1.19</f>
        <v>1489880</v>
      </c>
      <c r="F287" s="310" t="s">
        <v>1152</v>
      </c>
      <c r="G287" s="312" t="s">
        <v>2417</v>
      </c>
    </row>
    <row r="288" spans="1:7" ht="69.599999999999994">
      <c r="A288" s="338"/>
      <c r="B288" s="313" t="s">
        <v>539</v>
      </c>
      <c r="C288" s="326"/>
      <c r="D288" s="310" t="s">
        <v>37</v>
      </c>
      <c r="E288" s="311">
        <f>E287/(0.6*3.2)</f>
        <v>775979.16666666674</v>
      </c>
      <c r="F288" s="310" t="s">
        <v>1152</v>
      </c>
      <c r="G288" s="312" t="s">
        <v>2417</v>
      </c>
    </row>
    <row r="289" spans="1:7" ht="87">
      <c r="A289" s="338"/>
      <c r="B289" s="313" t="s">
        <v>541</v>
      </c>
      <c r="C289" s="326"/>
      <c r="D289" s="310" t="s">
        <v>18</v>
      </c>
      <c r="E289" s="311">
        <f>2448000*1.19</f>
        <v>2913120</v>
      </c>
      <c r="F289" s="310" t="s">
        <v>1152</v>
      </c>
      <c r="G289" s="312" t="s">
        <v>2417</v>
      </c>
    </row>
    <row r="290" spans="1:7" ht="87">
      <c r="A290" s="338"/>
      <c r="B290" s="313" t="s">
        <v>541</v>
      </c>
      <c r="C290" s="323"/>
      <c r="D290" s="310" t="s">
        <v>37</v>
      </c>
      <c r="E290" s="311">
        <f>E289/(1.7*2.4)</f>
        <v>714000</v>
      </c>
      <c r="F290" s="310" t="s">
        <v>1152</v>
      </c>
      <c r="G290" s="312" t="s">
        <v>2417</v>
      </c>
    </row>
    <row r="291" spans="1:7" ht="87">
      <c r="A291" s="338"/>
      <c r="B291" s="313" t="s">
        <v>543</v>
      </c>
      <c r="C291" s="326"/>
      <c r="D291" s="310" t="s">
        <v>18</v>
      </c>
      <c r="E291" s="311">
        <f>2448000*1.19</f>
        <v>2913120</v>
      </c>
      <c r="F291" s="310" t="s">
        <v>1152</v>
      </c>
      <c r="G291" s="312" t="s">
        <v>2417</v>
      </c>
    </row>
    <row r="292" spans="1:7" ht="87">
      <c r="A292" s="338"/>
      <c r="B292" s="313" t="s">
        <v>543</v>
      </c>
      <c r="C292" s="326"/>
      <c r="D292" s="310" t="s">
        <v>37</v>
      </c>
      <c r="E292" s="311">
        <f>E291/(1.7*2.4)</f>
        <v>714000</v>
      </c>
      <c r="F292" s="310" t="s">
        <v>1152</v>
      </c>
      <c r="G292" s="312" t="s">
        <v>2417</v>
      </c>
    </row>
    <row r="293" spans="1:7" ht="52.2">
      <c r="A293" s="338"/>
      <c r="B293" s="313" t="s">
        <v>545</v>
      </c>
      <c r="C293" s="326"/>
      <c r="D293" s="310" t="s">
        <v>18</v>
      </c>
      <c r="E293" s="311">
        <f>3120000*1.19</f>
        <v>3712800</v>
      </c>
      <c r="F293" s="310" t="s">
        <v>1152</v>
      </c>
      <c r="G293" s="312" t="s">
        <v>2417</v>
      </c>
    </row>
    <row r="294" spans="1:7" ht="52.2">
      <c r="A294" s="338"/>
      <c r="B294" s="313" t="s">
        <v>545</v>
      </c>
      <c r="C294" s="326"/>
      <c r="D294" s="310" t="s">
        <v>37</v>
      </c>
      <c r="E294" s="311">
        <f>+E293/(1.25*4)</f>
        <v>742560</v>
      </c>
      <c r="F294" s="310" t="s">
        <v>1152</v>
      </c>
      <c r="G294" s="312" t="s">
        <v>2417</v>
      </c>
    </row>
    <row r="295" spans="1:7" ht="52.2">
      <c r="A295" s="338"/>
      <c r="B295" s="313" t="s">
        <v>547</v>
      </c>
      <c r="C295" s="326"/>
      <c r="D295" s="310" t="s">
        <v>18</v>
      </c>
      <c r="E295" s="311">
        <f>780000*1.19</f>
        <v>928200</v>
      </c>
      <c r="F295" s="310" t="s">
        <v>1152</v>
      </c>
      <c r="G295" s="312" t="s">
        <v>2417</v>
      </c>
    </row>
    <row r="296" spans="1:7" ht="52.2">
      <c r="A296" s="338"/>
      <c r="B296" s="313" t="s">
        <v>547</v>
      </c>
      <c r="C296" s="326"/>
      <c r="D296" s="310" t="s">
        <v>37</v>
      </c>
      <c r="E296" s="311">
        <f>E295/(1.25*0.8)</f>
        <v>928200</v>
      </c>
      <c r="F296" s="310" t="s">
        <v>1152</v>
      </c>
      <c r="G296" s="312" t="s">
        <v>2417</v>
      </c>
    </row>
    <row r="297" spans="1:7" ht="69.599999999999994">
      <c r="A297" s="338"/>
      <c r="B297" s="313" t="s">
        <v>549</v>
      </c>
      <c r="C297" s="326"/>
      <c r="D297" s="310" t="s">
        <v>18</v>
      </c>
      <c r="E297" s="311">
        <f>5854000*1.5</f>
        <v>8781000</v>
      </c>
      <c r="F297" s="310" t="s">
        <v>1152</v>
      </c>
      <c r="G297" s="312" t="s">
        <v>2417</v>
      </c>
    </row>
    <row r="298" spans="1:7" ht="69.599999999999994">
      <c r="A298" s="338"/>
      <c r="B298" s="313" t="s">
        <v>549</v>
      </c>
      <c r="C298" s="326"/>
      <c r="D298" s="310" t="s">
        <v>37</v>
      </c>
      <c r="E298" s="311">
        <f>+E297/17.766</f>
        <v>494258.69638635602</v>
      </c>
      <c r="F298" s="310" t="s">
        <v>1152</v>
      </c>
      <c r="G298" s="312"/>
    </row>
    <row r="299" spans="1:7" ht="34.799999999999997">
      <c r="A299" s="338"/>
      <c r="B299" s="313" t="s">
        <v>551</v>
      </c>
      <c r="C299" s="326"/>
      <c r="D299" s="310" t="s">
        <v>18</v>
      </c>
      <c r="E299" s="311">
        <f>4328000*1.19</f>
        <v>5150320</v>
      </c>
      <c r="F299" s="310" t="s">
        <v>1152</v>
      </c>
      <c r="G299" s="312" t="s">
        <v>2417</v>
      </c>
    </row>
    <row r="300" spans="1:7" ht="34.799999999999997">
      <c r="A300" s="338"/>
      <c r="B300" s="313" t="s">
        <v>551</v>
      </c>
      <c r="C300" s="326"/>
      <c r="D300" s="310" t="s">
        <v>37</v>
      </c>
      <c r="E300" s="311">
        <f>E299/(4.26*1.6)</f>
        <v>755622.06572769955</v>
      </c>
      <c r="F300" s="310" t="s">
        <v>1152</v>
      </c>
      <c r="G300" s="312" t="s">
        <v>2417</v>
      </c>
    </row>
    <row r="301" spans="1:7" ht="52.2">
      <c r="A301" s="338"/>
      <c r="B301" s="313" t="s">
        <v>553</v>
      </c>
      <c r="C301" s="326"/>
      <c r="D301" s="310" t="s">
        <v>18</v>
      </c>
      <c r="E301" s="311">
        <f>150000*1.19</f>
        <v>178500</v>
      </c>
      <c r="F301" s="310" t="s">
        <v>1152</v>
      </c>
      <c r="G301" s="312" t="s">
        <v>2417</v>
      </c>
    </row>
    <row r="302" spans="1:7" ht="52.2">
      <c r="A302" s="338"/>
      <c r="B302" s="313" t="s">
        <v>553</v>
      </c>
      <c r="C302" s="326"/>
      <c r="D302" s="310" t="s">
        <v>37</v>
      </c>
      <c r="E302" s="311">
        <f>+E301</f>
        <v>178500</v>
      </c>
      <c r="F302" s="310" t="s">
        <v>1152</v>
      </c>
      <c r="G302" s="312" t="s">
        <v>2417</v>
      </c>
    </row>
    <row r="303" spans="1:7" ht="52.2">
      <c r="A303" s="338"/>
      <c r="B303" s="313" t="s">
        <v>555</v>
      </c>
      <c r="C303" s="326"/>
      <c r="D303" s="310" t="s">
        <v>18</v>
      </c>
      <c r="E303" s="311">
        <f>630000*1.19</f>
        <v>749700</v>
      </c>
      <c r="F303" s="310" t="s">
        <v>1152</v>
      </c>
      <c r="G303" s="312" t="s">
        <v>2417</v>
      </c>
    </row>
    <row r="304" spans="1:7" ht="52.2">
      <c r="A304" s="338"/>
      <c r="B304" s="313" t="s">
        <v>555</v>
      </c>
      <c r="C304" s="326"/>
      <c r="D304" s="310" t="s">
        <v>37</v>
      </c>
      <c r="E304" s="311">
        <f>+E303/(0.6*2.1)</f>
        <v>595000</v>
      </c>
      <c r="F304" s="310" t="s">
        <v>1152</v>
      </c>
      <c r="G304" s="312" t="s">
        <v>2417</v>
      </c>
    </row>
    <row r="305" spans="1:7" ht="52.2">
      <c r="A305" s="338"/>
      <c r="B305" s="313" t="s">
        <v>557</v>
      </c>
      <c r="C305" s="326"/>
      <c r="D305" s="310" t="s">
        <v>18</v>
      </c>
      <c r="E305" s="311">
        <f>350000*1.19</f>
        <v>416500</v>
      </c>
      <c r="F305" s="310" t="s">
        <v>1152</v>
      </c>
      <c r="G305" s="312" t="s">
        <v>2417</v>
      </c>
    </row>
    <row r="306" spans="1:7" ht="52.2">
      <c r="A306" s="338"/>
      <c r="B306" s="313" t="s">
        <v>557</v>
      </c>
      <c r="C306" s="326"/>
      <c r="D306" s="310" t="s">
        <v>37</v>
      </c>
      <c r="E306" s="311">
        <f>E305/(0.6*1.1)</f>
        <v>631060.60606060608</v>
      </c>
      <c r="F306" s="310" t="s">
        <v>1152</v>
      </c>
      <c r="G306" s="312" t="s">
        <v>2417</v>
      </c>
    </row>
    <row r="307" spans="1:7" ht="69.599999999999994">
      <c r="A307" s="338"/>
      <c r="B307" s="313" t="s">
        <v>559</v>
      </c>
      <c r="C307" s="326"/>
      <c r="D307" s="310" t="s">
        <v>18</v>
      </c>
      <c r="E307" s="311">
        <f>1870000*1.19</f>
        <v>2225300</v>
      </c>
      <c r="F307" s="310" t="s">
        <v>1152</v>
      </c>
      <c r="G307" s="312" t="s">
        <v>2417</v>
      </c>
    </row>
    <row r="308" spans="1:7" ht="69.599999999999994">
      <c r="A308" s="338"/>
      <c r="B308" s="313" t="s">
        <v>559</v>
      </c>
      <c r="C308" s="323"/>
      <c r="D308" s="310" t="s">
        <v>37</v>
      </c>
      <c r="E308" s="311">
        <f>E307/(4.1*2.25)</f>
        <v>241224.9322493225</v>
      </c>
      <c r="F308" s="310" t="s">
        <v>1152</v>
      </c>
      <c r="G308" s="312" t="s">
        <v>2417</v>
      </c>
    </row>
    <row r="309" spans="1:7" ht="52.2">
      <c r="A309" s="317"/>
      <c r="B309" s="313" t="s">
        <v>1153</v>
      </c>
      <c r="C309" s="323"/>
      <c r="D309" s="310" t="s">
        <v>998</v>
      </c>
      <c r="E309" s="311">
        <v>390900</v>
      </c>
      <c r="F309" s="310" t="s">
        <v>1016</v>
      </c>
      <c r="G309" s="314" t="s">
        <v>1154</v>
      </c>
    </row>
    <row r="310" spans="1:7">
      <c r="A310" s="317"/>
      <c r="B310" s="313" t="s">
        <v>1155</v>
      </c>
      <c r="C310" s="323"/>
      <c r="D310" s="310" t="s">
        <v>998</v>
      </c>
      <c r="E310" s="324">
        <v>230000</v>
      </c>
      <c r="F310" s="310" t="s">
        <v>1156</v>
      </c>
      <c r="G310" s="312" t="s">
        <v>1004</v>
      </c>
    </row>
    <row r="311" spans="1:7" ht="28.8">
      <c r="A311" s="317"/>
      <c r="B311" s="313" t="s">
        <v>1157</v>
      </c>
      <c r="C311" s="323"/>
      <c r="D311" s="310" t="s">
        <v>39</v>
      </c>
      <c r="E311" s="311">
        <f>E25*(1500)</f>
        <v>408750</v>
      </c>
      <c r="F311" s="310" t="s">
        <v>1016</v>
      </c>
      <c r="G311" s="254" t="s">
        <v>1357</v>
      </c>
    </row>
    <row r="312" spans="1:7">
      <c r="A312" s="317"/>
      <c r="B312" s="313" t="s">
        <v>1155</v>
      </c>
      <c r="C312" s="323"/>
      <c r="D312" s="310" t="s">
        <v>37</v>
      </c>
      <c r="E312" s="324">
        <v>1020000</v>
      </c>
      <c r="F312" s="310" t="s">
        <v>1156</v>
      </c>
      <c r="G312" s="312" t="s">
        <v>1004</v>
      </c>
    </row>
    <row r="313" spans="1:7">
      <c r="A313" s="318"/>
      <c r="B313" s="313" t="s">
        <v>1158</v>
      </c>
      <c r="C313" s="323"/>
      <c r="D313" s="310" t="s">
        <v>39</v>
      </c>
      <c r="E313" s="324">
        <v>409300</v>
      </c>
      <c r="F313" s="310" t="s">
        <v>1004</v>
      </c>
      <c r="G313" s="312" t="s">
        <v>1011</v>
      </c>
    </row>
    <row r="314" spans="1:7" ht="28.8">
      <c r="A314" s="317"/>
      <c r="B314" s="313" t="s">
        <v>358</v>
      </c>
      <c r="C314" s="323"/>
      <c r="D314" s="310" t="s">
        <v>37</v>
      </c>
      <c r="E314" s="324">
        <v>2852</v>
      </c>
      <c r="F314" s="310" t="s">
        <v>1078</v>
      </c>
      <c r="G314" s="254" t="s">
        <v>1356</v>
      </c>
    </row>
    <row r="315" spans="1:7" ht="28.8">
      <c r="A315" s="317"/>
      <c r="B315" s="313" t="s">
        <v>359</v>
      </c>
      <c r="C315" s="323"/>
      <c r="D315" s="310" t="s">
        <v>100</v>
      </c>
      <c r="E315" s="324">
        <v>1484</v>
      </c>
      <c r="F315" s="310" t="s">
        <v>1078</v>
      </c>
      <c r="G315" s="254" t="s">
        <v>1356</v>
      </c>
    </row>
    <row r="316" spans="1:7" ht="28.8">
      <c r="A316" s="317"/>
      <c r="B316" s="313" t="s">
        <v>1159</v>
      </c>
      <c r="C316" s="323"/>
      <c r="D316" s="310" t="s">
        <v>37</v>
      </c>
      <c r="E316" s="324">
        <v>147725</v>
      </c>
      <c r="F316" s="310" t="s">
        <v>1078</v>
      </c>
      <c r="G316" s="254" t="s">
        <v>1356</v>
      </c>
    </row>
    <row r="317" spans="1:7" ht="53.25" customHeight="1">
      <c r="A317" s="317"/>
      <c r="B317" s="313" t="s">
        <v>1463</v>
      </c>
      <c r="C317" s="313"/>
      <c r="D317" s="310" t="s">
        <v>998</v>
      </c>
      <c r="E317" s="324">
        <v>122900</v>
      </c>
      <c r="F317" s="310" t="s">
        <v>1014</v>
      </c>
      <c r="G317" s="254" t="s">
        <v>1462</v>
      </c>
    </row>
    <row r="318" spans="1:7" ht="117.75" customHeight="1">
      <c r="A318" s="317"/>
      <c r="B318" s="313" t="s">
        <v>1502</v>
      </c>
      <c r="C318" s="313"/>
      <c r="D318" s="310" t="s">
        <v>998</v>
      </c>
      <c r="E318" s="324">
        <v>270600</v>
      </c>
      <c r="F318" s="310" t="s">
        <v>1500</v>
      </c>
      <c r="G318" s="254" t="s">
        <v>1499</v>
      </c>
    </row>
    <row r="319" spans="1:7" ht="57.6">
      <c r="A319" s="317"/>
      <c r="B319" s="313" t="s">
        <v>1503</v>
      </c>
      <c r="C319" s="313"/>
      <c r="D319" s="310" t="s">
        <v>34</v>
      </c>
      <c r="E319" s="324">
        <v>193900</v>
      </c>
      <c r="F319" s="310" t="s">
        <v>1016</v>
      </c>
      <c r="G319" s="254" t="s">
        <v>1504</v>
      </c>
    </row>
    <row r="320" spans="1:7">
      <c r="A320" s="317"/>
      <c r="B320" s="313" t="s">
        <v>1514</v>
      </c>
      <c r="C320" s="313"/>
      <c r="D320" s="310" t="s">
        <v>321</v>
      </c>
      <c r="E320" s="324">
        <v>228900</v>
      </c>
      <c r="F320" s="310" t="s">
        <v>1016</v>
      </c>
      <c r="G320" s="254" t="s">
        <v>1513</v>
      </c>
    </row>
    <row r="321" spans="1:7">
      <c r="A321" s="317"/>
      <c r="B321" s="313" t="s">
        <v>1515</v>
      </c>
      <c r="C321" s="313"/>
      <c r="D321" s="310" t="s">
        <v>96</v>
      </c>
      <c r="E321" s="324">
        <f>E320/20</f>
        <v>11445</v>
      </c>
      <c r="F321" s="310" t="s">
        <v>1016</v>
      </c>
      <c r="G321" s="254" t="s">
        <v>1513</v>
      </c>
    </row>
    <row r="322" spans="1:7">
      <c r="A322" s="317"/>
      <c r="B322" s="313" t="s">
        <v>1520</v>
      </c>
      <c r="C322" s="313"/>
      <c r="D322" s="310" t="s">
        <v>100</v>
      </c>
      <c r="E322" s="324">
        <v>1353</v>
      </c>
      <c r="F322" s="310" t="s">
        <v>1521</v>
      </c>
      <c r="G322" s="254"/>
    </row>
    <row r="323" spans="1:7" ht="51" customHeight="1">
      <c r="A323" s="317"/>
      <c r="B323" s="313" t="s">
        <v>1524</v>
      </c>
      <c r="C323" s="313"/>
      <c r="D323" s="310" t="s">
        <v>998</v>
      </c>
      <c r="E323" s="324">
        <v>1400</v>
      </c>
      <c r="F323" s="310" t="s">
        <v>1016</v>
      </c>
      <c r="G323" s="254" t="s">
        <v>1523</v>
      </c>
    </row>
    <row r="324" spans="1:7" ht="51" customHeight="1">
      <c r="A324" s="317"/>
      <c r="B324" s="313" t="s">
        <v>1524</v>
      </c>
      <c r="C324" s="313"/>
      <c r="D324" s="310" t="s">
        <v>100</v>
      </c>
      <c r="E324" s="324">
        <f>E323/2.9</f>
        <v>482.75862068965517</v>
      </c>
      <c r="F324" s="310" t="s">
        <v>1016</v>
      </c>
      <c r="G324" s="254" t="s">
        <v>1523</v>
      </c>
    </row>
    <row r="325" spans="1:7" ht="51" customHeight="1">
      <c r="A325" s="317"/>
      <c r="B325" s="313" t="s">
        <v>1537</v>
      </c>
      <c r="C325" s="313"/>
      <c r="D325" s="310" t="s">
        <v>998</v>
      </c>
      <c r="E325" s="324">
        <v>98900</v>
      </c>
      <c r="F325" s="310" t="s">
        <v>1016</v>
      </c>
      <c r="G325" s="254" t="s">
        <v>1536</v>
      </c>
    </row>
    <row r="326" spans="1:7" ht="51" customHeight="1">
      <c r="A326" s="317"/>
      <c r="B326" s="313" t="s">
        <v>1537</v>
      </c>
      <c r="C326" s="313"/>
      <c r="D326" s="310" t="s">
        <v>37</v>
      </c>
      <c r="E326" s="324">
        <f>E325/(30*1.2)</f>
        <v>2747.2222222222222</v>
      </c>
      <c r="F326" s="310" t="s">
        <v>1016</v>
      </c>
      <c r="G326" s="254" t="s">
        <v>1536</v>
      </c>
    </row>
    <row r="327" spans="1:7">
      <c r="A327" s="317"/>
      <c r="B327" s="313" t="s">
        <v>1545</v>
      </c>
      <c r="C327" s="313"/>
      <c r="D327" s="310" t="s">
        <v>998</v>
      </c>
      <c r="E327" s="324">
        <v>6390</v>
      </c>
      <c r="F327" s="310" t="s">
        <v>1308</v>
      </c>
      <c r="G327" s="254" t="s">
        <v>1544</v>
      </c>
    </row>
    <row r="328" spans="1:7">
      <c r="A328" s="317"/>
      <c r="B328" s="313" t="s">
        <v>1546</v>
      </c>
      <c r="C328" s="313"/>
      <c r="D328" s="310" t="s">
        <v>34</v>
      </c>
      <c r="E328" s="324">
        <f>E327/40</f>
        <v>159.75</v>
      </c>
      <c r="F328" s="310" t="s">
        <v>1308</v>
      </c>
      <c r="G328" s="254" t="s">
        <v>1544</v>
      </c>
    </row>
    <row r="329" spans="1:7" ht="51.75" customHeight="1">
      <c r="A329" s="317"/>
      <c r="B329" s="313" t="s">
        <v>1548</v>
      </c>
      <c r="C329" s="313"/>
      <c r="D329" s="310" t="s">
        <v>998</v>
      </c>
      <c r="E329" s="324">
        <v>19900</v>
      </c>
      <c r="F329" s="310" t="s">
        <v>1016</v>
      </c>
      <c r="G329" s="254" t="s">
        <v>1549</v>
      </c>
    </row>
    <row r="330" spans="1:7" ht="51.75" customHeight="1">
      <c r="A330" s="317"/>
      <c r="B330" s="313" t="s">
        <v>1548</v>
      </c>
      <c r="C330" s="313"/>
      <c r="D330" s="310" t="s">
        <v>34</v>
      </c>
      <c r="E330" s="324">
        <f>E329/10</f>
        <v>1990</v>
      </c>
      <c r="F330" s="310" t="s">
        <v>1016</v>
      </c>
      <c r="G330" s="254" t="s">
        <v>1549</v>
      </c>
    </row>
    <row r="331" spans="1:7" ht="51.75" customHeight="1">
      <c r="A331" s="317"/>
      <c r="B331" s="313" t="s">
        <v>2386</v>
      </c>
      <c r="C331" s="313"/>
      <c r="D331" s="310" t="s">
        <v>998</v>
      </c>
      <c r="E331" s="324">
        <v>75600</v>
      </c>
      <c r="F331" s="310" t="s">
        <v>1014</v>
      </c>
      <c r="G331" s="254" t="s">
        <v>2387</v>
      </c>
    </row>
    <row r="332" spans="1:7" ht="42" customHeight="1">
      <c r="A332" s="317"/>
      <c r="B332" s="313" t="s">
        <v>2397</v>
      </c>
      <c r="C332" s="313"/>
      <c r="D332" s="310" t="s">
        <v>998</v>
      </c>
      <c r="E332" s="324">
        <v>234000</v>
      </c>
      <c r="F332" s="310" t="s">
        <v>1014</v>
      </c>
      <c r="G332" s="254" t="s">
        <v>2396</v>
      </c>
    </row>
    <row r="333" spans="1:7" ht="42" customHeight="1">
      <c r="A333" s="317"/>
      <c r="B333" s="313" t="s">
        <v>2430</v>
      </c>
      <c r="C333" s="313"/>
      <c r="D333" s="310" t="s">
        <v>998</v>
      </c>
      <c r="E333" s="324">
        <v>18200</v>
      </c>
      <c r="F333" s="310" t="s">
        <v>1014</v>
      </c>
      <c r="G333" s="254" t="s">
        <v>2431</v>
      </c>
    </row>
    <row r="334" spans="1:7" ht="42" customHeight="1">
      <c r="A334" s="317"/>
      <c r="B334" s="313" t="s">
        <v>2434</v>
      </c>
      <c r="C334" s="313"/>
      <c r="D334" s="310" t="s">
        <v>998</v>
      </c>
      <c r="E334" s="324">
        <v>609900</v>
      </c>
      <c r="F334" s="310" t="s">
        <v>1016</v>
      </c>
      <c r="G334" s="254" t="s">
        <v>2433</v>
      </c>
    </row>
    <row r="335" spans="1:7">
      <c r="A335" s="317"/>
      <c r="B335" s="313" t="s">
        <v>2437</v>
      </c>
      <c r="C335" s="313"/>
      <c r="D335" s="310" t="s">
        <v>998</v>
      </c>
      <c r="E335" s="324">
        <v>520700</v>
      </c>
      <c r="F335" s="310" t="s">
        <v>1014</v>
      </c>
      <c r="G335" s="254" t="s">
        <v>2438</v>
      </c>
    </row>
    <row r="336" spans="1:7" ht="37.5" customHeight="1">
      <c r="A336" s="317"/>
      <c r="B336" s="313" t="s">
        <v>2444</v>
      </c>
      <c r="C336" s="313"/>
      <c r="D336" s="310" t="s">
        <v>998</v>
      </c>
      <c r="E336" s="324">
        <v>510200</v>
      </c>
      <c r="F336" s="310" t="s">
        <v>1014</v>
      </c>
      <c r="G336" s="254" t="s">
        <v>2443</v>
      </c>
    </row>
    <row r="337" spans="1:7" ht="54" customHeight="1">
      <c r="A337" s="317"/>
      <c r="B337" s="313" t="s">
        <v>2440</v>
      </c>
      <c r="C337" s="313"/>
      <c r="D337" s="310" t="s">
        <v>998</v>
      </c>
      <c r="E337" s="324">
        <v>20300</v>
      </c>
      <c r="F337" s="310" t="s">
        <v>1016</v>
      </c>
      <c r="G337" s="254" t="s">
        <v>2441</v>
      </c>
    </row>
    <row r="338" spans="1:7">
      <c r="A338" s="317"/>
      <c r="B338" s="313" t="s">
        <v>2449</v>
      </c>
      <c r="C338" s="313"/>
      <c r="D338" s="310" t="s">
        <v>998</v>
      </c>
      <c r="E338" s="324">
        <v>631900</v>
      </c>
      <c r="F338" s="310" t="s">
        <v>2450</v>
      </c>
      <c r="G338" s="254" t="s">
        <v>2451</v>
      </c>
    </row>
    <row r="339" spans="1:7" ht="28.8">
      <c r="A339" s="317"/>
      <c r="B339" s="313" t="s">
        <v>2452</v>
      </c>
      <c r="C339" s="313"/>
      <c r="D339" s="310" t="s">
        <v>998</v>
      </c>
      <c r="E339" s="324">
        <v>54900</v>
      </c>
      <c r="F339" s="310" t="s">
        <v>1014</v>
      </c>
      <c r="G339" s="254" t="s">
        <v>2453</v>
      </c>
    </row>
    <row r="340" spans="1:7">
      <c r="B340" s="313" t="s">
        <v>1160</v>
      </c>
      <c r="C340" s="313"/>
      <c r="D340" s="310" t="s">
        <v>998</v>
      </c>
      <c r="E340" s="324">
        <v>37000</v>
      </c>
      <c r="F340" s="310"/>
      <c r="G340" s="313"/>
    </row>
    <row r="341" spans="1:7">
      <c r="B341" s="313" t="s">
        <v>1161</v>
      </c>
      <c r="C341" s="313"/>
      <c r="D341" s="310" t="s">
        <v>998</v>
      </c>
      <c r="E341" s="324">
        <v>70785</v>
      </c>
      <c r="F341" s="310"/>
      <c r="G341" s="313"/>
    </row>
    <row r="342" spans="1:7">
      <c r="B342" s="313" t="s">
        <v>1162</v>
      </c>
      <c r="C342" s="327"/>
      <c r="D342" s="310" t="s">
        <v>45</v>
      </c>
      <c r="E342" s="324">
        <v>11167</v>
      </c>
      <c r="F342" s="310"/>
      <c r="G342" s="313"/>
    </row>
    <row r="343" spans="1:7">
      <c r="B343" s="313" t="s">
        <v>1163</v>
      </c>
      <c r="C343" s="327"/>
      <c r="D343" s="310" t="s">
        <v>45</v>
      </c>
      <c r="E343" s="324">
        <v>21083</v>
      </c>
      <c r="F343" s="310"/>
      <c r="G343" s="313"/>
    </row>
    <row r="344" spans="1:7">
      <c r="B344" s="313" t="s">
        <v>1164</v>
      </c>
      <c r="C344" s="327"/>
      <c r="D344" s="310" t="s">
        <v>998</v>
      </c>
      <c r="E344" s="324">
        <v>26775</v>
      </c>
      <c r="F344" s="310"/>
      <c r="G344" s="313"/>
    </row>
    <row r="345" spans="1:7">
      <c r="B345" s="313" t="s">
        <v>356</v>
      </c>
      <c r="C345" s="327"/>
      <c r="D345" s="310" t="s">
        <v>39</v>
      </c>
      <c r="E345" s="324">
        <v>45500</v>
      </c>
      <c r="F345" s="310"/>
      <c r="G345" s="313"/>
    </row>
    <row r="346" spans="1:7">
      <c r="B346" s="313" t="s">
        <v>1165</v>
      </c>
      <c r="C346" s="327"/>
      <c r="D346" s="310" t="s">
        <v>39</v>
      </c>
      <c r="E346" s="324">
        <v>35000</v>
      </c>
      <c r="F346" s="310"/>
      <c r="G346" s="313"/>
    </row>
    <row r="347" spans="1:7">
      <c r="B347" s="313" t="s">
        <v>1166</v>
      </c>
      <c r="C347" s="327"/>
      <c r="D347" s="310" t="s">
        <v>998</v>
      </c>
      <c r="E347" s="613">
        <v>287900</v>
      </c>
      <c r="F347" s="614"/>
      <c r="G347" s="615"/>
    </row>
    <row r="348" spans="1:7">
      <c r="B348" s="327" t="s">
        <v>2493</v>
      </c>
      <c r="C348" s="327"/>
      <c r="D348" s="472" t="s">
        <v>998</v>
      </c>
      <c r="E348" s="616">
        <f>801200*1.5</f>
        <v>1201800</v>
      </c>
      <c r="F348" s="617"/>
      <c r="G348" s="618"/>
    </row>
    <row r="349" spans="1:7">
      <c r="B349" s="327" t="s">
        <v>2494</v>
      </c>
      <c r="C349" s="327"/>
      <c r="D349" s="472" t="s">
        <v>998</v>
      </c>
      <c r="E349" s="616">
        <v>151300</v>
      </c>
      <c r="F349" s="617"/>
      <c r="G349" s="618"/>
    </row>
    <row r="350" spans="1:7">
      <c r="B350" s="327" t="s">
        <v>2495</v>
      </c>
      <c r="C350" s="327"/>
      <c r="D350" s="472" t="s">
        <v>998</v>
      </c>
      <c r="E350" s="616">
        <v>703230.19323671504</v>
      </c>
      <c r="F350" s="617"/>
      <c r="G350" s="618"/>
    </row>
    <row r="351" spans="1:7">
      <c r="B351" s="327" t="s">
        <v>2496</v>
      </c>
      <c r="C351" s="327"/>
      <c r="D351" s="472" t="s">
        <v>998</v>
      </c>
      <c r="E351" s="616">
        <v>898333.57487922697</v>
      </c>
      <c r="F351" s="617"/>
      <c r="G351" s="618"/>
    </row>
    <row r="352" spans="1:7">
      <c r="B352" s="327" t="s">
        <v>2497</v>
      </c>
      <c r="C352" s="327"/>
      <c r="D352" s="472" t="s">
        <v>998</v>
      </c>
      <c r="E352" s="616">
        <v>255764.49275362317</v>
      </c>
      <c r="F352" s="617"/>
      <c r="G352" s="618"/>
    </row>
    <row r="353" spans="2:7">
      <c r="B353" s="327" t="s">
        <v>2498</v>
      </c>
      <c r="C353" s="327"/>
      <c r="D353" s="472" t="s">
        <v>998</v>
      </c>
      <c r="E353" s="616">
        <v>3001897.8260869598</v>
      </c>
      <c r="F353" s="617"/>
      <c r="G353" s="618"/>
    </row>
    <row r="354" spans="2:7">
      <c r="B354" s="327" t="s">
        <v>2499</v>
      </c>
      <c r="C354" s="327"/>
      <c r="D354" s="472" t="s">
        <v>998</v>
      </c>
      <c r="E354" s="616">
        <v>268615</v>
      </c>
      <c r="F354" s="617"/>
      <c r="G354" s="618"/>
    </row>
    <row r="355" spans="2:7">
      <c r="B355" s="327" t="s">
        <v>2500</v>
      </c>
      <c r="C355" s="327"/>
      <c r="D355" s="472" t="s">
        <v>998</v>
      </c>
      <c r="E355" s="616">
        <v>971864.97584541095</v>
      </c>
      <c r="F355" s="617"/>
      <c r="G355" s="618"/>
    </row>
    <row r="356" spans="2:7">
      <c r="B356" s="327" t="s">
        <v>2501</v>
      </c>
      <c r="C356" s="327"/>
      <c r="D356" s="472" t="s">
        <v>998</v>
      </c>
      <c r="E356" s="616">
        <v>420023.42995169101</v>
      </c>
      <c r="F356" s="617"/>
      <c r="G356" s="618"/>
    </row>
    <row r="357" spans="2:7">
      <c r="B357" s="327" t="s">
        <v>2502</v>
      </c>
      <c r="C357" s="327"/>
      <c r="D357" s="472" t="s">
        <v>998</v>
      </c>
      <c r="E357" s="616">
        <v>932189.61352657003</v>
      </c>
      <c r="F357" s="617"/>
      <c r="G357" s="618"/>
    </row>
    <row r="358" spans="2:7">
      <c r="B358" s="327" t="s">
        <v>2503</v>
      </c>
      <c r="C358" s="327"/>
      <c r="D358" s="472" t="s">
        <v>998</v>
      </c>
      <c r="E358" s="616">
        <v>252421.52968966099</v>
      </c>
      <c r="F358" s="617"/>
      <c r="G358" s="618"/>
    </row>
    <row r="359" spans="2:7">
      <c r="B359" s="327" t="s">
        <v>2504</v>
      </c>
      <c r="C359" s="327"/>
      <c r="D359" s="472" t="s">
        <v>998</v>
      </c>
      <c r="E359" s="616">
        <v>80355.862007765201</v>
      </c>
      <c r="F359" s="617"/>
      <c r="G359" s="618"/>
    </row>
    <row r="360" spans="2:7">
      <c r="B360" s="327" t="s">
        <v>2505</v>
      </c>
      <c r="C360" s="327"/>
      <c r="D360" s="472" t="s">
        <v>998</v>
      </c>
      <c r="E360" s="616">
        <v>95253.106863631605</v>
      </c>
      <c r="F360" s="617"/>
      <c r="G360" s="618"/>
    </row>
    <row r="361" spans="2:7">
      <c r="B361" s="327" t="s">
        <v>2506</v>
      </c>
      <c r="C361" s="327"/>
      <c r="D361" s="472" t="s">
        <v>998</v>
      </c>
      <c r="E361" s="616">
        <v>47233.117415700501</v>
      </c>
      <c r="F361" s="617"/>
      <c r="G361" s="618"/>
    </row>
    <row r="362" spans="2:7">
      <c r="B362" s="327" t="s">
        <v>2507</v>
      </c>
      <c r="C362" s="327"/>
      <c r="D362" s="472" t="s">
        <v>998</v>
      </c>
      <c r="E362" s="616">
        <v>49173.176914955926</v>
      </c>
      <c r="F362" s="617"/>
      <c r="G362" s="618"/>
    </row>
    <row r="363" spans="2:7">
      <c r="B363" s="327" t="s">
        <v>2508</v>
      </c>
      <c r="C363" s="327"/>
      <c r="D363" s="472" t="s">
        <v>998</v>
      </c>
      <c r="E363" s="616">
        <v>32270.747039424001</v>
      </c>
      <c r="F363" s="617"/>
      <c r="G363" s="618"/>
    </row>
    <row r="364" spans="2:7">
      <c r="B364" s="327" t="s">
        <v>2509</v>
      </c>
      <c r="C364" s="327"/>
      <c r="D364" s="472" t="s">
        <v>998</v>
      </c>
      <c r="E364" s="616">
        <v>101316.85620412701</v>
      </c>
      <c r="F364" s="617"/>
      <c r="G364" s="618"/>
    </row>
    <row r="365" spans="2:7">
      <c r="B365" s="327" t="s">
        <v>2510</v>
      </c>
      <c r="C365" s="327"/>
      <c r="D365" s="472" t="s">
        <v>998</v>
      </c>
      <c r="E365" s="616">
        <v>259978.98550724599</v>
      </c>
      <c r="F365" s="617"/>
      <c r="G365" s="618"/>
    </row>
    <row r="366" spans="2:7">
      <c r="B366" s="327" t="s">
        <v>2511</v>
      </c>
      <c r="C366" s="327"/>
      <c r="D366" s="472" t="s">
        <v>998</v>
      </c>
      <c r="E366" s="616">
        <v>518609.48309178744</v>
      </c>
      <c r="F366" s="617"/>
      <c r="G366" s="618"/>
    </row>
    <row r="367" spans="2:7">
      <c r="B367" s="327" t="s">
        <v>2512</v>
      </c>
      <c r="C367" s="327"/>
      <c r="D367" s="472" t="s">
        <v>998</v>
      </c>
      <c r="E367" s="616">
        <v>76641</v>
      </c>
      <c r="F367" s="617"/>
      <c r="G367" s="618"/>
    </row>
    <row r="368" spans="2:7">
      <c r="B368" s="327" t="s">
        <v>2513</v>
      </c>
      <c r="C368" s="327"/>
      <c r="D368" s="472" t="s">
        <v>998</v>
      </c>
      <c r="E368" s="616">
        <v>1475759.24154589</v>
      </c>
      <c r="F368" s="617"/>
      <c r="G368" s="618"/>
    </row>
    <row r="369" spans="2:7">
      <c r="B369" s="327" t="s">
        <v>2512</v>
      </c>
      <c r="C369" s="327"/>
      <c r="D369" s="472" t="s">
        <v>998</v>
      </c>
      <c r="E369" s="616">
        <v>76641</v>
      </c>
      <c r="F369" s="617"/>
      <c r="G369" s="618"/>
    </row>
    <row r="370" spans="2:7">
      <c r="B370" s="327" t="s">
        <v>2514</v>
      </c>
      <c r="C370" s="327"/>
      <c r="D370" s="472" t="s">
        <v>45</v>
      </c>
      <c r="E370" s="616">
        <v>12857.0002415459</v>
      </c>
      <c r="F370" s="617"/>
      <c r="G370" s="618"/>
    </row>
    <row r="371" spans="2:7">
      <c r="B371" s="327" t="s">
        <v>2515</v>
      </c>
      <c r="C371" s="327"/>
      <c r="D371" s="472" t="s">
        <v>998</v>
      </c>
      <c r="E371" s="616">
        <v>957</v>
      </c>
      <c r="F371" s="617"/>
      <c r="G371" s="618"/>
    </row>
    <row r="372" spans="2:7">
      <c r="B372" s="327" t="s">
        <v>2516</v>
      </c>
      <c r="C372" s="327"/>
      <c r="D372" s="472" t="s">
        <v>45</v>
      </c>
      <c r="E372" s="616">
        <v>430610</v>
      </c>
      <c r="F372" s="617"/>
      <c r="G372" s="618"/>
    </row>
    <row r="373" spans="2:7">
      <c r="B373" s="327" t="s">
        <v>2517</v>
      </c>
      <c r="C373" s="327"/>
      <c r="D373" s="472" t="s">
        <v>45</v>
      </c>
      <c r="E373" s="616">
        <f>54752+2623.19259420285</f>
        <v>57375.192594202847</v>
      </c>
      <c r="F373" s="617"/>
      <c r="G373" s="618"/>
    </row>
    <row r="374" spans="2:7">
      <c r="B374" s="327" t="s">
        <v>2518</v>
      </c>
      <c r="C374" s="327"/>
      <c r="D374" s="472" t="s">
        <v>45</v>
      </c>
      <c r="E374" s="616">
        <v>27896.5</v>
      </c>
      <c r="F374" s="617"/>
      <c r="G374" s="618"/>
    </row>
    <row r="375" spans="2:7">
      <c r="B375" s="327" t="s">
        <v>2519</v>
      </c>
      <c r="C375" s="327"/>
      <c r="D375" s="472" t="s">
        <v>998</v>
      </c>
      <c r="E375" s="616">
        <v>102348.70193236713</v>
      </c>
      <c r="F375" s="617"/>
      <c r="G375" s="618"/>
    </row>
    <row r="376" spans="2:7">
      <c r="B376" s="327" t="s">
        <v>2520</v>
      </c>
      <c r="C376" s="327"/>
      <c r="D376" s="472" t="s">
        <v>998</v>
      </c>
      <c r="E376" s="616">
        <v>102030.949275362</v>
      </c>
      <c r="F376" s="617"/>
      <c r="G376" s="618"/>
    </row>
    <row r="377" spans="2:7">
      <c r="B377" s="327" t="s">
        <v>2521</v>
      </c>
      <c r="C377" s="327"/>
      <c r="D377" s="472" t="s">
        <v>998</v>
      </c>
      <c r="E377" s="616">
        <v>99128.291111111103</v>
      </c>
      <c r="F377" s="617"/>
      <c r="G377" s="618"/>
    </row>
    <row r="378" spans="2:7">
      <c r="B378" s="327" t="s">
        <v>2522</v>
      </c>
      <c r="C378" s="327"/>
      <c r="D378" s="472" t="s">
        <v>998</v>
      </c>
      <c r="E378" s="616">
        <v>421118.91618356999</v>
      </c>
      <c r="F378" s="617"/>
      <c r="G378" s="618"/>
    </row>
    <row r="379" spans="2:7">
      <c r="B379" s="327" t="s">
        <v>2523</v>
      </c>
      <c r="C379" s="327"/>
      <c r="D379" s="472" t="s">
        <v>998</v>
      </c>
      <c r="E379" s="616">
        <v>480237.457149758</v>
      </c>
      <c r="F379" s="617"/>
      <c r="G379" s="618"/>
    </row>
    <row r="380" spans="2:7">
      <c r="B380" s="327" t="s">
        <v>2524</v>
      </c>
      <c r="C380" s="327"/>
      <c r="D380" s="472" t="s">
        <v>998</v>
      </c>
      <c r="E380" s="616">
        <v>172975.5</v>
      </c>
      <c r="F380" s="617"/>
      <c r="G380" s="618"/>
    </row>
    <row r="381" spans="2:7">
      <c r="B381" s="327" t="s">
        <v>2525</v>
      </c>
      <c r="C381" s="327"/>
      <c r="D381" s="472" t="s">
        <v>998</v>
      </c>
      <c r="E381" s="616">
        <v>335650.03024154587</v>
      </c>
      <c r="F381" s="617"/>
      <c r="G381" s="618"/>
    </row>
    <row r="382" spans="2:7">
      <c r="B382" s="327" t="s">
        <v>2784</v>
      </c>
      <c r="C382" s="327"/>
      <c r="D382" s="472" t="s">
        <v>998</v>
      </c>
      <c r="E382" s="616">
        <v>378210.41671497602</v>
      </c>
      <c r="F382" s="617"/>
      <c r="G382" s="618"/>
    </row>
    <row r="383" spans="2:7">
      <c r="B383" s="327" t="s">
        <v>2526</v>
      </c>
      <c r="C383" s="327"/>
      <c r="D383" s="472" t="s">
        <v>998</v>
      </c>
      <c r="E383" s="616">
        <v>156416.44024154599</v>
      </c>
      <c r="F383" s="617"/>
      <c r="G383" s="618"/>
    </row>
    <row r="384" spans="2:7">
      <c r="B384" s="327" t="s">
        <v>2527</v>
      </c>
      <c r="C384" s="327"/>
      <c r="D384" s="472" t="s">
        <v>998</v>
      </c>
      <c r="E384" s="616">
        <v>370419.56521739101</v>
      </c>
      <c r="F384" s="617"/>
      <c r="G384" s="618"/>
    </row>
    <row r="385" spans="1:7">
      <c r="B385" s="327" t="s">
        <v>2528</v>
      </c>
      <c r="C385" s="327"/>
      <c r="D385" s="472" t="s">
        <v>998</v>
      </c>
      <c r="E385" s="616">
        <v>82985.196714975842</v>
      </c>
      <c r="F385" s="617"/>
      <c r="G385" s="618"/>
    </row>
    <row r="386" spans="1:7">
      <c r="B386" s="327" t="s">
        <v>2474</v>
      </c>
      <c r="C386" s="327"/>
      <c r="D386" s="472" t="s">
        <v>998</v>
      </c>
      <c r="E386" s="616">
        <v>74646</v>
      </c>
      <c r="F386" s="617"/>
      <c r="G386" s="618"/>
    </row>
    <row r="387" spans="1:7">
      <c r="B387" s="327" t="s">
        <v>2529</v>
      </c>
      <c r="C387" s="327"/>
      <c r="D387" s="472" t="s">
        <v>998</v>
      </c>
      <c r="E387" s="616">
        <v>157000</v>
      </c>
      <c r="F387" s="617"/>
      <c r="G387" s="618"/>
    </row>
    <row r="388" spans="1:7">
      <c r="B388" s="327" t="s">
        <v>2530</v>
      </c>
      <c r="C388" s="327"/>
      <c r="D388" s="472" t="s">
        <v>998</v>
      </c>
      <c r="E388" s="616">
        <v>165514.25120773001</v>
      </c>
      <c r="F388" s="617"/>
      <c r="G388" s="618"/>
    </row>
    <row r="389" spans="1:7">
      <c r="B389" s="327" t="s">
        <v>2531</v>
      </c>
      <c r="C389" s="327"/>
      <c r="D389" s="472" t="s">
        <v>998</v>
      </c>
      <c r="E389" s="616">
        <v>173347.101449276</v>
      </c>
      <c r="F389" s="617"/>
      <c r="G389" s="618"/>
    </row>
    <row r="390" spans="1:7">
      <c r="B390" s="327" t="s">
        <v>2532</v>
      </c>
      <c r="C390" s="327"/>
      <c r="D390" s="472" t="s">
        <v>998</v>
      </c>
      <c r="E390" s="616">
        <v>23050.5</v>
      </c>
      <c r="F390" s="617"/>
      <c r="G390" s="618"/>
    </row>
    <row r="391" spans="1:7">
      <c r="B391" s="327" t="s">
        <v>2533</v>
      </c>
      <c r="C391" s="327"/>
      <c r="D391" s="472" t="s">
        <v>998</v>
      </c>
      <c r="E391" s="616">
        <v>17929</v>
      </c>
      <c r="F391" s="617"/>
      <c r="G391" s="618"/>
    </row>
    <row r="392" spans="1:7">
      <c r="B392" s="327" t="s">
        <v>2534</v>
      </c>
      <c r="C392" s="327"/>
      <c r="D392" s="472" t="s">
        <v>998</v>
      </c>
      <c r="E392" s="616">
        <v>95383176.086956501</v>
      </c>
      <c r="F392" s="617"/>
      <c r="G392" s="618"/>
    </row>
    <row r="393" spans="1:7">
      <c r="A393" s="318"/>
      <c r="B393" s="327" t="s">
        <v>2535</v>
      </c>
      <c r="C393" s="327"/>
      <c r="D393" s="472" t="s">
        <v>45</v>
      </c>
      <c r="E393" s="616">
        <v>6630</v>
      </c>
      <c r="F393" s="617"/>
      <c r="G393" s="618"/>
    </row>
    <row r="394" spans="1:7">
      <c r="A394" s="318"/>
      <c r="B394" s="327" t="s">
        <v>2536</v>
      </c>
      <c r="C394" s="327"/>
      <c r="D394" s="472" t="s">
        <v>998</v>
      </c>
      <c r="E394" s="616">
        <v>90850</v>
      </c>
      <c r="F394" s="617"/>
      <c r="G394" s="618"/>
    </row>
    <row r="395" spans="1:7">
      <c r="A395" s="318"/>
      <c r="B395" s="327" t="s">
        <v>2537</v>
      </c>
      <c r="C395" s="327"/>
      <c r="D395" s="472" t="s">
        <v>998</v>
      </c>
      <c r="E395" s="616">
        <v>364</v>
      </c>
      <c r="F395" s="617"/>
      <c r="G395" s="618"/>
    </row>
    <row r="396" spans="1:7">
      <c r="A396" s="318"/>
      <c r="B396" s="327" t="s">
        <v>2538</v>
      </c>
      <c r="C396" s="327"/>
      <c r="D396" s="472" t="s">
        <v>45</v>
      </c>
      <c r="E396" s="616">
        <v>10335</v>
      </c>
      <c r="F396" s="617"/>
      <c r="G396" s="618"/>
    </row>
    <row r="397" spans="1:7">
      <c r="A397" s="318"/>
      <c r="B397" s="327" t="s">
        <v>2539</v>
      </c>
      <c r="C397" s="327"/>
      <c r="D397" s="472" t="s">
        <v>45</v>
      </c>
      <c r="E397" s="616">
        <v>7605</v>
      </c>
      <c r="F397" s="617"/>
      <c r="G397" s="618"/>
    </row>
    <row r="398" spans="1:7">
      <c r="A398" s="318"/>
      <c r="B398" s="327" t="s">
        <v>2540</v>
      </c>
      <c r="C398" s="327"/>
      <c r="D398" s="472" t="s">
        <v>45</v>
      </c>
      <c r="E398" s="616">
        <v>6695</v>
      </c>
      <c r="F398" s="617"/>
      <c r="G398" s="618"/>
    </row>
    <row r="399" spans="1:7">
      <c r="A399" s="318"/>
      <c r="B399" s="327" t="s">
        <v>2541</v>
      </c>
      <c r="C399" s="327"/>
      <c r="D399" s="472" t="s">
        <v>998</v>
      </c>
      <c r="E399" s="616">
        <v>5569.2</v>
      </c>
      <c r="F399" s="617"/>
      <c r="G399" s="618"/>
    </row>
    <row r="400" spans="1:7">
      <c r="A400" s="318"/>
      <c r="B400" s="327" t="s">
        <v>2542</v>
      </c>
      <c r="C400" s="327"/>
      <c r="D400" s="472" t="s">
        <v>998</v>
      </c>
      <c r="E400" s="616">
        <v>1105</v>
      </c>
      <c r="F400" s="617"/>
      <c r="G400" s="618"/>
    </row>
    <row r="401" spans="1:7">
      <c r="A401" s="318"/>
      <c r="B401" s="327" t="s">
        <v>2543</v>
      </c>
      <c r="C401" s="327"/>
      <c r="D401" s="472" t="s">
        <v>998</v>
      </c>
      <c r="E401" s="616">
        <v>1053</v>
      </c>
      <c r="F401" s="617"/>
      <c r="G401" s="618"/>
    </row>
    <row r="402" spans="1:7">
      <c r="A402" s="318"/>
      <c r="B402" s="327" t="s">
        <v>2544</v>
      </c>
      <c r="C402" s="327"/>
      <c r="D402" s="472" t="s">
        <v>998</v>
      </c>
      <c r="E402" s="616">
        <v>620.1</v>
      </c>
      <c r="F402" s="617"/>
      <c r="G402" s="618"/>
    </row>
    <row r="403" spans="1:7">
      <c r="A403" s="318"/>
      <c r="B403" s="327" t="s">
        <v>2545</v>
      </c>
      <c r="C403" s="327"/>
      <c r="D403" s="472" t="s">
        <v>998</v>
      </c>
      <c r="E403" s="616">
        <v>586.30000000000007</v>
      </c>
      <c r="F403" s="617"/>
      <c r="G403" s="618"/>
    </row>
    <row r="404" spans="1:7">
      <c r="A404" s="318"/>
      <c r="B404" s="327" t="s">
        <v>2546</v>
      </c>
      <c r="C404" s="327"/>
      <c r="D404" s="472" t="s">
        <v>998</v>
      </c>
      <c r="E404" s="616">
        <v>261.3</v>
      </c>
      <c r="F404" s="617"/>
      <c r="G404" s="618"/>
    </row>
    <row r="405" spans="1:7">
      <c r="A405" s="318"/>
      <c r="B405" s="327" t="s">
        <v>2547</v>
      </c>
      <c r="C405" s="327"/>
      <c r="D405" s="472" t="s">
        <v>998</v>
      </c>
      <c r="E405" s="616">
        <v>2828.8</v>
      </c>
      <c r="F405" s="617"/>
      <c r="G405" s="618"/>
    </row>
    <row r="406" spans="1:7">
      <c r="A406" s="318"/>
      <c r="B406" s="327" t="s">
        <v>2548</v>
      </c>
      <c r="C406" s="327"/>
      <c r="D406" s="472" t="s">
        <v>998</v>
      </c>
      <c r="E406" s="616">
        <v>1232.3999999999999</v>
      </c>
      <c r="F406" s="617"/>
      <c r="G406" s="618"/>
    </row>
    <row r="407" spans="1:7">
      <c r="A407" s="318"/>
      <c r="B407" s="327" t="s">
        <v>2549</v>
      </c>
      <c r="C407" s="327"/>
      <c r="D407" s="472" t="s">
        <v>998</v>
      </c>
      <c r="E407" s="616">
        <v>632.4</v>
      </c>
      <c r="F407" s="617"/>
      <c r="G407" s="618"/>
    </row>
    <row r="408" spans="1:7">
      <c r="A408" s="318"/>
      <c r="B408" s="327" t="s">
        <v>2550</v>
      </c>
      <c r="C408" s="327"/>
      <c r="D408" s="472" t="s">
        <v>998</v>
      </c>
      <c r="E408" s="616">
        <v>52440</v>
      </c>
      <c r="F408" s="617"/>
      <c r="G408" s="618"/>
    </row>
    <row r="409" spans="1:7">
      <c r="A409" s="318"/>
      <c r="B409" s="327" t="s">
        <v>2551</v>
      </c>
      <c r="C409" s="327"/>
      <c r="D409" s="472" t="s">
        <v>998</v>
      </c>
      <c r="E409" s="616">
        <v>24541.200000000001</v>
      </c>
      <c r="F409" s="617"/>
      <c r="G409" s="618"/>
    </row>
    <row r="410" spans="1:7">
      <c r="A410" s="318"/>
      <c r="B410" s="327" t="s">
        <v>2551</v>
      </c>
      <c r="C410" s="327"/>
      <c r="D410" s="472" t="s">
        <v>998</v>
      </c>
      <c r="E410" s="616">
        <v>24541.200000000001</v>
      </c>
      <c r="F410" s="617"/>
      <c r="G410" s="618"/>
    </row>
    <row r="411" spans="1:7">
      <c r="A411" s="318"/>
      <c r="B411" s="327" t="s">
        <v>2550</v>
      </c>
      <c r="C411" s="327"/>
      <c r="D411" s="472" t="s">
        <v>998</v>
      </c>
      <c r="E411" s="616">
        <v>70440</v>
      </c>
      <c r="F411" s="617"/>
      <c r="G411" s="618"/>
    </row>
    <row r="412" spans="1:7">
      <c r="A412" s="318"/>
      <c r="B412" s="327" t="s">
        <v>2552</v>
      </c>
      <c r="C412" s="327"/>
      <c r="D412" s="472" t="s">
        <v>998</v>
      </c>
      <c r="E412" s="616">
        <v>536000</v>
      </c>
      <c r="F412" s="617"/>
      <c r="G412" s="618"/>
    </row>
    <row r="413" spans="1:7">
      <c r="A413" s="318"/>
      <c r="B413" s="327" t="s">
        <v>2553</v>
      </c>
      <c r="C413" s="327"/>
      <c r="D413" s="472" t="s">
        <v>998</v>
      </c>
      <c r="E413" s="616">
        <v>1800000</v>
      </c>
      <c r="F413" s="617"/>
      <c r="G413" s="618"/>
    </row>
    <row r="414" spans="1:7">
      <c r="A414" s="318"/>
      <c r="B414" s="327" t="s">
        <v>2551</v>
      </c>
      <c r="C414" s="327"/>
      <c r="D414" s="472" t="s">
        <v>998</v>
      </c>
      <c r="E414" s="616">
        <v>24541.200000000001</v>
      </c>
      <c r="F414" s="617"/>
      <c r="G414" s="618"/>
    </row>
    <row r="415" spans="1:7">
      <c r="A415" s="318"/>
      <c r="B415" s="327" t="s">
        <v>2554</v>
      </c>
      <c r="C415" s="327"/>
      <c r="D415" s="472" t="s">
        <v>998</v>
      </c>
      <c r="E415" s="616">
        <v>1018500</v>
      </c>
      <c r="F415" s="617"/>
      <c r="G415" s="618"/>
    </row>
    <row r="416" spans="1:7">
      <c r="A416" s="318"/>
      <c r="B416" s="327" t="s">
        <v>2555</v>
      </c>
      <c r="C416" s="327"/>
      <c r="D416" s="472" t="s">
        <v>998</v>
      </c>
      <c r="E416" s="616">
        <v>10140</v>
      </c>
      <c r="F416" s="617"/>
      <c r="G416" s="618"/>
    </row>
    <row r="417" spans="1:7">
      <c r="A417" s="318"/>
      <c r="B417" s="327" t="s">
        <v>2556</v>
      </c>
      <c r="C417" s="327"/>
      <c r="D417" s="472" t="s">
        <v>998</v>
      </c>
      <c r="E417" s="616">
        <v>1579822.4</v>
      </c>
      <c r="F417" s="617"/>
      <c r="G417" s="618"/>
    </row>
    <row r="418" spans="1:7">
      <c r="A418" s="318"/>
      <c r="B418" s="327" t="s">
        <v>2557</v>
      </c>
      <c r="C418" s="327"/>
      <c r="D418" s="472" t="s">
        <v>998</v>
      </c>
      <c r="E418" s="616">
        <v>76080</v>
      </c>
      <c r="F418" s="617"/>
      <c r="G418" s="618"/>
    </row>
    <row r="419" spans="1:7">
      <c r="A419" s="476"/>
      <c r="B419" s="327" t="s">
        <v>2562</v>
      </c>
      <c r="C419" s="327"/>
      <c r="D419" s="472" t="s">
        <v>45</v>
      </c>
      <c r="E419" s="616">
        <v>25643.599999999999</v>
      </c>
      <c r="F419" s="617"/>
      <c r="G419" s="618"/>
    </row>
    <row r="420" spans="1:7">
      <c r="A420" s="476"/>
      <c r="B420" s="327" t="s">
        <v>2563</v>
      </c>
      <c r="C420" s="327"/>
      <c r="D420" s="472" t="s">
        <v>998</v>
      </c>
      <c r="E420" s="616">
        <v>31166.2</v>
      </c>
      <c r="F420" s="617"/>
      <c r="G420" s="618"/>
    </row>
    <row r="421" spans="1:7">
      <c r="A421" s="476"/>
      <c r="B421" s="327" t="s">
        <v>2564</v>
      </c>
      <c r="C421" s="327"/>
      <c r="D421" s="472" t="s">
        <v>998</v>
      </c>
      <c r="E421" s="616">
        <v>6785</v>
      </c>
      <c r="F421" s="617"/>
      <c r="G421" s="618"/>
    </row>
    <row r="422" spans="1:7">
      <c r="A422" s="476"/>
      <c r="B422" s="327" t="s">
        <v>2565</v>
      </c>
      <c r="C422" s="327"/>
      <c r="D422" s="472" t="s">
        <v>998</v>
      </c>
      <c r="E422" s="616">
        <v>6435</v>
      </c>
      <c r="F422" s="617"/>
      <c r="G422" s="618"/>
    </row>
    <row r="423" spans="1:7">
      <c r="A423" s="476"/>
      <c r="B423" s="327" t="s">
        <v>2566</v>
      </c>
      <c r="C423" s="327"/>
      <c r="D423" s="472" t="s">
        <v>998</v>
      </c>
      <c r="E423" s="616">
        <v>5785</v>
      </c>
      <c r="F423" s="617"/>
      <c r="G423" s="618"/>
    </row>
    <row r="424" spans="1:7">
      <c r="A424" s="476"/>
      <c r="B424" s="327" t="s">
        <v>2567</v>
      </c>
      <c r="C424" s="327"/>
      <c r="D424" s="472" t="s">
        <v>998</v>
      </c>
      <c r="E424" s="616">
        <v>4192.5</v>
      </c>
      <c r="F424" s="617"/>
      <c r="G424" s="618"/>
    </row>
    <row r="425" spans="1:7">
      <c r="A425" s="476"/>
      <c r="B425" s="327" t="s">
        <v>2568</v>
      </c>
      <c r="C425" s="327"/>
      <c r="D425" s="472" t="s">
        <v>998</v>
      </c>
      <c r="E425" s="616">
        <v>11570</v>
      </c>
      <c r="F425" s="617"/>
      <c r="G425" s="618"/>
    </row>
    <row r="426" spans="1:7">
      <c r="A426" s="476"/>
      <c r="B426" s="327" t="s">
        <v>2569</v>
      </c>
      <c r="C426" s="327"/>
      <c r="D426" s="472" t="s">
        <v>45</v>
      </c>
      <c r="E426" s="616">
        <v>7150</v>
      </c>
      <c r="F426" s="617"/>
      <c r="G426" s="618"/>
    </row>
    <row r="427" spans="1:7">
      <c r="A427" s="476"/>
      <c r="B427" s="327" t="s">
        <v>2570</v>
      </c>
      <c r="C427" s="327"/>
      <c r="D427" s="472" t="s">
        <v>998</v>
      </c>
      <c r="E427" s="616">
        <v>1625</v>
      </c>
      <c r="F427" s="617"/>
      <c r="G427" s="618"/>
    </row>
    <row r="428" spans="1:7">
      <c r="A428" s="476"/>
      <c r="B428" s="327" t="s">
        <v>2571</v>
      </c>
      <c r="C428" s="327"/>
      <c r="D428" s="472" t="s">
        <v>998</v>
      </c>
      <c r="E428" s="616">
        <v>1495</v>
      </c>
      <c r="F428" s="617"/>
      <c r="G428" s="618"/>
    </row>
    <row r="429" spans="1:7">
      <c r="A429" s="476"/>
      <c r="B429" s="327" t="s">
        <v>2572</v>
      </c>
      <c r="C429" s="327"/>
      <c r="D429" s="472" t="s">
        <v>998</v>
      </c>
      <c r="E429" s="616">
        <v>1495</v>
      </c>
      <c r="F429" s="617"/>
      <c r="G429" s="618"/>
    </row>
    <row r="430" spans="1:7">
      <c r="A430" s="476"/>
      <c r="B430" s="327" t="s">
        <v>2573</v>
      </c>
      <c r="C430" s="327"/>
      <c r="D430" s="472" t="s">
        <v>998</v>
      </c>
      <c r="E430" s="616">
        <v>3575</v>
      </c>
      <c r="F430" s="617"/>
      <c r="G430" s="618"/>
    </row>
    <row r="431" spans="1:7">
      <c r="A431" s="476"/>
      <c r="B431" s="327" t="s">
        <v>2574</v>
      </c>
      <c r="C431" s="327"/>
      <c r="D431" s="472" t="s">
        <v>998</v>
      </c>
      <c r="E431" s="616">
        <v>975</v>
      </c>
      <c r="F431" s="617"/>
      <c r="G431" s="618"/>
    </row>
    <row r="432" spans="1:7">
      <c r="A432" s="476"/>
      <c r="B432" s="327" t="s">
        <v>2575</v>
      </c>
      <c r="C432" s="327"/>
      <c r="D432" s="472" t="s">
        <v>45</v>
      </c>
      <c r="E432" s="616">
        <v>21890.7</v>
      </c>
      <c r="F432" s="617"/>
      <c r="G432" s="618"/>
    </row>
    <row r="433" spans="1:7">
      <c r="A433" s="476"/>
      <c r="B433" s="327" t="s">
        <v>2576</v>
      </c>
      <c r="C433" s="327"/>
      <c r="D433" s="472" t="s">
        <v>998</v>
      </c>
      <c r="E433" s="616">
        <v>41730</v>
      </c>
      <c r="F433" s="617"/>
      <c r="G433" s="618"/>
    </row>
    <row r="434" spans="1:7">
      <c r="A434" s="476"/>
      <c r="B434" s="327" t="s">
        <v>2577</v>
      </c>
      <c r="C434" s="327"/>
      <c r="D434" s="472" t="s">
        <v>998</v>
      </c>
      <c r="E434" s="616">
        <v>6397.6</v>
      </c>
      <c r="F434" s="617"/>
      <c r="G434" s="618"/>
    </row>
    <row r="435" spans="1:7">
      <c r="A435" s="476"/>
      <c r="B435" s="327" t="s">
        <v>2578</v>
      </c>
      <c r="C435" s="327"/>
      <c r="D435" s="472" t="s">
        <v>998</v>
      </c>
      <c r="E435" s="616">
        <v>2991.3</v>
      </c>
      <c r="F435" s="617"/>
      <c r="G435" s="618"/>
    </row>
    <row r="436" spans="1:7">
      <c r="A436" s="476"/>
      <c r="B436" s="327" t="s">
        <v>2579</v>
      </c>
      <c r="C436" s="327"/>
      <c r="D436" s="472" t="s">
        <v>998</v>
      </c>
      <c r="E436" s="616">
        <v>6918.6</v>
      </c>
      <c r="F436" s="617"/>
      <c r="G436" s="618"/>
    </row>
    <row r="437" spans="1:7">
      <c r="A437" s="476"/>
      <c r="B437" s="327" t="s">
        <v>2580</v>
      </c>
      <c r="C437" s="327"/>
      <c r="D437" s="472" t="s">
        <v>998</v>
      </c>
      <c r="E437" s="616">
        <v>39022.9</v>
      </c>
      <c r="F437" s="617"/>
      <c r="G437" s="618"/>
    </row>
    <row r="438" spans="1:7">
      <c r="A438" s="476"/>
      <c r="B438" s="327" t="s">
        <v>2581</v>
      </c>
      <c r="C438" s="327"/>
      <c r="D438" s="472" t="s">
        <v>998</v>
      </c>
      <c r="E438" s="616">
        <v>5621.2</v>
      </c>
      <c r="F438" s="617"/>
      <c r="G438" s="618"/>
    </row>
    <row r="439" spans="1:7">
      <c r="A439" s="476"/>
      <c r="B439" s="327" t="s">
        <v>2582</v>
      </c>
      <c r="C439" s="327"/>
      <c r="D439" s="472" t="s">
        <v>998</v>
      </c>
      <c r="E439" s="616">
        <v>4325.1000000000004</v>
      </c>
      <c r="F439" s="617"/>
      <c r="G439" s="618"/>
    </row>
    <row r="440" spans="1:7">
      <c r="A440" s="476"/>
      <c r="B440" s="327" t="s">
        <v>2583</v>
      </c>
      <c r="C440" s="327"/>
      <c r="D440" s="472" t="s">
        <v>45</v>
      </c>
      <c r="E440" s="616">
        <v>1926.6000000000001</v>
      </c>
      <c r="F440" s="617"/>
      <c r="G440" s="618"/>
    </row>
    <row r="441" spans="1:7">
      <c r="A441" s="476"/>
      <c r="B441" s="327" t="s">
        <v>2584</v>
      </c>
      <c r="C441" s="327"/>
      <c r="D441" s="472" t="s">
        <v>998</v>
      </c>
      <c r="E441" s="616">
        <v>650</v>
      </c>
      <c r="F441" s="617"/>
      <c r="G441" s="618"/>
    </row>
    <row r="442" spans="1:7">
      <c r="A442" s="476"/>
      <c r="B442" s="327" t="s">
        <v>2585</v>
      </c>
      <c r="C442" s="327"/>
      <c r="D442" s="472" t="s">
        <v>998</v>
      </c>
      <c r="E442" s="616">
        <v>443.3</v>
      </c>
      <c r="F442" s="617"/>
      <c r="G442" s="618"/>
    </row>
    <row r="443" spans="1:7">
      <c r="A443" s="476"/>
      <c r="B443" s="327" t="s">
        <v>2586</v>
      </c>
      <c r="C443" s="327"/>
      <c r="D443" s="472" t="s">
        <v>998</v>
      </c>
      <c r="E443" s="616">
        <v>317.2</v>
      </c>
      <c r="F443" s="617"/>
      <c r="G443" s="618"/>
    </row>
    <row r="444" spans="1:7">
      <c r="A444" s="476"/>
      <c r="B444" s="327" t="s">
        <v>2587</v>
      </c>
      <c r="C444" s="327"/>
      <c r="D444" s="472" t="s">
        <v>998</v>
      </c>
      <c r="E444" s="616">
        <v>625.30000000000007</v>
      </c>
      <c r="F444" s="617"/>
      <c r="G444" s="618"/>
    </row>
    <row r="445" spans="1:7">
      <c r="A445" s="476"/>
      <c r="B445" s="327" t="s">
        <v>2588</v>
      </c>
      <c r="C445" s="327"/>
      <c r="D445" s="472" t="s">
        <v>998</v>
      </c>
      <c r="E445" s="616">
        <v>353.6</v>
      </c>
      <c r="F445" s="617"/>
      <c r="G445" s="618"/>
    </row>
    <row r="446" spans="1:7">
      <c r="A446" s="476"/>
      <c r="B446" s="327" t="s">
        <v>2589</v>
      </c>
      <c r="C446" s="327"/>
      <c r="D446" s="472" t="s">
        <v>998</v>
      </c>
      <c r="E446" s="616">
        <v>427.7</v>
      </c>
      <c r="F446" s="617"/>
      <c r="G446" s="618"/>
    </row>
    <row r="447" spans="1:7">
      <c r="A447" s="476"/>
      <c r="B447" s="327" t="s">
        <v>2590</v>
      </c>
      <c r="C447" s="327"/>
      <c r="D447" s="472" t="s">
        <v>998</v>
      </c>
      <c r="E447" s="616">
        <v>158.6</v>
      </c>
      <c r="F447" s="617"/>
      <c r="G447" s="618"/>
    </row>
    <row r="448" spans="1:7">
      <c r="A448" s="476"/>
      <c r="B448" s="327" t="s">
        <v>2591</v>
      </c>
      <c r="C448" s="327"/>
      <c r="D448" s="472" t="s">
        <v>998</v>
      </c>
      <c r="E448" s="616">
        <v>382.2</v>
      </c>
      <c r="F448" s="617"/>
      <c r="G448" s="618"/>
    </row>
    <row r="449" spans="1:7">
      <c r="A449" s="476"/>
      <c r="B449" s="327" t="s">
        <v>2592</v>
      </c>
      <c r="C449" s="327"/>
      <c r="D449" s="472" t="s">
        <v>998</v>
      </c>
      <c r="E449" s="616">
        <v>312</v>
      </c>
      <c r="F449" s="617"/>
      <c r="G449" s="618"/>
    </row>
    <row r="450" spans="1:7">
      <c r="A450" s="476"/>
      <c r="B450" s="327" t="s">
        <v>2593</v>
      </c>
      <c r="C450" s="327"/>
      <c r="D450" s="472" t="s">
        <v>998</v>
      </c>
      <c r="E450" s="616">
        <v>479.9</v>
      </c>
      <c r="F450" s="617"/>
      <c r="G450" s="618"/>
    </row>
    <row r="451" spans="1:7">
      <c r="A451" s="476"/>
      <c r="B451" s="327" t="s">
        <v>2594</v>
      </c>
      <c r="C451" s="327"/>
      <c r="D451" s="472" t="s">
        <v>998</v>
      </c>
      <c r="E451" s="616">
        <v>2065.5</v>
      </c>
      <c r="F451" s="617"/>
      <c r="G451" s="618"/>
    </row>
    <row r="452" spans="1:7">
      <c r="A452" s="476"/>
      <c r="B452" s="327" t="s">
        <v>2595</v>
      </c>
      <c r="C452" s="327"/>
      <c r="D452" s="472" t="s">
        <v>998</v>
      </c>
      <c r="E452" s="616">
        <v>235.3</v>
      </c>
      <c r="F452" s="617"/>
      <c r="G452" s="618"/>
    </row>
    <row r="453" spans="1:7">
      <c r="A453" s="476"/>
      <c r="B453" s="327" t="s">
        <v>2596</v>
      </c>
      <c r="C453" s="327"/>
      <c r="D453" s="472" t="s">
        <v>998</v>
      </c>
      <c r="E453" s="616">
        <v>230960</v>
      </c>
      <c r="F453" s="617"/>
      <c r="G453" s="618"/>
    </row>
    <row r="454" spans="1:7">
      <c r="A454" s="476"/>
      <c r="B454" s="327" t="s">
        <v>2597</v>
      </c>
      <c r="C454" s="327"/>
      <c r="D454" s="472" t="s">
        <v>998</v>
      </c>
      <c r="E454" s="616">
        <v>16740</v>
      </c>
      <c r="F454" s="617"/>
      <c r="G454" s="618"/>
    </row>
    <row r="455" spans="1:7">
      <c r="A455" s="476"/>
      <c r="B455" s="327" t="s">
        <v>2598</v>
      </c>
      <c r="C455" s="327"/>
      <c r="D455" s="472" t="s">
        <v>998</v>
      </c>
      <c r="E455" s="616">
        <v>4095</v>
      </c>
      <c r="F455" s="617"/>
      <c r="G455" s="618"/>
    </row>
    <row r="456" spans="1:7">
      <c r="A456" s="476"/>
      <c r="B456" s="327" t="s">
        <v>2599</v>
      </c>
      <c r="C456" s="327"/>
      <c r="D456" s="472" t="s">
        <v>998</v>
      </c>
      <c r="E456" s="616">
        <v>86902.400000000009</v>
      </c>
      <c r="F456" s="617"/>
      <c r="G456" s="618"/>
    </row>
    <row r="457" spans="1:7">
      <c r="A457" s="476"/>
      <c r="B457" s="327" t="s">
        <v>2600</v>
      </c>
      <c r="C457" s="327"/>
      <c r="D457" s="472" t="s">
        <v>998</v>
      </c>
      <c r="E457" s="616">
        <v>2795</v>
      </c>
      <c r="F457" s="617"/>
      <c r="G457" s="618"/>
    </row>
    <row r="458" spans="1:7">
      <c r="A458" s="476"/>
      <c r="B458" s="327" t="s">
        <v>2601</v>
      </c>
      <c r="C458" s="327"/>
      <c r="D458" s="472" t="s">
        <v>998</v>
      </c>
      <c r="E458" s="616">
        <v>46470</v>
      </c>
      <c r="F458" s="617"/>
      <c r="G458" s="618"/>
    </row>
    <row r="459" spans="1:7">
      <c r="A459" s="476"/>
      <c r="B459" s="327" t="s">
        <v>2602</v>
      </c>
      <c r="C459" s="327"/>
      <c r="D459" s="472" t="s">
        <v>998</v>
      </c>
      <c r="E459" s="616">
        <v>3094</v>
      </c>
      <c r="F459" s="617"/>
      <c r="G459" s="618"/>
    </row>
    <row r="460" spans="1:7">
      <c r="A460" s="476"/>
      <c r="B460" s="327" t="s">
        <v>2603</v>
      </c>
      <c r="C460" s="327"/>
      <c r="D460" s="472" t="s">
        <v>998</v>
      </c>
      <c r="E460" s="616">
        <v>23140</v>
      </c>
      <c r="F460" s="617"/>
      <c r="G460" s="618"/>
    </row>
    <row r="461" spans="1:7">
      <c r="A461" s="476"/>
      <c r="B461" s="327" t="s">
        <v>2588</v>
      </c>
      <c r="C461" s="327"/>
      <c r="D461" s="472" t="s">
        <v>998</v>
      </c>
      <c r="E461" s="616">
        <v>353.6</v>
      </c>
      <c r="F461" s="617"/>
      <c r="G461" s="618"/>
    </row>
    <row r="462" spans="1:7">
      <c r="A462" s="476"/>
      <c r="B462" s="327" t="s">
        <v>2590</v>
      </c>
      <c r="C462" s="327"/>
      <c r="D462" s="472" t="s">
        <v>998</v>
      </c>
      <c r="E462" s="616">
        <v>158.6</v>
      </c>
      <c r="F462" s="617"/>
      <c r="G462" s="618"/>
    </row>
    <row r="463" spans="1:7">
      <c r="A463" s="476"/>
      <c r="B463" s="327" t="s">
        <v>2604</v>
      </c>
      <c r="C463" s="327"/>
      <c r="D463" s="472" t="s">
        <v>998</v>
      </c>
      <c r="E463" s="616">
        <v>19481.8</v>
      </c>
      <c r="F463" s="617"/>
      <c r="G463" s="618"/>
    </row>
    <row r="464" spans="1:7">
      <c r="A464" s="476"/>
      <c r="B464" s="327" t="s">
        <v>2598</v>
      </c>
      <c r="C464" s="327"/>
      <c r="D464" s="472" t="s">
        <v>998</v>
      </c>
      <c r="E464" s="616">
        <v>4095</v>
      </c>
      <c r="F464" s="617"/>
      <c r="G464" s="618"/>
    </row>
    <row r="465" spans="1:7">
      <c r="A465" s="476"/>
      <c r="B465" s="327" t="s">
        <v>2605</v>
      </c>
      <c r="C465" s="327"/>
      <c r="D465" s="472" t="s">
        <v>998</v>
      </c>
      <c r="E465" s="616">
        <v>163567.30000000002</v>
      </c>
      <c r="F465" s="617"/>
      <c r="G465" s="618"/>
    </row>
    <row r="466" spans="1:7">
      <c r="A466" s="476"/>
      <c r="B466" s="327" t="s">
        <v>2606</v>
      </c>
      <c r="C466" s="327"/>
      <c r="D466" s="472" t="s">
        <v>998</v>
      </c>
      <c r="E466" s="616">
        <v>565500</v>
      </c>
      <c r="F466" s="617"/>
      <c r="G466" s="618"/>
    </row>
    <row r="467" spans="1:7">
      <c r="A467" s="476"/>
      <c r="B467" s="327" t="s">
        <v>2607</v>
      </c>
      <c r="C467" s="327"/>
      <c r="D467" s="472" t="s">
        <v>998</v>
      </c>
      <c r="E467" s="616">
        <v>380038.40000000002</v>
      </c>
      <c r="F467" s="617"/>
      <c r="G467" s="618"/>
    </row>
    <row r="468" spans="1:7">
      <c r="A468" s="476"/>
      <c r="B468" s="327" t="s">
        <v>2608</v>
      </c>
      <c r="C468" s="327"/>
      <c r="D468" s="472" t="s">
        <v>998</v>
      </c>
      <c r="E468" s="616">
        <v>1738030</v>
      </c>
      <c r="F468" s="617"/>
      <c r="G468" s="618"/>
    </row>
    <row r="469" spans="1:7">
      <c r="A469" s="476"/>
      <c r="B469" s="327" t="s">
        <v>2609</v>
      </c>
      <c r="C469" s="327"/>
      <c r="D469" s="472" t="s">
        <v>998</v>
      </c>
      <c r="E469" s="616">
        <v>62270</v>
      </c>
      <c r="F469" s="617"/>
      <c r="G469" s="618"/>
    </row>
    <row r="470" spans="1:7">
      <c r="A470" s="476"/>
      <c r="B470" s="327" t="s">
        <v>2610</v>
      </c>
      <c r="C470" s="327"/>
      <c r="D470" s="472" t="s">
        <v>998</v>
      </c>
      <c r="E470" s="616">
        <v>234000</v>
      </c>
      <c r="F470" s="617"/>
      <c r="G470" s="618"/>
    </row>
    <row r="471" spans="1:7">
      <c r="A471" s="476"/>
      <c r="B471" s="327" t="s">
        <v>2611</v>
      </c>
      <c r="C471" s="327"/>
      <c r="D471" s="472" t="s">
        <v>998</v>
      </c>
      <c r="E471" s="616">
        <v>38500000</v>
      </c>
      <c r="F471" s="617"/>
      <c r="G471" s="618"/>
    </row>
    <row r="472" spans="1:7">
      <c r="A472" s="476"/>
      <c r="B472" s="327" t="s">
        <v>2612</v>
      </c>
      <c r="C472" s="327"/>
      <c r="D472" s="472" t="s">
        <v>998</v>
      </c>
      <c r="E472" s="616">
        <v>28500000</v>
      </c>
      <c r="F472" s="617"/>
      <c r="G472" s="618"/>
    </row>
    <row r="473" spans="1:7">
      <c r="A473" s="476"/>
      <c r="B473" s="327" t="s">
        <v>2613</v>
      </c>
      <c r="C473" s="327"/>
      <c r="D473" s="472" t="s">
        <v>998</v>
      </c>
      <c r="E473" s="616">
        <v>156000</v>
      </c>
      <c r="F473" s="617"/>
      <c r="G473" s="618"/>
    </row>
    <row r="474" spans="1:7">
      <c r="A474" s="476"/>
      <c r="B474" s="327" t="s">
        <v>2614</v>
      </c>
      <c r="C474" s="327"/>
      <c r="D474" s="472" t="s">
        <v>998</v>
      </c>
      <c r="E474" s="616">
        <v>918320</v>
      </c>
      <c r="F474" s="617"/>
      <c r="G474" s="618"/>
    </row>
    <row r="475" spans="1:7">
      <c r="A475" s="476"/>
      <c r="B475" s="327" t="s">
        <v>2615</v>
      </c>
      <c r="C475" s="327"/>
      <c r="D475" s="472" t="s">
        <v>998</v>
      </c>
      <c r="E475" s="616">
        <v>41600</v>
      </c>
      <c r="F475" s="617"/>
      <c r="G475" s="618"/>
    </row>
    <row r="476" spans="1:7">
      <c r="A476" s="476"/>
      <c r="B476" s="327" t="s">
        <v>2616</v>
      </c>
      <c r="C476" s="327"/>
      <c r="D476" s="472" t="s">
        <v>998</v>
      </c>
      <c r="E476" s="616">
        <v>13422528.6</v>
      </c>
      <c r="F476" s="617"/>
      <c r="G476" s="618"/>
    </row>
    <row r="477" spans="1:7">
      <c r="A477" s="476"/>
      <c r="B477" s="327" t="s">
        <v>2617</v>
      </c>
      <c r="C477" s="327"/>
      <c r="D477" s="472" t="s">
        <v>998</v>
      </c>
      <c r="E477" s="616">
        <v>11042398</v>
      </c>
      <c r="F477" s="617"/>
      <c r="G477" s="618"/>
    </row>
    <row r="478" spans="1:7">
      <c r="A478" s="476"/>
      <c r="B478" s="327" t="s">
        <v>2618</v>
      </c>
      <c r="C478" s="327"/>
      <c r="D478" s="472" t="s">
        <v>998</v>
      </c>
      <c r="E478" s="616">
        <v>13281378.300000001</v>
      </c>
      <c r="F478" s="617"/>
      <c r="G478" s="618"/>
    </row>
    <row r="479" spans="1:7">
      <c r="A479" s="476"/>
      <c r="B479" s="327" t="s">
        <v>2619</v>
      </c>
      <c r="C479" s="327"/>
      <c r="D479" s="472" t="s">
        <v>998</v>
      </c>
      <c r="E479" s="616">
        <v>2665</v>
      </c>
      <c r="F479" s="617"/>
      <c r="G479" s="618"/>
    </row>
    <row r="480" spans="1:7">
      <c r="A480" s="476"/>
      <c r="B480" s="327" t="s">
        <v>2620</v>
      </c>
      <c r="C480" s="327"/>
      <c r="D480" s="472" t="s">
        <v>998</v>
      </c>
      <c r="E480" s="616">
        <v>19890</v>
      </c>
      <c r="F480" s="617"/>
      <c r="G480" s="618"/>
    </row>
    <row r="481" spans="1:7">
      <c r="A481" s="476"/>
      <c r="B481" s="327" t="s">
        <v>2621</v>
      </c>
      <c r="C481" s="327"/>
      <c r="D481" s="472" t="s">
        <v>998</v>
      </c>
      <c r="E481" s="616">
        <v>1571.7</v>
      </c>
      <c r="F481" s="617"/>
      <c r="G481" s="618"/>
    </row>
    <row r="482" spans="1:7">
      <c r="A482" s="476"/>
      <c r="B482" s="327" t="s">
        <v>2622</v>
      </c>
      <c r="C482" s="327"/>
      <c r="D482" s="472" t="s">
        <v>998</v>
      </c>
      <c r="E482" s="616">
        <v>2988.7000000000003</v>
      </c>
      <c r="F482" s="617"/>
      <c r="G482" s="618"/>
    </row>
    <row r="483" spans="1:7">
      <c r="A483" s="476"/>
      <c r="B483" s="327" t="s">
        <v>2623</v>
      </c>
      <c r="C483" s="327"/>
      <c r="D483" s="472" t="s">
        <v>998</v>
      </c>
      <c r="E483" s="616">
        <v>3420.3</v>
      </c>
      <c r="F483" s="617"/>
      <c r="G483" s="618"/>
    </row>
    <row r="484" spans="1:7">
      <c r="A484" s="476"/>
      <c r="B484" s="327" t="s">
        <v>2649</v>
      </c>
      <c r="C484" s="327"/>
      <c r="D484" s="472" t="s">
        <v>998</v>
      </c>
      <c r="E484" s="616">
        <v>23140</v>
      </c>
      <c r="F484" s="617"/>
      <c r="G484" s="618"/>
    </row>
    <row r="485" spans="1:7">
      <c r="A485" s="476"/>
      <c r="B485" s="327" t="s">
        <v>2576</v>
      </c>
      <c r="C485" s="327"/>
      <c r="D485" s="472" t="s">
        <v>998</v>
      </c>
      <c r="E485" s="616">
        <v>14600</v>
      </c>
      <c r="F485" s="617"/>
      <c r="G485" s="618"/>
    </row>
    <row r="486" spans="1:7">
      <c r="A486" s="476"/>
      <c r="B486" s="327" t="s">
        <v>2580</v>
      </c>
      <c r="C486" s="327"/>
      <c r="D486" s="472" t="s">
        <v>998</v>
      </c>
      <c r="E486" s="616">
        <v>30000</v>
      </c>
      <c r="F486" s="617"/>
      <c r="G486" s="618"/>
    </row>
    <row r="487" spans="1:7">
      <c r="A487" s="476"/>
      <c r="B487" s="327" t="s">
        <v>2650</v>
      </c>
      <c r="C487" s="327"/>
      <c r="D487" s="472" t="s">
        <v>998</v>
      </c>
      <c r="E487" s="616">
        <v>6020.3</v>
      </c>
      <c r="F487" s="617"/>
      <c r="G487" s="618"/>
    </row>
    <row r="488" spans="1:7">
      <c r="A488" s="476"/>
      <c r="B488" s="327" t="s">
        <v>2651</v>
      </c>
      <c r="C488" s="327"/>
      <c r="D488" s="472" t="s">
        <v>998</v>
      </c>
      <c r="E488" s="616">
        <v>117900</v>
      </c>
      <c r="F488" s="617"/>
      <c r="G488" s="618"/>
    </row>
    <row r="489" spans="1:7">
      <c r="A489" s="476"/>
      <c r="B489" s="327" t="s">
        <v>2624</v>
      </c>
      <c r="C489" s="327"/>
      <c r="D489" s="472" t="s">
        <v>998</v>
      </c>
      <c r="E489" s="616">
        <v>10675.6</v>
      </c>
      <c r="F489" s="617"/>
      <c r="G489" s="618"/>
    </row>
    <row r="490" spans="1:7">
      <c r="A490" s="476"/>
      <c r="B490" s="327" t="s">
        <v>2625</v>
      </c>
      <c r="C490" s="327"/>
      <c r="D490" s="472" t="s">
        <v>998</v>
      </c>
      <c r="E490" s="616">
        <v>1672100</v>
      </c>
      <c r="F490" s="617"/>
      <c r="G490" s="618"/>
    </row>
    <row r="491" spans="1:7">
      <c r="A491" s="476"/>
      <c r="B491" s="327" t="s">
        <v>2626</v>
      </c>
      <c r="C491" s="327"/>
      <c r="D491" s="472" t="s">
        <v>998</v>
      </c>
      <c r="E491" s="616">
        <v>627445</v>
      </c>
      <c r="F491" s="617"/>
      <c r="G491" s="618"/>
    </row>
    <row r="492" spans="1:7">
      <c r="A492" s="476"/>
      <c r="B492" s="327" t="s">
        <v>2627</v>
      </c>
      <c r="C492" s="327"/>
      <c r="D492" s="472" t="s">
        <v>60</v>
      </c>
      <c r="E492" s="616">
        <v>37500</v>
      </c>
      <c r="F492" s="617"/>
      <c r="G492" s="618"/>
    </row>
    <row r="493" spans="1:7">
      <c r="A493" s="476"/>
      <c r="B493" s="327" t="s">
        <v>2628</v>
      </c>
      <c r="C493" s="327"/>
      <c r="D493" s="472" t="s">
        <v>998</v>
      </c>
      <c r="E493" s="616">
        <v>110232.6</v>
      </c>
      <c r="F493" s="617"/>
      <c r="G493" s="618"/>
    </row>
    <row r="494" spans="1:7">
      <c r="A494" s="476"/>
      <c r="B494" s="327" t="s">
        <v>2629</v>
      </c>
      <c r="C494" s="327"/>
      <c r="D494" s="472" t="s">
        <v>998</v>
      </c>
      <c r="E494" s="616">
        <v>7967</v>
      </c>
      <c r="F494" s="617"/>
      <c r="G494" s="618"/>
    </row>
    <row r="495" spans="1:7">
      <c r="A495" s="476"/>
      <c r="B495" s="327" t="s">
        <v>2630</v>
      </c>
      <c r="C495" s="327"/>
      <c r="D495" s="472" t="s">
        <v>998</v>
      </c>
      <c r="E495" s="616">
        <v>71961</v>
      </c>
      <c r="F495" s="617"/>
      <c r="G495" s="618"/>
    </row>
    <row r="496" spans="1:7">
      <c r="A496" s="476"/>
      <c r="B496" s="327" t="s">
        <v>2631</v>
      </c>
      <c r="C496" s="327"/>
      <c r="D496" s="472" t="s">
        <v>45</v>
      </c>
      <c r="E496" s="616">
        <v>70345</v>
      </c>
      <c r="F496" s="617"/>
      <c r="G496" s="618"/>
    </row>
    <row r="497" spans="1:7">
      <c r="A497" s="476"/>
      <c r="B497" s="327" t="s">
        <v>2632</v>
      </c>
      <c r="C497" s="327"/>
      <c r="D497" s="472" t="s">
        <v>998</v>
      </c>
      <c r="E497" s="616">
        <v>61050</v>
      </c>
      <c r="F497" s="617"/>
      <c r="G497" s="618"/>
    </row>
    <row r="498" spans="1:7">
      <c r="A498" s="476"/>
      <c r="B498" s="327" t="s">
        <v>2633</v>
      </c>
      <c r="C498" s="327"/>
      <c r="D498" s="472" t="s">
        <v>998</v>
      </c>
      <c r="E498" s="616">
        <v>27943.5</v>
      </c>
      <c r="F498" s="617"/>
      <c r="G498" s="618"/>
    </row>
    <row r="499" spans="1:7">
      <c r="A499" s="476"/>
      <c r="B499" s="327" t="s">
        <v>2634</v>
      </c>
      <c r="C499" s="327"/>
      <c r="D499" s="472" t="s">
        <v>45</v>
      </c>
      <c r="E499" s="616">
        <v>59700</v>
      </c>
      <c r="F499" s="617"/>
      <c r="G499" s="618"/>
    </row>
    <row r="500" spans="1:7">
      <c r="A500" s="476"/>
      <c r="B500" s="327" t="s">
        <v>2635</v>
      </c>
      <c r="C500" s="327"/>
      <c r="D500" s="472" t="s">
        <v>998</v>
      </c>
      <c r="E500" s="616">
        <v>18065.7</v>
      </c>
      <c r="F500" s="617"/>
      <c r="G500" s="618"/>
    </row>
    <row r="501" spans="1:7">
      <c r="A501" s="476"/>
      <c r="B501" s="327" t="s">
        <v>2636</v>
      </c>
      <c r="C501" s="327"/>
      <c r="D501" s="472" t="s">
        <v>45</v>
      </c>
      <c r="E501" s="616">
        <v>95043</v>
      </c>
      <c r="F501" s="617"/>
      <c r="G501" s="618"/>
    </row>
    <row r="502" spans="1:7">
      <c r="A502" s="476"/>
      <c r="B502" s="327" t="s">
        <v>2637</v>
      </c>
      <c r="C502" s="327"/>
      <c r="D502" s="472" t="s">
        <v>998</v>
      </c>
      <c r="E502" s="616">
        <v>61285</v>
      </c>
      <c r="F502" s="617"/>
      <c r="G502" s="618"/>
    </row>
    <row r="503" spans="1:7">
      <c r="A503" s="476"/>
      <c r="B503" s="327" t="s">
        <v>2638</v>
      </c>
      <c r="C503" s="327"/>
      <c r="D503" s="472" t="s">
        <v>998</v>
      </c>
      <c r="E503" s="616">
        <v>673236.9</v>
      </c>
      <c r="F503" s="617"/>
      <c r="G503" s="618"/>
    </row>
    <row r="504" spans="1:7">
      <c r="A504" s="476"/>
      <c r="B504" s="327" t="s">
        <v>2639</v>
      </c>
      <c r="C504" s="327"/>
      <c r="D504" s="472" t="s">
        <v>998</v>
      </c>
      <c r="E504" s="616">
        <v>380855</v>
      </c>
      <c r="F504" s="617"/>
      <c r="G504" s="618"/>
    </row>
    <row r="505" spans="1:7">
      <c r="A505" s="476"/>
      <c r="B505" s="327" t="s">
        <v>2640</v>
      </c>
      <c r="C505" s="327"/>
      <c r="D505" s="472" t="s">
        <v>45</v>
      </c>
      <c r="E505" s="616">
        <v>53807.5</v>
      </c>
      <c r="F505" s="617"/>
      <c r="G505" s="618"/>
    </row>
    <row r="506" spans="1:7">
      <c r="A506" s="476"/>
      <c r="B506" s="327" t="s">
        <v>2641</v>
      </c>
      <c r="C506" s="327"/>
      <c r="D506" s="472" t="s">
        <v>998</v>
      </c>
      <c r="E506" s="616">
        <v>199468</v>
      </c>
      <c r="F506" s="617"/>
      <c r="G506" s="618"/>
    </row>
    <row r="507" spans="1:7">
      <c r="A507" s="476"/>
      <c r="B507" s="327" t="s">
        <v>2642</v>
      </c>
      <c r="C507" s="327"/>
      <c r="D507" s="472" t="s">
        <v>998</v>
      </c>
      <c r="E507" s="616">
        <v>409200</v>
      </c>
      <c r="F507" s="617"/>
      <c r="G507" s="618"/>
    </row>
    <row r="508" spans="1:7">
      <c r="A508" s="476"/>
      <c r="B508" s="327" t="s">
        <v>2643</v>
      </c>
      <c r="C508" s="327"/>
      <c r="D508" s="472" t="s">
        <v>998</v>
      </c>
      <c r="E508" s="616">
        <v>271800</v>
      </c>
      <c r="F508" s="617"/>
      <c r="G508" s="618"/>
    </row>
    <row r="509" spans="1:7">
      <c r="A509" s="476"/>
      <c r="B509" s="327" t="s">
        <v>2644</v>
      </c>
      <c r="C509" s="327"/>
      <c r="D509" s="472" t="s">
        <v>998</v>
      </c>
      <c r="E509" s="616">
        <v>540500</v>
      </c>
      <c r="F509" s="617"/>
      <c r="G509" s="618"/>
    </row>
    <row r="510" spans="1:7">
      <c r="B510" s="302" t="s">
        <v>2655</v>
      </c>
      <c r="D510" s="472" t="s">
        <v>998</v>
      </c>
      <c r="E510" s="616">
        <v>20000</v>
      </c>
      <c r="F510" s="619"/>
      <c r="G510" s="619"/>
    </row>
    <row r="511" spans="1:7">
      <c r="B511" s="302" t="s">
        <v>2657</v>
      </c>
      <c r="D511" s="472" t="s">
        <v>998</v>
      </c>
      <c r="E511" s="616">
        <v>9600</v>
      </c>
      <c r="F511" s="619"/>
      <c r="G511" s="619"/>
    </row>
    <row r="512" spans="1:7">
      <c r="B512" s="302" t="s">
        <v>2659</v>
      </c>
      <c r="D512" s="472" t="s">
        <v>39</v>
      </c>
      <c r="E512" s="616">
        <v>45000</v>
      </c>
      <c r="F512" s="619"/>
      <c r="G512" s="619"/>
    </row>
    <row r="513" spans="2:7">
      <c r="B513" s="302" t="s">
        <v>2663</v>
      </c>
      <c r="D513" s="472" t="s">
        <v>39</v>
      </c>
      <c r="E513" s="616">
        <v>150000</v>
      </c>
      <c r="F513" s="619"/>
      <c r="G513" s="619"/>
    </row>
    <row r="514" spans="2:7">
      <c r="B514" s="302" t="s">
        <v>2665</v>
      </c>
      <c r="D514" s="472" t="s">
        <v>998</v>
      </c>
      <c r="E514" s="616">
        <v>622000</v>
      </c>
      <c r="F514" s="619"/>
      <c r="G514" s="619"/>
    </row>
    <row r="515" spans="2:7">
      <c r="B515" s="302" t="s">
        <v>2667</v>
      </c>
      <c r="D515" s="472" t="s">
        <v>998</v>
      </c>
      <c r="E515" s="616">
        <v>9000</v>
      </c>
      <c r="F515" s="619"/>
      <c r="G515" s="619"/>
    </row>
    <row r="516" spans="2:7">
      <c r="B516" s="302" t="s">
        <v>2668</v>
      </c>
      <c r="D516" s="472" t="s">
        <v>998</v>
      </c>
      <c r="E516" s="616">
        <v>38000</v>
      </c>
      <c r="F516" s="619"/>
      <c r="G516" s="619"/>
    </row>
  </sheetData>
  <autoFilter ref="B2:G347" xr:uid="{00000000-0009-0000-0000-000014000000}"/>
  <mergeCells count="1">
    <mergeCell ref="B1:G1"/>
  </mergeCells>
  <hyperlinks>
    <hyperlink ref="G5" r:id="rId1" xr:uid="{00000000-0004-0000-1400-000000000000}"/>
    <hyperlink ref="G6" r:id="rId2" xr:uid="{00000000-0004-0000-1400-000001000000}"/>
    <hyperlink ref="G7" r:id="rId3" xr:uid="{00000000-0004-0000-1400-000002000000}"/>
    <hyperlink ref="G65" r:id="rId4" xr:uid="{00000000-0004-0000-1400-000003000000}"/>
    <hyperlink ref="G118" r:id="rId5" xr:uid="{00000000-0004-0000-1400-000004000000}"/>
    <hyperlink ref="G113" r:id="rId6" xr:uid="{00000000-0004-0000-1400-000005000000}"/>
    <hyperlink ref="G151" r:id="rId7" xr:uid="{00000000-0004-0000-1400-000006000000}"/>
    <hyperlink ref="G30" r:id="rId8" xr:uid="{00000000-0004-0000-1400-000007000000}"/>
    <hyperlink ref="G18" r:id="rId9" xr:uid="{00000000-0004-0000-1400-000008000000}"/>
    <hyperlink ref="G309" r:id="rId10" xr:uid="{00000000-0004-0000-1400-000009000000}"/>
    <hyperlink ref="G133" r:id="rId11" xr:uid="{00000000-0004-0000-1400-00000A000000}"/>
    <hyperlink ref="G96" r:id="rId12" xr:uid="{00000000-0004-0000-1400-00000B000000}"/>
    <hyperlink ref="G134" r:id="rId13" xr:uid="{00000000-0004-0000-1400-00000C000000}"/>
    <hyperlink ref="G135" r:id="rId14" xr:uid="{00000000-0004-0000-1400-00000D000000}"/>
    <hyperlink ref="G137" r:id="rId15" xr:uid="{00000000-0004-0000-1400-00000E000000}"/>
    <hyperlink ref="G131" r:id="rId16" xr:uid="{00000000-0004-0000-1400-00000F000000}"/>
    <hyperlink ref="G13" r:id="rId17" xr:uid="{00000000-0004-0000-1400-000010000000}"/>
    <hyperlink ref="G139" r:id="rId18" xr:uid="{00000000-0004-0000-1400-000011000000}"/>
    <hyperlink ref="G130" r:id="rId19" xr:uid="{00000000-0004-0000-1400-000012000000}"/>
    <hyperlink ref="G140" r:id="rId20" xr:uid="{00000000-0004-0000-1400-000013000000}"/>
    <hyperlink ref="G62" r:id="rId21" xr:uid="{00000000-0004-0000-1400-000014000000}"/>
    <hyperlink ref="G27" r:id="rId22" xr:uid="{00000000-0004-0000-1400-000015000000}"/>
    <hyperlink ref="G311" r:id="rId23" xr:uid="{00000000-0004-0000-1400-000016000000}"/>
    <hyperlink ref="G79" r:id="rId24" xr:uid="{00000000-0004-0000-1400-000017000000}"/>
    <hyperlink ref="G70" r:id="rId25" xr:uid="{00000000-0004-0000-1400-000018000000}"/>
    <hyperlink ref="G76" r:id="rId26" xr:uid="{00000000-0004-0000-1400-000019000000}"/>
    <hyperlink ref="G68" r:id="rId27" xr:uid="{00000000-0004-0000-1400-00001A000000}"/>
    <hyperlink ref="G138" r:id="rId28" xr:uid="{00000000-0004-0000-1400-00001B000000}"/>
    <hyperlink ref="G141" r:id="rId29" xr:uid="{00000000-0004-0000-1400-00001C000000}"/>
    <hyperlink ref="G142" r:id="rId30" xr:uid="{00000000-0004-0000-1400-00001D000000}"/>
    <hyperlink ref="G143" r:id="rId31" xr:uid="{00000000-0004-0000-1400-00001E000000}"/>
    <hyperlink ref="G144" r:id="rId32" xr:uid="{00000000-0004-0000-1400-00001F000000}"/>
    <hyperlink ref="G145" r:id="rId33" xr:uid="{00000000-0004-0000-1400-000020000000}"/>
    <hyperlink ref="G14" r:id="rId34" xr:uid="{00000000-0004-0000-1400-000021000000}"/>
    <hyperlink ref="G15" r:id="rId35" xr:uid="{00000000-0004-0000-1400-000022000000}"/>
    <hyperlink ref="G20" r:id="rId36" xr:uid="{00000000-0004-0000-1400-000023000000}"/>
    <hyperlink ref="G21" r:id="rId37" xr:uid="{00000000-0004-0000-1400-000024000000}"/>
    <hyperlink ref="G28" r:id="rId38" xr:uid="{00000000-0004-0000-1400-000025000000}"/>
    <hyperlink ref="G11" r:id="rId39" xr:uid="{00000000-0004-0000-1400-000026000000}"/>
    <hyperlink ref="G19" r:id="rId40" xr:uid="{00000000-0004-0000-1400-000027000000}"/>
    <hyperlink ref="G33" r:id="rId41" xr:uid="{00000000-0004-0000-1400-000028000000}"/>
    <hyperlink ref="G34" r:id="rId42" xr:uid="{00000000-0004-0000-1400-000029000000}"/>
    <hyperlink ref="G35" r:id="rId43" xr:uid="{00000000-0004-0000-1400-00002A000000}"/>
    <hyperlink ref="G36" r:id="rId44" xr:uid="{00000000-0004-0000-1400-00002B000000}"/>
    <hyperlink ref="G37" r:id="rId45" xr:uid="{00000000-0004-0000-1400-00002C000000}"/>
    <hyperlink ref="G39" r:id="rId46" xr:uid="{00000000-0004-0000-1400-00002D000000}"/>
    <hyperlink ref="G41" r:id="rId47" xr:uid="{00000000-0004-0000-1400-00002E000000}"/>
    <hyperlink ref="G42" r:id="rId48" xr:uid="{00000000-0004-0000-1400-00002F000000}"/>
    <hyperlink ref="G51" r:id="rId49" xr:uid="{00000000-0004-0000-1400-000030000000}"/>
    <hyperlink ref="G55" r:id="rId50" xr:uid="{00000000-0004-0000-1400-000031000000}"/>
    <hyperlink ref="G58" r:id="rId51" display="http://www.colombia.generadordeprecios.info/espacios_urbanos/Estructuras/Concretos__aceros_y_encofrados/Aceros/Malla_electrosoldada.html " xr:uid="{00000000-0004-0000-1400-000032000000}"/>
    <hyperlink ref="G61" r:id="rId52" xr:uid="{00000000-0004-0000-1400-000033000000}"/>
    <hyperlink ref="G66" r:id="rId53" xr:uid="{00000000-0004-0000-1400-000034000000}"/>
    <hyperlink ref="G67" r:id="rId54" xr:uid="{00000000-0004-0000-1400-000035000000}"/>
    <hyperlink ref="G69" r:id="rId55" xr:uid="{00000000-0004-0000-1400-000036000000}"/>
    <hyperlink ref="G72" r:id="rId56" xr:uid="{00000000-0004-0000-1400-000037000000}"/>
    <hyperlink ref="G73" r:id="rId57" display="https://www.construvirtual.com/malla-electrosoldada-m-188-6-mm-15x15 " xr:uid="{00000000-0004-0000-1400-000038000000}"/>
    <hyperlink ref="G75" r:id="rId58" xr:uid="{00000000-0004-0000-1400-000039000000}"/>
    <hyperlink ref="G77" r:id="rId59" xr:uid="{00000000-0004-0000-1400-00003A000000}"/>
    <hyperlink ref="G78" r:id="rId60" xr:uid="{00000000-0004-0000-1400-00003B000000}"/>
    <hyperlink ref="G82" r:id="rId61" xr:uid="{00000000-0004-0000-1400-00003C000000}"/>
    <hyperlink ref="G84" r:id="rId62" xr:uid="{00000000-0004-0000-1400-00003D000000}"/>
    <hyperlink ref="G85" r:id="rId63" xr:uid="{00000000-0004-0000-1400-00003E000000}"/>
    <hyperlink ref="G86" r:id="rId64" xr:uid="{00000000-0004-0000-1400-00003F000000}"/>
    <hyperlink ref="G87" r:id="rId65" xr:uid="{00000000-0004-0000-1400-000040000000}"/>
    <hyperlink ref="G88" r:id="rId66" xr:uid="{00000000-0004-0000-1400-000041000000}"/>
    <hyperlink ref="G92" r:id="rId67" xr:uid="{00000000-0004-0000-1400-000042000000}"/>
    <hyperlink ref="G93" r:id="rId68" xr:uid="{00000000-0004-0000-1400-000043000000}"/>
    <hyperlink ref="G94" r:id="rId69" xr:uid="{00000000-0004-0000-1400-000044000000}"/>
    <hyperlink ref="G95" r:id="rId70" xr:uid="{00000000-0004-0000-1400-000045000000}"/>
    <hyperlink ref="G98" r:id="rId71" xr:uid="{00000000-0004-0000-1400-000046000000}"/>
    <hyperlink ref="G100" r:id="rId72" xr:uid="{00000000-0004-0000-1400-000047000000}"/>
    <hyperlink ref="G101" r:id="rId73" xr:uid="{00000000-0004-0000-1400-000048000000}"/>
    <hyperlink ref="G105" r:id="rId74" xr:uid="{00000000-0004-0000-1400-000049000000}"/>
    <hyperlink ref="G106" r:id="rId75" xr:uid="{00000000-0004-0000-1400-00004A000000}"/>
    <hyperlink ref="G147" r:id="rId76" xr:uid="{00000000-0004-0000-1400-00004B000000}"/>
    <hyperlink ref="G148" r:id="rId77" xr:uid="{00000000-0004-0000-1400-00004C000000}"/>
    <hyperlink ref="G150" r:id="rId78" xr:uid="{00000000-0004-0000-1400-00004D000000}"/>
    <hyperlink ref="G314" r:id="rId79" xr:uid="{00000000-0004-0000-1400-00004E000000}"/>
    <hyperlink ref="G315" r:id="rId80" xr:uid="{00000000-0004-0000-1400-00004F000000}"/>
    <hyperlink ref="G316" r:id="rId81" xr:uid="{00000000-0004-0000-1400-000050000000}"/>
    <hyperlink ref="G90:G91" r:id="rId82" display="https://www.homecenter.com.co/homecenter-co/product/483100/piso-baldosa-granito-de-marmol-blanco-huila-30x30cm-caja-x-24m2 " xr:uid="{00000000-0004-0000-1400-000051000000}"/>
    <hyperlink ref="G97" r:id="rId83" display="https://www.homecenter.com.co/homecenter-co/product/287622/plastico-negro-150x3m-ancho-cal35 " xr:uid="{00000000-0004-0000-1400-000052000000}"/>
    <hyperlink ref="G107" r:id="rId84" xr:uid="{00000000-0004-0000-1400-000053000000}"/>
    <hyperlink ref="G109" r:id="rId85" xr:uid="{00000000-0004-0000-1400-000054000000}"/>
    <hyperlink ref="G114" r:id="rId86" xr:uid="{00000000-0004-0000-1400-000055000000}"/>
    <hyperlink ref="G116" r:id="rId87" xr:uid="{00000000-0004-0000-1400-000056000000}"/>
    <hyperlink ref="G117" r:id="rId88" xr:uid="{00000000-0004-0000-1400-000057000000}"/>
    <hyperlink ref="G120" r:id="rId89" xr:uid="{00000000-0004-0000-1400-000058000000}"/>
    <hyperlink ref="G121" r:id="rId90" xr:uid="{00000000-0004-0000-1400-000059000000}"/>
    <hyperlink ref="G124" r:id="rId91" xr:uid="{00000000-0004-0000-1400-00005A000000}"/>
    <hyperlink ref="G125" r:id="rId92" xr:uid="{00000000-0004-0000-1400-00005B000000}"/>
    <hyperlink ref="G126" r:id="rId93" xr:uid="{00000000-0004-0000-1400-00005C000000}"/>
    <hyperlink ref="G127" r:id="rId94" xr:uid="{00000000-0004-0000-1400-00005D000000}"/>
    <hyperlink ref="G128" r:id="rId95" xr:uid="{00000000-0004-0000-1400-00005E000000}"/>
    <hyperlink ref="G162" r:id="rId96" xr:uid="{00000000-0004-0000-1400-00005F000000}"/>
    <hyperlink ref="G163" r:id="rId97" xr:uid="{00000000-0004-0000-1400-000060000000}"/>
    <hyperlink ref="G164" r:id="rId98" xr:uid="{00000000-0004-0000-1400-000061000000}"/>
    <hyperlink ref="G165" r:id="rId99" xr:uid="{00000000-0004-0000-1400-000062000000}"/>
    <hyperlink ref="G166" r:id="rId100" xr:uid="{00000000-0004-0000-1400-000063000000}"/>
    <hyperlink ref="G168" r:id="rId101" xr:uid="{00000000-0004-0000-1400-000064000000}"/>
    <hyperlink ref="G170" r:id="rId102" xr:uid="{00000000-0004-0000-1400-000065000000}"/>
    <hyperlink ref="G172" r:id="rId103" xr:uid="{00000000-0004-0000-1400-000066000000}"/>
    <hyperlink ref="G174" r:id="rId104" xr:uid="{00000000-0004-0000-1400-000067000000}"/>
    <hyperlink ref="G176" r:id="rId105" xr:uid="{00000000-0004-0000-1400-000068000000}"/>
    <hyperlink ref="G177" r:id="rId106" xr:uid="{00000000-0004-0000-1400-000069000000}"/>
    <hyperlink ref="G181" r:id="rId107" xr:uid="{00000000-0004-0000-1400-00006A000000}"/>
    <hyperlink ref="G182" r:id="rId108" xr:uid="{00000000-0004-0000-1400-00006B000000}"/>
    <hyperlink ref="G325" r:id="rId109" xr:uid="{00000000-0004-0000-1400-00006C000000}"/>
    <hyperlink ref="G326" r:id="rId110" xr:uid="{00000000-0004-0000-1400-00006D000000}"/>
    <hyperlink ref="G25" r:id="rId111" xr:uid="{00000000-0004-0000-1400-00006E000000}"/>
    <hyperlink ref="G26" r:id="rId112" xr:uid="{00000000-0004-0000-1400-00006F000000}"/>
    <hyperlink ref="G154" r:id="rId113" xr:uid="{00000000-0004-0000-1400-000070000000}"/>
    <hyperlink ref="G155" r:id="rId114" xr:uid="{00000000-0004-0000-1400-000071000000}"/>
    <hyperlink ref="G24" r:id="rId115" xr:uid="{00000000-0004-0000-1400-000072000000}"/>
    <hyperlink ref="G152" r:id="rId116" xr:uid="{00000000-0004-0000-1400-000073000000}"/>
    <hyperlink ref="G153" r:id="rId117" display="https://www.homecenter.com.co/homecenter-co/product/86539/tubo-cerramiento-negro-2pg-x-25mm-x-6m/86539/?queryId=86539744-fc2b-44b4-864e-5b4acc32fab3" xr:uid="{00000000-0004-0000-1400-000074000000}"/>
    <hyperlink ref="G331" r:id="rId118" xr:uid="{00000000-0004-0000-1400-000075000000}"/>
    <hyperlink ref="G59" r:id="rId119" display="http://www.colombia.generadordeprecios.info/espacios_urbanos/Estructuras/Concretos__aceros_y_encofrados/Aceros/Malla_electrosoldada.html " xr:uid="{00000000-0004-0000-1400-000076000000}"/>
    <hyperlink ref="G74" r:id="rId120" display="https://www.construvirtual.com/malla-electrosoldada-m-188-6-mm-15x15 " xr:uid="{00000000-0004-0000-1400-000077000000}"/>
    <hyperlink ref="G333" r:id="rId121" xr:uid="{00000000-0004-0000-1400-000078000000}"/>
    <hyperlink ref="G12" r:id="rId122" location="Similares" display="https://www.homecenter.com.co/homecenter-co/product/73639/varilla-corrugada-g60-w-6-3-4-pulg-x-6m/73639/?cid=UpProductPDPdy - Similares" xr:uid="{00000000-0004-0000-1400-000079000000}"/>
    <hyperlink ref="G10" r:id="rId123" xr:uid="{00000000-0004-0000-1400-00007A000000}"/>
    <hyperlink ref="G22" r:id="rId124" xr:uid="{00000000-0004-0000-1400-00007B000000}"/>
    <hyperlink ref="G23" r:id="rId125" xr:uid="{00000000-0004-0000-1400-00007C000000}"/>
    <hyperlink ref="G29" r:id="rId126" xr:uid="{00000000-0004-0000-1400-00007D000000}"/>
    <hyperlink ref="G38" r:id="rId127" xr:uid="{00000000-0004-0000-1400-00007E000000}"/>
    <hyperlink ref="G40" r:id="rId128" xr:uid="{00000000-0004-0000-1400-00007F000000}"/>
    <hyperlink ref="G56" r:id="rId129" xr:uid="{00000000-0004-0000-1400-000080000000}"/>
    <hyperlink ref="G71" r:id="rId130" display="https://www.homecenter.com.co/homecenter-co/product/13846/cemento-argos-gris-50kg/13846/?kid=bnnext1034178&amp;nbrd=googleSearch&amp;ef_id=CjwKCAjwq5-WBhB7EiwAl-HEkppy9MWO623XoWWMmq3pCbH358CV_7lAIxZJ_8kiR9DPno8ZEM59tRoC0pUQAvD_BwE:G:s&amp;s_kwcid=AL!868!3!492992987759!!!g!!&amp;gclsrc=aw.ds&amp;gclid=CjwKCAjwq5-WBhB7EiwAl-HEkppy9MWO623XoWWMmq3pCbH358CV_7lAIxZJ_8kiR9DPno8ZEM59tRoC0pUQAvD_BwE" xr:uid="{00000000-0004-0000-1400-000081000000}"/>
    <hyperlink ref="G89" r:id="rId131" xr:uid="{00000000-0004-0000-1400-000082000000}"/>
    <hyperlink ref="G102" r:id="rId132" xr:uid="{00000000-0004-0000-1400-000083000000}"/>
    <hyperlink ref="G103" r:id="rId133" display="https://www.homecenter.com.co/homecenter-co/product/364541/valvula-de-regulacion-metalica-1-2-hm-acople-acero-1-2-40cm/364541/?kid=bnnext1031759&amp;shop=googleShopping&amp;gclid=Cj0KCQjwspKUBhCvARIsAB2IYutQDmOq7fG7P6FbUobv87WdfXdekY4ZrbNM_ffD3hBA0MPK7ajJNwgaAt7_EALw_wcB" xr:uid="{00000000-0004-0000-1400-000084000000}"/>
    <hyperlink ref="G104" r:id="rId134" xr:uid="{00000000-0004-0000-1400-000085000000}"/>
    <hyperlink ref="G115" r:id="rId135" xr:uid="{00000000-0004-0000-1400-000086000000}"/>
    <hyperlink ref="G122" r:id="rId136" display="https://www.homecenter.com.co/homecenter-co/product/12198/placa-fibrocemento-8mm-244x122cm-3196kg-aprox/12198/?kid=bnnext1034178&amp;nbrd=googleSearch&amp;ef_id=Cj0KCQjw1tGUBhDXARIsAIJx01m6XouGYp_lsRkVg8pLPgkYl4LUhmDhixhqgKmw_7iUV2o8rCdH0LYaAox2EALw_wcB:G:s&amp;s_kwcid=AL!868!3!492992987759!!!g!!&amp;gclsrc=aw.ds&amp;gclid=Cj0KCQjw1tGUBhDXARIsAIJx01m6XouGYp_lsRkVg8pLPgkYl4LUhmDhixhqgKmw_7iUV2o8rCdH0LYaAox2EALw_wcB" xr:uid="{00000000-0004-0000-1400-000087000000}"/>
    <hyperlink ref="G129" r:id="rId137" xr:uid="{00000000-0004-0000-1400-000088000000}"/>
    <hyperlink ref="G146" r:id="rId138" xr:uid="{00000000-0004-0000-1400-000089000000}"/>
    <hyperlink ref="G149" r:id="rId139" xr:uid="{00000000-0004-0000-1400-00008A000000}"/>
    <hyperlink ref="G156" r:id="rId140" xr:uid="{00000000-0004-0000-1400-00008B000000}"/>
    <hyperlink ref="G158" r:id="rId141" xr:uid="{00000000-0004-0000-1400-00008C000000}"/>
    <hyperlink ref="G160" r:id="rId142" xr:uid="{00000000-0004-0000-1400-00008D000000}"/>
    <hyperlink ref="G167" r:id="rId143" xr:uid="{00000000-0004-0000-1400-00008E000000}"/>
    <hyperlink ref="G169" r:id="rId144" xr:uid="{00000000-0004-0000-1400-00008F000000}"/>
    <hyperlink ref="G179" r:id="rId145" display="https://www.homecenter.com.co/homecenter-co/product/434880/piso-deck-wpc-en-madera-espesor-25cm-caja-039-m2-teka/434880/" xr:uid="{00000000-0004-0000-1400-000090000000}"/>
    <hyperlink ref="G180" r:id="rId146" display="https://www.homecenter.com.co/homecenter-co/product/434880/piso-deck-wpc-en-madera-espesor-25cm-caja-039-m2-teka/434880/" xr:uid="{00000000-0004-0000-1400-000091000000}"/>
    <hyperlink ref="G317" r:id="rId147" xr:uid="{00000000-0004-0000-1400-000092000000}"/>
    <hyperlink ref="G318" r:id="rId148" display="https://articulo.mercadolibre.com.co/MCO-580686754-carretilla-bellota-antipinchazo-35-tolva-metalica-65-lt-_JM?matt_tool=70147493&amp;matt_word=&amp;matt_source=google&amp;matt_campaign_id=14633851809&amp;matt_ad_group_id=122277564930&amp;matt_match_type=&amp;matt_network=g&amp;matt_device=c&amp;matt_creative=545410559217&amp;matt_keyword=&amp;matt_ad_position=&amp;matt_ad_type=pla&amp;matt_merchant_id=533436408&amp;matt_product_id=MCO580686754&amp;matt_product_partition_id=1403869200214&amp;matt_target_id=aud-978928010071:pla-1403869200214&amp;gclid=CjwKCAjw4ayUBhA4EiwATWyBrigml7CN1WlssZ2MCvSoncVb2mCr1LbFOBBpwqoPxdQzDLhFVbUQrxoC92QQAvD_BwE" xr:uid="{00000000-0004-0000-1400-000093000000}"/>
    <hyperlink ref="G319" r:id="rId149" display="https://www.homecenter.com.co/homecenter-co/product/07507/sikadur-32-primer-puente-adherencia-concreto-fresco-a-endurecido-1kg/07507/?kid=bnnext1031758&amp;shop=googleShopping&amp;gclid=CjwKCAjw4ayUBhA4EiwATWyBrpdQEMq6IXn8VtyzzpZAkC2m6x7eG62cqpqWqAKvLX3mG-4wAhvuGhoC_EkQAvD_BwE" xr:uid="{00000000-0004-0000-1400-000094000000}"/>
    <hyperlink ref="G320" r:id="rId150" xr:uid="{00000000-0004-0000-1400-000095000000}"/>
    <hyperlink ref="G321" r:id="rId151" xr:uid="{00000000-0004-0000-1400-000096000000}"/>
    <hyperlink ref="G323" r:id="rId152" xr:uid="{00000000-0004-0000-1400-000097000000}"/>
    <hyperlink ref="G324" r:id="rId153" xr:uid="{00000000-0004-0000-1400-000098000000}"/>
    <hyperlink ref="G327" r:id="rId154" xr:uid="{00000000-0004-0000-1400-000099000000}"/>
    <hyperlink ref="G329" r:id="rId155" xr:uid="{00000000-0004-0000-1400-00009A000000}"/>
    <hyperlink ref="G330" r:id="rId156" xr:uid="{00000000-0004-0000-1400-00009B000000}"/>
    <hyperlink ref="G332" r:id="rId157" xr:uid="{00000000-0004-0000-1400-00009C000000}"/>
    <hyperlink ref="G334" r:id="rId158" location="Similares" xr:uid="{00000000-0004-0000-1400-00009D000000}"/>
    <hyperlink ref="G335" r:id="rId159" xr:uid="{00000000-0004-0000-1400-00009E000000}"/>
    <hyperlink ref="G336" r:id="rId160" xr:uid="{00000000-0004-0000-1400-00009F000000}"/>
    <hyperlink ref="G337" r:id="rId161" xr:uid="{00000000-0004-0000-1400-0000A0000000}"/>
    <hyperlink ref="G338" r:id="rId162" xr:uid="{00000000-0004-0000-1400-0000A1000000}"/>
    <hyperlink ref="G339" r:id="rId163" xr:uid="{00000000-0004-0000-1400-0000A2000000}"/>
    <hyperlink ref="G64" r:id="rId164" xr:uid="{00000000-0004-0000-1400-0000A3000000}"/>
    <hyperlink ref="G83" display="https://www.homecenter.com.co/homecenter-co/product/135130/pintura-para-interior-techos-y-cielos-blanco-1-galon/135130/?gclsrc=aw.ds&amp;&amp;kid=bnnext1031778&amp;shop=googleShopping&amp;gclid=Cj0KCQjwzqSWBhDPARIsAK38LY9bPbcJN77MomM8taK4jsN08mIOa0Y41tdJF0yXjv2mP20w_6nX0" xr:uid="{00000000-0004-0000-1400-0000A4000000}"/>
  </hyperlinks>
  <pageMargins left="0.70866141732283472" right="0.70866141732283472" top="1.3130314960629921" bottom="0.74803149606299213" header="0.31496062992125984" footer="0.31496062992125984"/>
  <pageSetup paperSize="9" scale="48" fitToHeight="0" orientation="landscape" r:id="rId165"/>
  <drawing r:id="rId16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39997558519241921"/>
  </sheetPr>
  <dimension ref="A2:I191"/>
  <sheetViews>
    <sheetView topLeftCell="A140" workbookViewId="0">
      <selection activeCell="G141" sqref="G141"/>
    </sheetView>
  </sheetViews>
  <sheetFormatPr baseColWidth="10" defaultColWidth="10.88671875" defaultRowHeight="13.8"/>
  <cols>
    <col min="1" max="1" width="2" style="176" customWidth="1"/>
    <col min="2" max="2" width="55" style="259" customWidth="1"/>
    <col min="3" max="3" width="10.109375" style="438" bestFit="1" customWidth="1"/>
    <col min="4" max="4" width="5.88671875" style="259" bestFit="1" customWidth="1"/>
    <col min="5" max="5" width="12.44140625" style="418" bestFit="1" customWidth="1"/>
    <col min="6" max="6" width="14.88671875" style="176" bestFit="1" customWidth="1"/>
    <col min="7" max="7" width="25.109375" style="176" bestFit="1" customWidth="1"/>
    <col min="8" max="16384" width="10.88671875" style="176"/>
  </cols>
  <sheetData>
    <row r="2" spans="1:7" ht="12.75" customHeight="1">
      <c r="B2" s="1166"/>
      <c r="C2" s="1166"/>
      <c r="D2" s="1166"/>
      <c r="E2" s="1166"/>
      <c r="F2" s="1166"/>
      <c r="G2" s="1166"/>
    </row>
    <row r="3" spans="1:7" ht="12.75" customHeight="1">
      <c r="B3" s="1166"/>
      <c r="C3" s="1166"/>
      <c r="D3" s="1166"/>
      <c r="E3" s="1166"/>
      <c r="F3" s="1166"/>
      <c r="G3" s="1166"/>
    </row>
    <row r="4" spans="1:7" ht="12.75" customHeight="1">
      <c r="B4" s="1166"/>
      <c r="C4" s="1166"/>
      <c r="D4" s="1166"/>
      <c r="E4" s="1166"/>
      <c r="F4" s="1166"/>
      <c r="G4" s="1166"/>
    </row>
    <row r="5" spans="1:7" ht="12.75" customHeight="1">
      <c r="B5" s="1166"/>
      <c r="C5" s="1166"/>
      <c r="D5" s="1166"/>
      <c r="E5" s="1166"/>
      <c r="F5" s="1166"/>
      <c r="G5" s="1166"/>
    </row>
    <row r="6" spans="1:7" ht="17.25" customHeight="1">
      <c r="B6" s="1166"/>
      <c r="C6" s="1166"/>
      <c r="D6" s="1166"/>
      <c r="E6" s="1166"/>
      <c r="F6" s="1166"/>
      <c r="G6" s="1166"/>
    </row>
    <row r="7" spans="1:7" ht="13.5" customHeight="1" thickBot="1"/>
    <row r="8" spans="1:7" ht="13.5" customHeight="1" thickBot="1">
      <c r="B8" s="419" t="s">
        <v>996</v>
      </c>
      <c r="C8" s="442" t="s">
        <v>997</v>
      </c>
      <c r="D8" s="263" t="s">
        <v>998</v>
      </c>
      <c r="E8" s="420" t="s">
        <v>999</v>
      </c>
      <c r="F8" s="420" t="s">
        <v>1000</v>
      </c>
      <c r="G8" s="443" t="s">
        <v>1001</v>
      </c>
    </row>
    <row r="9" spans="1:7" s="424" customFormat="1" ht="33.6" customHeight="1">
      <c r="B9" s="421" t="s">
        <v>1617</v>
      </c>
      <c r="C9" s="439"/>
      <c r="D9" s="422"/>
      <c r="E9" s="423"/>
      <c r="F9" s="439"/>
      <c r="G9" s="444"/>
    </row>
    <row r="10" spans="1:7" s="424" customFormat="1" ht="49.2" customHeight="1">
      <c r="A10" s="458"/>
      <c r="B10" s="425" t="s">
        <v>1618</v>
      </c>
      <c r="C10" s="440" t="s">
        <v>1619</v>
      </c>
      <c r="D10" s="426" t="s">
        <v>1620</v>
      </c>
      <c r="E10" s="427">
        <f>590800*1.19</f>
        <v>703052</v>
      </c>
      <c r="F10" s="445" t="s">
        <v>1621</v>
      </c>
      <c r="G10" s="446" t="s">
        <v>2409</v>
      </c>
    </row>
    <row r="11" spans="1:7" s="428" customFormat="1" ht="28.2" customHeight="1">
      <c r="A11" s="458"/>
      <c r="B11" s="425" t="s">
        <v>1622</v>
      </c>
      <c r="C11" s="440" t="s">
        <v>1623</v>
      </c>
      <c r="D11" s="426" t="s">
        <v>1620</v>
      </c>
      <c r="E11" s="427">
        <f>286092*1.19</f>
        <v>340449.48</v>
      </c>
      <c r="F11" s="445" t="s">
        <v>1621</v>
      </c>
      <c r="G11" s="446" t="s">
        <v>2409</v>
      </c>
    </row>
    <row r="12" spans="1:7" s="428" customFormat="1" ht="28.2" customHeight="1">
      <c r="A12" s="458"/>
      <c r="B12" s="425" t="s">
        <v>674</v>
      </c>
      <c r="C12" s="440" t="s">
        <v>671</v>
      </c>
      <c r="D12" s="426" t="s">
        <v>1620</v>
      </c>
      <c r="E12" s="427">
        <v>14000</v>
      </c>
      <c r="F12" s="445" t="s">
        <v>1621</v>
      </c>
      <c r="G12" s="446" t="s">
        <v>2409</v>
      </c>
    </row>
    <row r="13" spans="1:7" s="428" customFormat="1" ht="36" customHeight="1">
      <c r="A13" s="458"/>
      <c r="B13" s="425" t="s">
        <v>1624</v>
      </c>
      <c r="C13" s="440" t="s">
        <v>1625</v>
      </c>
      <c r="D13" s="426" t="s">
        <v>1620</v>
      </c>
      <c r="E13" s="427">
        <v>279293</v>
      </c>
      <c r="F13" s="445" t="s">
        <v>1621</v>
      </c>
      <c r="G13" s="446" t="s">
        <v>2409</v>
      </c>
    </row>
    <row r="14" spans="1:7" s="428" customFormat="1" ht="28.2" customHeight="1">
      <c r="A14" s="458"/>
      <c r="B14" s="425" t="s">
        <v>1626</v>
      </c>
      <c r="C14" s="440" t="s">
        <v>778</v>
      </c>
      <c r="D14" s="426" t="s">
        <v>1620</v>
      </c>
      <c r="E14" s="427">
        <f>220689*1.19</f>
        <v>262619.90999999997</v>
      </c>
      <c r="F14" s="445" t="s">
        <v>1621</v>
      </c>
      <c r="G14" s="446" t="s">
        <v>2409</v>
      </c>
    </row>
    <row r="15" spans="1:7" s="428" customFormat="1" ht="28.2" customHeight="1">
      <c r="A15" s="458"/>
      <c r="B15" s="425" t="s">
        <v>1627</v>
      </c>
      <c r="C15" s="440" t="s">
        <v>659</v>
      </c>
      <c r="D15" s="426" t="s">
        <v>1620</v>
      </c>
      <c r="E15" s="427">
        <f>220689*1.19</f>
        <v>262619.90999999997</v>
      </c>
      <c r="F15" s="445" t="s">
        <v>1621</v>
      </c>
      <c r="G15" s="446" t="s">
        <v>2409</v>
      </c>
    </row>
    <row r="16" spans="1:7" s="428" customFormat="1" ht="41.25" customHeight="1">
      <c r="A16" s="458"/>
      <c r="B16" s="425" t="s">
        <v>598</v>
      </c>
      <c r="C16" s="440" t="s">
        <v>1628</v>
      </c>
      <c r="D16" s="426" t="s">
        <v>1620</v>
      </c>
      <c r="E16" s="427">
        <f>351500*1.19</f>
        <v>418285</v>
      </c>
      <c r="F16" s="445" t="s">
        <v>1621</v>
      </c>
      <c r="G16" s="446" t="s">
        <v>2409</v>
      </c>
    </row>
    <row r="17" spans="1:7" s="428" customFormat="1" ht="41.25" customHeight="1">
      <c r="A17" s="458"/>
      <c r="B17" s="425" t="s">
        <v>608</v>
      </c>
      <c r="C17" s="440" t="s">
        <v>781</v>
      </c>
      <c r="D17" s="426" t="s">
        <v>45</v>
      </c>
      <c r="E17" s="427">
        <f>4230*1.19</f>
        <v>5033.7</v>
      </c>
      <c r="F17" s="445" t="s">
        <v>1621</v>
      </c>
      <c r="G17" s="446" t="s">
        <v>2409</v>
      </c>
    </row>
    <row r="18" spans="1:7" s="428" customFormat="1" ht="28.2" customHeight="1">
      <c r="A18" s="458"/>
      <c r="B18" s="425" t="s">
        <v>715</v>
      </c>
      <c r="C18" s="440" t="s">
        <v>713</v>
      </c>
      <c r="D18" s="426" t="s">
        <v>1620</v>
      </c>
      <c r="E18" s="427">
        <v>985000</v>
      </c>
      <c r="F18" s="445" t="s">
        <v>1500</v>
      </c>
      <c r="G18" s="446" t="s">
        <v>1500</v>
      </c>
    </row>
    <row r="19" spans="1:7" s="428" customFormat="1" ht="28.2" customHeight="1">
      <c r="A19" s="458"/>
      <c r="B19" s="425" t="s">
        <v>1629</v>
      </c>
      <c r="C19" s="440" t="s">
        <v>713</v>
      </c>
      <c r="D19" s="426" t="s">
        <v>1620</v>
      </c>
      <c r="E19" s="427">
        <v>189900</v>
      </c>
      <c r="F19" s="445" t="s">
        <v>2801</v>
      </c>
      <c r="G19" s="446"/>
    </row>
    <row r="20" spans="1:7" s="428" customFormat="1" ht="28.2" customHeight="1">
      <c r="A20" s="458"/>
      <c r="B20" s="425" t="s">
        <v>717</v>
      </c>
      <c r="C20" s="440" t="s">
        <v>713</v>
      </c>
      <c r="D20" s="426" t="s">
        <v>1620</v>
      </c>
      <c r="E20" s="427">
        <v>249900</v>
      </c>
      <c r="F20" s="445" t="s">
        <v>1500</v>
      </c>
      <c r="G20" s="446" t="s">
        <v>1500</v>
      </c>
    </row>
    <row r="21" spans="1:7" s="428" customFormat="1" ht="28.2" customHeight="1">
      <c r="A21" s="458"/>
      <c r="B21" s="425" t="s">
        <v>1630</v>
      </c>
      <c r="C21" s="440" t="s">
        <v>713</v>
      </c>
      <c r="D21" s="426" t="s">
        <v>1620</v>
      </c>
      <c r="E21" s="427">
        <v>5200</v>
      </c>
      <c r="F21" s="445" t="s">
        <v>1016</v>
      </c>
      <c r="G21" s="459" t="s">
        <v>2410</v>
      </c>
    </row>
    <row r="22" spans="1:7" s="428" customFormat="1" ht="28.2" customHeight="1">
      <c r="A22" s="458"/>
      <c r="B22" s="425" t="s">
        <v>719</v>
      </c>
      <c r="C22" s="440" t="s">
        <v>713</v>
      </c>
      <c r="D22" s="426" t="s">
        <v>1620</v>
      </c>
      <c r="E22" s="427">
        <v>60900</v>
      </c>
      <c r="F22" s="445" t="s">
        <v>1016</v>
      </c>
      <c r="G22" s="459" t="s">
        <v>2411</v>
      </c>
    </row>
    <row r="23" spans="1:7" s="428" customFormat="1" ht="66.75" customHeight="1">
      <c r="A23" s="458"/>
      <c r="B23" s="425" t="s">
        <v>1631</v>
      </c>
      <c r="C23" s="440" t="s">
        <v>1632</v>
      </c>
      <c r="D23" s="426" t="s">
        <v>1620</v>
      </c>
      <c r="E23" s="427">
        <v>14280</v>
      </c>
      <c r="F23" s="445" t="s">
        <v>1621</v>
      </c>
      <c r="G23" s="446" t="s">
        <v>2409</v>
      </c>
    </row>
    <row r="24" spans="1:7" s="428" customFormat="1" ht="122.4" customHeight="1">
      <c r="A24" s="458"/>
      <c r="B24" s="425" t="s">
        <v>1633</v>
      </c>
      <c r="C24" s="440" t="s">
        <v>1634</v>
      </c>
      <c r="D24" s="426" t="s">
        <v>1620</v>
      </c>
      <c r="E24" s="427">
        <v>780</v>
      </c>
      <c r="F24" s="445" t="s">
        <v>1621</v>
      </c>
      <c r="G24" s="446" t="s">
        <v>2409</v>
      </c>
    </row>
    <row r="25" spans="1:7" s="428" customFormat="1" ht="123.6" customHeight="1">
      <c r="A25" s="458"/>
      <c r="B25" s="425" t="s">
        <v>1635</v>
      </c>
      <c r="C25" s="440" t="s">
        <v>1636</v>
      </c>
      <c r="D25" s="426" t="s">
        <v>1620</v>
      </c>
      <c r="E25" s="427">
        <v>11900</v>
      </c>
      <c r="F25" s="445" t="s">
        <v>2803</v>
      </c>
      <c r="G25" s="459" t="s">
        <v>2802</v>
      </c>
    </row>
    <row r="26" spans="1:7" s="428" customFormat="1" ht="158.4">
      <c r="A26" s="458"/>
      <c r="B26" s="425" t="s">
        <v>1637</v>
      </c>
      <c r="C26" s="440" t="s">
        <v>1638</v>
      </c>
      <c r="D26" s="426" t="s">
        <v>45</v>
      </c>
      <c r="E26" s="427">
        <f>41800*1.19/3</f>
        <v>16580.666666666668</v>
      </c>
      <c r="F26" s="445" t="s">
        <v>1621</v>
      </c>
      <c r="G26" s="446" t="s">
        <v>2409</v>
      </c>
    </row>
    <row r="27" spans="1:7" s="428" customFormat="1" ht="26.4">
      <c r="A27" s="458"/>
      <c r="B27" s="425" t="s">
        <v>1639</v>
      </c>
      <c r="C27" s="440" t="s">
        <v>617</v>
      </c>
      <c r="D27" s="426" t="s">
        <v>45</v>
      </c>
      <c r="E27" s="427">
        <v>27300</v>
      </c>
      <c r="F27" s="445" t="s">
        <v>1621</v>
      </c>
      <c r="G27" s="446" t="s">
        <v>2409</v>
      </c>
    </row>
    <row r="28" spans="1:7" s="428" customFormat="1" ht="129.6" customHeight="1">
      <c r="A28" s="458"/>
      <c r="B28" s="425" t="s">
        <v>1640</v>
      </c>
      <c r="C28" s="440" t="s">
        <v>1634</v>
      </c>
      <c r="D28" s="426" t="s">
        <v>1620</v>
      </c>
      <c r="E28" s="427">
        <f>2476*1.19</f>
        <v>2946.44</v>
      </c>
      <c r="F28" s="445" t="s">
        <v>1621</v>
      </c>
      <c r="G28" s="446" t="s">
        <v>2409</v>
      </c>
    </row>
    <row r="29" spans="1:7" s="428" customFormat="1" ht="158.4">
      <c r="A29" s="458"/>
      <c r="B29" s="425" t="s">
        <v>1641</v>
      </c>
      <c r="C29" s="440" t="s">
        <v>1634</v>
      </c>
      <c r="D29" s="426" t="s">
        <v>1620</v>
      </c>
      <c r="E29" s="427">
        <v>4190</v>
      </c>
      <c r="F29" s="445" t="s">
        <v>1024</v>
      </c>
      <c r="G29" s="446" t="s">
        <v>2804</v>
      </c>
    </row>
    <row r="30" spans="1:7" s="429" customFormat="1" ht="28.2" customHeight="1">
      <c r="A30" s="458"/>
      <c r="B30" s="425" t="s">
        <v>1642</v>
      </c>
      <c r="C30" s="440" t="s">
        <v>610</v>
      </c>
      <c r="D30" s="426" t="s">
        <v>1620</v>
      </c>
      <c r="E30" s="427">
        <v>21900</v>
      </c>
      <c r="F30" s="445" t="s">
        <v>2803</v>
      </c>
      <c r="G30" s="446" t="s">
        <v>2805</v>
      </c>
    </row>
    <row r="31" spans="1:7" s="428" customFormat="1" ht="28.2" customHeight="1">
      <c r="A31" s="458"/>
      <c r="B31" s="425" t="s">
        <v>1643</v>
      </c>
      <c r="C31" s="440" t="s">
        <v>617</v>
      </c>
      <c r="D31" s="426" t="s">
        <v>45</v>
      </c>
      <c r="E31" s="427">
        <v>27300</v>
      </c>
      <c r="F31" s="445" t="s">
        <v>1621</v>
      </c>
      <c r="G31" s="446" t="s">
        <v>2409</v>
      </c>
    </row>
    <row r="32" spans="1:7" s="428" customFormat="1" ht="28.2" customHeight="1">
      <c r="A32" s="458"/>
      <c r="B32" s="425" t="s">
        <v>1644</v>
      </c>
      <c r="C32" s="440" t="s">
        <v>617</v>
      </c>
      <c r="D32" s="426" t="s">
        <v>1620</v>
      </c>
      <c r="E32" s="427">
        <f>2003*1.19</f>
        <v>2383.5699999999997</v>
      </c>
      <c r="F32" s="445" t="s">
        <v>1621</v>
      </c>
      <c r="G32" s="446" t="s">
        <v>2409</v>
      </c>
    </row>
    <row r="33" spans="1:7" s="428" customFormat="1" ht="28.2" customHeight="1">
      <c r="A33" s="458"/>
      <c r="B33" s="425" t="s">
        <v>1645</v>
      </c>
      <c r="C33" s="440" t="s">
        <v>617</v>
      </c>
      <c r="D33" s="426" t="s">
        <v>1620</v>
      </c>
      <c r="E33" s="427">
        <v>6890</v>
      </c>
      <c r="F33" s="445" t="s">
        <v>1024</v>
      </c>
      <c r="G33" s="446"/>
    </row>
    <row r="34" spans="1:7" s="428" customFormat="1" ht="28.2" customHeight="1">
      <c r="A34" s="458"/>
      <c r="B34" s="425" t="s">
        <v>1646</v>
      </c>
      <c r="C34" s="440" t="s">
        <v>625</v>
      </c>
      <c r="D34" s="426" t="s">
        <v>1620</v>
      </c>
      <c r="E34" s="427">
        <v>3000</v>
      </c>
      <c r="F34" s="445" t="s">
        <v>2803</v>
      </c>
      <c r="G34" s="446"/>
    </row>
    <row r="35" spans="1:7" s="428" customFormat="1" ht="28.2" customHeight="1">
      <c r="A35" s="458"/>
      <c r="B35" s="425" t="s">
        <v>1647</v>
      </c>
      <c r="C35" s="440" t="s">
        <v>625</v>
      </c>
      <c r="D35" s="426" t="s">
        <v>1620</v>
      </c>
      <c r="E35" s="427">
        <f>19807*1.19</f>
        <v>23570.329999999998</v>
      </c>
      <c r="F35" s="445" t="s">
        <v>1621</v>
      </c>
      <c r="G35" s="446" t="s">
        <v>2409</v>
      </c>
    </row>
    <row r="36" spans="1:7" s="428" customFormat="1" ht="28.2" customHeight="1">
      <c r="A36" s="458"/>
      <c r="B36" s="425" t="s">
        <v>1648</v>
      </c>
      <c r="C36" s="440" t="s">
        <v>625</v>
      </c>
      <c r="D36" s="426" t="s">
        <v>45</v>
      </c>
      <c r="E36" s="427">
        <f>122514*1.19/3</f>
        <v>48597.22</v>
      </c>
      <c r="F36" s="445" t="s">
        <v>1621</v>
      </c>
      <c r="G36" s="446" t="s">
        <v>2409</v>
      </c>
    </row>
    <row r="37" spans="1:7" s="428" customFormat="1" ht="28.2" customHeight="1">
      <c r="A37" s="458"/>
      <c r="B37" s="425" t="s">
        <v>1649</v>
      </c>
      <c r="C37" s="440" t="s">
        <v>625</v>
      </c>
      <c r="D37" s="426" t="s">
        <v>1620</v>
      </c>
      <c r="E37" s="427">
        <f>8746*1.19</f>
        <v>10407.74</v>
      </c>
      <c r="F37" s="445" t="s">
        <v>1621</v>
      </c>
      <c r="G37" s="446" t="s">
        <v>2409</v>
      </c>
    </row>
    <row r="38" spans="1:7" s="428" customFormat="1" ht="28.2" customHeight="1">
      <c r="A38" s="458"/>
      <c r="B38" s="425" t="s">
        <v>1650</v>
      </c>
      <c r="C38" s="440" t="s">
        <v>625</v>
      </c>
      <c r="D38" s="426" t="s">
        <v>1620</v>
      </c>
      <c r="E38" s="427">
        <f>8302*1.19</f>
        <v>9879.3799999999992</v>
      </c>
      <c r="F38" s="445" t="s">
        <v>1621</v>
      </c>
      <c r="G38" s="446" t="s">
        <v>2409</v>
      </c>
    </row>
    <row r="39" spans="1:7" s="428" customFormat="1" ht="28.2" customHeight="1">
      <c r="A39" s="458"/>
      <c r="B39" s="425" t="s">
        <v>1651</v>
      </c>
      <c r="C39" s="440" t="s">
        <v>921</v>
      </c>
      <c r="D39" s="426" t="s">
        <v>45</v>
      </c>
      <c r="E39" s="427">
        <v>35000</v>
      </c>
      <c r="F39" s="445" t="s">
        <v>1621</v>
      </c>
      <c r="G39" s="446" t="s">
        <v>2409</v>
      </c>
    </row>
    <row r="40" spans="1:7" s="428" customFormat="1" ht="28.2" customHeight="1">
      <c r="A40" s="458"/>
      <c r="B40" s="425" t="s">
        <v>1652</v>
      </c>
      <c r="C40" s="440" t="s">
        <v>1653</v>
      </c>
      <c r="D40" s="426" t="s">
        <v>45</v>
      </c>
      <c r="E40" s="427">
        <v>20000</v>
      </c>
      <c r="F40" s="445" t="s">
        <v>1621</v>
      </c>
      <c r="G40" s="446" t="s">
        <v>2409</v>
      </c>
    </row>
    <row r="41" spans="1:7" s="428" customFormat="1" ht="28.2" customHeight="1">
      <c r="A41" s="458"/>
      <c r="B41" s="425" t="s">
        <v>1654</v>
      </c>
      <c r="C41" s="440" t="s">
        <v>1655</v>
      </c>
      <c r="D41" s="426" t="s">
        <v>45</v>
      </c>
      <c r="E41" s="427">
        <f>471428*1.19/3</f>
        <v>186999.77333333332</v>
      </c>
      <c r="F41" s="445" t="s">
        <v>1621</v>
      </c>
      <c r="G41" s="446" t="s">
        <v>2409</v>
      </c>
    </row>
    <row r="42" spans="1:7" s="428" customFormat="1" ht="28.2" customHeight="1">
      <c r="A42" s="458"/>
      <c r="B42" s="425" t="s">
        <v>1656</v>
      </c>
      <c r="C42" s="440" t="s">
        <v>897</v>
      </c>
      <c r="D42" s="426" t="s">
        <v>45</v>
      </c>
      <c r="E42" s="427">
        <f>3500*1.19</f>
        <v>4165</v>
      </c>
      <c r="F42" s="445" t="s">
        <v>1621</v>
      </c>
      <c r="G42" s="446" t="s">
        <v>2409</v>
      </c>
    </row>
    <row r="43" spans="1:7" s="428" customFormat="1" ht="28.2" customHeight="1">
      <c r="A43" s="458"/>
      <c r="B43" s="425" t="s">
        <v>1657</v>
      </c>
      <c r="C43" s="440" t="s">
        <v>897</v>
      </c>
      <c r="D43" s="426" t="s">
        <v>1620</v>
      </c>
      <c r="E43" s="427">
        <v>900</v>
      </c>
      <c r="F43" s="445" t="s">
        <v>2803</v>
      </c>
      <c r="G43" s="446"/>
    </row>
    <row r="44" spans="1:7" s="428" customFormat="1" ht="28.2" customHeight="1">
      <c r="A44" s="458"/>
      <c r="B44" s="425" t="s">
        <v>1658</v>
      </c>
      <c r="C44" s="440">
        <v>17.11</v>
      </c>
      <c r="D44" s="426" t="s">
        <v>45</v>
      </c>
      <c r="E44" s="427">
        <v>439900</v>
      </c>
      <c r="F44" s="445" t="s">
        <v>1621</v>
      </c>
      <c r="G44" s="446" t="s">
        <v>2409</v>
      </c>
    </row>
    <row r="45" spans="1:7" s="428" customFormat="1" ht="28.2" customHeight="1">
      <c r="A45" s="458"/>
      <c r="B45" s="425" t="s">
        <v>823</v>
      </c>
      <c r="C45" s="440" t="s">
        <v>821</v>
      </c>
      <c r="D45" s="426" t="s">
        <v>45</v>
      </c>
      <c r="E45" s="427">
        <f>72428*1.19/3</f>
        <v>28729.773333333331</v>
      </c>
      <c r="F45" s="445" t="s">
        <v>1621</v>
      </c>
      <c r="G45" s="446" t="s">
        <v>2409</v>
      </c>
    </row>
    <row r="46" spans="1:7" s="428" customFormat="1" ht="28.2" customHeight="1">
      <c r="A46" s="458"/>
      <c r="B46" s="425" t="s">
        <v>1659</v>
      </c>
      <c r="C46" s="440" t="s">
        <v>826</v>
      </c>
      <c r="D46" s="426" t="s">
        <v>45</v>
      </c>
      <c r="E46" s="427">
        <f>48445*1.19/3</f>
        <v>19216.516666666666</v>
      </c>
      <c r="F46" s="445" t="s">
        <v>1621</v>
      </c>
      <c r="G46" s="446" t="s">
        <v>2409</v>
      </c>
    </row>
    <row r="47" spans="1:7" s="428" customFormat="1" ht="28.2" customHeight="1">
      <c r="A47" s="458"/>
      <c r="B47" s="425" t="s">
        <v>1660</v>
      </c>
      <c r="C47" s="440" t="s">
        <v>831</v>
      </c>
      <c r="D47" s="426" t="s">
        <v>1620</v>
      </c>
      <c r="E47" s="427">
        <f>2900*1.19</f>
        <v>3451</v>
      </c>
      <c r="F47" s="445" t="s">
        <v>1621</v>
      </c>
      <c r="G47" s="446" t="s">
        <v>2409</v>
      </c>
    </row>
    <row r="48" spans="1:7" s="428" customFormat="1" ht="28.2" customHeight="1">
      <c r="A48" s="458"/>
      <c r="B48" s="425" t="s">
        <v>1661</v>
      </c>
      <c r="C48" s="440" t="s">
        <v>826</v>
      </c>
      <c r="D48" s="426" t="s">
        <v>1620</v>
      </c>
      <c r="E48" s="427">
        <f>2080*1.19</f>
        <v>2475.1999999999998</v>
      </c>
      <c r="F48" s="445" t="s">
        <v>1621</v>
      </c>
      <c r="G48" s="446" t="s">
        <v>2409</v>
      </c>
    </row>
    <row r="49" spans="1:7" s="428" customFormat="1" ht="28.2" customHeight="1">
      <c r="A49" s="458"/>
      <c r="B49" s="425" t="s">
        <v>829</v>
      </c>
      <c r="C49" s="440" t="s">
        <v>826</v>
      </c>
      <c r="D49" s="426" t="s">
        <v>1620</v>
      </c>
      <c r="E49" s="427">
        <v>24900</v>
      </c>
      <c r="F49" s="445" t="s">
        <v>1016</v>
      </c>
      <c r="G49" s="446" t="s">
        <v>2412</v>
      </c>
    </row>
    <row r="50" spans="1:7" s="428" customFormat="1" ht="28.2" customHeight="1">
      <c r="A50" s="458"/>
      <c r="B50" s="425" t="s">
        <v>1662</v>
      </c>
      <c r="C50" s="440" t="s">
        <v>930</v>
      </c>
      <c r="D50" s="426" t="s">
        <v>1620</v>
      </c>
      <c r="E50" s="644">
        <f>340504*1.19</f>
        <v>405199.76</v>
      </c>
      <c r="F50" s="445" t="s">
        <v>1621</v>
      </c>
      <c r="G50" s="446" t="s">
        <v>2409</v>
      </c>
    </row>
    <row r="51" spans="1:7" s="428" customFormat="1" ht="28.2" customHeight="1">
      <c r="A51" s="458"/>
      <c r="B51" s="425" t="s">
        <v>1663</v>
      </c>
      <c r="C51" s="440" t="s">
        <v>708</v>
      </c>
      <c r="D51" s="426" t="s">
        <v>45</v>
      </c>
      <c r="E51" s="427">
        <f>(100000/2.4)*1.19</f>
        <v>49583.333333333336</v>
      </c>
      <c r="F51" s="445" t="s">
        <v>1621</v>
      </c>
      <c r="G51" s="446" t="s">
        <v>2409</v>
      </c>
    </row>
    <row r="52" spans="1:7" s="428" customFormat="1" ht="28.2" customHeight="1">
      <c r="A52" s="458"/>
      <c r="B52" s="425" t="s">
        <v>711</v>
      </c>
      <c r="C52" s="440" t="s">
        <v>708</v>
      </c>
      <c r="D52" s="426" t="s">
        <v>1620</v>
      </c>
      <c r="E52" s="427">
        <v>2000</v>
      </c>
      <c r="F52" s="445" t="s">
        <v>1016</v>
      </c>
      <c r="G52" s="446"/>
    </row>
    <row r="53" spans="1:7" s="428" customFormat="1" ht="126" customHeight="1">
      <c r="A53" s="458"/>
      <c r="B53" s="425" t="s">
        <v>1664</v>
      </c>
      <c r="C53" s="440" t="s">
        <v>1665</v>
      </c>
      <c r="D53" s="426" t="s">
        <v>1620</v>
      </c>
      <c r="E53" s="427">
        <v>20000</v>
      </c>
      <c r="F53" s="445" t="s">
        <v>1016</v>
      </c>
      <c r="G53" s="446"/>
    </row>
    <row r="54" spans="1:7" s="428" customFormat="1" ht="28.2" customHeight="1">
      <c r="A54" s="458"/>
      <c r="B54" s="425" t="s">
        <v>1666</v>
      </c>
      <c r="C54" s="440" t="s">
        <v>634</v>
      </c>
      <c r="D54" s="426" t="s">
        <v>1620</v>
      </c>
      <c r="E54" s="427">
        <f>56639*1.19</f>
        <v>67400.41</v>
      </c>
      <c r="F54" s="445" t="s">
        <v>1621</v>
      </c>
      <c r="G54" s="446" t="s">
        <v>2409</v>
      </c>
    </row>
    <row r="55" spans="1:7" s="428" customFormat="1" ht="36.6" customHeight="1">
      <c r="A55" s="458"/>
      <c r="B55" s="425" t="s">
        <v>1667</v>
      </c>
      <c r="C55" s="440" t="s">
        <v>1668</v>
      </c>
      <c r="D55" s="426" t="s">
        <v>1620</v>
      </c>
      <c r="E55" s="430">
        <v>9100</v>
      </c>
      <c r="F55" s="445" t="s">
        <v>1024</v>
      </c>
      <c r="G55" s="446"/>
    </row>
    <row r="56" spans="1:7" s="428" customFormat="1" ht="43.95" customHeight="1">
      <c r="A56" s="458"/>
      <c r="B56" s="425" t="s">
        <v>1669</v>
      </c>
      <c r="C56" s="440" t="s">
        <v>1670</v>
      </c>
      <c r="D56" s="426" t="s">
        <v>1620</v>
      </c>
      <c r="E56" s="430">
        <v>34100</v>
      </c>
      <c r="F56" s="445" t="s">
        <v>1621</v>
      </c>
      <c r="G56" s="446" t="s">
        <v>2409</v>
      </c>
    </row>
    <row r="57" spans="1:7" s="428" customFormat="1" ht="45.6" customHeight="1">
      <c r="A57" s="458"/>
      <c r="B57" s="425" t="s">
        <v>1671</v>
      </c>
      <c r="C57" s="440" t="s">
        <v>1672</v>
      </c>
      <c r="D57" s="426" t="s">
        <v>1620</v>
      </c>
      <c r="E57" s="430">
        <v>53700</v>
      </c>
      <c r="F57" s="445" t="s">
        <v>1621</v>
      </c>
      <c r="G57" s="446" t="s">
        <v>2409</v>
      </c>
    </row>
    <row r="58" spans="1:7" s="428" customFormat="1" ht="45.6" customHeight="1">
      <c r="A58" s="458"/>
      <c r="B58" s="425" t="s">
        <v>655</v>
      </c>
      <c r="C58" s="440" t="s">
        <v>652</v>
      </c>
      <c r="D58" s="426" t="s">
        <v>1620</v>
      </c>
      <c r="E58" s="430">
        <v>15900</v>
      </c>
      <c r="F58" s="445" t="s">
        <v>1016</v>
      </c>
      <c r="G58" s="446" t="s">
        <v>2409</v>
      </c>
    </row>
    <row r="59" spans="1:7" s="428" customFormat="1" ht="39" customHeight="1">
      <c r="A59" s="458"/>
      <c r="B59" s="425" t="s">
        <v>1673</v>
      </c>
      <c r="C59" s="440" t="s">
        <v>1674</v>
      </c>
      <c r="D59" s="426" t="s">
        <v>1620</v>
      </c>
      <c r="E59" s="430">
        <v>7000</v>
      </c>
      <c r="F59" s="445" t="s">
        <v>1621</v>
      </c>
      <c r="G59" s="446" t="s">
        <v>2409</v>
      </c>
    </row>
    <row r="60" spans="1:7" s="428" customFormat="1" ht="32.4" customHeight="1">
      <c r="A60" s="458"/>
      <c r="B60" s="425" t="s">
        <v>1675</v>
      </c>
      <c r="C60" s="440" t="s">
        <v>1676</v>
      </c>
      <c r="D60" s="426" t="s">
        <v>1620</v>
      </c>
      <c r="E60" s="430">
        <f>9000*1.19</f>
        <v>10710</v>
      </c>
      <c r="F60" s="445" t="s">
        <v>1621</v>
      </c>
      <c r="G60" s="446" t="s">
        <v>2409</v>
      </c>
    </row>
    <row r="61" spans="1:7" s="429" customFormat="1" ht="38.4" customHeight="1">
      <c r="A61" s="458"/>
      <c r="B61" s="425" t="s">
        <v>1677</v>
      </c>
      <c r="C61" s="440" t="s">
        <v>1678</v>
      </c>
      <c r="D61" s="426" t="s">
        <v>1620</v>
      </c>
      <c r="E61" s="430">
        <v>21900</v>
      </c>
      <c r="F61" s="445" t="s">
        <v>1621</v>
      </c>
      <c r="G61" s="446" t="s">
        <v>2409</v>
      </c>
    </row>
    <row r="62" spans="1:7" s="428" customFormat="1" ht="25.2" customHeight="1">
      <c r="A62" s="458"/>
      <c r="B62" s="425" t="s">
        <v>1679</v>
      </c>
      <c r="C62" s="440" t="s">
        <v>804</v>
      </c>
      <c r="D62" s="426" t="s">
        <v>1620</v>
      </c>
      <c r="E62" s="430">
        <v>7000</v>
      </c>
      <c r="F62" s="445" t="s">
        <v>1621</v>
      </c>
      <c r="G62" s="446" t="s">
        <v>2409</v>
      </c>
    </row>
    <row r="63" spans="1:7" s="428" customFormat="1" ht="25.2" customHeight="1">
      <c r="A63" s="458"/>
      <c r="B63" s="425" t="s">
        <v>1680</v>
      </c>
      <c r="C63" s="440" t="s">
        <v>1681</v>
      </c>
      <c r="D63" s="426" t="s">
        <v>1620</v>
      </c>
      <c r="E63" s="430">
        <v>53000</v>
      </c>
      <c r="F63" s="445" t="s">
        <v>1016</v>
      </c>
      <c r="G63" s="446"/>
    </row>
    <row r="64" spans="1:7" s="428" customFormat="1" ht="25.2" customHeight="1">
      <c r="A64" s="458"/>
      <c r="B64" s="425" t="s">
        <v>1682</v>
      </c>
      <c r="C64" s="440" t="s">
        <v>1681</v>
      </c>
      <c r="D64" s="426" t="s">
        <v>1620</v>
      </c>
      <c r="E64" s="430">
        <v>19900</v>
      </c>
      <c r="F64" s="445" t="s">
        <v>1016</v>
      </c>
      <c r="G64" s="446"/>
    </row>
    <row r="65" spans="1:7" s="428" customFormat="1" ht="25.2" customHeight="1">
      <c r="A65" s="458"/>
      <c r="B65" s="425" t="s">
        <v>1683</v>
      </c>
      <c r="C65" s="440" t="s">
        <v>690</v>
      </c>
      <c r="D65" s="426" t="s">
        <v>1620</v>
      </c>
      <c r="E65" s="430">
        <v>42900</v>
      </c>
      <c r="F65" s="445" t="s">
        <v>1016</v>
      </c>
      <c r="G65" s="446"/>
    </row>
    <row r="66" spans="1:7" s="428" customFormat="1" ht="25.2" customHeight="1">
      <c r="A66" s="458"/>
      <c r="B66" s="425" t="s">
        <v>1684</v>
      </c>
      <c r="C66" s="440" t="s">
        <v>847</v>
      </c>
      <c r="D66" s="426" t="s">
        <v>1620</v>
      </c>
      <c r="E66" s="430">
        <f>202858*1.19</f>
        <v>241401.02</v>
      </c>
      <c r="F66" s="445" t="s">
        <v>1621</v>
      </c>
      <c r="G66" s="446" t="s">
        <v>2409</v>
      </c>
    </row>
    <row r="67" spans="1:7" s="428" customFormat="1" ht="25.2" customHeight="1">
      <c r="A67" s="458"/>
      <c r="B67" s="425" t="s">
        <v>1685</v>
      </c>
      <c r="C67" s="440" t="s">
        <v>850</v>
      </c>
      <c r="D67" s="426" t="s">
        <v>1620</v>
      </c>
      <c r="E67" s="430">
        <f>200502*1.19</f>
        <v>238597.37999999998</v>
      </c>
      <c r="F67" s="445" t="s">
        <v>1621</v>
      </c>
      <c r="G67" s="446" t="s">
        <v>2409</v>
      </c>
    </row>
    <row r="68" spans="1:7" s="429" customFormat="1" ht="25.2" customHeight="1">
      <c r="A68" s="458"/>
      <c r="B68" s="425" t="s">
        <v>1686</v>
      </c>
      <c r="C68" s="440" t="s">
        <v>853</v>
      </c>
      <c r="D68" s="426" t="s">
        <v>1620</v>
      </c>
      <c r="E68" s="430">
        <v>84900</v>
      </c>
      <c r="F68" s="445" t="s">
        <v>1621</v>
      </c>
      <c r="G68" s="446" t="s">
        <v>2409</v>
      </c>
    </row>
    <row r="69" spans="1:7" s="429" customFormat="1" ht="25.2" customHeight="1">
      <c r="A69" s="458"/>
      <c r="B69" s="425" t="s">
        <v>697</v>
      </c>
      <c r="C69" s="440" t="s">
        <v>695</v>
      </c>
      <c r="D69" s="426" t="s">
        <v>1620</v>
      </c>
      <c r="E69" s="430">
        <v>69900</v>
      </c>
      <c r="F69" s="445" t="s">
        <v>2803</v>
      </c>
      <c r="G69" s="446"/>
    </row>
    <row r="70" spans="1:7" s="429" customFormat="1" ht="25.2" customHeight="1">
      <c r="A70" s="458"/>
      <c r="B70" s="425" t="s">
        <v>1687</v>
      </c>
      <c r="C70" s="440" t="s">
        <v>847</v>
      </c>
      <c r="D70" s="426" t="s">
        <v>1620</v>
      </c>
      <c r="E70" s="430">
        <f>166387*1.19</f>
        <v>198000.53</v>
      </c>
      <c r="F70" s="445" t="s">
        <v>1621</v>
      </c>
      <c r="G70" s="446" t="s">
        <v>2409</v>
      </c>
    </row>
    <row r="71" spans="1:7" s="428" customFormat="1" ht="25.2" customHeight="1">
      <c r="A71" s="458"/>
      <c r="B71" s="425" t="s">
        <v>1688</v>
      </c>
      <c r="C71" s="440" t="s">
        <v>853</v>
      </c>
      <c r="D71" s="426" t="s">
        <v>1620</v>
      </c>
      <c r="E71" s="430">
        <v>84900</v>
      </c>
      <c r="F71" s="445" t="s">
        <v>1016</v>
      </c>
      <c r="G71" s="446"/>
    </row>
    <row r="72" spans="1:7" s="428" customFormat="1" ht="25.2" customHeight="1">
      <c r="A72" s="458"/>
      <c r="B72" s="425" t="s">
        <v>1689</v>
      </c>
      <c r="C72" s="440" t="s">
        <v>856</v>
      </c>
      <c r="D72" s="426" t="s">
        <v>1620</v>
      </c>
      <c r="E72" s="430">
        <v>416813</v>
      </c>
      <c r="F72" s="445" t="s">
        <v>2806</v>
      </c>
      <c r="G72" s="446"/>
    </row>
    <row r="73" spans="1:7" s="428" customFormat="1" ht="37.950000000000003" customHeight="1">
      <c r="A73" s="458"/>
      <c r="B73" s="425" t="s">
        <v>1690</v>
      </c>
      <c r="C73" s="440" t="s">
        <v>1691</v>
      </c>
      <c r="D73" s="426" t="s">
        <v>45</v>
      </c>
      <c r="E73" s="430">
        <f>5613*1.19</f>
        <v>6679.4699999999993</v>
      </c>
      <c r="F73" s="445" t="s">
        <v>1621</v>
      </c>
      <c r="G73" s="446" t="s">
        <v>2409</v>
      </c>
    </row>
    <row r="74" spans="1:7" s="428" customFormat="1" ht="40.200000000000003" customHeight="1">
      <c r="A74" s="458"/>
      <c r="B74" s="425" t="s">
        <v>1692</v>
      </c>
      <c r="C74" s="440" t="s">
        <v>1691</v>
      </c>
      <c r="D74" s="426" t="s">
        <v>1620</v>
      </c>
      <c r="E74" s="430">
        <v>6900</v>
      </c>
      <c r="F74" s="445" t="s">
        <v>2803</v>
      </c>
      <c r="G74" s="446"/>
    </row>
    <row r="75" spans="1:7" s="428" customFormat="1" ht="25.2" customHeight="1">
      <c r="A75" s="458"/>
      <c r="B75" s="425" t="s">
        <v>1693</v>
      </c>
      <c r="C75" s="440" t="s">
        <v>1694</v>
      </c>
      <c r="D75" s="426" t="s">
        <v>45</v>
      </c>
      <c r="E75" s="430">
        <f>54600</f>
        <v>54600</v>
      </c>
      <c r="F75" s="445" t="s">
        <v>2774</v>
      </c>
      <c r="G75" s="446" t="s">
        <v>2775</v>
      </c>
    </row>
    <row r="76" spans="1:7" s="429" customFormat="1" ht="25.2" customHeight="1">
      <c r="A76" s="458"/>
      <c r="B76" s="425" t="s">
        <v>1695</v>
      </c>
      <c r="C76" s="440" t="s">
        <v>1696</v>
      </c>
      <c r="D76" s="426" t="s">
        <v>45</v>
      </c>
      <c r="E76" s="430">
        <f>43555*1.19</f>
        <v>51830.45</v>
      </c>
      <c r="F76" s="445" t="s">
        <v>1621</v>
      </c>
      <c r="G76" s="446" t="s">
        <v>2409</v>
      </c>
    </row>
    <row r="77" spans="1:7" s="428" customFormat="1" ht="25.2" customHeight="1">
      <c r="A77" s="458"/>
      <c r="B77" s="425" t="s">
        <v>1697</v>
      </c>
      <c r="C77" s="440" t="s">
        <v>1698</v>
      </c>
      <c r="D77" s="426" t="s">
        <v>45</v>
      </c>
      <c r="E77" s="430">
        <f>31420*1.19</f>
        <v>37389.799999999996</v>
      </c>
      <c r="F77" s="445" t="s">
        <v>1621</v>
      </c>
      <c r="G77" s="446" t="s">
        <v>2409</v>
      </c>
    </row>
    <row r="78" spans="1:7" s="428" customFormat="1" ht="25.2" customHeight="1">
      <c r="A78" s="458"/>
      <c r="B78" s="425" t="s">
        <v>1699</v>
      </c>
      <c r="C78" s="440" t="s">
        <v>1700</v>
      </c>
      <c r="D78" s="426" t="s">
        <v>45</v>
      </c>
      <c r="E78" s="430">
        <f>18437*1.19</f>
        <v>21940.03</v>
      </c>
      <c r="F78" s="445" t="s">
        <v>1621</v>
      </c>
      <c r="G78" s="446" t="s">
        <v>2409</v>
      </c>
    </row>
    <row r="79" spans="1:7" s="428" customFormat="1" ht="37.200000000000003" customHeight="1">
      <c r="A79" s="458"/>
      <c r="B79" s="425" t="s">
        <v>1701</v>
      </c>
      <c r="C79" s="440" t="s">
        <v>1702</v>
      </c>
      <c r="D79" s="426" t="s">
        <v>45</v>
      </c>
      <c r="E79" s="430">
        <f>15700*1.19</f>
        <v>18683</v>
      </c>
      <c r="F79" s="445" t="s">
        <v>1621</v>
      </c>
      <c r="G79" s="446" t="s">
        <v>2409</v>
      </c>
    </row>
    <row r="80" spans="1:7" s="428" customFormat="1" ht="25.2" customHeight="1">
      <c r="A80" s="458"/>
      <c r="B80" s="425" t="s">
        <v>1703</v>
      </c>
      <c r="C80" s="440" t="s">
        <v>1704</v>
      </c>
      <c r="D80" s="426" t="s">
        <v>45</v>
      </c>
      <c r="E80" s="430">
        <f>8742*1.19</f>
        <v>10402.98</v>
      </c>
      <c r="F80" s="445" t="s">
        <v>1621</v>
      </c>
      <c r="G80" s="446" t="s">
        <v>2409</v>
      </c>
    </row>
    <row r="81" spans="1:7" s="428" customFormat="1" ht="25.2" customHeight="1">
      <c r="A81" s="458"/>
      <c r="B81" s="425" t="s">
        <v>1705</v>
      </c>
      <c r="C81" s="440" t="s">
        <v>876</v>
      </c>
      <c r="D81" s="426" t="s">
        <v>45</v>
      </c>
      <c r="E81" s="430">
        <f>4700*1.19</f>
        <v>5593</v>
      </c>
      <c r="F81" s="445" t="s">
        <v>1621</v>
      </c>
      <c r="G81" s="446" t="s">
        <v>2409</v>
      </c>
    </row>
    <row r="82" spans="1:7" s="428" customFormat="1" ht="25.2" customHeight="1">
      <c r="A82" s="458"/>
      <c r="B82" s="425" t="s">
        <v>1706</v>
      </c>
      <c r="C82" s="440" t="s">
        <v>1707</v>
      </c>
      <c r="D82" s="426" t="s">
        <v>45</v>
      </c>
      <c r="E82" s="430">
        <f>(289900*1.19)/100</f>
        <v>3449.81</v>
      </c>
      <c r="F82" s="445" t="s">
        <v>1621</v>
      </c>
      <c r="G82" s="446" t="s">
        <v>2409</v>
      </c>
    </row>
    <row r="83" spans="1:7" s="428" customFormat="1" ht="25.2" customHeight="1">
      <c r="A83" s="458"/>
      <c r="B83" s="425" t="s">
        <v>1708</v>
      </c>
      <c r="C83" s="440" t="s">
        <v>810</v>
      </c>
      <c r="D83" s="426" t="s">
        <v>1620</v>
      </c>
      <c r="E83" s="430">
        <v>221900</v>
      </c>
      <c r="F83" s="445" t="s">
        <v>2807</v>
      </c>
      <c r="G83" s="459" t="s">
        <v>2808</v>
      </c>
    </row>
    <row r="84" spans="1:7" s="428" customFormat="1" ht="25.2" customHeight="1">
      <c r="A84" s="458"/>
      <c r="B84" s="425" t="s">
        <v>1709</v>
      </c>
      <c r="C84" s="440" t="s">
        <v>813</v>
      </c>
      <c r="D84" s="426" t="s">
        <v>1620</v>
      </c>
      <c r="E84" s="430">
        <f>20075*1.19</f>
        <v>23889.25</v>
      </c>
      <c r="F84" s="445" t="s">
        <v>1621</v>
      </c>
      <c r="G84" s="446" t="s">
        <v>2409</v>
      </c>
    </row>
    <row r="85" spans="1:7" s="428" customFormat="1" ht="25.2" customHeight="1">
      <c r="A85" s="458"/>
      <c r="B85" s="425" t="s">
        <v>1710</v>
      </c>
      <c r="C85" s="440" t="s">
        <v>817</v>
      </c>
      <c r="D85" s="426" t="s">
        <v>45</v>
      </c>
      <c r="E85" s="430">
        <f>38780*1.19</f>
        <v>46148.2</v>
      </c>
      <c r="F85" s="445" t="s">
        <v>1621</v>
      </c>
      <c r="G85" s="446" t="s">
        <v>2409</v>
      </c>
    </row>
    <row r="86" spans="1:7" s="428" customFormat="1" ht="25.2" customHeight="1">
      <c r="A86" s="458"/>
      <c r="B86" s="425" t="s">
        <v>1711</v>
      </c>
      <c r="C86" s="440" t="s">
        <v>818</v>
      </c>
      <c r="D86" s="426" t="s">
        <v>45</v>
      </c>
      <c r="E86" s="430">
        <f>6453*1.19</f>
        <v>7679.07</v>
      </c>
      <c r="F86" s="445" t="s">
        <v>1621</v>
      </c>
      <c r="G86" s="446" t="s">
        <v>2409</v>
      </c>
    </row>
    <row r="87" spans="1:7" s="428" customFormat="1" ht="25.2" customHeight="1">
      <c r="A87" s="458"/>
      <c r="B87" s="425" t="s">
        <v>1712</v>
      </c>
      <c r="C87" s="440" t="s">
        <v>1713</v>
      </c>
      <c r="D87" s="426" t="s">
        <v>1620</v>
      </c>
      <c r="E87" s="430">
        <f>14883*1.19</f>
        <v>17710.77</v>
      </c>
      <c r="F87" s="445" t="s">
        <v>1621</v>
      </c>
      <c r="G87" s="446" t="s">
        <v>2409</v>
      </c>
    </row>
    <row r="88" spans="1:7" s="428" customFormat="1" ht="25.2" customHeight="1">
      <c r="A88" s="458"/>
      <c r="B88" s="425" t="s">
        <v>1714</v>
      </c>
      <c r="C88" s="440" t="s">
        <v>1715</v>
      </c>
      <c r="D88" s="426" t="s">
        <v>1620</v>
      </c>
      <c r="E88" s="430">
        <f>35600*1.19</f>
        <v>42364</v>
      </c>
      <c r="F88" s="445" t="s">
        <v>1621</v>
      </c>
      <c r="G88" s="446" t="s">
        <v>2409</v>
      </c>
    </row>
    <row r="89" spans="1:7" s="428" customFormat="1" ht="25.2" customHeight="1">
      <c r="A89" s="458"/>
      <c r="B89" s="425" t="s">
        <v>1716</v>
      </c>
      <c r="C89" s="440" t="s">
        <v>836</v>
      </c>
      <c r="D89" s="426" t="s">
        <v>1620</v>
      </c>
      <c r="E89" s="430">
        <f>63000*1.19</f>
        <v>74970</v>
      </c>
      <c r="F89" s="445" t="s">
        <v>1621</v>
      </c>
      <c r="G89" s="446" t="s">
        <v>2409</v>
      </c>
    </row>
    <row r="90" spans="1:7" s="428" customFormat="1" ht="45" customHeight="1">
      <c r="A90" s="458"/>
      <c r="B90" s="425" t="s">
        <v>1717</v>
      </c>
      <c r="C90" s="440" t="s">
        <v>1718</v>
      </c>
      <c r="D90" s="426" t="s">
        <v>45</v>
      </c>
      <c r="E90" s="430">
        <f>3980*1.19</f>
        <v>4736.2</v>
      </c>
      <c r="F90" s="445" t="s">
        <v>1621</v>
      </c>
      <c r="G90" s="446" t="s">
        <v>2409</v>
      </c>
    </row>
    <row r="91" spans="1:7" s="428" customFormat="1" ht="45" customHeight="1">
      <c r="A91" s="458"/>
      <c r="B91" s="425" t="s">
        <v>707</v>
      </c>
      <c r="C91" s="440" t="s">
        <v>704</v>
      </c>
      <c r="D91" s="426" t="s">
        <v>45</v>
      </c>
      <c r="E91" s="430">
        <v>6000</v>
      </c>
      <c r="F91" s="445" t="s">
        <v>2810</v>
      </c>
      <c r="G91" s="645" t="s">
        <v>2809</v>
      </c>
    </row>
    <row r="92" spans="1:7" s="428" customFormat="1" ht="40.950000000000003" customHeight="1">
      <c r="A92" s="458"/>
      <c r="B92" s="425" t="s">
        <v>1719</v>
      </c>
      <c r="C92" s="440" t="s">
        <v>1720</v>
      </c>
      <c r="D92" s="426" t="s">
        <v>1620</v>
      </c>
      <c r="E92" s="430">
        <v>52700</v>
      </c>
      <c r="F92" s="445" t="s">
        <v>1621</v>
      </c>
      <c r="G92" s="446" t="s">
        <v>2409</v>
      </c>
    </row>
    <row r="93" spans="1:7" s="428" customFormat="1" ht="34.950000000000003" customHeight="1">
      <c r="A93" s="458"/>
      <c r="B93" s="425" t="s">
        <v>1721</v>
      </c>
      <c r="C93" s="440" t="s">
        <v>1720</v>
      </c>
      <c r="D93" s="426" t="s">
        <v>1620</v>
      </c>
      <c r="E93" s="430">
        <f>3000*1.19</f>
        <v>3570</v>
      </c>
      <c r="F93" s="445" t="s">
        <v>1621</v>
      </c>
      <c r="G93" s="446" t="s">
        <v>2409</v>
      </c>
    </row>
    <row r="94" spans="1:7" s="428" customFormat="1" ht="34.950000000000003" customHeight="1">
      <c r="A94" s="458"/>
      <c r="B94" s="425" t="s">
        <v>1722</v>
      </c>
      <c r="C94" s="440" t="s">
        <v>1720</v>
      </c>
      <c r="D94" s="426" t="s">
        <v>1620</v>
      </c>
      <c r="E94" s="430">
        <f>7000*1.19</f>
        <v>8330</v>
      </c>
      <c r="F94" s="445" t="s">
        <v>1621</v>
      </c>
      <c r="G94" s="446" t="s">
        <v>2409</v>
      </c>
    </row>
    <row r="95" spans="1:7" s="429" customFormat="1" ht="25.2" customHeight="1">
      <c r="A95" s="458"/>
      <c r="B95" s="425" t="s">
        <v>1723</v>
      </c>
      <c r="C95" s="440" t="s">
        <v>720</v>
      </c>
      <c r="D95" s="426" t="s">
        <v>1620</v>
      </c>
      <c r="E95" s="430">
        <v>449900</v>
      </c>
      <c r="F95" s="445" t="s">
        <v>1016</v>
      </c>
      <c r="G95" s="446" t="s">
        <v>2409</v>
      </c>
    </row>
    <row r="96" spans="1:7" s="428" customFormat="1" ht="25.2" customHeight="1">
      <c r="A96" s="458"/>
      <c r="B96" s="425" t="s">
        <v>1724</v>
      </c>
      <c r="C96" s="440" t="s">
        <v>723</v>
      </c>
      <c r="D96" s="426" t="s">
        <v>1620</v>
      </c>
      <c r="E96" s="430">
        <f>35193*1.19</f>
        <v>41879.67</v>
      </c>
      <c r="F96" s="445" t="s">
        <v>1621</v>
      </c>
      <c r="G96" s="446" t="s">
        <v>2409</v>
      </c>
    </row>
    <row r="97" spans="1:9" s="428" customFormat="1" ht="25.2" customHeight="1">
      <c r="A97" s="458"/>
      <c r="B97" s="425" t="s">
        <v>1725</v>
      </c>
      <c r="C97" s="440" t="s">
        <v>897</v>
      </c>
      <c r="D97" s="426" t="s">
        <v>1620</v>
      </c>
      <c r="E97" s="430">
        <f>9000*1.19</f>
        <v>10710</v>
      </c>
      <c r="F97" s="445" t="s">
        <v>1621</v>
      </c>
      <c r="G97" s="446" t="s">
        <v>2409</v>
      </c>
    </row>
    <row r="98" spans="1:9" s="428" customFormat="1" ht="25.2" customHeight="1">
      <c r="A98" s="458"/>
      <c r="B98" s="425" t="s">
        <v>1726</v>
      </c>
      <c r="C98" s="440" t="s">
        <v>897</v>
      </c>
      <c r="D98" s="426" t="s">
        <v>1620</v>
      </c>
      <c r="E98" s="430">
        <f>5400*1.19</f>
        <v>6426</v>
      </c>
      <c r="F98" s="445" t="s">
        <v>1621</v>
      </c>
      <c r="G98" s="446" t="s">
        <v>2409</v>
      </c>
    </row>
    <row r="99" spans="1:9" s="428" customFormat="1" ht="25.2" customHeight="1">
      <c r="A99" s="458"/>
      <c r="B99" s="425" t="s">
        <v>654</v>
      </c>
      <c r="C99" s="440" t="s">
        <v>652</v>
      </c>
      <c r="D99" s="426" t="s">
        <v>1620</v>
      </c>
      <c r="E99" s="430">
        <v>1699</v>
      </c>
      <c r="F99" s="445" t="s">
        <v>1016</v>
      </c>
      <c r="G99" s="446"/>
    </row>
    <row r="100" spans="1:9" s="428" customFormat="1" ht="25.2" customHeight="1">
      <c r="A100" s="458"/>
      <c r="B100" s="425" t="s">
        <v>1727</v>
      </c>
      <c r="C100" s="440" t="s">
        <v>897</v>
      </c>
      <c r="D100" s="426" t="s">
        <v>1620</v>
      </c>
      <c r="E100" s="430">
        <v>590</v>
      </c>
      <c r="F100" s="445" t="s">
        <v>1016</v>
      </c>
      <c r="G100" s="446"/>
    </row>
    <row r="101" spans="1:9" s="428" customFormat="1" ht="25.2" customHeight="1">
      <c r="A101" s="458"/>
      <c r="B101" s="425" t="s">
        <v>1728</v>
      </c>
      <c r="C101" s="440" t="s">
        <v>897</v>
      </c>
      <c r="D101" s="426" t="s">
        <v>1620</v>
      </c>
      <c r="E101" s="430">
        <f>24269*1.19</f>
        <v>28880.109999999997</v>
      </c>
      <c r="F101" s="445" t="s">
        <v>1621</v>
      </c>
      <c r="G101" s="446" t="s">
        <v>2409</v>
      </c>
      <c r="H101" s="447"/>
      <c r="I101" s="447"/>
    </row>
    <row r="102" spans="1:9" s="428" customFormat="1" ht="25.2" customHeight="1">
      <c r="A102" s="458"/>
      <c r="B102" s="425" t="s">
        <v>1729</v>
      </c>
      <c r="C102" s="440" t="s">
        <v>897</v>
      </c>
      <c r="D102" s="426" t="s">
        <v>1620</v>
      </c>
      <c r="E102" s="430">
        <f>6000*1.19</f>
        <v>7140</v>
      </c>
      <c r="F102" s="445" t="s">
        <v>1621</v>
      </c>
      <c r="G102" s="446" t="s">
        <v>2409</v>
      </c>
      <c r="H102" s="447"/>
      <c r="I102" s="447"/>
    </row>
    <row r="103" spans="1:9" s="428" customFormat="1" ht="25.2" customHeight="1">
      <c r="A103" s="458"/>
      <c r="B103" s="425" t="s">
        <v>1730</v>
      </c>
      <c r="C103" s="440" t="s">
        <v>897</v>
      </c>
      <c r="D103" s="426" t="s">
        <v>45</v>
      </c>
      <c r="E103" s="430">
        <f>16490*1.19</f>
        <v>19623.099999999999</v>
      </c>
      <c r="F103" s="445" t="s">
        <v>1621</v>
      </c>
      <c r="G103" s="446" t="s">
        <v>2409</v>
      </c>
      <c r="H103" s="447"/>
      <c r="I103" s="447"/>
    </row>
    <row r="104" spans="1:9" s="428" customFormat="1" ht="25.2" customHeight="1">
      <c r="A104" s="458"/>
      <c r="B104" s="425" t="s">
        <v>1708</v>
      </c>
      <c r="C104" s="440" t="s">
        <v>810</v>
      </c>
      <c r="D104" s="426" t="s">
        <v>1620</v>
      </c>
      <c r="E104" s="430">
        <v>221900</v>
      </c>
      <c r="F104" s="445" t="s">
        <v>1621</v>
      </c>
      <c r="G104" s="446" t="s">
        <v>2409</v>
      </c>
      <c r="H104" s="447"/>
      <c r="I104" s="447"/>
    </row>
    <row r="105" spans="1:9" s="428" customFormat="1" ht="25.2" customHeight="1">
      <c r="A105" s="458"/>
      <c r="B105" s="425" t="s">
        <v>1731</v>
      </c>
      <c r="C105" s="440" t="s">
        <v>897</v>
      </c>
      <c r="D105" s="426" t="s">
        <v>1620</v>
      </c>
      <c r="E105" s="430">
        <f>155504*1.19</f>
        <v>185049.75999999998</v>
      </c>
      <c r="F105" s="445" t="s">
        <v>1621</v>
      </c>
      <c r="G105" s="446" t="s">
        <v>2409</v>
      </c>
      <c r="H105" s="447"/>
      <c r="I105" s="447"/>
    </row>
    <row r="106" spans="1:9" s="428" customFormat="1" ht="25.2" customHeight="1">
      <c r="A106" s="458"/>
      <c r="B106" s="425" t="s">
        <v>1732</v>
      </c>
      <c r="C106" s="440" t="s">
        <v>897</v>
      </c>
      <c r="D106" s="426" t="s">
        <v>1620</v>
      </c>
      <c r="E106" s="430">
        <f>183193*1.19</f>
        <v>217999.66999999998</v>
      </c>
      <c r="F106" s="445" t="s">
        <v>1621</v>
      </c>
      <c r="G106" s="446" t="s">
        <v>2409</v>
      </c>
      <c r="H106" s="447"/>
      <c r="I106" s="447"/>
    </row>
    <row r="107" spans="1:9" s="428" customFormat="1" ht="25.2" customHeight="1">
      <c r="A107" s="458"/>
      <c r="B107" s="425" t="s">
        <v>1733</v>
      </c>
      <c r="C107" s="440" t="s">
        <v>897</v>
      </c>
      <c r="D107" s="426" t="s">
        <v>1620</v>
      </c>
      <c r="E107" s="430">
        <f>10100*1.19</f>
        <v>12019</v>
      </c>
      <c r="F107" s="445" t="s">
        <v>1621</v>
      </c>
      <c r="G107" s="446" t="s">
        <v>2409</v>
      </c>
      <c r="H107" s="447"/>
      <c r="I107" s="447"/>
    </row>
    <row r="108" spans="1:9" s="428" customFormat="1" ht="25.2" customHeight="1">
      <c r="A108" s="458"/>
      <c r="B108" s="425" t="s">
        <v>1734</v>
      </c>
      <c r="C108" s="440" t="s">
        <v>897</v>
      </c>
      <c r="D108" s="426" t="s">
        <v>1620</v>
      </c>
      <c r="E108" s="430">
        <f>5320*1.19</f>
        <v>6330.7999999999993</v>
      </c>
      <c r="F108" s="445" t="s">
        <v>1621</v>
      </c>
      <c r="G108" s="446" t="s">
        <v>2409</v>
      </c>
      <c r="H108" s="447"/>
      <c r="I108" s="447"/>
    </row>
    <row r="109" spans="1:9" s="428" customFormat="1" ht="25.2" customHeight="1">
      <c r="A109" s="458"/>
      <c r="B109" s="425" t="s">
        <v>1735</v>
      </c>
      <c r="C109" s="440" t="s">
        <v>897</v>
      </c>
      <c r="D109" s="426" t="s">
        <v>1620</v>
      </c>
      <c r="E109" s="430">
        <v>223850</v>
      </c>
      <c r="F109" s="445" t="s">
        <v>2774</v>
      </c>
      <c r="G109" s="446"/>
      <c r="H109" s="447"/>
      <c r="I109" s="447"/>
    </row>
    <row r="110" spans="1:9" s="429" customFormat="1" ht="30.6" customHeight="1">
      <c r="A110" s="458"/>
      <c r="B110" s="425" t="s">
        <v>1736</v>
      </c>
      <c r="C110" s="440" t="s">
        <v>897</v>
      </c>
      <c r="D110" s="426" t="s">
        <v>1620</v>
      </c>
      <c r="E110" s="430">
        <f>52218*1.19</f>
        <v>62139.42</v>
      </c>
      <c r="F110" s="445" t="s">
        <v>1621</v>
      </c>
      <c r="G110" s="446" t="s">
        <v>2409</v>
      </c>
      <c r="H110" s="447"/>
      <c r="I110" s="447"/>
    </row>
    <row r="111" spans="1:9" s="428" customFormat="1" ht="25.2" customHeight="1">
      <c r="A111" s="458"/>
      <c r="B111" s="425" t="s">
        <v>1737</v>
      </c>
      <c r="C111" s="440" t="s">
        <v>1738</v>
      </c>
      <c r="D111" s="426" t="s">
        <v>1620</v>
      </c>
      <c r="E111" s="430">
        <v>23241200</v>
      </c>
      <c r="F111" s="445" t="s">
        <v>2774</v>
      </c>
      <c r="G111" s="446"/>
      <c r="H111" s="447"/>
      <c r="I111" s="447"/>
    </row>
    <row r="112" spans="1:9" s="428" customFormat="1" ht="25.2" customHeight="1">
      <c r="A112" s="458"/>
      <c r="B112" s="425" t="s">
        <v>1739</v>
      </c>
      <c r="C112" s="440" t="s">
        <v>1738</v>
      </c>
      <c r="D112" s="426" t="s">
        <v>1620</v>
      </c>
      <c r="E112" s="430">
        <f>30501*1.19</f>
        <v>36296.189999999995</v>
      </c>
      <c r="F112" s="445" t="s">
        <v>1621</v>
      </c>
      <c r="G112" s="446" t="s">
        <v>2409</v>
      </c>
      <c r="H112" s="447"/>
      <c r="I112" s="447"/>
    </row>
    <row r="113" spans="1:9" s="428" customFormat="1" ht="25.2" customHeight="1">
      <c r="A113" s="458"/>
      <c r="B113" s="425" t="s">
        <v>1656</v>
      </c>
      <c r="C113" s="440" t="s">
        <v>1655</v>
      </c>
      <c r="D113" s="426" t="s">
        <v>45</v>
      </c>
      <c r="E113" s="430">
        <f>3500*1.19</f>
        <v>4165</v>
      </c>
      <c r="F113" s="445" t="s">
        <v>1621</v>
      </c>
      <c r="G113" s="446" t="s">
        <v>2409</v>
      </c>
      <c r="H113" s="447"/>
      <c r="I113" s="447"/>
    </row>
    <row r="114" spans="1:9" s="428" customFormat="1" ht="25.2" customHeight="1">
      <c r="A114" s="458"/>
      <c r="B114" s="425" t="s">
        <v>1657</v>
      </c>
      <c r="C114" s="440" t="s">
        <v>1655</v>
      </c>
      <c r="D114" s="426" t="s">
        <v>1620</v>
      </c>
      <c r="E114" s="430">
        <v>900</v>
      </c>
      <c r="F114" s="445" t="s">
        <v>1621</v>
      </c>
      <c r="G114" s="446" t="s">
        <v>2409</v>
      </c>
      <c r="H114" s="447"/>
      <c r="I114" s="447"/>
    </row>
    <row r="115" spans="1:9" s="428" customFormat="1" ht="25.2" customHeight="1">
      <c r="A115" s="458"/>
      <c r="B115" s="425" t="s">
        <v>619</v>
      </c>
      <c r="C115" s="440" t="s">
        <v>617</v>
      </c>
      <c r="D115" s="426" t="s">
        <v>1620</v>
      </c>
      <c r="E115" s="430">
        <v>990</v>
      </c>
      <c r="F115" s="445"/>
      <c r="G115" s="446" t="s">
        <v>2409</v>
      </c>
      <c r="H115" s="447"/>
      <c r="I115" s="447"/>
    </row>
    <row r="116" spans="1:9" s="428" customFormat="1" ht="25.2" customHeight="1">
      <c r="A116" s="458"/>
      <c r="B116" s="425" t="s">
        <v>1729</v>
      </c>
      <c r="C116" s="440" t="s">
        <v>897</v>
      </c>
      <c r="D116" s="426" t="s">
        <v>1620</v>
      </c>
      <c r="E116" s="430">
        <v>7140</v>
      </c>
      <c r="F116" s="445" t="s">
        <v>1621</v>
      </c>
      <c r="G116" s="446" t="s">
        <v>2409</v>
      </c>
      <c r="H116" s="447"/>
      <c r="I116" s="447"/>
    </row>
    <row r="117" spans="1:9" s="428" customFormat="1" ht="25.2" customHeight="1">
      <c r="A117" s="458"/>
      <c r="B117" s="425" t="s">
        <v>2413</v>
      </c>
      <c r="C117" s="440" t="s">
        <v>897</v>
      </c>
      <c r="D117" s="426" t="s">
        <v>1620</v>
      </c>
      <c r="E117" s="430">
        <v>800</v>
      </c>
      <c r="F117" s="445" t="s">
        <v>1621</v>
      </c>
      <c r="G117" s="446" t="s">
        <v>2409</v>
      </c>
      <c r="H117" s="447"/>
      <c r="I117" s="447"/>
    </row>
    <row r="118" spans="1:9" s="428" customFormat="1" ht="24" customHeight="1">
      <c r="A118" s="458"/>
      <c r="B118" s="425" t="s">
        <v>2414</v>
      </c>
      <c r="C118" s="440" t="s">
        <v>897</v>
      </c>
      <c r="D118" s="426" t="s">
        <v>1620</v>
      </c>
      <c r="E118" s="430">
        <v>800</v>
      </c>
      <c r="F118" s="445" t="s">
        <v>1621</v>
      </c>
      <c r="G118" s="446" t="s">
        <v>2409</v>
      </c>
      <c r="H118" s="447"/>
      <c r="I118" s="447"/>
    </row>
    <row r="119" spans="1:9" s="428" customFormat="1" ht="35.4" customHeight="1">
      <c r="A119" s="458"/>
      <c r="B119" s="425" t="s">
        <v>1740</v>
      </c>
      <c r="C119" s="440" t="s">
        <v>603</v>
      </c>
      <c r="D119" s="426" t="s">
        <v>1620</v>
      </c>
      <c r="E119" s="430">
        <f>5300*1.19</f>
        <v>6307</v>
      </c>
      <c r="F119" s="445" t="s">
        <v>1621</v>
      </c>
      <c r="G119" s="446" t="s">
        <v>2409</v>
      </c>
      <c r="H119" s="447"/>
      <c r="I119" s="447"/>
    </row>
    <row r="120" spans="1:9" s="428" customFormat="1" ht="25.2" customHeight="1">
      <c r="A120" s="458"/>
      <c r="B120" s="425" t="s">
        <v>1741</v>
      </c>
      <c r="C120" s="440" t="s">
        <v>603</v>
      </c>
      <c r="D120" s="426" t="s">
        <v>1620</v>
      </c>
      <c r="E120" s="430">
        <v>25000</v>
      </c>
      <c r="F120" s="445" t="s">
        <v>1016</v>
      </c>
      <c r="G120" s="446" t="s">
        <v>2409</v>
      </c>
      <c r="H120" s="447"/>
      <c r="I120" s="447"/>
    </row>
    <row r="121" spans="1:9" s="428" customFormat="1" ht="25.2" customHeight="1">
      <c r="A121" s="458"/>
      <c r="B121" s="425" t="s">
        <v>1742</v>
      </c>
      <c r="C121" s="440" t="s">
        <v>603</v>
      </c>
      <c r="D121" s="426" t="s">
        <v>1620</v>
      </c>
      <c r="E121" s="646">
        <v>1189</v>
      </c>
      <c r="F121" s="445" t="s">
        <v>1621</v>
      </c>
      <c r="G121" s="446" t="s">
        <v>2409</v>
      </c>
      <c r="H121" s="447"/>
      <c r="I121" s="447"/>
    </row>
    <row r="122" spans="1:9" s="428" customFormat="1" ht="25.2" customHeight="1">
      <c r="A122" s="458"/>
      <c r="B122" s="425" t="s">
        <v>1690</v>
      </c>
      <c r="C122" s="440" t="s">
        <v>1743</v>
      </c>
      <c r="D122" s="426" t="s">
        <v>45</v>
      </c>
      <c r="E122" s="430">
        <v>6679</v>
      </c>
      <c r="F122" s="445" t="s">
        <v>1621</v>
      </c>
      <c r="G122" s="446" t="s">
        <v>2409</v>
      </c>
      <c r="H122" s="447"/>
      <c r="I122" s="447"/>
    </row>
    <row r="123" spans="1:9" s="428" customFormat="1" ht="25.2" customHeight="1">
      <c r="A123" s="458"/>
      <c r="B123" s="425" t="s">
        <v>1692</v>
      </c>
      <c r="C123" s="440" t="s">
        <v>1743</v>
      </c>
      <c r="D123" s="426" t="s">
        <v>1620</v>
      </c>
      <c r="E123" s="430">
        <v>6900</v>
      </c>
      <c r="F123" s="445" t="s">
        <v>1621</v>
      </c>
      <c r="G123" s="446" t="s">
        <v>2409</v>
      </c>
      <c r="H123" s="447"/>
      <c r="I123" s="447"/>
    </row>
    <row r="124" spans="1:9" s="428" customFormat="1" ht="25.2" customHeight="1">
      <c r="A124" s="458"/>
      <c r="B124" s="425" t="s">
        <v>694</v>
      </c>
      <c r="C124" s="440" t="s">
        <v>690</v>
      </c>
      <c r="D124" s="426" t="s">
        <v>1620</v>
      </c>
      <c r="E124" s="430">
        <f>5378*1.19</f>
        <v>6399.82</v>
      </c>
      <c r="F124" s="445" t="s">
        <v>1621</v>
      </c>
      <c r="G124" s="446" t="s">
        <v>2409</v>
      </c>
      <c r="H124" s="447"/>
      <c r="I124" s="447"/>
    </row>
    <row r="125" spans="1:9" s="429" customFormat="1" ht="25.2" customHeight="1">
      <c r="A125" s="458"/>
      <c r="B125" s="425" t="s">
        <v>1744</v>
      </c>
      <c r="C125" s="440" t="s">
        <v>603</v>
      </c>
      <c r="D125" s="426" t="s">
        <v>1620</v>
      </c>
      <c r="E125" s="430">
        <f>1100*1.19</f>
        <v>1309</v>
      </c>
      <c r="F125" s="445" t="s">
        <v>1621</v>
      </c>
      <c r="G125" s="446" t="s">
        <v>2409</v>
      </c>
      <c r="H125" s="447"/>
      <c r="I125" s="447"/>
    </row>
    <row r="126" spans="1:9" s="429" customFormat="1" ht="25.2" customHeight="1">
      <c r="A126" s="458"/>
      <c r="B126" s="425" t="s">
        <v>612</v>
      </c>
      <c r="C126" s="440" t="s">
        <v>610</v>
      </c>
      <c r="D126" s="426" t="s">
        <v>1620</v>
      </c>
      <c r="E126" s="430">
        <f>293*1.19</f>
        <v>348.66999999999996</v>
      </c>
      <c r="F126" s="445" t="s">
        <v>1621</v>
      </c>
      <c r="G126" s="446" t="s">
        <v>2409</v>
      </c>
      <c r="H126" s="447"/>
      <c r="I126" s="447"/>
    </row>
    <row r="127" spans="1:9" s="428" customFormat="1" ht="19.95" customHeight="1">
      <c r="A127" s="458"/>
      <c r="B127" s="425" t="s">
        <v>1745</v>
      </c>
      <c r="C127" s="440" t="s">
        <v>603</v>
      </c>
      <c r="D127" s="426" t="s">
        <v>1620</v>
      </c>
      <c r="E127" s="430">
        <v>650</v>
      </c>
      <c r="F127" s="445" t="s">
        <v>2811</v>
      </c>
      <c r="G127" s="459" t="s">
        <v>2812</v>
      </c>
      <c r="H127" s="447"/>
      <c r="I127" s="447"/>
    </row>
    <row r="128" spans="1:9" s="428" customFormat="1" ht="40.200000000000003" customHeight="1">
      <c r="A128" s="458"/>
      <c r="B128" s="425" t="s">
        <v>2813</v>
      </c>
      <c r="C128" s="440" t="s">
        <v>603</v>
      </c>
      <c r="D128" s="426" t="s">
        <v>1620</v>
      </c>
      <c r="E128" s="430">
        <v>9000</v>
      </c>
      <c r="F128" s="445" t="s">
        <v>1621</v>
      </c>
      <c r="G128" s="446" t="s">
        <v>2409</v>
      </c>
      <c r="H128" s="447"/>
      <c r="I128" s="447"/>
    </row>
    <row r="129" spans="1:9" s="428" customFormat="1" ht="33" customHeight="1">
      <c r="A129" s="458"/>
      <c r="B129" s="425" t="s">
        <v>1746</v>
      </c>
      <c r="C129" s="440" t="s">
        <v>603</v>
      </c>
      <c r="D129" s="426" t="s">
        <v>1620</v>
      </c>
      <c r="E129" s="430">
        <f>4915*1.19</f>
        <v>5848.8499999999995</v>
      </c>
      <c r="F129" s="445" t="s">
        <v>1621</v>
      </c>
      <c r="G129" s="446" t="s">
        <v>2409</v>
      </c>
      <c r="H129" s="447"/>
      <c r="I129" s="447"/>
    </row>
    <row r="130" spans="1:9" s="428" customFormat="1" ht="26.4">
      <c r="A130" s="458"/>
      <c r="B130" s="425" t="s">
        <v>1747</v>
      </c>
      <c r="C130" s="440" t="s">
        <v>603</v>
      </c>
      <c r="D130" s="426" t="s">
        <v>1620</v>
      </c>
      <c r="E130" s="430">
        <f>4915*1.19</f>
        <v>5848.8499999999995</v>
      </c>
      <c r="F130" s="445" t="s">
        <v>1621</v>
      </c>
      <c r="G130" s="446" t="s">
        <v>2409</v>
      </c>
      <c r="H130" s="447"/>
      <c r="I130" s="447"/>
    </row>
    <row r="131" spans="1:9" s="428" customFormat="1" ht="26.4">
      <c r="A131" s="458"/>
      <c r="B131" s="425" t="s">
        <v>1748</v>
      </c>
      <c r="C131" s="440" t="s">
        <v>603</v>
      </c>
      <c r="D131" s="426" t="s">
        <v>1620</v>
      </c>
      <c r="E131" s="430">
        <f>4915*1.19</f>
        <v>5848.8499999999995</v>
      </c>
      <c r="F131" s="445" t="s">
        <v>1621</v>
      </c>
      <c r="G131" s="446" t="s">
        <v>2409</v>
      </c>
      <c r="H131" s="447"/>
      <c r="I131" s="447"/>
    </row>
    <row r="132" spans="1:9" s="428" customFormat="1" ht="26.4">
      <c r="A132" s="458"/>
      <c r="B132" s="425" t="s">
        <v>725</v>
      </c>
      <c r="C132" s="440" t="s">
        <v>799</v>
      </c>
      <c r="D132" s="426" t="s">
        <v>1620</v>
      </c>
      <c r="E132" s="430">
        <f>41596*1.19</f>
        <v>49499.24</v>
      </c>
      <c r="F132" s="445" t="s">
        <v>1621</v>
      </c>
      <c r="G132" s="446" t="s">
        <v>2409</v>
      </c>
      <c r="H132" s="447"/>
      <c r="I132" s="447"/>
    </row>
    <row r="133" spans="1:9" s="428" customFormat="1" ht="26.4">
      <c r="A133" s="458"/>
      <c r="B133" s="425" t="s">
        <v>846</v>
      </c>
      <c r="C133" s="440" t="s">
        <v>844</v>
      </c>
      <c r="D133" s="426" t="s">
        <v>1620</v>
      </c>
      <c r="E133" s="430">
        <f>850000*1.19</f>
        <v>1011500</v>
      </c>
      <c r="F133" s="445" t="s">
        <v>1621</v>
      </c>
      <c r="G133" s="446" t="s">
        <v>2409</v>
      </c>
      <c r="H133" s="447"/>
      <c r="I133" s="447"/>
    </row>
    <row r="134" spans="1:9" s="428" customFormat="1" ht="26.4">
      <c r="A134" s="458"/>
      <c r="B134" s="425" t="s">
        <v>1749</v>
      </c>
      <c r="C134" s="440" t="s">
        <v>860</v>
      </c>
      <c r="D134" s="426" t="s">
        <v>1620</v>
      </c>
      <c r="E134" s="430">
        <f>3585862*1.19</f>
        <v>4267175.78</v>
      </c>
      <c r="F134" s="445" t="s">
        <v>1621</v>
      </c>
      <c r="G134" s="446" t="s">
        <v>2409</v>
      </c>
      <c r="H134" s="447"/>
      <c r="I134" s="447"/>
    </row>
    <row r="135" spans="1:9" s="428" customFormat="1" ht="26.4">
      <c r="A135" s="458"/>
      <c r="B135" s="425" t="s">
        <v>1750</v>
      </c>
      <c r="C135" s="440" t="s">
        <v>860</v>
      </c>
      <c r="D135" s="426" t="s">
        <v>1620</v>
      </c>
      <c r="E135" s="430">
        <f>200269*1.19</f>
        <v>238320.11</v>
      </c>
      <c r="F135" s="445" t="s">
        <v>1621</v>
      </c>
      <c r="G135" s="446" t="s">
        <v>2409</v>
      </c>
      <c r="H135" s="447"/>
      <c r="I135" s="447"/>
    </row>
    <row r="136" spans="1:9" s="428" customFormat="1" ht="72">
      <c r="A136" s="458"/>
      <c r="B136" s="425" t="s">
        <v>861</v>
      </c>
      <c r="C136" s="440" t="s">
        <v>860</v>
      </c>
      <c r="D136" s="426" t="s">
        <v>1620</v>
      </c>
      <c r="E136" s="430">
        <f>172000*1.19</f>
        <v>204680</v>
      </c>
      <c r="F136" s="445" t="s">
        <v>2774</v>
      </c>
      <c r="G136" s="459" t="s">
        <v>2814</v>
      </c>
      <c r="H136" s="447"/>
      <c r="I136" s="447"/>
    </row>
    <row r="137" spans="1:9" s="428" customFormat="1" ht="26.4">
      <c r="A137" s="458"/>
      <c r="B137" s="425" t="s">
        <v>1751</v>
      </c>
      <c r="C137" s="440" t="s">
        <v>860</v>
      </c>
      <c r="D137" s="426" t="s">
        <v>1620</v>
      </c>
      <c r="E137" s="430">
        <f>1564483*1.19</f>
        <v>1861734.77</v>
      </c>
      <c r="F137" s="445" t="s">
        <v>1621</v>
      </c>
      <c r="G137" s="446" t="s">
        <v>2409</v>
      </c>
      <c r="H137" s="447"/>
      <c r="I137" s="447"/>
    </row>
    <row r="138" spans="1:9" s="428" customFormat="1" ht="26.4">
      <c r="A138" s="458"/>
      <c r="B138" s="425" t="s">
        <v>862</v>
      </c>
      <c r="C138" s="440" t="s">
        <v>860</v>
      </c>
      <c r="D138" s="426" t="s">
        <v>1620</v>
      </c>
      <c r="E138" s="430">
        <f>3900000*1.19</f>
        <v>4641000</v>
      </c>
      <c r="F138" s="445" t="s">
        <v>1621</v>
      </c>
      <c r="G138" s="446" t="s">
        <v>2409</v>
      </c>
      <c r="H138" s="447"/>
      <c r="I138" s="447"/>
    </row>
    <row r="139" spans="1:9" s="428" customFormat="1" ht="158.4">
      <c r="A139" s="458"/>
      <c r="B139" s="425" t="s">
        <v>1752</v>
      </c>
      <c r="C139" s="440" t="s">
        <v>883</v>
      </c>
      <c r="D139" s="426" t="s">
        <v>1620</v>
      </c>
      <c r="E139" s="430">
        <v>4119900</v>
      </c>
      <c r="F139" s="445" t="s">
        <v>1016</v>
      </c>
      <c r="G139" s="446" t="s">
        <v>2815</v>
      </c>
      <c r="H139" s="447"/>
      <c r="I139" s="447"/>
    </row>
    <row r="140" spans="1:9" s="428" customFormat="1" ht="39.6">
      <c r="A140" s="458"/>
      <c r="B140" s="425" t="s">
        <v>1753</v>
      </c>
      <c r="C140" s="440" t="s">
        <v>885</v>
      </c>
      <c r="D140" s="426" t="s">
        <v>1620</v>
      </c>
      <c r="E140" s="430">
        <f>250000*1.19</f>
        <v>297500</v>
      </c>
      <c r="F140" s="445" t="s">
        <v>1621</v>
      </c>
      <c r="G140" s="446" t="s">
        <v>2409</v>
      </c>
      <c r="H140" s="447"/>
      <c r="I140" s="447"/>
    </row>
    <row r="141" spans="1:9" s="428" customFormat="1" ht="187.2">
      <c r="A141" s="458"/>
      <c r="B141" s="425" t="s">
        <v>1754</v>
      </c>
      <c r="C141" s="440" t="s">
        <v>887</v>
      </c>
      <c r="D141" s="426" t="s">
        <v>1620</v>
      </c>
      <c r="E141" s="430">
        <v>13259900</v>
      </c>
      <c r="F141" s="445" t="s">
        <v>1016</v>
      </c>
      <c r="G141" s="459" t="s">
        <v>2816</v>
      </c>
      <c r="H141" s="447"/>
      <c r="I141" s="447"/>
    </row>
    <row r="142" spans="1:9" s="428" customFormat="1" ht="26.4">
      <c r="A142" s="458"/>
      <c r="B142" s="425" t="s">
        <v>891</v>
      </c>
      <c r="C142" s="440" t="s">
        <v>889</v>
      </c>
      <c r="D142" s="426" t="s">
        <v>1620</v>
      </c>
      <c r="E142" s="430">
        <f>2400000*1.19</f>
        <v>2856000</v>
      </c>
      <c r="F142" s="445" t="s">
        <v>1621</v>
      </c>
      <c r="G142" s="446" t="s">
        <v>2409</v>
      </c>
      <c r="H142" s="447"/>
      <c r="I142" s="447"/>
    </row>
    <row r="143" spans="1:9" s="428" customFormat="1" ht="52.8">
      <c r="A143" s="458"/>
      <c r="B143" s="425" t="s">
        <v>894</v>
      </c>
      <c r="C143" s="440" t="s">
        <v>892</v>
      </c>
      <c r="D143" s="426" t="s">
        <v>1620</v>
      </c>
      <c r="E143" s="430">
        <v>31500000</v>
      </c>
      <c r="F143" s="445" t="s">
        <v>1621</v>
      </c>
      <c r="G143" s="446" t="s">
        <v>2409</v>
      </c>
      <c r="H143" s="447"/>
      <c r="I143" s="447"/>
    </row>
    <row r="144" spans="1:9" s="428" customFormat="1" ht="26.4">
      <c r="A144" s="458"/>
      <c r="B144" s="425" t="s">
        <v>1755</v>
      </c>
      <c r="C144" s="440" t="s">
        <v>895</v>
      </c>
      <c r="D144" s="426" t="s">
        <v>1620</v>
      </c>
      <c r="E144" s="430">
        <f>2900000*1.19</f>
        <v>3451000</v>
      </c>
      <c r="F144" s="445" t="s">
        <v>1621</v>
      </c>
      <c r="G144" s="446" t="s">
        <v>2409</v>
      </c>
      <c r="H144" s="447"/>
      <c r="I144" s="447"/>
    </row>
    <row r="145" spans="1:9" s="428" customFormat="1" ht="24.75" customHeight="1">
      <c r="A145" s="458"/>
      <c r="B145" s="425" t="s">
        <v>904</v>
      </c>
      <c r="C145" s="440" t="s">
        <v>897</v>
      </c>
      <c r="D145" s="426" t="s">
        <v>1620</v>
      </c>
      <c r="E145" s="430">
        <f>2800*1.19</f>
        <v>3332</v>
      </c>
      <c r="F145" s="445" t="s">
        <v>1621</v>
      </c>
      <c r="G145" s="446" t="s">
        <v>2409</v>
      </c>
      <c r="H145" s="447"/>
      <c r="I145" s="447"/>
    </row>
    <row r="146" spans="1:9" s="428" customFormat="1" ht="24.75" customHeight="1">
      <c r="A146" s="458"/>
      <c r="B146" s="425" t="s">
        <v>910</v>
      </c>
      <c r="C146" s="440" t="s">
        <v>897</v>
      </c>
      <c r="D146" s="426" t="s">
        <v>1620</v>
      </c>
      <c r="E146" s="430">
        <v>259900</v>
      </c>
      <c r="F146" s="445" t="s">
        <v>1016</v>
      </c>
      <c r="G146" s="459" t="s">
        <v>2817</v>
      </c>
      <c r="H146" s="447"/>
      <c r="I146" s="447"/>
    </row>
    <row r="147" spans="1:9" s="428" customFormat="1" ht="27" customHeight="1">
      <c r="A147" s="458"/>
      <c r="B147" s="425" t="s">
        <v>912</v>
      </c>
      <c r="C147" s="440" t="s">
        <v>897</v>
      </c>
      <c r="D147" s="426" t="s">
        <v>1620</v>
      </c>
      <c r="E147" s="430">
        <f>133193*1.19</f>
        <v>158499.66999999998</v>
      </c>
      <c r="F147" s="445" t="s">
        <v>1621</v>
      </c>
      <c r="G147" s="446" t="s">
        <v>2409</v>
      </c>
      <c r="H147" s="447"/>
      <c r="I147" s="447"/>
    </row>
    <row r="148" spans="1:9" s="428" customFormat="1" ht="26.25" customHeight="1">
      <c r="A148" s="458"/>
      <c r="B148" s="425" t="s">
        <v>913</v>
      </c>
      <c r="C148" s="440" t="s">
        <v>897</v>
      </c>
      <c r="D148" s="426" t="s">
        <v>1620</v>
      </c>
      <c r="E148" s="430">
        <f>7227*1.19</f>
        <v>8600.1299999999992</v>
      </c>
      <c r="F148" s="445" t="s">
        <v>1621</v>
      </c>
      <c r="G148" s="446" t="s">
        <v>2409</v>
      </c>
      <c r="H148" s="447"/>
      <c r="I148" s="447"/>
    </row>
    <row r="149" spans="1:9" s="428" customFormat="1" ht="24.75" customHeight="1">
      <c r="A149" s="458"/>
      <c r="B149" s="425" t="s">
        <v>1756</v>
      </c>
      <c r="C149" s="440" t="s">
        <v>897</v>
      </c>
      <c r="D149" s="426" t="s">
        <v>1620</v>
      </c>
      <c r="E149" s="430">
        <f>19000*1.19</f>
        <v>22610</v>
      </c>
      <c r="F149" s="445" t="s">
        <v>1621</v>
      </c>
      <c r="G149" s="446" t="s">
        <v>2409</v>
      </c>
      <c r="H149" s="447"/>
      <c r="I149" s="447"/>
    </row>
    <row r="150" spans="1:9" s="428" customFormat="1" ht="23.25" customHeight="1">
      <c r="A150" s="458"/>
      <c r="B150" s="425" t="s">
        <v>919</v>
      </c>
      <c r="C150" s="440" t="s">
        <v>916</v>
      </c>
      <c r="D150" s="426" t="s">
        <v>1620</v>
      </c>
      <c r="E150" s="430">
        <f>35000.119</f>
        <v>35000.118999999999</v>
      </c>
      <c r="F150" s="445" t="s">
        <v>1621</v>
      </c>
      <c r="G150" s="446" t="s">
        <v>2409</v>
      </c>
      <c r="H150" s="447"/>
      <c r="I150" s="447"/>
    </row>
    <row r="151" spans="1:9" s="428" customFormat="1" ht="26.25" customHeight="1">
      <c r="A151" s="458"/>
      <c r="B151" s="425" t="s">
        <v>920</v>
      </c>
      <c r="C151" s="440" t="s">
        <v>916</v>
      </c>
      <c r="D151" s="426" t="s">
        <v>1620</v>
      </c>
      <c r="E151" s="430">
        <f>15600*1.19</f>
        <v>18564</v>
      </c>
      <c r="F151" s="445" t="s">
        <v>1621</v>
      </c>
      <c r="G151" s="446" t="s">
        <v>2409</v>
      </c>
      <c r="H151" s="447"/>
      <c r="I151" s="447"/>
    </row>
    <row r="152" spans="1:9" s="428" customFormat="1" ht="26.25" customHeight="1">
      <c r="A152" s="458"/>
      <c r="B152" s="425" t="s">
        <v>967</v>
      </c>
      <c r="C152" s="440">
        <v>17.11</v>
      </c>
      <c r="D152" s="426" t="s">
        <v>1620</v>
      </c>
      <c r="E152" s="430">
        <f>51350*1.19</f>
        <v>61106.5</v>
      </c>
      <c r="F152" s="445" t="s">
        <v>2774</v>
      </c>
      <c r="G152" s="459" t="s">
        <v>2818</v>
      </c>
      <c r="H152" s="447"/>
      <c r="I152" s="447"/>
    </row>
    <row r="153" spans="1:9" s="428" customFormat="1" ht="26.25" customHeight="1">
      <c r="A153" s="458"/>
      <c r="B153" s="425" t="s">
        <v>969</v>
      </c>
      <c r="C153" s="440">
        <v>17.11</v>
      </c>
      <c r="D153" s="426" t="s">
        <v>1620</v>
      </c>
      <c r="E153" s="430">
        <v>900</v>
      </c>
      <c r="F153" s="445" t="s">
        <v>1621</v>
      </c>
      <c r="G153" s="446" t="s">
        <v>2409</v>
      </c>
      <c r="H153" s="447"/>
      <c r="I153" s="447"/>
    </row>
    <row r="154" spans="1:9" s="428" customFormat="1" ht="26.25" customHeight="1">
      <c r="A154" s="458"/>
      <c r="B154" s="425"/>
      <c r="C154" s="440"/>
      <c r="D154" s="426"/>
      <c r="E154" s="430"/>
      <c r="F154" s="445"/>
      <c r="G154" s="446"/>
      <c r="H154" s="447"/>
      <c r="I154" s="447"/>
    </row>
    <row r="155" spans="1:9" s="428" customFormat="1" ht="25.5" customHeight="1">
      <c r="A155" s="458"/>
      <c r="B155" s="425"/>
      <c r="C155" s="440"/>
      <c r="D155" s="426"/>
      <c r="E155" s="430"/>
      <c r="F155" s="445"/>
      <c r="G155" s="446"/>
      <c r="H155" s="447"/>
      <c r="I155" s="447"/>
    </row>
    <row r="156" spans="1:9" s="428" customFormat="1" ht="14.4">
      <c r="A156" s="458"/>
      <c r="B156" s="425" t="s">
        <v>1757</v>
      </c>
      <c r="C156" s="440" t="s">
        <v>1758</v>
      </c>
      <c r="D156" s="426" t="s">
        <v>1620</v>
      </c>
      <c r="E156" s="640">
        <f>15000000*1.19</f>
        <v>17850000</v>
      </c>
      <c r="F156" s="445"/>
      <c r="G156" s="446"/>
      <c r="H156" s="447"/>
      <c r="I156" s="447"/>
    </row>
    <row r="157" spans="1:9" s="428" customFormat="1" ht="30" customHeight="1">
      <c r="A157" s="458"/>
      <c r="B157" s="431" t="s">
        <v>1759</v>
      </c>
      <c r="C157" s="441" t="s">
        <v>1760</v>
      </c>
      <c r="D157" s="426" t="s">
        <v>1620</v>
      </c>
      <c r="E157" s="641">
        <f>8850000*1.19</f>
        <v>10531500</v>
      </c>
      <c r="F157" s="445" t="s">
        <v>2789</v>
      </c>
      <c r="G157" s="448" t="s">
        <v>2409</v>
      </c>
    </row>
    <row r="158" spans="1:9" s="433" customFormat="1" ht="13.2" customHeight="1">
      <c r="A158" s="458"/>
      <c r="B158" s="434" t="s">
        <v>1762</v>
      </c>
      <c r="C158" s="441"/>
      <c r="D158" s="426"/>
      <c r="E158" s="432"/>
      <c r="F158" s="449"/>
      <c r="G158" s="448"/>
    </row>
    <row r="159" spans="1:9" s="435" customFormat="1" ht="110.4" customHeight="1">
      <c r="A159" s="458"/>
      <c r="B159" s="434" t="s">
        <v>974</v>
      </c>
      <c r="C159" s="441"/>
      <c r="D159" s="426"/>
      <c r="E159" s="432"/>
      <c r="F159" s="449"/>
      <c r="G159" s="450"/>
    </row>
    <row r="160" spans="1:9" s="433" customFormat="1" ht="16.95" customHeight="1">
      <c r="A160" s="458"/>
      <c r="B160" s="434" t="s">
        <v>975</v>
      </c>
      <c r="C160" s="441"/>
      <c r="D160" s="426"/>
      <c r="E160" s="436"/>
      <c r="F160" s="449"/>
      <c r="G160" s="448"/>
    </row>
    <row r="161" spans="1:7" s="433" customFormat="1" ht="14.4" customHeight="1">
      <c r="A161" s="458"/>
      <c r="B161" s="434" t="s">
        <v>976</v>
      </c>
      <c r="C161" s="441"/>
      <c r="D161" s="426"/>
      <c r="E161" s="432"/>
      <c r="F161" s="449"/>
      <c r="G161" s="448"/>
    </row>
    <row r="162" spans="1:7" s="433" customFormat="1" ht="12" customHeight="1">
      <c r="A162" s="458"/>
      <c r="B162" s="434" t="s">
        <v>977</v>
      </c>
      <c r="C162" s="441"/>
      <c r="D162" s="426"/>
      <c r="E162" s="432"/>
      <c r="F162" s="449"/>
      <c r="G162" s="448"/>
    </row>
    <row r="163" spans="1:7" s="433" customFormat="1" ht="25.2" customHeight="1">
      <c r="A163" s="458"/>
      <c r="B163" s="434" t="s">
        <v>978</v>
      </c>
      <c r="C163" s="441"/>
      <c r="D163" s="426"/>
      <c r="E163" s="432"/>
      <c r="F163" s="449"/>
      <c r="G163" s="448"/>
    </row>
    <row r="164" spans="1:7" s="428" customFormat="1" ht="14.4">
      <c r="A164" s="458"/>
      <c r="B164" s="431" t="s">
        <v>1763</v>
      </c>
      <c r="C164" s="441" t="s">
        <v>1764</v>
      </c>
      <c r="D164" s="426" t="s">
        <v>1620</v>
      </c>
      <c r="E164" s="432">
        <f>7600000*1.19</f>
        <v>9044000</v>
      </c>
      <c r="F164" s="445" t="s">
        <v>1761</v>
      </c>
      <c r="G164" s="448"/>
    </row>
    <row r="165" spans="1:7" s="428" customFormat="1" ht="109.95" customHeight="1">
      <c r="A165" s="458"/>
      <c r="B165" s="434" t="s">
        <v>980</v>
      </c>
      <c r="C165" s="441"/>
      <c r="D165" s="426"/>
      <c r="E165" s="432"/>
      <c r="F165" s="449"/>
      <c r="G165" s="448"/>
    </row>
    <row r="166" spans="1:7" s="428" customFormat="1" ht="24.6" customHeight="1">
      <c r="A166" s="458"/>
      <c r="B166" s="434" t="s">
        <v>975</v>
      </c>
      <c r="C166" s="441"/>
      <c r="D166" s="426"/>
      <c r="E166" s="432"/>
      <c r="F166" s="449"/>
      <c r="G166" s="448"/>
    </row>
    <row r="167" spans="1:7" s="428" customFormat="1" ht="14.4">
      <c r="A167" s="458"/>
      <c r="B167" s="434" t="s">
        <v>977</v>
      </c>
      <c r="C167" s="441"/>
      <c r="D167" s="426"/>
      <c r="E167" s="432"/>
      <c r="F167" s="449"/>
      <c r="G167" s="448"/>
    </row>
    <row r="168" spans="1:7" s="428" customFormat="1" ht="14.4">
      <c r="A168" s="458"/>
      <c r="B168" s="434" t="s">
        <v>981</v>
      </c>
      <c r="C168" s="441"/>
      <c r="D168" s="426"/>
      <c r="E168" s="432"/>
      <c r="F168" s="449"/>
      <c r="G168" s="448"/>
    </row>
    <row r="169" spans="1:7" s="428" customFormat="1" ht="25.2" customHeight="1">
      <c r="A169" s="458"/>
      <c r="B169" s="434" t="s">
        <v>982</v>
      </c>
      <c r="C169" s="441"/>
      <c r="D169" s="426"/>
      <c r="E169" s="432"/>
      <c r="F169" s="449"/>
      <c r="G169" s="448"/>
    </row>
    <row r="170" spans="1:7" s="428" customFormat="1" ht="14.4">
      <c r="A170" s="458"/>
      <c r="B170" s="437" t="s">
        <v>1765</v>
      </c>
      <c r="C170" s="441" t="s">
        <v>1766</v>
      </c>
      <c r="D170" s="426" t="s">
        <v>1620</v>
      </c>
      <c r="E170" s="432">
        <f>10650000*1.19</f>
        <v>12673500</v>
      </c>
      <c r="F170" s="445" t="s">
        <v>2789</v>
      </c>
      <c r="G170" s="448" t="s">
        <v>2409</v>
      </c>
    </row>
    <row r="171" spans="1:7" s="428" customFormat="1" ht="25.2" customHeight="1">
      <c r="A171" s="458"/>
      <c r="B171" s="425" t="s">
        <v>984</v>
      </c>
      <c r="C171" s="441"/>
      <c r="D171" s="426"/>
      <c r="E171" s="432"/>
      <c r="F171" s="449"/>
      <c r="G171" s="448"/>
    </row>
    <row r="172" spans="1:7" s="428" customFormat="1" ht="14.4">
      <c r="A172" s="458"/>
      <c r="B172" s="425" t="s">
        <v>985</v>
      </c>
      <c r="C172" s="441"/>
      <c r="D172" s="426"/>
      <c r="E172" s="432"/>
      <c r="F172" s="449"/>
      <c r="G172" s="448"/>
    </row>
    <row r="173" spans="1:7" s="428" customFormat="1" ht="14.4">
      <c r="A173" s="458"/>
      <c r="B173" s="425" t="s">
        <v>986</v>
      </c>
      <c r="C173" s="441"/>
      <c r="D173" s="426"/>
      <c r="E173" s="432"/>
      <c r="F173" s="449"/>
      <c r="G173" s="448"/>
    </row>
    <row r="174" spans="1:7" s="428" customFormat="1" ht="14.4">
      <c r="A174" s="458"/>
      <c r="B174" s="425" t="s">
        <v>987</v>
      </c>
      <c r="C174" s="441"/>
      <c r="D174" s="426"/>
      <c r="E174" s="432"/>
      <c r="F174" s="449"/>
      <c r="G174" s="448"/>
    </row>
    <row r="175" spans="1:7" s="428" customFormat="1" ht="14.4">
      <c r="A175" s="458"/>
      <c r="B175" s="425" t="s">
        <v>988</v>
      </c>
      <c r="C175" s="441"/>
      <c r="D175" s="426"/>
      <c r="E175" s="432"/>
      <c r="F175" s="449"/>
      <c r="G175" s="448"/>
    </row>
    <row r="176" spans="1:7" s="429" customFormat="1" ht="14.4">
      <c r="A176" s="458"/>
      <c r="B176" s="425" t="s">
        <v>989</v>
      </c>
      <c r="C176" s="441"/>
      <c r="D176" s="426"/>
      <c r="E176" s="432"/>
      <c r="F176" s="449"/>
      <c r="G176" s="450"/>
    </row>
    <row r="177" spans="1:7" s="428" customFormat="1" ht="14.4">
      <c r="A177" s="458"/>
      <c r="B177" s="425" t="s">
        <v>990</v>
      </c>
      <c r="C177" s="441"/>
      <c r="D177" s="426"/>
      <c r="E177" s="436"/>
      <c r="F177" s="449"/>
      <c r="G177" s="448"/>
    </row>
    <row r="178" spans="1:7" s="428" customFormat="1" ht="15" thickBot="1">
      <c r="A178" s="460"/>
      <c r="B178" s="461" t="s">
        <v>991</v>
      </c>
      <c r="C178" s="462"/>
      <c r="D178" s="463"/>
      <c r="E178" s="464"/>
      <c r="F178" s="465"/>
      <c r="G178" s="466"/>
    </row>
    <row r="179" spans="1:7" s="428" customFormat="1" ht="25.2" customHeight="1">
      <c r="A179" s="458"/>
      <c r="B179" s="425" t="s">
        <v>2480</v>
      </c>
      <c r="C179" s="441"/>
      <c r="D179" s="426" t="s">
        <v>1620</v>
      </c>
      <c r="E179" s="432">
        <v>33000</v>
      </c>
      <c r="F179" s="449" t="s">
        <v>1016</v>
      </c>
      <c r="G179" s="448" t="s">
        <v>2481</v>
      </c>
    </row>
    <row r="180" spans="1:7" s="428" customFormat="1" ht="25.2" customHeight="1">
      <c r="A180" s="458"/>
      <c r="B180" s="425" t="s">
        <v>2482</v>
      </c>
      <c r="C180" s="441"/>
      <c r="D180" s="426" t="s">
        <v>1620</v>
      </c>
      <c r="E180" s="432">
        <v>34900</v>
      </c>
      <c r="F180" s="449" t="s">
        <v>1016</v>
      </c>
      <c r="G180" s="448" t="s">
        <v>2481</v>
      </c>
    </row>
    <row r="181" spans="1:7" s="428" customFormat="1" ht="25.2" customHeight="1">
      <c r="A181" s="458"/>
      <c r="B181" s="425" t="s">
        <v>2483</v>
      </c>
      <c r="C181" s="441"/>
      <c r="D181" s="426" t="s">
        <v>1620</v>
      </c>
      <c r="E181" s="432">
        <v>47900</v>
      </c>
      <c r="F181" s="449" t="s">
        <v>1016</v>
      </c>
      <c r="G181" s="448" t="s">
        <v>2481</v>
      </c>
    </row>
    <row r="182" spans="1:7" s="428" customFormat="1" ht="25.2" customHeight="1">
      <c r="A182" s="458"/>
      <c r="B182" s="425" t="s">
        <v>2484</v>
      </c>
      <c r="D182" s="426" t="s">
        <v>1620</v>
      </c>
      <c r="E182" s="432">
        <v>52700</v>
      </c>
      <c r="F182" s="449" t="s">
        <v>1016</v>
      </c>
      <c r="G182" s="448" t="s">
        <v>2481</v>
      </c>
    </row>
    <row r="183" spans="1:7" s="428" customFormat="1" ht="25.2" customHeight="1">
      <c r="A183" s="458"/>
      <c r="B183" s="425" t="s">
        <v>2485</v>
      </c>
      <c r="D183" s="426" t="s">
        <v>1620</v>
      </c>
      <c r="E183" s="432">
        <v>449900</v>
      </c>
      <c r="F183" s="449" t="s">
        <v>1016</v>
      </c>
      <c r="G183" s="448" t="s">
        <v>2481</v>
      </c>
    </row>
    <row r="184" spans="1:7" s="428" customFormat="1" ht="18" customHeight="1">
      <c r="A184" s="458"/>
      <c r="B184" s="425" t="s">
        <v>2486</v>
      </c>
      <c r="D184" s="426" t="s">
        <v>1620</v>
      </c>
      <c r="E184" s="432">
        <v>312900</v>
      </c>
      <c r="F184" s="449" t="s">
        <v>1016</v>
      </c>
      <c r="G184" s="448" t="s">
        <v>2481</v>
      </c>
    </row>
    <row r="185" spans="1:7" s="428" customFormat="1" ht="25.2" customHeight="1">
      <c r="A185" s="458"/>
      <c r="B185" s="425" t="s">
        <v>750</v>
      </c>
      <c r="D185" s="426" t="s">
        <v>1620</v>
      </c>
      <c r="E185" s="432">
        <v>76400</v>
      </c>
      <c r="F185" s="449" t="s">
        <v>1016</v>
      </c>
      <c r="G185" s="448" t="s">
        <v>2481</v>
      </c>
    </row>
    <row r="186" spans="1:7" ht="12.75" customHeight="1">
      <c r="A186" s="458"/>
      <c r="B186" s="425" t="s">
        <v>2785</v>
      </c>
      <c r="C186" s="428"/>
      <c r="D186" s="426" t="s">
        <v>45</v>
      </c>
      <c r="E186" s="432">
        <v>18500</v>
      </c>
      <c r="F186" s="449" t="s">
        <v>2774</v>
      </c>
      <c r="G186" s="448" t="s">
        <v>2481</v>
      </c>
    </row>
    <row r="187" spans="1:7" ht="12.75" customHeight="1">
      <c r="A187" s="458"/>
      <c r="B187" s="425" t="s">
        <v>852</v>
      </c>
      <c r="C187" s="428"/>
      <c r="D187" s="426"/>
      <c r="E187" s="432">
        <v>202600</v>
      </c>
      <c r="F187" s="449"/>
      <c r="G187" s="448"/>
    </row>
    <row r="188" spans="1:7" ht="12.75" customHeight="1">
      <c r="B188" s="176"/>
      <c r="C188" s="176"/>
      <c r="D188" s="176"/>
      <c r="E188" s="176"/>
    </row>
    <row r="189" spans="1:7" ht="12.75" customHeight="1">
      <c r="B189" s="425"/>
      <c r="C189" s="176"/>
      <c r="D189" s="176"/>
      <c r="E189" s="176"/>
    </row>
    <row r="190" spans="1:7" ht="12.75" customHeight="1">
      <c r="B190" s="176"/>
      <c r="C190" s="176"/>
      <c r="D190" s="176"/>
      <c r="E190" s="176"/>
    </row>
    <row r="191" spans="1:7" ht="13.5" customHeight="1">
      <c r="B191" s="176"/>
      <c r="C191" s="176"/>
      <c r="D191" s="176"/>
      <c r="E191" s="176"/>
    </row>
  </sheetData>
  <mergeCells count="1">
    <mergeCell ref="B2:G6"/>
  </mergeCells>
  <hyperlinks>
    <hyperlink ref="G21" r:id="rId1" xr:uid="{00000000-0004-0000-1600-000000000000}"/>
    <hyperlink ref="G22" r:id="rId2" xr:uid="{00000000-0004-0000-1600-000001000000}"/>
    <hyperlink ref="G25" r:id="rId3" xr:uid="{00000000-0004-0000-1600-000002000000}"/>
    <hyperlink ref="G83" r:id="rId4" xr:uid="{00000000-0004-0000-1600-000003000000}"/>
    <hyperlink ref="G91" r:id="rId5" xr:uid="{00000000-0004-0000-1600-000004000000}"/>
    <hyperlink ref="G127" r:id="rId6" xr:uid="{00000000-0004-0000-1600-000005000000}"/>
    <hyperlink ref="G136" r:id="rId7" xr:uid="{00000000-0004-0000-1600-000006000000}"/>
    <hyperlink ref="G141" r:id="rId8" xr:uid="{00000000-0004-0000-1600-000007000000}"/>
    <hyperlink ref="G146" display="https://www.homecenter.com.co/homecenter-co/product/140400/varilla-de-cobre-con-conector-puesta-a-tierra-24mx1428-mm/140400/?kid=bnnext1031760&amp;shop=googleShopping&amp;gclid=CjwKCAiArY2fBhB9EiwAWqHK6uudecFRp2b181dI-c92-FyAij0mlTwUvyZkQvQm0927JffGkT7f1BoCY7IQAv" xr:uid="{00000000-0004-0000-1600-000008000000}"/>
    <hyperlink ref="G152" r:id="rId9" xr:uid="{00000000-0004-0000-1600-000009000000}"/>
  </hyperlinks>
  <pageMargins left="0.7" right="0.7" top="0.75" bottom="0.75" header="0.3" footer="0.3"/>
  <pageSetup paperSize="9" orientation="portrait" r:id="rId10"/>
  <drawing r:id="rId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39997558519241921"/>
  </sheetPr>
  <dimension ref="B2:H187"/>
  <sheetViews>
    <sheetView topLeftCell="C1" workbookViewId="0">
      <selection activeCell="G47" sqref="G47"/>
    </sheetView>
  </sheetViews>
  <sheetFormatPr baseColWidth="10" defaultColWidth="10.88671875" defaultRowHeight="13.8"/>
  <cols>
    <col min="1" max="1" width="2" style="176" customWidth="1"/>
    <col min="2" max="2" width="19" style="176" hidden="1" customWidth="1"/>
    <col min="3" max="3" width="3.109375" style="176" customWidth="1"/>
    <col min="4" max="4" width="50.6640625" style="259" bestFit="1" customWidth="1"/>
    <col min="5" max="5" width="10.33203125" style="259" customWidth="1"/>
    <col min="6" max="6" width="16" style="260" bestFit="1" customWidth="1"/>
    <col min="7" max="7" width="30.33203125" style="259" customWidth="1"/>
    <col min="8" max="8" width="65.88671875" style="343" customWidth="1"/>
    <col min="9" max="16384" width="10.88671875" style="176"/>
  </cols>
  <sheetData>
    <row r="2" spans="2:8" ht="14.4" thickBot="1"/>
    <row r="3" spans="2:8" ht="13.5" customHeight="1" thickBot="1">
      <c r="B3" s="261" t="s">
        <v>1319</v>
      </c>
      <c r="C3" s="328"/>
      <c r="D3" s="262" t="s">
        <v>1318</v>
      </c>
      <c r="E3" s="263" t="s">
        <v>998</v>
      </c>
      <c r="F3" s="264" t="s">
        <v>999</v>
      </c>
      <c r="G3" s="265" t="s">
        <v>1000</v>
      </c>
      <c r="H3" s="344" t="s">
        <v>1001</v>
      </c>
    </row>
    <row r="4" spans="2:8">
      <c r="B4" s="266"/>
      <c r="D4" s="267" t="s">
        <v>1320</v>
      </c>
      <c r="E4" s="268" t="s">
        <v>58</v>
      </c>
      <c r="F4" s="269">
        <f>1670+70</f>
        <v>1740</v>
      </c>
      <c r="G4" s="268"/>
      <c r="H4" s="345"/>
    </row>
    <row r="5" spans="2:8">
      <c r="B5" s="266"/>
      <c r="C5" s="339"/>
      <c r="D5" s="270" t="s">
        <v>1321</v>
      </c>
      <c r="E5" s="271" t="s">
        <v>58</v>
      </c>
      <c r="F5" s="272">
        <f>2000*1.19</f>
        <v>2380</v>
      </c>
      <c r="G5" s="271" t="s">
        <v>1322</v>
      </c>
      <c r="H5" s="277" t="s">
        <v>1457</v>
      </c>
    </row>
    <row r="6" spans="2:8">
      <c r="B6" s="266"/>
      <c r="C6" s="339"/>
      <c r="D6" s="270" t="s">
        <v>1323</v>
      </c>
      <c r="E6" s="271" t="s">
        <v>58</v>
      </c>
      <c r="F6" s="272">
        <f>960*1.19</f>
        <v>1142.3999999999999</v>
      </c>
      <c r="G6" s="271" t="s">
        <v>1322</v>
      </c>
      <c r="H6" s="277" t="s">
        <v>1457</v>
      </c>
    </row>
    <row r="7" spans="2:8">
      <c r="B7" s="266"/>
      <c r="C7" s="339"/>
      <c r="D7" s="270" t="s">
        <v>1324</v>
      </c>
      <c r="E7" s="271" t="s">
        <v>58</v>
      </c>
      <c r="F7" s="272">
        <f>52000*1.19</f>
        <v>61880</v>
      </c>
      <c r="G7" s="271" t="s">
        <v>1322</v>
      </c>
      <c r="H7" s="277" t="s">
        <v>1457</v>
      </c>
    </row>
    <row r="8" spans="2:8">
      <c r="B8" s="266"/>
      <c r="C8" s="339"/>
      <c r="D8" s="270" t="s">
        <v>1325</v>
      </c>
      <c r="E8" s="271" t="s">
        <v>58</v>
      </c>
      <c r="F8" s="272">
        <f>65000*1.19</f>
        <v>77350</v>
      </c>
      <c r="G8" s="271" t="s">
        <v>1322</v>
      </c>
      <c r="H8" s="277" t="s">
        <v>1457</v>
      </c>
    </row>
    <row r="9" spans="2:8">
      <c r="B9" s="266"/>
      <c r="C9" s="339"/>
      <c r="D9" s="270" t="s">
        <v>1326</v>
      </c>
      <c r="E9" s="271" t="s">
        <v>58</v>
      </c>
      <c r="F9" s="272">
        <f>840000*1.19</f>
        <v>999600</v>
      </c>
      <c r="G9" s="271" t="s">
        <v>1329</v>
      </c>
      <c r="H9" s="277" t="s">
        <v>1458</v>
      </c>
    </row>
    <row r="10" spans="2:8">
      <c r="B10" s="266"/>
      <c r="C10" s="339"/>
      <c r="D10" s="270" t="s">
        <v>1327</v>
      </c>
      <c r="E10" s="271" t="s">
        <v>58</v>
      </c>
      <c r="F10" s="272">
        <f>2750*1.19</f>
        <v>3272.5</v>
      </c>
      <c r="G10" s="271" t="s">
        <v>1329</v>
      </c>
      <c r="H10" s="277" t="s">
        <v>1458</v>
      </c>
    </row>
    <row r="11" spans="2:8">
      <c r="B11" s="266"/>
      <c r="C11" s="339"/>
      <c r="D11" s="270" t="s">
        <v>1328</v>
      </c>
      <c r="E11" s="271" t="s">
        <v>58</v>
      </c>
      <c r="F11" s="272">
        <v>300</v>
      </c>
      <c r="G11" s="271" t="s">
        <v>1329</v>
      </c>
      <c r="H11" s="277" t="s">
        <v>1458</v>
      </c>
    </row>
    <row r="12" spans="2:8">
      <c r="B12" s="266"/>
      <c r="C12" s="339"/>
      <c r="D12" s="270" t="s">
        <v>329</v>
      </c>
      <c r="E12" s="271" t="s">
        <v>58</v>
      </c>
      <c r="F12" s="272">
        <f>41000*1.19</f>
        <v>48790</v>
      </c>
      <c r="G12" s="271" t="s">
        <v>1322</v>
      </c>
      <c r="H12" s="277" t="s">
        <v>1457</v>
      </c>
    </row>
    <row r="13" spans="2:8">
      <c r="B13" s="266"/>
      <c r="C13" s="339"/>
      <c r="D13" s="270" t="s">
        <v>1331</v>
      </c>
      <c r="E13" s="271" t="s">
        <v>58</v>
      </c>
      <c r="F13" s="272">
        <f>85000*1.19</f>
        <v>101150</v>
      </c>
      <c r="G13" s="271" t="s">
        <v>1322</v>
      </c>
      <c r="H13" s="277" t="s">
        <v>1457</v>
      </c>
    </row>
    <row r="14" spans="2:8">
      <c r="B14" s="266"/>
      <c r="C14" s="339"/>
      <c r="D14" s="270" t="s">
        <v>1332</v>
      </c>
      <c r="E14" s="271" t="s">
        <v>58</v>
      </c>
      <c r="F14" s="272">
        <f>20000*1.19</f>
        <v>23800</v>
      </c>
      <c r="G14" s="271" t="s">
        <v>1322</v>
      </c>
      <c r="H14" s="277" t="s">
        <v>1457</v>
      </c>
    </row>
    <row r="15" spans="2:8">
      <c r="B15" s="266"/>
      <c r="C15" s="339"/>
      <c r="D15" s="270" t="s">
        <v>1333</v>
      </c>
      <c r="E15" s="271" t="s">
        <v>58</v>
      </c>
      <c r="F15" s="272">
        <f>78000*1.19</f>
        <v>92820</v>
      </c>
      <c r="G15" s="271" t="s">
        <v>1322</v>
      </c>
      <c r="H15" s="277" t="s">
        <v>1457</v>
      </c>
    </row>
    <row r="16" spans="2:8">
      <c r="B16" s="266"/>
      <c r="C16" s="339"/>
      <c r="D16" s="270" t="s">
        <v>1336</v>
      </c>
      <c r="E16" s="271" t="s">
        <v>58</v>
      </c>
      <c r="F16" s="272">
        <v>65688</v>
      </c>
      <c r="G16" s="271" t="s">
        <v>1329</v>
      </c>
      <c r="H16" s="277" t="s">
        <v>1458</v>
      </c>
    </row>
    <row r="17" spans="2:8">
      <c r="B17" s="266"/>
      <c r="C17" s="339"/>
      <c r="D17" s="270" t="s">
        <v>1337</v>
      </c>
      <c r="E17" s="271" t="s">
        <v>58</v>
      </c>
      <c r="F17" s="272">
        <f>35000*1.19</f>
        <v>41650</v>
      </c>
      <c r="G17" s="271" t="s">
        <v>1329</v>
      </c>
      <c r="H17" s="277" t="s">
        <v>1458</v>
      </c>
    </row>
    <row r="18" spans="2:8">
      <c r="B18" s="266"/>
      <c r="C18" s="339"/>
      <c r="D18" s="270" t="s">
        <v>1338</v>
      </c>
      <c r="E18" s="271" t="s">
        <v>58</v>
      </c>
      <c r="F18" s="272">
        <f>34000*1.19</f>
        <v>40460</v>
      </c>
      <c r="G18" s="271" t="s">
        <v>1322</v>
      </c>
      <c r="H18" s="277" t="s">
        <v>1457</v>
      </c>
    </row>
    <row r="19" spans="2:8">
      <c r="B19" s="266"/>
      <c r="C19" s="339"/>
      <c r="D19" s="270" t="s">
        <v>1339</v>
      </c>
      <c r="E19" s="271" t="s">
        <v>58</v>
      </c>
      <c r="F19" s="272">
        <f>38457*1.19</f>
        <v>45763.829999999994</v>
      </c>
      <c r="G19" s="271" t="s">
        <v>1322</v>
      </c>
      <c r="H19" s="277" t="s">
        <v>1457</v>
      </c>
    </row>
    <row r="20" spans="2:8" ht="12.75" customHeight="1">
      <c r="B20" s="273" t="s">
        <v>1340</v>
      </c>
      <c r="C20" s="339"/>
      <c r="D20" s="413" t="s">
        <v>1341</v>
      </c>
      <c r="E20" s="274" t="s">
        <v>58</v>
      </c>
      <c r="F20" s="272">
        <f>50000*1.19</f>
        <v>59500</v>
      </c>
      <c r="G20" s="271" t="s">
        <v>1329</v>
      </c>
      <c r="H20" s="277" t="s">
        <v>1458</v>
      </c>
    </row>
    <row r="21" spans="2:8" ht="13.5" customHeight="1">
      <c r="B21" s="273" t="s">
        <v>1342</v>
      </c>
      <c r="C21" s="339"/>
      <c r="D21" s="413" t="s">
        <v>75</v>
      </c>
      <c r="E21" s="274" t="s">
        <v>58</v>
      </c>
      <c r="F21" s="272">
        <f>30000*1.19</f>
        <v>35700</v>
      </c>
      <c r="G21" s="271" t="s">
        <v>1329</v>
      </c>
      <c r="H21" s="277" t="s">
        <v>1458</v>
      </c>
    </row>
    <row r="22" spans="2:8">
      <c r="B22" s="273" t="s">
        <v>1340</v>
      </c>
      <c r="C22" s="339"/>
      <c r="D22" s="413" t="s">
        <v>76</v>
      </c>
      <c r="E22" s="274" t="s">
        <v>39</v>
      </c>
      <c r="F22" s="272">
        <v>42000</v>
      </c>
      <c r="G22" s="271"/>
      <c r="H22" s="277" t="s">
        <v>1552</v>
      </c>
    </row>
    <row r="23" spans="2:8">
      <c r="B23" s="266" t="s">
        <v>228</v>
      </c>
      <c r="C23" s="339"/>
      <c r="D23" s="413" t="s">
        <v>1343</v>
      </c>
      <c r="E23" s="275" t="s">
        <v>58</v>
      </c>
      <c r="F23" s="272">
        <f>23700*1.19</f>
        <v>28203</v>
      </c>
      <c r="G23" s="271" t="s">
        <v>1329</v>
      </c>
      <c r="H23" s="277" t="s">
        <v>1458</v>
      </c>
    </row>
    <row r="24" spans="2:8">
      <c r="B24" s="266"/>
      <c r="D24" s="413" t="s">
        <v>1344</v>
      </c>
      <c r="E24" s="275" t="s">
        <v>60</v>
      </c>
      <c r="F24" s="272">
        <v>25000</v>
      </c>
      <c r="G24" s="271" t="s">
        <v>1334</v>
      </c>
      <c r="H24" s="277" t="s">
        <v>1335</v>
      </c>
    </row>
    <row r="25" spans="2:8">
      <c r="B25" s="276" t="s">
        <v>1030</v>
      </c>
      <c r="C25" s="339"/>
      <c r="D25" s="413" t="s">
        <v>1345</v>
      </c>
      <c r="E25" s="275" t="s">
        <v>58</v>
      </c>
      <c r="F25" s="272">
        <f>12000*1.19</f>
        <v>14280</v>
      </c>
      <c r="G25" s="271" t="s">
        <v>1329</v>
      </c>
      <c r="H25" s="277" t="s">
        <v>1458</v>
      </c>
    </row>
    <row r="26" spans="2:8">
      <c r="B26" s="276" t="s">
        <v>243</v>
      </c>
      <c r="C26" s="339"/>
      <c r="D26" s="414" t="s">
        <v>1539</v>
      </c>
      <c r="E26" s="271" t="s">
        <v>60</v>
      </c>
      <c r="F26" s="272">
        <v>120400</v>
      </c>
      <c r="G26" s="271" t="s">
        <v>1329</v>
      </c>
      <c r="H26" s="277" t="s">
        <v>1458</v>
      </c>
    </row>
    <row r="27" spans="2:8">
      <c r="B27" s="266"/>
      <c r="C27" s="339"/>
      <c r="D27" s="270" t="s">
        <v>71</v>
      </c>
      <c r="E27" s="271" t="s">
        <v>58</v>
      </c>
      <c r="F27" s="272">
        <v>100000</v>
      </c>
      <c r="G27" s="271" t="s">
        <v>1346</v>
      </c>
      <c r="H27" s="277" t="s">
        <v>1458</v>
      </c>
    </row>
    <row r="28" spans="2:8">
      <c r="B28" s="266"/>
      <c r="C28" s="339"/>
      <c r="D28" s="270" t="s">
        <v>72</v>
      </c>
      <c r="E28" s="271" t="s">
        <v>58</v>
      </c>
      <c r="F28" s="272">
        <v>5117</v>
      </c>
      <c r="G28" s="271" t="s">
        <v>1346</v>
      </c>
      <c r="H28" s="277" t="s">
        <v>1458</v>
      </c>
    </row>
    <row r="29" spans="2:8">
      <c r="B29" s="266"/>
      <c r="C29" s="339"/>
      <c r="D29" s="270" t="s">
        <v>73</v>
      </c>
      <c r="E29" s="271" t="s">
        <v>58</v>
      </c>
      <c r="F29" s="272">
        <v>2261</v>
      </c>
      <c r="G29" s="271" t="s">
        <v>1346</v>
      </c>
      <c r="H29" s="277" t="s">
        <v>1458</v>
      </c>
    </row>
    <row r="30" spans="2:8">
      <c r="B30" s="266"/>
      <c r="C30" s="339"/>
      <c r="D30" s="270" t="s">
        <v>254</v>
      </c>
      <c r="E30" s="271" t="s">
        <v>58</v>
      </c>
      <c r="F30" s="272">
        <v>45982</v>
      </c>
      <c r="G30" s="271" t="s">
        <v>1346</v>
      </c>
      <c r="H30" s="277" t="s">
        <v>1458</v>
      </c>
    </row>
    <row r="31" spans="2:8">
      <c r="B31" s="273"/>
      <c r="C31" s="339"/>
      <c r="D31" s="413" t="s">
        <v>255</v>
      </c>
      <c r="E31" s="271" t="s">
        <v>58</v>
      </c>
      <c r="F31" s="272">
        <f>1900*1.19</f>
        <v>2261</v>
      </c>
      <c r="G31" s="271" t="s">
        <v>1346</v>
      </c>
      <c r="H31" s="277" t="s">
        <v>1458</v>
      </c>
    </row>
    <row r="32" spans="2:8">
      <c r="B32" s="266"/>
      <c r="D32" s="413" t="s">
        <v>256</v>
      </c>
      <c r="E32" s="271" t="s">
        <v>58</v>
      </c>
      <c r="F32" s="272">
        <v>15000</v>
      </c>
      <c r="G32" s="271" t="s">
        <v>1346</v>
      </c>
      <c r="H32" s="277" t="s">
        <v>1330</v>
      </c>
    </row>
    <row r="33" spans="2:8">
      <c r="B33" s="266"/>
      <c r="C33" s="417"/>
      <c r="D33" s="413" t="s">
        <v>1560</v>
      </c>
      <c r="E33" s="271" t="s">
        <v>58</v>
      </c>
      <c r="F33" s="272">
        <v>130000</v>
      </c>
      <c r="G33" s="271"/>
      <c r="H33" s="277"/>
    </row>
    <row r="34" spans="2:8" ht="52.8">
      <c r="B34" s="266"/>
      <c r="C34" s="339"/>
      <c r="D34" s="413" t="s">
        <v>580</v>
      </c>
      <c r="E34" s="271" t="s">
        <v>58</v>
      </c>
      <c r="F34" s="272">
        <v>68000</v>
      </c>
      <c r="G34" s="271" t="s">
        <v>1347</v>
      </c>
      <c r="H34" s="277" t="s">
        <v>1540</v>
      </c>
    </row>
    <row r="35" spans="2:8" ht="13.5" customHeight="1">
      <c r="B35" s="266"/>
      <c r="C35" s="339"/>
      <c r="D35" s="413" t="s">
        <v>2394</v>
      </c>
      <c r="E35" s="275" t="s">
        <v>60</v>
      </c>
      <c r="F35" s="272">
        <f>833*1.19</f>
        <v>991.27</v>
      </c>
      <c r="G35" s="271" t="s">
        <v>1346</v>
      </c>
      <c r="H35" s="277" t="s">
        <v>1458</v>
      </c>
    </row>
    <row r="36" spans="2:8" ht="29.25" customHeight="1">
      <c r="B36" s="266"/>
      <c r="C36" s="339"/>
      <c r="D36" s="413" t="s">
        <v>1348</v>
      </c>
      <c r="E36" s="278" t="s">
        <v>998</v>
      </c>
      <c r="F36" s="272">
        <v>37900</v>
      </c>
      <c r="G36" s="271" t="s">
        <v>1016</v>
      </c>
      <c r="H36" s="277" t="s">
        <v>1559</v>
      </c>
    </row>
    <row r="37" spans="2:8" ht="13.5" customHeight="1">
      <c r="B37" s="266"/>
      <c r="D37" s="413" t="s">
        <v>1349</v>
      </c>
      <c r="E37" s="278" t="s">
        <v>998</v>
      </c>
      <c r="F37" s="279">
        <v>76188</v>
      </c>
      <c r="G37" s="280" t="s">
        <v>1004</v>
      </c>
      <c r="H37" s="277" t="s">
        <v>1004</v>
      </c>
    </row>
    <row r="38" spans="2:8" ht="13.5" customHeight="1">
      <c r="B38" s="266"/>
      <c r="D38" s="413" t="s">
        <v>1350</v>
      </c>
      <c r="E38" s="278" t="s">
        <v>998</v>
      </c>
      <c r="F38" s="279">
        <f>144999*1.4</f>
        <v>202998.59999999998</v>
      </c>
      <c r="G38" s="280"/>
      <c r="H38" s="277"/>
    </row>
    <row r="39" spans="2:8" ht="13.5" customHeight="1">
      <c r="B39" s="266"/>
      <c r="C39" s="339"/>
      <c r="D39" s="413" t="s">
        <v>1517</v>
      </c>
      <c r="E39" s="278" t="s">
        <v>998</v>
      </c>
      <c r="F39" s="279">
        <v>199900</v>
      </c>
      <c r="G39" s="271" t="s">
        <v>1016</v>
      </c>
      <c r="H39" s="346" t="s">
        <v>1516</v>
      </c>
    </row>
    <row r="40" spans="2:8" ht="13.5" customHeight="1">
      <c r="B40" s="266"/>
      <c r="D40" s="413" t="s">
        <v>1351</v>
      </c>
      <c r="E40" s="278" t="s">
        <v>998</v>
      </c>
      <c r="F40" s="279">
        <f>34000*1.4</f>
        <v>47600</v>
      </c>
      <c r="G40" s="280"/>
      <c r="H40" s="346"/>
    </row>
    <row r="41" spans="2:8" ht="13.5" customHeight="1">
      <c r="B41" s="266"/>
      <c r="C41" s="457"/>
      <c r="D41" s="413" t="s">
        <v>2395</v>
      </c>
      <c r="E41" s="275" t="s">
        <v>60</v>
      </c>
      <c r="F41" s="279">
        <v>700</v>
      </c>
      <c r="G41" s="271" t="s">
        <v>1346</v>
      </c>
      <c r="H41" s="277" t="s">
        <v>1458</v>
      </c>
    </row>
    <row r="42" spans="2:8" ht="13.5" customHeight="1">
      <c r="B42" s="266"/>
      <c r="C42" s="457"/>
      <c r="D42" s="474" t="s">
        <v>2558</v>
      </c>
      <c r="E42" s="278" t="s">
        <v>58</v>
      </c>
      <c r="F42" s="279">
        <v>48200</v>
      </c>
      <c r="G42" s="475"/>
      <c r="H42" s="346"/>
    </row>
    <row r="43" spans="2:8" ht="13.5" customHeight="1">
      <c r="B43" s="266"/>
      <c r="C43" s="457"/>
      <c r="D43" s="474" t="s">
        <v>2559</v>
      </c>
      <c r="E43" s="278" t="s">
        <v>58</v>
      </c>
      <c r="F43" s="279">
        <v>140000</v>
      </c>
      <c r="G43" s="475"/>
      <c r="H43" s="346"/>
    </row>
    <row r="44" spans="2:8" ht="13.5" customHeight="1">
      <c r="B44" s="266"/>
      <c r="C44" s="457"/>
      <c r="D44" s="474" t="s">
        <v>2560</v>
      </c>
      <c r="E44" s="278" t="s">
        <v>58</v>
      </c>
      <c r="F44" s="279">
        <v>75000</v>
      </c>
      <c r="G44" s="475"/>
      <c r="H44" s="346"/>
    </row>
    <row r="45" spans="2:8" ht="13.5" customHeight="1">
      <c r="B45" s="266"/>
      <c r="C45" s="477"/>
      <c r="D45" s="474" t="s">
        <v>2670</v>
      </c>
      <c r="E45" s="278" t="s">
        <v>60</v>
      </c>
      <c r="F45" s="279">
        <v>40000</v>
      </c>
      <c r="H45" s="478"/>
    </row>
    <row r="46" spans="2:8">
      <c r="B46" s="281"/>
      <c r="C46" s="457"/>
      <c r="D46" s="474" t="s">
        <v>2646</v>
      </c>
      <c r="E46" s="278" t="s">
        <v>2645</v>
      </c>
      <c r="F46" s="279">
        <v>1650</v>
      </c>
      <c r="G46" s="284"/>
      <c r="H46" s="347"/>
    </row>
    <row r="47" spans="2:8">
      <c r="B47" s="281"/>
      <c r="C47" s="329"/>
      <c r="D47" s="284"/>
      <c r="E47" s="282"/>
      <c r="F47" s="283"/>
      <c r="G47" s="284"/>
      <c r="H47" s="347"/>
    </row>
    <row r="48" spans="2:8">
      <c r="B48" s="281"/>
      <c r="C48" s="329"/>
      <c r="D48" s="284"/>
      <c r="E48" s="282"/>
      <c r="F48" s="283"/>
      <c r="G48" s="284"/>
      <c r="H48" s="347"/>
    </row>
    <row r="49" spans="2:8">
      <c r="B49" s="281"/>
      <c r="C49" s="329"/>
      <c r="D49" s="284"/>
      <c r="E49" s="282"/>
      <c r="F49" s="283"/>
      <c r="G49" s="284"/>
      <c r="H49" s="347"/>
    </row>
    <row r="50" spans="2:8">
      <c r="B50" s="281"/>
      <c r="C50" s="329"/>
      <c r="D50" s="284"/>
      <c r="E50" s="282"/>
      <c r="F50" s="283"/>
      <c r="G50" s="284"/>
      <c r="H50" s="347"/>
    </row>
    <row r="51" spans="2:8">
      <c r="B51" s="281"/>
      <c r="C51" s="329"/>
      <c r="D51" s="286"/>
      <c r="E51" s="286"/>
      <c r="F51" s="283"/>
      <c r="G51" s="284"/>
      <c r="H51" s="347"/>
    </row>
    <row r="52" spans="2:8">
      <c r="B52" s="285"/>
      <c r="C52" s="330"/>
      <c r="D52" s="287"/>
      <c r="E52" s="287"/>
      <c r="F52" s="283"/>
      <c r="G52" s="284"/>
      <c r="H52" s="347"/>
    </row>
    <row r="53" spans="2:8">
      <c r="B53" s="281"/>
      <c r="C53" s="329"/>
      <c r="D53" s="286"/>
      <c r="E53" s="286"/>
      <c r="F53" s="283"/>
      <c r="G53" s="284"/>
      <c r="H53" s="347"/>
    </row>
    <row r="54" spans="2:8">
      <c r="B54" s="285"/>
      <c r="C54" s="330"/>
      <c r="D54" s="287"/>
      <c r="E54" s="287"/>
      <c r="F54" s="283"/>
      <c r="G54" s="284"/>
      <c r="H54" s="347"/>
    </row>
    <row r="55" spans="2:8">
      <c r="B55" s="285"/>
      <c r="C55" s="330"/>
      <c r="D55" s="287"/>
      <c r="E55" s="287"/>
      <c r="F55" s="283"/>
      <c r="G55" s="284"/>
      <c r="H55" s="347"/>
    </row>
    <row r="56" spans="2:8">
      <c r="B56" s="285"/>
      <c r="C56" s="330"/>
      <c r="D56" s="287"/>
      <c r="E56" s="287"/>
      <c r="F56" s="283"/>
      <c r="G56" s="284"/>
      <c r="H56" s="347"/>
    </row>
    <row r="57" spans="2:8">
      <c r="B57" s="281"/>
      <c r="C57" s="329"/>
      <c r="D57" s="288"/>
      <c r="E57" s="289"/>
      <c r="F57" s="283"/>
      <c r="G57" s="284"/>
      <c r="H57" s="347"/>
    </row>
    <row r="58" spans="2:8">
      <c r="B58" s="285"/>
      <c r="C58" s="330"/>
      <c r="D58" s="287"/>
      <c r="E58" s="290"/>
      <c r="F58" s="283"/>
      <c r="G58" s="284"/>
      <c r="H58" s="347"/>
    </row>
    <row r="59" spans="2:8" ht="15.6" customHeight="1">
      <c r="B59" s="281"/>
      <c r="C59" s="329"/>
      <c r="D59" s="288"/>
      <c r="E59" s="289"/>
      <c r="F59" s="283"/>
      <c r="G59" s="284"/>
      <c r="H59" s="347"/>
    </row>
    <row r="60" spans="2:8">
      <c r="B60" s="285"/>
      <c r="C60" s="330"/>
      <c r="D60" s="287"/>
      <c r="E60" s="290"/>
      <c r="F60" s="283"/>
      <c r="G60" s="284"/>
      <c r="H60" s="347"/>
    </row>
    <row r="61" spans="2:8">
      <c r="B61" s="291"/>
      <c r="C61" s="331"/>
      <c r="D61" s="288"/>
      <c r="E61" s="289"/>
      <c r="F61" s="292"/>
      <c r="G61" s="284"/>
      <c r="H61" s="347"/>
    </row>
    <row r="62" spans="2:8">
      <c r="B62" s="281"/>
      <c r="C62" s="329"/>
      <c r="D62" s="288"/>
      <c r="E62" s="293"/>
      <c r="F62" s="283"/>
      <c r="G62" s="284"/>
      <c r="H62" s="347"/>
    </row>
    <row r="63" spans="2:8">
      <c r="B63" s="281"/>
      <c r="C63" s="329"/>
      <c r="D63" s="288"/>
      <c r="E63" s="293"/>
      <c r="F63" s="283"/>
      <c r="G63" s="284"/>
      <c r="H63" s="347"/>
    </row>
    <row r="64" spans="2:8">
      <c r="B64" s="281"/>
      <c r="C64" s="329"/>
      <c r="D64" s="288"/>
      <c r="E64" s="293"/>
      <c r="F64" s="283"/>
      <c r="G64" s="284"/>
      <c r="H64" s="347"/>
    </row>
    <row r="65" spans="2:8" ht="19.95" customHeight="1">
      <c r="B65" s="281"/>
      <c r="C65" s="329"/>
      <c r="D65" s="288"/>
      <c r="E65" s="293"/>
      <c r="F65" s="283"/>
      <c r="G65" s="284"/>
      <c r="H65" s="347"/>
    </row>
    <row r="66" spans="2:8">
      <c r="B66" s="285"/>
      <c r="C66" s="330"/>
      <c r="D66" s="288"/>
      <c r="E66" s="293"/>
      <c r="F66" s="283"/>
      <c r="G66" s="284"/>
      <c r="H66" s="347"/>
    </row>
    <row r="67" spans="2:8">
      <c r="B67" s="281"/>
      <c r="C67" s="329"/>
      <c r="D67" s="288"/>
      <c r="E67" s="288"/>
      <c r="F67" s="283"/>
      <c r="G67" s="284"/>
      <c r="H67" s="347"/>
    </row>
    <row r="68" spans="2:8" ht="19.95" customHeight="1">
      <c r="B68" s="281"/>
      <c r="C68" s="329"/>
      <c r="D68" s="288"/>
      <c r="E68" s="288"/>
      <c r="F68" s="283"/>
      <c r="G68" s="284"/>
      <c r="H68" s="347"/>
    </row>
    <row r="69" spans="2:8" ht="18.600000000000001" customHeight="1">
      <c r="B69" s="281"/>
      <c r="C69" s="329"/>
      <c r="D69" s="288"/>
      <c r="E69" s="288"/>
      <c r="F69" s="283"/>
      <c r="G69" s="284"/>
      <c r="H69" s="347"/>
    </row>
    <row r="70" spans="2:8">
      <c r="B70" s="281"/>
      <c r="C70" s="329"/>
      <c r="D70" s="288"/>
      <c r="E70" s="288"/>
      <c r="F70" s="283"/>
      <c r="G70" s="284"/>
      <c r="H70" s="347"/>
    </row>
    <row r="71" spans="2:8">
      <c r="B71" s="281"/>
      <c r="C71" s="329"/>
      <c r="D71" s="288"/>
      <c r="E71" s="288"/>
      <c r="F71" s="283"/>
      <c r="G71" s="284"/>
      <c r="H71" s="347"/>
    </row>
    <row r="72" spans="2:8">
      <c r="B72" s="281"/>
      <c r="C72" s="329"/>
      <c r="D72" s="288"/>
      <c r="E72" s="288"/>
      <c r="F72" s="283"/>
      <c r="G72" s="284"/>
      <c r="H72" s="347"/>
    </row>
    <row r="73" spans="2:8">
      <c r="B73" s="285"/>
      <c r="C73" s="330"/>
      <c r="D73" s="287"/>
      <c r="E73" s="287"/>
      <c r="F73" s="283"/>
      <c r="G73" s="284"/>
      <c r="H73" s="347"/>
    </row>
    <row r="74" spans="2:8">
      <c r="B74" s="285"/>
      <c r="C74" s="330"/>
      <c r="D74" s="287"/>
      <c r="E74" s="287"/>
      <c r="F74" s="283"/>
      <c r="G74" s="284"/>
      <c r="H74" s="347"/>
    </row>
    <row r="75" spans="2:8">
      <c r="B75" s="285"/>
      <c r="C75" s="330"/>
      <c r="D75" s="287"/>
      <c r="E75" s="287"/>
      <c r="F75" s="283"/>
      <c r="G75" s="284"/>
      <c r="H75" s="347"/>
    </row>
    <row r="76" spans="2:8">
      <c r="B76" s="285"/>
      <c r="C76" s="330"/>
      <c r="D76" s="287"/>
      <c r="E76" s="287"/>
      <c r="F76" s="283"/>
      <c r="G76" s="284"/>
      <c r="H76" s="347"/>
    </row>
    <row r="77" spans="2:8">
      <c r="B77" s="285"/>
      <c r="C77" s="330"/>
      <c r="D77" s="287"/>
      <c r="E77" s="287"/>
      <c r="F77" s="283"/>
      <c r="G77" s="284"/>
      <c r="H77" s="347"/>
    </row>
    <row r="78" spans="2:8">
      <c r="B78" s="285"/>
      <c r="C78" s="330"/>
      <c r="D78" s="287"/>
      <c r="E78" s="287"/>
      <c r="F78" s="283"/>
      <c r="G78" s="284"/>
      <c r="H78" s="347"/>
    </row>
    <row r="79" spans="2:8">
      <c r="B79" s="285"/>
      <c r="C79" s="330"/>
      <c r="D79" s="287"/>
      <c r="E79" s="287"/>
      <c r="F79" s="283"/>
      <c r="G79" s="284"/>
      <c r="H79" s="347"/>
    </row>
    <row r="80" spans="2:8">
      <c r="B80" s="285"/>
      <c r="C80" s="330"/>
      <c r="D80" s="287"/>
      <c r="E80" s="287"/>
      <c r="F80" s="283"/>
      <c r="G80" s="284"/>
      <c r="H80" s="347"/>
    </row>
    <row r="81" spans="2:8">
      <c r="B81" s="281"/>
      <c r="C81" s="329"/>
      <c r="D81" s="288"/>
      <c r="E81" s="288"/>
      <c r="F81" s="283"/>
      <c r="G81" s="284"/>
      <c r="H81" s="347"/>
    </row>
    <row r="82" spans="2:8">
      <c r="B82" s="281"/>
      <c r="C82" s="329"/>
      <c r="D82" s="288"/>
      <c r="E82" s="288"/>
      <c r="F82" s="283"/>
      <c r="G82" s="284"/>
      <c r="H82" s="347"/>
    </row>
    <row r="83" spans="2:8">
      <c r="B83" s="281"/>
      <c r="C83" s="329"/>
      <c r="D83" s="288"/>
      <c r="E83" s="288"/>
      <c r="F83" s="283"/>
      <c r="G83" s="284"/>
      <c r="H83" s="347"/>
    </row>
    <row r="84" spans="2:8">
      <c r="B84" s="281"/>
      <c r="C84" s="329"/>
      <c r="D84" s="288"/>
      <c r="E84" s="288"/>
      <c r="F84" s="283"/>
      <c r="G84" s="284"/>
      <c r="H84" s="347"/>
    </row>
    <row r="85" spans="2:8">
      <c r="B85" s="281"/>
      <c r="C85" s="329"/>
      <c r="D85" s="288"/>
      <c r="E85" s="288"/>
      <c r="F85" s="283"/>
      <c r="G85" s="284"/>
      <c r="H85" s="347"/>
    </row>
    <row r="86" spans="2:8">
      <c r="B86" s="281"/>
      <c r="C86" s="329"/>
      <c r="D86" s="288"/>
      <c r="E86" s="288"/>
      <c r="F86" s="283"/>
      <c r="G86" s="284"/>
      <c r="H86" s="347"/>
    </row>
    <row r="87" spans="2:8">
      <c r="B87" s="281"/>
      <c r="C87" s="329"/>
      <c r="D87" s="288"/>
      <c r="E87" s="288"/>
      <c r="F87" s="283"/>
      <c r="G87" s="284"/>
      <c r="H87" s="347"/>
    </row>
    <row r="88" spans="2:8">
      <c r="B88" s="281"/>
      <c r="C88" s="329"/>
      <c r="D88" s="288"/>
      <c r="E88" s="288"/>
      <c r="F88" s="283"/>
      <c r="G88" s="284"/>
      <c r="H88" s="347"/>
    </row>
    <row r="89" spans="2:8">
      <c r="B89" s="281"/>
      <c r="C89" s="329"/>
      <c r="D89" s="288"/>
      <c r="E89" s="288"/>
      <c r="F89" s="283"/>
      <c r="G89" s="284"/>
      <c r="H89" s="347"/>
    </row>
    <row r="90" spans="2:8">
      <c r="B90" s="281"/>
      <c r="C90" s="329"/>
      <c r="D90" s="288"/>
      <c r="E90" s="288"/>
      <c r="F90" s="283"/>
      <c r="G90" s="284"/>
      <c r="H90" s="347"/>
    </row>
    <row r="91" spans="2:8">
      <c r="B91" s="281"/>
      <c r="C91" s="329"/>
      <c r="D91" s="288"/>
      <c r="E91" s="288"/>
      <c r="F91" s="283"/>
      <c r="G91" s="284"/>
      <c r="H91" s="347"/>
    </row>
    <row r="92" spans="2:8">
      <c r="B92" s="281"/>
      <c r="C92" s="329"/>
      <c r="D92" s="288"/>
      <c r="E92" s="288"/>
      <c r="F92" s="283"/>
      <c r="G92" s="284"/>
      <c r="H92" s="347"/>
    </row>
    <row r="93" spans="2:8">
      <c r="B93" s="281"/>
      <c r="C93" s="329"/>
      <c r="D93" s="288"/>
      <c r="E93" s="288"/>
      <c r="F93" s="283"/>
      <c r="G93" s="284"/>
      <c r="H93" s="347"/>
    </row>
    <row r="94" spans="2:8">
      <c r="B94" s="281"/>
      <c r="C94" s="329"/>
      <c r="D94" s="288"/>
      <c r="E94" s="288"/>
      <c r="F94" s="283"/>
      <c r="G94" s="284"/>
      <c r="H94" s="347"/>
    </row>
    <row r="95" spans="2:8" ht="15" customHeight="1">
      <c r="B95" s="281"/>
      <c r="C95" s="329"/>
      <c r="D95" s="288"/>
      <c r="E95" s="288"/>
      <c r="F95" s="283"/>
      <c r="G95" s="284"/>
      <c r="H95" s="347"/>
    </row>
    <row r="96" spans="2:8">
      <c r="B96" s="281"/>
      <c r="C96" s="329"/>
      <c r="D96" s="288"/>
      <c r="E96" s="288"/>
      <c r="F96" s="283"/>
      <c r="G96" s="284"/>
      <c r="H96" s="347"/>
    </row>
    <row r="97" spans="2:8" ht="15.6" customHeight="1">
      <c r="B97" s="281"/>
      <c r="C97" s="329"/>
      <c r="D97" s="288"/>
      <c r="E97" s="288"/>
      <c r="F97" s="283"/>
      <c r="G97" s="284"/>
      <c r="H97" s="347"/>
    </row>
    <row r="98" spans="2:8">
      <c r="B98" s="281"/>
      <c r="C98" s="329"/>
      <c r="D98" s="288"/>
      <c r="E98" s="288"/>
      <c r="F98" s="283"/>
      <c r="G98" s="284"/>
      <c r="H98" s="347"/>
    </row>
    <row r="99" spans="2:8">
      <c r="B99" s="281"/>
      <c r="C99" s="329"/>
      <c r="D99" s="288"/>
      <c r="E99" s="288"/>
      <c r="F99" s="283"/>
      <c r="G99" s="284"/>
      <c r="H99" s="347"/>
    </row>
    <row r="100" spans="2:8">
      <c r="B100" s="285"/>
      <c r="C100" s="330"/>
      <c r="D100" s="288"/>
      <c r="E100" s="288"/>
      <c r="F100" s="283"/>
      <c r="G100" s="284"/>
      <c r="H100" s="347"/>
    </row>
    <row r="101" spans="2:8">
      <c r="B101" s="285"/>
      <c r="C101" s="330"/>
      <c r="D101" s="288"/>
      <c r="E101" s="288"/>
      <c r="F101" s="283"/>
      <c r="G101" s="284"/>
      <c r="H101" s="347"/>
    </row>
    <row r="102" spans="2:8">
      <c r="B102" s="285"/>
      <c r="C102" s="330"/>
      <c r="D102" s="288"/>
      <c r="E102" s="288"/>
      <c r="F102" s="283"/>
      <c r="G102" s="284"/>
      <c r="H102" s="347"/>
    </row>
    <row r="103" spans="2:8">
      <c r="B103" s="285"/>
      <c r="C103" s="330"/>
      <c r="D103" s="288"/>
      <c r="E103" s="288"/>
      <c r="F103" s="283"/>
      <c r="G103" s="284"/>
      <c r="H103" s="347"/>
    </row>
    <row r="104" spans="2:8">
      <c r="B104" s="285"/>
      <c r="C104" s="330"/>
      <c r="D104" s="288"/>
      <c r="E104" s="288"/>
      <c r="F104" s="283"/>
      <c r="G104" s="284"/>
      <c r="H104" s="347"/>
    </row>
    <row r="105" spans="2:8">
      <c r="B105" s="285"/>
      <c r="C105" s="330"/>
      <c r="D105" s="288"/>
      <c r="E105" s="288"/>
      <c r="F105" s="283"/>
      <c r="G105" s="284"/>
      <c r="H105" s="347"/>
    </row>
    <row r="106" spans="2:8">
      <c r="B106" s="285"/>
      <c r="C106" s="330"/>
      <c r="D106" s="288"/>
      <c r="E106" s="288"/>
      <c r="F106" s="283"/>
      <c r="G106" s="284"/>
      <c r="H106" s="347"/>
    </row>
    <row r="107" spans="2:8">
      <c r="B107" s="281"/>
      <c r="C107" s="329"/>
      <c r="D107" s="294"/>
      <c r="E107" s="288"/>
      <c r="F107" s="283"/>
      <c r="G107" s="284"/>
      <c r="H107" s="347"/>
    </row>
    <row r="108" spans="2:8">
      <c r="B108" s="285"/>
      <c r="C108" s="330"/>
      <c r="D108" s="294"/>
      <c r="E108" s="288"/>
      <c r="F108" s="283"/>
      <c r="G108" s="284"/>
      <c r="H108" s="347"/>
    </row>
    <row r="109" spans="2:8">
      <c r="B109" s="281"/>
      <c r="C109" s="329"/>
      <c r="D109" s="294"/>
      <c r="E109" s="288"/>
      <c r="F109" s="283"/>
      <c r="G109" s="284"/>
      <c r="H109" s="347"/>
    </row>
    <row r="110" spans="2:8">
      <c r="B110" s="285"/>
      <c r="C110" s="330"/>
      <c r="D110" s="288"/>
      <c r="E110" s="288"/>
      <c r="F110" s="283"/>
      <c r="G110" s="284"/>
      <c r="H110" s="347"/>
    </row>
    <row r="111" spans="2:8">
      <c r="B111" s="285"/>
      <c r="C111" s="330"/>
      <c r="D111" s="287"/>
      <c r="E111" s="287"/>
      <c r="F111" s="283"/>
      <c r="G111" s="284"/>
      <c r="H111" s="347"/>
    </row>
    <row r="112" spans="2:8">
      <c r="B112" s="285"/>
      <c r="C112" s="330"/>
      <c r="D112" s="287"/>
      <c r="E112" s="287"/>
      <c r="F112" s="283"/>
      <c r="G112" s="284"/>
      <c r="H112" s="347"/>
    </row>
    <row r="113" spans="2:8">
      <c r="B113" s="285"/>
      <c r="C113" s="330"/>
      <c r="D113" s="287"/>
      <c r="E113" s="287"/>
      <c r="F113" s="283"/>
      <c r="G113" s="284"/>
      <c r="H113" s="347"/>
    </row>
    <row r="114" spans="2:8">
      <c r="B114" s="285"/>
      <c r="C114" s="330"/>
      <c r="D114" s="287"/>
      <c r="E114" s="287"/>
      <c r="F114" s="283"/>
      <c r="G114" s="284"/>
      <c r="H114" s="347"/>
    </row>
    <row r="115" spans="2:8">
      <c r="B115" s="285"/>
      <c r="C115" s="330"/>
      <c r="D115" s="287"/>
      <c r="E115" s="287"/>
      <c r="F115" s="283"/>
      <c r="G115" s="284"/>
      <c r="H115" s="347"/>
    </row>
    <row r="116" spans="2:8">
      <c r="B116" s="285"/>
      <c r="C116" s="330"/>
      <c r="D116" s="287"/>
      <c r="E116" s="287"/>
      <c r="F116" s="283"/>
      <c r="G116" s="284"/>
      <c r="H116" s="347"/>
    </row>
    <row r="117" spans="2:8">
      <c r="B117" s="285"/>
      <c r="C117" s="330"/>
      <c r="D117" s="287"/>
      <c r="E117" s="287"/>
      <c r="F117" s="283"/>
      <c r="G117" s="284"/>
      <c r="H117" s="347"/>
    </row>
    <row r="118" spans="2:8">
      <c r="B118" s="285"/>
      <c r="C118" s="330"/>
      <c r="D118" s="287"/>
      <c r="E118" s="287"/>
      <c r="F118" s="283"/>
      <c r="G118" s="284"/>
      <c r="H118" s="347"/>
    </row>
    <row r="119" spans="2:8">
      <c r="B119" s="285"/>
      <c r="C119" s="330"/>
      <c r="D119" s="287"/>
      <c r="E119" s="287"/>
      <c r="F119" s="283"/>
      <c r="G119" s="284"/>
      <c r="H119" s="347"/>
    </row>
    <row r="120" spans="2:8">
      <c r="B120" s="285"/>
      <c r="C120" s="330"/>
      <c r="D120" s="287"/>
      <c r="E120" s="287"/>
      <c r="F120" s="283"/>
      <c r="G120" s="284"/>
      <c r="H120" s="347"/>
    </row>
    <row r="121" spans="2:8">
      <c r="B121" s="285"/>
      <c r="C121" s="330"/>
      <c r="D121" s="287"/>
      <c r="E121" s="287"/>
      <c r="F121" s="283"/>
      <c r="G121" s="284"/>
      <c r="H121" s="347"/>
    </row>
    <row r="122" spans="2:8">
      <c r="B122" s="285"/>
      <c r="C122" s="330"/>
      <c r="D122" s="287"/>
      <c r="E122" s="287"/>
      <c r="F122" s="283"/>
      <c r="G122" s="284"/>
      <c r="H122" s="347"/>
    </row>
    <row r="123" spans="2:8">
      <c r="B123" s="285"/>
      <c r="C123" s="330"/>
      <c r="D123" s="287"/>
      <c r="E123" s="287"/>
      <c r="F123" s="283"/>
      <c r="G123" s="284"/>
      <c r="H123" s="347"/>
    </row>
    <row r="124" spans="2:8">
      <c r="B124" s="285"/>
      <c r="C124" s="330"/>
      <c r="D124" s="287"/>
      <c r="E124" s="287"/>
      <c r="F124" s="283"/>
      <c r="G124" s="284"/>
      <c r="H124" s="347"/>
    </row>
    <row r="125" spans="2:8">
      <c r="B125" s="285"/>
      <c r="C125" s="330"/>
      <c r="D125" s="287"/>
      <c r="E125" s="287"/>
      <c r="F125" s="283"/>
      <c r="G125" s="284"/>
      <c r="H125" s="347"/>
    </row>
    <row r="126" spans="2:8">
      <c r="B126" s="285"/>
      <c r="C126" s="330"/>
      <c r="D126" s="287"/>
      <c r="E126" s="287"/>
      <c r="F126" s="283"/>
      <c r="G126" s="284"/>
      <c r="H126" s="347"/>
    </row>
    <row r="127" spans="2:8">
      <c r="B127" s="285"/>
      <c r="C127" s="330"/>
      <c r="D127" s="287"/>
      <c r="E127" s="287"/>
      <c r="F127" s="283"/>
      <c r="G127" s="284"/>
      <c r="H127" s="347"/>
    </row>
    <row r="128" spans="2:8">
      <c r="B128" s="285"/>
      <c r="C128" s="330"/>
      <c r="D128" s="287"/>
      <c r="E128" s="287"/>
      <c r="F128" s="283"/>
      <c r="G128" s="284"/>
      <c r="H128" s="347"/>
    </row>
    <row r="129" spans="2:8">
      <c r="B129" s="285"/>
      <c r="C129" s="330"/>
      <c r="D129" s="287"/>
      <c r="E129" s="287"/>
      <c r="F129" s="283"/>
      <c r="G129" s="284"/>
      <c r="H129" s="347"/>
    </row>
    <row r="130" spans="2:8">
      <c r="B130" s="285"/>
      <c r="C130" s="330"/>
      <c r="D130" s="287"/>
      <c r="E130" s="287"/>
      <c r="F130" s="283"/>
      <c r="G130" s="284"/>
      <c r="H130" s="347"/>
    </row>
    <row r="131" spans="2:8">
      <c r="B131" s="285"/>
      <c r="C131" s="330"/>
      <c r="D131" s="287"/>
      <c r="E131" s="287"/>
      <c r="F131" s="283"/>
      <c r="G131" s="284"/>
      <c r="H131" s="347"/>
    </row>
    <row r="132" spans="2:8">
      <c r="B132" s="285"/>
      <c r="C132" s="330"/>
      <c r="D132" s="287"/>
      <c r="E132" s="287"/>
      <c r="F132" s="283"/>
      <c r="G132" s="284"/>
      <c r="H132" s="347"/>
    </row>
    <row r="133" spans="2:8">
      <c r="B133" s="285"/>
      <c r="C133" s="330"/>
      <c r="D133" s="287"/>
      <c r="E133" s="287"/>
      <c r="F133" s="283"/>
      <c r="G133" s="284"/>
      <c r="H133" s="347"/>
    </row>
    <row r="134" spans="2:8">
      <c r="B134" s="285"/>
      <c r="C134" s="330"/>
      <c r="D134" s="287"/>
      <c r="E134" s="287"/>
      <c r="F134" s="283"/>
      <c r="G134" s="284"/>
      <c r="H134" s="347"/>
    </row>
    <row r="135" spans="2:8">
      <c r="B135" s="285"/>
      <c r="C135" s="330"/>
      <c r="D135" s="287"/>
      <c r="E135" s="287"/>
      <c r="F135" s="283"/>
      <c r="G135" s="284"/>
      <c r="H135" s="347"/>
    </row>
    <row r="136" spans="2:8">
      <c r="B136" s="285"/>
      <c r="C136" s="330"/>
      <c r="D136" s="287"/>
      <c r="E136" s="287"/>
      <c r="F136" s="283"/>
      <c r="G136" s="284"/>
      <c r="H136" s="347"/>
    </row>
    <row r="137" spans="2:8">
      <c r="B137" s="285"/>
      <c r="C137" s="330"/>
      <c r="D137" s="287"/>
      <c r="E137" s="287"/>
      <c r="F137" s="283"/>
      <c r="G137" s="284"/>
      <c r="H137" s="347"/>
    </row>
    <row r="138" spans="2:8">
      <c r="B138" s="285"/>
      <c r="C138" s="330"/>
      <c r="D138" s="287"/>
      <c r="E138" s="287"/>
      <c r="F138" s="283"/>
      <c r="G138" s="284"/>
      <c r="H138" s="347"/>
    </row>
    <row r="139" spans="2:8">
      <c r="B139" s="285"/>
      <c r="C139" s="330"/>
      <c r="D139" s="287"/>
      <c r="E139" s="287"/>
      <c r="F139" s="283"/>
      <c r="G139" s="284"/>
      <c r="H139" s="347"/>
    </row>
    <row r="140" spans="2:8">
      <c r="B140" s="285"/>
      <c r="C140" s="330"/>
      <c r="D140" s="287"/>
      <c r="E140" s="287"/>
      <c r="F140" s="283"/>
      <c r="G140" s="284"/>
      <c r="H140" s="347"/>
    </row>
    <row r="141" spans="2:8">
      <c r="B141" s="285"/>
      <c r="C141" s="330"/>
      <c r="D141" s="287"/>
      <c r="E141" s="287"/>
      <c r="F141" s="283"/>
      <c r="G141" s="284"/>
      <c r="H141" s="347"/>
    </row>
    <row r="142" spans="2:8">
      <c r="B142" s="285"/>
      <c r="C142" s="330"/>
      <c r="D142" s="287"/>
      <c r="E142" s="287"/>
      <c r="F142" s="283"/>
      <c r="G142" s="284"/>
      <c r="H142" s="347"/>
    </row>
    <row r="143" spans="2:8">
      <c r="B143" s="285"/>
      <c r="C143" s="330"/>
      <c r="D143" s="287"/>
      <c r="E143" s="287"/>
      <c r="F143" s="283"/>
      <c r="G143" s="284"/>
      <c r="H143" s="347"/>
    </row>
    <row r="144" spans="2:8">
      <c r="B144" s="285"/>
      <c r="C144" s="330"/>
      <c r="D144" s="287"/>
      <c r="E144" s="287"/>
      <c r="F144" s="283"/>
      <c r="G144" s="284"/>
      <c r="H144" s="347"/>
    </row>
    <row r="145" spans="2:8">
      <c r="B145" s="285"/>
      <c r="C145" s="330"/>
      <c r="D145" s="287"/>
      <c r="E145" s="287"/>
      <c r="F145" s="283"/>
      <c r="G145" s="284"/>
      <c r="H145" s="347"/>
    </row>
    <row r="146" spans="2:8">
      <c r="B146" s="285"/>
      <c r="C146" s="330"/>
      <c r="D146" s="287"/>
      <c r="E146" s="287"/>
      <c r="F146" s="283"/>
      <c r="G146" s="284"/>
      <c r="H146" s="347"/>
    </row>
    <row r="147" spans="2:8">
      <c r="B147" s="285"/>
      <c r="C147" s="330"/>
      <c r="D147" s="287"/>
      <c r="E147" s="287"/>
      <c r="F147" s="283"/>
      <c r="G147" s="284"/>
      <c r="H147" s="347"/>
    </row>
    <row r="148" spans="2:8">
      <c r="B148" s="285"/>
      <c r="C148" s="330"/>
      <c r="D148" s="287"/>
      <c r="E148" s="287"/>
      <c r="F148" s="283"/>
      <c r="G148" s="284"/>
      <c r="H148" s="347"/>
    </row>
    <row r="149" spans="2:8">
      <c r="B149" s="285"/>
      <c r="C149" s="330"/>
      <c r="D149" s="287"/>
      <c r="E149" s="287"/>
      <c r="F149" s="283"/>
      <c r="G149" s="284"/>
      <c r="H149" s="347"/>
    </row>
    <row r="150" spans="2:8">
      <c r="B150" s="285"/>
      <c r="C150" s="330"/>
      <c r="D150" s="287"/>
      <c r="E150" s="287"/>
      <c r="F150" s="283"/>
      <c r="G150" s="284"/>
      <c r="H150" s="347"/>
    </row>
    <row r="151" spans="2:8">
      <c r="B151" s="285"/>
      <c r="C151" s="330"/>
      <c r="D151" s="287"/>
      <c r="E151" s="287"/>
      <c r="F151" s="283"/>
      <c r="G151" s="284"/>
      <c r="H151" s="347"/>
    </row>
    <row r="152" spans="2:8">
      <c r="B152" s="285"/>
      <c r="C152" s="330"/>
      <c r="D152" s="287"/>
      <c r="E152" s="287"/>
      <c r="F152" s="283"/>
      <c r="G152" s="284"/>
      <c r="H152" s="347"/>
    </row>
    <row r="153" spans="2:8">
      <c r="B153" s="285"/>
      <c r="C153" s="330"/>
      <c r="D153" s="287"/>
      <c r="E153" s="287"/>
      <c r="F153" s="283"/>
      <c r="G153" s="284"/>
      <c r="H153" s="347"/>
    </row>
    <row r="154" spans="2:8">
      <c r="B154" s="285"/>
      <c r="C154" s="330"/>
      <c r="D154" s="287"/>
      <c r="E154" s="287"/>
      <c r="F154" s="283"/>
      <c r="G154" s="284"/>
      <c r="H154" s="347"/>
    </row>
    <row r="155" spans="2:8">
      <c r="B155" s="285"/>
      <c r="C155" s="330"/>
      <c r="D155" s="287"/>
      <c r="E155" s="287"/>
      <c r="F155" s="283"/>
      <c r="G155" s="284"/>
      <c r="H155" s="347"/>
    </row>
    <row r="156" spans="2:8">
      <c r="B156" s="285"/>
      <c r="C156" s="330"/>
      <c r="D156" s="287"/>
      <c r="E156" s="287"/>
      <c r="F156" s="283"/>
      <c r="G156" s="284"/>
      <c r="H156" s="347"/>
    </row>
    <row r="157" spans="2:8">
      <c r="B157" s="285"/>
      <c r="C157" s="330"/>
      <c r="D157" s="288"/>
      <c r="E157" s="287"/>
      <c r="F157" s="283"/>
      <c r="G157" s="284"/>
      <c r="H157" s="347"/>
    </row>
    <row r="158" spans="2:8">
      <c r="B158" s="281"/>
      <c r="C158" s="329"/>
      <c r="D158" s="288"/>
      <c r="E158" s="288"/>
      <c r="F158" s="283"/>
      <c r="G158" s="284"/>
      <c r="H158" s="347"/>
    </row>
    <row r="159" spans="2:8">
      <c r="B159" s="281"/>
      <c r="C159" s="329"/>
      <c r="D159" s="288"/>
      <c r="E159" s="287"/>
      <c r="F159" s="283"/>
      <c r="G159" s="284"/>
      <c r="H159" s="347"/>
    </row>
    <row r="160" spans="2:8">
      <c r="B160" s="281"/>
      <c r="C160" s="329"/>
      <c r="D160" s="288"/>
      <c r="E160" s="288"/>
      <c r="F160" s="283"/>
      <c r="G160" s="284"/>
      <c r="H160" s="347"/>
    </row>
    <row r="161" spans="2:8">
      <c r="B161" s="281"/>
      <c r="C161" s="329"/>
      <c r="D161" s="288"/>
      <c r="E161" s="288"/>
      <c r="F161" s="283"/>
      <c r="G161" s="284"/>
      <c r="H161" s="347"/>
    </row>
    <row r="162" spans="2:8">
      <c r="B162" s="281"/>
      <c r="C162" s="329"/>
      <c r="D162" s="288"/>
      <c r="E162" s="288"/>
      <c r="F162" s="283"/>
      <c r="G162" s="284"/>
      <c r="H162" s="347"/>
    </row>
    <row r="163" spans="2:8" ht="17.399999999999999" customHeight="1">
      <c r="B163" s="281"/>
      <c r="C163" s="329"/>
      <c r="D163" s="288"/>
      <c r="E163" s="288"/>
      <c r="F163" s="283"/>
      <c r="G163" s="284"/>
      <c r="H163" s="347"/>
    </row>
    <row r="164" spans="2:8">
      <c r="B164" s="281"/>
      <c r="C164" s="329"/>
      <c r="D164" s="288"/>
      <c r="E164" s="288"/>
      <c r="F164" s="283"/>
      <c r="G164" s="284"/>
      <c r="H164" s="347"/>
    </row>
    <row r="165" spans="2:8">
      <c r="B165" s="281"/>
      <c r="C165" s="329"/>
      <c r="D165" s="288"/>
      <c r="E165" s="288"/>
      <c r="F165" s="283"/>
      <c r="G165" s="284"/>
      <c r="H165" s="347"/>
    </row>
    <row r="166" spans="2:8">
      <c r="B166" s="285"/>
      <c r="C166" s="330"/>
      <c r="D166" s="287"/>
      <c r="E166" s="287"/>
      <c r="F166" s="283"/>
      <c r="G166" s="284"/>
      <c r="H166" s="347"/>
    </row>
    <row r="167" spans="2:8">
      <c r="B167" s="285"/>
      <c r="C167" s="330"/>
      <c r="D167" s="294"/>
      <c r="E167" s="288"/>
      <c r="F167" s="283"/>
      <c r="G167" s="284"/>
      <c r="H167" s="347"/>
    </row>
    <row r="168" spans="2:8">
      <c r="B168" s="285"/>
      <c r="C168" s="330"/>
      <c r="D168" s="287"/>
      <c r="E168" s="287"/>
      <c r="F168" s="283"/>
      <c r="G168" s="284"/>
      <c r="H168" s="347"/>
    </row>
    <row r="169" spans="2:8">
      <c r="B169" s="281"/>
      <c r="C169" s="329"/>
      <c r="D169" s="288"/>
      <c r="E169" s="288"/>
      <c r="F169" s="283"/>
      <c r="G169" s="284"/>
      <c r="H169" s="347"/>
    </row>
    <row r="170" spans="2:8">
      <c r="B170" s="281"/>
      <c r="C170" s="329"/>
      <c r="D170" s="288"/>
      <c r="E170" s="293"/>
      <c r="F170" s="283"/>
      <c r="G170" s="284"/>
      <c r="H170" s="347"/>
    </row>
    <row r="171" spans="2:8">
      <c r="B171" s="285"/>
      <c r="C171" s="330"/>
      <c r="D171" s="287"/>
      <c r="E171" s="293"/>
      <c r="F171" s="283"/>
      <c r="G171" s="295"/>
      <c r="H171" s="347"/>
    </row>
    <row r="172" spans="2:8">
      <c r="B172" s="281"/>
      <c r="C172" s="329"/>
      <c r="D172" s="288"/>
      <c r="E172" s="293"/>
      <c r="F172" s="283"/>
      <c r="G172" s="284"/>
      <c r="H172" s="347"/>
    </row>
    <row r="173" spans="2:8">
      <c r="B173" s="281"/>
      <c r="C173" s="329"/>
      <c r="D173" s="288"/>
      <c r="E173" s="293"/>
      <c r="F173" s="283"/>
      <c r="G173" s="284"/>
      <c r="H173" s="347"/>
    </row>
    <row r="174" spans="2:8">
      <c r="B174" s="281"/>
      <c r="C174" s="329"/>
      <c r="D174" s="288"/>
      <c r="E174" s="293"/>
      <c r="F174" s="283"/>
      <c r="G174" s="284"/>
      <c r="H174" s="347"/>
    </row>
    <row r="175" spans="2:8">
      <c r="B175" s="285"/>
      <c r="C175" s="330"/>
      <c r="D175" s="288"/>
      <c r="E175" s="293"/>
      <c r="F175" s="283"/>
      <c r="G175" s="284"/>
      <c r="H175" s="347"/>
    </row>
    <row r="176" spans="2:8">
      <c r="B176" s="281"/>
      <c r="C176" s="329"/>
      <c r="D176" s="288"/>
      <c r="E176" s="293"/>
      <c r="F176" s="283"/>
      <c r="G176" s="284"/>
      <c r="H176" s="347"/>
    </row>
    <row r="177" spans="2:8" ht="16.95" customHeight="1">
      <c r="B177" s="281"/>
      <c r="C177" s="329"/>
      <c r="D177" s="288"/>
      <c r="E177" s="293"/>
      <c r="F177" s="283"/>
      <c r="G177" s="284"/>
      <c r="H177" s="347"/>
    </row>
    <row r="178" spans="2:8">
      <c r="B178" s="285"/>
      <c r="C178" s="330"/>
      <c r="D178" s="288"/>
      <c r="E178" s="293"/>
      <c r="F178" s="283"/>
      <c r="G178" s="284"/>
      <c r="H178" s="347"/>
    </row>
    <row r="179" spans="2:8">
      <c r="B179" s="285"/>
      <c r="C179" s="330"/>
      <c r="D179" s="288"/>
      <c r="E179" s="293"/>
      <c r="F179" s="283"/>
      <c r="G179" s="284"/>
      <c r="H179" s="347"/>
    </row>
    <row r="180" spans="2:8">
      <c r="B180" s="281"/>
      <c r="C180" s="329"/>
      <c r="D180" s="288"/>
      <c r="E180" s="293"/>
      <c r="F180" s="283"/>
      <c r="G180" s="284"/>
      <c r="H180" s="347"/>
    </row>
    <row r="181" spans="2:8">
      <c r="B181" s="281"/>
      <c r="C181" s="329"/>
      <c r="D181" s="288"/>
      <c r="E181" s="293"/>
      <c r="F181" s="292"/>
      <c r="G181" s="284"/>
      <c r="H181" s="348"/>
    </row>
    <row r="182" spans="2:8">
      <c r="B182" s="281"/>
      <c r="C182" s="329"/>
      <c r="D182" s="288"/>
      <c r="E182" s="288"/>
      <c r="F182" s="283"/>
      <c r="G182" s="284"/>
      <c r="H182" s="348"/>
    </row>
    <row r="183" spans="2:8">
      <c r="B183" s="281"/>
      <c r="C183" s="329"/>
      <c r="D183" s="288"/>
      <c r="E183" s="288"/>
      <c r="F183" s="283"/>
      <c r="G183" s="284"/>
      <c r="H183" s="348"/>
    </row>
    <row r="184" spans="2:8">
      <c r="B184" s="281"/>
      <c r="C184" s="329"/>
      <c r="D184" s="288"/>
      <c r="E184" s="288"/>
      <c r="F184" s="283"/>
      <c r="G184" s="284"/>
      <c r="H184" s="348"/>
    </row>
    <row r="185" spans="2:8">
      <c r="B185" s="281"/>
      <c r="C185" s="329"/>
      <c r="D185" s="288"/>
      <c r="E185" s="288"/>
      <c r="F185" s="296"/>
      <c r="G185" s="284"/>
      <c r="H185" s="348"/>
    </row>
    <row r="186" spans="2:8">
      <c r="B186" s="297"/>
      <c r="C186" s="332"/>
      <c r="D186" s="298"/>
      <c r="E186" s="298"/>
      <c r="F186" s="296"/>
      <c r="G186" s="298"/>
      <c r="H186" s="348"/>
    </row>
    <row r="187" spans="2:8" ht="14.4" thickBot="1">
      <c r="B187" s="299"/>
      <c r="C187" s="333"/>
      <c r="D187" s="300"/>
      <c r="E187" s="300"/>
      <c r="F187" s="301"/>
      <c r="G187" s="300"/>
      <c r="H187" s="349"/>
    </row>
  </sheetData>
  <autoFilter ref="B3:H40" xr:uid="{00000000-0009-0000-0000-000017000000}"/>
  <hyperlinks>
    <hyperlink ref="H34" r:id="rId1" location="position=2&amp;search_layout=stack&amp;type=item&amp;tracking_id=22f4822c-c10c-4e6b-9e62-061720226038 " xr:uid="{00000000-0004-0000-1700-000000000000}"/>
    <hyperlink ref="H36" r:id="rId2" xr:uid="{00000000-0004-0000-1700-000001000000}"/>
  </hyperlinks>
  <pageMargins left="0.7" right="0.7" top="0.75" bottom="0.75" header="0.3" footer="0.3"/>
  <pageSetup paperSize="9" orientation="portrait" horizontalDpi="0" verticalDpi="0"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0000"/>
  </sheetPr>
  <dimension ref="A1:G176"/>
  <sheetViews>
    <sheetView topLeftCell="A7" workbookViewId="0">
      <selection activeCell="H122" sqref="H122:I127"/>
    </sheetView>
  </sheetViews>
  <sheetFormatPr baseColWidth="10" defaultColWidth="10.6640625" defaultRowHeight="13.2"/>
  <cols>
    <col min="1" max="1" width="19.6640625" style="351" bestFit="1" customWidth="1"/>
    <col min="2" max="2" width="11.5546875" style="351" bestFit="1" customWidth="1"/>
    <col min="3" max="3" width="15.109375" style="351" bestFit="1" customWidth="1"/>
    <col min="4" max="4" width="13.5546875" style="351" bestFit="1" customWidth="1"/>
    <col min="5" max="5" width="16.5546875" style="351" bestFit="1" customWidth="1"/>
    <col min="6" max="6" width="13.5546875" style="351" bestFit="1" customWidth="1"/>
    <col min="7" max="7" width="15.109375" style="391" bestFit="1" customWidth="1"/>
    <col min="8" max="248" width="11.44140625" style="351"/>
    <col min="249" max="249" width="17.33203125" style="351" customWidth="1"/>
    <col min="250" max="250" width="8" style="351" customWidth="1"/>
    <col min="251" max="251" width="9.44140625" style="351" customWidth="1"/>
    <col min="252" max="252" width="11.33203125" style="351" customWidth="1"/>
    <col min="253" max="254" width="13" style="351" customWidth="1"/>
    <col min="255" max="255" width="14.6640625" style="351" customWidth="1"/>
    <col min="256" max="504" width="11.44140625" style="351"/>
    <col min="505" max="505" width="17.33203125" style="351" customWidth="1"/>
    <col min="506" max="506" width="8" style="351" customWidth="1"/>
    <col min="507" max="507" width="9.44140625" style="351" customWidth="1"/>
    <col min="508" max="508" width="11.33203125" style="351" customWidth="1"/>
    <col min="509" max="510" width="13" style="351" customWidth="1"/>
    <col min="511" max="511" width="14.6640625" style="351" customWidth="1"/>
    <col min="512" max="760" width="11.44140625" style="351"/>
    <col min="761" max="761" width="17.33203125" style="351" customWidth="1"/>
    <col min="762" max="762" width="8" style="351" customWidth="1"/>
    <col min="763" max="763" width="9.44140625" style="351" customWidth="1"/>
    <col min="764" max="764" width="11.33203125" style="351" customWidth="1"/>
    <col min="765" max="766" width="13" style="351" customWidth="1"/>
    <col min="767" max="767" width="14.6640625" style="351" customWidth="1"/>
    <col min="768" max="1016" width="11.44140625" style="351"/>
    <col min="1017" max="1017" width="17.33203125" style="351" customWidth="1"/>
    <col min="1018" max="1018" width="8" style="351" customWidth="1"/>
    <col min="1019" max="1019" width="9.44140625" style="351" customWidth="1"/>
    <col min="1020" max="1020" width="11.33203125" style="351" customWidth="1"/>
    <col min="1021" max="1022" width="13" style="351" customWidth="1"/>
    <col min="1023" max="1023" width="14.6640625" style="351" customWidth="1"/>
    <col min="1024" max="1272" width="11.44140625" style="351"/>
    <col min="1273" max="1273" width="17.33203125" style="351" customWidth="1"/>
    <col min="1274" max="1274" width="8" style="351" customWidth="1"/>
    <col min="1275" max="1275" width="9.44140625" style="351" customWidth="1"/>
    <col min="1276" max="1276" width="11.33203125" style="351" customWidth="1"/>
    <col min="1277" max="1278" width="13" style="351" customWidth="1"/>
    <col min="1279" max="1279" width="14.6640625" style="351" customWidth="1"/>
    <col min="1280" max="1528" width="11.44140625" style="351"/>
    <col min="1529" max="1529" width="17.33203125" style="351" customWidth="1"/>
    <col min="1530" max="1530" width="8" style="351" customWidth="1"/>
    <col min="1531" max="1531" width="9.44140625" style="351" customWidth="1"/>
    <col min="1532" max="1532" width="11.33203125" style="351" customWidth="1"/>
    <col min="1533" max="1534" width="13" style="351" customWidth="1"/>
    <col min="1535" max="1535" width="14.6640625" style="351" customWidth="1"/>
    <col min="1536" max="1784" width="11.44140625" style="351"/>
    <col min="1785" max="1785" width="17.33203125" style="351" customWidth="1"/>
    <col min="1786" max="1786" width="8" style="351" customWidth="1"/>
    <col min="1787" max="1787" width="9.44140625" style="351" customWidth="1"/>
    <col min="1788" max="1788" width="11.33203125" style="351" customWidth="1"/>
    <col min="1789" max="1790" width="13" style="351" customWidth="1"/>
    <col min="1791" max="1791" width="14.6640625" style="351" customWidth="1"/>
    <col min="1792" max="2040" width="11.44140625" style="351"/>
    <col min="2041" max="2041" width="17.33203125" style="351" customWidth="1"/>
    <col min="2042" max="2042" width="8" style="351" customWidth="1"/>
    <col min="2043" max="2043" width="9.44140625" style="351" customWidth="1"/>
    <col min="2044" max="2044" width="11.33203125" style="351" customWidth="1"/>
    <col min="2045" max="2046" width="13" style="351" customWidth="1"/>
    <col min="2047" max="2047" width="14.6640625" style="351" customWidth="1"/>
    <col min="2048" max="2296" width="11.44140625" style="351"/>
    <col min="2297" max="2297" width="17.33203125" style="351" customWidth="1"/>
    <col min="2298" max="2298" width="8" style="351" customWidth="1"/>
    <col min="2299" max="2299" width="9.44140625" style="351" customWidth="1"/>
    <col min="2300" max="2300" width="11.33203125" style="351" customWidth="1"/>
    <col min="2301" max="2302" width="13" style="351" customWidth="1"/>
    <col min="2303" max="2303" width="14.6640625" style="351" customWidth="1"/>
    <col min="2304" max="2552" width="11.44140625" style="351"/>
    <col min="2553" max="2553" width="17.33203125" style="351" customWidth="1"/>
    <col min="2554" max="2554" width="8" style="351" customWidth="1"/>
    <col min="2555" max="2555" width="9.44140625" style="351" customWidth="1"/>
    <col min="2556" max="2556" width="11.33203125" style="351" customWidth="1"/>
    <col min="2557" max="2558" width="13" style="351" customWidth="1"/>
    <col min="2559" max="2559" width="14.6640625" style="351" customWidth="1"/>
    <col min="2560" max="2808" width="11.44140625" style="351"/>
    <col min="2809" max="2809" width="17.33203125" style="351" customWidth="1"/>
    <col min="2810" max="2810" width="8" style="351" customWidth="1"/>
    <col min="2811" max="2811" width="9.44140625" style="351" customWidth="1"/>
    <col min="2812" max="2812" width="11.33203125" style="351" customWidth="1"/>
    <col min="2813" max="2814" width="13" style="351" customWidth="1"/>
    <col min="2815" max="2815" width="14.6640625" style="351" customWidth="1"/>
    <col min="2816" max="3064" width="11.44140625" style="351"/>
    <col min="3065" max="3065" width="17.33203125" style="351" customWidth="1"/>
    <col min="3066" max="3066" width="8" style="351" customWidth="1"/>
    <col min="3067" max="3067" width="9.44140625" style="351" customWidth="1"/>
    <col min="3068" max="3068" width="11.33203125" style="351" customWidth="1"/>
    <col min="3069" max="3070" width="13" style="351" customWidth="1"/>
    <col min="3071" max="3071" width="14.6640625" style="351" customWidth="1"/>
    <col min="3072" max="3320" width="11.44140625" style="351"/>
    <col min="3321" max="3321" width="17.33203125" style="351" customWidth="1"/>
    <col min="3322" max="3322" width="8" style="351" customWidth="1"/>
    <col min="3323" max="3323" width="9.44140625" style="351" customWidth="1"/>
    <col min="3324" max="3324" width="11.33203125" style="351" customWidth="1"/>
    <col min="3325" max="3326" width="13" style="351" customWidth="1"/>
    <col min="3327" max="3327" width="14.6640625" style="351" customWidth="1"/>
    <col min="3328" max="3576" width="11.44140625" style="351"/>
    <col min="3577" max="3577" width="17.33203125" style="351" customWidth="1"/>
    <col min="3578" max="3578" width="8" style="351" customWidth="1"/>
    <col min="3579" max="3579" width="9.44140625" style="351" customWidth="1"/>
    <col min="3580" max="3580" width="11.33203125" style="351" customWidth="1"/>
    <col min="3581" max="3582" width="13" style="351" customWidth="1"/>
    <col min="3583" max="3583" width="14.6640625" style="351" customWidth="1"/>
    <col min="3584" max="3832" width="11.44140625" style="351"/>
    <col min="3833" max="3833" width="17.33203125" style="351" customWidth="1"/>
    <col min="3834" max="3834" width="8" style="351" customWidth="1"/>
    <col min="3835" max="3835" width="9.44140625" style="351" customWidth="1"/>
    <col min="3836" max="3836" width="11.33203125" style="351" customWidth="1"/>
    <col min="3837" max="3838" width="13" style="351" customWidth="1"/>
    <col min="3839" max="3839" width="14.6640625" style="351" customWidth="1"/>
    <col min="3840" max="4088" width="11.44140625" style="351"/>
    <col min="4089" max="4089" width="17.33203125" style="351" customWidth="1"/>
    <col min="4090" max="4090" width="8" style="351" customWidth="1"/>
    <col min="4091" max="4091" width="9.44140625" style="351" customWidth="1"/>
    <col min="4092" max="4092" width="11.33203125" style="351" customWidth="1"/>
    <col min="4093" max="4094" width="13" style="351" customWidth="1"/>
    <col min="4095" max="4095" width="14.6640625" style="351" customWidth="1"/>
    <col min="4096" max="4344" width="11.44140625" style="351"/>
    <col min="4345" max="4345" width="17.33203125" style="351" customWidth="1"/>
    <col min="4346" max="4346" width="8" style="351" customWidth="1"/>
    <col min="4347" max="4347" width="9.44140625" style="351" customWidth="1"/>
    <col min="4348" max="4348" width="11.33203125" style="351" customWidth="1"/>
    <col min="4349" max="4350" width="13" style="351" customWidth="1"/>
    <col min="4351" max="4351" width="14.6640625" style="351" customWidth="1"/>
    <col min="4352" max="4600" width="11.44140625" style="351"/>
    <col min="4601" max="4601" width="17.33203125" style="351" customWidth="1"/>
    <col min="4602" max="4602" width="8" style="351" customWidth="1"/>
    <col min="4603" max="4603" width="9.44140625" style="351" customWidth="1"/>
    <col min="4604" max="4604" width="11.33203125" style="351" customWidth="1"/>
    <col min="4605" max="4606" width="13" style="351" customWidth="1"/>
    <col min="4607" max="4607" width="14.6640625" style="351" customWidth="1"/>
    <col min="4608" max="4856" width="11.44140625" style="351"/>
    <col min="4857" max="4857" width="17.33203125" style="351" customWidth="1"/>
    <col min="4858" max="4858" width="8" style="351" customWidth="1"/>
    <col min="4859" max="4859" width="9.44140625" style="351" customWidth="1"/>
    <col min="4860" max="4860" width="11.33203125" style="351" customWidth="1"/>
    <col min="4861" max="4862" width="13" style="351" customWidth="1"/>
    <col min="4863" max="4863" width="14.6640625" style="351" customWidth="1"/>
    <col min="4864" max="5112" width="11.44140625" style="351"/>
    <col min="5113" max="5113" width="17.33203125" style="351" customWidth="1"/>
    <col min="5114" max="5114" width="8" style="351" customWidth="1"/>
    <col min="5115" max="5115" width="9.44140625" style="351" customWidth="1"/>
    <col min="5116" max="5116" width="11.33203125" style="351" customWidth="1"/>
    <col min="5117" max="5118" width="13" style="351" customWidth="1"/>
    <col min="5119" max="5119" width="14.6640625" style="351" customWidth="1"/>
    <col min="5120" max="5368" width="11.44140625" style="351"/>
    <col min="5369" max="5369" width="17.33203125" style="351" customWidth="1"/>
    <col min="5370" max="5370" width="8" style="351" customWidth="1"/>
    <col min="5371" max="5371" width="9.44140625" style="351" customWidth="1"/>
    <col min="5372" max="5372" width="11.33203125" style="351" customWidth="1"/>
    <col min="5373" max="5374" width="13" style="351" customWidth="1"/>
    <col min="5375" max="5375" width="14.6640625" style="351" customWidth="1"/>
    <col min="5376" max="5624" width="11.44140625" style="351"/>
    <col min="5625" max="5625" width="17.33203125" style="351" customWidth="1"/>
    <col min="5626" max="5626" width="8" style="351" customWidth="1"/>
    <col min="5627" max="5627" width="9.44140625" style="351" customWidth="1"/>
    <col min="5628" max="5628" width="11.33203125" style="351" customWidth="1"/>
    <col min="5629" max="5630" width="13" style="351" customWidth="1"/>
    <col min="5631" max="5631" width="14.6640625" style="351" customWidth="1"/>
    <col min="5632" max="5880" width="11.44140625" style="351"/>
    <col min="5881" max="5881" width="17.33203125" style="351" customWidth="1"/>
    <col min="5882" max="5882" width="8" style="351" customWidth="1"/>
    <col min="5883" max="5883" width="9.44140625" style="351" customWidth="1"/>
    <col min="5884" max="5884" width="11.33203125" style="351" customWidth="1"/>
    <col min="5885" max="5886" width="13" style="351" customWidth="1"/>
    <col min="5887" max="5887" width="14.6640625" style="351" customWidth="1"/>
    <col min="5888" max="6136" width="11.44140625" style="351"/>
    <col min="6137" max="6137" width="17.33203125" style="351" customWidth="1"/>
    <col min="6138" max="6138" width="8" style="351" customWidth="1"/>
    <col min="6139" max="6139" width="9.44140625" style="351" customWidth="1"/>
    <col min="6140" max="6140" width="11.33203125" style="351" customWidth="1"/>
    <col min="6141" max="6142" width="13" style="351" customWidth="1"/>
    <col min="6143" max="6143" width="14.6640625" style="351" customWidth="1"/>
    <col min="6144" max="6392" width="11.44140625" style="351"/>
    <col min="6393" max="6393" width="17.33203125" style="351" customWidth="1"/>
    <col min="6394" max="6394" width="8" style="351" customWidth="1"/>
    <col min="6395" max="6395" width="9.44140625" style="351" customWidth="1"/>
    <col min="6396" max="6396" width="11.33203125" style="351" customWidth="1"/>
    <col min="6397" max="6398" width="13" style="351" customWidth="1"/>
    <col min="6399" max="6399" width="14.6640625" style="351" customWidth="1"/>
    <col min="6400" max="6648" width="11.44140625" style="351"/>
    <col min="6649" max="6649" width="17.33203125" style="351" customWidth="1"/>
    <col min="6650" max="6650" width="8" style="351" customWidth="1"/>
    <col min="6651" max="6651" width="9.44140625" style="351" customWidth="1"/>
    <col min="6652" max="6652" width="11.33203125" style="351" customWidth="1"/>
    <col min="6653" max="6654" width="13" style="351" customWidth="1"/>
    <col min="6655" max="6655" width="14.6640625" style="351" customWidth="1"/>
    <col min="6656" max="6904" width="11.44140625" style="351"/>
    <col min="6905" max="6905" width="17.33203125" style="351" customWidth="1"/>
    <col min="6906" max="6906" width="8" style="351" customWidth="1"/>
    <col min="6907" max="6907" width="9.44140625" style="351" customWidth="1"/>
    <col min="6908" max="6908" width="11.33203125" style="351" customWidth="1"/>
    <col min="6909" max="6910" width="13" style="351" customWidth="1"/>
    <col min="6911" max="6911" width="14.6640625" style="351" customWidth="1"/>
    <col min="6912" max="7160" width="11.44140625" style="351"/>
    <col min="7161" max="7161" width="17.33203125" style="351" customWidth="1"/>
    <col min="7162" max="7162" width="8" style="351" customWidth="1"/>
    <col min="7163" max="7163" width="9.44140625" style="351" customWidth="1"/>
    <col min="7164" max="7164" width="11.33203125" style="351" customWidth="1"/>
    <col min="7165" max="7166" width="13" style="351" customWidth="1"/>
    <col min="7167" max="7167" width="14.6640625" style="351" customWidth="1"/>
    <col min="7168" max="7416" width="11.44140625" style="351"/>
    <col min="7417" max="7417" width="17.33203125" style="351" customWidth="1"/>
    <col min="7418" max="7418" width="8" style="351" customWidth="1"/>
    <col min="7419" max="7419" width="9.44140625" style="351" customWidth="1"/>
    <col min="7420" max="7420" width="11.33203125" style="351" customWidth="1"/>
    <col min="7421" max="7422" width="13" style="351" customWidth="1"/>
    <col min="7423" max="7423" width="14.6640625" style="351" customWidth="1"/>
    <col min="7424" max="7672" width="11.44140625" style="351"/>
    <col min="7673" max="7673" width="17.33203125" style="351" customWidth="1"/>
    <col min="7674" max="7674" width="8" style="351" customWidth="1"/>
    <col min="7675" max="7675" width="9.44140625" style="351" customWidth="1"/>
    <col min="7676" max="7676" width="11.33203125" style="351" customWidth="1"/>
    <col min="7677" max="7678" width="13" style="351" customWidth="1"/>
    <col min="7679" max="7679" width="14.6640625" style="351" customWidth="1"/>
    <col min="7680" max="7928" width="11.44140625" style="351"/>
    <col min="7929" max="7929" width="17.33203125" style="351" customWidth="1"/>
    <col min="7930" max="7930" width="8" style="351" customWidth="1"/>
    <col min="7931" max="7931" width="9.44140625" style="351" customWidth="1"/>
    <col min="7932" max="7932" width="11.33203125" style="351" customWidth="1"/>
    <col min="7933" max="7934" width="13" style="351" customWidth="1"/>
    <col min="7935" max="7935" width="14.6640625" style="351" customWidth="1"/>
    <col min="7936" max="8184" width="11.44140625" style="351"/>
    <col min="8185" max="8185" width="17.33203125" style="351" customWidth="1"/>
    <col min="8186" max="8186" width="8" style="351" customWidth="1"/>
    <col min="8187" max="8187" width="9.44140625" style="351" customWidth="1"/>
    <col min="8188" max="8188" width="11.33203125" style="351" customWidth="1"/>
    <col min="8189" max="8190" width="13" style="351" customWidth="1"/>
    <col min="8191" max="8191" width="14.6640625" style="351" customWidth="1"/>
    <col min="8192" max="8440" width="11.44140625" style="351"/>
    <col min="8441" max="8441" width="17.33203125" style="351" customWidth="1"/>
    <col min="8442" max="8442" width="8" style="351" customWidth="1"/>
    <col min="8443" max="8443" width="9.44140625" style="351" customWidth="1"/>
    <col min="8444" max="8444" width="11.33203125" style="351" customWidth="1"/>
    <col min="8445" max="8446" width="13" style="351" customWidth="1"/>
    <col min="8447" max="8447" width="14.6640625" style="351" customWidth="1"/>
    <col min="8448" max="8696" width="11.44140625" style="351"/>
    <col min="8697" max="8697" width="17.33203125" style="351" customWidth="1"/>
    <col min="8698" max="8698" width="8" style="351" customWidth="1"/>
    <col min="8699" max="8699" width="9.44140625" style="351" customWidth="1"/>
    <col min="8700" max="8700" width="11.33203125" style="351" customWidth="1"/>
    <col min="8701" max="8702" width="13" style="351" customWidth="1"/>
    <col min="8703" max="8703" width="14.6640625" style="351" customWidth="1"/>
    <col min="8704" max="8952" width="11.44140625" style="351"/>
    <col min="8953" max="8953" width="17.33203125" style="351" customWidth="1"/>
    <col min="8954" max="8954" width="8" style="351" customWidth="1"/>
    <col min="8955" max="8955" width="9.44140625" style="351" customWidth="1"/>
    <col min="8956" max="8956" width="11.33203125" style="351" customWidth="1"/>
    <col min="8957" max="8958" width="13" style="351" customWidth="1"/>
    <col min="8959" max="8959" width="14.6640625" style="351" customWidth="1"/>
    <col min="8960" max="9208" width="11.44140625" style="351"/>
    <col min="9209" max="9209" width="17.33203125" style="351" customWidth="1"/>
    <col min="9210" max="9210" width="8" style="351" customWidth="1"/>
    <col min="9211" max="9211" width="9.44140625" style="351" customWidth="1"/>
    <col min="9212" max="9212" width="11.33203125" style="351" customWidth="1"/>
    <col min="9213" max="9214" width="13" style="351" customWidth="1"/>
    <col min="9215" max="9215" width="14.6640625" style="351" customWidth="1"/>
    <col min="9216" max="9464" width="11.44140625" style="351"/>
    <col min="9465" max="9465" width="17.33203125" style="351" customWidth="1"/>
    <col min="9466" max="9466" width="8" style="351" customWidth="1"/>
    <col min="9467" max="9467" width="9.44140625" style="351" customWidth="1"/>
    <col min="9468" max="9468" width="11.33203125" style="351" customWidth="1"/>
    <col min="9469" max="9470" width="13" style="351" customWidth="1"/>
    <col min="9471" max="9471" width="14.6640625" style="351" customWidth="1"/>
    <col min="9472" max="9720" width="11.44140625" style="351"/>
    <col min="9721" max="9721" width="17.33203125" style="351" customWidth="1"/>
    <col min="9722" max="9722" width="8" style="351" customWidth="1"/>
    <col min="9723" max="9723" width="9.44140625" style="351" customWidth="1"/>
    <col min="9724" max="9724" width="11.33203125" style="351" customWidth="1"/>
    <col min="9725" max="9726" width="13" style="351" customWidth="1"/>
    <col min="9727" max="9727" width="14.6640625" style="351" customWidth="1"/>
    <col min="9728" max="9976" width="11.44140625" style="351"/>
    <col min="9977" max="9977" width="17.33203125" style="351" customWidth="1"/>
    <col min="9978" max="9978" width="8" style="351" customWidth="1"/>
    <col min="9979" max="9979" width="9.44140625" style="351" customWidth="1"/>
    <col min="9980" max="9980" width="11.33203125" style="351" customWidth="1"/>
    <col min="9981" max="9982" width="13" style="351" customWidth="1"/>
    <col min="9983" max="9983" width="14.6640625" style="351" customWidth="1"/>
    <col min="9984" max="10232" width="11.44140625" style="351"/>
    <col min="10233" max="10233" width="17.33203125" style="351" customWidth="1"/>
    <col min="10234" max="10234" width="8" style="351" customWidth="1"/>
    <col min="10235" max="10235" width="9.44140625" style="351" customWidth="1"/>
    <col min="10236" max="10236" width="11.33203125" style="351" customWidth="1"/>
    <col min="10237" max="10238" width="13" style="351" customWidth="1"/>
    <col min="10239" max="10239" width="14.6640625" style="351" customWidth="1"/>
    <col min="10240" max="10488" width="11.44140625" style="351"/>
    <col min="10489" max="10489" width="17.33203125" style="351" customWidth="1"/>
    <col min="10490" max="10490" width="8" style="351" customWidth="1"/>
    <col min="10491" max="10491" width="9.44140625" style="351" customWidth="1"/>
    <col min="10492" max="10492" width="11.33203125" style="351" customWidth="1"/>
    <col min="10493" max="10494" width="13" style="351" customWidth="1"/>
    <col min="10495" max="10495" width="14.6640625" style="351" customWidth="1"/>
    <col min="10496" max="10744" width="11.44140625" style="351"/>
    <col min="10745" max="10745" width="17.33203125" style="351" customWidth="1"/>
    <col min="10746" max="10746" width="8" style="351" customWidth="1"/>
    <col min="10747" max="10747" width="9.44140625" style="351" customWidth="1"/>
    <col min="10748" max="10748" width="11.33203125" style="351" customWidth="1"/>
    <col min="10749" max="10750" width="13" style="351" customWidth="1"/>
    <col min="10751" max="10751" width="14.6640625" style="351" customWidth="1"/>
    <col min="10752" max="11000" width="11.44140625" style="351"/>
    <col min="11001" max="11001" width="17.33203125" style="351" customWidth="1"/>
    <col min="11002" max="11002" width="8" style="351" customWidth="1"/>
    <col min="11003" max="11003" width="9.44140625" style="351" customWidth="1"/>
    <col min="11004" max="11004" width="11.33203125" style="351" customWidth="1"/>
    <col min="11005" max="11006" width="13" style="351" customWidth="1"/>
    <col min="11007" max="11007" width="14.6640625" style="351" customWidth="1"/>
    <col min="11008" max="11256" width="11.44140625" style="351"/>
    <col min="11257" max="11257" width="17.33203125" style="351" customWidth="1"/>
    <col min="11258" max="11258" width="8" style="351" customWidth="1"/>
    <col min="11259" max="11259" width="9.44140625" style="351" customWidth="1"/>
    <col min="11260" max="11260" width="11.33203125" style="351" customWidth="1"/>
    <col min="11261" max="11262" width="13" style="351" customWidth="1"/>
    <col min="11263" max="11263" width="14.6640625" style="351" customWidth="1"/>
    <col min="11264" max="11512" width="11.44140625" style="351"/>
    <col min="11513" max="11513" width="17.33203125" style="351" customWidth="1"/>
    <col min="11514" max="11514" width="8" style="351" customWidth="1"/>
    <col min="11515" max="11515" width="9.44140625" style="351" customWidth="1"/>
    <col min="11516" max="11516" width="11.33203125" style="351" customWidth="1"/>
    <col min="11517" max="11518" width="13" style="351" customWidth="1"/>
    <col min="11519" max="11519" width="14.6640625" style="351" customWidth="1"/>
    <col min="11520" max="11768" width="11.44140625" style="351"/>
    <col min="11769" max="11769" width="17.33203125" style="351" customWidth="1"/>
    <col min="11770" max="11770" width="8" style="351" customWidth="1"/>
    <col min="11771" max="11771" width="9.44140625" style="351" customWidth="1"/>
    <col min="11772" max="11772" width="11.33203125" style="351" customWidth="1"/>
    <col min="11773" max="11774" width="13" style="351" customWidth="1"/>
    <col min="11775" max="11775" width="14.6640625" style="351" customWidth="1"/>
    <col min="11776" max="12024" width="11.44140625" style="351"/>
    <col min="12025" max="12025" width="17.33203125" style="351" customWidth="1"/>
    <col min="12026" max="12026" width="8" style="351" customWidth="1"/>
    <col min="12027" max="12027" width="9.44140625" style="351" customWidth="1"/>
    <col min="12028" max="12028" width="11.33203125" style="351" customWidth="1"/>
    <col min="12029" max="12030" width="13" style="351" customWidth="1"/>
    <col min="12031" max="12031" width="14.6640625" style="351" customWidth="1"/>
    <col min="12032" max="12280" width="11.44140625" style="351"/>
    <col min="12281" max="12281" width="17.33203125" style="351" customWidth="1"/>
    <col min="12282" max="12282" width="8" style="351" customWidth="1"/>
    <col min="12283" max="12283" width="9.44140625" style="351" customWidth="1"/>
    <col min="12284" max="12284" width="11.33203125" style="351" customWidth="1"/>
    <col min="12285" max="12286" width="13" style="351" customWidth="1"/>
    <col min="12287" max="12287" width="14.6640625" style="351" customWidth="1"/>
    <col min="12288" max="12536" width="11.44140625" style="351"/>
    <col min="12537" max="12537" width="17.33203125" style="351" customWidth="1"/>
    <col min="12538" max="12538" width="8" style="351" customWidth="1"/>
    <col min="12539" max="12539" width="9.44140625" style="351" customWidth="1"/>
    <col min="12540" max="12540" width="11.33203125" style="351" customWidth="1"/>
    <col min="12541" max="12542" width="13" style="351" customWidth="1"/>
    <col min="12543" max="12543" width="14.6640625" style="351" customWidth="1"/>
    <col min="12544" max="12792" width="11.44140625" style="351"/>
    <col min="12793" max="12793" width="17.33203125" style="351" customWidth="1"/>
    <col min="12794" max="12794" width="8" style="351" customWidth="1"/>
    <col min="12795" max="12795" width="9.44140625" style="351" customWidth="1"/>
    <col min="12796" max="12796" width="11.33203125" style="351" customWidth="1"/>
    <col min="12797" max="12798" width="13" style="351" customWidth="1"/>
    <col min="12799" max="12799" width="14.6640625" style="351" customWidth="1"/>
    <col min="12800" max="13048" width="11.44140625" style="351"/>
    <col min="13049" max="13049" width="17.33203125" style="351" customWidth="1"/>
    <col min="13050" max="13050" width="8" style="351" customWidth="1"/>
    <col min="13051" max="13051" width="9.44140625" style="351" customWidth="1"/>
    <col min="13052" max="13052" width="11.33203125" style="351" customWidth="1"/>
    <col min="13053" max="13054" width="13" style="351" customWidth="1"/>
    <col min="13055" max="13055" width="14.6640625" style="351" customWidth="1"/>
    <col min="13056" max="13304" width="11.44140625" style="351"/>
    <col min="13305" max="13305" width="17.33203125" style="351" customWidth="1"/>
    <col min="13306" max="13306" width="8" style="351" customWidth="1"/>
    <col min="13307" max="13307" width="9.44140625" style="351" customWidth="1"/>
    <col min="13308" max="13308" width="11.33203125" style="351" customWidth="1"/>
    <col min="13309" max="13310" width="13" style="351" customWidth="1"/>
    <col min="13311" max="13311" width="14.6640625" style="351" customWidth="1"/>
    <col min="13312" max="13560" width="11.44140625" style="351"/>
    <col min="13561" max="13561" width="17.33203125" style="351" customWidth="1"/>
    <col min="13562" max="13562" width="8" style="351" customWidth="1"/>
    <col min="13563" max="13563" width="9.44140625" style="351" customWidth="1"/>
    <col min="13564" max="13564" width="11.33203125" style="351" customWidth="1"/>
    <col min="13565" max="13566" width="13" style="351" customWidth="1"/>
    <col min="13567" max="13567" width="14.6640625" style="351" customWidth="1"/>
    <col min="13568" max="13816" width="11.44140625" style="351"/>
    <col min="13817" max="13817" width="17.33203125" style="351" customWidth="1"/>
    <col min="13818" max="13818" width="8" style="351" customWidth="1"/>
    <col min="13819" max="13819" width="9.44140625" style="351" customWidth="1"/>
    <col min="13820" max="13820" width="11.33203125" style="351" customWidth="1"/>
    <col min="13821" max="13822" width="13" style="351" customWidth="1"/>
    <col min="13823" max="13823" width="14.6640625" style="351" customWidth="1"/>
    <col min="13824" max="14072" width="11.44140625" style="351"/>
    <col min="14073" max="14073" width="17.33203125" style="351" customWidth="1"/>
    <col min="14074" max="14074" width="8" style="351" customWidth="1"/>
    <col min="14075" max="14075" width="9.44140625" style="351" customWidth="1"/>
    <col min="14076" max="14076" width="11.33203125" style="351" customWidth="1"/>
    <col min="14077" max="14078" width="13" style="351" customWidth="1"/>
    <col min="14079" max="14079" width="14.6640625" style="351" customWidth="1"/>
    <col min="14080" max="14328" width="11.44140625" style="351"/>
    <col min="14329" max="14329" width="17.33203125" style="351" customWidth="1"/>
    <col min="14330" max="14330" width="8" style="351" customWidth="1"/>
    <col min="14331" max="14331" width="9.44140625" style="351" customWidth="1"/>
    <col min="14332" max="14332" width="11.33203125" style="351" customWidth="1"/>
    <col min="14333" max="14334" width="13" style="351" customWidth="1"/>
    <col min="14335" max="14335" width="14.6640625" style="351" customWidth="1"/>
    <col min="14336" max="14584" width="11.44140625" style="351"/>
    <col min="14585" max="14585" width="17.33203125" style="351" customWidth="1"/>
    <col min="14586" max="14586" width="8" style="351" customWidth="1"/>
    <col min="14587" max="14587" width="9.44140625" style="351" customWidth="1"/>
    <col min="14588" max="14588" width="11.33203125" style="351" customWidth="1"/>
    <col min="14589" max="14590" width="13" style="351" customWidth="1"/>
    <col min="14591" max="14591" width="14.6640625" style="351" customWidth="1"/>
    <col min="14592" max="14840" width="11.44140625" style="351"/>
    <col min="14841" max="14841" width="17.33203125" style="351" customWidth="1"/>
    <col min="14842" max="14842" width="8" style="351" customWidth="1"/>
    <col min="14843" max="14843" width="9.44140625" style="351" customWidth="1"/>
    <col min="14844" max="14844" width="11.33203125" style="351" customWidth="1"/>
    <col min="14845" max="14846" width="13" style="351" customWidth="1"/>
    <col min="14847" max="14847" width="14.6640625" style="351" customWidth="1"/>
    <col min="14848" max="15096" width="11.44140625" style="351"/>
    <col min="15097" max="15097" width="17.33203125" style="351" customWidth="1"/>
    <col min="15098" max="15098" width="8" style="351" customWidth="1"/>
    <col min="15099" max="15099" width="9.44140625" style="351" customWidth="1"/>
    <col min="15100" max="15100" width="11.33203125" style="351" customWidth="1"/>
    <col min="15101" max="15102" width="13" style="351" customWidth="1"/>
    <col min="15103" max="15103" width="14.6640625" style="351" customWidth="1"/>
    <col min="15104" max="15352" width="11.44140625" style="351"/>
    <col min="15353" max="15353" width="17.33203125" style="351" customWidth="1"/>
    <col min="15354" max="15354" width="8" style="351" customWidth="1"/>
    <col min="15355" max="15355" width="9.44140625" style="351" customWidth="1"/>
    <col min="15356" max="15356" width="11.33203125" style="351" customWidth="1"/>
    <col min="15357" max="15358" width="13" style="351" customWidth="1"/>
    <col min="15359" max="15359" width="14.6640625" style="351" customWidth="1"/>
    <col min="15360" max="15608" width="11.44140625" style="351"/>
    <col min="15609" max="15609" width="17.33203125" style="351" customWidth="1"/>
    <col min="15610" max="15610" width="8" style="351" customWidth="1"/>
    <col min="15611" max="15611" width="9.44140625" style="351" customWidth="1"/>
    <col min="15612" max="15612" width="11.33203125" style="351" customWidth="1"/>
    <col min="15613" max="15614" width="13" style="351" customWidth="1"/>
    <col min="15615" max="15615" width="14.6640625" style="351" customWidth="1"/>
    <col min="15616" max="15864" width="11.44140625" style="351"/>
    <col min="15865" max="15865" width="17.33203125" style="351" customWidth="1"/>
    <col min="15866" max="15866" width="8" style="351" customWidth="1"/>
    <col min="15867" max="15867" width="9.44140625" style="351" customWidth="1"/>
    <col min="15868" max="15868" width="11.33203125" style="351" customWidth="1"/>
    <col min="15869" max="15870" width="13" style="351" customWidth="1"/>
    <col min="15871" max="15871" width="14.6640625" style="351" customWidth="1"/>
    <col min="15872" max="16120" width="11.44140625" style="351"/>
    <col min="16121" max="16121" width="17.33203125" style="351" customWidth="1"/>
    <col min="16122" max="16122" width="8" style="351" customWidth="1"/>
    <col min="16123" max="16123" width="9.44140625" style="351" customWidth="1"/>
    <col min="16124" max="16124" width="11.33203125" style="351" customWidth="1"/>
    <col min="16125" max="16126" width="13" style="351" customWidth="1"/>
    <col min="16127" max="16127" width="14.6640625" style="351" customWidth="1"/>
    <col min="16128" max="16384" width="11.44140625" style="351"/>
  </cols>
  <sheetData>
    <row r="1" spans="1:7" ht="24.75" customHeight="1" thickBot="1">
      <c r="A1" s="1195" t="s">
        <v>1508</v>
      </c>
      <c r="B1" s="1196"/>
      <c r="C1" s="1196"/>
      <c r="D1" s="1196"/>
      <c r="E1" s="1196"/>
      <c r="F1" s="1196"/>
      <c r="G1" s="1197"/>
    </row>
    <row r="2" spans="1:7" ht="24.75" customHeight="1" thickBot="1">
      <c r="G2" s="351"/>
    </row>
    <row r="3" spans="1:7" ht="13.5" customHeight="1">
      <c r="A3" s="1198" t="s">
        <v>1531</v>
      </c>
      <c r="B3" s="1200" t="s">
        <v>1533</v>
      </c>
      <c r="C3" s="1201"/>
      <c r="D3" s="1201"/>
      <c r="E3" s="1202"/>
      <c r="F3" s="1206" t="s">
        <v>1464</v>
      </c>
      <c r="G3" s="1208" t="s">
        <v>1465</v>
      </c>
    </row>
    <row r="4" spans="1:7" ht="13.5" customHeight="1">
      <c r="A4" s="1199"/>
      <c r="B4" s="1203"/>
      <c r="C4" s="1204"/>
      <c r="D4" s="1204"/>
      <c r="E4" s="1205"/>
      <c r="F4" s="1207"/>
      <c r="G4" s="1209"/>
    </row>
    <row r="5" spans="1:7" ht="21.75" customHeight="1">
      <c r="A5" s="1192" t="s">
        <v>1466</v>
      </c>
      <c r="B5" s="1193"/>
      <c r="C5" s="1193"/>
      <c r="D5" s="1193"/>
      <c r="E5" s="1193"/>
      <c r="F5" s="1193"/>
      <c r="G5" s="1194"/>
    </row>
    <row r="6" spans="1:7" ht="39.6">
      <c r="A6" s="352" t="s">
        <v>1467</v>
      </c>
      <c r="B6" s="353"/>
      <c r="C6" s="354" t="s">
        <v>3</v>
      </c>
      <c r="D6" s="354" t="s">
        <v>1468</v>
      </c>
      <c r="E6" s="353" t="s">
        <v>1469</v>
      </c>
      <c r="F6" s="353" t="s">
        <v>1470</v>
      </c>
      <c r="G6" s="355"/>
    </row>
    <row r="7" spans="1:7">
      <c r="A7" s="356" t="s">
        <v>1471</v>
      </c>
      <c r="B7" s="357"/>
      <c r="C7" s="358" t="s">
        <v>1472</v>
      </c>
      <c r="D7" s="359">
        <f>'INSUMOS '!E71</f>
        <v>33500</v>
      </c>
      <c r="E7" s="358">
        <v>7.5</v>
      </c>
      <c r="F7" s="360">
        <f>+D7*E7</f>
        <v>251250</v>
      </c>
      <c r="G7" s="361"/>
    </row>
    <row r="8" spans="1:7">
      <c r="A8" s="356" t="s">
        <v>1473</v>
      </c>
      <c r="B8" s="357"/>
      <c r="C8" s="358" t="s">
        <v>1465</v>
      </c>
      <c r="D8" s="392">
        <v>150000</v>
      </c>
      <c r="E8" s="358">
        <f>0.51*1.05</f>
        <v>0.53550000000000009</v>
      </c>
      <c r="F8" s="360">
        <f>+D8*E8</f>
        <v>80325.000000000015</v>
      </c>
      <c r="G8" s="361"/>
    </row>
    <row r="9" spans="1:7">
      <c r="A9" s="356" t="s">
        <v>1474</v>
      </c>
      <c r="B9" s="357"/>
      <c r="C9" s="358" t="s">
        <v>1465</v>
      </c>
      <c r="D9" s="392">
        <v>150000</v>
      </c>
      <c r="E9" s="358">
        <f>0.9*1.05</f>
        <v>0.94500000000000006</v>
      </c>
      <c r="F9" s="360">
        <f>+D9*E9</f>
        <v>141750</v>
      </c>
      <c r="G9" s="361"/>
    </row>
    <row r="10" spans="1:7">
      <c r="A10" s="356" t="s">
        <v>1475</v>
      </c>
      <c r="B10" s="357"/>
      <c r="C10" s="358" t="s">
        <v>188</v>
      </c>
      <c r="D10" s="359">
        <v>88</v>
      </c>
      <c r="E10" s="358">
        <v>170</v>
      </c>
      <c r="F10" s="360">
        <f>+D10*E10</f>
        <v>14960</v>
      </c>
      <c r="G10" s="361"/>
    </row>
    <row r="11" spans="1:7">
      <c r="A11" s="362"/>
      <c r="B11" s="357"/>
      <c r="C11" s="358"/>
      <c r="D11" s="363"/>
      <c r="E11" s="358"/>
      <c r="F11" s="364"/>
      <c r="G11" s="361"/>
    </row>
    <row r="12" spans="1:7" ht="16.5" customHeight="1">
      <c r="A12" s="365"/>
      <c r="B12" s="366"/>
      <c r="C12" s="366"/>
      <c r="D12" s="1210" t="s">
        <v>1476</v>
      </c>
      <c r="E12" s="1211"/>
      <c r="F12" s="1212"/>
      <c r="G12" s="367">
        <f>SUM(F7:F11)</f>
        <v>488285</v>
      </c>
    </row>
    <row r="13" spans="1:7">
      <c r="A13" s="362"/>
      <c r="B13" s="368"/>
      <c r="C13" s="368"/>
      <c r="D13" s="368"/>
      <c r="E13" s="368"/>
      <c r="F13" s="368"/>
      <c r="G13" s="361"/>
    </row>
    <row r="14" spans="1:7" ht="21.75" customHeight="1">
      <c r="A14" s="1192" t="s">
        <v>1477</v>
      </c>
      <c r="B14" s="1193"/>
      <c r="C14" s="1193"/>
      <c r="D14" s="1193"/>
      <c r="E14" s="1193"/>
      <c r="F14" s="1193"/>
      <c r="G14" s="1194"/>
    </row>
    <row r="15" spans="1:7">
      <c r="A15" s="352" t="s">
        <v>1478</v>
      </c>
      <c r="B15" s="353"/>
      <c r="C15" s="354" t="s">
        <v>1479</v>
      </c>
      <c r="D15" s="354" t="s">
        <v>1480</v>
      </c>
      <c r="E15" s="353" t="s">
        <v>24</v>
      </c>
      <c r="F15" s="353" t="s">
        <v>1481</v>
      </c>
      <c r="G15" s="369"/>
    </row>
    <row r="16" spans="1:7">
      <c r="A16" s="356" t="s">
        <v>1482</v>
      </c>
      <c r="B16" s="357"/>
      <c r="C16" s="370" t="s">
        <v>1483</v>
      </c>
      <c r="D16" s="371">
        <f>'MAQUINARIA Y EQUIPOS'!F13/8</f>
        <v>12643.75</v>
      </c>
      <c r="E16" s="372">
        <v>1.5</v>
      </c>
      <c r="F16" s="373">
        <f>+D16/E16</f>
        <v>8429.1666666666661</v>
      </c>
      <c r="G16" s="374"/>
    </row>
    <row r="17" spans="1:7">
      <c r="A17" s="356"/>
      <c r="B17" s="357"/>
      <c r="C17" s="370"/>
      <c r="D17" s="375"/>
      <c r="E17" s="372"/>
      <c r="F17" s="376"/>
      <c r="G17" s="374"/>
    </row>
    <row r="18" spans="1:7">
      <c r="A18" s="362"/>
      <c r="B18" s="363"/>
      <c r="C18" s="363"/>
      <c r="D18" s="377"/>
      <c r="E18" s="378" t="s">
        <v>1484</v>
      </c>
      <c r="F18" s="373">
        <f>+G30*0.05</f>
        <v>437.32500000000005</v>
      </c>
      <c r="G18" s="374"/>
    </row>
    <row r="19" spans="1:7">
      <c r="A19" s="362"/>
      <c r="B19" s="363"/>
      <c r="C19" s="363"/>
      <c r="D19" s="377"/>
      <c r="E19" s="1213" t="s">
        <v>1485</v>
      </c>
      <c r="F19" s="1214"/>
      <c r="G19" s="379">
        <f>SUM(F16:F18)</f>
        <v>8866.4916666666668</v>
      </c>
    </row>
    <row r="20" spans="1:7">
      <c r="A20" s="380"/>
      <c r="B20" s="377"/>
      <c r="C20" s="377"/>
      <c r="D20" s="377"/>
      <c r="E20" s="381"/>
      <c r="F20" s="381"/>
      <c r="G20" s="382"/>
    </row>
    <row r="21" spans="1:7" ht="24" customHeight="1">
      <c r="A21" s="1192" t="s">
        <v>1486</v>
      </c>
      <c r="B21" s="1193"/>
      <c r="C21" s="1193"/>
      <c r="D21" s="1193"/>
      <c r="E21" s="1193"/>
      <c r="F21" s="1193"/>
      <c r="G21" s="1194"/>
    </row>
    <row r="22" spans="1:7">
      <c r="A22" s="352" t="s">
        <v>1487</v>
      </c>
      <c r="B22" s="353" t="s">
        <v>1488</v>
      </c>
      <c r="C22" s="354" t="s">
        <v>1489</v>
      </c>
      <c r="D22" s="354" t="s">
        <v>1490</v>
      </c>
      <c r="E22" s="353" t="s">
        <v>1491</v>
      </c>
      <c r="F22" s="353" t="s">
        <v>1492</v>
      </c>
      <c r="G22" s="369"/>
    </row>
    <row r="23" spans="1:7">
      <c r="A23" s="362" t="s">
        <v>1493</v>
      </c>
      <c r="B23" s="383">
        <f>+E9</f>
        <v>0.94500000000000006</v>
      </c>
      <c r="C23" s="384">
        <v>35</v>
      </c>
      <c r="D23" s="385">
        <f>+B23*C23</f>
        <v>33.075000000000003</v>
      </c>
      <c r="E23" s="373">
        <v>1250</v>
      </c>
      <c r="F23" s="373">
        <f>+D23*E23</f>
        <v>41343.75</v>
      </c>
      <c r="G23" s="361"/>
    </row>
    <row r="24" spans="1:7">
      <c r="A24" s="362" t="s">
        <v>1494</v>
      </c>
      <c r="B24" s="383">
        <f>+E8</f>
        <v>0.53550000000000009</v>
      </c>
      <c r="C24" s="384">
        <v>35</v>
      </c>
      <c r="D24" s="385">
        <f>+B24*C24</f>
        <v>18.742500000000003</v>
      </c>
      <c r="E24" s="373">
        <v>1250</v>
      </c>
      <c r="F24" s="373">
        <f>+D24*E24</f>
        <v>23428.125000000004</v>
      </c>
      <c r="G24" s="361"/>
    </row>
    <row r="25" spans="1:7" ht="16.5" customHeight="1">
      <c r="A25" s="365"/>
      <c r="B25" s="366"/>
      <c r="C25" s="366"/>
      <c r="D25" s="1215" t="s">
        <v>1495</v>
      </c>
      <c r="E25" s="1216"/>
      <c r="F25" s="1217"/>
      <c r="G25" s="367">
        <f>SUM(F23:F24)</f>
        <v>64771.875</v>
      </c>
    </row>
    <row r="26" spans="1:7">
      <c r="A26" s="362"/>
      <c r="B26" s="377"/>
      <c r="C26" s="377"/>
      <c r="D26" s="377"/>
      <c r="E26" s="377"/>
      <c r="F26" s="386"/>
      <c r="G26" s="361"/>
    </row>
    <row r="27" spans="1:7" ht="22.5" customHeight="1">
      <c r="A27" s="1192" t="s">
        <v>1496</v>
      </c>
      <c r="B27" s="1193"/>
      <c r="C27" s="1193"/>
      <c r="D27" s="1193"/>
      <c r="E27" s="1193"/>
      <c r="F27" s="1193"/>
      <c r="G27" s="1194"/>
    </row>
    <row r="28" spans="1:7">
      <c r="A28" s="1173" t="s">
        <v>1467</v>
      </c>
      <c r="B28" s="1174"/>
      <c r="C28" s="1175"/>
      <c r="D28" s="354" t="s">
        <v>1480</v>
      </c>
      <c r="E28" s="353" t="s">
        <v>24</v>
      </c>
      <c r="F28" s="353" t="s">
        <v>1481</v>
      </c>
      <c r="G28" s="369"/>
    </row>
    <row r="29" spans="1:7">
      <c r="A29" s="1176" t="str">
        <f>SALARIOS!A54</f>
        <v>CUADRILLA 1:4</v>
      </c>
      <c r="B29" s="1177"/>
      <c r="C29" s="1178"/>
      <c r="D29" s="387">
        <f>SALARIOS!D54</f>
        <v>52479</v>
      </c>
      <c r="E29" s="388">
        <v>6</v>
      </c>
      <c r="F29" s="373">
        <f>D29/E29</f>
        <v>8746.5</v>
      </c>
      <c r="G29" s="361"/>
    </row>
    <row r="30" spans="1:7" ht="16.5" customHeight="1">
      <c r="A30" s="1221"/>
      <c r="B30" s="1222"/>
      <c r="C30" s="1223"/>
      <c r="D30" s="1215" t="s">
        <v>1497</v>
      </c>
      <c r="E30" s="1216"/>
      <c r="F30" s="1217"/>
      <c r="G30" s="389">
        <f>SUM(F29:F29)</f>
        <v>8746.5</v>
      </c>
    </row>
    <row r="31" spans="1:7" ht="15.75" customHeight="1" thickBot="1">
      <c r="A31" s="1218" t="s">
        <v>25</v>
      </c>
      <c r="B31" s="1219"/>
      <c r="C31" s="1219"/>
      <c r="D31" s="1219"/>
      <c r="E31" s="1219"/>
      <c r="F31" s="1220"/>
      <c r="G31" s="390">
        <f>G12+G19+G25+G30</f>
        <v>570669.8666666667</v>
      </c>
    </row>
    <row r="32" spans="1:7" ht="13.8" thickBot="1"/>
    <row r="33" spans="1:7">
      <c r="A33" s="1198" t="s">
        <v>1531</v>
      </c>
      <c r="B33" s="1200" t="s">
        <v>1534</v>
      </c>
      <c r="C33" s="1201"/>
      <c r="D33" s="1201"/>
      <c r="E33" s="1202"/>
      <c r="F33" s="1206" t="s">
        <v>1464</v>
      </c>
      <c r="G33" s="1208" t="s">
        <v>1465</v>
      </c>
    </row>
    <row r="34" spans="1:7">
      <c r="A34" s="1199"/>
      <c r="B34" s="1203"/>
      <c r="C34" s="1204"/>
      <c r="D34" s="1204"/>
      <c r="E34" s="1205"/>
      <c r="F34" s="1207"/>
      <c r="G34" s="1209"/>
    </row>
    <row r="35" spans="1:7">
      <c r="A35" s="1192" t="s">
        <v>1466</v>
      </c>
      <c r="B35" s="1193"/>
      <c r="C35" s="1193"/>
      <c r="D35" s="1193"/>
      <c r="E35" s="1193"/>
      <c r="F35" s="1193"/>
      <c r="G35" s="1194"/>
    </row>
    <row r="36" spans="1:7" ht="39.6">
      <c r="A36" s="352" t="s">
        <v>1467</v>
      </c>
      <c r="B36" s="353"/>
      <c r="C36" s="354" t="s">
        <v>3</v>
      </c>
      <c r="D36" s="354" t="s">
        <v>1468</v>
      </c>
      <c r="E36" s="353" t="s">
        <v>1469</v>
      </c>
      <c r="F36" s="353" t="s">
        <v>1470</v>
      </c>
      <c r="G36" s="355"/>
    </row>
    <row r="37" spans="1:7">
      <c r="A37" s="356" t="s">
        <v>1471</v>
      </c>
      <c r="B37" s="357"/>
      <c r="C37" s="358" t="s">
        <v>1472</v>
      </c>
      <c r="D37" s="392">
        <f>'INSUMOS '!E71</f>
        <v>33500</v>
      </c>
      <c r="E37" s="358">
        <f>8.5</f>
        <v>8.5</v>
      </c>
      <c r="F37" s="393">
        <f>+D37*E37</f>
        <v>284750</v>
      </c>
      <c r="G37" s="361"/>
    </row>
    <row r="38" spans="1:7">
      <c r="A38" s="356" t="s">
        <v>1473</v>
      </c>
      <c r="B38" s="357"/>
      <c r="C38" s="358" t="s">
        <v>1465</v>
      </c>
      <c r="D38" s="392">
        <f>+D8</f>
        <v>150000</v>
      </c>
      <c r="E38" s="358">
        <v>0.74</v>
      </c>
      <c r="F38" s="393">
        <f>+D38*E38</f>
        <v>111000</v>
      </c>
      <c r="G38" s="361"/>
    </row>
    <row r="39" spans="1:7">
      <c r="A39" s="356" t="s">
        <v>1474</v>
      </c>
      <c r="B39" s="357"/>
      <c r="C39" s="358" t="s">
        <v>1465</v>
      </c>
      <c r="D39" s="392">
        <f>+D9</f>
        <v>150000</v>
      </c>
      <c r="E39" s="358">
        <v>0.74</v>
      </c>
      <c r="F39" s="393">
        <f>+D39*E39</f>
        <v>111000</v>
      </c>
      <c r="G39" s="361"/>
    </row>
    <row r="40" spans="1:7">
      <c r="A40" s="356" t="s">
        <v>1475</v>
      </c>
      <c r="B40" s="357"/>
      <c r="C40" s="358" t="s">
        <v>188</v>
      </c>
      <c r="D40" s="392">
        <v>88</v>
      </c>
      <c r="E40" s="358">
        <v>170</v>
      </c>
      <c r="F40" s="393">
        <f>+D40*E40</f>
        <v>14960</v>
      </c>
      <c r="G40" s="361"/>
    </row>
    <row r="41" spans="1:7">
      <c r="A41" s="362"/>
      <c r="B41" s="357"/>
      <c r="C41" s="358"/>
      <c r="D41" s="363"/>
      <c r="E41" s="358"/>
      <c r="F41" s="364"/>
      <c r="G41" s="361"/>
    </row>
    <row r="42" spans="1:7">
      <c r="A42" s="365"/>
      <c r="B42" s="366"/>
      <c r="C42" s="366"/>
      <c r="D42" s="1210" t="s">
        <v>1476</v>
      </c>
      <c r="E42" s="1211"/>
      <c r="F42" s="1212"/>
      <c r="G42" s="367">
        <f>SUM(F37:F41)</f>
        <v>521710</v>
      </c>
    </row>
    <row r="43" spans="1:7">
      <c r="A43" s="362"/>
      <c r="B43" s="368"/>
      <c r="C43" s="368"/>
      <c r="D43" s="368"/>
      <c r="E43" s="368"/>
      <c r="F43" s="368"/>
      <c r="G43" s="361"/>
    </row>
    <row r="44" spans="1:7">
      <c r="A44" s="1192" t="s">
        <v>1477</v>
      </c>
      <c r="B44" s="1193"/>
      <c r="C44" s="1193"/>
      <c r="D44" s="1193"/>
      <c r="E44" s="1193"/>
      <c r="F44" s="1193"/>
      <c r="G44" s="1194"/>
    </row>
    <row r="45" spans="1:7">
      <c r="A45" s="352" t="s">
        <v>1478</v>
      </c>
      <c r="B45" s="353"/>
      <c r="C45" s="354" t="s">
        <v>1479</v>
      </c>
      <c r="D45" s="354" t="s">
        <v>1480</v>
      </c>
      <c r="E45" s="353" t="s">
        <v>24</v>
      </c>
      <c r="F45" s="353" t="s">
        <v>1481</v>
      </c>
      <c r="G45" s="369"/>
    </row>
    <row r="46" spans="1:7">
      <c r="A46" s="356" t="s">
        <v>1482</v>
      </c>
      <c r="B46" s="357"/>
      <c r="C46" s="370" t="s">
        <v>1483</v>
      </c>
      <c r="D46" s="371">
        <f>'MAQUINARIA Y EQUIPOS'!F13/8</f>
        <v>12643.75</v>
      </c>
      <c r="E46" s="372">
        <v>1.5</v>
      </c>
      <c r="F46" s="373">
        <f>+D46/E46</f>
        <v>8429.1666666666661</v>
      </c>
      <c r="G46" s="374"/>
    </row>
    <row r="47" spans="1:7">
      <c r="A47" s="356"/>
      <c r="B47" s="357"/>
      <c r="C47" s="370"/>
      <c r="D47" s="375"/>
      <c r="E47" s="372"/>
      <c r="F47" s="376"/>
      <c r="G47" s="374"/>
    </row>
    <row r="48" spans="1:7">
      <c r="A48" s="362"/>
      <c r="B48" s="363"/>
      <c r="C48" s="363"/>
      <c r="D48" s="377"/>
      <c r="E48" s="378" t="s">
        <v>1484</v>
      </c>
      <c r="F48" s="373">
        <f>+G60*0.05</f>
        <v>437.32500000000005</v>
      </c>
      <c r="G48" s="374"/>
    </row>
    <row r="49" spans="1:7">
      <c r="A49" s="362"/>
      <c r="B49" s="363"/>
      <c r="C49" s="363"/>
      <c r="D49" s="377"/>
      <c r="E49" s="1213" t="s">
        <v>1485</v>
      </c>
      <c r="F49" s="1214"/>
      <c r="G49" s="379">
        <f>SUM(F46:F48)</f>
        <v>8866.4916666666668</v>
      </c>
    </row>
    <row r="50" spans="1:7">
      <c r="A50" s="380"/>
      <c r="B50" s="377"/>
      <c r="C50" s="377"/>
      <c r="D50" s="377"/>
      <c r="E50" s="381"/>
      <c r="F50" s="381"/>
      <c r="G50" s="382"/>
    </row>
    <row r="51" spans="1:7">
      <c r="A51" s="1192" t="s">
        <v>1486</v>
      </c>
      <c r="B51" s="1193"/>
      <c r="C51" s="1193"/>
      <c r="D51" s="1193"/>
      <c r="E51" s="1193"/>
      <c r="F51" s="1193"/>
      <c r="G51" s="1194"/>
    </row>
    <row r="52" spans="1:7">
      <c r="A52" s="352" t="s">
        <v>1487</v>
      </c>
      <c r="B52" s="353" t="s">
        <v>1488</v>
      </c>
      <c r="C52" s="354" t="s">
        <v>1489</v>
      </c>
      <c r="D52" s="354" t="s">
        <v>1490</v>
      </c>
      <c r="E52" s="353" t="s">
        <v>1491</v>
      </c>
      <c r="F52" s="353" t="s">
        <v>1492</v>
      </c>
      <c r="G52" s="369"/>
    </row>
    <row r="53" spans="1:7">
      <c r="A53" s="362" t="s">
        <v>1493</v>
      </c>
      <c r="B53" s="383">
        <f>+E39</f>
        <v>0.74</v>
      </c>
      <c r="C53" s="384">
        <v>35</v>
      </c>
      <c r="D53" s="385">
        <f>+B53*C53</f>
        <v>25.9</v>
      </c>
      <c r="E53" s="373">
        <v>1250</v>
      </c>
      <c r="F53" s="373">
        <f>+D53*E53</f>
        <v>32375</v>
      </c>
      <c r="G53" s="361"/>
    </row>
    <row r="54" spans="1:7">
      <c r="A54" s="362" t="s">
        <v>1494</v>
      </c>
      <c r="B54" s="383">
        <f>+E38</f>
        <v>0.74</v>
      </c>
      <c r="C54" s="384">
        <v>35</v>
      </c>
      <c r="D54" s="385">
        <f>+B54*C54</f>
        <v>25.9</v>
      </c>
      <c r="E54" s="373">
        <v>1250</v>
      </c>
      <c r="F54" s="373">
        <f>+D54*E54</f>
        <v>32375</v>
      </c>
      <c r="G54" s="361"/>
    </row>
    <row r="55" spans="1:7">
      <c r="A55" s="365"/>
      <c r="B55" s="366"/>
      <c r="C55" s="366"/>
      <c r="D55" s="1215" t="s">
        <v>1495</v>
      </c>
      <c r="E55" s="1216"/>
      <c r="F55" s="1217"/>
      <c r="G55" s="367">
        <f>SUM(F53:F54)</f>
        <v>64750</v>
      </c>
    </row>
    <row r="56" spans="1:7">
      <c r="A56" s="362"/>
      <c r="B56" s="377"/>
      <c r="C56" s="377"/>
      <c r="D56" s="377"/>
      <c r="E56" s="377"/>
      <c r="F56" s="386"/>
      <c r="G56" s="361"/>
    </row>
    <row r="57" spans="1:7">
      <c r="A57" s="1192" t="s">
        <v>1496</v>
      </c>
      <c r="B57" s="1193"/>
      <c r="C57" s="1193"/>
      <c r="D57" s="1193"/>
      <c r="E57" s="1193"/>
      <c r="F57" s="1193"/>
      <c r="G57" s="1194"/>
    </row>
    <row r="58" spans="1:7">
      <c r="A58" s="1173" t="s">
        <v>1467</v>
      </c>
      <c r="B58" s="1174"/>
      <c r="C58" s="1175"/>
      <c r="D58" s="354" t="s">
        <v>1480</v>
      </c>
      <c r="E58" s="353" t="s">
        <v>24</v>
      </c>
      <c r="F58" s="353" t="s">
        <v>1481</v>
      </c>
      <c r="G58" s="369"/>
    </row>
    <row r="59" spans="1:7">
      <c r="A59" s="1176" t="str">
        <f>SALARIOS!A54</f>
        <v>CUADRILLA 1:4</v>
      </c>
      <c r="B59" s="1177"/>
      <c r="C59" s="1178"/>
      <c r="D59" s="387">
        <f>SALARIOS!D54</f>
        <v>52479</v>
      </c>
      <c r="E59" s="388">
        <v>6</v>
      </c>
      <c r="F59" s="394">
        <f>+D59/E59</f>
        <v>8746.5</v>
      </c>
      <c r="G59" s="361"/>
    </row>
    <row r="60" spans="1:7">
      <c r="A60" s="1221"/>
      <c r="B60" s="1222"/>
      <c r="C60" s="1223"/>
      <c r="D60" s="1215" t="s">
        <v>1497</v>
      </c>
      <c r="E60" s="1216"/>
      <c r="F60" s="1217"/>
      <c r="G60" s="389">
        <f>SUM(F59:F59)</f>
        <v>8746.5</v>
      </c>
    </row>
    <row r="61" spans="1:7" ht="13.8" thickBot="1">
      <c r="A61" s="1218" t="s">
        <v>25</v>
      </c>
      <c r="B61" s="1219"/>
      <c r="C61" s="1219"/>
      <c r="D61" s="1219"/>
      <c r="E61" s="1219"/>
      <c r="F61" s="1220"/>
      <c r="G61" s="390">
        <f>G42+G49+G55+G60</f>
        <v>604072.9916666667</v>
      </c>
    </row>
    <row r="62" spans="1:7" ht="13.8" thickBot="1"/>
    <row r="63" spans="1:7">
      <c r="A63" s="1186" t="s">
        <v>1532</v>
      </c>
      <c r="B63" s="1168" t="s">
        <v>77</v>
      </c>
      <c r="C63" s="1168"/>
      <c r="D63" s="1168"/>
      <c r="E63" s="1168"/>
      <c r="F63" s="1188" t="s">
        <v>1505</v>
      </c>
      <c r="G63" s="1190" t="s">
        <v>1465</v>
      </c>
    </row>
    <row r="64" spans="1:7">
      <c r="A64" s="1187"/>
      <c r="B64" s="1169"/>
      <c r="C64" s="1169"/>
      <c r="D64" s="1169"/>
      <c r="E64" s="1169"/>
      <c r="F64" s="1189"/>
      <c r="G64" s="1191"/>
    </row>
    <row r="65" spans="1:7">
      <c r="A65" s="1182" t="s">
        <v>1466</v>
      </c>
      <c r="B65" s="1183"/>
      <c r="C65" s="1183"/>
      <c r="D65" s="1183"/>
      <c r="E65" s="1183"/>
      <c r="F65" s="1183"/>
      <c r="G65" s="1184"/>
    </row>
    <row r="66" spans="1:7" ht="39.6">
      <c r="A66" s="395" t="s">
        <v>1467</v>
      </c>
      <c r="B66" s="396"/>
      <c r="C66" s="396" t="s">
        <v>3</v>
      </c>
      <c r="D66" s="396" t="s">
        <v>1468</v>
      </c>
      <c r="E66" s="396" t="s">
        <v>1469</v>
      </c>
      <c r="F66" s="396" t="s">
        <v>1470</v>
      </c>
      <c r="G66" s="397"/>
    </row>
    <row r="67" spans="1:7" s="402" customFormat="1">
      <c r="A67" s="398" t="s">
        <v>1471</v>
      </c>
      <c r="B67" s="399"/>
      <c r="C67" s="400" t="s">
        <v>1472</v>
      </c>
      <c r="D67" s="371">
        <f>'INSUMOS '!E71</f>
        <v>33500</v>
      </c>
      <c r="E67" s="400">
        <v>7.5</v>
      </c>
      <c r="F67" s="371">
        <f>D67*E67</f>
        <v>251250</v>
      </c>
      <c r="G67" s="401"/>
    </row>
    <row r="68" spans="1:7">
      <c r="A68" s="398" t="s">
        <v>1550</v>
      </c>
      <c r="B68" s="403"/>
      <c r="C68" s="404" t="s">
        <v>1465</v>
      </c>
      <c r="D68" s="415">
        <v>130000</v>
      </c>
      <c r="E68" s="404">
        <v>1.2</v>
      </c>
      <c r="F68" s="371">
        <f>D68*E68</f>
        <v>156000</v>
      </c>
      <c r="G68" s="405"/>
    </row>
    <row r="69" spans="1:7">
      <c r="A69" s="398" t="s">
        <v>1475</v>
      </c>
      <c r="B69" s="403"/>
      <c r="C69" s="404" t="s">
        <v>188</v>
      </c>
      <c r="D69" s="371">
        <v>88</v>
      </c>
      <c r="E69" s="404">
        <v>175</v>
      </c>
      <c r="F69" s="371">
        <f>D69*E69</f>
        <v>15400</v>
      </c>
      <c r="G69" s="405"/>
    </row>
    <row r="70" spans="1:7">
      <c r="A70" s="406"/>
      <c r="B70" s="403"/>
      <c r="C70" s="404"/>
      <c r="D70" s="403"/>
      <c r="E70" s="404"/>
      <c r="F70" s="403"/>
      <c r="G70" s="405"/>
    </row>
    <row r="71" spans="1:7">
      <c r="A71" s="398"/>
      <c r="B71" s="399"/>
      <c r="C71" s="399"/>
      <c r="D71" s="1189" t="s">
        <v>1476</v>
      </c>
      <c r="E71" s="1189"/>
      <c r="F71" s="1189"/>
      <c r="G71" s="407">
        <f>SUM(F67:F69)</f>
        <v>422650</v>
      </c>
    </row>
    <row r="72" spans="1:7">
      <c r="A72" s="406"/>
      <c r="B72" s="403"/>
      <c r="C72" s="403"/>
      <c r="D72" s="403"/>
      <c r="E72" s="403"/>
      <c r="F72" s="403"/>
      <c r="G72" s="405"/>
    </row>
    <row r="73" spans="1:7">
      <c r="A73" s="1182" t="s">
        <v>1477</v>
      </c>
      <c r="B73" s="1183"/>
      <c r="C73" s="1183"/>
      <c r="D73" s="1183"/>
      <c r="E73" s="1183"/>
      <c r="F73" s="1183"/>
      <c r="G73" s="1184"/>
    </row>
    <row r="74" spans="1:7">
      <c r="A74" s="395" t="s">
        <v>1478</v>
      </c>
      <c r="B74" s="396"/>
      <c r="C74" s="396" t="s">
        <v>1479</v>
      </c>
      <c r="D74" s="396"/>
      <c r="E74" s="396" t="s">
        <v>4</v>
      </c>
      <c r="F74" s="396" t="s">
        <v>1481</v>
      </c>
      <c r="G74" s="401"/>
    </row>
    <row r="75" spans="1:7" s="402" customFormat="1" ht="26.4">
      <c r="A75" s="398" t="s">
        <v>1507</v>
      </c>
      <c r="B75" s="399"/>
      <c r="C75" s="400" t="s">
        <v>900</v>
      </c>
      <c r="D75" s="399"/>
      <c r="E75" s="400">
        <v>0.05</v>
      </c>
      <c r="F75" s="399">
        <f>E75*G88</f>
        <v>437.32500000000005</v>
      </c>
      <c r="G75" s="401"/>
    </row>
    <row r="76" spans="1:7">
      <c r="A76" s="398"/>
      <c r="B76" s="403"/>
      <c r="C76" s="403"/>
      <c r="D76" s="403"/>
      <c r="E76" s="403"/>
      <c r="F76" s="403"/>
      <c r="G76" s="405"/>
    </row>
    <row r="77" spans="1:7">
      <c r="A77" s="406"/>
      <c r="B77" s="403"/>
      <c r="C77" s="403"/>
      <c r="D77" s="403"/>
      <c r="E77" s="408" t="s">
        <v>1484</v>
      </c>
      <c r="F77" s="371">
        <f>F75</f>
        <v>437.32500000000005</v>
      </c>
      <c r="G77" s="405"/>
    </row>
    <row r="78" spans="1:7">
      <c r="A78" s="406"/>
      <c r="B78" s="403"/>
      <c r="C78" s="403"/>
      <c r="D78" s="403"/>
      <c r="E78" s="1185" t="s">
        <v>1485</v>
      </c>
      <c r="F78" s="1185"/>
      <c r="G78" s="409">
        <f>F77</f>
        <v>437.32500000000005</v>
      </c>
    </row>
    <row r="79" spans="1:7">
      <c r="A79" s="406"/>
      <c r="B79" s="403"/>
      <c r="C79" s="403"/>
      <c r="D79" s="403"/>
      <c r="E79" s="403"/>
      <c r="F79" s="403"/>
      <c r="G79" s="405"/>
    </row>
    <row r="80" spans="1:7">
      <c r="A80" s="1182" t="s">
        <v>1486</v>
      </c>
      <c r="B80" s="1183"/>
      <c r="C80" s="1183"/>
      <c r="D80" s="1183"/>
      <c r="E80" s="1183"/>
      <c r="F80" s="1183"/>
      <c r="G80" s="1184"/>
    </row>
    <row r="81" spans="1:7">
      <c r="A81" s="395" t="s">
        <v>1487</v>
      </c>
      <c r="B81" s="396" t="s">
        <v>1506</v>
      </c>
      <c r="C81" s="396" t="s">
        <v>1489</v>
      </c>
      <c r="D81" s="396" t="s">
        <v>1490</v>
      </c>
      <c r="E81" s="396" t="s">
        <v>1491</v>
      </c>
      <c r="F81" s="396" t="s">
        <v>1492</v>
      </c>
      <c r="G81" s="401"/>
    </row>
    <row r="82" spans="1:7">
      <c r="A82" s="406"/>
      <c r="B82" s="404"/>
      <c r="C82" s="384"/>
      <c r="D82" s="410"/>
      <c r="E82" s="371"/>
      <c r="F82" s="371"/>
      <c r="G82" s="405"/>
    </row>
    <row r="83" spans="1:7">
      <c r="A83" s="398"/>
      <c r="B83" s="399"/>
      <c r="C83" s="399"/>
      <c r="D83" s="1167" t="s">
        <v>1495</v>
      </c>
      <c r="E83" s="1167"/>
      <c r="F83" s="1167"/>
      <c r="G83" s="411">
        <f>F82</f>
        <v>0</v>
      </c>
    </row>
    <row r="84" spans="1:7">
      <c r="A84" s="406"/>
      <c r="B84" s="403"/>
      <c r="C84" s="403"/>
      <c r="D84" s="403"/>
      <c r="E84" s="403"/>
      <c r="F84" s="403"/>
      <c r="G84" s="405"/>
    </row>
    <row r="85" spans="1:7">
      <c r="A85" s="1182" t="s">
        <v>1496</v>
      </c>
      <c r="B85" s="1183"/>
      <c r="C85" s="1183"/>
      <c r="D85" s="1183"/>
      <c r="E85" s="1183"/>
      <c r="F85" s="1183"/>
      <c r="G85" s="1184"/>
    </row>
    <row r="86" spans="1:7">
      <c r="A86" s="1173" t="s">
        <v>1467</v>
      </c>
      <c r="B86" s="1174"/>
      <c r="C86" s="1175"/>
      <c r="D86" s="354" t="s">
        <v>1480</v>
      </c>
      <c r="E86" s="353" t="s">
        <v>24</v>
      </c>
      <c r="F86" s="353" t="s">
        <v>1481</v>
      </c>
      <c r="G86" s="369"/>
    </row>
    <row r="87" spans="1:7">
      <c r="A87" s="1176" t="str">
        <f>SALARIOS!A54</f>
        <v>CUADRILLA 1:4</v>
      </c>
      <c r="B87" s="1177"/>
      <c r="C87" s="1178"/>
      <c r="D87" s="387">
        <f>SALARIOS!D54</f>
        <v>52479</v>
      </c>
      <c r="E87" s="388">
        <v>6</v>
      </c>
      <c r="F87" s="394">
        <f>+D87/E87</f>
        <v>8746.5</v>
      </c>
      <c r="G87" s="361"/>
    </row>
    <row r="88" spans="1:7">
      <c r="A88" s="1179"/>
      <c r="B88" s="1180"/>
      <c r="C88" s="1181"/>
      <c r="D88" s="1167" t="s">
        <v>1497</v>
      </c>
      <c r="E88" s="1167"/>
      <c r="F88" s="1167"/>
      <c r="G88" s="411">
        <f>F87</f>
        <v>8746.5</v>
      </c>
    </row>
    <row r="89" spans="1:7" ht="16.2" customHeight="1" thickBot="1">
      <c r="A89" s="1170" t="s">
        <v>25</v>
      </c>
      <c r="B89" s="1171"/>
      <c r="C89" s="1171"/>
      <c r="D89" s="1171"/>
      <c r="E89" s="1171"/>
      <c r="F89" s="1172"/>
      <c r="G89" s="412">
        <f>SUM(G71+G78+G83+G88)</f>
        <v>431833.82500000001</v>
      </c>
    </row>
    <row r="90" spans="1:7" ht="13.8" thickBot="1"/>
    <row r="91" spans="1:7">
      <c r="A91" s="1186" t="s">
        <v>1532</v>
      </c>
      <c r="B91" s="1168" t="s">
        <v>1026</v>
      </c>
      <c r="C91" s="1168"/>
      <c r="D91" s="1168"/>
      <c r="E91" s="1168"/>
      <c r="F91" s="1188" t="s">
        <v>1505</v>
      </c>
      <c r="G91" s="1190" t="s">
        <v>1465</v>
      </c>
    </row>
    <row r="92" spans="1:7">
      <c r="A92" s="1187"/>
      <c r="B92" s="1169"/>
      <c r="C92" s="1169"/>
      <c r="D92" s="1169"/>
      <c r="E92" s="1169"/>
      <c r="F92" s="1189"/>
      <c r="G92" s="1191"/>
    </row>
    <row r="93" spans="1:7">
      <c r="A93" s="1182" t="s">
        <v>1466</v>
      </c>
      <c r="B93" s="1183"/>
      <c r="C93" s="1183"/>
      <c r="D93" s="1183"/>
      <c r="E93" s="1183"/>
      <c r="F93" s="1183"/>
      <c r="G93" s="1184"/>
    </row>
    <row r="94" spans="1:7" ht="39.6">
      <c r="A94" s="395" t="s">
        <v>1467</v>
      </c>
      <c r="B94" s="396"/>
      <c r="C94" s="396" t="s">
        <v>3</v>
      </c>
      <c r="D94" s="396" t="s">
        <v>1468</v>
      </c>
      <c r="E94" s="396" t="s">
        <v>1469</v>
      </c>
      <c r="F94" s="396" t="s">
        <v>1470</v>
      </c>
      <c r="G94" s="397"/>
    </row>
    <row r="95" spans="1:7">
      <c r="A95" s="398" t="s">
        <v>1471</v>
      </c>
      <c r="B95" s="399"/>
      <c r="C95" s="400" t="s">
        <v>1472</v>
      </c>
      <c r="D95" s="371">
        <f>'INSUMOS '!E71</f>
        <v>33500</v>
      </c>
      <c r="E95" s="400">
        <v>9.4</v>
      </c>
      <c r="F95" s="371">
        <f>D95*E95</f>
        <v>314900</v>
      </c>
      <c r="G95" s="401"/>
    </row>
    <row r="96" spans="1:7">
      <c r="A96" s="398" t="s">
        <v>1550</v>
      </c>
      <c r="B96" s="403"/>
      <c r="C96" s="404" t="s">
        <v>1465</v>
      </c>
      <c r="D96" s="371">
        <v>130000</v>
      </c>
      <c r="E96" s="404">
        <v>1.2</v>
      </c>
      <c r="F96" s="371">
        <f>D96*E96</f>
        <v>156000</v>
      </c>
      <c r="G96" s="405"/>
    </row>
    <row r="97" spans="1:7">
      <c r="A97" s="398" t="s">
        <v>1475</v>
      </c>
      <c r="B97" s="403"/>
      <c r="C97" s="404" t="s">
        <v>188</v>
      </c>
      <c r="D97" s="371">
        <v>88</v>
      </c>
      <c r="E97" s="404">
        <v>175</v>
      </c>
      <c r="F97" s="371">
        <f>D97*E97</f>
        <v>15400</v>
      </c>
      <c r="G97" s="405"/>
    </row>
    <row r="98" spans="1:7">
      <c r="A98" s="406"/>
      <c r="B98" s="403"/>
      <c r="C98" s="404"/>
      <c r="D98" s="403"/>
      <c r="E98" s="404"/>
      <c r="F98" s="403"/>
      <c r="G98" s="405"/>
    </row>
    <row r="99" spans="1:7">
      <c r="A99" s="398"/>
      <c r="B99" s="399"/>
      <c r="C99" s="399"/>
      <c r="D99" s="1189" t="s">
        <v>1476</v>
      </c>
      <c r="E99" s="1189"/>
      <c r="F99" s="1189"/>
      <c r="G99" s="407">
        <f>SUM(F95:F97)</f>
        <v>486300</v>
      </c>
    </row>
    <row r="100" spans="1:7">
      <c r="A100" s="406"/>
      <c r="B100" s="403"/>
      <c r="C100" s="403"/>
      <c r="D100" s="403"/>
      <c r="E100" s="403"/>
      <c r="F100" s="403"/>
      <c r="G100" s="405"/>
    </row>
    <row r="101" spans="1:7">
      <c r="A101" s="1182" t="s">
        <v>1477</v>
      </c>
      <c r="B101" s="1183"/>
      <c r="C101" s="1183"/>
      <c r="D101" s="1183"/>
      <c r="E101" s="1183"/>
      <c r="F101" s="1183"/>
      <c r="G101" s="1184"/>
    </row>
    <row r="102" spans="1:7">
      <c r="A102" s="395" t="s">
        <v>1478</v>
      </c>
      <c r="B102" s="396"/>
      <c r="C102" s="396" t="s">
        <v>1479</v>
      </c>
      <c r="D102" s="396"/>
      <c r="E102" s="396" t="s">
        <v>4</v>
      </c>
      <c r="F102" s="396" t="s">
        <v>1481</v>
      </c>
      <c r="G102" s="401"/>
    </row>
    <row r="103" spans="1:7" ht="26.4">
      <c r="A103" s="398" t="s">
        <v>1507</v>
      </c>
      <c r="B103" s="399"/>
      <c r="C103" s="400" t="s">
        <v>900</v>
      </c>
      <c r="D103" s="399"/>
      <c r="E103" s="400">
        <v>0.05</v>
      </c>
      <c r="F103" s="399">
        <f>E103*G116</f>
        <v>437.32500000000005</v>
      </c>
      <c r="G103" s="401"/>
    </row>
    <row r="104" spans="1:7">
      <c r="A104" s="398"/>
      <c r="B104" s="403"/>
      <c r="C104" s="403"/>
      <c r="D104" s="403"/>
      <c r="E104" s="403"/>
      <c r="F104" s="403"/>
      <c r="G104" s="405"/>
    </row>
    <row r="105" spans="1:7">
      <c r="A105" s="406"/>
      <c r="B105" s="403"/>
      <c r="C105" s="403"/>
      <c r="D105" s="403"/>
      <c r="E105" s="408" t="s">
        <v>1484</v>
      </c>
      <c r="F105" s="371">
        <f>F103</f>
        <v>437.32500000000005</v>
      </c>
      <c r="G105" s="405"/>
    </row>
    <row r="106" spans="1:7">
      <c r="A106" s="406"/>
      <c r="B106" s="403"/>
      <c r="C106" s="403"/>
      <c r="D106" s="403"/>
      <c r="E106" s="1185" t="s">
        <v>1485</v>
      </c>
      <c r="F106" s="1185"/>
      <c r="G106" s="409">
        <f>F105</f>
        <v>437.32500000000005</v>
      </c>
    </row>
    <row r="107" spans="1:7">
      <c r="A107" s="406"/>
      <c r="B107" s="403"/>
      <c r="C107" s="403"/>
      <c r="D107" s="403"/>
      <c r="E107" s="403"/>
      <c r="F107" s="403"/>
      <c r="G107" s="405"/>
    </row>
    <row r="108" spans="1:7">
      <c r="A108" s="1182" t="s">
        <v>1486</v>
      </c>
      <c r="B108" s="1183"/>
      <c r="C108" s="1183"/>
      <c r="D108" s="1183"/>
      <c r="E108" s="1183"/>
      <c r="F108" s="1183"/>
      <c r="G108" s="1184"/>
    </row>
    <row r="109" spans="1:7">
      <c r="A109" s="395" t="s">
        <v>1487</v>
      </c>
      <c r="B109" s="396" t="s">
        <v>1506</v>
      </c>
      <c r="C109" s="396" t="s">
        <v>1489</v>
      </c>
      <c r="D109" s="396" t="s">
        <v>1490</v>
      </c>
      <c r="E109" s="396" t="s">
        <v>1491</v>
      </c>
      <c r="F109" s="396" t="s">
        <v>1492</v>
      </c>
      <c r="G109" s="401"/>
    </row>
    <row r="110" spans="1:7">
      <c r="A110" s="406"/>
      <c r="B110" s="404"/>
      <c r="C110" s="384"/>
      <c r="D110" s="410"/>
      <c r="E110" s="371"/>
      <c r="F110" s="371"/>
      <c r="G110" s="405"/>
    </row>
    <row r="111" spans="1:7">
      <c r="A111" s="398"/>
      <c r="B111" s="399"/>
      <c r="C111" s="399"/>
      <c r="D111" s="1167" t="s">
        <v>1495</v>
      </c>
      <c r="E111" s="1167"/>
      <c r="F111" s="1167"/>
      <c r="G111" s="411">
        <f>F110</f>
        <v>0</v>
      </c>
    </row>
    <row r="112" spans="1:7">
      <c r="A112" s="406"/>
      <c r="B112" s="403"/>
      <c r="C112" s="403"/>
      <c r="D112" s="403"/>
      <c r="E112" s="403"/>
      <c r="F112" s="403"/>
      <c r="G112" s="405"/>
    </row>
    <row r="113" spans="1:7">
      <c r="A113" s="1182" t="s">
        <v>1496</v>
      </c>
      <c r="B113" s="1183"/>
      <c r="C113" s="1183"/>
      <c r="D113" s="1183"/>
      <c r="E113" s="1183"/>
      <c r="F113" s="1183"/>
      <c r="G113" s="1184"/>
    </row>
    <row r="114" spans="1:7">
      <c r="A114" s="1173" t="s">
        <v>1467</v>
      </c>
      <c r="B114" s="1174"/>
      <c r="C114" s="1175"/>
      <c r="D114" s="354" t="s">
        <v>1480</v>
      </c>
      <c r="E114" s="353" t="s">
        <v>24</v>
      </c>
      <c r="F114" s="353" t="s">
        <v>1481</v>
      </c>
      <c r="G114" s="369"/>
    </row>
    <row r="115" spans="1:7">
      <c r="A115" s="1176" t="str">
        <f>SALARIOS!A54</f>
        <v>CUADRILLA 1:4</v>
      </c>
      <c r="B115" s="1177"/>
      <c r="C115" s="1178"/>
      <c r="D115" s="387">
        <f>SALARIOS!D54</f>
        <v>52479</v>
      </c>
      <c r="E115" s="388">
        <v>6</v>
      </c>
      <c r="F115" s="394">
        <f>+D115/E115</f>
        <v>8746.5</v>
      </c>
      <c r="G115" s="361"/>
    </row>
    <row r="116" spans="1:7">
      <c r="A116" s="1179"/>
      <c r="B116" s="1180"/>
      <c r="C116" s="1181"/>
      <c r="D116" s="1167" t="s">
        <v>1497</v>
      </c>
      <c r="E116" s="1167"/>
      <c r="F116" s="1167"/>
      <c r="G116" s="411">
        <f>F115</f>
        <v>8746.5</v>
      </c>
    </row>
    <row r="117" spans="1:7" ht="13.8" thickBot="1">
      <c r="A117" s="1170" t="s">
        <v>25</v>
      </c>
      <c r="B117" s="1171"/>
      <c r="C117" s="1171"/>
      <c r="D117" s="1171"/>
      <c r="E117" s="1171"/>
      <c r="F117" s="1172"/>
      <c r="G117" s="412">
        <f>SUM(G99+G106+G111+G116)</f>
        <v>495483.82500000001</v>
      </c>
    </row>
    <row r="118" spans="1:7" ht="13.8" thickBot="1"/>
    <row r="119" spans="1:7">
      <c r="A119" s="1186" t="s">
        <v>1532</v>
      </c>
      <c r="B119" s="1168" t="s">
        <v>114</v>
      </c>
      <c r="C119" s="1168"/>
      <c r="D119" s="1168"/>
      <c r="E119" s="1168"/>
      <c r="F119" s="1188" t="s">
        <v>1505</v>
      </c>
      <c r="G119" s="1190" t="s">
        <v>1465</v>
      </c>
    </row>
    <row r="120" spans="1:7">
      <c r="A120" s="1187"/>
      <c r="B120" s="1169"/>
      <c r="C120" s="1169"/>
      <c r="D120" s="1169"/>
      <c r="E120" s="1169"/>
      <c r="F120" s="1189"/>
      <c r="G120" s="1191"/>
    </row>
    <row r="121" spans="1:7">
      <c r="A121" s="1182" t="s">
        <v>1466</v>
      </c>
      <c r="B121" s="1183"/>
      <c r="C121" s="1183"/>
      <c r="D121" s="1183"/>
      <c r="E121" s="1183"/>
      <c r="F121" s="1183"/>
      <c r="G121" s="1184"/>
    </row>
    <row r="122" spans="1:7" ht="39.6">
      <c r="A122" s="395" t="s">
        <v>1467</v>
      </c>
      <c r="B122" s="396"/>
      <c r="C122" s="396" t="s">
        <v>3</v>
      </c>
      <c r="D122" s="396" t="s">
        <v>1468</v>
      </c>
      <c r="E122" s="396" t="s">
        <v>1469</v>
      </c>
      <c r="F122" s="396" t="s">
        <v>1470</v>
      </c>
      <c r="G122" s="397"/>
    </row>
    <row r="123" spans="1:7">
      <c r="A123" s="398" t="s">
        <v>1471</v>
      </c>
      <c r="B123" s="399"/>
      <c r="C123" s="400" t="s">
        <v>1472</v>
      </c>
      <c r="D123" s="371">
        <f>'INSUMOS '!E71</f>
        <v>33500</v>
      </c>
      <c r="E123" s="400">
        <v>7.6</v>
      </c>
      <c r="F123" s="371">
        <f>D123*E123</f>
        <v>254600</v>
      </c>
      <c r="G123" s="401"/>
    </row>
    <row r="124" spans="1:7">
      <c r="A124" s="398" t="s">
        <v>1543</v>
      </c>
      <c r="B124" s="399"/>
      <c r="C124" s="400" t="s">
        <v>34</v>
      </c>
      <c r="D124" s="371">
        <f>'INSUMOS '!E330</f>
        <v>1990</v>
      </c>
      <c r="E124" s="400">
        <v>95</v>
      </c>
      <c r="F124" s="371">
        <f>D124*E124</f>
        <v>189050</v>
      </c>
      <c r="G124" s="401"/>
    </row>
    <row r="125" spans="1:7">
      <c r="A125" s="398" t="s">
        <v>1547</v>
      </c>
      <c r="B125" s="403"/>
      <c r="C125" s="404" t="s">
        <v>34</v>
      </c>
      <c r="D125" s="371">
        <f>'INSUMOS '!E328</f>
        <v>159.75</v>
      </c>
      <c r="E125" s="404">
        <v>1465</v>
      </c>
      <c r="F125" s="371">
        <f>D125*E125</f>
        <v>234033.75</v>
      </c>
      <c r="G125" s="405"/>
    </row>
    <row r="126" spans="1:7">
      <c r="A126" s="398" t="s">
        <v>1475</v>
      </c>
      <c r="B126" s="403"/>
      <c r="C126" s="404" t="s">
        <v>188</v>
      </c>
      <c r="D126" s="371">
        <v>88</v>
      </c>
      <c r="E126" s="404">
        <v>175</v>
      </c>
      <c r="F126" s="371">
        <f>D126*E126</f>
        <v>15400</v>
      </c>
      <c r="G126" s="405"/>
    </row>
    <row r="127" spans="1:7">
      <c r="A127" s="406"/>
      <c r="B127" s="403"/>
      <c r="C127" s="404"/>
      <c r="D127" s="403"/>
      <c r="E127" s="404"/>
      <c r="F127" s="403"/>
      <c r="G127" s="405"/>
    </row>
    <row r="128" spans="1:7">
      <c r="A128" s="398"/>
      <c r="B128" s="399"/>
      <c r="C128" s="399"/>
      <c r="D128" s="1189" t="s">
        <v>1476</v>
      </c>
      <c r="E128" s="1189"/>
      <c r="F128" s="1189"/>
      <c r="G128" s="407">
        <f>SUM(F123:F126)</f>
        <v>693083.75</v>
      </c>
    </row>
    <row r="129" spans="1:7">
      <c r="A129" s="406"/>
      <c r="B129" s="403"/>
      <c r="C129" s="403"/>
      <c r="D129" s="403"/>
      <c r="E129" s="403"/>
      <c r="F129" s="403"/>
      <c r="G129" s="405"/>
    </row>
    <row r="130" spans="1:7">
      <c r="A130" s="1182" t="s">
        <v>1477</v>
      </c>
      <c r="B130" s="1183"/>
      <c r="C130" s="1183"/>
      <c r="D130" s="1183"/>
      <c r="E130" s="1183"/>
      <c r="F130" s="1183"/>
      <c r="G130" s="1184"/>
    </row>
    <row r="131" spans="1:7">
      <c r="A131" s="395" t="s">
        <v>1478</v>
      </c>
      <c r="B131" s="396"/>
      <c r="C131" s="396" t="s">
        <v>1479</v>
      </c>
      <c r="D131" s="396"/>
      <c r="E131" s="396" t="s">
        <v>4</v>
      </c>
      <c r="F131" s="396" t="s">
        <v>1481</v>
      </c>
      <c r="G131" s="401"/>
    </row>
    <row r="132" spans="1:7" ht="26.4">
      <c r="A132" s="398" t="s">
        <v>1507</v>
      </c>
      <c r="B132" s="399"/>
      <c r="C132" s="400" t="s">
        <v>900</v>
      </c>
      <c r="D132" s="399"/>
      <c r="E132" s="400">
        <v>0.05</v>
      </c>
      <c r="F132" s="399">
        <f>E132*G145</f>
        <v>437.32500000000005</v>
      </c>
      <c r="G132" s="401"/>
    </row>
    <row r="133" spans="1:7">
      <c r="A133" s="398"/>
      <c r="B133" s="403"/>
      <c r="C133" s="403"/>
      <c r="D133" s="403"/>
      <c r="E133" s="403"/>
      <c r="F133" s="403"/>
      <c r="G133" s="405"/>
    </row>
    <row r="134" spans="1:7">
      <c r="A134" s="406"/>
      <c r="B134" s="403"/>
      <c r="C134" s="403"/>
      <c r="D134" s="403"/>
      <c r="E134" s="408" t="s">
        <v>1484</v>
      </c>
      <c r="F134" s="371">
        <f>F132</f>
        <v>437.32500000000005</v>
      </c>
      <c r="G134" s="405"/>
    </row>
    <row r="135" spans="1:7">
      <c r="A135" s="406"/>
      <c r="B135" s="403"/>
      <c r="C135" s="403"/>
      <c r="D135" s="403"/>
      <c r="E135" s="1185" t="s">
        <v>1485</v>
      </c>
      <c r="F135" s="1185"/>
      <c r="G135" s="409">
        <f>F134</f>
        <v>437.32500000000005</v>
      </c>
    </row>
    <row r="136" spans="1:7">
      <c r="A136" s="406"/>
      <c r="B136" s="403"/>
      <c r="C136" s="403"/>
      <c r="D136" s="403"/>
      <c r="E136" s="403"/>
      <c r="F136" s="403"/>
      <c r="G136" s="405"/>
    </row>
    <row r="137" spans="1:7">
      <c r="A137" s="1182" t="s">
        <v>1486</v>
      </c>
      <c r="B137" s="1183"/>
      <c r="C137" s="1183"/>
      <c r="D137" s="1183"/>
      <c r="E137" s="1183"/>
      <c r="F137" s="1183"/>
      <c r="G137" s="1184"/>
    </row>
    <row r="138" spans="1:7">
      <c r="A138" s="395" t="s">
        <v>1487</v>
      </c>
      <c r="B138" s="396" t="s">
        <v>1506</v>
      </c>
      <c r="C138" s="396" t="s">
        <v>1489</v>
      </c>
      <c r="D138" s="396" t="s">
        <v>1490</v>
      </c>
      <c r="E138" s="396" t="s">
        <v>1491</v>
      </c>
      <c r="F138" s="396" t="s">
        <v>1492</v>
      </c>
      <c r="G138" s="401"/>
    </row>
    <row r="139" spans="1:7">
      <c r="A139" s="406"/>
      <c r="B139" s="404"/>
      <c r="C139" s="384"/>
      <c r="D139" s="410"/>
      <c r="E139" s="371"/>
      <c r="F139" s="371"/>
      <c r="G139" s="405"/>
    </row>
    <row r="140" spans="1:7">
      <c r="A140" s="398"/>
      <c r="B140" s="399"/>
      <c r="C140" s="399"/>
      <c r="D140" s="1167" t="s">
        <v>1495</v>
      </c>
      <c r="E140" s="1167"/>
      <c r="F140" s="1167"/>
      <c r="G140" s="411">
        <f>F139</f>
        <v>0</v>
      </c>
    </row>
    <row r="141" spans="1:7">
      <c r="A141" s="406"/>
      <c r="B141" s="403"/>
      <c r="C141" s="403"/>
      <c r="D141" s="403"/>
      <c r="E141" s="403"/>
      <c r="F141" s="403"/>
      <c r="G141" s="405"/>
    </row>
    <row r="142" spans="1:7">
      <c r="A142" s="1182" t="s">
        <v>1496</v>
      </c>
      <c r="B142" s="1183"/>
      <c r="C142" s="1183"/>
      <c r="D142" s="1183"/>
      <c r="E142" s="1183"/>
      <c r="F142" s="1183"/>
      <c r="G142" s="1184"/>
    </row>
    <row r="143" spans="1:7">
      <c r="A143" s="1173" t="s">
        <v>1467</v>
      </c>
      <c r="B143" s="1174"/>
      <c r="C143" s="1175"/>
      <c r="D143" s="354" t="s">
        <v>1480</v>
      </c>
      <c r="E143" s="353" t="s">
        <v>24</v>
      </c>
      <c r="F143" s="353" t="s">
        <v>1481</v>
      </c>
      <c r="G143" s="369"/>
    </row>
    <row r="144" spans="1:7">
      <c r="A144" s="1176" t="str">
        <f>SALARIOS!A54</f>
        <v>CUADRILLA 1:4</v>
      </c>
      <c r="B144" s="1177"/>
      <c r="C144" s="1178"/>
      <c r="D144" s="387">
        <f>SALARIOS!D54</f>
        <v>52479</v>
      </c>
      <c r="E144" s="388">
        <v>6</v>
      </c>
      <c r="F144" s="394">
        <f>+D144/E144</f>
        <v>8746.5</v>
      </c>
      <c r="G144" s="361"/>
    </row>
    <row r="145" spans="1:7">
      <c r="A145" s="1179"/>
      <c r="B145" s="1180"/>
      <c r="C145" s="1181"/>
      <c r="D145" s="1167" t="s">
        <v>1497</v>
      </c>
      <c r="E145" s="1167"/>
      <c r="F145" s="1167"/>
      <c r="G145" s="411">
        <f>F144</f>
        <v>8746.5</v>
      </c>
    </row>
    <row r="146" spans="1:7" ht="13.8" thickBot="1">
      <c r="A146" s="1170" t="s">
        <v>25</v>
      </c>
      <c r="B146" s="1171"/>
      <c r="C146" s="1171"/>
      <c r="D146" s="1171"/>
      <c r="E146" s="1171"/>
      <c r="F146" s="1172"/>
      <c r="G146" s="412">
        <f>SUM(G128+G135+G140+G145)</f>
        <v>702267.57499999995</v>
      </c>
    </row>
    <row r="147" spans="1:7" ht="13.8" thickBot="1"/>
    <row r="148" spans="1:7">
      <c r="A148" s="1198" t="s">
        <v>1531</v>
      </c>
      <c r="B148" s="1200" t="s">
        <v>2757</v>
      </c>
      <c r="C148" s="1201"/>
      <c r="D148" s="1201"/>
      <c r="E148" s="1202"/>
      <c r="F148" s="1206" t="s">
        <v>1464</v>
      </c>
      <c r="G148" s="1208" t="s">
        <v>1465</v>
      </c>
    </row>
    <row r="149" spans="1:7">
      <c r="A149" s="1199"/>
      <c r="B149" s="1203"/>
      <c r="C149" s="1204"/>
      <c r="D149" s="1204"/>
      <c r="E149" s="1205"/>
      <c r="F149" s="1207"/>
      <c r="G149" s="1209"/>
    </row>
    <row r="150" spans="1:7">
      <c r="A150" s="1192" t="s">
        <v>1466</v>
      </c>
      <c r="B150" s="1193"/>
      <c r="C150" s="1193"/>
      <c r="D150" s="1193"/>
      <c r="E150" s="1193"/>
      <c r="F150" s="1193"/>
      <c r="G150" s="1194"/>
    </row>
    <row r="151" spans="1:7" ht="39.6">
      <c r="A151" s="352" t="s">
        <v>1467</v>
      </c>
      <c r="B151" s="353"/>
      <c r="C151" s="354" t="s">
        <v>3</v>
      </c>
      <c r="D151" s="354" t="s">
        <v>1468</v>
      </c>
      <c r="E151" s="353" t="s">
        <v>1469</v>
      </c>
      <c r="F151" s="353" t="s">
        <v>1470</v>
      </c>
      <c r="G151" s="355"/>
    </row>
    <row r="152" spans="1:7">
      <c r="A152" s="356" t="s">
        <v>1471</v>
      </c>
      <c r="B152" s="357"/>
      <c r="C152" s="358" t="s">
        <v>1472</v>
      </c>
      <c r="D152" s="359">
        <f>'INSUMOS '!E71</f>
        <v>33500</v>
      </c>
      <c r="E152" s="358">
        <v>4</v>
      </c>
      <c r="F152" s="360">
        <f>+D152*E152</f>
        <v>134000</v>
      </c>
      <c r="G152" s="361"/>
    </row>
    <row r="153" spans="1:7">
      <c r="A153" s="356" t="s">
        <v>1473</v>
      </c>
      <c r="B153" s="357"/>
      <c r="C153" s="358" t="s">
        <v>1465</v>
      </c>
      <c r="D153" s="392">
        <f>+D8</f>
        <v>150000</v>
      </c>
      <c r="E153" s="358">
        <v>0.7</v>
      </c>
      <c r="F153" s="360">
        <f>+D153*E153</f>
        <v>105000</v>
      </c>
      <c r="G153" s="361"/>
    </row>
    <row r="154" spans="1:7">
      <c r="A154" s="356" t="s">
        <v>1474</v>
      </c>
      <c r="B154" s="357"/>
      <c r="C154" s="358" t="s">
        <v>1465</v>
      </c>
      <c r="D154" s="392">
        <f>+D9</f>
        <v>150000</v>
      </c>
      <c r="E154" s="358">
        <v>1.1000000000000001</v>
      </c>
      <c r="F154" s="360">
        <f>+D154*E154</f>
        <v>165000</v>
      </c>
      <c r="G154" s="361"/>
    </row>
    <row r="155" spans="1:7">
      <c r="A155" s="356" t="s">
        <v>1475</v>
      </c>
      <c r="B155" s="357"/>
      <c r="C155" s="358" t="s">
        <v>188</v>
      </c>
      <c r="D155" s="359">
        <v>88</v>
      </c>
      <c r="E155" s="358">
        <v>135</v>
      </c>
      <c r="F155" s="360">
        <f>+D155*E155</f>
        <v>11880</v>
      </c>
      <c r="G155" s="361"/>
    </row>
    <row r="156" spans="1:7">
      <c r="A156" s="362"/>
      <c r="B156" s="357"/>
      <c r="C156" s="358"/>
      <c r="D156" s="363"/>
      <c r="E156" s="358"/>
      <c r="F156" s="364"/>
      <c r="G156" s="361"/>
    </row>
    <row r="157" spans="1:7">
      <c r="A157" s="365"/>
      <c r="B157" s="366"/>
      <c r="C157" s="366"/>
      <c r="D157" s="1210" t="s">
        <v>1476</v>
      </c>
      <c r="E157" s="1211"/>
      <c r="F157" s="1212"/>
      <c r="G157" s="367">
        <f>SUM(F152:F156)</f>
        <v>415880</v>
      </c>
    </row>
    <row r="158" spans="1:7">
      <c r="A158" s="362"/>
      <c r="B158" s="368"/>
      <c r="C158" s="368"/>
      <c r="D158" s="368"/>
      <c r="E158" s="368"/>
      <c r="F158" s="368"/>
      <c r="G158" s="361"/>
    </row>
    <row r="159" spans="1:7">
      <c r="A159" s="1192" t="s">
        <v>1477</v>
      </c>
      <c r="B159" s="1193"/>
      <c r="C159" s="1193"/>
      <c r="D159" s="1193"/>
      <c r="E159" s="1193"/>
      <c r="F159" s="1193"/>
      <c r="G159" s="1194"/>
    </row>
    <row r="160" spans="1:7">
      <c r="A160" s="352" t="s">
        <v>1478</v>
      </c>
      <c r="B160" s="353"/>
      <c r="C160" s="354" t="s">
        <v>1479</v>
      </c>
      <c r="D160" s="354" t="s">
        <v>1480</v>
      </c>
      <c r="E160" s="353" t="s">
        <v>24</v>
      </c>
      <c r="F160" s="353" t="s">
        <v>1481</v>
      </c>
      <c r="G160" s="369"/>
    </row>
    <row r="161" spans="1:7">
      <c r="A161" s="356" t="s">
        <v>1482</v>
      </c>
      <c r="B161" s="357"/>
      <c r="C161" s="370" t="s">
        <v>1483</v>
      </c>
      <c r="D161" s="371">
        <f>'MAQUINARIA Y EQUIPOS'!F158/8</f>
        <v>0</v>
      </c>
      <c r="E161" s="372">
        <v>1.5</v>
      </c>
      <c r="F161" s="373">
        <f>+D161/E161</f>
        <v>0</v>
      </c>
      <c r="G161" s="374"/>
    </row>
    <row r="162" spans="1:7">
      <c r="A162" s="356"/>
      <c r="B162" s="357"/>
      <c r="C162" s="370"/>
      <c r="D162" s="375"/>
      <c r="E162" s="372"/>
      <c r="F162" s="376"/>
      <c r="G162" s="374"/>
    </row>
    <row r="163" spans="1:7">
      <c r="A163" s="362"/>
      <c r="B163" s="363"/>
      <c r="C163" s="363"/>
      <c r="D163" s="377"/>
      <c r="E163" s="378" t="s">
        <v>1484</v>
      </c>
      <c r="F163" s="373">
        <f>+G175*0.05</f>
        <v>437.32500000000005</v>
      </c>
      <c r="G163" s="374"/>
    </row>
    <row r="164" spans="1:7">
      <c r="A164" s="362"/>
      <c r="B164" s="363"/>
      <c r="C164" s="363"/>
      <c r="D164" s="377"/>
      <c r="E164" s="1213" t="s">
        <v>1485</v>
      </c>
      <c r="F164" s="1214"/>
      <c r="G164" s="379">
        <f>SUM(F161:F163)</f>
        <v>437.32500000000005</v>
      </c>
    </row>
    <row r="165" spans="1:7">
      <c r="A165" s="380"/>
      <c r="B165" s="377"/>
      <c r="C165" s="377"/>
      <c r="D165" s="377"/>
      <c r="E165" s="381"/>
      <c r="F165" s="381"/>
      <c r="G165" s="382"/>
    </row>
    <row r="166" spans="1:7">
      <c r="A166" s="1192" t="s">
        <v>1486</v>
      </c>
      <c r="B166" s="1193"/>
      <c r="C166" s="1193"/>
      <c r="D166" s="1193"/>
      <c r="E166" s="1193"/>
      <c r="F166" s="1193"/>
      <c r="G166" s="1194"/>
    </row>
    <row r="167" spans="1:7">
      <c r="A167" s="352" t="s">
        <v>1487</v>
      </c>
      <c r="B167" s="353" t="s">
        <v>1488</v>
      </c>
      <c r="C167" s="354" t="s">
        <v>1489</v>
      </c>
      <c r="D167" s="354" t="s">
        <v>1490</v>
      </c>
      <c r="E167" s="353" t="s">
        <v>1491</v>
      </c>
      <c r="F167" s="353" t="s">
        <v>1492</v>
      </c>
      <c r="G167" s="369"/>
    </row>
    <row r="168" spans="1:7">
      <c r="A168" s="362" t="s">
        <v>1493</v>
      </c>
      <c r="B168" s="383">
        <f>+E154</f>
        <v>1.1000000000000001</v>
      </c>
      <c r="C168" s="384">
        <v>35</v>
      </c>
      <c r="D168" s="385">
        <f>+B168*C168</f>
        <v>38.5</v>
      </c>
      <c r="E168" s="373">
        <v>1250</v>
      </c>
      <c r="F168" s="373">
        <f>+D168*E168</f>
        <v>48125</v>
      </c>
      <c r="G168" s="361"/>
    </row>
    <row r="169" spans="1:7">
      <c r="A169" s="362" t="s">
        <v>1494</v>
      </c>
      <c r="B169" s="383">
        <f>+E153</f>
        <v>0.7</v>
      </c>
      <c r="C169" s="384">
        <v>35</v>
      </c>
      <c r="D169" s="385">
        <f>+B169*C169</f>
        <v>24.5</v>
      </c>
      <c r="E169" s="373">
        <v>1250</v>
      </c>
      <c r="F169" s="373">
        <f>+D169*E169</f>
        <v>30625</v>
      </c>
      <c r="G169" s="361"/>
    </row>
    <row r="170" spans="1:7">
      <c r="A170" s="365"/>
      <c r="B170" s="366"/>
      <c r="C170" s="366"/>
      <c r="D170" s="1215" t="s">
        <v>1495</v>
      </c>
      <c r="E170" s="1216"/>
      <c r="F170" s="1217"/>
      <c r="G170" s="367">
        <f>SUM(F168:F169)</f>
        <v>78750</v>
      </c>
    </row>
    <row r="171" spans="1:7">
      <c r="A171" s="362"/>
      <c r="B171" s="377"/>
      <c r="C171" s="377"/>
      <c r="D171" s="377"/>
      <c r="E171" s="377"/>
      <c r="F171" s="386"/>
      <c r="G171" s="361"/>
    </row>
    <row r="172" spans="1:7">
      <c r="A172" s="1192" t="s">
        <v>1496</v>
      </c>
      <c r="B172" s="1193"/>
      <c r="C172" s="1193"/>
      <c r="D172" s="1193"/>
      <c r="E172" s="1193"/>
      <c r="F172" s="1193"/>
      <c r="G172" s="1194"/>
    </row>
    <row r="173" spans="1:7">
      <c r="A173" s="1173" t="s">
        <v>1467</v>
      </c>
      <c r="B173" s="1174"/>
      <c r="C173" s="1175"/>
      <c r="D173" s="354" t="s">
        <v>1480</v>
      </c>
      <c r="E173" s="353" t="s">
        <v>24</v>
      </c>
      <c r="F173" s="353" t="s">
        <v>1481</v>
      </c>
      <c r="G173" s="369"/>
    </row>
    <row r="174" spans="1:7">
      <c r="A174" s="1176" t="str">
        <f>SALARIOS!A54</f>
        <v>CUADRILLA 1:4</v>
      </c>
      <c r="B174" s="1177"/>
      <c r="C174" s="1178"/>
      <c r="D174" s="387">
        <f>SALARIOS!D54</f>
        <v>52479</v>
      </c>
      <c r="E174" s="388">
        <v>6</v>
      </c>
      <c r="F174" s="373">
        <f>D174/E174</f>
        <v>8746.5</v>
      </c>
      <c r="G174" s="361"/>
    </row>
    <row r="175" spans="1:7">
      <c r="A175" s="1221"/>
      <c r="B175" s="1222"/>
      <c r="C175" s="1223"/>
      <c r="D175" s="1215" t="s">
        <v>1497</v>
      </c>
      <c r="E175" s="1216"/>
      <c r="F175" s="1217"/>
      <c r="G175" s="389">
        <f>SUM(F174:F174)</f>
        <v>8746.5</v>
      </c>
    </row>
    <row r="176" spans="1:7" ht="13.8" thickBot="1">
      <c r="A176" s="1218" t="s">
        <v>25</v>
      </c>
      <c r="B176" s="1219"/>
      <c r="C176" s="1219"/>
      <c r="D176" s="1219"/>
      <c r="E176" s="1219"/>
      <c r="F176" s="1220"/>
      <c r="G176" s="390">
        <f>G157+G164+G170+G175</f>
        <v>503813.82500000001</v>
      </c>
    </row>
  </sheetData>
  <mergeCells count="97">
    <mergeCell ref="A176:F176"/>
    <mergeCell ref="A172:G172"/>
    <mergeCell ref="A173:C173"/>
    <mergeCell ref="A174:C174"/>
    <mergeCell ref="A175:C175"/>
    <mergeCell ref="D175:F175"/>
    <mergeCell ref="D157:F157"/>
    <mergeCell ref="A159:G159"/>
    <mergeCell ref="E164:F164"/>
    <mergeCell ref="A166:G166"/>
    <mergeCell ref="D170:F170"/>
    <mergeCell ref="A148:A149"/>
    <mergeCell ref="B148:E149"/>
    <mergeCell ref="F148:F149"/>
    <mergeCell ref="G148:G149"/>
    <mergeCell ref="A150:G150"/>
    <mergeCell ref="A146:F146"/>
    <mergeCell ref="A142:G142"/>
    <mergeCell ref="A143:C143"/>
    <mergeCell ref="A144:C144"/>
    <mergeCell ref="A145:C145"/>
    <mergeCell ref="D145:F145"/>
    <mergeCell ref="D128:F128"/>
    <mergeCell ref="A130:G130"/>
    <mergeCell ref="E135:F135"/>
    <mergeCell ref="A137:G137"/>
    <mergeCell ref="D140:F140"/>
    <mergeCell ref="A119:A120"/>
    <mergeCell ref="B119:E120"/>
    <mergeCell ref="F119:F120"/>
    <mergeCell ref="G119:G120"/>
    <mergeCell ref="A121:G121"/>
    <mergeCell ref="A117:F117"/>
    <mergeCell ref="A113:G113"/>
    <mergeCell ref="A114:C114"/>
    <mergeCell ref="A115:C115"/>
    <mergeCell ref="A116:C116"/>
    <mergeCell ref="D116:F116"/>
    <mergeCell ref="D99:F99"/>
    <mergeCell ref="A101:G101"/>
    <mergeCell ref="E106:F106"/>
    <mergeCell ref="A108:G108"/>
    <mergeCell ref="D111:F111"/>
    <mergeCell ref="A91:A92"/>
    <mergeCell ref="B91:E92"/>
    <mergeCell ref="F91:F92"/>
    <mergeCell ref="G91:G92"/>
    <mergeCell ref="A93:G93"/>
    <mergeCell ref="A57:G57"/>
    <mergeCell ref="D60:F60"/>
    <mergeCell ref="A61:F61"/>
    <mergeCell ref="A28:C28"/>
    <mergeCell ref="A29:C29"/>
    <mergeCell ref="A30:C30"/>
    <mergeCell ref="A58:C58"/>
    <mergeCell ref="A59:C59"/>
    <mergeCell ref="A60:C60"/>
    <mergeCell ref="A35:G35"/>
    <mergeCell ref="D42:F42"/>
    <mergeCell ref="A44:G44"/>
    <mergeCell ref="E49:F49"/>
    <mergeCell ref="A51:G51"/>
    <mergeCell ref="D55:F55"/>
    <mergeCell ref="D30:F30"/>
    <mergeCell ref="A31:F31"/>
    <mergeCell ref="A33:A34"/>
    <mergeCell ref="B33:E34"/>
    <mergeCell ref="F33:F34"/>
    <mergeCell ref="G33:G34"/>
    <mergeCell ref="A27:G27"/>
    <mergeCell ref="A1:G1"/>
    <mergeCell ref="A3:A4"/>
    <mergeCell ref="B3:E4"/>
    <mergeCell ref="F3:F4"/>
    <mergeCell ref="G3:G4"/>
    <mergeCell ref="A5:G5"/>
    <mergeCell ref="D12:F12"/>
    <mergeCell ref="A14:G14"/>
    <mergeCell ref="E19:F19"/>
    <mergeCell ref="A21:G21"/>
    <mergeCell ref="D25:F25"/>
    <mergeCell ref="D88:F88"/>
    <mergeCell ref="B63:E64"/>
    <mergeCell ref="A89:F89"/>
    <mergeCell ref="A86:C86"/>
    <mergeCell ref="A87:C87"/>
    <mergeCell ref="A88:C88"/>
    <mergeCell ref="A73:G73"/>
    <mergeCell ref="E78:F78"/>
    <mergeCell ref="A80:G80"/>
    <mergeCell ref="D83:F83"/>
    <mergeCell ref="A85:G85"/>
    <mergeCell ref="A63:A64"/>
    <mergeCell ref="F63:F64"/>
    <mergeCell ref="G63:G64"/>
    <mergeCell ref="A65:G65"/>
    <mergeCell ref="D71:F71"/>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S637"/>
  <sheetViews>
    <sheetView workbookViewId="0">
      <selection activeCell="A3" sqref="A3:H3"/>
    </sheetView>
  </sheetViews>
  <sheetFormatPr baseColWidth="10" defaultColWidth="11.44140625" defaultRowHeight="13.2"/>
  <cols>
    <col min="1" max="1" width="6" style="608" customWidth="1"/>
    <col min="2" max="2" width="38.5546875" style="564" customWidth="1"/>
    <col min="3" max="3" width="11" style="564" customWidth="1"/>
    <col min="4" max="4" width="8.109375" style="564" bestFit="1" customWidth="1"/>
    <col min="5" max="5" width="14.88671875" style="609" customWidth="1"/>
    <col min="6" max="6" width="14.33203125" style="610" customWidth="1"/>
    <col min="7" max="7" width="20" style="610" customWidth="1"/>
    <col min="8" max="8" width="23" style="611" customWidth="1"/>
    <col min="9" max="9" width="2" style="564" customWidth="1"/>
    <col min="10" max="10" width="34" style="564" bestFit="1" customWidth="1"/>
    <col min="11" max="11" width="19.88671875" style="564" bestFit="1" customWidth="1"/>
    <col min="12" max="12" width="20.109375" style="564" bestFit="1" customWidth="1"/>
    <col min="13" max="18" width="11.44140625" style="564"/>
    <col min="19" max="19" width="12.88671875" style="564" bestFit="1" customWidth="1"/>
    <col min="20" max="16384" width="11.44140625" style="564"/>
  </cols>
  <sheetData>
    <row r="1" spans="1:10" s="553" customFormat="1" ht="15.75" customHeight="1" thickBot="1">
      <c r="A1" s="900"/>
      <c r="B1" s="901"/>
      <c r="C1" s="901"/>
      <c r="D1" s="901"/>
      <c r="E1" s="901"/>
      <c r="F1" s="901"/>
      <c r="G1" s="901"/>
      <c r="H1" s="902"/>
    </row>
    <row r="2" spans="1:10" s="553" customFormat="1" ht="89.25" customHeight="1" thickBot="1">
      <c r="A2" s="554"/>
      <c r="B2" s="555"/>
      <c r="C2" s="903" t="s">
        <v>2712</v>
      </c>
      <c r="D2" s="904"/>
      <c r="E2" s="904"/>
      <c r="F2" s="904"/>
      <c r="G2" s="904"/>
      <c r="H2" s="905"/>
    </row>
    <row r="3" spans="1:10" s="556" customFormat="1" ht="11.25" customHeight="1">
      <c r="A3" s="906"/>
      <c r="B3" s="907"/>
      <c r="C3" s="907"/>
      <c r="D3" s="907"/>
      <c r="E3" s="907"/>
      <c r="F3" s="907"/>
      <c r="G3" s="907"/>
      <c r="H3" s="908"/>
    </row>
    <row r="4" spans="1:10" ht="43.5" customHeight="1">
      <c r="A4" s="557" t="s">
        <v>1</v>
      </c>
      <c r="B4" s="558" t="s">
        <v>2</v>
      </c>
      <c r="C4" s="559" t="s">
        <v>2381</v>
      </c>
      <c r="D4" s="559" t="s">
        <v>2713</v>
      </c>
      <c r="E4" s="560" t="s">
        <v>2714</v>
      </c>
      <c r="F4" s="561" t="s">
        <v>2715</v>
      </c>
      <c r="G4" s="561" t="s">
        <v>2716</v>
      </c>
      <c r="H4" s="562" t="s">
        <v>2717</v>
      </c>
      <c r="I4" s="563"/>
    </row>
    <row r="5" spans="1:10" ht="23.25" customHeight="1">
      <c r="A5" s="565" t="s">
        <v>1177</v>
      </c>
      <c r="B5" s="566" t="s">
        <v>2718</v>
      </c>
      <c r="C5" s="567"/>
      <c r="D5" s="567"/>
      <c r="E5" s="568"/>
      <c r="F5" s="569"/>
      <c r="G5" s="569"/>
      <c r="H5" s="570"/>
    </row>
    <row r="6" spans="1:10" ht="21" customHeight="1">
      <c r="A6" s="571">
        <v>1</v>
      </c>
      <c r="B6" s="572" t="s">
        <v>2719</v>
      </c>
      <c r="C6" s="573"/>
      <c r="D6" s="573"/>
      <c r="E6" s="574"/>
      <c r="F6" s="575"/>
      <c r="G6" s="575"/>
      <c r="H6" s="576"/>
    </row>
    <row r="7" spans="1:10" s="584" customFormat="1" ht="23.25" customHeight="1">
      <c r="A7" s="577">
        <v>1.1000000000000001</v>
      </c>
      <c r="B7" s="578" t="s">
        <v>2720</v>
      </c>
      <c r="C7" s="579" t="s">
        <v>2721</v>
      </c>
      <c r="D7" s="579">
        <v>1</v>
      </c>
      <c r="E7" s="580">
        <v>4500000</v>
      </c>
      <c r="F7" s="581">
        <v>0.5</v>
      </c>
      <c r="G7" s="582">
        <v>8</v>
      </c>
      <c r="H7" s="583">
        <f>D7*E7*F7*G7</f>
        <v>18000000</v>
      </c>
      <c r="J7" s="585"/>
    </row>
    <row r="8" spans="1:10" s="584" customFormat="1" ht="23.25" customHeight="1">
      <c r="A8" s="577">
        <v>1.2</v>
      </c>
      <c r="B8" s="578" t="s">
        <v>2722</v>
      </c>
      <c r="C8" s="579" t="s">
        <v>2721</v>
      </c>
      <c r="D8" s="579">
        <v>1</v>
      </c>
      <c r="E8" s="580">
        <v>3000000</v>
      </c>
      <c r="F8" s="581">
        <v>1</v>
      </c>
      <c r="G8" s="582">
        <v>8</v>
      </c>
      <c r="H8" s="583">
        <f>D8*E8*F8*G8</f>
        <v>24000000</v>
      </c>
      <c r="J8" s="585"/>
    </row>
    <row r="9" spans="1:10" s="584" customFormat="1" ht="23.25" customHeight="1">
      <c r="A9" s="577">
        <v>1.3</v>
      </c>
      <c r="B9" s="578" t="s">
        <v>2723</v>
      </c>
      <c r="C9" s="579" t="s">
        <v>2721</v>
      </c>
      <c r="D9" s="579">
        <v>1</v>
      </c>
      <c r="E9" s="580">
        <v>3000000</v>
      </c>
      <c r="F9" s="581">
        <v>1</v>
      </c>
      <c r="G9" s="582">
        <v>8</v>
      </c>
      <c r="H9" s="583">
        <f>D9*E9*F9*G9</f>
        <v>24000000</v>
      </c>
      <c r="J9" s="585"/>
    </row>
    <row r="10" spans="1:10" s="584" customFormat="1" ht="23.25" customHeight="1">
      <c r="A10" s="577">
        <v>1.3</v>
      </c>
      <c r="B10" s="578" t="s">
        <v>2724</v>
      </c>
      <c r="C10" s="579" t="s">
        <v>2721</v>
      </c>
      <c r="D10" s="579">
        <v>1</v>
      </c>
      <c r="E10" s="580">
        <v>3000000</v>
      </c>
      <c r="F10" s="581">
        <v>1</v>
      </c>
      <c r="G10" s="582">
        <v>8</v>
      </c>
      <c r="H10" s="583">
        <f>D10*E10*F10*G10</f>
        <v>24000000</v>
      </c>
      <c r="J10" s="585"/>
    </row>
    <row r="11" spans="1:10" s="584" customFormat="1" ht="23.25" customHeight="1">
      <c r="A11" s="577">
        <v>1.4</v>
      </c>
      <c r="B11" s="578" t="s">
        <v>2690</v>
      </c>
      <c r="C11" s="579" t="s">
        <v>2721</v>
      </c>
      <c r="D11" s="579">
        <v>1</v>
      </c>
      <c r="E11" s="580">
        <v>3000000</v>
      </c>
      <c r="F11" s="581">
        <v>1</v>
      </c>
      <c r="G11" s="582">
        <v>8</v>
      </c>
      <c r="H11" s="583">
        <f>D11*E11*F11*G11</f>
        <v>24000000</v>
      </c>
      <c r="J11" s="585"/>
    </row>
    <row r="12" spans="1:10" ht="17.25" customHeight="1">
      <c r="A12" s="892" t="s">
        <v>2725</v>
      </c>
      <c r="B12" s="893"/>
      <c r="C12" s="893"/>
      <c r="D12" s="893"/>
      <c r="E12" s="893"/>
      <c r="F12" s="893"/>
      <c r="G12" s="893"/>
      <c r="H12" s="586">
        <f>SUM(H7:H11)</f>
        <v>114000000</v>
      </c>
      <c r="I12" s="587"/>
    </row>
    <row r="13" spans="1:10" ht="23.25" customHeight="1">
      <c r="A13" s="892" t="s">
        <v>2726</v>
      </c>
      <c r="B13" s="893"/>
      <c r="C13" s="893"/>
      <c r="D13" s="893"/>
      <c r="E13" s="893"/>
      <c r="F13" s="893"/>
      <c r="G13" s="893"/>
      <c r="H13" s="588">
        <f>+'FM '!C34</f>
        <v>1.8829</v>
      </c>
    </row>
    <row r="14" spans="1:10" ht="22.5" customHeight="1">
      <c r="A14" s="892" t="s">
        <v>2727</v>
      </c>
      <c r="B14" s="893"/>
      <c r="C14" s="893"/>
      <c r="D14" s="893"/>
      <c r="E14" s="893"/>
      <c r="F14" s="893"/>
      <c r="G14" s="893"/>
      <c r="H14" s="589">
        <f>+H13*H12</f>
        <v>214650600</v>
      </c>
    </row>
    <row r="15" spans="1:10" ht="26.25" customHeight="1">
      <c r="A15" s="590"/>
      <c r="B15" s="572" t="s">
        <v>2728</v>
      </c>
      <c r="C15" s="591"/>
      <c r="D15" s="591"/>
      <c r="E15" s="592"/>
      <c r="F15" s="593"/>
      <c r="G15" s="593"/>
      <c r="H15" s="594">
        <f>H14</f>
        <v>214650600</v>
      </c>
    </row>
    <row r="16" spans="1:10" ht="42" customHeight="1">
      <c r="A16" s="557" t="s">
        <v>2729</v>
      </c>
      <c r="B16" s="558" t="s">
        <v>2730</v>
      </c>
      <c r="C16" s="559"/>
      <c r="D16" s="559"/>
      <c r="E16" s="560"/>
      <c r="F16" s="561"/>
      <c r="G16" s="561"/>
      <c r="H16" s="562"/>
    </row>
    <row r="17" spans="1:12" ht="42" customHeight="1">
      <c r="A17" s="557" t="s">
        <v>2731</v>
      </c>
      <c r="B17" s="558" t="s">
        <v>1478</v>
      </c>
      <c r="C17" s="559" t="s">
        <v>2381</v>
      </c>
      <c r="D17" s="559" t="s">
        <v>2713</v>
      </c>
      <c r="E17" s="560" t="s">
        <v>2714</v>
      </c>
      <c r="F17" s="561" t="s">
        <v>2715</v>
      </c>
      <c r="G17" s="561" t="s">
        <v>2716</v>
      </c>
      <c r="H17" s="562" t="s">
        <v>2717</v>
      </c>
    </row>
    <row r="18" spans="1:12" ht="20.25" customHeight="1">
      <c r="A18" s="577">
        <v>2.1</v>
      </c>
      <c r="B18" s="595" t="s">
        <v>2732</v>
      </c>
      <c r="C18" s="579" t="s">
        <v>998</v>
      </c>
      <c r="D18" s="579">
        <v>1</v>
      </c>
      <c r="E18" s="596">
        <v>2000000</v>
      </c>
      <c r="F18" s="582">
        <v>1</v>
      </c>
      <c r="G18" s="582">
        <v>8</v>
      </c>
      <c r="H18" s="597">
        <f>D18*E18*F18*G18</f>
        <v>16000000</v>
      </c>
    </row>
    <row r="19" spans="1:12" ht="20.25" customHeight="1">
      <c r="A19" s="577">
        <v>2.2000000000000002</v>
      </c>
      <c r="B19" s="595" t="s">
        <v>2733</v>
      </c>
      <c r="C19" s="579" t="s">
        <v>998</v>
      </c>
      <c r="D19" s="579">
        <v>2</v>
      </c>
      <c r="E19" s="598">
        <v>59852</v>
      </c>
      <c r="F19" s="582">
        <v>1</v>
      </c>
      <c r="G19" s="582">
        <v>8</v>
      </c>
      <c r="H19" s="597">
        <f>D19*E19*F19*G19</f>
        <v>957632</v>
      </c>
    </row>
    <row r="20" spans="1:12" ht="20.25" customHeight="1">
      <c r="A20" s="577">
        <v>2.4</v>
      </c>
      <c r="B20" s="595" t="s">
        <v>2875</v>
      </c>
      <c r="C20" s="579" t="s">
        <v>998</v>
      </c>
      <c r="D20" s="579">
        <v>1</v>
      </c>
      <c r="E20" s="598">
        <v>3500000</v>
      </c>
      <c r="F20" s="582">
        <v>1</v>
      </c>
      <c r="G20" s="582">
        <v>8</v>
      </c>
      <c r="H20" s="597">
        <f>+G20*F20*E20</f>
        <v>28000000</v>
      </c>
    </row>
    <row r="21" spans="1:12" ht="21" customHeight="1">
      <c r="A21" s="894" t="s">
        <v>2734</v>
      </c>
      <c r="B21" s="895"/>
      <c r="C21" s="895"/>
      <c r="D21" s="895"/>
      <c r="E21" s="895"/>
      <c r="F21" s="895"/>
      <c r="G21" s="895"/>
      <c r="H21" s="599">
        <f>SUM(H18:H20)</f>
        <v>44957632</v>
      </c>
      <c r="I21" s="587"/>
      <c r="L21" s="600"/>
    </row>
    <row r="22" spans="1:12" ht="17.25" customHeight="1">
      <c r="A22" s="894" t="s">
        <v>2735</v>
      </c>
      <c r="B22" s="895"/>
      <c r="C22" s="895"/>
      <c r="D22" s="895"/>
      <c r="E22" s="895"/>
      <c r="F22" s="895"/>
      <c r="G22" s="895"/>
      <c r="H22" s="599">
        <f>+H21+H15</f>
        <v>259608232</v>
      </c>
      <c r="I22" s="601"/>
    </row>
    <row r="23" spans="1:12" ht="18.75" customHeight="1">
      <c r="A23" s="896" t="s">
        <v>2736</v>
      </c>
      <c r="B23" s="897"/>
      <c r="C23" s="897"/>
      <c r="D23" s="897"/>
      <c r="E23" s="897"/>
      <c r="F23" s="897"/>
      <c r="G23" s="897"/>
      <c r="H23" s="602">
        <f>+H22*0.19</f>
        <v>49325564.079999998</v>
      </c>
      <c r="J23" s="603"/>
    </row>
    <row r="24" spans="1:12" ht="18" customHeight="1">
      <c r="A24" s="898" t="s">
        <v>2737</v>
      </c>
      <c r="B24" s="899"/>
      <c r="C24" s="899"/>
      <c r="D24" s="899"/>
      <c r="E24" s="899"/>
      <c r="F24" s="899"/>
      <c r="G24" s="899"/>
      <c r="H24" s="604">
        <f>+H23+H22</f>
        <v>308933796.07999998</v>
      </c>
      <c r="I24" s="605"/>
      <c r="K24" s="587"/>
    </row>
    <row r="25" spans="1:12" ht="9.75" customHeight="1">
      <c r="A25" s="564"/>
      <c r="E25" s="564"/>
      <c r="F25" s="564"/>
      <c r="G25" s="564"/>
      <c r="H25" s="564"/>
    </row>
    <row r="26" spans="1:12" ht="12" customHeight="1">
      <c r="A26" s="564"/>
      <c r="E26" s="564"/>
      <c r="F26" s="564"/>
      <c r="G26" s="564"/>
      <c r="H26" s="564"/>
    </row>
    <row r="27" spans="1:12">
      <c r="A27" s="564"/>
      <c r="E27" s="564"/>
      <c r="F27" s="564"/>
      <c r="G27" s="564"/>
      <c r="H27" s="564"/>
    </row>
    <row r="28" spans="1:12" ht="12.75" customHeight="1">
      <c r="A28" s="606"/>
      <c r="E28" s="564"/>
      <c r="F28" s="564"/>
      <c r="G28" s="564"/>
      <c r="H28" s="564"/>
    </row>
    <row r="29" spans="1:12" ht="12.75" customHeight="1">
      <c r="A29" s="607"/>
      <c r="E29" s="564"/>
      <c r="F29" s="564"/>
      <c r="G29" s="564"/>
      <c r="H29" s="564"/>
    </row>
    <row r="30" spans="1:12" ht="12.75" customHeight="1">
      <c r="A30" s="607"/>
      <c r="E30" s="564"/>
      <c r="F30" s="564"/>
      <c r="G30" s="564"/>
      <c r="H30" s="564"/>
    </row>
    <row r="31" spans="1:12" ht="12.75" customHeight="1">
      <c r="A31" s="607"/>
      <c r="E31" s="564"/>
      <c r="F31" s="564"/>
      <c r="G31" s="564"/>
      <c r="H31" s="564"/>
    </row>
    <row r="32" spans="1:12" ht="12.75" customHeight="1">
      <c r="A32" s="607"/>
      <c r="E32" s="564"/>
      <c r="F32" s="564"/>
      <c r="G32" s="564"/>
      <c r="H32" s="564"/>
    </row>
    <row r="33" spans="1:8" ht="12.75" customHeight="1">
      <c r="A33" s="607"/>
      <c r="E33" s="564"/>
      <c r="F33" s="564"/>
      <c r="G33" s="564"/>
      <c r="H33" s="564"/>
    </row>
    <row r="34" spans="1:8" ht="13.5" customHeight="1">
      <c r="A34" s="607"/>
      <c r="E34" s="564"/>
      <c r="F34" s="564"/>
      <c r="G34" s="564"/>
      <c r="H34" s="564"/>
    </row>
    <row r="35" spans="1:8" ht="15" customHeight="1">
      <c r="A35" s="607"/>
      <c r="E35" s="564"/>
      <c r="F35" s="564"/>
      <c r="G35" s="564"/>
      <c r="H35" s="564"/>
    </row>
    <row r="36" spans="1:8" ht="15" customHeight="1">
      <c r="A36" s="607"/>
      <c r="E36" s="564"/>
      <c r="F36" s="564"/>
      <c r="G36" s="564"/>
      <c r="H36" s="564"/>
    </row>
    <row r="37" spans="1:8" ht="12.75" customHeight="1">
      <c r="A37" s="607"/>
      <c r="E37" s="564"/>
      <c r="F37" s="564"/>
      <c r="G37" s="564"/>
      <c r="H37" s="564"/>
    </row>
    <row r="38" spans="1:8" ht="12.75" customHeight="1">
      <c r="A38" s="607"/>
      <c r="E38" s="564"/>
      <c r="F38" s="564"/>
      <c r="G38" s="564"/>
      <c r="H38" s="564"/>
    </row>
    <row r="39" spans="1:8" ht="12.75" customHeight="1">
      <c r="A39" s="607"/>
      <c r="E39" s="564"/>
      <c r="F39" s="564"/>
      <c r="G39" s="564"/>
      <c r="H39" s="564"/>
    </row>
    <row r="432" spans="19:19">
      <c r="S432" s="609">
        <v>6498201.7199999997</v>
      </c>
    </row>
    <row r="433" spans="19:19">
      <c r="S433" s="609">
        <v>22326754.210000001</v>
      </c>
    </row>
    <row r="434" spans="19:19">
      <c r="S434" s="609">
        <v>2183035.5499999998</v>
      </c>
    </row>
    <row r="435" spans="19:19">
      <c r="S435" s="609"/>
    </row>
    <row r="437" spans="19:19">
      <c r="S437" s="609">
        <v>145123.96</v>
      </c>
    </row>
    <row r="438" spans="19:19">
      <c r="S438" s="609">
        <v>54398.62</v>
      </c>
    </row>
    <row r="439" spans="19:19">
      <c r="S439" s="609"/>
    </row>
    <row r="440" spans="19:19">
      <c r="S440" s="609">
        <v>1560276.38</v>
      </c>
    </row>
    <row r="441" spans="19:19">
      <c r="S441" s="609">
        <v>794876.31</v>
      </c>
    </row>
    <row r="442" spans="19:19">
      <c r="S442" s="609">
        <v>2326710.88</v>
      </c>
    </row>
    <row r="443" spans="19:19">
      <c r="S443" s="609">
        <v>294626.84999999998</v>
      </c>
    </row>
    <row r="445" spans="19:19">
      <c r="S445" s="609"/>
    </row>
    <row r="446" spans="19:19">
      <c r="S446" s="609"/>
    </row>
    <row r="447" spans="19:19">
      <c r="S447" s="609">
        <v>795327.19</v>
      </c>
    </row>
    <row r="448" spans="19:19">
      <c r="S448" s="609">
        <v>795327.19</v>
      </c>
    </row>
    <row r="451" spans="19:19">
      <c r="S451" s="609">
        <v>500309.46</v>
      </c>
    </row>
    <row r="452" spans="19:19">
      <c r="S452" s="609"/>
    </row>
    <row r="453" spans="19:19">
      <c r="S453" s="609"/>
    </row>
    <row r="455" spans="19:19">
      <c r="S455" s="609">
        <v>13058.54</v>
      </c>
    </row>
    <row r="456" spans="19:19">
      <c r="S456" s="609"/>
    </row>
    <row r="457" spans="19:19">
      <c r="S457" s="609">
        <v>19602.2</v>
      </c>
    </row>
    <row r="458" spans="19:19">
      <c r="S458" s="609"/>
    </row>
    <row r="459" spans="19:19">
      <c r="S459" s="609">
        <v>114342.21</v>
      </c>
    </row>
    <row r="460" spans="19:19">
      <c r="S460" s="609">
        <v>114342.21</v>
      </c>
    </row>
    <row r="461" spans="19:19">
      <c r="S461" s="609">
        <v>112819.25</v>
      </c>
    </row>
    <row r="462" spans="19:19">
      <c r="S462" s="609">
        <v>112819.25</v>
      </c>
    </row>
    <row r="463" spans="19:19">
      <c r="S463" s="609">
        <v>128799.1</v>
      </c>
    </row>
    <row r="464" spans="19:19">
      <c r="S464" s="609">
        <v>147807.21</v>
      </c>
    </row>
    <row r="465" spans="19:19">
      <c r="S465" s="609">
        <v>147807.21</v>
      </c>
    </row>
    <row r="467" spans="19:19">
      <c r="S467" s="609">
        <v>138259.60999999999</v>
      </c>
    </row>
    <row r="468" spans="19:19">
      <c r="S468" s="609">
        <v>242682.11</v>
      </c>
    </row>
    <row r="469" spans="19:19">
      <c r="S469" s="609">
        <v>155931.10999999999</v>
      </c>
    </row>
    <row r="472" spans="19:19">
      <c r="S472" s="609">
        <v>28953.27</v>
      </c>
    </row>
    <row r="473" spans="19:19">
      <c r="S473" s="609">
        <v>50516.480000000003</v>
      </c>
    </row>
    <row r="474" spans="19:19">
      <c r="S474" s="609">
        <v>72561.98</v>
      </c>
    </row>
    <row r="475" spans="19:19">
      <c r="S475" s="609">
        <v>13599.65</v>
      </c>
    </row>
    <row r="476" spans="19:19">
      <c r="S476" s="609"/>
    </row>
    <row r="477" spans="19:19">
      <c r="S477" s="609">
        <v>4457.93</v>
      </c>
    </row>
    <row r="478" spans="19:19">
      <c r="S478" s="609">
        <v>99359.54</v>
      </c>
    </row>
    <row r="479" spans="19:19">
      <c r="S479" s="609">
        <v>2326710.88</v>
      </c>
    </row>
    <row r="480" spans="19:19">
      <c r="S480" s="609">
        <v>294626.84999999998</v>
      </c>
    </row>
    <row r="481" spans="19:19">
      <c r="S481" s="609">
        <v>31045.35</v>
      </c>
    </row>
    <row r="485" spans="19:19">
      <c r="S485" s="609">
        <v>705363.19</v>
      </c>
    </row>
    <row r="486" spans="19:19">
      <c r="S486" s="609">
        <v>705363.19</v>
      </c>
    </row>
    <row r="487" spans="19:19">
      <c r="S487" s="609">
        <v>297158.88</v>
      </c>
    </row>
    <row r="488" spans="19:19">
      <c r="S488" s="609">
        <v>25015.47</v>
      </c>
    </row>
    <row r="489" spans="19:19">
      <c r="S489" s="609"/>
    </row>
    <row r="490" spans="19:19">
      <c r="S490" s="609">
        <v>13058.54</v>
      </c>
    </row>
    <row r="492" spans="19:19">
      <c r="S492" s="609">
        <v>19602.2</v>
      </c>
    </row>
    <row r="493" spans="19:19">
      <c r="S493" s="609">
        <v>50516.480000000003</v>
      </c>
    </row>
    <row r="494" spans="19:19">
      <c r="S494" s="609">
        <v>67220.11</v>
      </c>
    </row>
    <row r="495" spans="19:19">
      <c r="S495" s="609">
        <v>72561.98</v>
      </c>
    </row>
    <row r="496" spans="19:19" ht="14.4">
      <c r="S496" s="639"/>
    </row>
    <row r="497" spans="19:19">
      <c r="S497" s="609">
        <v>114342.21</v>
      </c>
    </row>
    <row r="498" spans="19:19">
      <c r="S498" s="609">
        <v>145199.85999999999</v>
      </c>
    </row>
    <row r="499" spans="19:19">
      <c r="S499" s="609">
        <v>211031.02</v>
      </c>
    </row>
    <row r="500" spans="19:19" ht="14.4">
      <c r="S500" s="639"/>
    </row>
    <row r="501" spans="19:19">
      <c r="S501" s="637"/>
    </row>
    <row r="502" spans="19:19">
      <c r="S502" s="609">
        <v>705363.19</v>
      </c>
    </row>
    <row r="503" spans="19:19">
      <c r="S503" s="609">
        <v>188681.4</v>
      </c>
    </row>
    <row r="504" spans="19:19">
      <c r="S504" s="609">
        <v>13003.2</v>
      </c>
    </row>
    <row r="505" spans="19:19" ht="14.4">
      <c r="S505" s="639"/>
    </row>
    <row r="506" spans="19:19">
      <c r="S506" s="609">
        <v>13058.54</v>
      </c>
    </row>
    <row r="507" spans="19:19">
      <c r="S507" s="609"/>
    </row>
    <row r="508" spans="19:19">
      <c r="S508" s="609">
        <v>19602.2</v>
      </c>
    </row>
    <row r="509" spans="19:19">
      <c r="S509" s="637"/>
    </row>
    <row r="510" spans="19:19">
      <c r="S510" s="609">
        <v>114342.21</v>
      </c>
    </row>
    <row r="511" spans="19:19">
      <c r="S511" s="609">
        <v>112819.25</v>
      </c>
    </row>
    <row r="512" spans="19:19">
      <c r="S512" s="609">
        <v>147807.21</v>
      </c>
    </row>
    <row r="513" spans="19:19">
      <c r="S513" s="637"/>
    </row>
    <row r="514" spans="19:19">
      <c r="S514" s="609">
        <v>138259.60999999999</v>
      </c>
    </row>
    <row r="515" spans="19:19">
      <c r="S515" s="609">
        <v>242682.11</v>
      </c>
    </row>
    <row r="516" spans="19:19">
      <c r="S516" s="609">
        <v>155931.10999999999</v>
      </c>
    </row>
    <row r="517" spans="19:19">
      <c r="S517" s="609"/>
    </row>
    <row r="519" spans="19:19">
      <c r="S519" s="609">
        <v>28953.27</v>
      </c>
    </row>
    <row r="520" spans="19:19">
      <c r="S520" s="609">
        <v>72561.98</v>
      </c>
    </row>
    <row r="521" spans="19:19">
      <c r="S521" s="609">
        <v>13599.65</v>
      </c>
    </row>
    <row r="522" spans="19:19">
      <c r="S522" s="637"/>
    </row>
    <row r="523" spans="19:19">
      <c r="S523" s="609">
        <v>4457.93</v>
      </c>
    </row>
    <row r="524" spans="19:19">
      <c r="S524" s="609">
        <v>99359.54</v>
      </c>
    </row>
    <row r="525" spans="19:19">
      <c r="S525" s="609">
        <v>2326710.88</v>
      </c>
    </row>
    <row r="526" spans="19:19">
      <c r="S526" s="609">
        <v>294626.84999999998</v>
      </c>
    </row>
    <row r="527" spans="19:19">
      <c r="S527" s="609">
        <v>31045.35</v>
      </c>
    </row>
    <row r="528" spans="19:19">
      <c r="S528" s="637"/>
    </row>
    <row r="529" spans="19:19">
      <c r="S529" s="637"/>
    </row>
    <row r="530" spans="19:19">
      <c r="S530" s="638"/>
    </row>
    <row r="531" spans="19:19">
      <c r="S531" s="609">
        <v>795327.19</v>
      </c>
    </row>
    <row r="532" spans="19:19">
      <c r="S532" s="609">
        <v>795327.19</v>
      </c>
    </row>
    <row r="533" spans="19:19">
      <c r="S533" s="609">
        <v>297158.88</v>
      </c>
    </row>
    <row r="534" spans="19:19">
      <c r="S534" s="609">
        <v>25015.47</v>
      </c>
    </row>
    <row r="536" spans="19:19">
      <c r="S536" s="609">
        <v>13058.54</v>
      </c>
    </row>
    <row r="537" spans="19:19">
      <c r="S537" s="609"/>
    </row>
    <row r="538" spans="19:19">
      <c r="S538" s="609">
        <v>50516.480000000003</v>
      </c>
    </row>
    <row r="539" spans="19:19">
      <c r="S539" s="609">
        <v>67220.11</v>
      </c>
    </row>
    <row r="540" spans="19:19">
      <c r="S540" s="609">
        <v>67742.48</v>
      </c>
    </row>
    <row r="542" spans="19:19">
      <c r="S542" s="609">
        <v>114342.21</v>
      </c>
    </row>
    <row r="543" spans="19:19">
      <c r="S543" s="609">
        <v>114342.21</v>
      </c>
    </row>
    <row r="544" spans="19:19">
      <c r="S544" s="609">
        <v>114342.21</v>
      </c>
    </row>
    <row r="545" spans="19:19">
      <c r="S545" s="609">
        <v>114342.21</v>
      </c>
    </row>
    <row r="546" spans="19:19">
      <c r="S546" s="609">
        <v>114342.21</v>
      </c>
    </row>
    <row r="549" spans="19:19">
      <c r="S549" s="609">
        <v>795327.19</v>
      </c>
    </row>
    <row r="550" spans="19:19">
      <c r="S550" s="609">
        <v>281093.88</v>
      </c>
    </row>
    <row r="551" spans="19:19">
      <c r="S551" s="609">
        <v>25015.47</v>
      </c>
    </row>
    <row r="553" spans="19:19">
      <c r="S553" s="609">
        <v>13058.54</v>
      </c>
    </row>
    <row r="554" spans="19:19">
      <c r="S554" s="609"/>
    </row>
    <row r="555" spans="19:19">
      <c r="S555" s="609">
        <v>19602.2</v>
      </c>
    </row>
    <row r="556" spans="19:19">
      <c r="S556" s="609"/>
    </row>
    <row r="557" spans="19:19">
      <c r="S557" s="609">
        <v>114342.21</v>
      </c>
    </row>
    <row r="558" spans="19:19">
      <c r="S558" s="609">
        <v>112819.25</v>
      </c>
    </row>
    <row r="559" spans="19:19">
      <c r="S559" s="609">
        <v>112819.25</v>
      </c>
    </row>
    <row r="560" spans="19:19">
      <c r="S560" s="609">
        <v>128799.1</v>
      </c>
    </row>
    <row r="561" spans="19:19">
      <c r="S561" s="609">
        <v>147807.21</v>
      </c>
    </row>
    <row r="562" spans="19:19">
      <c r="S562" s="609">
        <v>147807.21</v>
      </c>
    </row>
    <row r="564" spans="19:19">
      <c r="S564" s="609">
        <v>138259.60999999999</v>
      </c>
    </row>
    <row r="565" spans="19:19">
      <c r="S565" s="609">
        <v>242682.11</v>
      </c>
    </row>
    <row r="566" spans="19:19">
      <c r="S566" s="609">
        <v>155931.10999999999</v>
      </c>
    </row>
    <row r="567" spans="19:19">
      <c r="S567" s="609"/>
    </row>
    <row r="568" spans="19:19">
      <c r="S568" s="609"/>
    </row>
    <row r="569" spans="19:19">
      <c r="S569" s="609">
        <v>28953.27</v>
      </c>
    </row>
    <row r="570" spans="19:19">
      <c r="S570" s="609">
        <v>72561.98</v>
      </c>
    </row>
    <row r="571" spans="19:19">
      <c r="S571" s="609"/>
    </row>
    <row r="572" spans="19:19">
      <c r="S572" s="609">
        <v>4457.93</v>
      </c>
    </row>
    <row r="573" spans="19:19">
      <c r="S573" s="609">
        <v>99359.54</v>
      </c>
    </row>
    <row r="574" spans="19:19">
      <c r="S574" s="609">
        <v>2326710.88</v>
      </c>
    </row>
    <row r="575" spans="19:19">
      <c r="S575" s="609">
        <v>294626.84999999998</v>
      </c>
    </row>
    <row r="576" spans="19:19">
      <c r="S576" s="609">
        <v>31045.35</v>
      </c>
    </row>
    <row r="577" spans="19:19">
      <c r="S577" s="609"/>
    </row>
    <row r="578" spans="19:19">
      <c r="S578" s="609"/>
    </row>
    <row r="579" spans="19:19">
      <c r="S579" s="609"/>
    </row>
    <row r="580" spans="19:19">
      <c r="S580" s="609">
        <v>13058.54</v>
      </c>
    </row>
    <row r="581" spans="19:19">
      <c r="S581" s="609"/>
    </row>
    <row r="582" spans="19:19">
      <c r="S582" s="609">
        <v>19602.2</v>
      </c>
    </row>
    <row r="583" spans="19:19">
      <c r="S583" s="609"/>
    </row>
    <row r="584" spans="19:19">
      <c r="S584" s="609">
        <v>114342.21</v>
      </c>
    </row>
    <row r="585" spans="19:19">
      <c r="S585" s="609">
        <v>112819.25</v>
      </c>
    </row>
    <row r="586" spans="19:19">
      <c r="S586" s="609">
        <v>126519.48</v>
      </c>
    </row>
    <row r="587" spans="19:19">
      <c r="S587" s="609"/>
    </row>
    <row r="588" spans="19:19">
      <c r="S588" s="609">
        <v>138259.60999999999</v>
      </c>
    </row>
    <row r="589" spans="19:19">
      <c r="S589" s="609">
        <v>242682.11</v>
      </c>
    </row>
    <row r="590" spans="19:19">
      <c r="S590" s="609">
        <v>155931.10999999999</v>
      </c>
    </row>
    <row r="591" spans="19:19">
      <c r="S591" s="609"/>
    </row>
    <row r="592" spans="19:19">
      <c r="S592" s="609">
        <v>79616.67</v>
      </c>
    </row>
    <row r="593" spans="19:19">
      <c r="S593" s="609">
        <v>35323.86</v>
      </c>
    </row>
    <row r="594" spans="19:19">
      <c r="S594" s="609">
        <v>13264.9</v>
      </c>
    </row>
    <row r="595" spans="19:19">
      <c r="S595" s="609">
        <v>60856.56</v>
      </c>
    </row>
    <row r="596" spans="19:19">
      <c r="S596" s="609">
        <v>59591.47</v>
      </c>
    </row>
    <row r="597" spans="19:19">
      <c r="S597" s="609">
        <v>100015.29</v>
      </c>
    </row>
    <row r="598" spans="19:19">
      <c r="S598" s="609">
        <v>114497.67</v>
      </c>
    </row>
    <row r="599" spans="19:19">
      <c r="S599" s="609">
        <v>438067.65</v>
      </c>
    </row>
    <row r="600" spans="19:19">
      <c r="S600" s="609">
        <v>75174.86</v>
      </c>
    </row>
    <row r="601" spans="19:19">
      <c r="S601" s="609"/>
    </row>
    <row r="602" spans="19:19">
      <c r="S602" s="609">
        <v>568350</v>
      </c>
    </row>
    <row r="603" spans="19:19">
      <c r="S603" s="609">
        <v>1111922.0900000001</v>
      </c>
    </row>
    <row r="604" spans="19:19">
      <c r="S604" s="609">
        <v>629972.09</v>
      </c>
    </row>
    <row r="605" spans="19:19">
      <c r="S605" s="609">
        <v>155279.09</v>
      </c>
    </row>
    <row r="606" spans="19:19">
      <c r="S606" s="609">
        <v>80446.91</v>
      </c>
    </row>
    <row r="607" spans="19:19">
      <c r="S607" s="609"/>
    </row>
    <row r="608" spans="19:19">
      <c r="S608" s="609">
        <v>128052.91</v>
      </c>
    </row>
    <row r="609" spans="19:19">
      <c r="S609" s="609">
        <v>62814.04</v>
      </c>
    </row>
    <row r="610" spans="19:19">
      <c r="S610" s="609">
        <v>278075.99</v>
      </c>
    </row>
    <row r="611" spans="19:19">
      <c r="S611" s="609">
        <v>93952.11</v>
      </c>
    </row>
    <row r="612" spans="19:19">
      <c r="S612" s="609">
        <v>17758.919999999998</v>
      </c>
    </row>
    <row r="613" spans="19:19">
      <c r="S613" s="609">
        <v>4457.93</v>
      </c>
    </row>
    <row r="614" spans="19:19">
      <c r="S614" s="609">
        <v>2698411.5</v>
      </c>
    </row>
    <row r="615" spans="19:19">
      <c r="S615" s="609">
        <v>1656130.25</v>
      </c>
    </row>
    <row r="616" spans="19:19">
      <c r="S616" s="609">
        <v>7357261.5</v>
      </c>
    </row>
    <row r="617" spans="19:19">
      <c r="S617" s="609">
        <v>2614961.75</v>
      </c>
    </row>
    <row r="618" spans="19:19">
      <c r="S618" s="609">
        <v>18281461.5</v>
      </c>
    </row>
    <row r="619" spans="19:19">
      <c r="S619" s="609"/>
    </row>
    <row r="620" spans="19:19">
      <c r="S620" s="609">
        <v>4425521.82</v>
      </c>
    </row>
    <row r="621" spans="19:19">
      <c r="S621" s="609">
        <v>541346.26</v>
      </c>
    </row>
    <row r="622" spans="19:19">
      <c r="S622" s="609">
        <v>550223.63</v>
      </c>
    </row>
    <row r="623" spans="19:19">
      <c r="S623" s="609">
        <v>287899.7</v>
      </c>
    </row>
    <row r="624" spans="19:19">
      <c r="S624" s="609">
        <v>550223.63</v>
      </c>
    </row>
    <row r="625" spans="19:19">
      <c r="S625" s="609">
        <v>4216708.8</v>
      </c>
    </row>
    <row r="626" spans="19:19">
      <c r="S626" s="609">
        <v>4524704.63</v>
      </c>
    </row>
    <row r="627" spans="19:19">
      <c r="S627" s="609">
        <v>1311704.6299999999</v>
      </c>
    </row>
    <row r="628" spans="19:19">
      <c r="S628" s="609">
        <v>26105609.25</v>
      </c>
    </row>
    <row r="629" spans="19:19">
      <c r="S629" s="609">
        <v>746211.38</v>
      </c>
    </row>
    <row r="630" spans="19:19">
      <c r="S630" s="609">
        <v>310672.49</v>
      </c>
    </row>
    <row r="631" spans="19:19">
      <c r="S631" s="609">
        <v>485903.09</v>
      </c>
    </row>
    <row r="632" spans="19:19">
      <c r="S632" s="609">
        <v>247850.15</v>
      </c>
    </row>
    <row r="633" spans="19:19">
      <c r="S633" s="609">
        <v>7044802.7999999998</v>
      </c>
    </row>
    <row r="634" spans="19:19">
      <c r="S634" s="609"/>
    </row>
    <row r="635" spans="19:19">
      <c r="S635" s="609">
        <v>9432019.8000000007</v>
      </c>
    </row>
    <row r="636" spans="19:19">
      <c r="S636" s="609">
        <v>6422.55</v>
      </c>
    </row>
    <row r="637" spans="19:19">
      <c r="S637" s="609">
        <v>1285200</v>
      </c>
    </row>
  </sheetData>
  <protectedRanges>
    <protectedRange sqref="E5:E6 E21:E24 H5:H15 H18:H24" name="Rango1_5_1"/>
    <protectedRange sqref="E8:E11" name="Rango1_3_2_1_1_5"/>
    <protectedRange sqref="E18" name="Rango1_3_2_3_8_1"/>
  </protectedRanges>
  <mergeCells count="10">
    <mergeCell ref="A1:H1"/>
    <mergeCell ref="C2:H2"/>
    <mergeCell ref="A3:H3"/>
    <mergeCell ref="A12:G12"/>
    <mergeCell ref="A13:G13"/>
    <mergeCell ref="A14:G14"/>
    <mergeCell ref="A21:G21"/>
    <mergeCell ref="A22:G22"/>
    <mergeCell ref="A23:G23"/>
    <mergeCell ref="A24:G2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9"/>
  <sheetViews>
    <sheetView view="pageBreakPreview" topLeftCell="A10" zoomScale="90" zoomScaleNormal="90" zoomScaleSheetLayoutView="90" workbookViewId="0">
      <selection activeCell="B33" sqref="B33"/>
    </sheetView>
  </sheetViews>
  <sheetFormatPr baseColWidth="10" defaultColWidth="12.33203125" defaultRowHeight="14.4"/>
  <cols>
    <col min="1" max="1" width="12.33203125" style="696" customWidth="1"/>
    <col min="2" max="2" width="61.33203125" style="650" customWidth="1"/>
    <col min="3" max="3" width="18.44140625" style="664" customWidth="1"/>
    <col min="4" max="4" width="24" style="650" customWidth="1"/>
    <col min="5" max="6" width="12.33203125" style="650"/>
    <col min="7" max="7" width="20.6640625" style="650" customWidth="1"/>
    <col min="8" max="16384" width="12.33203125" style="650"/>
  </cols>
  <sheetData>
    <row r="1" spans="1:10" ht="15" customHeight="1" thickBot="1">
      <c r="A1" s="909" t="s">
        <v>2833</v>
      </c>
      <c r="B1" s="910"/>
      <c r="C1" s="911"/>
    </row>
    <row r="2" spans="1:10" ht="15.75" customHeight="1">
      <c r="A2" s="912"/>
      <c r="B2" s="913"/>
      <c r="C2" s="914"/>
    </row>
    <row r="3" spans="1:10" s="651" customFormat="1" ht="50.25" customHeight="1" thickBot="1">
      <c r="A3" s="915"/>
      <c r="B3" s="916"/>
      <c r="C3" s="917"/>
    </row>
    <row r="4" spans="1:10" s="653" customFormat="1" ht="15.75" customHeight="1">
      <c r="A4" s="918" t="s">
        <v>2834</v>
      </c>
      <c r="B4" s="919"/>
      <c r="C4" s="652" t="s">
        <v>900</v>
      </c>
      <c r="E4" s="654"/>
      <c r="F4" s="654"/>
      <c r="G4" s="654"/>
      <c r="H4" s="654"/>
      <c r="I4" s="654"/>
      <c r="J4" s="654"/>
    </row>
    <row r="5" spans="1:10" ht="15.6">
      <c r="A5" s="655">
        <v>1</v>
      </c>
      <c r="B5" s="656" t="s">
        <v>2835</v>
      </c>
      <c r="C5" s="657">
        <v>1</v>
      </c>
      <c r="E5" s="658"/>
      <c r="F5" s="658"/>
      <c r="G5" s="658"/>
      <c r="H5" s="658"/>
      <c r="I5" s="658"/>
      <c r="J5" s="658"/>
    </row>
    <row r="6" spans="1:10" ht="15.6">
      <c r="A6" s="655"/>
      <c r="B6" s="656" t="s">
        <v>2836</v>
      </c>
      <c r="C6" s="657">
        <v>1</v>
      </c>
      <c r="E6" s="658"/>
      <c r="F6" s="658"/>
      <c r="G6" s="658"/>
      <c r="H6" s="658"/>
      <c r="I6" s="658"/>
      <c r="J6" s="658"/>
    </row>
    <row r="7" spans="1:10" ht="15.6">
      <c r="A7" s="659"/>
      <c r="B7" s="660"/>
      <c r="C7" s="661"/>
      <c r="E7" s="658"/>
      <c r="F7" s="658"/>
      <c r="G7" s="658"/>
      <c r="H7" s="658"/>
      <c r="I7" s="658"/>
      <c r="J7" s="658"/>
    </row>
    <row r="8" spans="1:10" ht="15.6">
      <c r="A8" s="655" t="s">
        <v>2837</v>
      </c>
      <c r="B8" s="662" t="s">
        <v>2838</v>
      </c>
      <c r="C8" s="663"/>
      <c r="F8" s="664"/>
      <c r="G8" s="665"/>
      <c r="H8" s="664"/>
      <c r="I8" s="664"/>
      <c r="J8" s="665"/>
    </row>
    <row r="9" spans="1:10" ht="15.6">
      <c r="A9" s="666" t="s">
        <v>2731</v>
      </c>
      <c r="B9" s="667" t="s">
        <v>2839</v>
      </c>
      <c r="C9" s="668">
        <v>0.01</v>
      </c>
      <c r="D9" s="669"/>
      <c r="F9" s="664"/>
      <c r="G9" s="665"/>
      <c r="H9" s="670"/>
      <c r="I9" s="664"/>
      <c r="J9" s="665"/>
    </row>
    <row r="10" spans="1:10" ht="15.6">
      <c r="A10" s="666" t="s">
        <v>2840</v>
      </c>
      <c r="B10" s="671" t="s">
        <v>2841</v>
      </c>
      <c r="C10" s="672">
        <v>0.01</v>
      </c>
      <c r="D10" s="669"/>
      <c r="F10" s="664"/>
      <c r="G10" s="665"/>
      <c r="H10" s="670"/>
      <c r="I10" s="664"/>
      <c r="J10" s="665"/>
    </row>
    <row r="11" spans="1:10" ht="15.6">
      <c r="A11" s="666" t="s">
        <v>2842</v>
      </c>
      <c r="B11" s="671" t="s">
        <v>2843</v>
      </c>
      <c r="C11" s="672">
        <v>8.3299999999999999E-2</v>
      </c>
      <c r="D11" s="669"/>
      <c r="F11" s="664"/>
      <c r="G11" s="665"/>
      <c r="H11" s="670"/>
      <c r="I11" s="664"/>
      <c r="J11" s="665"/>
    </row>
    <row r="12" spans="1:10" ht="30.6">
      <c r="A12" s="666" t="s">
        <v>2799</v>
      </c>
      <c r="B12" s="673" t="s">
        <v>2844</v>
      </c>
      <c r="C12" s="672">
        <v>8.3299999999999999E-2</v>
      </c>
      <c r="D12" s="669"/>
      <c r="F12" s="664"/>
      <c r="G12" s="665"/>
      <c r="H12" s="670"/>
      <c r="I12" s="664"/>
      <c r="J12" s="665"/>
    </row>
    <row r="13" spans="1:10" ht="15.6">
      <c r="A13" s="666" t="s">
        <v>2845</v>
      </c>
      <c r="B13" s="671" t="s">
        <v>2846</v>
      </c>
      <c r="C13" s="672">
        <v>4.1700000000000001E-2</v>
      </c>
      <c r="D13" s="669"/>
      <c r="E13" s="658"/>
      <c r="F13" s="658"/>
      <c r="G13" s="658"/>
      <c r="H13" s="658"/>
      <c r="I13" s="658"/>
      <c r="J13" s="674"/>
    </row>
    <row r="14" spans="1:10" ht="15.6">
      <c r="A14" s="666" t="s">
        <v>2847</v>
      </c>
      <c r="B14" s="671" t="s">
        <v>2848</v>
      </c>
      <c r="C14" s="672">
        <v>0.01</v>
      </c>
      <c r="D14" s="669"/>
      <c r="E14" s="658"/>
      <c r="F14" s="658"/>
      <c r="G14" s="658"/>
      <c r="H14" s="658"/>
      <c r="I14" s="658"/>
      <c r="J14" s="665"/>
    </row>
    <row r="15" spans="1:10" ht="15.6">
      <c r="A15" s="666" t="s">
        <v>2849</v>
      </c>
      <c r="B15" s="671" t="s">
        <v>2850</v>
      </c>
      <c r="C15" s="672">
        <v>8.5000000000000006E-2</v>
      </c>
      <c r="D15" s="669"/>
      <c r="E15" s="658"/>
      <c r="F15" s="658"/>
      <c r="G15" s="658"/>
      <c r="H15" s="658"/>
      <c r="I15" s="658"/>
      <c r="J15" s="665"/>
    </row>
    <row r="16" spans="1:10" ht="15.6">
      <c r="A16" s="666" t="s">
        <v>2851</v>
      </c>
      <c r="B16" s="671" t="s">
        <v>2852</v>
      </c>
      <c r="C16" s="672">
        <v>0.12</v>
      </c>
      <c r="D16" s="669"/>
      <c r="E16" s="675"/>
      <c r="F16" s="664"/>
      <c r="G16" s="665"/>
      <c r="H16" s="664"/>
      <c r="I16" s="664"/>
      <c r="J16" s="665"/>
    </row>
    <row r="17" spans="1:10" ht="15.6">
      <c r="A17" s="666" t="s">
        <v>2853</v>
      </c>
      <c r="B17" s="671" t="s">
        <v>2854</v>
      </c>
      <c r="C17" s="672">
        <v>6.9599999999999995E-2</v>
      </c>
      <c r="D17" s="669"/>
      <c r="F17" s="664"/>
      <c r="G17" s="665"/>
      <c r="H17" s="664"/>
      <c r="I17" s="664"/>
      <c r="J17" s="665"/>
    </row>
    <row r="18" spans="1:10" ht="15.6">
      <c r="A18" s="666" t="s">
        <v>2855</v>
      </c>
      <c r="B18" s="671" t="s">
        <v>2856</v>
      </c>
      <c r="C18" s="672">
        <v>0.04</v>
      </c>
      <c r="D18" s="669"/>
      <c r="F18" s="664"/>
      <c r="G18" s="665"/>
      <c r="H18" s="664"/>
      <c r="I18" s="664"/>
      <c r="J18" s="665"/>
    </row>
    <row r="19" spans="1:10" ht="15.6">
      <c r="A19" s="666" t="s">
        <v>2857</v>
      </c>
      <c r="B19" s="671" t="s">
        <v>1204</v>
      </c>
      <c r="C19" s="672">
        <v>0.03</v>
      </c>
      <c r="D19" s="669"/>
      <c r="F19" s="664"/>
      <c r="G19" s="665"/>
      <c r="H19" s="664"/>
      <c r="I19" s="664"/>
      <c r="J19" s="665"/>
    </row>
    <row r="20" spans="1:10" ht="15.6">
      <c r="A20" s="655"/>
      <c r="B20" s="656" t="s">
        <v>2858</v>
      </c>
      <c r="C20" s="676">
        <f>SUM(C9:C19)</f>
        <v>0.58290000000000008</v>
      </c>
      <c r="D20" s="669"/>
      <c r="E20" s="658"/>
      <c r="F20" s="658"/>
      <c r="G20" s="658"/>
      <c r="H20" s="658"/>
      <c r="I20" s="658"/>
      <c r="J20" s="665"/>
    </row>
    <row r="21" spans="1:10" ht="15.6">
      <c r="A21" s="659"/>
      <c r="B21" s="677"/>
      <c r="C21" s="661"/>
      <c r="D21" s="669"/>
      <c r="E21" s="658"/>
      <c r="F21" s="658"/>
      <c r="G21" s="658"/>
      <c r="H21" s="658"/>
      <c r="I21" s="658"/>
      <c r="J21" s="665"/>
    </row>
    <row r="22" spans="1:10" ht="15.6">
      <c r="A22" s="655" t="s">
        <v>2859</v>
      </c>
      <c r="B22" s="656" t="s">
        <v>2860</v>
      </c>
      <c r="C22" s="663"/>
      <c r="D22" s="669"/>
      <c r="E22" s="658"/>
      <c r="F22" s="658"/>
      <c r="G22" s="658"/>
      <c r="H22" s="658"/>
      <c r="I22" s="658"/>
      <c r="J22" s="665"/>
    </row>
    <row r="23" spans="1:10" ht="30.6">
      <c r="A23" s="666" t="s">
        <v>2861</v>
      </c>
      <c r="B23" s="667" t="s">
        <v>2862</v>
      </c>
      <c r="C23" s="668">
        <v>0.05</v>
      </c>
      <c r="D23" s="669"/>
      <c r="E23" s="658"/>
      <c r="F23" s="658"/>
      <c r="G23" s="658"/>
      <c r="H23" s="658"/>
      <c r="I23" s="658"/>
      <c r="J23" s="665"/>
    </row>
    <row r="24" spans="1:10" ht="15.6">
      <c r="A24" s="666" t="s">
        <v>2863</v>
      </c>
      <c r="B24" s="667" t="s">
        <v>2864</v>
      </c>
      <c r="C24" s="668">
        <v>0.03</v>
      </c>
      <c r="D24" s="669"/>
      <c r="E24" s="658"/>
      <c r="F24" s="658"/>
      <c r="G24" s="658"/>
      <c r="H24" s="658"/>
      <c r="I24" s="658"/>
      <c r="J24" s="678"/>
    </row>
    <row r="25" spans="1:10" ht="15.6">
      <c r="A25" s="666" t="s">
        <v>2865</v>
      </c>
      <c r="B25" s="667" t="s">
        <v>2866</v>
      </c>
      <c r="C25" s="668">
        <v>0.04</v>
      </c>
      <c r="D25" s="669"/>
    </row>
    <row r="26" spans="1:10" ht="15.6">
      <c r="A26" s="666" t="s">
        <v>2867</v>
      </c>
      <c r="B26" s="667" t="s">
        <v>2868</v>
      </c>
      <c r="C26" s="668">
        <v>0.05</v>
      </c>
      <c r="D26" s="669"/>
    </row>
    <row r="27" spans="1:10" ht="15.6">
      <c r="A27" s="666" t="s">
        <v>2869</v>
      </c>
      <c r="B27" s="667" t="s">
        <v>2701</v>
      </c>
      <c r="C27" s="668">
        <v>0.03</v>
      </c>
      <c r="D27" s="669"/>
    </row>
    <row r="28" spans="1:10" ht="15.6">
      <c r="A28" s="655"/>
      <c r="B28" s="656" t="s">
        <v>2870</v>
      </c>
      <c r="C28" s="676">
        <f>SUM(C23:C27)</f>
        <v>0.19999999999999998</v>
      </c>
      <c r="D28" s="669"/>
    </row>
    <row r="29" spans="1:10" ht="15.6">
      <c r="A29" s="659"/>
      <c r="B29" s="680"/>
      <c r="C29" s="661"/>
      <c r="D29" s="679"/>
      <c r="E29" s="681"/>
    </row>
    <row r="30" spans="1:10" ht="15.6">
      <c r="A30" s="655" t="s">
        <v>2871</v>
      </c>
      <c r="B30" s="682" t="s">
        <v>2872</v>
      </c>
      <c r="C30" s="657">
        <v>0.1</v>
      </c>
      <c r="D30" s="679"/>
    </row>
    <row r="31" spans="1:10" ht="15.75" customHeight="1">
      <c r="A31" s="683"/>
      <c r="B31" s="684"/>
      <c r="C31" s="685"/>
      <c r="D31" s="679"/>
    </row>
    <row r="32" spans="1:10" ht="15.75" customHeight="1">
      <c r="A32" s="686"/>
      <c r="B32" s="687" t="s">
        <v>2873</v>
      </c>
      <c r="C32" s="688">
        <f>C6+C20+C28+C30</f>
        <v>1.8829</v>
      </c>
      <c r="D32" s="679"/>
    </row>
    <row r="33" spans="1:4" ht="15.75" customHeight="1">
      <c r="A33" s="683"/>
      <c r="B33" s="684"/>
      <c r="C33" s="685"/>
      <c r="D33" s="689"/>
    </row>
    <row r="34" spans="1:4" ht="15.75" customHeight="1" thickBot="1">
      <c r="A34" s="920" t="s">
        <v>2874</v>
      </c>
      <c r="B34" s="921"/>
      <c r="C34" s="690">
        <f>+C32</f>
        <v>1.8829</v>
      </c>
      <c r="D34" s="691"/>
    </row>
    <row r="35" spans="1:4" s="692" customFormat="1" ht="15.75" customHeight="1"/>
    <row r="36" spans="1:4" s="692" customFormat="1" ht="15.75" customHeight="1">
      <c r="B36" s="693"/>
    </row>
    <row r="37" spans="1:4" s="692" customFormat="1" ht="15.75" customHeight="1">
      <c r="A37" s="694"/>
      <c r="B37" s="695"/>
    </row>
    <row r="38" spans="1:4" s="692" customFormat="1" ht="15.75" customHeight="1">
      <c r="B38" s="693"/>
    </row>
    <row r="39" spans="1:4">
      <c r="B39" s="697"/>
      <c r="C39" s="698"/>
      <c r="D39" s="699"/>
    </row>
  </sheetData>
  <mergeCells count="4">
    <mergeCell ref="A1:C1"/>
    <mergeCell ref="A2:C3"/>
    <mergeCell ref="A4:B4"/>
    <mergeCell ref="A34:B34"/>
  </mergeCells>
  <printOptions horizontalCentered="1" verticalCentered="1"/>
  <pageMargins left="0.70866141732283472" right="0.70866141732283472" top="0.74803149606299213" bottom="0.74803149606299213" header="0.31496062992125984" footer="0.31496062992125984"/>
  <pageSetup scale="79" orientation="portrait" r:id="rId1"/>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pageSetUpPr fitToPage="1"/>
  </sheetPr>
  <dimension ref="A1:S638"/>
  <sheetViews>
    <sheetView topLeftCell="A86" workbookViewId="0">
      <selection activeCell="B90" sqref="B90:C96"/>
    </sheetView>
  </sheetViews>
  <sheetFormatPr baseColWidth="10" defaultColWidth="14.44140625" defaultRowHeight="15" customHeight="1"/>
  <cols>
    <col min="1" max="2" width="18.6640625" style="2" customWidth="1"/>
    <col min="3" max="7" width="16.6640625" style="2" customWidth="1"/>
    <col min="8" max="18" width="14.44140625" style="2"/>
    <col min="19" max="19" width="13.5546875" style="2" bestFit="1" customWidth="1"/>
    <col min="20" max="16384" width="14.44140625" style="2"/>
  </cols>
  <sheetData>
    <row r="1" spans="1:7" ht="15" customHeight="1">
      <c r="A1" s="175"/>
      <c r="B1" s="175"/>
      <c r="C1" s="175"/>
      <c r="D1" s="175"/>
      <c r="E1" s="175"/>
      <c r="F1" s="175"/>
      <c r="G1" s="175"/>
    </row>
    <row r="2" spans="1:7" ht="116.25" customHeight="1">
      <c r="A2" s="177"/>
      <c r="B2" s="177"/>
      <c r="C2" s="922" t="s">
        <v>0</v>
      </c>
      <c r="D2" s="922"/>
      <c r="E2" s="922"/>
      <c r="F2" s="922"/>
      <c r="G2" s="923"/>
    </row>
    <row r="3" spans="1:7" ht="19.5" customHeight="1">
      <c r="A3" s="3"/>
      <c r="B3" s="4"/>
      <c r="C3" s="5"/>
      <c r="D3" s="5"/>
      <c r="E3" s="5"/>
      <c r="F3" s="5"/>
      <c r="G3" s="6"/>
    </row>
    <row r="4" spans="1:7" ht="43.5" customHeight="1">
      <c r="A4" s="933" t="s">
        <v>1</v>
      </c>
      <c r="B4" s="934"/>
      <c r="C4" s="935" t="s">
        <v>0</v>
      </c>
      <c r="D4" s="936"/>
      <c r="E4" s="936"/>
      <c r="F4" s="936"/>
      <c r="G4" s="937"/>
    </row>
    <row r="5" spans="1:7" ht="19.5" customHeight="1">
      <c r="A5" s="933"/>
      <c r="B5" s="934"/>
      <c r="C5" s="938"/>
      <c r="D5" s="939"/>
      <c r="E5" s="939"/>
      <c r="F5" s="939"/>
      <c r="G5" s="940"/>
    </row>
    <row r="6" spans="1:7" ht="19.5" customHeight="1">
      <c r="A6" s="933"/>
      <c r="B6" s="934"/>
      <c r="C6" s="924"/>
      <c r="D6" s="925"/>
      <c r="E6" s="925"/>
      <c r="F6" s="925"/>
      <c r="G6" s="926"/>
    </row>
    <row r="7" spans="1:7" ht="21.75" customHeight="1">
      <c r="A7" s="933"/>
      <c r="B7" s="934"/>
      <c r="C7" s="941" t="s">
        <v>2</v>
      </c>
      <c r="D7" s="928"/>
      <c r="E7" s="928"/>
      <c r="F7" s="7" t="s">
        <v>3</v>
      </c>
      <c r="G7" s="8" t="s">
        <v>4</v>
      </c>
    </row>
    <row r="8" spans="1:7" ht="60" customHeight="1">
      <c r="A8" s="942" t="s">
        <v>1769</v>
      </c>
      <c r="B8" s="928"/>
      <c r="C8" s="932" t="s">
        <v>1770</v>
      </c>
      <c r="D8" s="928"/>
      <c r="E8" s="928"/>
      <c r="F8" s="9" t="s">
        <v>37</v>
      </c>
      <c r="G8" s="10">
        <v>9336.4701000000005</v>
      </c>
    </row>
    <row r="9" spans="1:7" ht="15" customHeight="1">
      <c r="A9" s="929" t="s">
        <v>5</v>
      </c>
      <c r="B9" s="928"/>
      <c r="C9" s="928"/>
      <c r="D9" s="928"/>
      <c r="E9" s="928"/>
      <c r="F9" s="928"/>
      <c r="G9" s="930"/>
    </row>
    <row r="10" spans="1:7" ht="15" customHeight="1">
      <c r="A10" s="931" t="s">
        <v>2</v>
      </c>
      <c r="B10" s="928"/>
      <c r="C10" s="11" t="s">
        <v>3</v>
      </c>
      <c r="D10" s="11" t="s">
        <v>4</v>
      </c>
      <c r="E10" s="11" t="s">
        <v>6</v>
      </c>
      <c r="F10" s="11" t="s">
        <v>7</v>
      </c>
      <c r="G10" s="967" t="s">
        <v>8</v>
      </c>
    </row>
    <row r="11" spans="1:7" ht="15" customHeight="1">
      <c r="A11" s="927" t="s">
        <v>89</v>
      </c>
      <c r="B11" s="932"/>
      <c r="C11" s="12" t="s">
        <v>3</v>
      </c>
      <c r="D11" s="9">
        <v>0.05</v>
      </c>
      <c r="E11" s="13">
        <f>G26</f>
        <v>1302.742</v>
      </c>
      <c r="F11" s="14">
        <f>D11*E11</f>
        <v>65.137100000000004</v>
      </c>
      <c r="G11" s="968"/>
    </row>
    <row r="12" spans="1:7" ht="15" customHeight="1">
      <c r="A12" s="927" t="s">
        <v>1296</v>
      </c>
      <c r="B12" s="932"/>
      <c r="C12" s="12" t="s">
        <v>60</v>
      </c>
      <c r="D12" s="9">
        <v>3.3E-3</v>
      </c>
      <c r="E12" s="13">
        <v>100000</v>
      </c>
      <c r="F12" s="14">
        <f>D12*E12</f>
        <v>330</v>
      </c>
      <c r="G12" s="969"/>
    </row>
    <row r="13" spans="1:7" ht="15" customHeight="1">
      <c r="A13" s="927"/>
      <c r="B13" s="932"/>
      <c r="C13" s="12"/>
      <c r="D13" s="12"/>
      <c r="E13" s="13"/>
      <c r="F13" s="14"/>
      <c r="G13" s="15">
        <f>SUM(F10:F13)</f>
        <v>395.13710000000003</v>
      </c>
    </row>
    <row r="14" spans="1:7" ht="15" customHeight="1">
      <c r="A14" s="929" t="s">
        <v>10</v>
      </c>
      <c r="B14" s="928"/>
      <c r="C14" s="928"/>
      <c r="D14" s="928"/>
      <c r="E14" s="928"/>
      <c r="F14" s="928"/>
      <c r="G14" s="930"/>
    </row>
    <row r="15" spans="1:7" ht="15" customHeight="1">
      <c r="A15" s="931" t="s">
        <v>2</v>
      </c>
      <c r="B15" s="928"/>
      <c r="C15" s="11" t="s">
        <v>3</v>
      </c>
      <c r="D15" s="11" t="s">
        <v>4</v>
      </c>
      <c r="E15" s="11" t="s">
        <v>6</v>
      </c>
      <c r="F15" s="11" t="s">
        <v>11</v>
      </c>
      <c r="G15" s="946" t="s">
        <v>8</v>
      </c>
    </row>
    <row r="16" spans="1:7" ht="15" customHeight="1">
      <c r="A16" s="947" t="s">
        <v>1315</v>
      </c>
      <c r="B16" s="944"/>
      <c r="C16" s="16" t="s">
        <v>3</v>
      </c>
      <c r="D16" s="32">
        <v>2E-3</v>
      </c>
      <c r="E16" s="17">
        <f>'INSUMOS '!$E$13</f>
        <v>14900</v>
      </c>
      <c r="F16" s="14">
        <f>D16*E16</f>
        <v>29.8</v>
      </c>
      <c r="G16" s="946"/>
    </row>
    <row r="17" spans="1:7" ht="15" customHeight="1">
      <c r="A17" s="947" t="s">
        <v>1111</v>
      </c>
      <c r="B17" s="944"/>
      <c r="C17" s="16" t="s">
        <v>3</v>
      </c>
      <c r="D17" s="32">
        <v>1E-3</v>
      </c>
      <c r="E17" s="17">
        <f>'INSUMOS '!$E$139</f>
        <v>11900</v>
      </c>
      <c r="F17" s="14">
        <f>D17*E17</f>
        <v>11.9</v>
      </c>
      <c r="G17" s="946"/>
    </row>
    <row r="18" spans="1:7" ht="15" customHeight="1">
      <c r="A18" s="927" t="s">
        <v>13</v>
      </c>
      <c r="B18" s="928"/>
      <c r="C18" s="12" t="s">
        <v>3</v>
      </c>
      <c r="D18" s="34">
        <v>1E-3</v>
      </c>
      <c r="E18" s="13">
        <f>'INSUMOS '!$E$130</f>
        <v>152000</v>
      </c>
      <c r="F18" s="14">
        <f>D18*E18</f>
        <v>152</v>
      </c>
      <c r="G18" s="946"/>
    </row>
    <row r="19" spans="1:7" ht="32.25" customHeight="1">
      <c r="A19" s="947" t="s">
        <v>1316</v>
      </c>
      <c r="B19" s="944"/>
      <c r="C19" s="16" t="s">
        <v>3</v>
      </c>
      <c r="D19" s="32">
        <v>1E-3</v>
      </c>
      <c r="E19" s="17">
        <f>'INSUMOS '!$E$140</f>
        <v>18900</v>
      </c>
      <c r="F19" s="14">
        <f>D19*E19</f>
        <v>18.900000000000002</v>
      </c>
      <c r="G19" s="946"/>
    </row>
    <row r="20" spans="1:7" ht="15" customHeight="1">
      <c r="A20" s="927"/>
      <c r="B20" s="928"/>
      <c r="C20" s="12"/>
      <c r="D20" s="9"/>
      <c r="E20" s="13"/>
      <c r="F20" s="14"/>
      <c r="G20" s="15">
        <f>SUM(F15:F20)</f>
        <v>212.6</v>
      </c>
    </row>
    <row r="21" spans="1:7" ht="15" customHeight="1">
      <c r="A21" s="929" t="s">
        <v>15</v>
      </c>
      <c r="B21" s="928"/>
      <c r="C21" s="928"/>
      <c r="D21" s="928"/>
      <c r="E21" s="928"/>
      <c r="F21" s="928"/>
      <c r="G21" s="930"/>
    </row>
    <row r="22" spans="1:7" ht="15" customHeight="1">
      <c r="A22" s="931" t="s">
        <v>2</v>
      </c>
      <c r="B22" s="928"/>
      <c r="C22" s="11" t="s">
        <v>3</v>
      </c>
      <c r="D22" s="11" t="s">
        <v>4</v>
      </c>
      <c r="E22" s="11" t="s">
        <v>6</v>
      </c>
      <c r="F22" s="11" t="s">
        <v>11</v>
      </c>
      <c r="G22" s="18" t="s">
        <v>8</v>
      </c>
    </row>
    <row r="23" spans="1:7" ht="15" customHeight="1">
      <c r="A23" s="943" t="s">
        <v>17</v>
      </c>
      <c r="B23" s="944"/>
      <c r="C23" s="19" t="s">
        <v>18</v>
      </c>
      <c r="D23" s="16">
        <v>1E-4</v>
      </c>
      <c r="E23" s="17">
        <v>800000</v>
      </c>
      <c r="F23" s="14">
        <f>+D23*E23</f>
        <v>80</v>
      </c>
      <c r="G23" s="15">
        <f>SUM(F23:F23)</f>
        <v>80</v>
      </c>
    </row>
    <row r="24" spans="1:7" ht="15" customHeight="1">
      <c r="A24" s="929" t="s">
        <v>19</v>
      </c>
      <c r="B24" s="928"/>
      <c r="C24" s="928"/>
      <c r="D24" s="928"/>
      <c r="E24" s="928"/>
      <c r="F24" s="928"/>
      <c r="G24" s="930"/>
    </row>
    <row r="25" spans="1:7" ht="15" customHeight="1">
      <c r="A25" s="931" t="s">
        <v>2</v>
      </c>
      <c r="B25" s="928"/>
      <c r="C25" s="11" t="s">
        <v>3</v>
      </c>
      <c r="D25" s="11" t="s">
        <v>4</v>
      </c>
      <c r="E25" s="11" t="s">
        <v>6</v>
      </c>
      <c r="F25" s="11" t="s">
        <v>11</v>
      </c>
      <c r="G25" s="18" t="s">
        <v>8</v>
      </c>
    </row>
    <row r="26" spans="1:7" ht="15" customHeight="1">
      <c r="A26" s="948" t="str">
        <f>SALARIOS!$A$90</f>
        <v>CUADRILLA TOPOGRAFIA 1:2</v>
      </c>
      <c r="B26" s="949"/>
      <c r="C26" s="13" t="s">
        <v>1245</v>
      </c>
      <c r="D26" s="16">
        <v>3.5000000000000003E-2</v>
      </c>
      <c r="E26" s="17">
        <f>SALARIOS!$C$90</f>
        <v>37221.199999999997</v>
      </c>
      <c r="F26" s="14">
        <f>+E26*D26</f>
        <v>1302.742</v>
      </c>
      <c r="G26" s="15">
        <f>SUM(F25:F26)</f>
        <v>1302.742</v>
      </c>
    </row>
    <row r="27" spans="1:7" ht="15" customHeight="1">
      <c r="A27" s="945" t="s">
        <v>25</v>
      </c>
      <c r="B27" s="928"/>
      <c r="C27" s="928"/>
      <c r="D27" s="928"/>
      <c r="E27" s="928"/>
      <c r="F27" s="928"/>
      <c r="G27" s="930"/>
    </row>
    <row r="28" spans="1:7" ht="15" customHeight="1">
      <c r="A28" s="950"/>
      <c r="B28" s="928"/>
      <c r="C28" s="928"/>
      <c r="D28" s="928"/>
      <c r="E28" s="928"/>
      <c r="F28" s="928"/>
      <c r="G28" s="20">
        <f>G26+G23+G20+G13</f>
        <v>1990.4791</v>
      </c>
    </row>
    <row r="29" spans="1:7" ht="15" customHeight="1">
      <c r="A29" s="255"/>
      <c r="B29" s="253"/>
      <c r="C29" s="253"/>
      <c r="D29" s="253"/>
      <c r="E29" s="253"/>
      <c r="F29" s="253"/>
      <c r="G29" s="256"/>
    </row>
    <row r="30" spans="1:7" ht="14.25" customHeight="1">
      <c r="A30" s="933" t="s">
        <v>1</v>
      </c>
      <c r="B30" s="951"/>
      <c r="C30" s="953" t="s">
        <v>0</v>
      </c>
      <c r="D30" s="954"/>
      <c r="E30" s="954"/>
      <c r="F30" s="954"/>
      <c r="G30" s="955"/>
    </row>
    <row r="31" spans="1:7" ht="50.25" customHeight="1">
      <c r="A31" s="952"/>
      <c r="B31" s="951"/>
      <c r="C31" s="954"/>
      <c r="D31" s="954"/>
      <c r="E31" s="954"/>
      <c r="F31" s="954"/>
      <c r="G31" s="955"/>
    </row>
    <row r="32" spans="1:7" ht="17.399999999999999">
      <c r="A32" s="952"/>
      <c r="B32" s="951"/>
      <c r="C32" s="956"/>
      <c r="D32" s="957"/>
      <c r="E32" s="957"/>
      <c r="F32" s="957"/>
      <c r="G32" s="958"/>
    </row>
    <row r="33" spans="1:7" ht="13.8">
      <c r="A33" s="952"/>
      <c r="B33" s="951"/>
      <c r="C33" s="959" t="s">
        <v>2</v>
      </c>
      <c r="D33" s="957"/>
      <c r="E33" s="957"/>
      <c r="F33" s="23" t="s">
        <v>3</v>
      </c>
      <c r="G33" s="24" t="s">
        <v>4</v>
      </c>
    </row>
    <row r="34" spans="1:7" ht="66" customHeight="1">
      <c r="A34" s="942" t="s">
        <v>26</v>
      </c>
      <c r="B34" s="928"/>
      <c r="C34" s="932" t="s">
        <v>27</v>
      </c>
      <c r="D34" s="928"/>
      <c r="E34" s="928"/>
      <c r="F34" s="9" t="s">
        <v>28</v>
      </c>
      <c r="G34" s="25">
        <v>1</v>
      </c>
    </row>
    <row r="35" spans="1:7" ht="20.25" customHeight="1">
      <c r="A35" s="929" t="s">
        <v>5</v>
      </c>
      <c r="B35" s="928"/>
      <c r="C35" s="928"/>
      <c r="D35" s="928"/>
      <c r="E35" s="928"/>
      <c r="F35" s="928"/>
      <c r="G35" s="930"/>
    </row>
    <row r="36" spans="1:7" ht="17.25" customHeight="1">
      <c r="A36" s="931" t="s">
        <v>2</v>
      </c>
      <c r="B36" s="928"/>
      <c r="C36" s="11" t="s">
        <v>3</v>
      </c>
      <c r="D36" s="11" t="s">
        <v>4</v>
      </c>
      <c r="E36" s="11" t="s">
        <v>6</v>
      </c>
      <c r="F36" s="11" t="s">
        <v>7</v>
      </c>
      <c r="G36" s="946" t="s">
        <v>8</v>
      </c>
    </row>
    <row r="37" spans="1:7" ht="15" customHeight="1">
      <c r="A37" s="927" t="s">
        <v>9</v>
      </c>
      <c r="B37" s="928"/>
      <c r="C37" s="12" t="s">
        <v>3</v>
      </c>
      <c r="D37" s="9">
        <v>0.05</v>
      </c>
      <c r="E37" s="13">
        <f>G60</f>
        <v>839664</v>
      </c>
      <c r="F37" s="14">
        <f>D37*E37</f>
        <v>41983.200000000004</v>
      </c>
      <c r="G37" s="930"/>
    </row>
    <row r="38" spans="1:7" ht="15" customHeight="1">
      <c r="A38" s="927"/>
      <c r="B38" s="928"/>
      <c r="C38" s="9"/>
      <c r="D38" s="9"/>
      <c r="E38" s="13"/>
      <c r="F38" s="14"/>
      <c r="G38" s="15">
        <f>SUM(F36:F38)</f>
        <v>41983.200000000004</v>
      </c>
    </row>
    <row r="39" spans="1:7" ht="15" customHeight="1">
      <c r="A39" s="929" t="s">
        <v>10</v>
      </c>
      <c r="B39" s="928"/>
      <c r="C39" s="928"/>
      <c r="D39" s="928"/>
      <c r="E39" s="928"/>
      <c r="F39" s="928"/>
      <c r="G39" s="930"/>
    </row>
    <row r="40" spans="1:7" ht="15" customHeight="1">
      <c r="A40" s="931" t="s">
        <v>2</v>
      </c>
      <c r="B40" s="928"/>
      <c r="C40" s="11" t="s">
        <v>3</v>
      </c>
      <c r="D40" s="11" t="s">
        <v>4</v>
      </c>
      <c r="E40" s="11" t="s">
        <v>6</v>
      </c>
      <c r="F40" s="11" t="s">
        <v>11</v>
      </c>
      <c r="G40" s="946" t="s">
        <v>8</v>
      </c>
    </row>
    <row r="41" spans="1:7" ht="15" customHeight="1">
      <c r="A41" s="927" t="s">
        <v>29</v>
      </c>
      <c r="B41" s="928"/>
      <c r="C41" s="12" t="s">
        <v>3</v>
      </c>
      <c r="D41" s="12">
        <v>20</v>
      </c>
      <c r="E41" s="13">
        <f>'INSUMOS '!E131</f>
        <v>61450</v>
      </c>
      <c r="F41" s="14">
        <f t="shared" ref="F41:F54" si="0">D41*E41</f>
        <v>1229000</v>
      </c>
      <c r="G41" s="946"/>
    </row>
    <row r="42" spans="1:7" ht="15" customHeight="1">
      <c r="A42" s="927" t="s">
        <v>30</v>
      </c>
      <c r="B42" s="928"/>
      <c r="C42" s="12" t="s">
        <v>3</v>
      </c>
      <c r="D42" s="12">
        <v>1</v>
      </c>
      <c r="E42" s="13">
        <f>'INSUMOS '!E132</f>
        <v>270000</v>
      </c>
      <c r="F42" s="14">
        <f t="shared" si="0"/>
        <v>270000</v>
      </c>
      <c r="G42" s="946"/>
    </row>
    <row r="43" spans="1:7" ht="15" customHeight="1">
      <c r="A43" s="927" t="s">
        <v>31</v>
      </c>
      <c r="B43" s="932"/>
      <c r="C43" s="12" t="s">
        <v>3</v>
      </c>
      <c r="D43" s="12">
        <v>75</v>
      </c>
      <c r="E43" s="13">
        <f>'INSUMOS '!E18</f>
        <v>17500</v>
      </c>
      <c r="F43" s="14">
        <f t="shared" si="0"/>
        <v>1312500</v>
      </c>
      <c r="G43" s="946"/>
    </row>
    <row r="44" spans="1:7" ht="15" customHeight="1">
      <c r="A44" s="927" t="s">
        <v>32</v>
      </c>
      <c r="B44" s="932"/>
      <c r="C44" s="12" t="s">
        <v>3</v>
      </c>
      <c r="D44" s="12">
        <v>2</v>
      </c>
      <c r="E44" s="13">
        <f>'INSUMOS '!E309</f>
        <v>390900</v>
      </c>
      <c r="F44" s="14">
        <f t="shared" si="0"/>
        <v>781800</v>
      </c>
      <c r="G44" s="946"/>
    </row>
    <row r="45" spans="1:7" ht="15" customHeight="1">
      <c r="A45" s="927" t="s">
        <v>33</v>
      </c>
      <c r="B45" s="932"/>
      <c r="C45" s="12" t="s">
        <v>34</v>
      </c>
      <c r="D45" s="12">
        <v>9</v>
      </c>
      <c r="E45" s="13">
        <f>'INSUMOS '!E64</f>
        <v>8123</v>
      </c>
      <c r="F45" s="14">
        <f t="shared" si="0"/>
        <v>73107</v>
      </c>
      <c r="G45" s="946"/>
    </row>
    <row r="46" spans="1:7" ht="15" customHeight="1">
      <c r="A46" s="927" t="s">
        <v>35</v>
      </c>
      <c r="B46" s="928"/>
      <c r="C46" s="12" t="s">
        <v>3</v>
      </c>
      <c r="D46" s="12">
        <v>1</v>
      </c>
      <c r="E46" s="13">
        <f>'INSUMOS '!E133</f>
        <v>239900</v>
      </c>
      <c r="F46" s="14">
        <f t="shared" si="0"/>
        <v>239900</v>
      </c>
      <c r="G46" s="946"/>
    </row>
    <row r="47" spans="1:7" ht="15" customHeight="1">
      <c r="A47" s="927" t="s">
        <v>36</v>
      </c>
      <c r="B47" s="932"/>
      <c r="C47" s="12" t="s">
        <v>37</v>
      </c>
      <c r="D47" s="12">
        <v>5</v>
      </c>
      <c r="E47" s="13">
        <f>'INSUMOS '!E17</f>
        <v>12212.765957446807</v>
      </c>
      <c r="F47" s="14">
        <f t="shared" si="0"/>
        <v>61063.829787234034</v>
      </c>
      <c r="G47" s="946"/>
    </row>
    <row r="48" spans="1:7" ht="15" customHeight="1">
      <c r="A48" s="927" t="s">
        <v>38</v>
      </c>
      <c r="B48" s="932"/>
      <c r="C48" s="12" t="s">
        <v>39</v>
      </c>
      <c r="D48" s="12">
        <v>7</v>
      </c>
      <c r="E48" s="13">
        <f>'INSUMOS '!E63</f>
        <v>391352</v>
      </c>
      <c r="F48" s="14">
        <f t="shared" si="0"/>
        <v>2739464</v>
      </c>
      <c r="G48" s="946"/>
    </row>
    <row r="49" spans="1:7" ht="15" customHeight="1">
      <c r="A49" s="927" t="s">
        <v>40</v>
      </c>
      <c r="B49" s="932"/>
      <c r="C49" s="12" t="s">
        <v>37</v>
      </c>
      <c r="D49" s="12">
        <v>180</v>
      </c>
      <c r="E49" s="13">
        <f>'INSUMOS '!E96</f>
        <v>1567</v>
      </c>
      <c r="F49" s="14">
        <f t="shared" si="0"/>
        <v>282060</v>
      </c>
      <c r="G49" s="946"/>
    </row>
    <row r="50" spans="1:7" ht="15" customHeight="1">
      <c r="A50" s="927" t="s">
        <v>41</v>
      </c>
      <c r="B50" s="928"/>
      <c r="C50" s="12" t="s">
        <v>42</v>
      </c>
      <c r="D50" s="12">
        <v>1500</v>
      </c>
      <c r="E50" s="13">
        <f>'INSUMOS '!E65</f>
        <v>14</v>
      </c>
      <c r="F50" s="14">
        <f t="shared" si="0"/>
        <v>21000</v>
      </c>
      <c r="G50" s="946"/>
    </row>
    <row r="51" spans="1:7" ht="15" customHeight="1">
      <c r="A51" s="927" t="s">
        <v>43</v>
      </c>
      <c r="B51" s="928"/>
      <c r="C51" s="12" t="s">
        <v>3</v>
      </c>
      <c r="D51" s="12">
        <v>2</v>
      </c>
      <c r="E51" s="13">
        <f>'INSUMOS '!E134</f>
        <v>12300</v>
      </c>
      <c r="F51" s="14">
        <f t="shared" si="0"/>
        <v>24600</v>
      </c>
      <c r="G51" s="946"/>
    </row>
    <row r="52" spans="1:7" ht="15" customHeight="1">
      <c r="A52" s="927" t="s">
        <v>44</v>
      </c>
      <c r="B52" s="928"/>
      <c r="C52" s="12" t="s">
        <v>45</v>
      </c>
      <c r="D52" s="12">
        <v>60</v>
      </c>
      <c r="E52" s="13">
        <f>'INSUMOS '!E135</f>
        <v>2679</v>
      </c>
      <c r="F52" s="14">
        <f t="shared" si="0"/>
        <v>160740</v>
      </c>
      <c r="G52" s="946"/>
    </row>
    <row r="53" spans="1:7" ht="15" customHeight="1">
      <c r="A53" s="927" t="s">
        <v>46</v>
      </c>
      <c r="B53" s="928"/>
      <c r="C53" s="12" t="s">
        <v>3</v>
      </c>
      <c r="D53" s="12">
        <v>2</v>
      </c>
      <c r="E53" s="13">
        <f>'INSUMOS '!E136</f>
        <v>9100</v>
      </c>
      <c r="F53" s="14">
        <f t="shared" si="0"/>
        <v>18200</v>
      </c>
      <c r="G53" s="946"/>
    </row>
    <row r="54" spans="1:7" ht="27.6" customHeight="1">
      <c r="A54" s="927" t="s">
        <v>47</v>
      </c>
      <c r="B54" s="928"/>
      <c r="C54" s="12" t="s">
        <v>3</v>
      </c>
      <c r="D54" s="12">
        <v>45</v>
      </c>
      <c r="E54" s="13">
        <f>'INSUMOS '!E137</f>
        <v>33900</v>
      </c>
      <c r="F54" s="14">
        <f t="shared" si="0"/>
        <v>1525500</v>
      </c>
      <c r="G54" s="15">
        <f>SUM(F40:F54)</f>
        <v>8738934.8297872338</v>
      </c>
    </row>
    <row r="55" spans="1:7" ht="15" customHeight="1">
      <c r="A55" s="929" t="s">
        <v>15</v>
      </c>
      <c r="B55" s="928"/>
      <c r="C55" s="928"/>
      <c r="D55" s="928"/>
      <c r="E55" s="928"/>
      <c r="F55" s="928"/>
      <c r="G55" s="930"/>
    </row>
    <row r="56" spans="1:7" ht="15" customHeight="1">
      <c r="A56" s="931" t="s">
        <v>2</v>
      </c>
      <c r="B56" s="928"/>
      <c r="C56" s="11" t="s">
        <v>3</v>
      </c>
      <c r="D56" s="11" t="s">
        <v>4</v>
      </c>
      <c r="E56" s="11" t="s">
        <v>6</v>
      </c>
      <c r="F56" s="11" t="s">
        <v>11</v>
      </c>
      <c r="G56" s="18" t="s">
        <v>8</v>
      </c>
    </row>
    <row r="57" spans="1:7" ht="15" customHeight="1">
      <c r="A57" s="943" t="s">
        <v>17</v>
      </c>
      <c r="B57" s="944"/>
      <c r="C57" s="12" t="s">
        <v>2415</v>
      </c>
      <c r="D57" s="16">
        <v>1</v>
      </c>
      <c r="E57" s="17">
        <v>800000</v>
      </c>
      <c r="F57" s="14">
        <f>+D57*E57</f>
        <v>800000</v>
      </c>
      <c r="G57" s="15">
        <f>SUM(F57:F57)</f>
        <v>800000</v>
      </c>
    </row>
    <row r="58" spans="1:7" ht="15" customHeight="1">
      <c r="A58" s="929" t="s">
        <v>19</v>
      </c>
      <c r="B58" s="928"/>
      <c r="C58" s="928"/>
      <c r="D58" s="928"/>
      <c r="E58" s="928"/>
      <c r="F58" s="928"/>
      <c r="G58" s="930"/>
    </row>
    <row r="59" spans="1:7" ht="15" customHeight="1">
      <c r="A59" s="931" t="s">
        <v>2</v>
      </c>
      <c r="B59" s="928"/>
      <c r="C59" s="11" t="s">
        <v>3</v>
      </c>
      <c r="D59" s="11" t="s">
        <v>4</v>
      </c>
      <c r="E59" s="11" t="s">
        <v>6</v>
      </c>
      <c r="F59" s="11" t="s">
        <v>11</v>
      </c>
      <c r="G59" s="18" t="s">
        <v>8</v>
      </c>
    </row>
    <row r="60" spans="1:7" ht="13.8">
      <c r="A60" s="960" t="str">
        <f>SALARIOS!A64</f>
        <v>CUADRILLA AA ALBAÑILERÍA 1:4</v>
      </c>
      <c r="B60" s="961"/>
      <c r="C60" s="13" t="s">
        <v>1245</v>
      </c>
      <c r="D60" s="12">
        <v>16</v>
      </c>
      <c r="E60" s="17">
        <f>SALARIOS!C64</f>
        <v>52479</v>
      </c>
      <c r="F60" s="14">
        <f>+E60*D60</f>
        <v>839664</v>
      </c>
      <c r="G60" s="15">
        <f>SUM(F59:F60)</f>
        <v>839664</v>
      </c>
    </row>
    <row r="61" spans="1:7" ht="15" customHeight="1">
      <c r="A61" s="945" t="s">
        <v>25</v>
      </c>
      <c r="B61" s="928"/>
      <c r="C61" s="928"/>
      <c r="D61" s="928"/>
      <c r="E61" s="928"/>
      <c r="F61" s="928"/>
      <c r="G61" s="930"/>
    </row>
    <row r="62" spans="1:7" ht="15" customHeight="1">
      <c r="A62" s="950"/>
      <c r="B62" s="928"/>
      <c r="C62" s="928"/>
      <c r="D62" s="928"/>
      <c r="E62" s="928"/>
      <c r="F62" s="928"/>
      <c r="G62" s="20">
        <f>G60+G57+G54+G38</f>
        <v>10420582.029787233</v>
      </c>
    </row>
    <row r="63" spans="1:7" ht="15" customHeight="1">
      <c r="A63" s="26"/>
      <c r="B63" s="27"/>
      <c r="C63" s="28"/>
      <c r="D63" s="28"/>
      <c r="E63" s="29"/>
      <c r="F63" s="28"/>
      <c r="G63" s="30"/>
    </row>
    <row r="64" spans="1:7" ht="15" customHeight="1">
      <c r="A64" s="933" t="s">
        <v>1</v>
      </c>
      <c r="B64" s="951"/>
      <c r="C64" s="953" t="s">
        <v>0</v>
      </c>
      <c r="D64" s="954"/>
      <c r="E64" s="954"/>
      <c r="F64" s="954"/>
      <c r="G64" s="955"/>
    </row>
    <row r="65" spans="1:7" ht="48.6" customHeight="1">
      <c r="A65" s="952"/>
      <c r="B65" s="951"/>
      <c r="C65" s="954"/>
      <c r="D65" s="954"/>
      <c r="E65" s="954"/>
      <c r="F65" s="954"/>
      <c r="G65" s="955"/>
    </row>
    <row r="66" spans="1:7" ht="15" customHeight="1">
      <c r="A66" s="952"/>
      <c r="B66" s="951"/>
      <c r="C66" s="956"/>
      <c r="D66" s="957"/>
      <c r="E66" s="957"/>
      <c r="F66" s="957"/>
      <c r="G66" s="958"/>
    </row>
    <row r="67" spans="1:7" ht="15" customHeight="1">
      <c r="A67" s="952"/>
      <c r="B67" s="951"/>
      <c r="C67" s="959" t="s">
        <v>2</v>
      </c>
      <c r="D67" s="957"/>
      <c r="E67" s="957"/>
      <c r="F67" s="23" t="s">
        <v>3</v>
      </c>
      <c r="G67" s="24" t="s">
        <v>4</v>
      </c>
    </row>
    <row r="68" spans="1:7" ht="65.25" customHeight="1">
      <c r="A68" s="942" t="s">
        <v>48</v>
      </c>
      <c r="B68" s="928"/>
      <c r="C68" s="932" t="s">
        <v>49</v>
      </c>
      <c r="D68" s="928"/>
      <c r="E68" s="928"/>
      <c r="F68" s="9" t="s">
        <v>45</v>
      </c>
      <c r="G68" s="25">
        <v>424.14</v>
      </c>
    </row>
    <row r="69" spans="1:7" ht="15" customHeight="1">
      <c r="A69" s="929" t="s">
        <v>5</v>
      </c>
      <c r="B69" s="928"/>
      <c r="C69" s="928"/>
      <c r="D69" s="928"/>
      <c r="E69" s="928"/>
      <c r="F69" s="928"/>
      <c r="G69" s="930"/>
    </row>
    <row r="70" spans="1:7" ht="15" customHeight="1">
      <c r="A70" s="931" t="s">
        <v>2</v>
      </c>
      <c r="B70" s="928"/>
      <c r="C70" s="11" t="s">
        <v>3</v>
      </c>
      <c r="D70" s="11" t="s">
        <v>4</v>
      </c>
      <c r="E70" s="11" t="s">
        <v>6</v>
      </c>
      <c r="F70" s="11" t="s">
        <v>7</v>
      </c>
      <c r="G70" s="946" t="s">
        <v>8</v>
      </c>
    </row>
    <row r="71" spans="1:7" ht="15" customHeight="1">
      <c r="A71" s="927" t="s">
        <v>9</v>
      </c>
      <c r="B71" s="928"/>
      <c r="C71" s="12" t="s">
        <v>3</v>
      </c>
      <c r="D71" s="9">
        <v>0.05</v>
      </c>
      <c r="E71" s="13">
        <f>G85</f>
        <v>3683.2000000000003</v>
      </c>
      <c r="F71" s="14">
        <f>D71*E71</f>
        <v>184.16000000000003</v>
      </c>
      <c r="G71" s="930"/>
    </row>
    <row r="72" spans="1:7" ht="15" customHeight="1">
      <c r="A72" s="927"/>
      <c r="B72" s="928"/>
      <c r="C72" s="9"/>
      <c r="D72" s="9"/>
      <c r="E72" s="13"/>
      <c r="F72" s="14"/>
      <c r="G72" s="15">
        <f>SUM(F70:F72)</f>
        <v>184.16000000000003</v>
      </c>
    </row>
    <row r="73" spans="1:7" ht="13.8">
      <c r="A73" s="929" t="s">
        <v>10</v>
      </c>
      <c r="B73" s="928"/>
      <c r="C73" s="928"/>
      <c r="D73" s="928"/>
      <c r="E73" s="928"/>
      <c r="F73" s="928"/>
      <c r="G73" s="930"/>
    </row>
    <row r="74" spans="1:7" ht="13.8">
      <c r="A74" s="931" t="s">
        <v>2</v>
      </c>
      <c r="B74" s="928"/>
      <c r="C74" s="11" t="s">
        <v>3</v>
      </c>
      <c r="D74" s="11" t="s">
        <v>4</v>
      </c>
      <c r="E74" s="11" t="s">
        <v>6</v>
      </c>
      <c r="F74" s="11" t="s">
        <v>11</v>
      </c>
      <c r="G74" s="946" t="s">
        <v>8</v>
      </c>
    </row>
    <row r="75" spans="1:7" ht="13.8">
      <c r="A75" s="927" t="s">
        <v>50</v>
      </c>
      <c r="B75" s="928"/>
      <c r="C75" s="12" t="s">
        <v>45</v>
      </c>
      <c r="D75" s="9">
        <v>1</v>
      </c>
      <c r="E75" s="13">
        <f>'INSUMOS '!E62</f>
        <v>4899</v>
      </c>
      <c r="F75" s="14">
        <f>D75*E75</f>
        <v>4899</v>
      </c>
      <c r="G75" s="946"/>
    </row>
    <row r="76" spans="1:7" ht="13.8">
      <c r="A76" s="964" t="s">
        <v>51</v>
      </c>
      <c r="B76" s="965"/>
      <c r="C76" s="12" t="s">
        <v>39</v>
      </c>
      <c r="D76" s="9">
        <v>2E-3</v>
      </c>
      <c r="E76" s="13">
        <f>'INSUMOS '!E63</f>
        <v>391352</v>
      </c>
      <c r="F76" s="14">
        <f>D76*E76</f>
        <v>782.70400000000006</v>
      </c>
      <c r="G76" s="946"/>
    </row>
    <row r="77" spans="1:7" ht="13.8">
      <c r="A77" s="927" t="s">
        <v>52</v>
      </c>
      <c r="B77" s="928"/>
      <c r="C77" s="12" t="s">
        <v>34</v>
      </c>
      <c r="D77" s="9">
        <v>2E-3</v>
      </c>
      <c r="E77" s="13">
        <f>'INSUMOS '!E64</f>
        <v>8123</v>
      </c>
      <c r="F77" s="14">
        <f>D77*E77</f>
        <v>16.245999999999999</v>
      </c>
      <c r="G77" s="946"/>
    </row>
    <row r="78" spans="1:7" ht="13.8">
      <c r="A78" s="927" t="s">
        <v>53</v>
      </c>
      <c r="B78" s="928"/>
      <c r="C78" s="12" t="s">
        <v>54</v>
      </c>
      <c r="D78" s="9">
        <v>12.5</v>
      </c>
      <c r="E78" s="13">
        <f>'INSUMOS '!E65</f>
        <v>14</v>
      </c>
      <c r="F78" s="14">
        <f>D78*E78</f>
        <v>175</v>
      </c>
      <c r="G78" s="946"/>
    </row>
    <row r="79" spans="1:7" ht="15" customHeight="1">
      <c r="A79" s="927" t="s">
        <v>55</v>
      </c>
      <c r="B79" s="928"/>
      <c r="C79" s="12" t="s">
        <v>3</v>
      </c>
      <c r="D79" s="9">
        <v>0.5</v>
      </c>
      <c r="E79" s="13">
        <f>'INSUMOS '!E13</f>
        <v>14900</v>
      </c>
      <c r="F79" s="14">
        <f>E79*D79</f>
        <v>7450</v>
      </c>
      <c r="G79" s="15">
        <f>SUM(F74:F79)</f>
        <v>13322.95</v>
      </c>
    </row>
    <row r="80" spans="1:7" ht="13.8">
      <c r="A80" s="929" t="s">
        <v>15</v>
      </c>
      <c r="B80" s="928"/>
      <c r="C80" s="928"/>
      <c r="D80" s="928"/>
      <c r="E80" s="928"/>
      <c r="F80" s="928"/>
      <c r="G80" s="930"/>
    </row>
    <row r="81" spans="1:8" ht="15" customHeight="1">
      <c r="A81" s="931" t="s">
        <v>2</v>
      </c>
      <c r="B81" s="928"/>
      <c r="C81" s="11" t="s">
        <v>3</v>
      </c>
      <c r="D81" s="11" t="s">
        <v>4</v>
      </c>
      <c r="E81" s="11" t="s">
        <v>6</v>
      </c>
      <c r="F81" s="11" t="s">
        <v>11</v>
      </c>
      <c r="G81" s="18" t="s">
        <v>8</v>
      </c>
    </row>
    <row r="82" spans="1:8" ht="13.8">
      <c r="A82" s="943" t="s">
        <v>17</v>
      </c>
      <c r="B82" s="944"/>
      <c r="C82" s="12" t="s">
        <v>18</v>
      </c>
      <c r="D82" s="9">
        <v>3.5000000000000003E-2</v>
      </c>
      <c r="E82" s="257">
        <f>+G79</f>
        <v>13322.95</v>
      </c>
      <c r="F82" s="258">
        <f>+D82*E82</f>
        <v>466.30325000000005</v>
      </c>
      <c r="G82" s="15">
        <f>SUM(F82:F82)</f>
        <v>466.30325000000005</v>
      </c>
    </row>
    <row r="83" spans="1:8" ht="13.8">
      <c r="A83" s="929" t="s">
        <v>19</v>
      </c>
      <c r="B83" s="928"/>
      <c r="C83" s="928"/>
      <c r="D83" s="928"/>
      <c r="E83" s="928"/>
      <c r="F83" s="928"/>
      <c r="G83" s="930"/>
    </row>
    <row r="84" spans="1:8" ht="15" customHeight="1">
      <c r="A84" s="931" t="s">
        <v>2</v>
      </c>
      <c r="B84" s="928"/>
      <c r="C84" s="11" t="s">
        <v>3</v>
      </c>
      <c r="D84" s="11" t="s">
        <v>4</v>
      </c>
      <c r="E84" s="11" t="s">
        <v>6</v>
      </c>
      <c r="F84" s="11" t="s">
        <v>11</v>
      </c>
      <c r="G84" s="18" t="s">
        <v>8</v>
      </c>
    </row>
    <row r="85" spans="1:8" ht="13.8">
      <c r="A85" s="962" t="str">
        <f>SALARIOS!A49</f>
        <v>CUADRILLA 0:2</v>
      </c>
      <c r="B85" s="963"/>
      <c r="C85" s="31" t="s">
        <v>1245</v>
      </c>
      <c r="D85" s="16">
        <v>0.2</v>
      </c>
      <c r="E85" s="257">
        <f>+SALARIOS!D49</f>
        <v>18416</v>
      </c>
      <c r="F85" s="14">
        <f>D85*E85</f>
        <v>3683.2000000000003</v>
      </c>
      <c r="G85" s="15">
        <f>SUM(F84:F85)</f>
        <v>3683.2000000000003</v>
      </c>
    </row>
    <row r="86" spans="1:8" ht="13.8">
      <c r="A86" s="945" t="s">
        <v>25</v>
      </c>
      <c r="B86" s="928"/>
      <c r="C86" s="928"/>
      <c r="D86" s="928"/>
      <c r="E86" s="928"/>
      <c r="F86" s="928"/>
      <c r="G86" s="930"/>
    </row>
    <row r="87" spans="1:8" ht="17.399999999999999">
      <c r="A87" s="950"/>
      <c r="B87" s="928"/>
      <c r="C87" s="928"/>
      <c r="D87" s="928"/>
      <c r="E87" s="928"/>
      <c r="F87" s="928"/>
      <c r="G87" s="20">
        <f>G85+G82+G79+G72</f>
        <v>17656.613250000002</v>
      </c>
    </row>
    <row r="88" spans="1:8" customFormat="1" ht="14.4">
      <c r="B88" s="468"/>
      <c r="F88" s="455"/>
    </row>
    <row r="89" spans="1:8" customFormat="1" ht="14.4">
      <c r="B89" s="468"/>
      <c r="F89" s="620"/>
    </row>
    <row r="90" spans="1:8" customFormat="1" ht="14.4">
      <c r="B90" s="468"/>
      <c r="F90" s="620"/>
      <c r="H90" s="480"/>
    </row>
    <row r="91" spans="1:8" customFormat="1" ht="14.4">
      <c r="B91" s="468"/>
      <c r="F91" s="455"/>
    </row>
    <row r="92" spans="1:8" customFormat="1" ht="14.4">
      <c r="B92" s="468"/>
      <c r="F92" s="455"/>
    </row>
    <row r="93" spans="1:8" customFormat="1" ht="14.4">
      <c r="B93" s="468"/>
      <c r="F93" s="455"/>
    </row>
    <row r="94" spans="1:8" customFormat="1" ht="14.4">
      <c r="B94" s="966"/>
      <c r="C94" s="966"/>
      <c r="F94" s="455"/>
    </row>
    <row r="95" spans="1:8" customFormat="1" ht="14.4">
      <c r="B95" s="966"/>
      <c r="C95" s="966"/>
      <c r="F95" s="455"/>
    </row>
    <row r="96" spans="1:8" customFormat="1" ht="14.4">
      <c r="B96" s="468"/>
      <c r="F96" s="455"/>
    </row>
    <row r="433" spans="19:19" ht="15" customHeight="1">
      <c r="S433" s="2">
        <v>38304639.390000001</v>
      </c>
    </row>
    <row r="434" spans="19:19" ht="15" customHeight="1">
      <c r="S434" s="2">
        <v>338457.74</v>
      </c>
    </row>
    <row r="435" spans="19:19" ht="15" customHeight="1">
      <c r="S435" s="2">
        <v>2256384.9</v>
      </c>
    </row>
    <row r="436" spans="19:19" ht="15" customHeight="1">
      <c r="S436" s="2">
        <v>515196.4</v>
      </c>
    </row>
    <row r="438" spans="19:19" ht="15" customHeight="1">
      <c r="S438" s="2">
        <v>2217108.13</v>
      </c>
    </row>
    <row r="440" spans="19:19" ht="15" customHeight="1">
      <c r="S440" s="2">
        <v>15485076.43</v>
      </c>
    </row>
    <row r="441" spans="19:19" ht="15" customHeight="1">
      <c r="S441" s="2">
        <v>47080329.530000001</v>
      </c>
    </row>
    <row r="442" spans="19:19" ht="15" customHeight="1">
      <c r="S442" s="2">
        <v>2962691.11</v>
      </c>
    </row>
    <row r="444" spans="19:19" ht="15" customHeight="1">
      <c r="S444" s="2">
        <v>14328975.58</v>
      </c>
    </row>
    <row r="447" spans="19:19" ht="15" customHeight="1">
      <c r="S447" s="2">
        <v>4689744.99</v>
      </c>
    </row>
    <row r="448" spans="19:19" ht="15" customHeight="1">
      <c r="S448" s="2">
        <v>3974381.53</v>
      </c>
    </row>
    <row r="449" spans="19:19" ht="15" customHeight="1">
      <c r="S449" s="2">
        <v>2326710.88</v>
      </c>
    </row>
    <row r="452" spans="19:19" ht="15" customHeight="1">
      <c r="S452" s="2">
        <v>900315.01</v>
      </c>
    </row>
    <row r="456" spans="19:19" ht="15" customHeight="1">
      <c r="S456" s="2">
        <v>13058.54</v>
      </c>
    </row>
    <row r="458" spans="19:19" ht="15" customHeight="1">
      <c r="S458" s="2">
        <v>19602.2</v>
      </c>
    </row>
    <row r="460" spans="19:19" ht="15" customHeight="1">
      <c r="S460" s="2">
        <v>114342.21</v>
      </c>
    </row>
    <row r="461" spans="19:19" ht="15" customHeight="1">
      <c r="S461" s="2">
        <v>114342.21</v>
      </c>
    </row>
    <row r="462" spans="19:19" ht="15" customHeight="1">
      <c r="S462" s="2">
        <v>112819.25</v>
      </c>
    </row>
    <row r="463" spans="19:19" ht="15" customHeight="1">
      <c r="S463" s="2">
        <v>112819.25</v>
      </c>
    </row>
    <row r="464" spans="19:19" ht="15" customHeight="1">
      <c r="S464" s="2">
        <v>128799.1</v>
      </c>
    </row>
    <row r="465" spans="19:19" ht="15" customHeight="1">
      <c r="S465" s="2">
        <v>147807.21</v>
      </c>
    </row>
    <row r="466" spans="19:19" ht="15" customHeight="1">
      <c r="S466" s="2">
        <v>147807.21</v>
      </c>
    </row>
    <row r="468" spans="19:19" ht="15" customHeight="1">
      <c r="S468" s="2">
        <v>138259.60999999999</v>
      </c>
    </row>
    <row r="469" spans="19:19" ht="15" customHeight="1">
      <c r="S469" s="2">
        <v>242682.11</v>
      </c>
    </row>
    <row r="470" spans="19:19" ht="15" customHeight="1">
      <c r="S470" s="2">
        <v>155931.10999999999</v>
      </c>
    </row>
    <row r="473" spans="19:19" ht="15" customHeight="1">
      <c r="S473" s="2">
        <v>28953.27</v>
      </c>
    </row>
    <row r="474" spans="19:19" ht="15" customHeight="1">
      <c r="S474" s="2">
        <v>50516.480000000003</v>
      </c>
    </row>
    <row r="475" spans="19:19" ht="15" customHeight="1">
      <c r="S475" s="2">
        <v>72561.98</v>
      </c>
    </row>
    <row r="476" spans="19:19" ht="15" customHeight="1">
      <c r="S476" s="2">
        <v>13599.65</v>
      </c>
    </row>
    <row r="478" spans="19:19" ht="15" customHeight="1">
      <c r="S478" s="2">
        <v>4457.93</v>
      </c>
    </row>
    <row r="479" spans="19:19" ht="15" customHeight="1">
      <c r="S479" s="2">
        <v>99359.54</v>
      </c>
    </row>
    <row r="480" spans="19:19" ht="15" customHeight="1">
      <c r="S480" s="2">
        <v>2326710.88</v>
      </c>
    </row>
    <row r="481" spans="19:19" ht="15" customHeight="1">
      <c r="S481" s="2">
        <v>294626.84999999998</v>
      </c>
    </row>
    <row r="482" spans="19:19" ht="15" customHeight="1">
      <c r="S482" s="2">
        <v>31045.35</v>
      </c>
    </row>
    <row r="486" spans="19:19" ht="15" customHeight="1">
      <c r="S486" s="2">
        <v>705363.19</v>
      </c>
    </row>
    <row r="487" spans="19:19" ht="15" customHeight="1">
      <c r="S487" s="2">
        <v>705363.19</v>
      </c>
    </row>
    <row r="488" spans="19:19" ht="15" customHeight="1">
      <c r="S488" s="2">
        <v>297158.88</v>
      </c>
    </row>
    <row r="489" spans="19:19" ht="15" customHeight="1">
      <c r="S489" s="2">
        <v>25015.47</v>
      </c>
    </row>
    <row r="491" spans="19:19" ht="15" customHeight="1">
      <c r="S491" s="2">
        <v>13058.54</v>
      </c>
    </row>
    <row r="493" spans="19:19" ht="15" customHeight="1">
      <c r="S493" s="2">
        <v>19602.2</v>
      </c>
    </row>
    <row r="494" spans="19:19" ht="15" customHeight="1">
      <c r="S494" s="2">
        <v>50516.480000000003</v>
      </c>
    </row>
    <row r="495" spans="19:19" ht="15" customHeight="1">
      <c r="S495" s="2">
        <v>67220.11</v>
      </c>
    </row>
    <row r="496" spans="19:19" ht="15" customHeight="1">
      <c r="S496" s="2">
        <v>72561.98</v>
      </c>
    </row>
    <row r="497" spans="19:19" ht="15" customHeight="1">
      <c r="S497" s="639"/>
    </row>
    <row r="498" spans="19:19" ht="15" customHeight="1">
      <c r="S498" s="2">
        <v>114342.21</v>
      </c>
    </row>
    <row r="499" spans="19:19" ht="15" customHeight="1">
      <c r="S499" s="2">
        <v>145199.85999999999</v>
      </c>
    </row>
    <row r="500" spans="19:19" ht="15" customHeight="1">
      <c r="S500" s="2">
        <v>211031.02</v>
      </c>
    </row>
    <row r="501" spans="19:19" ht="15" customHeight="1">
      <c r="S501" s="639"/>
    </row>
    <row r="502" spans="19:19" ht="15" customHeight="1">
      <c r="S502" s="637"/>
    </row>
    <row r="503" spans="19:19" ht="15" customHeight="1">
      <c r="S503" s="2">
        <v>705363.19</v>
      </c>
    </row>
    <row r="504" spans="19:19" ht="15" customHeight="1">
      <c r="S504" s="2">
        <v>188681.4</v>
      </c>
    </row>
    <row r="505" spans="19:19" ht="15" customHeight="1">
      <c r="S505" s="2">
        <v>13003.2</v>
      </c>
    </row>
    <row r="506" spans="19:19" ht="15" customHeight="1">
      <c r="S506" s="639"/>
    </row>
    <row r="507" spans="19:19" ht="15" customHeight="1">
      <c r="S507" s="2">
        <v>13058.54</v>
      </c>
    </row>
    <row r="509" spans="19:19" ht="15" customHeight="1">
      <c r="S509" s="2">
        <v>19602.2</v>
      </c>
    </row>
    <row r="510" spans="19:19" ht="15" customHeight="1">
      <c r="S510" s="637"/>
    </row>
    <row r="511" spans="19:19" ht="15" customHeight="1">
      <c r="S511" s="2">
        <v>114342.21</v>
      </c>
    </row>
    <row r="512" spans="19:19" ht="15" customHeight="1">
      <c r="S512" s="2">
        <v>112819.25</v>
      </c>
    </row>
    <row r="513" spans="19:19" ht="15" customHeight="1">
      <c r="S513" s="2">
        <v>147807.21</v>
      </c>
    </row>
    <row r="514" spans="19:19" ht="15" customHeight="1">
      <c r="S514" s="637"/>
    </row>
    <row r="515" spans="19:19" ht="15" customHeight="1">
      <c r="S515" s="2">
        <v>138259.60999999999</v>
      </c>
    </row>
    <row r="516" spans="19:19" ht="15" customHeight="1">
      <c r="S516" s="2">
        <v>242682.11</v>
      </c>
    </row>
    <row r="517" spans="19:19" ht="15" customHeight="1">
      <c r="S517" s="2">
        <v>155931.10999999999</v>
      </c>
    </row>
    <row r="520" spans="19:19" ht="15" customHeight="1">
      <c r="S520" s="2">
        <v>28953.27</v>
      </c>
    </row>
    <row r="521" spans="19:19" ht="15" customHeight="1">
      <c r="S521" s="2">
        <v>72561.98</v>
      </c>
    </row>
    <row r="522" spans="19:19" ht="15" customHeight="1">
      <c r="S522" s="2">
        <v>13599.65</v>
      </c>
    </row>
    <row r="523" spans="19:19" ht="15" customHeight="1">
      <c r="S523" s="637"/>
    </row>
    <row r="524" spans="19:19" ht="15" customHeight="1">
      <c r="S524" s="2">
        <v>4457.93</v>
      </c>
    </row>
    <row r="525" spans="19:19" ht="15" customHeight="1">
      <c r="S525" s="2">
        <v>99359.54</v>
      </c>
    </row>
    <row r="526" spans="19:19" ht="15" customHeight="1">
      <c r="S526" s="2">
        <v>2326710.88</v>
      </c>
    </row>
    <row r="527" spans="19:19" ht="15" customHeight="1">
      <c r="S527" s="2">
        <v>294626.84999999998</v>
      </c>
    </row>
    <row r="528" spans="19:19" ht="15" customHeight="1">
      <c r="S528" s="2">
        <v>31045.35</v>
      </c>
    </row>
    <row r="529" spans="19:19" ht="15" customHeight="1">
      <c r="S529" s="637"/>
    </row>
    <row r="530" spans="19:19" ht="15" customHeight="1">
      <c r="S530" s="637"/>
    </row>
    <row r="531" spans="19:19" ht="15" customHeight="1">
      <c r="S531" s="638"/>
    </row>
    <row r="532" spans="19:19" ht="15" customHeight="1">
      <c r="S532" s="2">
        <v>795327.19</v>
      </c>
    </row>
    <row r="533" spans="19:19" ht="15" customHeight="1">
      <c r="S533" s="2">
        <v>795327.19</v>
      </c>
    </row>
    <row r="534" spans="19:19" ht="15" customHeight="1">
      <c r="S534" s="2">
        <v>297158.88</v>
      </c>
    </row>
    <row r="535" spans="19:19" ht="15" customHeight="1">
      <c r="S535" s="2">
        <v>25015.47</v>
      </c>
    </row>
    <row r="537" spans="19:19" ht="15" customHeight="1">
      <c r="S537" s="2">
        <v>13058.54</v>
      </c>
    </row>
    <row r="539" spans="19:19" ht="15" customHeight="1">
      <c r="S539" s="2">
        <v>50516.480000000003</v>
      </c>
    </row>
    <row r="540" spans="19:19" ht="15" customHeight="1">
      <c r="S540" s="2">
        <v>67220.11</v>
      </c>
    </row>
    <row r="541" spans="19:19" ht="15" customHeight="1">
      <c r="S541" s="2">
        <v>67742.48</v>
      </c>
    </row>
    <row r="543" spans="19:19" ht="15" customHeight="1">
      <c r="S543" s="2">
        <v>114342.21</v>
      </c>
    </row>
    <row r="544" spans="19:19" ht="15" customHeight="1">
      <c r="S544" s="2">
        <v>114342.21</v>
      </c>
    </row>
    <row r="545" spans="19:19" ht="15" customHeight="1">
      <c r="S545" s="2">
        <v>114342.21</v>
      </c>
    </row>
    <row r="546" spans="19:19" ht="15" customHeight="1">
      <c r="S546" s="2">
        <v>114342.21</v>
      </c>
    </row>
    <row r="547" spans="19:19" ht="15" customHeight="1">
      <c r="S547" s="2">
        <v>114342.21</v>
      </c>
    </row>
    <row r="550" spans="19:19" ht="15" customHeight="1">
      <c r="S550" s="2">
        <v>795327.19</v>
      </c>
    </row>
    <row r="551" spans="19:19" ht="15" customHeight="1">
      <c r="S551" s="2">
        <v>281093.88</v>
      </c>
    </row>
    <row r="552" spans="19:19" ht="15" customHeight="1">
      <c r="S552" s="2">
        <v>25015.47</v>
      </c>
    </row>
    <row r="554" spans="19:19" ht="15" customHeight="1">
      <c r="S554" s="2">
        <v>13058.54</v>
      </c>
    </row>
    <row r="556" spans="19:19" ht="15" customHeight="1">
      <c r="S556" s="2">
        <v>19602.2</v>
      </c>
    </row>
    <row r="558" spans="19:19" ht="15" customHeight="1">
      <c r="S558" s="2">
        <v>114342.21</v>
      </c>
    </row>
    <row r="559" spans="19:19" ht="15" customHeight="1">
      <c r="S559" s="2">
        <v>112819.25</v>
      </c>
    </row>
    <row r="560" spans="19:19" ht="15" customHeight="1">
      <c r="S560" s="2">
        <v>112819.25</v>
      </c>
    </row>
    <row r="561" spans="19:19" ht="15" customHeight="1">
      <c r="S561" s="2">
        <v>128799.1</v>
      </c>
    </row>
    <row r="562" spans="19:19" ht="15" customHeight="1">
      <c r="S562" s="2">
        <v>147807.21</v>
      </c>
    </row>
    <row r="563" spans="19:19" ht="15" customHeight="1">
      <c r="S563" s="2">
        <v>147807.21</v>
      </c>
    </row>
    <row r="565" spans="19:19" ht="15" customHeight="1">
      <c r="S565" s="2">
        <v>138259.60999999999</v>
      </c>
    </row>
    <row r="566" spans="19:19" ht="15" customHeight="1">
      <c r="S566" s="2">
        <v>242682.11</v>
      </c>
    </row>
    <row r="567" spans="19:19" ht="15" customHeight="1">
      <c r="S567" s="2">
        <v>155931.10999999999</v>
      </c>
    </row>
    <row r="570" spans="19:19" ht="15" customHeight="1">
      <c r="S570" s="2">
        <v>28953.27</v>
      </c>
    </row>
    <row r="571" spans="19:19" ht="15" customHeight="1">
      <c r="S571" s="2">
        <v>72561.98</v>
      </c>
    </row>
    <row r="573" spans="19:19" ht="15" customHeight="1">
      <c r="S573" s="2">
        <v>4457.93</v>
      </c>
    </row>
    <row r="574" spans="19:19" ht="15" customHeight="1">
      <c r="S574" s="2">
        <v>99359.54</v>
      </c>
    </row>
    <row r="575" spans="19:19" ht="15" customHeight="1">
      <c r="S575" s="2">
        <v>2326710.88</v>
      </c>
    </row>
    <row r="576" spans="19:19" ht="15" customHeight="1">
      <c r="S576" s="2">
        <v>294626.84999999998</v>
      </c>
    </row>
    <row r="577" spans="19:19" ht="15" customHeight="1">
      <c r="S577" s="2">
        <v>31045.35</v>
      </c>
    </row>
    <row r="581" spans="19:19" ht="15" customHeight="1">
      <c r="S581" s="2">
        <v>13058.54</v>
      </c>
    </row>
    <row r="583" spans="19:19" ht="15" customHeight="1">
      <c r="S583" s="2">
        <v>19602.2</v>
      </c>
    </row>
    <row r="585" spans="19:19" ht="15" customHeight="1">
      <c r="S585" s="2">
        <v>114342.21</v>
      </c>
    </row>
    <row r="586" spans="19:19" ht="15" customHeight="1">
      <c r="S586" s="2">
        <v>112819.25</v>
      </c>
    </row>
    <row r="587" spans="19:19" ht="15" customHeight="1">
      <c r="S587" s="2">
        <v>126519.48</v>
      </c>
    </row>
    <row r="589" spans="19:19" ht="15" customHeight="1">
      <c r="S589" s="2">
        <v>138259.60999999999</v>
      </c>
    </row>
    <row r="590" spans="19:19" ht="15" customHeight="1">
      <c r="S590" s="2">
        <v>242682.11</v>
      </c>
    </row>
    <row r="591" spans="19:19" ht="15" customHeight="1">
      <c r="S591" s="2">
        <v>155931.10999999999</v>
      </c>
    </row>
    <row r="593" spans="19:19" ht="15" customHeight="1">
      <c r="S593" s="2">
        <v>79616.67</v>
      </c>
    </row>
    <row r="594" spans="19:19" ht="15" customHeight="1">
      <c r="S594" s="2">
        <v>35323.86</v>
      </c>
    </row>
    <row r="595" spans="19:19" ht="15" customHeight="1">
      <c r="S595" s="2">
        <v>13264.9</v>
      </c>
    </row>
    <row r="596" spans="19:19" ht="15" customHeight="1">
      <c r="S596" s="2">
        <v>60856.56</v>
      </c>
    </row>
    <row r="597" spans="19:19" ht="15" customHeight="1">
      <c r="S597" s="2">
        <v>59591.47</v>
      </c>
    </row>
    <row r="598" spans="19:19" ht="15" customHeight="1">
      <c r="S598" s="2">
        <v>100015.29</v>
      </c>
    </row>
    <row r="599" spans="19:19" ht="15" customHeight="1">
      <c r="S599" s="2">
        <v>114497.67</v>
      </c>
    </row>
    <row r="600" spans="19:19" ht="15" customHeight="1">
      <c r="S600" s="2">
        <v>438067.65</v>
      </c>
    </row>
    <row r="601" spans="19:19" ht="15" customHeight="1">
      <c r="S601" s="2">
        <v>75174.86</v>
      </c>
    </row>
    <row r="603" spans="19:19" ht="15" customHeight="1">
      <c r="S603" s="2">
        <v>568350</v>
      </c>
    </row>
    <row r="604" spans="19:19" ht="15" customHeight="1">
      <c r="S604" s="2">
        <v>1111922.0900000001</v>
      </c>
    </row>
    <row r="605" spans="19:19" ht="15" customHeight="1">
      <c r="S605" s="2">
        <v>629972.09</v>
      </c>
    </row>
    <row r="606" spans="19:19" ht="15" customHeight="1">
      <c r="S606" s="2">
        <v>155279.09</v>
      </c>
    </row>
    <row r="607" spans="19:19" ht="15" customHeight="1">
      <c r="S607" s="2">
        <v>80446.91</v>
      </c>
    </row>
    <row r="609" spans="19:19" ht="15" customHeight="1">
      <c r="S609" s="2">
        <v>128052.91</v>
      </c>
    </row>
    <row r="610" spans="19:19" ht="15" customHeight="1">
      <c r="S610" s="2">
        <v>62814.04</v>
      </c>
    </row>
    <row r="611" spans="19:19" ht="15" customHeight="1">
      <c r="S611" s="2">
        <v>278075.99</v>
      </c>
    </row>
    <row r="612" spans="19:19" ht="15" customHeight="1">
      <c r="S612" s="2">
        <v>93952.11</v>
      </c>
    </row>
    <row r="613" spans="19:19" ht="15" customHeight="1">
      <c r="S613" s="2">
        <v>17758.919999999998</v>
      </c>
    </row>
    <row r="614" spans="19:19" ht="15" customHeight="1">
      <c r="S614" s="2">
        <v>4457.93</v>
      </c>
    </row>
    <row r="615" spans="19:19" ht="15" customHeight="1">
      <c r="S615" s="2">
        <v>2698411.5</v>
      </c>
    </row>
    <row r="616" spans="19:19" ht="15" customHeight="1">
      <c r="S616" s="2">
        <v>1656130.25</v>
      </c>
    </row>
    <row r="617" spans="19:19" ht="15" customHeight="1">
      <c r="S617" s="2">
        <v>7357261.5</v>
      </c>
    </row>
    <row r="618" spans="19:19" ht="15" customHeight="1">
      <c r="S618" s="2">
        <v>2614961.75</v>
      </c>
    </row>
    <row r="619" spans="19:19" ht="15" customHeight="1">
      <c r="S619" s="2">
        <v>18281461.5</v>
      </c>
    </row>
    <row r="621" spans="19:19" ht="15" customHeight="1">
      <c r="S621" s="2">
        <v>4425521.82</v>
      </c>
    </row>
    <row r="622" spans="19:19" ht="15" customHeight="1">
      <c r="S622" s="2">
        <v>541346.26</v>
      </c>
    </row>
    <row r="623" spans="19:19" ht="15" customHeight="1">
      <c r="S623" s="2">
        <v>550223.63</v>
      </c>
    </row>
    <row r="624" spans="19:19" ht="15" customHeight="1">
      <c r="S624" s="2">
        <v>287899.7</v>
      </c>
    </row>
    <row r="625" spans="19:19" ht="15" customHeight="1">
      <c r="S625" s="2">
        <v>550223.63</v>
      </c>
    </row>
    <row r="626" spans="19:19" ht="15" customHeight="1">
      <c r="S626" s="2">
        <v>4216708.8</v>
      </c>
    </row>
    <row r="627" spans="19:19" ht="15" customHeight="1">
      <c r="S627" s="2">
        <v>4524704.63</v>
      </c>
    </row>
    <row r="628" spans="19:19" ht="15" customHeight="1">
      <c r="S628" s="2">
        <v>1311704.6299999999</v>
      </c>
    </row>
    <row r="629" spans="19:19" ht="15" customHeight="1">
      <c r="S629" s="2">
        <v>26105609.25</v>
      </c>
    </row>
    <row r="630" spans="19:19" ht="15" customHeight="1">
      <c r="S630" s="2">
        <v>746211.38</v>
      </c>
    </row>
    <row r="631" spans="19:19" ht="15" customHeight="1">
      <c r="S631" s="2">
        <v>310672.49</v>
      </c>
    </row>
    <row r="632" spans="19:19" ht="15" customHeight="1">
      <c r="S632" s="2">
        <v>485903.09</v>
      </c>
    </row>
    <row r="633" spans="19:19" ht="15" customHeight="1">
      <c r="S633" s="2">
        <v>247850.15</v>
      </c>
    </row>
    <row r="634" spans="19:19" ht="15" customHeight="1">
      <c r="S634" s="2">
        <v>7044802.7999999998</v>
      </c>
    </row>
    <row r="636" spans="19:19" ht="15" customHeight="1">
      <c r="S636" s="2">
        <v>9432019.8000000007</v>
      </c>
    </row>
    <row r="637" spans="19:19" ht="15" customHeight="1">
      <c r="S637" s="2">
        <v>6422.55</v>
      </c>
    </row>
    <row r="638" spans="19:19" ht="15" customHeight="1">
      <c r="S638" s="2">
        <v>1285200</v>
      </c>
    </row>
  </sheetData>
  <mergeCells count="94">
    <mergeCell ref="B94:C94"/>
    <mergeCell ref="B95:C95"/>
    <mergeCell ref="A73:G73"/>
    <mergeCell ref="A12:B12"/>
    <mergeCell ref="G10:G12"/>
    <mergeCell ref="A69:G69"/>
    <mergeCell ref="A70:B70"/>
    <mergeCell ref="G70:G71"/>
    <mergeCell ref="A71:B71"/>
    <mergeCell ref="A72:B72"/>
    <mergeCell ref="A62:F62"/>
    <mergeCell ref="A49:B49"/>
    <mergeCell ref="A50:B50"/>
    <mergeCell ref="A51:B51"/>
    <mergeCell ref="A52:B52"/>
    <mergeCell ref="A53:B53"/>
    <mergeCell ref="A74:B74"/>
    <mergeCell ref="G74:G78"/>
    <mergeCell ref="A75:B75"/>
    <mergeCell ref="A76:B76"/>
    <mergeCell ref="A77:B77"/>
    <mergeCell ref="A78:B78"/>
    <mergeCell ref="A87:F87"/>
    <mergeCell ref="A79:B79"/>
    <mergeCell ref="A80:G80"/>
    <mergeCell ref="A81:B81"/>
    <mergeCell ref="A82:B82"/>
    <mergeCell ref="A83:G83"/>
    <mergeCell ref="A86:G86"/>
    <mergeCell ref="A84:B84"/>
    <mergeCell ref="A85:B85"/>
    <mergeCell ref="A59:B59"/>
    <mergeCell ref="A60:B60"/>
    <mergeCell ref="A68:B68"/>
    <mergeCell ref="C68:E68"/>
    <mergeCell ref="A39:G39"/>
    <mergeCell ref="A54:B54"/>
    <mergeCell ref="A55:G55"/>
    <mergeCell ref="A56:B56"/>
    <mergeCell ref="A57:B57"/>
    <mergeCell ref="A58:G58"/>
    <mergeCell ref="A61:G61"/>
    <mergeCell ref="A64:B67"/>
    <mergeCell ref="C64:G65"/>
    <mergeCell ref="C66:G66"/>
    <mergeCell ref="C67:E67"/>
    <mergeCell ref="A28:F28"/>
    <mergeCell ref="A30:B33"/>
    <mergeCell ref="C30:G31"/>
    <mergeCell ref="C32:G32"/>
    <mergeCell ref="C33:E33"/>
    <mergeCell ref="A34:B34"/>
    <mergeCell ref="C34:E34"/>
    <mergeCell ref="A35:G35"/>
    <mergeCell ref="A36:B36"/>
    <mergeCell ref="G36:G37"/>
    <mergeCell ref="A37:B37"/>
    <mergeCell ref="A38:B38"/>
    <mergeCell ref="A40:B40"/>
    <mergeCell ref="G40:G53"/>
    <mergeCell ref="A41:B41"/>
    <mergeCell ref="A42:B42"/>
    <mergeCell ref="A43:B43"/>
    <mergeCell ref="A44:B44"/>
    <mergeCell ref="A45:B45"/>
    <mergeCell ref="A46:B46"/>
    <mergeCell ref="A47:B47"/>
    <mergeCell ref="A48:B48"/>
    <mergeCell ref="A23:B23"/>
    <mergeCell ref="A24:G24"/>
    <mergeCell ref="A27:G27"/>
    <mergeCell ref="A15:B15"/>
    <mergeCell ref="G15:G19"/>
    <mergeCell ref="A16:B16"/>
    <mergeCell ref="A17:B17"/>
    <mergeCell ref="A18:B18"/>
    <mergeCell ref="A19:B19"/>
    <mergeCell ref="A25:B25"/>
    <mergeCell ref="A26:B26"/>
    <mergeCell ref="C2:G2"/>
    <mergeCell ref="C6:G6"/>
    <mergeCell ref="A20:B20"/>
    <mergeCell ref="A21:G21"/>
    <mergeCell ref="A22:B22"/>
    <mergeCell ref="A9:G9"/>
    <mergeCell ref="A10:B10"/>
    <mergeCell ref="A11:B11"/>
    <mergeCell ref="A13:B13"/>
    <mergeCell ref="A14:G14"/>
    <mergeCell ref="A4:B7"/>
    <mergeCell ref="C4:G5"/>
    <mergeCell ref="C7:E7"/>
    <mergeCell ref="A8:B8"/>
    <mergeCell ref="C8:E8"/>
  </mergeCells>
  <pageMargins left="0.25" right="0.25" top="0.75" bottom="0.75" header="0.3" footer="0.3"/>
  <pageSetup paperSize="9" scale="8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pageSetUpPr fitToPage="1"/>
  </sheetPr>
  <dimension ref="A2:IW638"/>
  <sheetViews>
    <sheetView topLeftCell="A308" zoomScaleNormal="100" workbookViewId="0">
      <selection activeCell="B319" sqref="B319:C324"/>
    </sheetView>
  </sheetViews>
  <sheetFormatPr baseColWidth="10" defaultColWidth="9.109375" defaultRowHeight="14.4"/>
  <cols>
    <col min="1" max="2" width="18.6640625" customWidth="1"/>
    <col min="3" max="5" width="16.6640625" customWidth="1"/>
    <col min="6" max="6" width="18" customWidth="1"/>
    <col min="7" max="7" width="16.6640625" customWidth="1"/>
    <col min="19" max="19" width="11" bestFit="1" customWidth="1"/>
  </cols>
  <sheetData>
    <row r="2" spans="1:7" s="2" customFormat="1" ht="116.25" customHeight="1">
      <c r="A2" s="177"/>
      <c r="B2" s="177"/>
      <c r="C2" s="922" t="s">
        <v>0</v>
      </c>
      <c r="D2" s="922"/>
      <c r="E2" s="922"/>
      <c r="F2" s="922"/>
      <c r="G2" s="923"/>
    </row>
    <row r="4" spans="1:7" s="2" customFormat="1" ht="14.25" customHeight="1">
      <c r="A4" s="933" t="s">
        <v>1</v>
      </c>
      <c r="B4" s="951"/>
      <c r="C4" s="953" t="s">
        <v>0</v>
      </c>
      <c r="D4" s="954"/>
      <c r="E4" s="954"/>
      <c r="F4" s="954"/>
      <c r="G4" s="955"/>
    </row>
    <row r="5" spans="1:7" s="2" customFormat="1" ht="57" customHeight="1">
      <c r="A5" s="952"/>
      <c r="B5" s="951"/>
      <c r="C5" s="954"/>
      <c r="D5" s="954"/>
      <c r="E5" s="954"/>
      <c r="F5" s="954"/>
      <c r="G5" s="955"/>
    </row>
    <row r="6" spans="1:7" s="2" customFormat="1" ht="15" customHeight="1">
      <c r="A6" s="952"/>
      <c r="B6" s="951"/>
      <c r="C6" s="956"/>
      <c r="D6" s="957"/>
      <c r="E6" s="957"/>
      <c r="F6" s="957"/>
      <c r="G6" s="958"/>
    </row>
    <row r="7" spans="1:7" s="2" customFormat="1" ht="15" customHeight="1">
      <c r="A7" s="952"/>
      <c r="B7" s="951"/>
      <c r="C7" s="959" t="s">
        <v>2</v>
      </c>
      <c r="D7" s="957"/>
      <c r="E7" s="957"/>
      <c r="F7" s="23" t="s">
        <v>3</v>
      </c>
      <c r="G7" s="24" t="s">
        <v>4</v>
      </c>
    </row>
    <row r="8" spans="1:7" s="2" customFormat="1" ht="68.25" customHeight="1">
      <c r="A8" s="942" t="s">
        <v>56</v>
      </c>
      <c r="B8" s="928"/>
      <c r="C8" s="932" t="s">
        <v>1461</v>
      </c>
      <c r="D8" s="928"/>
      <c r="E8" s="928"/>
      <c r="F8" s="9" t="s">
        <v>37</v>
      </c>
      <c r="G8" s="25">
        <v>54</v>
      </c>
    </row>
    <row r="9" spans="1:7" s="2" customFormat="1" ht="13.8">
      <c r="A9" s="929" t="s">
        <v>5</v>
      </c>
      <c r="B9" s="928"/>
      <c r="C9" s="928"/>
      <c r="D9" s="928"/>
      <c r="E9" s="928"/>
      <c r="F9" s="928"/>
      <c r="G9" s="930"/>
    </row>
    <row r="10" spans="1:7" s="2" customFormat="1" ht="13.8">
      <c r="A10" s="931" t="s">
        <v>2</v>
      </c>
      <c r="B10" s="928"/>
      <c r="C10" s="11" t="s">
        <v>3</v>
      </c>
      <c r="D10" s="11" t="s">
        <v>4</v>
      </c>
      <c r="E10" s="11" t="s">
        <v>6</v>
      </c>
      <c r="F10" s="11" t="s">
        <v>7</v>
      </c>
      <c r="G10" s="946" t="s">
        <v>8</v>
      </c>
    </row>
    <row r="11" spans="1:7" s="2" customFormat="1" ht="13.8">
      <c r="A11" s="927" t="s">
        <v>101</v>
      </c>
      <c r="B11" s="928"/>
      <c r="C11" s="12" t="s">
        <v>58</v>
      </c>
      <c r="D11" s="12">
        <v>0.01</v>
      </c>
      <c r="E11" s="13">
        <f>'MAQUINARIA Y EQUIPOS'!F19</f>
        <v>45763.829999999994</v>
      </c>
      <c r="F11" s="14">
        <f>D11*E11</f>
        <v>457.63829999999996</v>
      </c>
      <c r="G11" s="946"/>
    </row>
    <row r="12" spans="1:7" s="2" customFormat="1" ht="13.8">
      <c r="A12" s="927" t="s">
        <v>59</v>
      </c>
      <c r="B12" s="932"/>
      <c r="C12" s="12" t="s">
        <v>60</v>
      </c>
      <c r="D12" s="12">
        <v>0.03</v>
      </c>
      <c r="E12" s="13">
        <f>'MAQUINARIA Y EQUIPOS'!F12</f>
        <v>48790</v>
      </c>
      <c r="F12" s="14">
        <f>D12*E12</f>
        <v>1463.7</v>
      </c>
      <c r="G12" s="946"/>
    </row>
    <row r="13" spans="1:7" s="2" customFormat="1" ht="13.8">
      <c r="A13" s="948" t="s">
        <v>1502</v>
      </c>
      <c r="B13" s="949"/>
      <c r="C13" s="12" t="s">
        <v>3</v>
      </c>
      <c r="D13" s="12">
        <v>0.01</v>
      </c>
      <c r="E13" s="13">
        <f>'INSUMOS '!E318</f>
        <v>270600</v>
      </c>
      <c r="F13" s="14">
        <f>D13*E13</f>
        <v>2706</v>
      </c>
      <c r="G13" s="946"/>
    </row>
    <row r="14" spans="1:7" s="2" customFormat="1" ht="15.75" customHeight="1">
      <c r="A14" s="948" t="s">
        <v>1498</v>
      </c>
      <c r="B14" s="949"/>
      <c r="C14" s="12" t="s">
        <v>58</v>
      </c>
      <c r="D14" s="9">
        <v>0.5</v>
      </c>
      <c r="E14" s="13">
        <f>'MAQUINARIA Y EQUIPOS'!F10</f>
        <v>3272.5</v>
      </c>
      <c r="F14" s="14">
        <f>D14*E14</f>
        <v>1636.25</v>
      </c>
      <c r="G14" s="946"/>
    </row>
    <row r="15" spans="1:7" s="2" customFormat="1" ht="13.8">
      <c r="A15" s="927" t="s">
        <v>9</v>
      </c>
      <c r="B15" s="928"/>
      <c r="C15" s="12" t="s">
        <v>900</v>
      </c>
      <c r="D15" s="9">
        <v>0.05</v>
      </c>
      <c r="E15" s="13">
        <f>G34</f>
        <v>54826</v>
      </c>
      <c r="F15" s="14">
        <f>D15*E15</f>
        <v>2741.3</v>
      </c>
      <c r="G15" s="15">
        <f>SUM(F10:F15)</f>
        <v>9004.8882999999987</v>
      </c>
    </row>
    <row r="16" spans="1:7" s="2" customFormat="1" ht="13.8">
      <c r="A16" s="929" t="s">
        <v>10</v>
      </c>
      <c r="B16" s="928"/>
      <c r="C16" s="928"/>
      <c r="D16" s="928"/>
      <c r="E16" s="928"/>
      <c r="F16" s="928"/>
      <c r="G16" s="930"/>
    </row>
    <row r="17" spans="1:7" s="2" customFormat="1" ht="13.8">
      <c r="A17" s="931" t="s">
        <v>2</v>
      </c>
      <c r="B17" s="928"/>
      <c r="C17" s="11" t="s">
        <v>3</v>
      </c>
      <c r="D17" s="11" t="s">
        <v>4</v>
      </c>
      <c r="E17" s="11" t="s">
        <v>6</v>
      </c>
      <c r="F17" s="11" t="s">
        <v>11</v>
      </c>
      <c r="G17" s="946" t="s">
        <v>8</v>
      </c>
    </row>
    <row r="18" spans="1:7" s="2" customFormat="1" ht="13.8">
      <c r="A18" s="976" t="s">
        <v>63</v>
      </c>
      <c r="B18" s="977"/>
      <c r="C18" s="9" t="s">
        <v>3</v>
      </c>
      <c r="D18" s="9">
        <v>1.5</v>
      </c>
      <c r="E18" s="31">
        <f>'INSUMOS '!E21</f>
        <v>3244.1860465116279</v>
      </c>
      <c r="F18" s="14">
        <f t="shared" ref="F18:F26" si="0">D18*E18</f>
        <v>4866.2790697674418</v>
      </c>
      <c r="G18" s="946"/>
    </row>
    <row r="19" spans="1:7" s="2" customFormat="1" ht="13.8">
      <c r="A19" s="976" t="s">
        <v>64</v>
      </c>
      <c r="B19" s="977"/>
      <c r="C19" s="9" t="s">
        <v>37</v>
      </c>
      <c r="D19" s="9">
        <v>0.18</v>
      </c>
      <c r="E19" s="31">
        <f>'INSUMOS '!E22</f>
        <v>40900</v>
      </c>
      <c r="F19" s="14">
        <f t="shared" si="0"/>
        <v>7362</v>
      </c>
      <c r="G19" s="946"/>
    </row>
    <row r="20" spans="1:7" s="2" customFormat="1" ht="13.8">
      <c r="A20" s="927" t="s">
        <v>53</v>
      </c>
      <c r="B20" s="928"/>
      <c r="C20" s="12" t="s">
        <v>42</v>
      </c>
      <c r="D20" s="12">
        <v>25</v>
      </c>
      <c r="E20" s="13">
        <f>'INSUMOS '!E65</f>
        <v>14</v>
      </c>
      <c r="F20" s="14">
        <f t="shared" si="0"/>
        <v>350</v>
      </c>
      <c r="G20" s="946"/>
    </row>
    <row r="21" spans="1:7" s="2" customFormat="1" ht="13.8">
      <c r="A21" s="927" t="s">
        <v>94</v>
      </c>
      <c r="B21" s="928"/>
      <c r="C21" s="12" t="s">
        <v>34</v>
      </c>
      <c r="D21" s="12">
        <v>0.02</v>
      </c>
      <c r="E21" s="13">
        <f>'INSUMOS '!E68</f>
        <v>22225</v>
      </c>
      <c r="F21" s="14">
        <f t="shared" si="0"/>
        <v>444.5</v>
      </c>
      <c r="G21" s="946"/>
    </row>
    <row r="22" spans="1:7" s="2" customFormat="1" ht="13.8">
      <c r="A22" s="927" t="s">
        <v>66</v>
      </c>
      <c r="B22" s="932"/>
      <c r="C22" s="12" t="s">
        <v>39</v>
      </c>
      <c r="D22" s="12">
        <v>0.2</v>
      </c>
      <c r="E22" s="13">
        <f>'INSUMOS '!E311</f>
        <v>408750</v>
      </c>
      <c r="F22" s="14">
        <f t="shared" si="0"/>
        <v>81750</v>
      </c>
      <c r="G22" s="946"/>
    </row>
    <row r="23" spans="1:7" s="2" customFormat="1" ht="13.8">
      <c r="A23" s="927" t="s">
        <v>1361</v>
      </c>
      <c r="B23" s="932"/>
      <c r="C23" s="12" t="s">
        <v>37</v>
      </c>
      <c r="D23" s="12">
        <v>1.2</v>
      </c>
      <c r="E23" s="13">
        <f>'INSUMOS '!E24</f>
        <v>3174.6857142857143</v>
      </c>
      <c r="F23" s="14">
        <f t="shared" si="0"/>
        <v>3809.6228571428569</v>
      </c>
      <c r="G23" s="946"/>
    </row>
    <row r="24" spans="1:7" s="2" customFormat="1" ht="13.8">
      <c r="A24" s="927" t="s">
        <v>1501</v>
      </c>
      <c r="B24" s="928"/>
      <c r="C24" s="12" t="s">
        <v>37</v>
      </c>
      <c r="D24" s="12">
        <v>1.2</v>
      </c>
      <c r="E24" s="13">
        <f>'INSUMOS '!E73</f>
        <v>28113.475177304961</v>
      </c>
      <c r="F24" s="14">
        <f t="shared" si="0"/>
        <v>33736.170212765952</v>
      </c>
      <c r="G24" s="946"/>
    </row>
    <row r="25" spans="1:7" s="2" customFormat="1" ht="15" customHeight="1">
      <c r="A25" s="927" t="s">
        <v>67</v>
      </c>
      <c r="B25" s="928"/>
      <c r="C25" s="12" t="s">
        <v>34</v>
      </c>
      <c r="D25" s="12">
        <v>0.25</v>
      </c>
      <c r="E25" s="13">
        <f>'INSUMOS '!E64</f>
        <v>8123</v>
      </c>
      <c r="F25" s="14">
        <f t="shared" si="0"/>
        <v>2030.75</v>
      </c>
      <c r="G25" s="946"/>
    </row>
    <row r="26" spans="1:7" s="2" customFormat="1" ht="15.75" customHeight="1">
      <c r="A26" s="927" t="s">
        <v>2755</v>
      </c>
      <c r="B26" s="932"/>
      <c r="C26" s="12" t="s">
        <v>39</v>
      </c>
      <c r="D26" s="12">
        <v>0.12</v>
      </c>
      <c r="E26" s="13">
        <f>SUBANÁLISIS!G31</f>
        <v>570669.8666666667</v>
      </c>
      <c r="F26" s="14">
        <f t="shared" si="0"/>
        <v>68480.384000000005</v>
      </c>
      <c r="G26" s="946"/>
    </row>
    <row r="27" spans="1:7" s="2" customFormat="1" ht="15.75" customHeight="1">
      <c r="A27" s="947"/>
      <c r="B27" s="980"/>
      <c r="C27" s="12"/>
      <c r="D27" s="12"/>
      <c r="E27" s="13"/>
      <c r="F27" s="14"/>
      <c r="G27" s="15">
        <f>SUM(F17:F27)</f>
        <v>202829.70613967627</v>
      </c>
    </row>
    <row r="28" spans="1:7" s="2" customFormat="1" ht="15.75" customHeight="1">
      <c r="A28" s="929" t="s">
        <v>15</v>
      </c>
      <c r="B28" s="928"/>
      <c r="C28" s="928"/>
      <c r="D28" s="928"/>
      <c r="E28" s="928"/>
      <c r="F28" s="928"/>
      <c r="G28" s="930"/>
    </row>
    <row r="29" spans="1:7" s="2" customFormat="1" ht="13.8">
      <c r="A29" s="931" t="s">
        <v>2</v>
      </c>
      <c r="B29" s="928"/>
      <c r="C29" s="11" t="s">
        <v>3</v>
      </c>
      <c r="D29" s="11" t="s">
        <v>4</v>
      </c>
      <c r="E29" s="11" t="s">
        <v>6</v>
      </c>
      <c r="F29" s="11" t="s">
        <v>11</v>
      </c>
      <c r="G29" s="946" t="s">
        <v>8</v>
      </c>
    </row>
    <row r="30" spans="1:7" s="2" customFormat="1" ht="15.75" customHeight="1">
      <c r="A30" s="943" t="s">
        <v>68</v>
      </c>
      <c r="B30" s="944"/>
      <c r="C30" s="16" t="s">
        <v>2415</v>
      </c>
      <c r="D30" s="54">
        <v>3.5000000000000003E-2</v>
      </c>
      <c r="E30" s="17">
        <f>G15</f>
        <v>9004.8882999999987</v>
      </c>
      <c r="F30" s="14">
        <f>E30*D30</f>
        <v>315.17109049999999</v>
      </c>
      <c r="G30" s="930"/>
    </row>
    <row r="31" spans="1:7" s="2" customFormat="1" ht="15" customHeight="1">
      <c r="A31" s="976" t="s">
        <v>17</v>
      </c>
      <c r="B31" s="928"/>
      <c r="C31" s="16" t="s">
        <v>2415</v>
      </c>
      <c r="D31" s="54">
        <v>3.5000000000000003E-2</v>
      </c>
      <c r="E31" s="17">
        <f>G27</f>
        <v>202829.70613967627</v>
      </c>
      <c r="F31" s="14">
        <f>E31*D31</f>
        <v>7099.0397148886705</v>
      </c>
      <c r="G31" s="15">
        <f>SUM(F30:F31)</f>
        <v>7414.2108053886705</v>
      </c>
    </row>
    <row r="32" spans="1:7" s="2" customFormat="1" ht="15.75" customHeight="1">
      <c r="A32" s="929" t="s">
        <v>19</v>
      </c>
      <c r="B32" s="928"/>
      <c r="C32" s="928"/>
      <c r="D32" s="928"/>
      <c r="E32" s="928"/>
      <c r="F32" s="928"/>
      <c r="G32" s="930"/>
    </row>
    <row r="33" spans="1:7" s="2" customFormat="1" ht="13.8">
      <c r="A33" s="931" t="s">
        <v>2</v>
      </c>
      <c r="B33" s="928"/>
      <c r="C33" s="11" t="s">
        <v>3</v>
      </c>
      <c r="D33" s="11" t="s">
        <v>4</v>
      </c>
      <c r="E33" s="11" t="s">
        <v>6</v>
      </c>
      <c r="F33" s="11" t="s">
        <v>11</v>
      </c>
      <c r="G33" s="18" t="s">
        <v>8</v>
      </c>
    </row>
    <row r="34" spans="1:7" s="2" customFormat="1" ht="15.75" customHeight="1">
      <c r="A34" s="978" t="str">
        <f>SALARIOS!A105</f>
        <v>CUADRILLA DD CONCRETOS 1:4</v>
      </c>
      <c r="B34" s="979"/>
      <c r="C34" s="13" t="s">
        <v>1245</v>
      </c>
      <c r="D34" s="16">
        <v>1</v>
      </c>
      <c r="E34" s="17">
        <f>SALARIOS!C105</f>
        <v>54826</v>
      </c>
      <c r="F34" s="14">
        <f>+D34*E34</f>
        <v>54826</v>
      </c>
      <c r="G34" s="15">
        <f>SUM(F33:F34)</f>
        <v>54826</v>
      </c>
    </row>
    <row r="35" spans="1:7" s="2" customFormat="1" ht="15.75" customHeight="1">
      <c r="A35" s="945" t="s">
        <v>25</v>
      </c>
      <c r="B35" s="981"/>
      <c r="C35" s="981"/>
      <c r="D35" s="981"/>
      <c r="E35" s="981"/>
      <c r="F35" s="981"/>
      <c r="G35" s="982"/>
    </row>
    <row r="36" spans="1:7" s="2" customFormat="1" ht="15.75" customHeight="1">
      <c r="A36" s="950"/>
      <c r="B36" s="928"/>
      <c r="C36" s="928"/>
      <c r="D36" s="928"/>
      <c r="E36" s="928"/>
      <c r="F36" s="928"/>
      <c r="G36" s="20">
        <f>G34+G31+G27+G15</f>
        <v>274074.80524506496</v>
      </c>
    </row>
    <row r="37" spans="1:7" s="2" customFormat="1" ht="15.75" customHeight="1">
      <c r="A37" s="26"/>
      <c r="B37" s="27"/>
      <c r="C37" s="28"/>
      <c r="D37" s="28"/>
      <c r="E37" s="29"/>
      <c r="F37" s="28"/>
      <c r="G37" s="30"/>
    </row>
    <row r="38" spans="1:7" s="2" customFormat="1" ht="15.75" customHeight="1">
      <c r="A38" s="933" t="s">
        <v>1</v>
      </c>
      <c r="B38" s="951"/>
      <c r="C38" s="953" t="s">
        <v>0</v>
      </c>
      <c r="D38" s="954"/>
      <c r="E38" s="954"/>
      <c r="F38" s="954"/>
      <c r="G38" s="955"/>
    </row>
    <row r="39" spans="1:7" s="2" customFormat="1" ht="55.5" customHeight="1">
      <c r="A39" s="952"/>
      <c r="B39" s="951"/>
      <c r="C39" s="954"/>
      <c r="D39" s="954"/>
      <c r="E39" s="954"/>
      <c r="F39" s="954"/>
      <c r="G39" s="955"/>
    </row>
    <row r="40" spans="1:7" s="2" customFormat="1" ht="17.399999999999999">
      <c r="A40" s="952"/>
      <c r="B40" s="951"/>
      <c r="C40" s="956"/>
      <c r="D40" s="957"/>
      <c r="E40" s="957"/>
      <c r="F40" s="957"/>
      <c r="G40" s="958"/>
    </row>
    <row r="41" spans="1:7" s="2" customFormat="1" ht="15.75" customHeight="1">
      <c r="A41" s="952"/>
      <c r="B41" s="951"/>
      <c r="C41" s="959" t="s">
        <v>2</v>
      </c>
      <c r="D41" s="957"/>
      <c r="E41" s="957"/>
      <c r="F41" s="23" t="s">
        <v>3</v>
      </c>
      <c r="G41" s="24" t="s">
        <v>4</v>
      </c>
    </row>
    <row r="42" spans="1:7" s="2" customFormat="1" ht="175.5" customHeight="1">
      <c r="A42" s="942" t="s">
        <v>69</v>
      </c>
      <c r="B42" s="928"/>
      <c r="C42" s="932" t="s">
        <v>70</v>
      </c>
      <c r="D42" s="928"/>
      <c r="E42" s="928"/>
      <c r="F42" s="9" t="s">
        <v>28</v>
      </c>
      <c r="G42" s="25">
        <v>1</v>
      </c>
    </row>
    <row r="43" spans="1:7" s="2" customFormat="1" ht="13.8">
      <c r="A43" s="929" t="s">
        <v>5</v>
      </c>
      <c r="B43" s="928"/>
      <c r="C43" s="928"/>
      <c r="D43" s="928"/>
      <c r="E43" s="928"/>
      <c r="F43" s="928"/>
      <c r="G43" s="930"/>
    </row>
    <row r="44" spans="1:7" s="2" customFormat="1" ht="15.75" customHeight="1">
      <c r="A44" s="931" t="s">
        <v>2</v>
      </c>
      <c r="B44" s="928"/>
      <c r="C44" s="11" t="s">
        <v>3</v>
      </c>
      <c r="D44" s="11" t="s">
        <v>4</v>
      </c>
      <c r="E44" s="11" t="s">
        <v>6</v>
      </c>
      <c r="F44" s="11" t="s">
        <v>7</v>
      </c>
      <c r="G44" s="946" t="s">
        <v>8</v>
      </c>
    </row>
    <row r="45" spans="1:7" s="2" customFormat="1" ht="15.75" customHeight="1">
      <c r="A45" s="927" t="s">
        <v>89</v>
      </c>
      <c r="B45" s="928"/>
      <c r="C45" s="12" t="s">
        <v>900</v>
      </c>
      <c r="D45" s="9">
        <v>0.05</v>
      </c>
      <c r="E45" s="13">
        <f>G64</f>
        <v>272504</v>
      </c>
      <c r="F45" s="14">
        <f t="shared" ref="F45:F51" si="1">D45*E45</f>
        <v>13625.2</v>
      </c>
      <c r="G45" s="930"/>
    </row>
    <row r="46" spans="1:7" s="2" customFormat="1" ht="15.75" customHeight="1">
      <c r="A46" s="927" t="s">
        <v>71</v>
      </c>
      <c r="B46" s="928"/>
      <c r="C46" s="12" t="s">
        <v>58</v>
      </c>
      <c r="D46" s="9">
        <v>0.1</v>
      </c>
      <c r="E46" s="13">
        <f>'MAQUINARIA Y EQUIPOS'!F27</f>
        <v>100000</v>
      </c>
      <c r="F46" s="14">
        <f t="shared" si="1"/>
        <v>10000</v>
      </c>
      <c r="G46" s="930"/>
    </row>
    <row r="47" spans="1:7" s="2" customFormat="1" ht="15.75" customHeight="1">
      <c r="A47" s="927" t="s">
        <v>72</v>
      </c>
      <c r="B47" s="928"/>
      <c r="C47" s="12" t="s">
        <v>58</v>
      </c>
      <c r="D47" s="9">
        <v>0.1</v>
      </c>
      <c r="E47" s="13">
        <f>'MAQUINARIA Y EQUIPOS'!F28</f>
        <v>5117</v>
      </c>
      <c r="F47" s="14">
        <f t="shared" si="1"/>
        <v>511.70000000000005</v>
      </c>
      <c r="G47" s="930"/>
    </row>
    <row r="48" spans="1:7" s="2" customFormat="1" ht="15.75" customHeight="1">
      <c r="A48" s="976" t="s">
        <v>73</v>
      </c>
      <c r="B48" s="928"/>
      <c r="C48" s="12" t="s">
        <v>58</v>
      </c>
      <c r="D48" s="9">
        <v>0.1</v>
      </c>
      <c r="E48" s="13">
        <f>'MAQUINARIA Y EQUIPOS'!F29</f>
        <v>2261</v>
      </c>
      <c r="F48" s="14">
        <f t="shared" si="1"/>
        <v>226.10000000000002</v>
      </c>
      <c r="G48" s="930"/>
    </row>
    <row r="49" spans="1:7" s="2" customFormat="1" ht="13.8">
      <c r="A49" s="927" t="s">
        <v>74</v>
      </c>
      <c r="B49" s="928"/>
      <c r="C49" s="12" t="s">
        <v>3</v>
      </c>
      <c r="D49" s="9">
        <v>0.02</v>
      </c>
      <c r="E49" s="13">
        <f>'INSUMOS '!E29</f>
        <v>643900</v>
      </c>
      <c r="F49" s="14">
        <f t="shared" si="1"/>
        <v>12878</v>
      </c>
      <c r="G49" s="930"/>
    </row>
    <row r="50" spans="1:7" s="2" customFormat="1" ht="13.8">
      <c r="A50" s="948" t="s">
        <v>1502</v>
      </c>
      <c r="B50" s="949"/>
      <c r="C50" s="12" t="s">
        <v>3</v>
      </c>
      <c r="D50" s="9">
        <v>0.01</v>
      </c>
      <c r="E50" s="13">
        <f>'INSUMOS '!E318</f>
        <v>270600</v>
      </c>
      <c r="F50" s="14">
        <f t="shared" si="1"/>
        <v>2706</v>
      </c>
      <c r="G50" s="930"/>
    </row>
    <row r="51" spans="1:7" s="2" customFormat="1" ht="13.8">
      <c r="A51" s="927" t="s">
        <v>246</v>
      </c>
      <c r="B51" s="928"/>
      <c r="C51" s="12" t="s">
        <v>58</v>
      </c>
      <c r="D51" s="9">
        <v>0.02</v>
      </c>
      <c r="E51" s="13">
        <f>'MAQUINARIA Y EQUIPOS'!F21</f>
        <v>35700</v>
      </c>
      <c r="F51" s="14">
        <f t="shared" si="1"/>
        <v>714</v>
      </c>
      <c r="G51" s="930"/>
    </row>
    <row r="52" spans="1:7" s="2" customFormat="1" ht="13.8">
      <c r="A52" s="927"/>
      <c r="B52" s="928"/>
      <c r="C52" s="9"/>
      <c r="D52" s="9"/>
      <c r="E52" s="13"/>
      <c r="F52" s="14"/>
      <c r="G52" s="15">
        <f>SUM(F44:F52)</f>
        <v>40661</v>
      </c>
    </row>
    <row r="53" spans="1:7" s="2" customFormat="1" ht="13.8">
      <c r="A53" s="929" t="s">
        <v>10</v>
      </c>
      <c r="B53" s="928"/>
      <c r="C53" s="928"/>
      <c r="D53" s="928"/>
      <c r="E53" s="928"/>
      <c r="F53" s="928"/>
      <c r="G53" s="930"/>
    </row>
    <row r="54" spans="1:7" s="2" customFormat="1" ht="13.8">
      <c r="A54" s="931" t="s">
        <v>2</v>
      </c>
      <c r="B54" s="928"/>
      <c r="C54" s="11" t="s">
        <v>3</v>
      </c>
      <c r="D54" s="11" t="s">
        <v>4</v>
      </c>
      <c r="E54" s="11" t="s">
        <v>6</v>
      </c>
      <c r="F54" s="11" t="s">
        <v>11</v>
      </c>
      <c r="G54" s="946" t="s">
        <v>8</v>
      </c>
    </row>
    <row r="55" spans="1:7" s="2" customFormat="1" ht="29.4" customHeight="1">
      <c r="A55" s="947" t="s">
        <v>1503</v>
      </c>
      <c r="B55" s="985"/>
      <c r="C55" s="12" t="s">
        <v>34</v>
      </c>
      <c r="D55" s="12">
        <v>1.5</v>
      </c>
      <c r="E55" s="13">
        <f>'INSUMOS '!E319</f>
        <v>193900</v>
      </c>
      <c r="F55" s="14">
        <f>D55*E55</f>
        <v>290850</v>
      </c>
      <c r="G55" s="946"/>
    </row>
    <row r="56" spans="1:7" s="2" customFormat="1" ht="13.8">
      <c r="A56" s="943" t="s">
        <v>77</v>
      </c>
      <c r="B56" s="944"/>
      <c r="C56" s="12" t="s">
        <v>39</v>
      </c>
      <c r="D56" s="12">
        <v>0.05</v>
      </c>
      <c r="E56" s="13">
        <f>SUBANÁLISIS!G89</f>
        <v>431833.82500000001</v>
      </c>
      <c r="F56" s="14">
        <f>D56*E56</f>
        <v>21591.691250000003</v>
      </c>
      <c r="G56" s="946"/>
    </row>
    <row r="57" spans="1:7" s="2" customFormat="1" ht="13.8">
      <c r="A57" s="927"/>
      <c r="B57" s="928"/>
      <c r="C57" s="12"/>
      <c r="D57" s="33"/>
      <c r="E57" s="13"/>
      <c r="F57" s="14">
        <f>E57*D57</f>
        <v>0</v>
      </c>
      <c r="G57" s="15">
        <f>SUM(F54:F57)</f>
        <v>312441.69125000003</v>
      </c>
    </row>
    <row r="58" spans="1:7" s="2" customFormat="1" ht="13.8">
      <c r="A58" s="929" t="s">
        <v>15</v>
      </c>
      <c r="B58" s="928"/>
      <c r="C58" s="928"/>
      <c r="D58" s="928"/>
      <c r="E58" s="928"/>
      <c r="F58" s="928"/>
      <c r="G58" s="930"/>
    </row>
    <row r="59" spans="1:7" s="2" customFormat="1" ht="13.8">
      <c r="A59" s="931" t="s">
        <v>2</v>
      </c>
      <c r="B59" s="928"/>
      <c r="C59" s="11" t="s">
        <v>3</v>
      </c>
      <c r="D59" s="11" t="s">
        <v>4</v>
      </c>
      <c r="E59" s="11" t="s">
        <v>6</v>
      </c>
      <c r="F59" s="11" t="s">
        <v>11</v>
      </c>
      <c r="G59" s="946" t="s">
        <v>8</v>
      </c>
    </row>
    <row r="60" spans="1:7" s="2" customFormat="1" ht="15.75" customHeight="1">
      <c r="A60" s="943" t="s">
        <v>68</v>
      </c>
      <c r="B60" s="944"/>
      <c r="C60" s="16" t="s">
        <v>3</v>
      </c>
      <c r="D60" s="32">
        <v>0.1</v>
      </c>
      <c r="E60" s="17">
        <f>G52</f>
        <v>40661</v>
      </c>
      <c r="F60" s="14">
        <f>E60*D60</f>
        <v>4066.1000000000004</v>
      </c>
      <c r="G60" s="930"/>
    </row>
    <row r="61" spans="1:7" s="2" customFormat="1" ht="15.75" customHeight="1">
      <c r="A61" s="976" t="s">
        <v>78</v>
      </c>
      <c r="B61" s="977"/>
      <c r="C61" s="16" t="s">
        <v>2645</v>
      </c>
      <c r="D61" s="34">
        <f>0.35*0.85*1.15*30</f>
        <v>10.263749999999998</v>
      </c>
      <c r="E61" s="17">
        <f>'MAQUINARIA Y EQUIPOS'!F46</f>
        <v>1650</v>
      </c>
      <c r="F61" s="14">
        <f>E61*D61</f>
        <v>16935.187499999996</v>
      </c>
      <c r="G61" s="15">
        <f>SUM(F60:F61)</f>
        <v>21001.287499999999</v>
      </c>
    </row>
    <row r="62" spans="1:7" s="2" customFormat="1" ht="15.75" customHeight="1">
      <c r="A62" s="929" t="s">
        <v>19</v>
      </c>
      <c r="B62" s="928"/>
      <c r="C62" s="928"/>
      <c r="D62" s="928"/>
      <c r="E62" s="928"/>
      <c r="F62" s="928"/>
      <c r="G62" s="930"/>
    </row>
    <row r="63" spans="1:7" s="2" customFormat="1" ht="13.8">
      <c r="A63" s="931" t="s">
        <v>2</v>
      </c>
      <c r="B63" s="928"/>
      <c r="C63" s="11" t="s">
        <v>3</v>
      </c>
      <c r="D63" s="11" t="s">
        <v>4</v>
      </c>
      <c r="E63" s="11" t="s">
        <v>6</v>
      </c>
      <c r="F63" s="11" t="s">
        <v>11</v>
      </c>
      <c r="G63" s="18" t="s">
        <v>8</v>
      </c>
    </row>
    <row r="64" spans="1:7" s="2" customFormat="1" ht="15.75" customHeight="1">
      <c r="A64" s="978" t="str">
        <f>SALARIOS!A62</f>
        <v>CUADRILLA AA ALBAÑILERÍA 1:2</v>
      </c>
      <c r="B64" s="979"/>
      <c r="C64" s="16" t="s">
        <v>1245</v>
      </c>
      <c r="D64" s="34">
        <v>8</v>
      </c>
      <c r="E64" s="13">
        <f>SALARIOS!C62</f>
        <v>34063</v>
      </c>
      <c r="F64" s="14">
        <f>+E64*D64</f>
        <v>272504</v>
      </c>
      <c r="G64" s="15">
        <f>SUM(F63:F64)</f>
        <v>272504</v>
      </c>
    </row>
    <row r="65" spans="1:11" s="2" customFormat="1" ht="15.75" customHeight="1">
      <c r="A65" s="945" t="s">
        <v>25</v>
      </c>
      <c r="B65" s="928"/>
      <c r="C65" s="928"/>
      <c r="D65" s="928"/>
      <c r="E65" s="928"/>
      <c r="F65" s="928"/>
      <c r="G65" s="930"/>
    </row>
    <row r="66" spans="1:11" s="2" customFormat="1" ht="15.75" customHeight="1">
      <c r="A66" s="950"/>
      <c r="B66" s="928"/>
      <c r="C66" s="928"/>
      <c r="D66" s="928"/>
      <c r="E66" s="928"/>
      <c r="F66" s="928"/>
      <c r="G66" s="20">
        <f>G64+G61+G57+G52</f>
        <v>646607.97875000001</v>
      </c>
    </row>
    <row r="67" spans="1:11" s="2" customFormat="1" ht="15.75" customHeight="1">
      <c r="A67" s="26"/>
      <c r="B67" s="27"/>
      <c r="C67" s="28"/>
      <c r="D67" s="28"/>
      <c r="E67" s="29"/>
      <c r="F67" s="28"/>
      <c r="G67" s="30"/>
    </row>
    <row r="68" spans="1:11" s="2" customFormat="1" ht="15.75" customHeight="1">
      <c r="A68" s="933" t="s">
        <v>1</v>
      </c>
      <c r="B68" s="951"/>
      <c r="C68" s="953" t="s">
        <v>0</v>
      </c>
      <c r="D68" s="954"/>
      <c r="E68" s="954"/>
      <c r="F68" s="954"/>
      <c r="G68" s="955"/>
    </row>
    <row r="69" spans="1:11" s="2" customFormat="1" ht="46.95" customHeight="1">
      <c r="A69" s="952"/>
      <c r="B69" s="951"/>
      <c r="C69" s="954"/>
      <c r="D69" s="954"/>
      <c r="E69" s="954"/>
      <c r="F69" s="954"/>
      <c r="G69" s="955"/>
    </row>
    <row r="70" spans="1:11" s="2" customFormat="1" ht="15.75" customHeight="1">
      <c r="A70" s="952"/>
      <c r="B70" s="951"/>
      <c r="C70" s="956"/>
      <c r="D70" s="957"/>
      <c r="E70" s="957"/>
      <c r="F70" s="957"/>
      <c r="G70" s="958"/>
    </row>
    <row r="71" spans="1:11" s="2" customFormat="1" ht="15.75" customHeight="1">
      <c r="A71" s="952"/>
      <c r="B71" s="951"/>
      <c r="C71" s="959" t="s">
        <v>2</v>
      </c>
      <c r="D71" s="957"/>
      <c r="E71" s="957"/>
      <c r="F71" s="23" t="s">
        <v>3</v>
      </c>
      <c r="G71" s="24" t="s">
        <v>4</v>
      </c>
    </row>
    <row r="72" spans="1:11" s="2" customFormat="1" ht="81" customHeight="1">
      <c r="A72" s="942" t="s">
        <v>79</v>
      </c>
      <c r="B72" s="928"/>
      <c r="C72" s="932" t="s">
        <v>1509</v>
      </c>
      <c r="D72" s="928"/>
      <c r="E72" s="928"/>
      <c r="F72" s="9" t="s">
        <v>37</v>
      </c>
      <c r="G72" s="25">
        <v>21.1</v>
      </c>
      <c r="I72" s="341"/>
      <c r="J72" s="342"/>
      <c r="K72" s="342"/>
    </row>
    <row r="73" spans="1:11" s="2" customFormat="1" ht="15.75" customHeight="1">
      <c r="A73" s="929" t="s">
        <v>5</v>
      </c>
      <c r="B73" s="928"/>
      <c r="C73" s="928"/>
      <c r="D73" s="928"/>
      <c r="E73" s="928"/>
      <c r="F73" s="928"/>
      <c r="G73" s="930"/>
    </row>
    <row r="74" spans="1:11" s="2" customFormat="1" ht="15.75" customHeight="1">
      <c r="A74" s="931" t="s">
        <v>2</v>
      </c>
      <c r="B74" s="928"/>
      <c r="C74" s="11" t="s">
        <v>3</v>
      </c>
      <c r="D74" s="11" t="s">
        <v>4</v>
      </c>
      <c r="E74" s="11" t="s">
        <v>6</v>
      </c>
      <c r="F74" s="11" t="s">
        <v>7</v>
      </c>
      <c r="G74" s="946" t="s">
        <v>8</v>
      </c>
    </row>
    <row r="75" spans="1:11" s="2" customFormat="1" ht="13.8">
      <c r="A75" s="927" t="s">
        <v>57</v>
      </c>
      <c r="B75" s="928"/>
      <c r="C75" s="12" t="s">
        <v>58</v>
      </c>
      <c r="D75" s="12">
        <v>0.01</v>
      </c>
      <c r="E75" s="13">
        <f>'MAQUINARIA Y EQUIPOS'!F19</f>
        <v>45763.829999999994</v>
      </c>
      <c r="F75" s="14">
        <f t="shared" ref="F75:F80" si="2">D75*E75</f>
        <v>457.63829999999996</v>
      </c>
      <c r="G75" s="946"/>
    </row>
    <row r="76" spans="1:11" s="2" customFormat="1" ht="13.8">
      <c r="A76" s="927" t="s">
        <v>80</v>
      </c>
      <c r="B76" s="932"/>
      <c r="C76" s="12" t="s">
        <v>81</v>
      </c>
      <c r="D76" s="12">
        <f>14*8</f>
        <v>112</v>
      </c>
      <c r="E76" s="13">
        <f>'MAQUINARIA Y EQUIPOS'!F6</f>
        <v>1142.3999999999999</v>
      </c>
      <c r="F76" s="14">
        <f t="shared" si="2"/>
        <v>127948.79999999999</v>
      </c>
      <c r="G76" s="946"/>
    </row>
    <row r="77" spans="1:11" s="2" customFormat="1" ht="13.8">
      <c r="A77" s="927" t="s">
        <v>82</v>
      </c>
      <c r="B77" s="932"/>
      <c r="C77" s="12" t="s">
        <v>81</v>
      </c>
      <c r="D77" s="12">
        <f>14*8</f>
        <v>112</v>
      </c>
      <c r="E77" s="13">
        <f>'MAQUINARIA Y EQUIPOS'!F11</f>
        <v>300</v>
      </c>
      <c r="F77" s="14">
        <f t="shared" si="2"/>
        <v>33600</v>
      </c>
      <c r="G77" s="946"/>
    </row>
    <row r="78" spans="1:11" s="2" customFormat="1" ht="13.8">
      <c r="A78" s="927" t="s">
        <v>61</v>
      </c>
      <c r="B78" s="928"/>
      <c r="C78" s="12" t="s">
        <v>58</v>
      </c>
      <c r="D78" s="9">
        <v>0.5</v>
      </c>
      <c r="E78" s="13">
        <f>'MAQUINARIA Y EQUIPOS'!F18</f>
        <v>40460</v>
      </c>
      <c r="F78" s="14">
        <f t="shared" si="2"/>
        <v>20230</v>
      </c>
      <c r="G78" s="946"/>
    </row>
    <row r="79" spans="1:11" s="2" customFormat="1" ht="15.75" customHeight="1">
      <c r="A79" s="927" t="s">
        <v>62</v>
      </c>
      <c r="B79" s="928"/>
      <c r="C79" s="12" t="s">
        <v>58</v>
      </c>
      <c r="D79" s="9">
        <v>0.5</v>
      </c>
      <c r="E79" s="13">
        <f>'MAQUINARIA Y EQUIPOS'!F10</f>
        <v>3272.5</v>
      </c>
      <c r="F79" s="14">
        <f t="shared" si="2"/>
        <v>1636.25</v>
      </c>
      <c r="G79" s="946"/>
    </row>
    <row r="80" spans="1:11" s="2" customFormat="1" ht="13.8">
      <c r="A80" s="927" t="s">
        <v>9</v>
      </c>
      <c r="B80" s="928"/>
      <c r="C80" s="12" t="s">
        <v>3</v>
      </c>
      <c r="D80" s="9">
        <v>0.05</v>
      </c>
      <c r="E80" s="13">
        <f>G99</f>
        <v>82239</v>
      </c>
      <c r="F80" s="14">
        <f t="shared" si="2"/>
        <v>4111.95</v>
      </c>
      <c r="G80" s="15">
        <f>SUM(F74:F80)</f>
        <v>187984.63829999999</v>
      </c>
    </row>
    <row r="81" spans="1:257" s="2" customFormat="1" ht="13.8">
      <c r="A81" s="929" t="s">
        <v>10</v>
      </c>
      <c r="B81" s="928"/>
      <c r="C81" s="928"/>
      <c r="D81" s="928"/>
      <c r="E81" s="928"/>
      <c r="F81" s="928"/>
      <c r="G81" s="930"/>
    </row>
    <row r="82" spans="1:257" s="2" customFormat="1" ht="13.8">
      <c r="A82" s="931" t="s">
        <v>2</v>
      </c>
      <c r="B82" s="928"/>
      <c r="C82" s="11" t="s">
        <v>3</v>
      </c>
      <c r="D82" s="11" t="s">
        <v>4</v>
      </c>
      <c r="E82" s="11" t="s">
        <v>6</v>
      </c>
      <c r="F82" s="11" t="s">
        <v>11</v>
      </c>
      <c r="G82" s="946" t="s">
        <v>8</v>
      </c>
    </row>
    <row r="83" spans="1:257" s="2" customFormat="1" ht="13.8">
      <c r="A83" s="976" t="s">
        <v>63</v>
      </c>
      <c r="B83" s="977"/>
      <c r="C83" s="9" t="s">
        <v>3</v>
      </c>
      <c r="D83" s="9">
        <v>1.9</v>
      </c>
      <c r="E83" s="31">
        <f>'INSUMOS '!E20</f>
        <v>27900</v>
      </c>
      <c r="F83" s="14">
        <f t="shared" ref="F83:F91" si="3">D83*E83</f>
        <v>53010</v>
      </c>
      <c r="G83" s="946"/>
    </row>
    <row r="84" spans="1:257" s="2" customFormat="1" ht="13.8">
      <c r="A84" s="976" t="s">
        <v>64</v>
      </c>
      <c r="B84" s="977"/>
      <c r="C84" s="9" t="s">
        <v>37</v>
      </c>
      <c r="D84" s="9">
        <v>0.22</v>
      </c>
      <c r="E84" s="31">
        <f>'INSUMOS '!E22</f>
        <v>40900</v>
      </c>
      <c r="F84" s="14">
        <f t="shared" si="3"/>
        <v>8998</v>
      </c>
      <c r="G84" s="946"/>
    </row>
    <row r="85" spans="1:257" s="2" customFormat="1" ht="13.8">
      <c r="A85" s="976" t="s">
        <v>83</v>
      </c>
      <c r="B85" s="977"/>
      <c r="C85" s="9" t="s">
        <v>37</v>
      </c>
      <c r="D85" s="9">
        <v>1</v>
      </c>
      <c r="E85" s="31">
        <f>'INSUMOS '!E19</f>
        <v>14403.292181069957</v>
      </c>
      <c r="F85" s="14">
        <f t="shared" si="3"/>
        <v>14403.292181069957</v>
      </c>
      <c r="G85" s="946"/>
    </row>
    <row r="86" spans="1:257" s="2" customFormat="1" ht="13.8">
      <c r="A86" s="976" t="s">
        <v>84</v>
      </c>
      <c r="B86" s="977"/>
      <c r="C86" s="9" t="s">
        <v>34</v>
      </c>
      <c r="D86" s="9">
        <v>14.63</v>
      </c>
      <c r="E86" s="31">
        <f>'INSUMOS '!E12</f>
        <v>5033</v>
      </c>
      <c r="F86" s="14">
        <f t="shared" si="3"/>
        <v>73632.790000000008</v>
      </c>
      <c r="G86" s="946"/>
    </row>
    <row r="87" spans="1:257" s="2" customFormat="1" ht="13.8">
      <c r="A87" s="976" t="s">
        <v>85</v>
      </c>
      <c r="B87" s="977"/>
      <c r="C87" s="9" t="s">
        <v>34</v>
      </c>
      <c r="D87" s="9">
        <v>1.7424999999999999</v>
      </c>
      <c r="E87" s="31">
        <f>'INSUMOS '!E12</f>
        <v>5033</v>
      </c>
      <c r="F87" s="14">
        <f t="shared" si="3"/>
        <v>8770.0025000000005</v>
      </c>
      <c r="G87" s="946"/>
    </row>
    <row r="88" spans="1:257" s="2" customFormat="1" ht="15" customHeight="1">
      <c r="A88" s="927" t="s">
        <v>67</v>
      </c>
      <c r="B88" s="928"/>
      <c r="C88" s="12" t="s">
        <v>34</v>
      </c>
      <c r="D88" s="12">
        <v>0.25</v>
      </c>
      <c r="E88" s="13">
        <f>'INSUMOS '!E64</f>
        <v>8123</v>
      </c>
      <c r="F88" s="14">
        <f t="shared" si="3"/>
        <v>2030.75</v>
      </c>
      <c r="G88" s="946"/>
    </row>
    <row r="89" spans="1:257" s="2" customFormat="1" ht="13.8">
      <c r="A89" s="927" t="s">
        <v>53</v>
      </c>
      <c r="B89" s="928"/>
      <c r="C89" s="12" t="s">
        <v>42</v>
      </c>
      <c r="D89" s="12">
        <v>25</v>
      </c>
      <c r="E89" s="13">
        <f>'INSUMOS '!E65</f>
        <v>14</v>
      </c>
      <c r="F89" s="14">
        <f t="shared" si="3"/>
        <v>350</v>
      </c>
      <c r="G89" s="946"/>
    </row>
    <row r="90" spans="1:257" s="2" customFormat="1" ht="15.75" customHeight="1">
      <c r="A90" s="927" t="s">
        <v>65</v>
      </c>
      <c r="B90" s="928"/>
      <c r="C90" s="12" t="s">
        <v>34</v>
      </c>
      <c r="D90" s="12">
        <v>0.02</v>
      </c>
      <c r="E90" s="13">
        <f>'INSUMOS '!E68</f>
        <v>22225</v>
      </c>
      <c r="F90" s="14">
        <f t="shared" si="3"/>
        <v>444.5</v>
      </c>
      <c r="G90" s="946"/>
    </row>
    <row r="91" spans="1:257" s="2" customFormat="1" ht="15.75" customHeight="1">
      <c r="A91" s="927" t="s">
        <v>306</v>
      </c>
      <c r="B91" s="932"/>
      <c r="C91" s="12" t="s">
        <v>39</v>
      </c>
      <c r="D91" s="12">
        <v>0.08</v>
      </c>
      <c r="E91" s="13">
        <f>SUBANÁLISIS!G31</f>
        <v>570669.8666666667</v>
      </c>
      <c r="F91" s="14">
        <f t="shared" si="3"/>
        <v>45653.589333333337</v>
      </c>
      <c r="G91" s="946"/>
    </row>
    <row r="92" spans="1:257" s="2" customFormat="1" ht="15.75" customHeight="1">
      <c r="A92" s="947"/>
      <c r="B92" s="980"/>
      <c r="C92" s="12"/>
      <c r="D92" s="12"/>
      <c r="E92" s="13"/>
      <c r="F92" s="14"/>
      <c r="G92" s="15">
        <f>SUM(F82:F92)</f>
        <v>207292.92401440331</v>
      </c>
    </row>
    <row r="93" spans="1:257" s="2" customFormat="1" ht="15.75" customHeight="1">
      <c r="A93" s="929" t="s">
        <v>15</v>
      </c>
      <c r="B93" s="928"/>
      <c r="C93" s="928"/>
      <c r="D93" s="928"/>
      <c r="E93" s="928"/>
      <c r="F93" s="928"/>
      <c r="G93" s="930"/>
    </row>
    <row r="94" spans="1:257" s="2" customFormat="1" ht="13.8">
      <c r="A94" s="931" t="s">
        <v>2</v>
      </c>
      <c r="B94" s="928"/>
      <c r="C94" s="11" t="s">
        <v>3</v>
      </c>
      <c r="D94" s="11" t="s">
        <v>4</v>
      </c>
      <c r="E94" s="11" t="s">
        <v>6</v>
      </c>
      <c r="F94" s="11" t="s">
        <v>11</v>
      </c>
      <c r="G94" s="946" t="s">
        <v>8</v>
      </c>
    </row>
    <row r="95" spans="1:257" s="35" customFormat="1" ht="15.75" customHeight="1">
      <c r="A95" s="943" t="s">
        <v>68</v>
      </c>
      <c r="B95" s="944"/>
      <c r="C95" s="16" t="s">
        <v>3</v>
      </c>
      <c r="D95" s="54">
        <v>3.5000000000000003E-2</v>
      </c>
      <c r="E95" s="17">
        <f>G80</f>
        <v>187984.63829999999</v>
      </c>
      <c r="F95" s="14">
        <f>E95*D95</f>
        <v>6579.4623405000002</v>
      </c>
      <c r="G95" s="930"/>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1:257" s="35" customFormat="1" ht="13.8">
      <c r="A96" s="976" t="s">
        <v>17</v>
      </c>
      <c r="B96" s="928"/>
      <c r="C96" s="16" t="s">
        <v>18</v>
      </c>
      <c r="D96" s="54">
        <v>3.5000000000000003E-2</v>
      </c>
      <c r="E96" s="17">
        <f>G92</f>
        <v>207292.92401440331</v>
      </c>
      <c r="F96" s="14">
        <f>E96*D96</f>
        <v>7255.2523405041165</v>
      </c>
      <c r="G96" s="15">
        <f>SUM(F95:F96)</f>
        <v>13834.714681004116</v>
      </c>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1:257" s="35" customFormat="1" ht="15.75" customHeight="1">
      <c r="A97" s="929" t="s">
        <v>19</v>
      </c>
      <c r="B97" s="928"/>
      <c r="C97" s="928"/>
      <c r="D97" s="928"/>
      <c r="E97" s="928"/>
      <c r="F97" s="928"/>
      <c r="G97" s="930"/>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row>
    <row r="98" spans="1:257" s="2" customFormat="1" ht="13.8">
      <c r="A98" s="931" t="s">
        <v>2</v>
      </c>
      <c r="B98" s="928"/>
      <c r="C98" s="11" t="s">
        <v>3</v>
      </c>
      <c r="D98" s="11" t="s">
        <v>4</v>
      </c>
      <c r="E98" s="11" t="s">
        <v>6</v>
      </c>
      <c r="F98" s="11" t="s">
        <v>11</v>
      </c>
      <c r="G98" s="18" t="s">
        <v>8</v>
      </c>
    </row>
    <row r="99" spans="1:257" s="2" customFormat="1" ht="15.75" customHeight="1">
      <c r="A99" s="978" t="str">
        <f>+SALARIOS!A105</f>
        <v>CUADRILLA DD CONCRETOS 1:4</v>
      </c>
      <c r="B99" s="979"/>
      <c r="C99" s="12" t="s">
        <v>1245</v>
      </c>
      <c r="D99" s="32">
        <v>1.5</v>
      </c>
      <c r="E99" s="13">
        <f>+SALARIOS!C105</f>
        <v>54826</v>
      </c>
      <c r="F99" s="14">
        <f>+D99*E99</f>
        <v>82239</v>
      </c>
      <c r="G99" s="15">
        <f>SUM(F98:F99)</f>
        <v>82239</v>
      </c>
    </row>
    <row r="100" spans="1:257" s="2" customFormat="1" ht="13.8">
      <c r="A100" s="945" t="s">
        <v>25</v>
      </c>
      <c r="B100" s="981"/>
      <c r="C100" s="981"/>
      <c r="D100" s="981"/>
      <c r="E100" s="981"/>
      <c r="F100" s="981"/>
      <c r="G100" s="982"/>
    </row>
    <row r="101" spans="1:257" s="2" customFormat="1" ht="17.399999999999999">
      <c r="A101" s="950"/>
      <c r="B101" s="928"/>
      <c r="C101" s="928"/>
      <c r="D101" s="928"/>
      <c r="E101" s="928"/>
      <c r="F101" s="928"/>
      <c r="G101" s="20">
        <f>G99+G96+G92+G80</f>
        <v>491351.27699540742</v>
      </c>
    </row>
    <row r="102" spans="1:257" s="2" customFormat="1" ht="20.399999999999999">
      <c r="A102" s="26"/>
      <c r="B102" s="27"/>
      <c r="C102" s="28"/>
      <c r="D102" s="28"/>
      <c r="E102" s="29"/>
      <c r="F102" s="28"/>
      <c r="G102" s="30"/>
    </row>
    <row r="103" spans="1:257" s="2" customFormat="1" ht="15.75" customHeight="1">
      <c r="A103" s="933" t="s">
        <v>1</v>
      </c>
      <c r="B103" s="951"/>
      <c r="C103" s="953" t="s">
        <v>0</v>
      </c>
      <c r="D103" s="954"/>
      <c r="E103" s="954"/>
      <c r="F103" s="954"/>
      <c r="G103" s="955"/>
    </row>
    <row r="104" spans="1:257" s="2" customFormat="1" ht="52.5" customHeight="1">
      <c r="A104" s="952"/>
      <c r="B104" s="951"/>
      <c r="C104" s="954"/>
      <c r="D104" s="954"/>
      <c r="E104" s="954"/>
      <c r="F104" s="954"/>
      <c r="G104" s="955"/>
    </row>
    <row r="105" spans="1:257" s="2" customFormat="1" ht="17.399999999999999">
      <c r="A105" s="952"/>
      <c r="B105" s="951"/>
      <c r="C105" s="956"/>
      <c r="D105" s="957"/>
      <c r="E105" s="957"/>
      <c r="F105" s="957"/>
      <c r="G105" s="958"/>
    </row>
    <row r="106" spans="1:257" s="2" customFormat="1" ht="13.8">
      <c r="A106" s="952"/>
      <c r="B106" s="951"/>
      <c r="C106" s="959" t="s">
        <v>2</v>
      </c>
      <c r="D106" s="957"/>
      <c r="E106" s="957"/>
      <c r="F106" s="23" t="s">
        <v>3</v>
      </c>
      <c r="G106" s="24" t="s">
        <v>4</v>
      </c>
    </row>
    <row r="107" spans="1:257" s="2" customFormat="1" ht="76.95" customHeight="1">
      <c r="A107" s="942" t="s">
        <v>86</v>
      </c>
      <c r="B107" s="928"/>
      <c r="C107" s="932" t="s">
        <v>1510</v>
      </c>
      <c r="D107" s="928"/>
      <c r="E107" s="928"/>
      <c r="F107" s="9" t="s">
        <v>37</v>
      </c>
      <c r="G107" s="25">
        <v>13.8245</v>
      </c>
      <c r="J107" s="341"/>
      <c r="K107" s="342"/>
      <c r="L107" s="342"/>
    </row>
    <row r="108" spans="1:257" s="2" customFormat="1" ht="13.8">
      <c r="A108" s="929" t="s">
        <v>5</v>
      </c>
      <c r="B108" s="928"/>
      <c r="C108" s="928"/>
      <c r="D108" s="928"/>
      <c r="E108" s="928"/>
      <c r="F108" s="928"/>
      <c r="G108" s="930"/>
    </row>
    <row r="109" spans="1:257" s="2" customFormat="1" ht="13.8">
      <c r="A109" s="931" t="s">
        <v>2</v>
      </c>
      <c r="B109" s="928"/>
      <c r="C109" s="11" t="s">
        <v>3</v>
      </c>
      <c r="D109" s="11" t="s">
        <v>4</v>
      </c>
      <c r="E109" s="11" t="s">
        <v>6</v>
      </c>
      <c r="F109" s="11" t="s">
        <v>7</v>
      </c>
      <c r="G109" s="946" t="s">
        <v>8</v>
      </c>
    </row>
    <row r="110" spans="1:257" s="2" customFormat="1" ht="13.8">
      <c r="A110" s="927" t="s">
        <v>57</v>
      </c>
      <c r="B110" s="928"/>
      <c r="C110" s="12" t="s">
        <v>58</v>
      </c>
      <c r="D110" s="12">
        <v>0.01</v>
      </c>
      <c r="E110" s="13">
        <f>'MAQUINARIA Y EQUIPOS'!F19</f>
        <v>45763.829999999994</v>
      </c>
      <c r="F110" s="14">
        <f t="shared" ref="F110:F115" si="4">D110*E110</f>
        <v>457.63829999999996</v>
      </c>
      <c r="G110" s="946"/>
    </row>
    <row r="111" spans="1:257" s="2" customFormat="1" ht="15.75" customHeight="1">
      <c r="A111" s="927" t="s">
        <v>80</v>
      </c>
      <c r="B111" s="932"/>
      <c r="C111" s="12" t="s">
        <v>60</v>
      </c>
      <c r="D111" s="12">
        <f>14</f>
        <v>14</v>
      </c>
      <c r="E111" s="13">
        <f>'MAQUINARIA Y EQUIPOS'!F6</f>
        <v>1142.3999999999999</v>
      </c>
      <c r="F111" s="14">
        <f t="shared" si="4"/>
        <v>15993.599999999999</v>
      </c>
      <c r="G111" s="946"/>
    </row>
    <row r="112" spans="1:257" s="2" customFormat="1" ht="13.8">
      <c r="A112" s="927" t="s">
        <v>82</v>
      </c>
      <c r="B112" s="932"/>
      <c r="C112" s="12" t="s">
        <v>60</v>
      </c>
      <c r="D112" s="12">
        <f>14</f>
        <v>14</v>
      </c>
      <c r="E112" s="13">
        <f>'MAQUINARIA Y EQUIPOS'!F11</f>
        <v>300</v>
      </c>
      <c r="F112" s="14">
        <f t="shared" si="4"/>
        <v>4200</v>
      </c>
      <c r="G112" s="946"/>
    </row>
    <row r="113" spans="1:7" s="2" customFormat="1" ht="15.75" customHeight="1">
      <c r="A113" s="927" t="s">
        <v>61</v>
      </c>
      <c r="B113" s="928"/>
      <c r="C113" s="12" t="s">
        <v>58</v>
      </c>
      <c r="D113" s="9">
        <v>0.5</v>
      </c>
      <c r="E113" s="13">
        <f>'MAQUINARIA Y EQUIPOS'!F18</f>
        <v>40460</v>
      </c>
      <c r="F113" s="14">
        <f t="shared" si="4"/>
        <v>20230</v>
      </c>
      <c r="G113" s="946"/>
    </row>
    <row r="114" spans="1:7" s="2" customFormat="1" ht="13.5" customHeight="1">
      <c r="A114" s="927" t="s">
        <v>62</v>
      </c>
      <c r="B114" s="928"/>
      <c r="C114" s="12" t="s">
        <v>58</v>
      </c>
      <c r="D114" s="9">
        <v>0.5</v>
      </c>
      <c r="E114" s="13">
        <f>'MAQUINARIA Y EQUIPOS'!F10</f>
        <v>3272.5</v>
      </c>
      <c r="F114" s="14">
        <f t="shared" si="4"/>
        <v>1636.25</v>
      </c>
      <c r="G114" s="946"/>
    </row>
    <row r="115" spans="1:7" s="2" customFormat="1" ht="15.75" customHeight="1">
      <c r="A115" s="927" t="s">
        <v>9</v>
      </c>
      <c r="B115" s="928"/>
      <c r="C115" s="12" t="s">
        <v>3</v>
      </c>
      <c r="D115" s="9">
        <v>0.05</v>
      </c>
      <c r="E115" s="13">
        <f>G132</f>
        <v>82239</v>
      </c>
      <c r="F115" s="14">
        <f t="shared" si="4"/>
        <v>4111.95</v>
      </c>
      <c r="G115" s="15">
        <f>SUM(F109:F115)</f>
        <v>46629.438299999994</v>
      </c>
    </row>
    <row r="116" spans="1:7" s="2" customFormat="1" ht="15.75" customHeight="1">
      <c r="A116" s="929" t="s">
        <v>10</v>
      </c>
      <c r="B116" s="928"/>
      <c r="C116" s="928"/>
      <c r="D116" s="928"/>
      <c r="E116" s="928"/>
      <c r="F116" s="928"/>
      <c r="G116" s="930"/>
    </row>
    <row r="117" spans="1:7" s="2" customFormat="1" ht="15.75" customHeight="1">
      <c r="A117" s="931" t="s">
        <v>2</v>
      </c>
      <c r="B117" s="928"/>
      <c r="C117" s="11" t="s">
        <v>3</v>
      </c>
      <c r="D117" s="11" t="s">
        <v>4</v>
      </c>
      <c r="E117" s="11" t="s">
        <v>6</v>
      </c>
      <c r="F117" s="11" t="s">
        <v>11</v>
      </c>
      <c r="G117" s="946" t="s">
        <v>8</v>
      </c>
    </row>
    <row r="118" spans="1:7" s="2" customFormat="1" ht="15.75" customHeight="1">
      <c r="A118" s="976" t="s">
        <v>63</v>
      </c>
      <c r="B118" s="977"/>
      <c r="C118" s="9" t="s">
        <v>3</v>
      </c>
      <c r="D118" s="9">
        <v>1.9</v>
      </c>
      <c r="E118" s="31">
        <f>'INSUMOS '!E21</f>
        <v>3244.1860465116279</v>
      </c>
      <c r="F118" s="14">
        <f t="shared" ref="F118:F124" si="5">D118*E118</f>
        <v>6163.9534883720926</v>
      </c>
      <c r="G118" s="946"/>
    </row>
    <row r="119" spans="1:7" s="2" customFormat="1" ht="15.75" customHeight="1">
      <c r="A119" s="976" t="s">
        <v>64</v>
      </c>
      <c r="B119" s="977"/>
      <c r="C119" s="9" t="s">
        <v>37</v>
      </c>
      <c r="D119" s="9">
        <v>0.22</v>
      </c>
      <c r="E119" s="31">
        <f>'INSUMOS '!E22</f>
        <v>40900</v>
      </c>
      <c r="F119" s="14">
        <f t="shared" si="5"/>
        <v>8998</v>
      </c>
      <c r="G119" s="946"/>
    </row>
    <row r="120" spans="1:7" s="2" customFormat="1" ht="15.75" customHeight="1">
      <c r="A120" s="976" t="s">
        <v>83</v>
      </c>
      <c r="B120" s="977"/>
      <c r="C120" s="9" t="s">
        <v>37</v>
      </c>
      <c r="D120" s="9">
        <v>1</v>
      </c>
      <c r="E120" s="31">
        <f>'INSUMOS '!E19</f>
        <v>14403.292181069957</v>
      </c>
      <c r="F120" s="14">
        <f t="shared" si="5"/>
        <v>14403.292181069957</v>
      </c>
      <c r="G120" s="946"/>
    </row>
    <row r="121" spans="1:7" s="2" customFormat="1" ht="15.75" customHeight="1">
      <c r="A121" s="976" t="s">
        <v>87</v>
      </c>
      <c r="B121" s="977"/>
      <c r="C121" s="9" t="s">
        <v>37</v>
      </c>
      <c r="D121" s="9">
        <v>1</v>
      </c>
      <c r="E121" s="31">
        <f>'INSUMOS '!E59</f>
        <v>13056.241134751772</v>
      </c>
      <c r="F121" s="14">
        <f t="shared" si="5"/>
        <v>13056.241134751772</v>
      </c>
      <c r="G121" s="946"/>
    </row>
    <row r="122" spans="1:7" s="2" customFormat="1" ht="15.75" customHeight="1">
      <c r="A122" s="927" t="s">
        <v>53</v>
      </c>
      <c r="B122" s="928"/>
      <c r="C122" s="12" t="s">
        <v>42</v>
      </c>
      <c r="D122" s="12">
        <v>25</v>
      </c>
      <c r="E122" s="13">
        <v>8</v>
      </c>
      <c r="F122" s="14">
        <f t="shared" si="5"/>
        <v>200</v>
      </c>
      <c r="G122" s="946"/>
    </row>
    <row r="123" spans="1:7" s="2" customFormat="1" ht="15.75" customHeight="1">
      <c r="A123" s="927" t="s">
        <v>65</v>
      </c>
      <c r="B123" s="928"/>
      <c r="C123" s="12" t="s">
        <v>34</v>
      </c>
      <c r="D123" s="12">
        <v>0.02</v>
      </c>
      <c r="E123" s="13">
        <f>'INSUMOS '!E68</f>
        <v>22225</v>
      </c>
      <c r="F123" s="14">
        <f t="shared" si="5"/>
        <v>444.5</v>
      </c>
      <c r="G123" s="946"/>
    </row>
    <row r="124" spans="1:7" s="2" customFormat="1" ht="15.75" customHeight="1">
      <c r="A124" s="927" t="s">
        <v>306</v>
      </c>
      <c r="B124" s="932"/>
      <c r="C124" s="12" t="s">
        <v>39</v>
      </c>
      <c r="D124" s="12">
        <v>0.05</v>
      </c>
      <c r="E124" s="13">
        <f>SUBANÁLISIS!G31</f>
        <v>570669.8666666667</v>
      </c>
      <c r="F124" s="14">
        <f t="shared" si="5"/>
        <v>28533.493333333336</v>
      </c>
      <c r="G124" s="946"/>
    </row>
    <row r="125" spans="1:7" s="2" customFormat="1" ht="15.75" customHeight="1">
      <c r="A125" s="947"/>
      <c r="B125" s="980"/>
      <c r="C125" s="12"/>
      <c r="D125" s="12"/>
      <c r="E125" s="13"/>
      <c r="F125" s="14"/>
      <c r="G125" s="15">
        <f>SUM(F117:F125)</f>
        <v>71799.480137527149</v>
      </c>
    </row>
    <row r="126" spans="1:7" s="2" customFormat="1" ht="12.75" customHeight="1">
      <c r="A126" s="929" t="s">
        <v>15</v>
      </c>
      <c r="B126" s="928"/>
      <c r="C126" s="928"/>
      <c r="D126" s="928"/>
      <c r="E126" s="928"/>
      <c r="F126" s="928"/>
      <c r="G126" s="930"/>
    </row>
    <row r="127" spans="1:7" s="2" customFormat="1" ht="13.8">
      <c r="A127" s="931" t="s">
        <v>2</v>
      </c>
      <c r="B127" s="928"/>
      <c r="C127" s="11" t="s">
        <v>3</v>
      </c>
      <c r="D127" s="11" t="s">
        <v>4</v>
      </c>
      <c r="E127" s="11" t="s">
        <v>6</v>
      </c>
      <c r="F127" s="11" t="s">
        <v>11</v>
      </c>
      <c r="G127" s="946" t="s">
        <v>8</v>
      </c>
    </row>
    <row r="128" spans="1:7" s="2" customFormat="1" ht="15.75" customHeight="1">
      <c r="A128" s="943" t="s">
        <v>68</v>
      </c>
      <c r="B128" s="944"/>
      <c r="C128" s="16" t="s">
        <v>3</v>
      </c>
      <c r="D128" s="54">
        <v>3.5000000000000003E-2</v>
      </c>
      <c r="E128" s="17">
        <f>G115</f>
        <v>46629.438299999994</v>
      </c>
      <c r="F128" s="14">
        <f>E128*D128</f>
        <v>1632.0303405</v>
      </c>
      <c r="G128" s="930"/>
    </row>
    <row r="129" spans="1:11" s="2" customFormat="1" ht="15.75" customHeight="1">
      <c r="A129" s="976" t="s">
        <v>17</v>
      </c>
      <c r="B129" s="928"/>
      <c r="C129" s="16" t="s">
        <v>18</v>
      </c>
      <c r="D129" s="54">
        <v>3.5000000000000003E-2</v>
      </c>
      <c r="E129" s="17">
        <f>G125</f>
        <v>71799.480137527149</v>
      </c>
      <c r="F129" s="14">
        <f>E129*D129</f>
        <v>2512.9818048134503</v>
      </c>
      <c r="G129" s="15">
        <f>SUM(F128:F129)</f>
        <v>4145.0121453134507</v>
      </c>
    </row>
    <row r="130" spans="1:11" s="2" customFormat="1" ht="15.75" customHeight="1">
      <c r="A130" s="929" t="s">
        <v>19</v>
      </c>
      <c r="B130" s="928"/>
      <c r="C130" s="928"/>
      <c r="D130" s="928"/>
      <c r="E130" s="928"/>
      <c r="F130" s="928"/>
      <c r="G130" s="930"/>
    </row>
    <row r="131" spans="1:11" s="2" customFormat="1" ht="13.8">
      <c r="A131" s="931" t="s">
        <v>2</v>
      </c>
      <c r="B131" s="928"/>
      <c r="C131" s="11" t="s">
        <v>3</v>
      </c>
      <c r="D131" s="11" t="s">
        <v>4</v>
      </c>
      <c r="E131" s="11" t="s">
        <v>6</v>
      </c>
      <c r="F131" s="11" t="s">
        <v>11</v>
      </c>
      <c r="G131" s="18" t="s">
        <v>8</v>
      </c>
    </row>
    <row r="132" spans="1:11" s="2" customFormat="1" ht="15.75" customHeight="1">
      <c r="A132" s="978" t="str">
        <f>+SALARIOS!A105</f>
        <v>CUADRILLA DD CONCRETOS 1:4</v>
      </c>
      <c r="B132" s="979"/>
      <c r="C132" s="16" t="s">
        <v>1245</v>
      </c>
      <c r="D132" s="58">
        <v>1.5</v>
      </c>
      <c r="E132" s="17">
        <f>+SALARIOS!C105</f>
        <v>54826</v>
      </c>
      <c r="F132" s="14">
        <f>+D132*E132</f>
        <v>82239</v>
      </c>
      <c r="G132" s="15">
        <f>SUM(F131:F132)</f>
        <v>82239</v>
      </c>
    </row>
    <row r="133" spans="1:11" s="2" customFormat="1" ht="13.8">
      <c r="A133" s="945" t="s">
        <v>25</v>
      </c>
      <c r="B133" s="981"/>
      <c r="C133" s="981"/>
      <c r="D133" s="981"/>
      <c r="E133" s="981"/>
      <c r="F133" s="981"/>
      <c r="G133" s="982"/>
    </row>
    <row r="134" spans="1:11" s="2" customFormat="1" ht="17.399999999999999">
      <c r="A134" s="950"/>
      <c r="B134" s="928"/>
      <c r="C134" s="928"/>
      <c r="D134" s="928"/>
      <c r="E134" s="928"/>
      <c r="F134" s="928"/>
      <c r="G134" s="20">
        <f>G132+G129+G125+G115</f>
        <v>204812.93058284058</v>
      </c>
    </row>
    <row r="135" spans="1:11" s="2" customFormat="1" ht="15" customHeight="1">
      <c r="A135" s="26"/>
      <c r="B135" s="27"/>
      <c r="C135" s="28"/>
      <c r="D135" s="28"/>
      <c r="E135" s="29"/>
      <c r="F135" s="28"/>
      <c r="G135" s="30"/>
    </row>
    <row r="136" spans="1:11" s="2" customFormat="1" ht="15.75" customHeight="1">
      <c r="A136" s="933" t="s">
        <v>1</v>
      </c>
      <c r="B136" s="951"/>
      <c r="C136" s="953" t="s">
        <v>0</v>
      </c>
      <c r="D136" s="954"/>
      <c r="E136" s="954"/>
      <c r="F136" s="954"/>
      <c r="G136" s="955"/>
    </row>
    <row r="137" spans="1:11" s="2" customFormat="1" ht="47.25" customHeight="1">
      <c r="A137" s="952"/>
      <c r="B137" s="951"/>
      <c r="C137" s="954"/>
      <c r="D137" s="954"/>
      <c r="E137" s="954"/>
      <c r="F137" s="954"/>
      <c r="G137" s="955"/>
    </row>
    <row r="138" spans="1:11" s="2" customFormat="1" ht="15.75" customHeight="1">
      <c r="A138" s="952"/>
      <c r="B138" s="951"/>
      <c r="C138" s="956"/>
      <c r="D138" s="957"/>
      <c r="E138" s="957"/>
      <c r="F138" s="957"/>
      <c r="G138" s="958"/>
    </row>
    <row r="139" spans="1:11" s="2" customFormat="1" ht="15.75" customHeight="1">
      <c r="A139" s="952"/>
      <c r="B139" s="951"/>
      <c r="C139" s="959" t="s">
        <v>2</v>
      </c>
      <c r="D139" s="957"/>
      <c r="E139" s="957"/>
      <c r="F139" s="23" t="s">
        <v>3</v>
      </c>
      <c r="G139" s="24" t="s">
        <v>4</v>
      </c>
    </row>
    <row r="140" spans="1:11" s="2" customFormat="1" ht="78.599999999999994" customHeight="1">
      <c r="A140" s="942" t="s">
        <v>88</v>
      </c>
      <c r="B140" s="928"/>
      <c r="C140" s="932" t="s">
        <v>1511</v>
      </c>
      <c r="D140" s="928"/>
      <c r="E140" s="928"/>
      <c r="F140" s="9" t="s">
        <v>37</v>
      </c>
      <c r="G140" s="25">
        <v>52.21</v>
      </c>
      <c r="I140" s="341"/>
      <c r="J140" s="342"/>
      <c r="K140" s="342"/>
    </row>
    <row r="141" spans="1:11" s="2" customFormat="1" ht="15.75" customHeight="1">
      <c r="A141" s="929" t="s">
        <v>5</v>
      </c>
      <c r="B141" s="928"/>
      <c r="C141" s="928"/>
      <c r="D141" s="928"/>
      <c r="E141" s="928"/>
      <c r="F141" s="928"/>
      <c r="G141" s="930"/>
    </row>
    <row r="142" spans="1:11" s="2" customFormat="1" ht="15.75" customHeight="1">
      <c r="A142" s="931" t="s">
        <v>2</v>
      </c>
      <c r="B142" s="928"/>
      <c r="C142" s="11" t="s">
        <v>3</v>
      </c>
      <c r="D142" s="11" t="s">
        <v>4</v>
      </c>
      <c r="E142" s="11" t="s">
        <v>6</v>
      </c>
      <c r="F142" s="11" t="s">
        <v>7</v>
      </c>
      <c r="G142" s="946" t="s">
        <v>8</v>
      </c>
    </row>
    <row r="143" spans="1:11" s="2" customFormat="1" ht="15.75" customHeight="1">
      <c r="A143" s="976" t="s">
        <v>89</v>
      </c>
      <c r="B143" s="977"/>
      <c r="C143" s="9" t="s">
        <v>3</v>
      </c>
      <c r="D143" s="9">
        <v>0.05</v>
      </c>
      <c r="E143" s="13">
        <f>G160</f>
        <v>45618</v>
      </c>
      <c r="F143" s="14">
        <f>+E143*D143</f>
        <v>2280.9</v>
      </c>
      <c r="G143" s="946"/>
    </row>
    <row r="144" spans="1:11" s="2" customFormat="1" ht="15.75" customHeight="1">
      <c r="A144" s="976" t="s">
        <v>1339</v>
      </c>
      <c r="B144" s="977"/>
      <c r="C144" s="9" t="s">
        <v>58</v>
      </c>
      <c r="D144" s="9">
        <v>0.08</v>
      </c>
      <c r="E144" s="13">
        <f>'MAQUINARIA Y EQUIPOS'!F19</f>
        <v>45763.829999999994</v>
      </c>
      <c r="F144" s="14">
        <f>+E144*D144</f>
        <v>3661.1063999999997</v>
      </c>
      <c r="G144" s="946"/>
    </row>
    <row r="145" spans="1:257" s="2" customFormat="1" ht="15.75" customHeight="1">
      <c r="A145" s="983" t="s">
        <v>115</v>
      </c>
      <c r="B145" s="984"/>
      <c r="C145" s="9" t="s">
        <v>3</v>
      </c>
      <c r="D145" s="12">
        <v>4.5454545454545456E-2</v>
      </c>
      <c r="E145" s="13">
        <f>'INSUMOS '!E28</f>
        <v>51900</v>
      </c>
      <c r="F145" s="14">
        <f>+E145*D145</f>
        <v>2359.090909090909</v>
      </c>
      <c r="G145" s="946"/>
    </row>
    <row r="146" spans="1:257" s="2" customFormat="1" ht="15.75" customHeight="1">
      <c r="A146" s="948" t="s">
        <v>1512</v>
      </c>
      <c r="B146" s="949"/>
      <c r="C146" s="12" t="s">
        <v>58</v>
      </c>
      <c r="D146" s="12">
        <v>4.5454545454545456E-2</v>
      </c>
      <c r="E146" s="13">
        <f>'MAQUINARIA Y EQUIPOS'!F21</f>
        <v>35700</v>
      </c>
      <c r="F146" s="14">
        <f>+E146*D146</f>
        <v>1622.7272727272727</v>
      </c>
      <c r="G146" s="15">
        <f>SUM(F142:F146)</f>
        <v>9923.8245818181822</v>
      </c>
    </row>
    <row r="147" spans="1:257" s="2" customFormat="1" ht="15.75" customHeight="1">
      <c r="A147" s="929" t="s">
        <v>10</v>
      </c>
      <c r="B147" s="928"/>
      <c r="C147" s="928"/>
      <c r="D147" s="928"/>
      <c r="E147" s="928"/>
      <c r="F147" s="928"/>
      <c r="G147" s="930"/>
    </row>
    <row r="148" spans="1:257" s="2" customFormat="1" ht="13.8">
      <c r="A148" s="931" t="s">
        <v>2</v>
      </c>
      <c r="B148" s="928"/>
      <c r="C148" s="11" t="s">
        <v>3</v>
      </c>
      <c r="D148" s="11" t="s">
        <v>4</v>
      </c>
      <c r="E148" s="11" t="s">
        <v>6</v>
      </c>
      <c r="F148" s="11" t="s">
        <v>11</v>
      </c>
      <c r="G148" s="946" t="s">
        <v>8</v>
      </c>
    </row>
    <row r="149" spans="1:257" s="2" customFormat="1" ht="13.8">
      <c r="A149" s="976" t="s">
        <v>90</v>
      </c>
      <c r="B149" s="977"/>
      <c r="C149" s="9" t="s">
        <v>3</v>
      </c>
      <c r="D149" s="9">
        <v>0.05</v>
      </c>
      <c r="E149" s="13">
        <f>'INSUMOS '!E178</f>
        <v>34300.858152448258</v>
      </c>
      <c r="F149" s="36">
        <f>D149*E149</f>
        <v>1715.0429076224129</v>
      </c>
      <c r="G149" s="946"/>
    </row>
    <row r="150" spans="1:257" s="2" customFormat="1" ht="13.8">
      <c r="A150" s="976" t="s">
        <v>87</v>
      </c>
      <c r="B150" s="977"/>
      <c r="C150" s="9" t="s">
        <v>37</v>
      </c>
      <c r="D150" s="9">
        <v>1.2</v>
      </c>
      <c r="E150" s="13">
        <f>'INSUMOS '!E59</f>
        <v>13056.241134751772</v>
      </c>
      <c r="F150" s="36">
        <f>D150*E150</f>
        <v>15667.489361702126</v>
      </c>
      <c r="G150" s="946"/>
    </row>
    <row r="151" spans="1:257" s="2" customFormat="1" ht="13.8">
      <c r="A151" s="976" t="s">
        <v>84</v>
      </c>
      <c r="B151" s="977"/>
      <c r="C151" s="9" t="s">
        <v>34</v>
      </c>
      <c r="D151" s="9">
        <v>8</v>
      </c>
      <c r="E151" s="13">
        <f>'INSUMOS '!E12</f>
        <v>5033</v>
      </c>
      <c r="F151" s="36">
        <f>D151*E151</f>
        <v>40264</v>
      </c>
      <c r="G151" s="946"/>
    </row>
    <row r="152" spans="1:257" s="2" customFormat="1" ht="15.75" customHeight="1">
      <c r="A152" s="927" t="s">
        <v>339</v>
      </c>
      <c r="B152" s="928"/>
      <c r="C152" s="12" t="s">
        <v>39</v>
      </c>
      <c r="D152" s="12">
        <v>0.1</v>
      </c>
      <c r="E152" s="13">
        <f>SUBANÁLISIS!G31</f>
        <v>570669.8666666667</v>
      </c>
      <c r="F152" s="36">
        <f>D152*E152</f>
        <v>57066.986666666671</v>
      </c>
      <c r="G152" s="15">
        <f>SUM(F149:F152)</f>
        <v>114713.51893599122</v>
      </c>
    </row>
    <row r="153" spans="1:257" s="2" customFormat="1" ht="15.75" customHeight="1">
      <c r="A153" s="929" t="s">
        <v>15</v>
      </c>
      <c r="B153" s="928"/>
      <c r="C153" s="928"/>
      <c r="D153" s="928"/>
      <c r="E153" s="928"/>
      <c r="F153" s="928"/>
      <c r="G153" s="930"/>
    </row>
    <row r="154" spans="1:257" s="2" customFormat="1" ht="13.8">
      <c r="A154" s="931" t="s">
        <v>2</v>
      </c>
      <c r="B154" s="928"/>
      <c r="C154" s="11" t="s">
        <v>3</v>
      </c>
      <c r="D154" s="11" t="s">
        <v>4</v>
      </c>
      <c r="E154" s="11" t="s">
        <v>6</v>
      </c>
      <c r="F154" s="11" t="s">
        <v>11</v>
      </c>
      <c r="G154" s="946" t="s">
        <v>8</v>
      </c>
    </row>
    <row r="155" spans="1:257" s="2" customFormat="1" ht="15.75" customHeight="1">
      <c r="A155" s="976" t="s">
        <v>17</v>
      </c>
      <c r="B155" s="977"/>
      <c r="C155" s="9" t="s">
        <v>3</v>
      </c>
      <c r="D155" s="54">
        <v>3.5000000000000003E-2</v>
      </c>
      <c r="E155" s="37">
        <f>G152</f>
        <v>114713.51893599122</v>
      </c>
      <c r="F155" s="14">
        <f>E155*D155</f>
        <v>4014.973162759693</v>
      </c>
      <c r="G155" s="946"/>
    </row>
    <row r="156" spans="1:257" s="35" customFormat="1" ht="15.75" customHeight="1">
      <c r="A156" s="943" t="s">
        <v>68</v>
      </c>
      <c r="B156" s="944"/>
      <c r="C156" s="16" t="s">
        <v>3</v>
      </c>
      <c r="D156" s="54">
        <v>3.5000000000000003E-2</v>
      </c>
      <c r="E156" s="17">
        <f>G146</f>
        <v>9923.8245818181822</v>
      </c>
      <c r="F156" s="14">
        <f>E156*D156</f>
        <v>347.3338603636364</v>
      </c>
      <c r="G156" s="930"/>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1:257" s="2" customFormat="1" ht="15.75" customHeight="1">
      <c r="A157" s="976"/>
      <c r="B157" s="928"/>
      <c r="C157" s="16"/>
      <c r="D157" s="12"/>
      <c r="E157" s="38"/>
      <c r="F157" s="38"/>
      <c r="G157" s="15">
        <f>SUM(F155:F157)</f>
        <v>4362.3070231233296</v>
      </c>
    </row>
    <row r="158" spans="1:257" s="2" customFormat="1" ht="19.5" customHeight="1">
      <c r="A158" s="929" t="s">
        <v>19</v>
      </c>
      <c r="B158" s="928"/>
      <c r="C158" s="928"/>
      <c r="D158" s="928"/>
      <c r="E158" s="928"/>
      <c r="F158" s="928"/>
      <c r="G158" s="930"/>
    </row>
    <row r="159" spans="1:257" s="2" customFormat="1" ht="13.8">
      <c r="A159" s="931" t="s">
        <v>2</v>
      </c>
      <c r="B159" s="928"/>
      <c r="C159" s="11" t="s">
        <v>3</v>
      </c>
      <c r="D159" s="11" t="s">
        <v>4</v>
      </c>
      <c r="E159" s="11" t="s">
        <v>6</v>
      </c>
      <c r="F159" s="11" t="s">
        <v>11</v>
      </c>
      <c r="G159" s="18" t="s">
        <v>8</v>
      </c>
    </row>
    <row r="160" spans="1:257" s="2" customFormat="1" ht="15" customHeight="1">
      <c r="A160" s="978" t="str">
        <f>+SALARIOS!A104</f>
        <v>CUADRILLA DD CONCRETOS 1:3</v>
      </c>
      <c r="B160" s="979"/>
      <c r="C160" s="467" t="s">
        <v>1245</v>
      </c>
      <c r="D160" s="9">
        <v>1</v>
      </c>
      <c r="E160" s="37">
        <f>+SALARIOS!C104</f>
        <v>45618</v>
      </c>
      <c r="F160" s="14">
        <f>+D160*E160</f>
        <v>45618</v>
      </c>
      <c r="G160" s="15">
        <f>F160</f>
        <v>45618</v>
      </c>
    </row>
    <row r="161" spans="1:257" s="2" customFormat="1" ht="13.8">
      <c r="A161" s="945" t="s">
        <v>25</v>
      </c>
      <c r="B161" s="928"/>
      <c r="C161" s="928"/>
      <c r="D161" s="928"/>
      <c r="E161" s="928"/>
      <c r="F161" s="928"/>
      <c r="G161" s="930"/>
    </row>
    <row r="162" spans="1:257" s="2" customFormat="1" ht="17.399999999999999">
      <c r="A162" s="950"/>
      <c r="B162" s="928"/>
      <c r="C162" s="928"/>
      <c r="D162" s="928"/>
      <c r="E162" s="928"/>
      <c r="F162" s="928"/>
      <c r="G162" s="20">
        <f>G160+G157+G152+G146</f>
        <v>174617.65054093272</v>
      </c>
    </row>
    <row r="163" spans="1:257" s="35" customFormat="1" ht="20.399999999999999">
      <c r="A163" s="26"/>
      <c r="B163" s="27"/>
      <c r="C163" s="28"/>
      <c r="D163" s="28"/>
      <c r="E163" s="29"/>
      <c r="F163" s="28"/>
      <c r="G163" s="30"/>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1:257" s="35" customFormat="1" ht="14.25" customHeight="1">
      <c r="A164" s="933" t="s">
        <v>1</v>
      </c>
      <c r="B164" s="951"/>
      <c r="C164" s="953" t="s">
        <v>0</v>
      </c>
      <c r="D164" s="954"/>
      <c r="E164" s="954"/>
      <c r="F164" s="954"/>
      <c r="G164" s="955"/>
      <c r="H164" s="2"/>
      <c r="I164" s="2"/>
      <c r="J164" s="77"/>
      <c r="K164" s="77"/>
      <c r="L164" s="77"/>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1:257" s="2" customFormat="1" ht="45.75" customHeight="1">
      <c r="A165" s="952"/>
      <c r="B165" s="951"/>
      <c r="C165" s="954"/>
      <c r="D165" s="954"/>
      <c r="E165" s="954"/>
      <c r="F165" s="954"/>
      <c r="G165" s="955"/>
      <c r="I165" s="350"/>
      <c r="J165" s="175"/>
      <c r="K165" s="175"/>
      <c r="L165" s="175"/>
      <c r="M165" s="1"/>
    </row>
    <row r="166" spans="1:257" s="2" customFormat="1" ht="15.75" customHeight="1">
      <c r="A166" s="952"/>
      <c r="B166" s="951"/>
      <c r="C166" s="956"/>
      <c r="D166" s="957"/>
      <c r="E166" s="957"/>
      <c r="F166" s="957"/>
      <c r="G166" s="958"/>
    </row>
    <row r="167" spans="1:257" s="2" customFormat="1" ht="15.75" customHeight="1">
      <c r="A167" s="952"/>
      <c r="B167" s="951"/>
      <c r="C167" s="959" t="s">
        <v>2</v>
      </c>
      <c r="D167" s="957"/>
      <c r="E167" s="957"/>
      <c r="F167" s="23" t="s">
        <v>3</v>
      </c>
      <c r="G167" s="24" t="s">
        <v>4</v>
      </c>
      <c r="J167" s="77"/>
      <c r="L167" s="77"/>
    </row>
    <row r="168" spans="1:257" s="2" customFormat="1" ht="121.5" customHeight="1">
      <c r="A168" s="942" t="s">
        <v>92</v>
      </c>
      <c r="B168" s="928"/>
      <c r="C168" s="932" t="s">
        <v>1526</v>
      </c>
      <c r="D168" s="928"/>
      <c r="E168" s="928"/>
      <c r="F168" s="9" t="s">
        <v>37</v>
      </c>
      <c r="G168" s="25">
        <v>46.35</v>
      </c>
    </row>
    <row r="169" spans="1:257" s="2" customFormat="1" ht="13.8">
      <c r="A169" s="929" t="s">
        <v>5</v>
      </c>
      <c r="B169" s="928"/>
      <c r="C169" s="928"/>
      <c r="D169" s="928"/>
      <c r="E169" s="928"/>
      <c r="F169" s="928"/>
      <c r="G169" s="930"/>
      <c r="J169" s="77"/>
      <c r="L169" s="77"/>
    </row>
    <row r="170" spans="1:257" s="2" customFormat="1" ht="13.8">
      <c r="A170" s="931" t="s">
        <v>2</v>
      </c>
      <c r="B170" s="928"/>
      <c r="C170" s="11" t="s">
        <v>3</v>
      </c>
      <c r="D170" s="11" t="s">
        <v>4</v>
      </c>
      <c r="E170" s="11" t="s">
        <v>6</v>
      </c>
      <c r="F170" s="11" t="s">
        <v>7</v>
      </c>
      <c r="G170" s="946" t="s">
        <v>8</v>
      </c>
    </row>
    <row r="171" spans="1:257" s="2" customFormat="1" ht="13.8">
      <c r="A171" s="927" t="s">
        <v>9</v>
      </c>
      <c r="B171" s="928"/>
      <c r="C171" s="12" t="s">
        <v>3</v>
      </c>
      <c r="D171" s="9">
        <v>0.05</v>
      </c>
      <c r="E171" s="13">
        <f>G190</f>
        <v>64034</v>
      </c>
      <c r="F171" s="14">
        <f>D171*E171</f>
        <v>3201.7000000000003</v>
      </c>
      <c r="G171" s="930"/>
      <c r="J171" s="77"/>
      <c r="L171" s="77"/>
    </row>
    <row r="172" spans="1:257" s="2" customFormat="1" ht="13.8">
      <c r="A172" s="948" t="s">
        <v>1519</v>
      </c>
      <c r="B172" s="949"/>
      <c r="C172" s="12" t="s">
        <v>3</v>
      </c>
      <c r="D172" s="9">
        <v>1E-3</v>
      </c>
      <c r="E172" s="13">
        <f>'MAQUINARIA Y EQUIPOS'!F39</f>
        <v>199900</v>
      </c>
      <c r="F172" s="14">
        <f>D172*E172</f>
        <v>199.9</v>
      </c>
      <c r="G172" s="39"/>
    </row>
    <row r="173" spans="1:257" s="2" customFormat="1" ht="13.8">
      <c r="A173" s="927" t="s">
        <v>93</v>
      </c>
      <c r="B173" s="932"/>
      <c r="C173" s="12" t="s">
        <v>60</v>
      </c>
      <c r="D173" s="9">
        <v>0.08</v>
      </c>
      <c r="E173" s="13">
        <f>'MAQUINARIA Y EQUIPOS'!F19</f>
        <v>45763.829999999994</v>
      </c>
      <c r="F173" s="14">
        <f>D173*E173</f>
        <v>3661.1063999999997</v>
      </c>
      <c r="G173" s="39"/>
      <c r="J173" s="77"/>
      <c r="L173" s="77"/>
    </row>
    <row r="174" spans="1:257" s="2" customFormat="1" ht="15.75" customHeight="1">
      <c r="A174" s="927" t="s">
        <v>59</v>
      </c>
      <c r="B174" s="932"/>
      <c r="C174" s="9" t="s">
        <v>58</v>
      </c>
      <c r="D174" s="9">
        <v>0.03</v>
      </c>
      <c r="E174" s="13">
        <f>'MAQUINARIA Y EQUIPOS'!F12</f>
        <v>48790</v>
      </c>
      <c r="F174" s="14">
        <f>D174*E174</f>
        <v>1463.7</v>
      </c>
      <c r="G174" s="15">
        <f>SUM(F170:F174)</f>
        <v>8526.4063999999998</v>
      </c>
    </row>
    <row r="175" spans="1:257" s="2" customFormat="1" ht="15.75" customHeight="1">
      <c r="A175" s="929" t="s">
        <v>10</v>
      </c>
      <c r="B175" s="928"/>
      <c r="C175" s="928"/>
      <c r="D175" s="928"/>
      <c r="E175" s="928"/>
      <c r="F175" s="928"/>
      <c r="G175" s="930"/>
    </row>
    <row r="176" spans="1:257" s="2" customFormat="1" ht="15.75" customHeight="1">
      <c r="A176" s="931" t="s">
        <v>2</v>
      </c>
      <c r="B176" s="928"/>
      <c r="C176" s="11" t="s">
        <v>3</v>
      </c>
      <c r="D176" s="11" t="s">
        <v>4</v>
      </c>
      <c r="E176" s="11" t="s">
        <v>6</v>
      </c>
      <c r="F176" s="11" t="s">
        <v>11</v>
      </c>
      <c r="G176" s="946" t="s">
        <v>8</v>
      </c>
    </row>
    <row r="177" spans="1:7" s="2" customFormat="1" ht="15.75" customHeight="1">
      <c r="A177" s="927" t="s">
        <v>94</v>
      </c>
      <c r="B177" s="928"/>
      <c r="C177" s="12" t="s">
        <v>34</v>
      </c>
      <c r="D177" s="12">
        <v>0.02</v>
      </c>
      <c r="E177" s="13">
        <f>'INSUMOS '!E68</f>
        <v>22225</v>
      </c>
      <c r="F177" s="40">
        <f t="shared" ref="F177:F182" si="6">+D177*E177</f>
        <v>444.5</v>
      </c>
      <c r="G177" s="946"/>
    </row>
    <row r="178" spans="1:7" s="2" customFormat="1" ht="15.75" customHeight="1">
      <c r="A178" s="927" t="s">
        <v>95</v>
      </c>
      <c r="B178" s="932"/>
      <c r="C178" s="12" t="s">
        <v>96</v>
      </c>
      <c r="D178" s="12">
        <v>6.09</v>
      </c>
      <c r="E178" s="13">
        <f>'INSUMOS '!E12</f>
        <v>5033</v>
      </c>
      <c r="F178" s="40">
        <f t="shared" si="6"/>
        <v>30650.969999999998</v>
      </c>
      <c r="G178" s="946"/>
    </row>
    <row r="179" spans="1:7" s="2" customFormat="1" ht="15.75" customHeight="1">
      <c r="A179" s="927" t="s">
        <v>306</v>
      </c>
      <c r="B179" s="928"/>
      <c r="C179" s="12" t="s">
        <v>39</v>
      </c>
      <c r="D179" s="12">
        <f>1*1*0.18</f>
        <v>0.18</v>
      </c>
      <c r="E179" s="13">
        <f>SUBANÁLISIS!G31</f>
        <v>570669.8666666667</v>
      </c>
      <c r="F179" s="40">
        <f t="shared" si="6"/>
        <v>102720.576</v>
      </c>
      <c r="G179" s="946"/>
    </row>
    <row r="180" spans="1:7" s="2" customFormat="1" ht="13.8">
      <c r="A180" s="927" t="s">
        <v>97</v>
      </c>
      <c r="B180" s="928"/>
      <c r="C180" s="12" t="s">
        <v>37</v>
      </c>
      <c r="D180" s="12">
        <v>1.2</v>
      </c>
      <c r="E180" s="13">
        <f>'INSUMOS '!E17</f>
        <v>12212.765957446807</v>
      </c>
      <c r="F180" s="40">
        <f t="shared" si="6"/>
        <v>14655.319148936169</v>
      </c>
      <c r="G180" s="946"/>
    </row>
    <row r="181" spans="1:7" s="2" customFormat="1" ht="13.8">
      <c r="A181" s="948" t="s">
        <v>1518</v>
      </c>
      <c r="B181" s="949"/>
      <c r="C181" s="12" t="s">
        <v>34</v>
      </c>
      <c r="D181" s="12">
        <v>0.2</v>
      </c>
      <c r="E181" s="13">
        <f>'INSUMOS '!E321</f>
        <v>11445</v>
      </c>
      <c r="F181" s="40">
        <f t="shared" si="6"/>
        <v>2289</v>
      </c>
      <c r="G181" s="946"/>
    </row>
    <row r="182" spans="1:7" s="2" customFormat="1" ht="13.8">
      <c r="A182" s="948" t="s">
        <v>1520</v>
      </c>
      <c r="B182" s="949"/>
      <c r="C182" s="12" t="s">
        <v>100</v>
      </c>
      <c r="D182" s="12">
        <v>3</v>
      </c>
      <c r="E182" s="13">
        <f>'INSUMOS '!E322</f>
        <v>1353</v>
      </c>
      <c r="F182" s="40">
        <f t="shared" si="6"/>
        <v>4059</v>
      </c>
      <c r="G182" s="946"/>
    </row>
    <row r="183" spans="1:7" s="2" customFormat="1" ht="27.75" customHeight="1">
      <c r="A183" s="927" t="s">
        <v>98</v>
      </c>
      <c r="B183" s="928"/>
      <c r="C183" s="12" t="s">
        <v>37</v>
      </c>
      <c r="D183" s="33">
        <v>1.6</v>
      </c>
      <c r="E183" s="13">
        <f>'INSUMOS '!E129</f>
        <v>52560</v>
      </c>
      <c r="F183" s="14">
        <f>E183*D183</f>
        <v>84096</v>
      </c>
      <c r="G183" s="15">
        <f>SUM(F176:F183)</f>
        <v>238915.36514893617</v>
      </c>
    </row>
    <row r="184" spans="1:7" s="2" customFormat="1" ht="15.75" customHeight="1">
      <c r="A184" s="929" t="s">
        <v>15</v>
      </c>
      <c r="B184" s="928"/>
      <c r="C184" s="928"/>
      <c r="D184" s="928"/>
      <c r="E184" s="928"/>
      <c r="F184" s="928"/>
      <c r="G184" s="930"/>
    </row>
    <row r="185" spans="1:7" s="2" customFormat="1" ht="13.8">
      <c r="A185" s="931" t="s">
        <v>2</v>
      </c>
      <c r="B185" s="928"/>
      <c r="C185" s="11" t="s">
        <v>3</v>
      </c>
      <c r="D185" s="11" t="s">
        <v>4</v>
      </c>
      <c r="E185" s="11" t="s">
        <v>6</v>
      </c>
      <c r="F185" s="11" t="s">
        <v>11</v>
      </c>
      <c r="G185" s="946" t="s">
        <v>8</v>
      </c>
    </row>
    <row r="186" spans="1:7" s="2" customFormat="1" ht="15.75" customHeight="1">
      <c r="A186" s="943" t="s">
        <v>68</v>
      </c>
      <c r="B186" s="944"/>
      <c r="C186" s="16" t="s">
        <v>3</v>
      </c>
      <c r="D186" s="54">
        <v>3.5000000000000003E-2</v>
      </c>
      <c r="E186" s="17">
        <f>G174</f>
        <v>8526.4063999999998</v>
      </c>
      <c r="F186" s="14">
        <f>E186*D186</f>
        <v>298.42422400000004</v>
      </c>
      <c r="G186" s="930"/>
    </row>
    <row r="187" spans="1:7" s="2" customFormat="1" ht="15.75" customHeight="1">
      <c r="A187" s="976" t="s">
        <v>17</v>
      </c>
      <c r="B187" s="928"/>
      <c r="C187" s="16" t="s">
        <v>3</v>
      </c>
      <c r="D187" s="54">
        <v>3.5000000000000003E-2</v>
      </c>
      <c r="E187" s="17">
        <f>G183</f>
        <v>238915.36514893617</v>
      </c>
      <c r="F187" s="14">
        <f>E187*D187</f>
        <v>8362.0377802127659</v>
      </c>
      <c r="G187" s="15">
        <f>SUM(F186:F187)</f>
        <v>8660.4620042127663</v>
      </c>
    </row>
    <row r="188" spans="1:7" s="2" customFormat="1" ht="15.75" customHeight="1">
      <c r="A188" s="929" t="s">
        <v>19</v>
      </c>
      <c r="B188" s="928"/>
      <c r="C188" s="928"/>
      <c r="D188" s="928"/>
      <c r="E188" s="928"/>
      <c r="F188" s="928"/>
      <c r="G188" s="930"/>
    </row>
    <row r="189" spans="1:7" s="2" customFormat="1" ht="13.8">
      <c r="A189" s="931" t="s">
        <v>2</v>
      </c>
      <c r="B189" s="928"/>
      <c r="C189" s="11" t="s">
        <v>3</v>
      </c>
      <c r="D189" s="11" t="s">
        <v>4</v>
      </c>
      <c r="E189" s="11" t="s">
        <v>6</v>
      </c>
      <c r="F189" s="11" t="s">
        <v>11</v>
      </c>
      <c r="G189" s="18" t="s">
        <v>8</v>
      </c>
    </row>
    <row r="190" spans="1:7" s="2" customFormat="1" ht="15" customHeight="1">
      <c r="A190" s="978" t="s">
        <v>1293</v>
      </c>
      <c r="B190" s="979"/>
      <c r="C190" s="16">
        <v>0</v>
      </c>
      <c r="D190" s="12">
        <v>1</v>
      </c>
      <c r="E190" s="17">
        <f>+SALARIOS!C106</f>
        <v>64034</v>
      </c>
      <c r="F190" s="14">
        <f>+D190*E190</f>
        <v>64034</v>
      </c>
      <c r="G190" s="15">
        <f>F190</f>
        <v>64034</v>
      </c>
    </row>
    <row r="191" spans="1:7" s="2" customFormat="1" ht="15.75" customHeight="1">
      <c r="A191" s="945" t="s">
        <v>25</v>
      </c>
      <c r="B191" s="928"/>
      <c r="C191" s="928"/>
      <c r="D191" s="928"/>
      <c r="E191" s="928"/>
      <c r="F191" s="928"/>
      <c r="G191" s="930"/>
    </row>
    <row r="192" spans="1:7" s="2" customFormat="1" ht="17.399999999999999">
      <c r="A192" s="950"/>
      <c r="B192" s="928"/>
      <c r="C192" s="928"/>
      <c r="D192" s="928"/>
      <c r="E192" s="928"/>
      <c r="F192" s="928"/>
      <c r="G192" s="20">
        <f>G190+G187+G183+G174</f>
        <v>320136.23355314892</v>
      </c>
    </row>
    <row r="193" spans="1:257" s="2" customFormat="1" ht="20.399999999999999">
      <c r="A193" s="26"/>
      <c r="B193" s="27"/>
      <c r="C193" s="28"/>
      <c r="D193" s="28"/>
      <c r="E193" s="29"/>
      <c r="F193" s="28"/>
      <c r="G193" s="30"/>
    </row>
    <row r="194" spans="1:257" s="2" customFormat="1" ht="41.25" customHeight="1">
      <c r="A194" s="933" t="s">
        <v>1</v>
      </c>
      <c r="B194" s="951"/>
      <c r="C194" s="953" t="s">
        <v>0</v>
      </c>
      <c r="D194" s="954"/>
      <c r="E194" s="954"/>
      <c r="F194" s="954"/>
      <c r="G194" s="955"/>
    </row>
    <row r="195" spans="1:257" s="2" customFormat="1" ht="13.8">
      <c r="A195" s="952"/>
      <c r="B195" s="951"/>
      <c r="C195" s="954"/>
      <c r="D195" s="954"/>
      <c r="E195" s="954"/>
      <c r="F195" s="954"/>
      <c r="G195" s="955"/>
    </row>
    <row r="196" spans="1:257" s="2" customFormat="1" ht="17.399999999999999">
      <c r="A196" s="952"/>
      <c r="B196" s="951"/>
      <c r="C196" s="956"/>
      <c r="D196" s="957"/>
      <c r="E196" s="957"/>
      <c r="F196" s="957"/>
      <c r="G196" s="958"/>
    </row>
    <row r="197" spans="1:257" s="2" customFormat="1" ht="13.8">
      <c r="A197" s="952"/>
      <c r="B197" s="951"/>
      <c r="C197" s="959" t="s">
        <v>2</v>
      </c>
      <c r="D197" s="957"/>
      <c r="E197" s="957"/>
      <c r="F197" s="23" t="s">
        <v>3</v>
      </c>
      <c r="G197" s="24" t="s">
        <v>4</v>
      </c>
    </row>
    <row r="198" spans="1:257" s="2" customFormat="1" ht="126.75" customHeight="1">
      <c r="A198" s="942" t="s">
        <v>99</v>
      </c>
      <c r="B198" s="928"/>
      <c r="C198" s="932" t="s">
        <v>1527</v>
      </c>
      <c r="D198" s="928"/>
      <c r="E198" s="928"/>
      <c r="F198" s="9" t="s">
        <v>100</v>
      </c>
      <c r="G198" s="25">
        <v>27.503999999999998</v>
      </c>
    </row>
    <row r="199" spans="1:257" s="2" customFormat="1" ht="15.75" customHeight="1">
      <c r="A199" s="929" t="s">
        <v>5</v>
      </c>
      <c r="B199" s="928"/>
      <c r="C199" s="928"/>
      <c r="D199" s="928"/>
      <c r="E199" s="928"/>
      <c r="F199" s="928"/>
      <c r="G199" s="930"/>
    </row>
    <row r="200" spans="1:257" s="35" customFormat="1" ht="15.75" customHeight="1">
      <c r="A200" s="931" t="s">
        <v>2</v>
      </c>
      <c r="B200" s="928"/>
      <c r="C200" s="11" t="s">
        <v>3</v>
      </c>
      <c r="D200" s="11" t="s">
        <v>4</v>
      </c>
      <c r="E200" s="11" t="s">
        <v>6</v>
      </c>
      <c r="F200" s="11" t="s">
        <v>7</v>
      </c>
      <c r="G200" s="946" t="s">
        <v>8</v>
      </c>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1:257" s="2" customFormat="1" ht="15.75" customHeight="1">
      <c r="A201" s="927" t="s">
        <v>9</v>
      </c>
      <c r="B201" s="928"/>
      <c r="C201" s="12" t="s">
        <v>3</v>
      </c>
      <c r="D201" s="9">
        <v>0.05</v>
      </c>
      <c r="E201" s="13">
        <f>G222</f>
        <v>54826</v>
      </c>
      <c r="F201" s="14">
        <f>D201*E201</f>
        <v>2741.3</v>
      </c>
      <c r="G201" s="930"/>
    </row>
    <row r="202" spans="1:257" s="2" customFormat="1" ht="13.8">
      <c r="A202" s="948" t="s">
        <v>1519</v>
      </c>
      <c r="B202" s="949"/>
      <c r="C202" s="12" t="s">
        <v>3</v>
      </c>
      <c r="D202" s="9">
        <v>1E-3</v>
      </c>
      <c r="E202" s="13">
        <f>'MAQUINARIA Y EQUIPOS'!F39</f>
        <v>199900</v>
      </c>
      <c r="F202" s="14">
        <f>D202*E202</f>
        <v>199.9</v>
      </c>
      <c r="G202" s="39"/>
    </row>
    <row r="203" spans="1:257" s="2" customFormat="1" ht="15.75" customHeight="1">
      <c r="A203" s="927" t="s">
        <v>101</v>
      </c>
      <c r="B203" s="932"/>
      <c r="C203" s="12" t="s">
        <v>60</v>
      </c>
      <c r="D203" s="9">
        <v>0.01</v>
      </c>
      <c r="E203" s="13">
        <f>'MAQUINARIA Y EQUIPOS'!F19</f>
        <v>45763.829999999994</v>
      </c>
      <c r="F203" s="14">
        <f>D203*E203</f>
        <v>457.63829999999996</v>
      </c>
      <c r="G203" s="39"/>
    </row>
    <row r="204" spans="1:257" s="2" customFormat="1" ht="15.75" customHeight="1">
      <c r="A204" s="927"/>
      <c r="B204" s="928"/>
      <c r="C204" s="9"/>
      <c r="D204" s="9"/>
      <c r="E204" s="13"/>
      <c r="F204" s="14"/>
      <c r="G204" s="15">
        <f>SUM(F200:F204)</f>
        <v>3398.8383000000003</v>
      </c>
    </row>
    <row r="205" spans="1:257" s="2" customFormat="1" ht="13.8">
      <c r="A205" s="929" t="s">
        <v>10</v>
      </c>
      <c r="B205" s="928"/>
      <c r="C205" s="928"/>
      <c r="D205" s="928"/>
      <c r="E205" s="928"/>
      <c r="F205" s="928"/>
      <c r="G205" s="930"/>
    </row>
    <row r="206" spans="1:257" s="2" customFormat="1" ht="13.8">
      <c r="A206" s="931" t="s">
        <v>2</v>
      </c>
      <c r="B206" s="928"/>
      <c r="C206" s="11" t="s">
        <v>3</v>
      </c>
      <c r="D206" s="11" t="s">
        <v>4</v>
      </c>
      <c r="E206" s="11" t="s">
        <v>6</v>
      </c>
      <c r="F206" s="11" t="s">
        <v>11</v>
      </c>
      <c r="G206" s="946" t="s">
        <v>8</v>
      </c>
    </row>
    <row r="207" spans="1:257" s="2" customFormat="1" ht="13.8">
      <c r="A207" s="927" t="s">
        <v>1522</v>
      </c>
      <c r="B207" s="928"/>
      <c r="C207" s="12" t="s">
        <v>39</v>
      </c>
      <c r="D207" s="12">
        <v>1.4999999999999999E-2</v>
      </c>
      <c r="E207" s="13">
        <f>SUBANÁLISIS!G31</f>
        <v>570669.8666666667</v>
      </c>
      <c r="F207" s="14">
        <f t="shared" ref="F207:F215" si="7">D207*E207</f>
        <v>8560.0480000000007</v>
      </c>
      <c r="G207" s="946"/>
    </row>
    <row r="208" spans="1:257" s="2" customFormat="1" ht="13.8">
      <c r="A208" s="927" t="s">
        <v>94</v>
      </c>
      <c r="B208" s="928"/>
      <c r="C208" s="12" t="s">
        <v>34</v>
      </c>
      <c r="D208" s="12">
        <v>0.02</v>
      </c>
      <c r="E208" s="13">
        <f>'INSUMOS '!E68</f>
        <v>22225</v>
      </c>
      <c r="F208" s="14">
        <f t="shared" si="7"/>
        <v>444.5</v>
      </c>
      <c r="G208" s="946"/>
    </row>
    <row r="209" spans="1:7" s="2" customFormat="1" ht="13.8">
      <c r="A209" s="927" t="s">
        <v>102</v>
      </c>
      <c r="B209" s="932"/>
      <c r="C209" s="12" t="s">
        <v>37</v>
      </c>
      <c r="D209" s="12">
        <v>0.161</v>
      </c>
      <c r="E209" s="13">
        <f>'INSUMOS '!E129</f>
        <v>52560</v>
      </c>
      <c r="F209" s="14">
        <f t="shared" si="7"/>
        <v>8462.16</v>
      </c>
      <c r="G209" s="946"/>
    </row>
    <row r="210" spans="1:7" s="2" customFormat="1" ht="13.8">
      <c r="A210" s="927" t="s">
        <v>87</v>
      </c>
      <c r="B210" s="932"/>
      <c r="C210" s="12" t="s">
        <v>37</v>
      </c>
      <c r="D210" s="12">
        <v>0.9</v>
      </c>
      <c r="E210" s="13">
        <f>'INSUMOS '!E59</f>
        <v>13056.241134751772</v>
      </c>
      <c r="F210" s="14">
        <f t="shared" si="7"/>
        <v>11750.617021276596</v>
      </c>
      <c r="G210" s="946"/>
    </row>
    <row r="211" spans="1:7" s="2" customFormat="1" ht="13.8">
      <c r="A211" s="948" t="s">
        <v>1520</v>
      </c>
      <c r="B211" s="949"/>
      <c r="C211" s="12" t="s">
        <v>100</v>
      </c>
      <c r="D211" s="12">
        <v>2</v>
      </c>
      <c r="E211" s="13">
        <f>'INSUMOS '!E322</f>
        <v>1353</v>
      </c>
      <c r="F211" s="14">
        <f t="shared" si="7"/>
        <v>2706</v>
      </c>
      <c r="G211" s="946"/>
    </row>
    <row r="212" spans="1:7" s="2" customFormat="1" ht="13.8">
      <c r="A212" s="948" t="s">
        <v>1518</v>
      </c>
      <c r="B212" s="949"/>
      <c r="C212" s="12" t="s">
        <v>34</v>
      </c>
      <c r="D212" s="12">
        <v>0.2</v>
      </c>
      <c r="E212" s="13">
        <f>'INSUMOS '!E321</f>
        <v>11445</v>
      </c>
      <c r="F212" s="14">
        <f t="shared" si="7"/>
        <v>2289</v>
      </c>
      <c r="G212" s="946"/>
    </row>
    <row r="213" spans="1:7" s="2" customFormat="1" ht="13.8">
      <c r="A213" s="927" t="s">
        <v>84</v>
      </c>
      <c r="B213" s="932"/>
      <c r="C213" s="12" t="s">
        <v>34</v>
      </c>
      <c r="D213" s="12">
        <v>4</v>
      </c>
      <c r="E213" s="13">
        <f>'INSUMOS '!E12</f>
        <v>5033</v>
      </c>
      <c r="F213" s="14">
        <f t="shared" si="7"/>
        <v>20132</v>
      </c>
      <c r="G213" s="946"/>
    </row>
    <row r="214" spans="1:7" s="2" customFormat="1" ht="15.75" customHeight="1">
      <c r="A214" s="947" t="s">
        <v>103</v>
      </c>
      <c r="B214" s="944"/>
      <c r="C214" s="12" t="s">
        <v>45</v>
      </c>
      <c r="D214" s="12">
        <v>0.17</v>
      </c>
      <c r="E214" s="13">
        <f>'INSUMOS '!E137</f>
        <v>33900</v>
      </c>
      <c r="F214" s="14">
        <f t="shared" si="7"/>
        <v>5763</v>
      </c>
      <c r="G214" s="946"/>
    </row>
    <row r="215" spans="1:7" s="2" customFormat="1" ht="15.75" customHeight="1">
      <c r="A215" s="927" t="s">
        <v>53</v>
      </c>
      <c r="B215" s="928"/>
      <c r="C215" s="12" t="s">
        <v>42</v>
      </c>
      <c r="D215" s="12">
        <v>180</v>
      </c>
      <c r="E215" s="13">
        <f>'INSUMOS '!E65</f>
        <v>14</v>
      </c>
      <c r="F215" s="14">
        <f t="shared" si="7"/>
        <v>2520</v>
      </c>
      <c r="G215" s="15">
        <f>SUM(F206:F215)</f>
        <v>62627.325021276592</v>
      </c>
    </row>
    <row r="216" spans="1:7" s="2" customFormat="1" ht="13.8">
      <c r="A216" s="929" t="s">
        <v>15</v>
      </c>
      <c r="B216" s="928"/>
      <c r="C216" s="928"/>
      <c r="D216" s="928"/>
      <c r="E216" s="928"/>
      <c r="F216" s="928"/>
      <c r="G216" s="930"/>
    </row>
    <row r="217" spans="1:7" s="2" customFormat="1" ht="13.8">
      <c r="A217" s="931" t="s">
        <v>2</v>
      </c>
      <c r="B217" s="928"/>
      <c r="C217" s="11" t="s">
        <v>3</v>
      </c>
      <c r="D217" s="11" t="s">
        <v>4</v>
      </c>
      <c r="E217" s="11" t="s">
        <v>6</v>
      </c>
      <c r="F217" s="11" t="s">
        <v>11</v>
      </c>
      <c r="G217" s="946" t="s">
        <v>8</v>
      </c>
    </row>
    <row r="218" spans="1:7" s="2" customFormat="1" ht="15.75" customHeight="1">
      <c r="A218" s="976" t="s">
        <v>2756</v>
      </c>
      <c r="B218" s="928"/>
      <c r="C218" s="16" t="s">
        <v>3</v>
      </c>
      <c r="D218" s="54">
        <v>3.5000000000000003E-2</v>
      </c>
      <c r="E218" s="13">
        <f>G204</f>
        <v>3398.8383000000003</v>
      </c>
      <c r="F218" s="14">
        <f>+D218*E218</f>
        <v>118.95934050000002</v>
      </c>
      <c r="G218" s="946"/>
    </row>
    <row r="219" spans="1:7" s="2" customFormat="1" ht="15.75" customHeight="1">
      <c r="A219" s="976" t="s">
        <v>17</v>
      </c>
      <c r="B219" s="928"/>
      <c r="C219" s="16" t="s">
        <v>3</v>
      </c>
      <c r="D219" s="54">
        <v>3.5000000000000003E-2</v>
      </c>
      <c r="E219" s="13">
        <f>G215</f>
        <v>62627.325021276592</v>
      </c>
      <c r="F219" s="14">
        <f>+D219*E219</f>
        <v>2191.9563757446808</v>
      </c>
      <c r="G219" s="15">
        <f>SUM(F218:F219)</f>
        <v>2310.9157162446809</v>
      </c>
    </row>
    <row r="220" spans="1:7" s="2" customFormat="1" ht="15.75" customHeight="1">
      <c r="A220" s="929" t="s">
        <v>19</v>
      </c>
      <c r="B220" s="928"/>
      <c r="C220" s="928"/>
      <c r="D220" s="928"/>
      <c r="E220" s="928"/>
      <c r="F220" s="928"/>
      <c r="G220" s="930"/>
    </row>
    <row r="221" spans="1:7" s="2" customFormat="1" ht="13.8">
      <c r="A221" s="974" t="s">
        <v>2</v>
      </c>
      <c r="B221" s="975"/>
      <c r="C221" s="11" t="s">
        <v>3</v>
      </c>
      <c r="D221" s="11" t="s">
        <v>4</v>
      </c>
      <c r="E221" s="11" t="s">
        <v>6</v>
      </c>
      <c r="F221" s="11" t="s">
        <v>11</v>
      </c>
      <c r="G221" s="18" t="s">
        <v>8</v>
      </c>
    </row>
    <row r="222" spans="1:7" s="2" customFormat="1" ht="15" customHeight="1">
      <c r="A222" s="978" t="str">
        <f>+SALARIOS!A105</f>
        <v>CUADRILLA DD CONCRETOS 1:4</v>
      </c>
      <c r="B222" s="979"/>
      <c r="C222" s="12" t="s">
        <v>1245</v>
      </c>
      <c r="D222" s="12">
        <v>1</v>
      </c>
      <c r="E222" s="13">
        <f>+SALARIOS!C105</f>
        <v>54826</v>
      </c>
      <c r="F222" s="14">
        <f>+D222*E222</f>
        <v>54826</v>
      </c>
      <c r="G222" s="15">
        <f>F222</f>
        <v>54826</v>
      </c>
    </row>
    <row r="223" spans="1:7" s="2" customFormat="1" ht="15.75" customHeight="1">
      <c r="A223" s="945" t="s">
        <v>25</v>
      </c>
      <c r="B223" s="928"/>
      <c r="C223" s="928"/>
      <c r="D223" s="928"/>
      <c r="E223" s="928"/>
      <c r="F223" s="928"/>
      <c r="G223" s="930"/>
    </row>
    <row r="224" spans="1:7" s="2" customFormat="1" ht="15.75" customHeight="1">
      <c r="A224" s="950"/>
      <c r="B224" s="928"/>
      <c r="C224" s="928"/>
      <c r="D224" s="928"/>
      <c r="E224" s="928"/>
      <c r="F224" s="928"/>
      <c r="G224" s="20">
        <f>G222+G219+G215+G204</f>
        <v>123163.07903752127</v>
      </c>
    </row>
    <row r="225" spans="1:257" s="2" customFormat="1" ht="15.75" customHeight="1">
      <c r="A225" s="26"/>
      <c r="B225" s="27"/>
      <c r="C225" s="28"/>
      <c r="D225" s="28"/>
      <c r="E225" s="29"/>
      <c r="F225" s="28"/>
      <c r="G225" s="30"/>
    </row>
    <row r="226" spans="1:257" s="2" customFormat="1" ht="14.25" customHeight="1">
      <c r="A226" s="933" t="s">
        <v>1</v>
      </c>
      <c r="B226" s="951"/>
      <c r="C226" s="953" t="s">
        <v>0</v>
      </c>
      <c r="D226" s="954"/>
      <c r="E226" s="954"/>
      <c r="F226" s="954"/>
      <c r="G226" s="955"/>
    </row>
    <row r="227" spans="1:257" s="2" customFormat="1" ht="43.5" customHeight="1">
      <c r="A227" s="952"/>
      <c r="B227" s="951"/>
      <c r="C227" s="954"/>
      <c r="D227" s="954"/>
      <c r="E227" s="954"/>
      <c r="F227" s="954"/>
      <c r="G227" s="955"/>
    </row>
    <row r="228" spans="1:257" s="2" customFormat="1" ht="18" customHeight="1">
      <c r="A228" s="952"/>
      <c r="B228" s="951"/>
      <c r="C228" s="956"/>
      <c r="D228" s="957"/>
      <c r="E228" s="957"/>
      <c r="F228" s="957"/>
      <c r="G228" s="958"/>
    </row>
    <row r="229" spans="1:257" s="2" customFormat="1" ht="13.8">
      <c r="A229" s="952"/>
      <c r="B229" s="951"/>
      <c r="C229" s="959" t="s">
        <v>2</v>
      </c>
      <c r="D229" s="957"/>
      <c r="E229" s="957"/>
      <c r="F229" s="23" t="s">
        <v>3</v>
      </c>
      <c r="G229" s="24" t="s">
        <v>4</v>
      </c>
    </row>
    <row r="230" spans="1:257" s="2" customFormat="1" ht="110.25" customHeight="1">
      <c r="A230" s="942" t="s">
        <v>105</v>
      </c>
      <c r="B230" s="928"/>
      <c r="C230" s="932" t="s">
        <v>1528</v>
      </c>
      <c r="D230" s="928"/>
      <c r="E230" s="928"/>
      <c r="F230" s="9" t="s">
        <v>100</v>
      </c>
      <c r="G230" s="25">
        <v>80.739599999999996</v>
      </c>
    </row>
    <row r="231" spans="1:257" s="2" customFormat="1" ht="13.8">
      <c r="A231" s="929" t="s">
        <v>5</v>
      </c>
      <c r="B231" s="928"/>
      <c r="C231" s="928"/>
      <c r="D231" s="928"/>
      <c r="E231" s="928"/>
      <c r="F231" s="928"/>
      <c r="G231" s="930"/>
    </row>
    <row r="232" spans="1:257" s="2" customFormat="1" ht="15.75" customHeight="1">
      <c r="A232" s="931" t="s">
        <v>2</v>
      </c>
      <c r="B232" s="928"/>
      <c r="C232" s="11" t="s">
        <v>3</v>
      </c>
      <c r="D232" s="11" t="s">
        <v>4</v>
      </c>
      <c r="E232" s="11" t="s">
        <v>6</v>
      </c>
      <c r="F232" s="11" t="s">
        <v>7</v>
      </c>
      <c r="G232" s="967" t="s">
        <v>8</v>
      </c>
    </row>
    <row r="233" spans="1:257" s="2" customFormat="1" ht="15.75" customHeight="1">
      <c r="A233" s="927" t="s">
        <v>9</v>
      </c>
      <c r="B233" s="928"/>
      <c r="C233" s="12" t="s">
        <v>3</v>
      </c>
      <c r="D233" s="9">
        <v>0.05</v>
      </c>
      <c r="E233" s="13">
        <f>G251</f>
        <v>54826</v>
      </c>
      <c r="F233" s="14">
        <f>D233*E233</f>
        <v>2741.3</v>
      </c>
      <c r="G233" s="968"/>
    </row>
    <row r="234" spans="1:257" s="2" customFormat="1" ht="15.75" customHeight="1">
      <c r="A234" s="948" t="s">
        <v>1519</v>
      </c>
      <c r="B234" s="949"/>
      <c r="C234" s="12" t="s">
        <v>3</v>
      </c>
      <c r="D234" s="9">
        <v>1E-3</v>
      </c>
      <c r="E234" s="13">
        <f>'MAQUINARIA Y EQUIPOS'!F39</f>
        <v>199900</v>
      </c>
      <c r="F234" s="14">
        <f>D234*E234</f>
        <v>199.9</v>
      </c>
      <c r="G234" s="968"/>
    </row>
    <row r="235" spans="1:257" s="2" customFormat="1" ht="15.75" customHeight="1">
      <c r="A235" s="927" t="s">
        <v>101</v>
      </c>
      <c r="B235" s="932"/>
      <c r="C235" s="12" t="s">
        <v>60</v>
      </c>
      <c r="D235" s="9">
        <v>0.01</v>
      </c>
      <c r="E235" s="13">
        <f>'MAQUINARIA Y EQUIPOS'!F19</f>
        <v>45763.829999999994</v>
      </c>
      <c r="F235" s="14">
        <f>D235*E235</f>
        <v>457.63829999999996</v>
      </c>
      <c r="G235" s="969"/>
    </row>
    <row r="236" spans="1:257" s="2" customFormat="1" ht="15.75" customHeight="1">
      <c r="A236" s="927"/>
      <c r="B236" s="928"/>
      <c r="C236" s="9"/>
      <c r="D236" s="9"/>
      <c r="E236" s="13"/>
      <c r="F236" s="14"/>
      <c r="G236" s="15">
        <f>SUM(F232:F236)</f>
        <v>3398.8383000000003</v>
      </c>
    </row>
    <row r="237" spans="1:257" s="2" customFormat="1" ht="15.75" customHeight="1">
      <c r="A237" s="929" t="s">
        <v>10</v>
      </c>
      <c r="B237" s="928"/>
      <c r="C237" s="928"/>
      <c r="D237" s="928"/>
      <c r="E237" s="928"/>
      <c r="F237" s="928"/>
      <c r="G237" s="930"/>
    </row>
    <row r="238" spans="1:257" s="35" customFormat="1" ht="15.75" customHeight="1">
      <c r="A238" s="931" t="s">
        <v>2</v>
      </c>
      <c r="B238" s="928"/>
      <c r="C238" s="11" t="s">
        <v>3</v>
      </c>
      <c r="D238" s="11" t="s">
        <v>4</v>
      </c>
      <c r="E238" s="11" t="s">
        <v>6</v>
      </c>
      <c r="F238" s="11" t="s">
        <v>11</v>
      </c>
      <c r="G238" s="946" t="s">
        <v>8</v>
      </c>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1:257" s="35" customFormat="1" ht="15.75" customHeight="1">
      <c r="A239" s="927" t="s">
        <v>1522</v>
      </c>
      <c r="B239" s="928"/>
      <c r="C239" s="12" t="s">
        <v>39</v>
      </c>
      <c r="D239" s="12">
        <v>1.4999999999999999E-2</v>
      </c>
      <c r="E239" s="13">
        <f>SUBANÁLISIS!G31</f>
        <v>570669.8666666667</v>
      </c>
      <c r="F239" s="14">
        <f t="shared" ref="F239:F245" si="8">D239*E239</f>
        <v>8560.0480000000007</v>
      </c>
      <c r="G239" s="946"/>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1:257" s="35" customFormat="1" ht="15.75" customHeight="1">
      <c r="A240" s="948" t="s">
        <v>1525</v>
      </c>
      <c r="B240" s="949"/>
      <c r="C240" s="12" t="s">
        <v>100</v>
      </c>
      <c r="D240" s="12">
        <v>1</v>
      </c>
      <c r="E240" s="13">
        <f>'INSUMOS '!E324</f>
        <v>482.75862068965517</v>
      </c>
      <c r="F240" s="14">
        <f t="shared" si="8"/>
        <v>482.75862068965517</v>
      </c>
      <c r="G240" s="946"/>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1:257" s="35" customFormat="1" ht="15.75" customHeight="1">
      <c r="A241" s="948" t="s">
        <v>1515</v>
      </c>
      <c r="B241" s="949"/>
      <c r="C241" s="12" t="s">
        <v>34</v>
      </c>
      <c r="D241" s="12">
        <v>0.2</v>
      </c>
      <c r="E241" s="13">
        <f>'INSUMOS '!E321</f>
        <v>11445</v>
      </c>
      <c r="F241" s="14">
        <f t="shared" si="8"/>
        <v>2289</v>
      </c>
      <c r="G241" s="946"/>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1:257" s="35" customFormat="1" ht="15.75" customHeight="1">
      <c r="A242" s="927" t="s">
        <v>102</v>
      </c>
      <c r="B242" s="932"/>
      <c r="C242" s="12" t="s">
        <v>3</v>
      </c>
      <c r="D242" s="12">
        <v>0.161</v>
      </c>
      <c r="E242" s="13">
        <f>'INSUMOS '!E129</f>
        <v>52560</v>
      </c>
      <c r="F242" s="14">
        <f t="shared" si="8"/>
        <v>8462.16</v>
      </c>
      <c r="G242" s="946"/>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1:257" s="35" customFormat="1" ht="15.75" customHeight="1">
      <c r="A243" s="927" t="s">
        <v>87</v>
      </c>
      <c r="B243" s="932"/>
      <c r="C243" s="12" t="s">
        <v>37</v>
      </c>
      <c r="D243" s="12">
        <v>0.9</v>
      </c>
      <c r="E243" s="13">
        <f>'INSUMOS '!E59</f>
        <v>13056.241134751772</v>
      </c>
      <c r="F243" s="14">
        <f t="shared" si="8"/>
        <v>11750.617021276596</v>
      </c>
      <c r="G243" s="946"/>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1:257" s="35" customFormat="1" ht="15.75" customHeight="1">
      <c r="A244" s="947" t="s">
        <v>103</v>
      </c>
      <c r="B244" s="944"/>
      <c r="C244" s="12" t="s">
        <v>45</v>
      </c>
      <c r="D244" s="12">
        <v>0.17</v>
      </c>
      <c r="E244" s="13">
        <f>'INSUMOS '!E137</f>
        <v>33900</v>
      </c>
      <c r="F244" s="14">
        <f t="shared" si="8"/>
        <v>5763</v>
      </c>
      <c r="G244" s="946"/>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1:257" s="35" customFormat="1" ht="15.75" customHeight="1">
      <c r="A245" s="927" t="s">
        <v>53</v>
      </c>
      <c r="B245" s="928"/>
      <c r="C245" s="12" t="s">
        <v>42</v>
      </c>
      <c r="D245" s="12">
        <v>180</v>
      </c>
      <c r="E245" s="13">
        <f>'INSUMOS '!E65</f>
        <v>14</v>
      </c>
      <c r="F245" s="14">
        <f t="shared" si="8"/>
        <v>2520</v>
      </c>
      <c r="G245" s="15">
        <f>SUM(F238:F245)</f>
        <v>39827.583641966252</v>
      </c>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1:257" s="35" customFormat="1" ht="15.75" customHeight="1">
      <c r="A246" s="929" t="s">
        <v>15</v>
      </c>
      <c r="B246" s="928"/>
      <c r="C246" s="928"/>
      <c r="D246" s="928"/>
      <c r="E246" s="928"/>
      <c r="F246" s="928"/>
      <c r="G246" s="930"/>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1:257" s="2" customFormat="1" ht="13.8">
      <c r="A247" s="974" t="s">
        <v>2</v>
      </c>
      <c r="B247" s="975"/>
      <c r="C247" s="11" t="s">
        <v>3</v>
      </c>
      <c r="D247" s="11" t="s">
        <v>4</v>
      </c>
      <c r="E247" s="11" t="s">
        <v>6</v>
      </c>
      <c r="F247" s="11" t="s">
        <v>11</v>
      </c>
      <c r="G247" s="18" t="s">
        <v>8</v>
      </c>
    </row>
    <row r="248" spans="1:257" s="35" customFormat="1" ht="15.75" customHeight="1">
      <c r="A248" s="976" t="s">
        <v>104</v>
      </c>
      <c r="B248" s="928"/>
      <c r="C248" s="16" t="s">
        <v>18</v>
      </c>
      <c r="D248" s="54">
        <v>3.5000000000000003E-2</v>
      </c>
      <c r="E248" s="13">
        <f>+G245+G236</f>
        <v>43226.421941966255</v>
      </c>
      <c r="F248" s="41">
        <f>+D248*E248</f>
        <v>1512.924767968819</v>
      </c>
      <c r="G248" s="15">
        <f>SUM(F248:F248)</f>
        <v>1512.924767968819</v>
      </c>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1:257" s="2" customFormat="1" ht="15.75" customHeight="1">
      <c r="A249" s="929" t="s">
        <v>19</v>
      </c>
      <c r="B249" s="928"/>
      <c r="C249" s="928"/>
      <c r="D249" s="928"/>
      <c r="E249" s="928"/>
      <c r="F249" s="928"/>
      <c r="G249" s="930"/>
    </row>
    <row r="250" spans="1:257" s="2" customFormat="1" ht="13.8">
      <c r="A250" s="974" t="s">
        <v>2</v>
      </c>
      <c r="B250" s="975"/>
      <c r="C250" s="11" t="s">
        <v>3</v>
      </c>
      <c r="D250" s="11" t="s">
        <v>4</v>
      </c>
      <c r="E250" s="11" t="s">
        <v>6</v>
      </c>
      <c r="F250" s="11" t="s">
        <v>11</v>
      </c>
      <c r="G250" s="18" t="s">
        <v>8</v>
      </c>
    </row>
    <row r="251" spans="1:257" s="2" customFormat="1" ht="15" customHeight="1">
      <c r="A251" s="927" t="str">
        <f>+SALARIOS!A105</f>
        <v>CUADRILLA DD CONCRETOS 1:4</v>
      </c>
      <c r="B251" s="928"/>
      <c r="C251" s="12" t="s">
        <v>1245</v>
      </c>
      <c r="D251" s="12">
        <v>1</v>
      </c>
      <c r="E251" s="13">
        <f>+SALARIOS!C105</f>
        <v>54826</v>
      </c>
      <c r="F251" s="14">
        <f>+D251*E251</f>
        <v>54826</v>
      </c>
      <c r="G251" s="15">
        <f>F251</f>
        <v>54826</v>
      </c>
    </row>
    <row r="252" spans="1:257" s="2" customFormat="1" ht="13.8">
      <c r="A252" s="945" t="s">
        <v>25</v>
      </c>
      <c r="B252" s="928"/>
      <c r="C252" s="928"/>
      <c r="D252" s="928"/>
      <c r="E252" s="928"/>
      <c r="F252" s="928"/>
      <c r="G252" s="930"/>
    </row>
    <row r="253" spans="1:257" s="2" customFormat="1" ht="17.399999999999999">
      <c r="A253" s="950"/>
      <c r="B253" s="928"/>
      <c r="C253" s="928"/>
      <c r="D253" s="928"/>
      <c r="E253" s="928"/>
      <c r="F253" s="928"/>
      <c r="G253" s="20">
        <f>G251+G248+G245+G236</f>
        <v>99565.346709935082</v>
      </c>
    </row>
    <row r="254" spans="1:257" s="2" customFormat="1" ht="15.75" customHeight="1">
      <c r="A254" s="26"/>
      <c r="B254" s="27"/>
      <c r="C254" s="28"/>
      <c r="D254" s="28"/>
      <c r="E254" s="29"/>
      <c r="F254" s="28"/>
      <c r="G254" s="30"/>
    </row>
    <row r="255" spans="1:257" s="2" customFormat="1" ht="15.75" customHeight="1">
      <c r="A255" s="933" t="s">
        <v>1</v>
      </c>
      <c r="B255" s="951"/>
      <c r="C255" s="953" t="s">
        <v>0</v>
      </c>
      <c r="D255" s="954"/>
      <c r="E255" s="954"/>
      <c r="F255" s="954"/>
      <c r="G255" s="955"/>
    </row>
    <row r="256" spans="1:257" s="2" customFormat="1" ht="64.5" customHeight="1">
      <c r="A256" s="952"/>
      <c r="B256" s="951"/>
      <c r="C256" s="954"/>
      <c r="D256" s="954"/>
      <c r="E256" s="954"/>
      <c r="F256" s="954"/>
      <c r="G256" s="955"/>
    </row>
    <row r="257" spans="1:257" s="2" customFormat="1" ht="15.75" customHeight="1">
      <c r="A257" s="952"/>
      <c r="B257" s="951"/>
      <c r="C257" s="956"/>
      <c r="D257" s="957"/>
      <c r="E257" s="957"/>
      <c r="F257" s="957"/>
      <c r="G257" s="958"/>
    </row>
    <row r="258" spans="1:257" s="2" customFormat="1" ht="15.75" customHeight="1">
      <c r="A258" s="952"/>
      <c r="B258" s="951"/>
      <c r="C258" s="959" t="s">
        <v>2</v>
      </c>
      <c r="D258" s="957"/>
      <c r="E258" s="957"/>
      <c r="F258" s="23" t="s">
        <v>3</v>
      </c>
      <c r="G258" s="24" t="s">
        <v>4</v>
      </c>
    </row>
    <row r="259" spans="1:257" s="2" customFormat="1" ht="114" customHeight="1">
      <c r="A259" s="942" t="s">
        <v>106</v>
      </c>
      <c r="B259" s="928"/>
      <c r="C259" s="932" t="s">
        <v>1529</v>
      </c>
      <c r="D259" s="928"/>
      <c r="E259" s="928"/>
      <c r="F259" s="9" t="s">
        <v>37</v>
      </c>
      <c r="G259" s="25">
        <v>0.86240000000000017</v>
      </c>
    </row>
    <row r="260" spans="1:257" s="2" customFormat="1" ht="13.8">
      <c r="A260" s="929" t="s">
        <v>5</v>
      </c>
      <c r="B260" s="928"/>
      <c r="C260" s="928"/>
      <c r="D260" s="928"/>
      <c r="E260" s="928"/>
      <c r="F260" s="928"/>
      <c r="G260" s="930"/>
    </row>
    <row r="261" spans="1:257" s="2" customFormat="1" ht="13.8">
      <c r="A261" s="931" t="s">
        <v>2</v>
      </c>
      <c r="B261" s="928"/>
      <c r="C261" s="11" t="s">
        <v>3</v>
      </c>
      <c r="D261" s="11" t="s">
        <v>4</v>
      </c>
      <c r="E261" s="11" t="s">
        <v>6</v>
      </c>
      <c r="F261" s="11" t="s">
        <v>7</v>
      </c>
      <c r="G261" s="946" t="s">
        <v>8</v>
      </c>
    </row>
    <row r="262" spans="1:257" s="2" customFormat="1" ht="13.8">
      <c r="A262" s="927" t="s">
        <v>57</v>
      </c>
      <c r="B262" s="928"/>
      <c r="C262" s="12" t="s">
        <v>58</v>
      </c>
      <c r="D262" s="12">
        <v>0.01</v>
      </c>
      <c r="E262" s="13">
        <f>'MAQUINARIA Y EQUIPOS'!F19</f>
        <v>45763.829999999994</v>
      </c>
      <c r="F262" s="14">
        <f t="shared" ref="F262:F268" si="9">D262*E262</f>
        <v>457.63829999999996</v>
      </c>
      <c r="G262" s="946"/>
    </row>
    <row r="263" spans="1:257" s="2" customFormat="1" ht="13.8">
      <c r="A263" s="927" t="s">
        <v>80</v>
      </c>
      <c r="B263" s="932"/>
      <c r="C263" s="12" t="s">
        <v>81</v>
      </c>
      <c r="D263" s="12">
        <v>32</v>
      </c>
      <c r="E263" s="13">
        <f>'MAQUINARIA Y EQUIPOS'!F6</f>
        <v>1142.3999999999999</v>
      </c>
      <c r="F263" s="14">
        <f t="shared" si="9"/>
        <v>36556.799999999996</v>
      </c>
      <c r="G263" s="946"/>
    </row>
    <row r="264" spans="1:257" s="2" customFormat="1" ht="13.8">
      <c r="A264" s="948" t="s">
        <v>1519</v>
      </c>
      <c r="B264" s="949"/>
      <c r="C264" s="12" t="s">
        <v>3</v>
      </c>
      <c r="D264" s="9">
        <v>1E-3</v>
      </c>
      <c r="E264" s="13">
        <f>'MAQUINARIA Y EQUIPOS'!F39</f>
        <v>199900</v>
      </c>
      <c r="F264" s="14">
        <f t="shared" si="9"/>
        <v>199.9</v>
      </c>
      <c r="G264" s="946"/>
    </row>
    <row r="265" spans="1:257" s="2" customFormat="1" ht="13.8">
      <c r="A265" s="927" t="s">
        <v>82</v>
      </c>
      <c r="B265" s="932"/>
      <c r="C265" s="12" t="s">
        <v>81</v>
      </c>
      <c r="D265" s="12">
        <v>32</v>
      </c>
      <c r="E265" s="13">
        <f>'MAQUINARIA Y EQUIPOS'!F11</f>
        <v>300</v>
      </c>
      <c r="F265" s="14">
        <f t="shared" si="9"/>
        <v>9600</v>
      </c>
      <c r="G265" s="946"/>
    </row>
    <row r="266" spans="1:257" s="35" customFormat="1" ht="13.8">
      <c r="A266" s="927" t="s">
        <v>61</v>
      </c>
      <c r="B266" s="928"/>
      <c r="C266" s="12" t="s">
        <v>58</v>
      </c>
      <c r="D266" s="9">
        <v>0.5</v>
      </c>
      <c r="E266" s="13">
        <f>'MAQUINARIA Y EQUIPOS'!F18</f>
        <v>40460</v>
      </c>
      <c r="F266" s="14">
        <f t="shared" si="9"/>
        <v>20230</v>
      </c>
      <c r="G266" s="946"/>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1:257" s="35" customFormat="1" ht="13.8">
      <c r="A267" s="927" t="s">
        <v>62</v>
      </c>
      <c r="B267" s="928"/>
      <c r="C267" s="12" t="s">
        <v>58</v>
      </c>
      <c r="D267" s="9">
        <v>2.5</v>
      </c>
      <c r="E267" s="13">
        <f>'MAQUINARIA Y EQUIPOS'!F10</f>
        <v>3272.5</v>
      </c>
      <c r="F267" s="14">
        <f t="shared" si="9"/>
        <v>8181.25</v>
      </c>
      <c r="G267" s="946"/>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1:257" s="2" customFormat="1" ht="15.75" customHeight="1">
      <c r="A268" s="927" t="s">
        <v>9</v>
      </c>
      <c r="B268" s="928"/>
      <c r="C268" s="12" t="s">
        <v>3</v>
      </c>
      <c r="D268" s="9">
        <v>0.05</v>
      </c>
      <c r="E268" s="13">
        <f>G285</f>
        <v>45618</v>
      </c>
      <c r="F268" s="14">
        <f t="shared" si="9"/>
        <v>2280.9</v>
      </c>
      <c r="G268" s="15">
        <f>SUM(F261:F268)</f>
        <v>77506.488299999997</v>
      </c>
    </row>
    <row r="269" spans="1:257" s="2" customFormat="1" ht="15.75" customHeight="1">
      <c r="A269" s="929" t="s">
        <v>10</v>
      </c>
      <c r="B269" s="928"/>
      <c r="C269" s="928"/>
      <c r="D269" s="928"/>
      <c r="E269" s="928"/>
      <c r="F269" s="928"/>
      <c r="G269" s="930"/>
    </row>
    <row r="270" spans="1:257" s="2" customFormat="1" ht="15.75" customHeight="1">
      <c r="A270" s="931" t="s">
        <v>2</v>
      </c>
      <c r="B270" s="928"/>
      <c r="C270" s="11" t="s">
        <v>3</v>
      </c>
      <c r="D270" s="11" t="s">
        <v>4</v>
      </c>
      <c r="E270" s="11" t="s">
        <v>6</v>
      </c>
      <c r="F270" s="11" t="s">
        <v>11</v>
      </c>
      <c r="G270" s="946" t="s">
        <v>8</v>
      </c>
    </row>
    <row r="271" spans="1:257" s="2" customFormat="1" ht="15.75" customHeight="1">
      <c r="A271" s="927" t="s">
        <v>306</v>
      </c>
      <c r="B271" s="928"/>
      <c r="C271" s="12" t="s">
        <v>39</v>
      </c>
      <c r="D271" s="12">
        <v>0.03</v>
      </c>
      <c r="E271" s="13">
        <f>SUBANÁLISIS!G31</f>
        <v>570669.8666666667</v>
      </c>
      <c r="F271" s="14">
        <f t="shared" ref="F271:F277" si="10">D271*E271</f>
        <v>17120.096000000001</v>
      </c>
      <c r="G271" s="946"/>
    </row>
    <row r="272" spans="1:257" s="2" customFormat="1" ht="15.75" customHeight="1">
      <c r="A272" s="927" t="s">
        <v>94</v>
      </c>
      <c r="B272" s="928"/>
      <c r="C272" s="12" t="s">
        <v>34</v>
      </c>
      <c r="D272" s="12">
        <v>0.05</v>
      </c>
      <c r="E272" s="13">
        <f>'INSUMOS '!E68</f>
        <v>22225</v>
      </c>
      <c r="F272" s="14">
        <f t="shared" si="10"/>
        <v>1111.25</v>
      </c>
      <c r="G272" s="946"/>
    </row>
    <row r="273" spans="1:257" s="2" customFormat="1" ht="15.75" customHeight="1">
      <c r="A273" s="948" t="s">
        <v>1515</v>
      </c>
      <c r="B273" s="949"/>
      <c r="C273" s="12" t="s">
        <v>34</v>
      </c>
      <c r="D273" s="12">
        <v>0.2</v>
      </c>
      <c r="E273" s="13">
        <f>'INSUMOS '!E321</f>
        <v>11445</v>
      </c>
      <c r="F273" s="14">
        <f t="shared" si="10"/>
        <v>2289</v>
      </c>
      <c r="G273" s="946"/>
    </row>
    <row r="274" spans="1:257" s="2" customFormat="1" ht="15.75" customHeight="1">
      <c r="A274" s="976" t="s">
        <v>84</v>
      </c>
      <c r="B274" s="977"/>
      <c r="C274" s="9" t="s">
        <v>34</v>
      </c>
      <c r="D274" s="9">
        <v>8.6</v>
      </c>
      <c r="E274" s="31">
        <f>'INSUMOS '!E12</f>
        <v>5033</v>
      </c>
      <c r="F274" s="14">
        <f t="shared" si="10"/>
        <v>43283.799999999996</v>
      </c>
      <c r="G274" s="946"/>
    </row>
    <row r="275" spans="1:257" s="2" customFormat="1" ht="15.75" customHeight="1">
      <c r="A275" s="976" t="s">
        <v>85</v>
      </c>
      <c r="B275" s="977"/>
      <c r="C275" s="9" t="s">
        <v>34</v>
      </c>
      <c r="D275" s="9">
        <v>0.9</v>
      </c>
      <c r="E275" s="31">
        <f>'INSUMOS '!E12</f>
        <v>5033</v>
      </c>
      <c r="F275" s="14">
        <f t="shared" si="10"/>
        <v>4529.7</v>
      </c>
      <c r="G275" s="946"/>
    </row>
    <row r="276" spans="1:257" s="2" customFormat="1" ht="15.75" customHeight="1">
      <c r="A276" s="927" t="s">
        <v>107</v>
      </c>
      <c r="B276" s="928"/>
      <c r="C276" s="12" t="s">
        <v>45</v>
      </c>
      <c r="D276" s="12">
        <f>1/G259</f>
        <v>1.1595547309833021</v>
      </c>
      <c r="E276" s="13">
        <f>'INSUMOS '!E69</f>
        <v>37900</v>
      </c>
      <c r="F276" s="14">
        <f t="shared" si="10"/>
        <v>43947.124304267149</v>
      </c>
      <c r="G276" s="946"/>
    </row>
    <row r="277" spans="1:257" s="2" customFormat="1" ht="15.75" customHeight="1">
      <c r="A277" s="927" t="s">
        <v>53</v>
      </c>
      <c r="B277" s="928"/>
      <c r="C277" s="12" t="s">
        <v>42</v>
      </c>
      <c r="D277" s="12">
        <v>37.5</v>
      </c>
      <c r="E277" s="13">
        <f>'INSUMOS '!E65</f>
        <v>14</v>
      </c>
      <c r="F277" s="14">
        <f t="shared" si="10"/>
        <v>525</v>
      </c>
      <c r="G277" s="946"/>
    </row>
    <row r="278" spans="1:257" s="2" customFormat="1" ht="15.75" customHeight="1">
      <c r="A278" s="972"/>
      <c r="B278" s="973"/>
      <c r="C278" s="42"/>
      <c r="D278" s="42"/>
      <c r="E278" s="42"/>
      <c r="F278" s="42"/>
      <c r="G278" s="43">
        <f>SUM(F271:F278)</f>
        <v>112805.97030426713</v>
      </c>
    </row>
    <row r="279" spans="1:257" s="35" customFormat="1" ht="15.75" customHeight="1">
      <c r="A279" s="929" t="s">
        <v>15</v>
      </c>
      <c r="B279" s="928"/>
      <c r="C279" s="928"/>
      <c r="D279" s="928"/>
      <c r="E279" s="928"/>
      <c r="F279" s="928"/>
      <c r="G279" s="930"/>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1:257" s="2" customFormat="1" ht="13.8">
      <c r="A280" s="974" t="s">
        <v>2</v>
      </c>
      <c r="B280" s="975"/>
      <c r="C280" s="11" t="s">
        <v>3</v>
      </c>
      <c r="D280" s="11" t="s">
        <v>4</v>
      </c>
      <c r="E280" s="11" t="s">
        <v>6</v>
      </c>
      <c r="F280" s="11" t="s">
        <v>11</v>
      </c>
      <c r="G280" s="946" t="s">
        <v>8</v>
      </c>
    </row>
    <row r="281" spans="1:257" s="2" customFormat="1" ht="15.75" customHeight="1">
      <c r="A281" s="943" t="s">
        <v>68</v>
      </c>
      <c r="B281" s="944"/>
      <c r="C281" s="16" t="s">
        <v>3</v>
      </c>
      <c r="D281" s="54">
        <v>3.5000000000000003E-2</v>
      </c>
      <c r="E281" s="17">
        <f>G268</f>
        <v>77506.488299999997</v>
      </c>
      <c r="F281" s="14">
        <f>E281*D281</f>
        <v>2712.7270905</v>
      </c>
      <c r="G281" s="930"/>
    </row>
    <row r="282" spans="1:257" s="2" customFormat="1" ht="15.75" customHeight="1">
      <c r="A282" s="976" t="s">
        <v>17</v>
      </c>
      <c r="B282" s="977"/>
      <c r="C282" s="16" t="s">
        <v>18</v>
      </c>
      <c r="D282" s="54">
        <v>3.5000000000000003E-2</v>
      </c>
      <c r="E282" s="13">
        <f>G278</f>
        <v>112805.97030426713</v>
      </c>
      <c r="F282" s="14">
        <f>E282*D282</f>
        <v>3948.20896064935</v>
      </c>
      <c r="G282" s="15">
        <f>SUM(F281:F282)</f>
        <v>6660.9360511493505</v>
      </c>
    </row>
    <row r="283" spans="1:257" s="2" customFormat="1" ht="15.75" customHeight="1">
      <c r="A283" s="929" t="s">
        <v>19</v>
      </c>
      <c r="B283" s="928"/>
      <c r="C283" s="928"/>
      <c r="D283" s="928"/>
      <c r="E283" s="928"/>
      <c r="F283" s="928"/>
      <c r="G283" s="930"/>
    </row>
    <row r="284" spans="1:257" s="2" customFormat="1" ht="13.8">
      <c r="A284" s="974" t="s">
        <v>2</v>
      </c>
      <c r="B284" s="975"/>
      <c r="C284" s="11" t="s">
        <v>3</v>
      </c>
      <c r="D284" s="11" t="s">
        <v>4</v>
      </c>
      <c r="E284" s="11" t="s">
        <v>6</v>
      </c>
      <c r="F284" s="11" t="s">
        <v>11</v>
      </c>
      <c r="G284" s="18" t="s">
        <v>8</v>
      </c>
    </row>
    <row r="285" spans="1:257" s="2" customFormat="1" ht="15" customHeight="1">
      <c r="A285" s="927" t="str">
        <f>+SALARIOS!A104</f>
        <v>CUADRILLA DD CONCRETOS 1:3</v>
      </c>
      <c r="B285" s="928"/>
      <c r="C285" s="12" t="s">
        <v>1245</v>
      </c>
      <c r="D285" s="12">
        <v>1</v>
      </c>
      <c r="E285" s="13">
        <f>+SALARIOS!C104</f>
        <v>45618</v>
      </c>
      <c r="F285" s="14">
        <f>+D285*E285</f>
        <v>45618</v>
      </c>
      <c r="G285" s="15">
        <f>F285</f>
        <v>45618</v>
      </c>
    </row>
    <row r="286" spans="1:257" s="2" customFormat="1" ht="13.8">
      <c r="A286" s="945" t="s">
        <v>25</v>
      </c>
      <c r="B286" s="928"/>
      <c r="C286" s="928"/>
      <c r="D286" s="928"/>
      <c r="E286" s="928"/>
      <c r="F286" s="928"/>
      <c r="G286" s="930"/>
    </row>
    <row r="287" spans="1:257" s="2" customFormat="1" ht="15.75" customHeight="1">
      <c r="A287" s="950"/>
      <c r="B287" s="928"/>
      <c r="C287" s="928"/>
      <c r="D287" s="928"/>
      <c r="E287" s="928"/>
      <c r="F287" s="928"/>
      <c r="G287" s="20">
        <f>G285+G282+G278+G268</f>
        <v>242591.39465541649</v>
      </c>
    </row>
    <row r="288" spans="1:257" s="2" customFormat="1" ht="15.75" customHeight="1">
      <c r="A288" s="26"/>
      <c r="B288" s="27"/>
      <c r="C288" s="28"/>
      <c r="D288" s="28"/>
      <c r="E288" s="29"/>
      <c r="F288" s="28"/>
      <c r="G288" s="30"/>
    </row>
    <row r="289" spans="1:257" s="2" customFormat="1" ht="54" customHeight="1">
      <c r="A289" s="970" t="s">
        <v>1</v>
      </c>
      <c r="B289" s="957"/>
      <c r="C289" s="953" t="s">
        <v>0</v>
      </c>
      <c r="D289" s="954"/>
      <c r="E289" s="954"/>
      <c r="F289" s="954"/>
      <c r="G289" s="955"/>
    </row>
    <row r="290" spans="1:257" s="2" customFormat="1" ht="13.8">
      <c r="A290" s="971"/>
      <c r="B290" s="957"/>
      <c r="C290" s="954"/>
      <c r="D290" s="954"/>
      <c r="E290" s="954"/>
      <c r="F290" s="954"/>
      <c r="G290" s="955"/>
    </row>
    <row r="291" spans="1:257" s="2" customFormat="1" ht="17.399999999999999">
      <c r="A291" s="971"/>
      <c r="B291" s="957"/>
      <c r="C291" s="956"/>
      <c r="D291" s="957"/>
      <c r="E291" s="957"/>
      <c r="F291" s="957"/>
      <c r="G291" s="958"/>
    </row>
    <row r="292" spans="1:257" s="2" customFormat="1" ht="13.8">
      <c r="A292" s="971"/>
      <c r="B292" s="957"/>
      <c r="C292" s="959" t="s">
        <v>2</v>
      </c>
      <c r="D292" s="957"/>
      <c r="E292" s="957"/>
      <c r="F292" s="23" t="s">
        <v>3</v>
      </c>
      <c r="G292" s="24" t="s">
        <v>4</v>
      </c>
    </row>
    <row r="293" spans="1:257" s="2" customFormat="1" ht="118.5" customHeight="1">
      <c r="A293" s="942" t="s">
        <v>108</v>
      </c>
      <c r="B293" s="928"/>
      <c r="C293" s="932" t="s">
        <v>1530</v>
      </c>
      <c r="D293" s="928"/>
      <c r="E293" s="928"/>
      <c r="F293" s="9" t="s">
        <v>37</v>
      </c>
      <c r="G293" s="25">
        <v>47.69</v>
      </c>
    </row>
    <row r="294" spans="1:257" s="2" customFormat="1" ht="13.8">
      <c r="A294" s="929" t="s">
        <v>5</v>
      </c>
      <c r="B294" s="928"/>
      <c r="C294" s="928"/>
      <c r="D294" s="928"/>
      <c r="E294" s="928"/>
      <c r="F294" s="928"/>
      <c r="G294" s="930"/>
    </row>
    <row r="295" spans="1:257" s="2" customFormat="1" ht="13.8">
      <c r="A295" s="931" t="s">
        <v>2</v>
      </c>
      <c r="B295" s="928"/>
      <c r="C295" s="11" t="s">
        <v>3</v>
      </c>
      <c r="D295" s="11" t="s">
        <v>4</v>
      </c>
      <c r="E295" s="11" t="s">
        <v>6</v>
      </c>
      <c r="F295" s="11" t="s">
        <v>7</v>
      </c>
      <c r="G295" s="946" t="s">
        <v>8</v>
      </c>
    </row>
    <row r="296" spans="1:257" s="2" customFormat="1" ht="13.8">
      <c r="A296" s="948" t="s">
        <v>1519</v>
      </c>
      <c r="B296" s="949"/>
      <c r="C296" s="12" t="s">
        <v>3</v>
      </c>
      <c r="D296" s="9">
        <v>1E-3</v>
      </c>
      <c r="E296" s="13">
        <f>'MAQUINARIA Y EQUIPOS'!F39</f>
        <v>199900</v>
      </c>
      <c r="F296" s="14">
        <f>D296*E296</f>
        <v>199.9</v>
      </c>
      <c r="G296" s="946"/>
    </row>
    <row r="297" spans="1:257" s="2" customFormat="1" ht="15.75" customHeight="1">
      <c r="A297" s="927" t="s">
        <v>9</v>
      </c>
      <c r="B297" s="928"/>
      <c r="C297" s="12" t="s">
        <v>3</v>
      </c>
      <c r="D297" s="9">
        <v>0.05</v>
      </c>
      <c r="E297" s="13">
        <f>G314</f>
        <v>45618</v>
      </c>
      <c r="F297" s="14">
        <f>D297*E297</f>
        <v>2280.9</v>
      </c>
      <c r="G297" s="946"/>
    </row>
    <row r="298" spans="1:257" s="44" customFormat="1" ht="15.75" customHeight="1">
      <c r="A298" s="927" t="s">
        <v>109</v>
      </c>
      <c r="B298" s="928"/>
      <c r="C298" s="9" t="s">
        <v>58</v>
      </c>
      <c r="D298" s="9">
        <v>3.5</v>
      </c>
      <c r="E298" s="13">
        <v>350</v>
      </c>
      <c r="F298" s="14">
        <f>D298*E298</f>
        <v>1225</v>
      </c>
      <c r="G298" s="15">
        <f>SUM(F295:F298)</f>
        <v>3705.8</v>
      </c>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row>
    <row r="299" spans="1:257" s="2" customFormat="1" ht="13.8">
      <c r="A299" s="929" t="s">
        <v>10</v>
      </c>
      <c r="B299" s="928"/>
      <c r="C299" s="928"/>
      <c r="D299" s="928"/>
      <c r="E299" s="928"/>
      <c r="F299" s="928"/>
      <c r="G299" s="930"/>
    </row>
    <row r="300" spans="1:257" s="2" customFormat="1" ht="15.75" customHeight="1">
      <c r="A300" s="931" t="s">
        <v>2</v>
      </c>
      <c r="B300" s="928"/>
      <c r="C300" s="11" t="s">
        <v>3</v>
      </c>
      <c r="D300" s="11" t="s">
        <v>4</v>
      </c>
      <c r="E300" s="11" t="s">
        <v>6</v>
      </c>
      <c r="F300" s="11" t="s">
        <v>11</v>
      </c>
      <c r="G300" s="946" t="s">
        <v>8</v>
      </c>
    </row>
    <row r="301" spans="1:257" s="2" customFormat="1" ht="15.75" customHeight="1">
      <c r="A301" s="927" t="s">
        <v>94</v>
      </c>
      <c r="B301" s="928"/>
      <c r="C301" s="12" t="s">
        <v>34</v>
      </c>
      <c r="D301" s="45">
        <v>0.02</v>
      </c>
      <c r="E301" s="13">
        <v>16975</v>
      </c>
      <c r="F301" s="14">
        <f t="shared" ref="F301:F307" si="11">D301*E301</f>
        <v>339.5</v>
      </c>
      <c r="G301" s="946"/>
    </row>
    <row r="302" spans="1:257" s="2" customFormat="1" ht="13.8">
      <c r="A302" s="927" t="s">
        <v>306</v>
      </c>
      <c r="B302" s="932"/>
      <c r="C302" s="12" t="s">
        <v>39</v>
      </c>
      <c r="D302" s="45">
        <f>0.04*1*1</f>
        <v>0.04</v>
      </c>
      <c r="E302" s="13">
        <v>434520</v>
      </c>
      <c r="F302" s="14">
        <f t="shared" si="11"/>
        <v>17380.8</v>
      </c>
      <c r="G302" s="946"/>
    </row>
    <row r="303" spans="1:257" s="2" customFormat="1" ht="13.8">
      <c r="A303" s="927" t="s">
        <v>87</v>
      </c>
      <c r="B303" s="932"/>
      <c r="C303" s="12" t="s">
        <v>37</v>
      </c>
      <c r="D303" s="12">
        <v>1.2</v>
      </c>
      <c r="E303" s="13">
        <v>6943.76</v>
      </c>
      <c r="F303" s="14">
        <f t="shared" si="11"/>
        <v>8332.5120000000006</v>
      </c>
      <c r="G303" s="946"/>
    </row>
    <row r="304" spans="1:257" s="2" customFormat="1" ht="13.8">
      <c r="A304" s="927" t="s">
        <v>84</v>
      </c>
      <c r="B304" s="932"/>
      <c r="C304" s="12" t="s">
        <v>34</v>
      </c>
      <c r="D304" s="12">
        <v>7.5</v>
      </c>
      <c r="E304" s="13">
        <v>4784</v>
      </c>
      <c r="F304" s="14">
        <f t="shared" si="11"/>
        <v>35880</v>
      </c>
      <c r="G304" s="946"/>
    </row>
    <row r="305" spans="1:8" s="2" customFormat="1" ht="13.8">
      <c r="A305" s="948" t="s">
        <v>1515</v>
      </c>
      <c r="B305" s="949"/>
      <c r="C305" s="12" t="s">
        <v>34</v>
      </c>
      <c r="D305" s="12">
        <v>0.2</v>
      </c>
      <c r="E305" s="13">
        <f>'INSUMOS '!E321</f>
        <v>11445</v>
      </c>
      <c r="F305" s="14">
        <f t="shared" si="11"/>
        <v>2289</v>
      </c>
      <c r="G305" s="946"/>
    </row>
    <row r="306" spans="1:8" s="2" customFormat="1" ht="13.8">
      <c r="A306" s="927" t="s">
        <v>502</v>
      </c>
      <c r="B306" s="932"/>
      <c r="C306" s="12" t="s">
        <v>37</v>
      </c>
      <c r="D306" s="45">
        <v>1</v>
      </c>
      <c r="E306" s="13">
        <v>37921</v>
      </c>
      <c r="F306" s="14">
        <f t="shared" si="11"/>
        <v>37921</v>
      </c>
      <c r="G306" s="946"/>
    </row>
    <row r="307" spans="1:8" s="2" customFormat="1" ht="13.8">
      <c r="A307" s="927" t="s">
        <v>1026</v>
      </c>
      <c r="B307" s="932"/>
      <c r="C307" s="12" t="s">
        <v>39</v>
      </c>
      <c r="D307" s="45">
        <v>0.01</v>
      </c>
      <c r="E307" s="13">
        <f>SUBANÁLISIS!G117</f>
        <v>495483.82500000001</v>
      </c>
      <c r="F307" s="14">
        <f t="shared" si="11"/>
        <v>4954.8382499999998</v>
      </c>
      <c r="G307" s="46">
        <f>SUM(F301:F307)</f>
        <v>107097.65025000001</v>
      </c>
    </row>
    <row r="308" spans="1:8" s="2" customFormat="1" ht="13.8">
      <c r="A308" s="929" t="s">
        <v>15</v>
      </c>
      <c r="B308" s="928"/>
      <c r="C308" s="928"/>
      <c r="D308" s="928"/>
      <c r="E308" s="928"/>
      <c r="F308" s="928"/>
      <c r="G308" s="930"/>
    </row>
    <row r="309" spans="1:8" s="2" customFormat="1" ht="13.8">
      <c r="A309" s="974" t="s">
        <v>2</v>
      </c>
      <c r="B309" s="975"/>
      <c r="C309" s="11" t="s">
        <v>3</v>
      </c>
      <c r="D309" s="11" t="s">
        <v>4</v>
      </c>
      <c r="E309" s="11" t="s">
        <v>6</v>
      </c>
      <c r="F309" s="11" t="s">
        <v>11</v>
      </c>
      <c r="G309" s="946" t="s">
        <v>8</v>
      </c>
    </row>
    <row r="310" spans="1:8" s="2" customFormat="1" ht="15.75" customHeight="1">
      <c r="A310" s="943" t="s">
        <v>68</v>
      </c>
      <c r="B310" s="944"/>
      <c r="C310" s="16" t="s">
        <v>3</v>
      </c>
      <c r="D310" s="54">
        <v>3.5000000000000003E-2</v>
      </c>
      <c r="E310" s="17">
        <f>G298</f>
        <v>3705.8</v>
      </c>
      <c r="F310" s="14">
        <f>E310*D310</f>
        <v>129.70300000000003</v>
      </c>
      <c r="G310" s="930"/>
    </row>
    <row r="311" spans="1:8" s="2" customFormat="1" ht="13.8">
      <c r="A311" s="976" t="s">
        <v>17</v>
      </c>
      <c r="B311" s="977"/>
      <c r="C311" s="16" t="s">
        <v>18</v>
      </c>
      <c r="D311" s="54">
        <v>3.5000000000000003E-2</v>
      </c>
      <c r="E311" s="17">
        <f>G307</f>
        <v>107097.65025000001</v>
      </c>
      <c r="F311" s="14">
        <f>E311*D311</f>
        <v>3748.4177587500008</v>
      </c>
      <c r="G311" s="15">
        <f>SUM(F310:F311)</f>
        <v>3878.1207587500007</v>
      </c>
    </row>
    <row r="312" spans="1:8" s="2" customFormat="1" ht="13.8">
      <c r="A312" s="929" t="s">
        <v>19</v>
      </c>
      <c r="B312" s="928"/>
      <c r="C312" s="928"/>
      <c r="D312" s="928"/>
      <c r="E312" s="928"/>
      <c r="F312" s="928"/>
      <c r="G312" s="930"/>
    </row>
    <row r="313" spans="1:8" s="2" customFormat="1" ht="13.8">
      <c r="A313" s="974" t="s">
        <v>2</v>
      </c>
      <c r="B313" s="975"/>
      <c r="C313" s="11" t="s">
        <v>3</v>
      </c>
      <c r="D313" s="11" t="s">
        <v>4</v>
      </c>
      <c r="E313" s="11" t="s">
        <v>6</v>
      </c>
      <c r="F313" s="11" t="s">
        <v>11</v>
      </c>
      <c r="G313" s="18" t="s">
        <v>8</v>
      </c>
    </row>
    <row r="314" spans="1:8" s="2" customFormat="1" ht="15" customHeight="1">
      <c r="A314" s="927" t="str">
        <f>+SALARIOS!A104</f>
        <v>CUADRILLA DD CONCRETOS 1:3</v>
      </c>
      <c r="B314" s="928"/>
      <c r="C314" s="12" t="s">
        <v>1245</v>
      </c>
      <c r="D314" s="12">
        <v>1</v>
      </c>
      <c r="E314" s="13">
        <f>+SALARIOS!C104</f>
        <v>45618</v>
      </c>
      <c r="F314" s="14">
        <f>+D314*E314</f>
        <v>45618</v>
      </c>
      <c r="G314" s="15">
        <f>F314</f>
        <v>45618</v>
      </c>
    </row>
    <row r="315" spans="1:8" s="2" customFormat="1" ht="15.75" customHeight="1">
      <c r="A315" s="945" t="s">
        <v>25</v>
      </c>
      <c r="B315" s="928"/>
      <c r="C315" s="928"/>
      <c r="D315" s="928"/>
      <c r="E315" s="928"/>
      <c r="F315" s="928"/>
      <c r="G315" s="930"/>
    </row>
    <row r="316" spans="1:8" s="2" customFormat="1" ht="15.75" customHeight="1">
      <c r="A316" s="950"/>
      <c r="B316" s="928"/>
      <c r="C316" s="928"/>
      <c r="D316" s="928"/>
      <c r="E316" s="928"/>
      <c r="F316" s="928"/>
      <c r="G316" s="20">
        <f>G314+G311+G307+G298</f>
        <v>160299.57100875</v>
      </c>
    </row>
    <row r="317" spans="1:8">
      <c r="B317" s="468"/>
      <c r="F317" s="455"/>
    </row>
    <row r="318" spans="1:8">
      <c r="B318" s="468"/>
      <c r="F318" s="620"/>
    </row>
    <row r="319" spans="1:8">
      <c r="B319" s="468"/>
      <c r="F319" s="620"/>
      <c r="H319" s="480"/>
    </row>
    <row r="320" spans="1:8">
      <c r="B320" s="468"/>
      <c r="F320" s="455"/>
    </row>
    <row r="321" spans="2:6">
      <c r="B321" s="468"/>
      <c r="F321" s="455"/>
    </row>
    <row r="322" spans="2:6">
      <c r="B322" s="468"/>
      <c r="F322" s="455"/>
    </row>
    <row r="323" spans="2:6">
      <c r="B323" s="966"/>
      <c r="C323" s="966"/>
      <c r="F323" s="455"/>
    </row>
    <row r="324" spans="2:6">
      <c r="B324" s="966"/>
      <c r="C324" s="966"/>
      <c r="F324" s="455"/>
    </row>
    <row r="325" spans="2:6">
      <c r="B325" s="468"/>
      <c r="F325" s="455"/>
    </row>
    <row r="456" spans="19:19">
      <c r="S456">
        <v>13058.54</v>
      </c>
    </row>
    <row r="458" spans="19:19">
      <c r="S458">
        <v>19602.2</v>
      </c>
    </row>
    <row r="460" spans="19:19">
      <c r="S460">
        <v>114342.21</v>
      </c>
    </row>
    <row r="461" spans="19:19">
      <c r="S461">
        <v>114342.21</v>
      </c>
    </row>
    <row r="462" spans="19:19">
      <c r="S462">
        <v>112819.25</v>
      </c>
    </row>
    <row r="463" spans="19:19">
      <c r="S463">
        <v>112819.25</v>
      </c>
    </row>
    <row r="464" spans="19:19">
      <c r="S464">
        <v>128799.1</v>
      </c>
    </row>
    <row r="465" spans="19:19">
      <c r="S465">
        <v>147807.21</v>
      </c>
    </row>
    <row r="466" spans="19:19">
      <c r="S466">
        <v>147807.21</v>
      </c>
    </row>
    <row r="468" spans="19:19">
      <c r="S468">
        <v>138259.60999999999</v>
      </c>
    </row>
    <row r="469" spans="19:19">
      <c r="S469">
        <v>242682.11</v>
      </c>
    </row>
    <row r="470" spans="19:19">
      <c r="S470">
        <v>155931.10999999999</v>
      </c>
    </row>
    <row r="473" spans="19:19">
      <c r="S473">
        <v>28953.27</v>
      </c>
    </row>
    <row r="474" spans="19:19">
      <c r="S474">
        <v>50516.480000000003</v>
      </c>
    </row>
    <row r="475" spans="19:19">
      <c r="S475">
        <v>72561.98</v>
      </c>
    </row>
    <row r="476" spans="19:19">
      <c r="S476">
        <v>13599.65</v>
      </c>
    </row>
    <row r="478" spans="19:19">
      <c r="S478">
        <v>4457.93</v>
      </c>
    </row>
    <row r="479" spans="19:19">
      <c r="S479">
        <v>99359.54</v>
      </c>
    </row>
    <row r="480" spans="19:19">
      <c r="S480">
        <v>2326710.88</v>
      </c>
    </row>
    <row r="481" spans="19:19">
      <c r="S481">
        <v>294626.84999999998</v>
      </c>
    </row>
    <row r="482" spans="19:19">
      <c r="S482">
        <v>31045.35</v>
      </c>
    </row>
    <row r="486" spans="19:19">
      <c r="S486">
        <v>705363.19</v>
      </c>
    </row>
    <row r="487" spans="19:19">
      <c r="S487">
        <v>705363.19</v>
      </c>
    </row>
    <row r="488" spans="19:19">
      <c r="S488">
        <v>297158.88</v>
      </c>
    </row>
    <row r="489" spans="19:19">
      <c r="S489">
        <v>25015.47</v>
      </c>
    </row>
    <row r="491" spans="19:19">
      <c r="S491">
        <v>13058.54</v>
      </c>
    </row>
    <row r="493" spans="19:19">
      <c r="S493">
        <v>19602.2</v>
      </c>
    </row>
    <row r="494" spans="19:19">
      <c r="S494">
        <v>50516.480000000003</v>
      </c>
    </row>
    <row r="495" spans="19:19">
      <c r="S495">
        <v>67220.11</v>
      </c>
    </row>
    <row r="496" spans="19:19">
      <c r="S496">
        <v>72561.98</v>
      </c>
    </row>
    <row r="497" spans="19:19">
      <c r="S497" s="639"/>
    </row>
    <row r="498" spans="19:19">
      <c r="S498">
        <v>114342.21</v>
      </c>
    </row>
    <row r="499" spans="19:19">
      <c r="S499">
        <v>145199.85999999999</v>
      </c>
    </row>
    <row r="500" spans="19:19">
      <c r="S500">
        <v>211031.02</v>
      </c>
    </row>
    <row r="501" spans="19:19">
      <c r="S501" s="639"/>
    </row>
    <row r="502" spans="19:19">
      <c r="S502" s="637"/>
    </row>
    <row r="503" spans="19:19">
      <c r="S503">
        <v>705363.19</v>
      </c>
    </row>
    <row r="504" spans="19:19">
      <c r="S504">
        <v>188681.4</v>
      </c>
    </row>
    <row r="505" spans="19:19">
      <c r="S505">
        <v>13003.2</v>
      </c>
    </row>
    <row r="506" spans="19:19">
      <c r="S506" s="639"/>
    </row>
    <row r="507" spans="19:19">
      <c r="S507">
        <v>13058.54</v>
      </c>
    </row>
    <row r="509" spans="19:19">
      <c r="S509">
        <v>19602.2</v>
      </c>
    </row>
    <row r="510" spans="19:19">
      <c r="S510" s="637"/>
    </row>
    <row r="511" spans="19:19">
      <c r="S511">
        <v>114342.21</v>
      </c>
    </row>
    <row r="512" spans="19:19">
      <c r="S512">
        <v>112819.25</v>
      </c>
    </row>
    <row r="513" spans="19:19">
      <c r="S513">
        <v>147807.21</v>
      </c>
    </row>
    <row r="514" spans="19:19">
      <c r="S514" s="637"/>
    </row>
    <row r="515" spans="19:19">
      <c r="S515">
        <v>138259.60999999999</v>
      </c>
    </row>
    <row r="516" spans="19:19">
      <c r="S516">
        <v>242682.11</v>
      </c>
    </row>
    <row r="517" spans="19:19">
      <c r="S517">
        <v>155931.10999999999</v>
      </c>
    </row>
    <row r="520" spans="19:19">
      <c r="S520">
        <v>28953.27</v>
      </c>
    </row>
    <row r="521" spans="19:19">
      <c r="S521">
        <v>72561.98</v>
      </c>
    </row>
    <row r="522" spans="19:19">
      <c r="S522">
        <v>13599.65</v>
      </c>
    </row>
    <row r="523" spans="19:19">
      <c r="S523" s="637"/>
    </row>
    <row r="524" spans="19:19">
      <c r="S524">
        <v>4457.93</v>
      </c>
    </row>
    <row r="525" spans="19:19">
      <c r="S525">
        <v>99359.54</v>
      </c>
    </row>
    <row r="526" spans="19:19">
      <c r="S526">
        <v>2326710.88</v>
      </c>
    </row>
    <row r="527" spans="19:19">
      <c r="S527">
        <v>294626.84999999998</v>
      </c>
    </row>
    <row r="528" spans="19:19">
      <c r="S528">
        <v>31045.35</v>
      </c>
    </row>
    <row r="529" spans="19:19">
      <c r="S529" s="637"/>
    </row>
    <row r="530" spans="19:19">
      <c r="S530" s="637"/>
    </row>
    <row r="531" spans="19:19">
      <c r="S531" s="638"/>
    </row>
    <row r="532" spans="19:19">
      <c r="S532">
        <v>795327.19</v>
      </c>
    </row>
    <row r="533" spans="19:19">
      <c r="S533">
        <v>795327.19</v>
      </c>
    </row>
    <row r="534" spans="19:19">
      <c r="S534">
        <v>297158.88</v>
      </c>
    </row>
    <row r="535" spans="19:19">
      <c r="S535">
        <v>25015.47</v>
      </c>
    </row>
    <row r="537" spans="19:19">
      <c r="S537">
        <v>13058.54</v>
      </c>
    </row>
    <row r="539" spans="19:19">
      <c r="S539">
        <v>50516.480000000003</v>
      </c>
    </row>
    <row r="540" spans="19:19">
      <c r="S540">
        <v>67220.11</v>
      </c>
    </row>
    <row r="541" spans="19:19">
      <c r="S541">
        <v>67742.48</v>
      </c>
    </row>
    <row r="543" spans="19:19">
      <c r="S543">
        <v>114342.21</v>
      </c>
    </row>
    <row r="544" spans="19:19">
      <c r="S544">
        <v>114342.21</v>
      </c>
    </row>
    <row r="545" spans="19:19">
      <c r="S545">
        <v>114342.21</v>
      </c>
    </row>
    <row r="546" spans="19:19">
      <c r="S546">
        <v>114342.21</v>
      </c>
    </row>
    <row r="547" spans="19:19">
      <c r="S547">
        <v>114342.21</v>
      </c>
    </row>
    <row r="550" spans="19:19">
      <c r="S550">
        <v>795327.19</v>
      </c>
    </row>
    <row r="551" spans="19:19">
      <c r="S551">
        <v>281093.88</v>
      </c>
    </row>
    <row r="552" spans="19:19">
      <c r="S552">
        <v>25015.47</v>
      </c>
    </row>
    <row r="554" spans="19:19">
      <c r="S554">
        <v>13058.54</v>
      </c>
    </row>
    <row r="556" spans="19:19">
      <c r="S556">
        <v>19602.2</v>
      </c>
    </row>
    <row r="558" spans="19:19">
      <c r="S558">
        <v>114342.21</v>
      </c>
    </row>
    <row r="559" spans="19:19">
      <c r="S559">
        <v>112819.25</v>
      </c>
    </row>
    <row r="560" spans="19:19">
      <c r="S560">
        <v>112819.25</v>
      </c>
    </row>
    <row r="561" spans="19:19">
      <c r="S561">
        <v>128799.1</v>
      </c>
    </row>
    <row r="562" spans="19:19">
      <c r="S562">
        <v>147807.21</v>
      </c>
    </row>
    <row r="563" spans="19:19">
      <c r="S563">
        <v>147807.21</v>
      </c>
    </row>
    <row r="565" spans="19:19">
      <c r="S565">
        <v>138259.60999999999</v>
      </c>
    </row>
    <row r="566" spans="19:19">
      <c r="S566">
        <v>242682.11</v>
      </c>
    </row>
    <row r="567" spans="19:19">
      <c r="S567">
        <v>155931.10999999999</v>
      </c>
    </row>
    <row r="570" spans="19:19">
      <c r="S570">
        <v>28953.27</v>
      </c>
    </row>
    <row r="571" spans="19:19">
      <c r="S571">
        <v>72561.98</v>
      </c>
    </row>
    <row r="573" spans="19:19">
      <c r="S573">
        <v>4457.93</v>
      </c>
    </row>
    <row r="574" spans="19:19">
      <c r="S574">
        <v>99359.54</v>
      </c>
    </row>
    <row r="575" spans="19:19">
      <c r="S575">
        <v>2326710.88</v>
      </c>
    </row>
    <row r="576" spans="19:19">
      <c r="S576">
        <v>294626.84999999998</v>
      </c>
    </row>
    <row r="577" spans="19:19">
      <c r="S577">
        <v>31045.35</v>
      </c>
    </row>
    <row r="581" spans="19:19">
      <c r="S581">
        <v>13058.54</v>
      </c>
    </row>
    <row r="583" spans="19:19">
      <c r="S583">
        <v>19602.2</v>
      </c>
    </row>
    <row r="585" spans="19:19">
      <c r="S585">
        <v>114342.21</v>
      </c>
    </row>
    <row r="586" spans="19:19">
      <c r="S586">
        <v>112819.25</v>
      </c>
    </row>
    <row r="587" spans="19:19">
      <c r="S587">
        <v>126519.48</v>
      </c>
    </row>
    <row r="589" spans="19:19">
      <c r="S589">
        <v>138259.60999999999</v>
      </c>
    </row>
    <row r="590" spans="19:19">
      <c r="S590">
        <v>242682.11</v>
      </c>
    </row>
    <row r="591" spans="19:19">
      <c r="S591">
        <v>155931.10999999999</v>
      </c>
    </row>
    <row r="593" spans="19:19">
      <c r="S593">
        <v>79616.67</v>
      </c>
    </row>
    <row r="594" spans="19:19">
      <c r="S594">
        <v>35323.86</v>
      </c>
    </row>
    <row r="595" spans="19:19">
      <c r="S595">
        <v>13264.9</v>
      </c>
    </row>
    <row r="596" spans="19:19">
      <c r="S596">
        <v>60856.56</v>
      </c>
    </row>
    <row r="597" spans="19:19">
      <c r="S597">
        <v>59591.47</v>
      </c>
    </row>
    <row r="598" spans="19:19">
      <c r="S598">
        <v>100015.29</v>
      </c>
    </row>
    <row r="599" spans="19:19">
      <c r="S599">
        <v>114497.67</v>
      </c>
    </row>
    <row r="600" spans="19:19">
      <c r="S600">
        <v>438067.65</v>
      </c>
    </row>
    <row r="601" spans="19:19">
      <c r="S601">
        <v>75174.86</v>
      </c>
    </row>
    <row r="603" spans="19:19">
      <c r="S603">
        <v>568350</v>
      </c>
    </row>
    <row r="604" spans="19:19">
      <c r="S604">
        <v>1111922.0900000001</v>
      </c>
    </row>
    <row r="605" spans="19:19">
      <c r="S605">
        <v>629972.09</v>
      </c>
    </row>
    <row r="606" spans="19:19">
      <c r="S606">
        <v>155279.09</v>
      </c>
    </row>
    <row r="607" spans="19:19">
      <c r="S607">
        <v>80446.91</v>
      </c>
    </row>
    <row r="609" spans="19:19">
      <c r="S609">
        <v>128052.91</v>
      </c>
    </row>
    <row r="610" spans="19:19">
      <c r="S610">
        <v>62814.04</v>
      </c>
    </row>
    <row r="611" spans="19:19">
      <c r="S611">
        <v>278075.99</v>
      </c>
    </row>
    <row r="612" spans="19:19">
      <c r="S612">
        <v>93952.11</v>
      </c>
    </row>
    <row r="613" spans="19:19">
      <c r="S613">
        <v>17758.919999999998</v>
      </c>
    </row>
    <row r="614" spans="19:19">
      <c r="S614">
        <v>4457.93</v>
      </c>
    </row>
    <row r="615" spans="19:19">
      <c r="S615">
        <v>2698411.5</v>
      </c>
    </row>
    <row r="616" spans="19:19">
      <c r="S616">
        <v>1656130.25</v>
      </c>
    </row>
    <row r="617" spans="19:19">
      <c r="S617">
        <v>7357261.5</v>
      </c>
    </row>
    <row r="618" spans="19:19">
      <c r="S618">
        <v>2614961.75</v>
      </c>
    </row>
    <row r="619" spans="19:19">
      <c r="S619">
        <v>18281461.5</v>
      </c>
    </row>
    <row r="621" spans="19:19">
      <c r="S621">
        <v>4425521.82</v>
      </c>
    </row>
    <row r="622" spans="19:19">
      <c r="S622">
        <v>541346.26</v>
      </c>
    </row>
    <row r="623" spans="19:19">
      <c r="S623">
        <v>550223.63</v>
      </c>
    </row>
    <row r="624" spans="19:19">
      <c r="S624">
        <v>287899.7</v>
      </c>
    </row>
    <row r="625" spans="19:19">
      <c r="S625">
        <v>550223.63</v>
      </c>
    </row>
    <row r="626" spans="19:19">
      <c r="S626">
        <v>4216708.8</v>
      </c>
    </row>
    <row r="627" spans="19:19">
      <c r="S627">
        <v>4524704.63</v>
      </c>
    </row>
    <row r="628" spans="19:19">
      <c r="S628">
        <v>1311704.6299999999</v>
      </c>
    </row>
    <row r="629" spans="19:19">
      <c r="S629">
        <v>26105609.25</v>
      </c>
    </row>
    <row r="630" spans="19:19">
      <c r="S630">
        <v>746211.38</v>
      </c>
    </row>
    <row r="631" spans="19:19">
      <c r="S631">
        <v>310672.49</v>
      </c>
    </row>
    <row r="632" spans="19:19">
      <c r="S632">
        <v>485903.09</v>
      </c>
    </row>
    <row r="633" spans="19:19">
      <c r="S633">
        <v>247850.15</v>
      </c>
    </row>
    <row r="634" spans="19:19">
      <c r="S634">
        <v>7044802.7999999998</v>
      </c>
    </row>
    <row r="636" spans="19:19">
      <c r="S636">
        <v>9432019.8000000007</v>
      </c>
    </row>
    <row r="637" spans="19:19">
      <c r="S637">
        <v>6422.55</v>
      </c>
    </row>
    <row r="638" spans="19:19">
      <c r="S638">
        <v>1285200</v>
      </c>
    </row>
  </sheetData>
  <mergeCells count="346">
    <mergeCell ref="B323:C323"/>
    <mergeCell ref="B324:C324"/>
    <mergeCell ref="A296:B296"/>
    <mergeCell ref="A305:B305"/>
    <mergeCell ref="A313:B313"/>
    <mergeCell ref="A314:B314"/>
    <mergeCell ref="A284:B284"/>
    <mergeCell ref="A285:B285"/>
    <mergeCell ref="A264:B264"/>
    <mergeCell ref="A273:B273"/>
    <mergeCell ref="A316:F316"/>
    <mergeCell ref="A307:B307"/>
    <mergeCell ref="A308:G308"/>
    <mergeCell ref="A309:B309"/>
    <mergeCell ref="G309:G310"/>
    <mergeCell ref="A310:B310"/>
    <mergeCell ref="A311:B311"/>
    <mergeCell ref="A298:B298"/>
    <mergeCell ref="A299:G299"/>
    <mergeCell ref="A300:B300"/>
    <mergeCell ref="G300:G306"/>
    <mergeCell ref="A301:B301"/>
    <mergeCell ref="A302:B302"/>
    <mergeCell ref="A303:B303"/>
    <mergeCell ref="A15:B15"/>
    <mergeCell ref="A16:G16"/>
    <mergeCell ref="A17:B17"/>
    <mergeCell ref="G17:G26"/>
    <mergeCell ref="A18:B18"/>
    <mergeCell ref="A19:B19"/>
    <mergeCell ref="A20:B20"/>
    <mergeCell ref="A21:B21"/>
    <mergeCell ref="A189:B189"/>
    <mergeCell ref="A182:B182"/>
    <mergeCell ref="A22:B22"/>
    <mergeCell ref="A23:B23"/>
    <mergeCell ref="A24:B24"/>
    <mergeCell ref="A25:B25"/>
    <mergeCell ref="A26:B26"/>
    <mergeCell ref="A27:B27"/>
    <mergeCell ref="A28:G28"/>
    <mergeCell ref="A29:B29"/>
    <mergeCell ref="G29:G30"/>
    <mergeCell ref="A30:B30"/>
    <mergeCell ref="A31:B31"/>
    <mergeCell ref="A32:G32"/>
    <mergeCell ref="A35:G35"/>
    <mergeCell ref="A36:F36"/>
    <mergeCell ref="A13:B13"/>
    <mergeCell ref="A4:B7"/>
    <mergeCell ref="C4:G5"/>
    <mergeCell ref="C6:G6"/>
    <mergeCell ref="C7:E7"/>
    <mergeCell ref="A8:B8"/>
    <mergeCell ref="C8:E8"/>
    <mergeCell ref="A9:G9"/>
    <mergeCell ref="A10:B10"/>
    <mergeCell ref="G10:G14"/>
    <mergeCell ref="A11:B11"/>
    <mergeCell ref="A12:B12"/>
    <mergeCell ref="A14:B14"/>
    <mergeCell ref="A38:B41"/>
    <mergeCell ref="C38:G39"/>
    <mergeCell ref="C40:G40"/>
    <mergeCell ref="C41:E41"/>
    <mergeCell ref="A42:B42"/>
    <mergeCell ref="C42:E42"/>
    <mergeCell ref="A33:B33"/>
    <mergeCell ref="A34:B34"/>
    <mergeCell ref="A43:G43"/>
    <mergeCell ref="A44:B44"/>
    <mergeCell ref="G44:G51"/>
    <mergeCell ref="A45:B45"/>
    <mergeCell ref="A46:B46"/>
    <mergeCell ref="A47:B47"/>
    <mergeCell ref="A48:B48"/>
    <mergeCell ref="A49:B49"/>
    <mergeCell ref="A51:B51"/>
    <mergeCell ref="A50:B50"/>
    <mergeCell ref="A52:B52"/>
    <mergeCell ref="A53:G53"/>
    <mergeCell ref="A54:B54"/>
    <mergeCell ref="G54:G56"/>
    <mergeCell ref="A56:B56"/>
    <mergeCell ref="A57:B57"/>
    <mergeCell ref="A58:G58"/>
    <mergeCell ref="A59:B59"/>
    <mergeCell ref="G59:G60"/>
    <mergeCell ref="A60:B60"/>
    <mergeCell ref="A55:B55"/>
    <mergeCell ref="A61:B61"/>
    <mergeCell ref="A62:G62"/>
    <mergeCell ref="A65:G65"/>
    <mergeCell ref="A66:F66"/>
    <mergeCell ref="A68:B71"/>
    <mergeCell ref="C68:G69"/>
    <mergeCell ref="C70:G70"/>
    <mergeCell ref="C71:E71"/>
    <mergeCell ref="A72:B72"/>
    <mergeCell ref="C72:E72"/>
    <mergeCell ref="A63:B63"/>
    <mergeCell ref="A64:B64"/>
    <mergeCell ref="A73:G73"/>
    <mergeCell ref="A74:B74"/>
    <mergeCell ref="G74:G79"/>
    <mergeCell ref="A75:B75"/>
    <mergeCell ref="A76:B76"/>
    <mergeCell ref="A77:B77"/>
    <mergeCell ref="A78:B78"/>
    <mergeCell ref="A79:B79"/>
    <mergeCell ref="A80:B80"/>
    <mergeCell ref="A81:G81"/>
    <mergeCell ref="A82:B82"/>
    <mergeCell ref="G82:G91"/>
    <mergeCell ref="A83:B83"/>
    <mergeCell ref="A84:B84"/>
    <mergeCell ref="A85:B85"/>
    <mergeCell ref="A86:B86"/>
    <mergeCell ref="A87:B87"/>
    <mergeCell ref="A89:B89"/>
    <mergeCell ref="A90:B90"/>
    <mergeCell ref="A91:B91"/>
    <mergeCell ref="A88:B88"/>
    <mergeCell ref="A92:B92"/>
    <mergeCell ref="A93:G93"/>
    <mergeCell ref="A94:B94"/>
    <mergeCell ref="G94:G95"/>
    <mergeCell ref="A95:B95"/>
    <mergeCell ref="A96:B96"/>
    <mergeCell ref="A97:G97"/>
    <mergeCell ref="A100:G100"/>
    <mergeCell ref="A101:F101"/>
    <mergeCell ref="A98:B98"/>
    <mergeCell ref="A99:B99"/>
    <mergeCell ref="A103:B106"/>
    <mergeCell ref="C103:G104"/>
    <mergeCell ref="C105:G105"/>
    <mergeCell ref="C106:E106"/>
    <mergeCell ref="A107:B107"/>
    <mergeCell ref="C107:E107"/>
    <mergeCell ref="A108:G108"/>
    <mergeCell ref="A109:B109"/>
    <mergeCell ref="G109:G114"/>
    <mergeCell ref="A110:B110"/>
    <mergeCell ref="A111:B111"/>
    <mergeCell ref="A112:B112"/>
    <mergeCell ref="A113:B113"/>
    <mergeCell ref="A114:B114"/>
    <mergeCell ref="A115:B115"/>
    <mergeCell ref="A116:G116"/>
    <mergeCell ref="A117:B117"/>
    <mergeCell ref="G117:G124"/>
    <mergeCell ref="A118:B118"/>
    <mergeCell ref="A119:B119"/>
    <mergeCell ref="A120:B120"/>
    <mergeCell ref="A121:B121"/>
    <mergeCell ref="A122:B122"/>
    <mergeCell ref="A123:B123"/>
    <mergeCell ref="A124:B124"/>
    <mergeCell ref="A144:B144"/>
    <mergeCell ref="A125:B125"/>
    <mergeCell ref="A126:G126"/>
    <mergeCell ref="A127:B127"/>
    <mergeCell ref="G127:G128"/>
    <mergeCell ref="A128:B128"/>
    <mergeCell ref="A129:B129"/>
    <mergeCell ref="A130:G130"/>
    <mergeCell ref="A133:G133"/>
    <mergeCell ref="A134:F134"/>
    <mergeCell ref="A131:B131"/>
    <mergeCell ref="A132:B132"/>
    <mergeCell ref="A136:B139"/>
    <mergeCell ref="C136:G137"/>
    <mergeCell ref="C138:G138"/>
    <mergeCell ref="C139:E139"/>
    <mergeCell ref="A140:B140"/>
    <mergeCell ref="C140:E140"/>
    <mergeCell ref="A141:G141"/>
    <mergeCell ref="A142:B142"/>
    <mergeCell ref="A143:B143"/>
    <mergeCell ref="G142:G145"/>
    <mergeCell ref="A145:B145"/>
    <mergeCell ref="A146:B146"/>
    <mergeCell ref="A147:G147"/>
    <mergeCell ref="A148:B148"/>
    <mergeCell ref="G148:G151"/>
    <mergeCell ref="A149:B149"/>
    <mergeCell ref="A150:B150"/>
    <mergeCell ref="A151:B151"/>
    <mergeCell ref="A152:B152"/>
    <mergeCell ref="A153:G153"/>
    <mergeCell ref="A154:B154"/>
    <mergeCell ref="G154:G156"/>
    <mergeCell ref="A155:B155"/>
    <mergeCell ref="A156:B156"/>
    <mergeCell ref="A157:B157"/>
    <mergeCell ref="A158:G158"/>
    <mergeCell ref="A161:G161"/>
    <mergeCell ref="A162:F162"/>
    <mergeCell ref="A164:B167"/>
    <mergeCell ref="C164:G165"/>
    <mergeCell ref="C166:G166"/>
    <mergeCell ref="C167:E167"/>
    <mergeCell ref="A159:B159"/>
    <mergeCell ref="A160:B160"/>
    <mergeCell ref="A168:B168"/>
    <mergeCell ref="C168:E168"/>
    <mergeCell ref="A169:G169"/>
    <mergeCell ref="A170:B170"/>
    <mergeCell ref="G170:G171"/>
    <mergeCell ref="A171:B171"/>
    <mergeCell ref="A173:B173"/>
    <mergeCell ref="A174:B174"/>
    <mergeCell ref="A175:G175"/>
    <mergeCell ref="A172:B172"/>
    <mergeCell ref="A176:B176"/>
    <mergeCell ref="G176:G182"/>
    <mergeCell ref="A177:B177"/>
    <mergeCell ref="A178:B178"/>
    <mergeCell ref="A179:B179"/>
    <mergeCell ref="A180:B180"/>
    <mergeCell ref="A183:B183"/>
    <mergeCell ref="A184:G184"/>
    <mergeCell ref="A181:B181"/>
    <mergeCell ref="A185:B185"/>
    <mergeCell ref="G185:G186"/>
    <mergeCell ref="A186:B186"/>
    <mergeCell ref="A187:B187"/>
    <mergeCell ref="A188:G188"/>
    <mergeCell ref="A191:G191"/>
    <mergeCell ref="A192:F192"/>
    <mergeCell ref="A194:B197"/>
    <mergeCell ref="C194:G195"/>
    <mergeCell ref="C196:G196"/>
    <mergeCell ref="C197:E197"/>
    <mergeCell ref="A190:B190"/>
    <mergeCell ref="A198:B198"/>
    <mergeCell ref="C198:E198"/>
    <mergeCell ref="A199:G199"/>
    <mergeCell ref="A200:B200"/>
    <mergeCell ref="G200:G201"/>
    <mergeCell ref="A201:B201"/>
    <mergeCell ref="A203:B203"/>
    <mergeCell ref="A204:B204"/>
    <mergeCell ref="A205:G205"/>
    <mergeCell ref="A202:B202"/>
    <mergeCell ref="A206:B206"/>
    <mergeCell ref="G206:G214"/>
    <mergeCell ref="A207:B207"/>
    <mergeCell ref="A209:B209"/>
    <mergeCell ref="A210:B210"/>
    <mergeCell ref="A213:B213"/>
    <mergeCell ref="A214:B214"/>
    <mergeCell ref="A215:B215"/>
    <mergeCell ref="A216:G216"/>
    <mergeCell ref="A212:B212"/>
    <mergeCell ref="A211:B211"/>
    <mergeCell ref="A208:B208"/>
    <mergeCell ref="A217:B217"/>
    <mergeCell ref="A218:B218"/>
    <mergeCell ref="A220:G220"/>
    <mergeCell ref="A223:G223"/>
    <mergeCell ref="A224:F224"/>
    <mergeCell ref="A226:B229"/>
    <mergeCell ref="C226:G227"/>
    <mergeCell ref="C228:G228"/>
    <mergeCell ref="C229:E229"/>
    <mergeCell ref="A221:B221"/>
    <mergeCell ref="A222:B222"/>
    <mergeCell ref="A219:B219"/>
    <mergeCell ref="G217:G218"/>
    <mergeCell ref="A230:B230"/>
    <mergeCell ref="C230:E230"/>
    <mergeCell ref="A231:G231"/>
    <mergeCell ref="A232:B232"/>
    <mergeCell ref="A233:B233"/>
    <mergeCell ref="A235:B235"/>
    <mergeCell ref="A236:B236"/>
    <mergeCell ref="A237:G237"/>
    <mergeCell ref="A234:B234"/>
    <mergeCell ref="G232:G235"/>
    <mergeCell ref="A238:B238"/>
    <mergeCell ref="G238:G244"/>
    <mergeCell ref="A239:B239"/>
    <mergeCell ref="A242:B242"/>
    <mergeCell ref="A243:B243"/>
    <mergeCell ref="A244:B244"/>
    <mergeCell ref="A245:B245"/>
    <mergeCell ref="A246:G246"/>
    <mergeCell ref="A247:B247"/>
    <mergeCell ref="A240:B240"/>
    <mergeCell ref="A241:B241"/>
    <mergeCell ref="A248:B248"/>
    <mergeCell ref="A249:G249"/>
    <mergeCell ref="A252:G252"/>
    <mergeCell ref="A253:F253"/>
    <mergeCell ref="A255:B258"/>
    <mergeCell ref="C255:G256"/>
    <mergeCell ref="C257:G257"/>
    <mergeCell ref="C258:E258"/>
    <mergeCell ref="A259:B259"/>
    <mergeCell ref="C259:E259"/>
    <mergeCell ref="A250:B250"/>
    <mergeCell ref="A251:B251"/>
    <mergeCell ref="G270:G277"/>
    <mergeCell ref="A271:B271"/>
    <mergeCell ref="A272:B272"/>
    <mergeCell ref="A274:B274"/>
    <mergeCell ref="A275:B275"/>
    <mergeCell ref="A276:B276"/>
    <mergeCell ref="A277:B277"/>
    <mergeCell ref="A260:G260"/>
    <mergeCell ref="A261:B261"/>
    <mergeCell ref="G261:G267"/>
    <mergeCell ref="A262:B262"/>
    <mergeCell ref="A263:B263"/>
    <mergeCell ref="A265:B265"/>
    <mergeCell ref="A266:B266"/>
    <mergeCell ref="A267:B267"/>
    <mergeCell ref="A268:B268"/>
    <mergeCell ref="A269:G269"/>
    <mergeCell ref="A270:B270"/>
    <mergeCell ref="A304:B304"/>
    <mergeCell ref="A306:B306"/>
    <mergeCell ref="C2:G2"/>
    <mergeCell ref="A312:G312"/>
    <mergeCell ref="A315:G315"/>
    <mergeCell ref="A289:B292"/>
    <mergeCell ref="C289:G290"/>
    <mergeCell ref="C291:G291"/>
    <mergeCell ref="C292:E292"/>
    <mergeCell ref="A293:B293"/>
    <mergeCell ref="C293:E293"/>
    <mergeCell ref="A294:G294"/>
    <mergeCell ref="A295:B295"/>
    <mergeCell ref="G295:G297"/>
    <mergeCell ref="A297:B297"/>
    <mergeCell ref="A278:B278"/>
    <mergeCell ref="A279:G279"/>
    <mergeCell ref="A280:B280"/>
    <mergeCell ref="G280:G281"/>
    <mergeCell ref="A281:B281"/>
    <mergeCell ref="A282:B282"/>
    <mergeCell ref="A283:G283"/>
    <mergeCell ref="A286:G286"/>
    <mergeCell ref="A287:F287"/>
  </mergeCells>
  <pageMargins left="0.25" right="0.25" top="0.75" bottom="0.75" header="0.3" footer="0.3"/>
  <pageSetup paperSize="9" scale="8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pageSetUpPr fitToPage="1"/>
  </sheetPr>
  <dimension ref="A2:O1568"/>
  <sheetViews>
    <sheetView topLeftCell="A1561" zoomScaleNormal="100" workbookViewId="0">
      <selection activeCell="B1562" sqref="B1562:C1567"/>
    </sheetView>
  </sheetViews>
  <sheetFormatPr baseColWidth="10" defaultColWidth="10.6640625" defaultRowHeight="14.4"/>
  <cols>
    <col min="1" max="2" width="18.6640625" customWidth="1"/>
    <col min="3" max="7" width="16.6640625" customWidth="1"/>
    <col min="15" max="15" width="11.44140625" customWidth="1"/>
  </cols>
  <sheetData>
    <row r="2" spans="1:7" s="2" customFormat="1" ht="116.25" customHeight="1">
      <c r="A2" s="177"/>
      <c r="B2" s="177"/>
      <c r="C2" s="922" t="s">
        <v>0</v>
      </c>
      <c r="D2" s="922"/>
      <c r="E2" s="922"/>
      <c r="F2" s="922"/>
      <c r="G2" s="923"/>
    </row>
    <row r="4" spans="1:7" s="2" customFormat="1" ht="15.75" customHeight="1">
      <c r="A4" s="986" t="s">
        <v>1</v>
      </c>
      <c r="B4" s="987"/>
      <c r="C4" s="992" t="s">
        <v>0</v>
      </c>
      <c r="D4" s="993"/>
      <c r="E4" s="993"/>
      <c r="F4" s="993"/>
      <c r="G4" s="994"/>
    </row>
    <row r="5" spans="1:7" s="2" customFormat="1" ht="47.25" customHeight="1">
      <c r="A5" s="988"/>
      <c r="B5" s="989"/>
      <c r="C5" s="995"/>
      <c r="D5" s="996"/>
      <c r="E5" s="996"/>
      <c r="F5" s="996"/>
      <c r="G5" s="997"/>
    </row>
    <row r="6" spans="1:7" s="2" customFormat="1" ht="17.399999999999999">
      <c r="A6" s="988"/>
      <c r="B6" s="989"/>
      <c r="C6" s="998"/>
      <c r="D6" s="999"/>
      <c r="E6" s="999"/>
      <c r="F6" s="999"/>
      <c r="G6" s="1000"/>
    </row>
    <row r="7" spans="1:7" s="2" customFormat="1" ht="13.8">
      <c r="A7" s="990"/>
      <c r="B7" s="991"/>
      <c r="C7" s="1001" t="s">
        <v>2</v>
      </c>
      <c r="D7" s="1002"/>
      <c r="E7" s="1003"/>
      <c r="F7" s="23" t="s">
        <v>3</v>
      </c>
      <c r="G7" s="24" t="s">
        <v>4</v>
      </c>
    </row>
    <row r="8" spans="1:7" s="2" customFormat="1" ht="101.25" customHeight="1">
      <c r="A8" s="1004" t="s">
        <v>1790</v>
      </c>
      <c r="B8" s="1005"/>
      <c r="C8" s="1017" t="s">
        <v>1791</v>
      </c>
      <c r="D8" s="1018"/>
      <c r="E8" s="949"/>
      <c r="F8" s="9" t="s">
        <v>39</v>
      </c>
      <c r="G8" s="25">
        <v>5.69</v>
      </c>
    </row>
    <row r="9" spans="1:7" s="2" customFormat="1" ht="13.8">
      <c r="A9" s="1006" t="s">
        <v>5</v>
      </c>
      <c r="B9" s="1007"/>
      <c r="C9" s="1007"/>
      <c r="D9" s="1007"/>
      <c r="E9" s="1007"/>
      <c r="F9" s="1007"/>
      <c r="G9" s="1008"/>
    </row>
    <row r="10" spans="1:7" s="2" customFormat="1" ht="13.8">
      <c r="A10" s="974" t="s">
        <v>2</v>
      </c>
      <c r="B10" s="975"/>
      <c r="C10" s="11" t="s">
        <v>3</v>
      </c>
      <c r="D10" s="11" t="s">
        <v>4</v>
      </c>
      <c r="E10" s="11" t="s">
        <v>6</v>
      </c>
      <c r="F10" s="11" t="s">
        <v>7</v>
      </c>
      <c r="G10" s="967" t="s">
        <v>8</v>
      </c>
    </row>
    <row r="11" spans="1:7" s="2" customFormat="1" ht="13.8">
      <c r="A11" s="1015" t="s">
        <v>1517</v>
      </c>
      <c r="B11" s="1016"/>
      <c r="C11" s="51" t="s">
        <v>3</v>
      </c>
      <c r="D11" s="109">
        <v>0.01</v>
      </c>
      <c r="E11" s="17">
        <f>'MAQUINARIA Y EQUIPOS'!F39</f>
        <v>199900</v>
      </c>
      <c r="F11" s="14">
        <f>D11*E11</f>
        <v>1999</v>
      </c>
      <c r="G11" s="968"/>
    </row>
    <row r="12" spans="1:7" s="2" customFormat="1" ht="13.8">
      <c r="A12" s="948" t="s">
        <v>9</v>
      </c>
      <c r="B12" s="949"/>
      <c r="C12" s="12" t="s">
        <v>3</v>
      </c>
      <c r="D12" s="9">
        <v>0.05</v>
      </c>
      <c r="E12" s="13">
        <f>G25</f>
        <v>43271</v>
      </c>
      <c r="F12" s="14">
        <f>D12*E12</f>
        <v>2163.5500000000002</v>
      </c>
      <c r="G12" s="969"/>
    </row>
    <row r="13" spans="1:7" s="2" customFormat="1" ht="13.8">
      <c r="A13" s="983"/>
      <c r="B13" s="984"/>
      <c r="C13" s="12"/>
      <c r="D13" s="9"/>
      <c r="E13" s="13"/>
      <c r="F13" s="14"/>
      <c r="G13" s="15">
        <f>F12+F11</f>
        <v>4162.55</v>
      </c>
    </row>
    <row r="14" spans="1:7" s="2" customFormat="1" ht="13.8">
      <c r="A14" s="1006" t="s">
        <v>10</v>
      </c>
      <c r="B14" s="1007"/>
      <c r="C14" s="1007"/>
      <c r="D14" s="1007"/>
      <c r="E14" s="1007"/>
      <c r="F14" s="1007"/>
      <c r="G14" s="1008"/>
    </row>
    <row r="15" spans="1:7" s="2" customFormat="1" ht="15.75" customHeight="1">
      <c r="A15" s="974" t="s">
        <v>2</v>
      </c>
      <c r="B15" s="975"/>
      <c r="C15" s="11" t="s">
        <v>3</v>
      </c>
      <c r="D15" s="11" t="s">
        <v>4</v>
      </c>
      <c r="E15" s="11" t="s">
        <v>6</v>
      </c>
      <c r="F15" s="11" t="s">
        <v>11</v>
      </c>
      <c r="G15" s="967" t="s">
        <v>8</v>
      </c>
    </row>
    <row r="16" spans="1:7" s="2" customFormat="1" ht="15.75" customHeight="1">
      <c r="A16" s="948" t="s">
        <v>1515</v>
      </c>
      <c r="B16" s="949"/>
      <c r="C16" s="12" t="s">
        <v>34</v>
      </c>
      <c r="D16" s="12">
        <v>0.2</v>
      </c>
      <c r="E16" s="13">
        <f>'INSUMOS '!E321</f>
        <v>11445</v>
      </c>
      <c r="F16" s="14">
        <f>D16*E16</f>
        <v>2289</v>
      </c>
      <c r="G16" s="968"/>
    </row>
    <row r="17" spans="1:7" s="2" customFormat="1" ht="15.75" customHeight="1">
      <c r="A17" s="948" t="s">
        <v>2393</v>
      </c>
      <c r="B17" s="949"/>
      <c r="C17" s="12" t="s">
        <v>39</v>
      </c>
      <c r="D17" s="12">
        <v>1.05</v>
      </c>
      <c r="E17" s="13">
        <f>SUBANÁLISIS!G176</f>
        <v>503813.82500000001</v>
      </c>
      <c r="F17" s="14">
        <f>D17*E17</f>
        <v>529004.51624999999</v>
      </c>
      <c r="G17" s="969"/>
    </row>
    <row r="18" spans="1:7" s="2" customFormat="1" ht="15.75" customHeight="1">
      <c r="A18" s="948"/>
      <c r="B18" s="949"/>
      <c r="C18" s="12"/>
      <c r="D18" s="12"/>
      <c r="E18" s="13"/>
      <c r="F18" s="14"/>
      <c r="G18" s="15">
        <f>F17+F16</f>
        <v>531293.51624999999</v>
      </c>
    </row>
    <row r="19" spans="1:7" s="2" customFormat="1" ht="13.8">
      <c r="A19" s="1006" t="s">
        <v>15</v>
      </c>
      <c r="B19" s="1007"/>
      <c r="C19" s="1007"/>
      <c r="D19" s="1007"/>
      <c r="E19" s="1007"/>
      <c r="F19" s="1007"/>
      <c r="G19" s="1008"/>
    </row>
    <row r="20" spans="1:7" s="2" customFormat="1" ht="15.75" customHeight="1">
      <c r="A20" s="974" t="s">
        <v>2</v>
      </c>
      <c r="B20" s="975"/>
      <c r="C20" s="11" t="s">
        <v>3</v>
      </c>
      <c r="D20" s="11" t="s">
        <v>4</v>
      </c>
      <c r="E20" s="11" t="s">
        <v>6</v>
      </c>
      <c r="F20" s="11" t="s">
        <v>11</v>
      </c>
      <c r="G20" s="967" t="s">
        <v>8</v>
      </c>
    </row>
    <row r="21" spans="1:7" s="2" customFormat="1" ht="15.75" customHeight="1">
      <c r="A21" s="1019" t="s">
        <v>68</v>
      </c>
      <c r="B21" s="1020"/>
      <c r="C21" s="16" t="s">
        <v>3</v>
      </c>
      <c r="D21" s="54">
        <v>3.5000000000000003E-2</v>
      </c>
      <c r="E21" s="17">
        <f>G13</f>
        <v>4162.55</v>
      </c>
      <c r="F21" s="14">
        <f>E21*D21</f>
        <v>145.68925000000002</v>
      </c>
      <c r="G21" s="969"/>
    </row>
    <row r="22" spans="1:7" s="2" customFormat="1" ht="15.75" customHeight="1">
      <c r="A22" s="983" t="s">
        <v>17</v>
      </c>
      <c r="B22" s="984"/>
      <c r="C22" s="16" t="s">
        <v>18</v>
      </c>
      <c r="D22" s="54">
        <v>3.5000000000000003E-2</v>
      </c>
      <c r="E22" s="17">
        <f>G18</f>
        <v>531293.51624999999</v>
      </c>
      <c r="F22" s="14">
        <f>D22*E22</f>
        <v>18595.273068750001</v>
      </c>
      <c r="G22" s="15">
        <f>SUM(F21:F22)</f>
        <v>18740.96231875</v>
      </c>
    </row>
    <row r="23" spans="1:7" s="2" customFormat="1" ht="15.75" customHeight="1">
      <c r="A23" s="1006" t="s">
        <v>19</v>
      </c>
      <c r="B23" s="1007"/>
      <c r="C23" s="1007"/>
      <c r="D23" s="1007"/>
      <c r="E23" s="1007"/>
      <c r="F23" s="1007"/>
      <c r="G23" s="1008"/>
    </row>
    <row r="24" spans="1:7" s="2" customFormat="1" ht="15.75" customHeight="1">
      <c r="A24" s="974" t="s">
        <v>2</v>
      </c>
      <c r="B24" s="975"/>
      <c r="C24" s="11" t="s">
        <v>3</v>
      </c>
      <c r="D24" s="11" t="s">
        <v>4</v>
      </c>
      <c r="E24" s="11" t="s">
        <v>6</v>
      </c>
      <c r="F24" s="11" t="s">
        <v>11</v>
      </c>
      <c r="G24" s="18" t="s">
        <v>8</v>
      </c>
    </row>
    <row r="25" spans="1:7" s="2" customFormat="1" ht="15" customHeight="1">
      <c r="A25" s="978" t="str">
        <f>SALARIOS!$A$63</f>
        <v>CUADRILLA AA ALBAÑILERÍA 1:3</v>
      </c>
      <c r="B25" s="979"/>
      <c r="C25" s="13" t="s">
        <v>1245</v>
      </c>
      <c r="D25" s="12">
        <v>1</v>
      </c>
      <c r="E25" s="31">
        <f>SALARIOS!$C$63</f>
        <v>43271</v>
      </c>
      <c r="F25" s="14">
        <f>+D25*E25</f>
        <v>43271</v>
      </c>
      <c r="G25" s="15">
        <f>F25</f>
        <v>43271</v>
      </c>
    </row>
    <row r="26" spans="1:7" s="2" customFormat="1" ht="15.75" customHeight="1">
      <c r="A26" s="1009" t="s">
        <v>25</v>
      </c>
      <c r="B26" s="1010"/>
      <c r="C26" s="1010"/>
      <c r="D26" s="1010"/>
      <c r="E26" s="1010"/>
      <c r="F26" s="1010"/>
      <c r="G26" s="1011"/>
    </row>
    <row r="27" spans="1:7" s="2" customFormat="1" ht="15.75" customHeight="1">
      <c r="A27" s="1012"/>
      <c r="B27" s="1013"/>
      <c r="C27" s="1013"/>
      <c r="D27" s="1013"/>
      <c r="E27" s="1013"/>
      <c r="F27" s="1014"/>
      <c r="G27" s="20">
        <f>G25+G22+G18+G13</f>
        <v>597468.02856875001</v>
      </c>
    </row>
    <row r="28" spans="1:7" ht="20.399999999999999">
      <c r="G28" s="30"/>
    </row>
    <row r="29" spans="1:7" s="2" customFormat="1" ht="15.75" customHeight="1">
      <c r="A29" s="986" t="s">
        <v>1</v>
      </c>
      <c r="B29" s="987"/>
      <c r="C29" s="992" t="s">
        <v>0</v>
      </c>
      <c r="D29" s="993"/>
      <c r="E29" s="993"/>
      <c r="F29" s="993"/>
      <c r="G29" s="994"/>
    </row>
    <row r="30" spans="1:7" s="2" customFormat="1" ht="47.25" customHeight="1">
      <c r="A30" s="988"/>
      <c r="B30" s="989"/>
      <c r="C30" s="995"/>
      <c r="D30" s="996"/>
      <c r="E30" s="996"/>
      <c r="F30" s="996"/>
      <c r="G30" s="997"/>
    </row>
    <row r="31" spans="1:7" s="2" customFormat="1" ht="17.399999999999999">
      <c r="A31" s="988"/>
      <c r="B31" s="989"/>
      <c r="C31" s="998"/>
      <c r="D31" s="999"/>
      <c r="E31" s="999"/>
      <c r="F31" s="999"/>
      <c r="G31" s="1000"/>
    </row>
    <row r="32" spans="1:7" s="2" customFormat="1" ht="13.8">
      <c r="A32" s="990"/>
      <c r="B32" s="991"/>
      <c r="C32" s="1001" t="s">
        <v>2</v>
      </c>
      <c r="D32" s="1002"/>
      <c r="E32" s="1003"/>
      <c r="F32" s="23" t="s">
        <v>3</v>
      </c>
      <c r="G32" s="24" t="s">
        <v>4</v>
      </c>
    </row>
    <row r="33" spans="1:7" s="2" customFormat="1" ht="205.5" customHeight="1">
      <c r="A33" s="1004" t="s">
        <v>110</v>
      </c>
      <c r="B33" s="1005"/>
      <c r="C33" s="1017" t="s">
        <v>111</v>
      </c>
      <c r="D33" s="1018"/>
      <c r="E33" s="949"/>
      <c r="F33" s="9" t="s">
        <v>37</v>
      </c>
      <c r="G33" s="25">
        <v>48.91</v>
      </c>
    </row>
    <row r="34" spans="1:7" s="2" customFormat="1" ht="13.8">
      <c r="A34" s="1006" t="s">
        <v>5</v>
      </c>
      <c r="B34" s="1007"/>
      <c r="C34" s="1007"/>
      <c r="D34" s="1007"/>
      <c r="E34" s="1007"/>
      <c r="F34" s="1007"/>
      <c r="G34" s="1008"/>
    </row>
    <row r="35" spans="1:7" s="2" customFormat="1" ht="13.8">
      <c r="A35" s="974" t="s">
        <v>2</v>
      </c>
      <c r="B35" s="975"/>
      <c r="C35" s="11" t="s">
        <v>3</v>
      </c>
      <c r="D35" s="11" t="s">
        <v>4</v>
      </c>
      <c r="E35" s="11" t="s">
        <v>6</v>
      </c>
      <c r="F35" s="11" t="s">
        <v>7</v>
      </c>
      <c r="G35" s="967" t="s">
        <v>8</v>
      </c>
    </row>
    <row r="36" spans="1:7" s="2" customFormat="1" ht="13.8">
      <c r="A36" s="948" t="s">
        <v>9</v>
      </c>
      <c r="B36" s="949"/>
      <c r="C36" s="12" t="s">
        <v>3</v>
      </c>
      <c r="D36" s="9">
        <v>0.05</v>
      </c>
      <c r="E36" s="13">
        <f>G51</f>
        <v>43271</v>
      </c>
      <c r="F36" s="14">
        <f>D36*E36</f>
        <v>2163.5500000000002</v>
      </c>
      <c r="G36" s="968"/>
    </row>
    <row r="37" spans="1:7" s="2" customFormat="1" ht="13.8">
      <c r="A37" s="983" t="s">
        <v>112</v>
      </c>
      <c r="B37" s="984"/>
      <c r="C37" s="12" t="s">
        <v>58</v>
      </c>
      <c r="D37" s="9">
        <v>0.04</v>
      </c>
      <c r="E37" s="13">
        <f>'MAQUINARIA Y EQUIPOS'!$F$23</f>
        <v>28203</v>
      </c>
      <c r="F37" s="14">
        <f>D37*E37</f>
        <v>1128.1200000000001</v>
      </c>
      <c r="G37" s="968"/>
    </row>
    <row r="38" spans="1:7" s="2" customFormat="1" ht="15.75" customHeight="1">
      <c r="A38" s="948" t="s">
        <v>113</v>
      </c>
      <c r="B38" s="949"/>
      <c r="C38" s="12" t="s">
        <v>58</v>
      </c>
      <c r="D38" s="9">
        <v>0.3</v>
      </c>
      <c r="E38" s="13">
        <f>'MAQUINARIA Y EQUIPOS'!$F$10</f>
        <v>3272.5</v>
      </c>
      <c r="F38" s="14">
        <f>D38*E38</f>
        <v>981.75</v>
      </c>
      <c r="G38" s="969"/>
    </row>
    <row r="39" spans="1:7" s="2" customFormat="1" ht="14.25" customHeight="1">
      <c r="A39" s="948" t="s">
        <v>61</v>
      </c>
      <c r="B39" s="949"/>
      <c r="C39" s="12" t="s">
        <v>58</v>
      </c>
      <c r="D39" s="9">
        <v>0.1</v>
      </c>
      <c r="E39" s="13">
        <f>'MAQUINARIA Y EQUIPOS'!$F$18</f>
        <v>40460</v>
      </c>
      <c r="F39" s="14">
        <f>D39*E39</f>
        <v>4046</v>
      </c>
      <c r="G39" s="15">
        <f>SUM(F35:F39)</f>
        <v>8319.42</v>
      </c>
    </row>
    <row r="40" spans="1:7" s="2" customFormat="1" ht="13.8">
      <c r="A40" s="1006" t="s">
        <v>10</v>
      </c>
      <c r="B40" s="1007"/>
      <c r="C40" s="1007"/>
      <c r="D40" s="1007"/>
      <c r="E40" s="1007"/>
      <c r="F40" s="1007"/>
      <c r="G40" s="1008"/>
    </row>
    <row r="41" spans="1:7" s="2" customFormat="1" ht="15.75" customHeight="1">
      <c r="A41" s="974" t="s">
        <v>2</v>
      </c>
      <c r="B41" s="975"/>
      <c r="C41" s="11" t="s">
        <v>3</v>
      </c>
      <c r="D41" s="11" t="s">
        <v>4</v>
      </c>
      <c r="E41" s="11" t="s">
        <v>6</v>
      </c>
      <c r="F41" s="11" t="s">
        <v>11</v>
      </c>
      <c r="G41" s="967" t="s">
        <v>8</v>
      </c>
    </row>
    <row r="42" spans="1:7" s="2" customFormat="1" ht="15.75" customHeight="1">
      <c r="A42" s="948" t="s">
        <v>115</v>
      </c>
      <c r="B42" s="949"/>
      <c r="C42" s="12" t="s">
        <v>3</v>
      </c>
      <c r="D42" s="12">
        <v>0.03</v>
      </c>
      <c r="E42" s="13">
        <f>'INSUMOS '!$E$28</f>
        <v>51900</v>
      </c>
      <c r="F42" s="14">
        <f>D42*E42</f>
        <v>1557</v>
      </c>
      <c r="G42" s="968"/>
    </row>
    <row r="43" spans="1:7" s="2" customFormat="1" ht="15.75" customHeight="1">
      <c r="A43" s="948" t="s">
        <v>114</v>
      </c>
      <c r="B43" s="949"/>
      <c r="C43" s="12" t="s">
        <v>39</v>
      </c>
      <c r="D43" s="12">
        <v>0.03</v>
      </c>
      <c r="E43" s="13">
        <f>SUBANÁLISIS!$G$89</f>
        <v>431833.82500000001</v>
      </c>
      <c r="F43" s="14">
        <f>D43*E43</f>
        <v>12955.01475</v>
      </c>
      <c r="G43" s="969"/>
    </row>
    <row r="44" spans="1:7" s="2" customFormat="1" ht="15.75" customHeight="1">
      <c r="A44" s="948" t="s">
        <v>140</v>
      </c>
      <c r="B44" s="949"/>
      <c r="C44" s="12" t="s">
        <v>3</v>
      </c>
      <c r="D44" s="33">
        <v>12.5</v>
      </c>
      <c r="E44" s="13">
        <f>'INSUMOS '!$E$50</f>
        <v>4150</v>
      </c>
      <c r="F44" s="14">
        <f>E44*D44</f>
        <v>51875</v>
      </c>
      <c r="G44" s="15">
        <f>SUM(F41:F44)</f>
        <v>66387.014750000002</v>
      </c>
    </row>
    <row r="45" spans="1:7" s="2" customFormat="1" ht="13.8">
      <c r="A45" s="1006" t="s">
        <v>15</v>
      </c>
      <c r="B45" s="1007"/>
      <c r="C45" s="1007"/>
      <c r="D45" s="1007"/>
      <c r="E45" s="1007"/>
      <c r="F45" s="1007"/>
      <c r="G45" s="1008"/>
    </row>
    <row r="46" spans="1:7" s="2" customFormat="1" ht="15.75" customHeight="1">
      <c r="A46" s="974" t="s">
        <v>2</v>
      </c>
      <c r="B46" s="975"/>
      <c r="C46" s="11" t="s">
        <v>3</v>
      </c>
      <c r="D46" s="11" t="s">
        <v>4</v>
      </c>
      <c r="E46" s="11" t="s">
        <v>6</v>
      </c>
      <c r="F46" s="11" t="s">
        <v>11</v>
      </c>
      <c r="G46" s="967" t="s">
        <v>8</v>
      </c>
    </row>
    <row r="47" spans="1:7" s="2" customFormat="1" ht="15.75" customHeight="1">
      <c r="A47" s="1019" t="s">
        <v>68</v>
      </c>
      <c r="B47" s="1020"/>
      <c r="C47" s="16" t="s">
        <v>3</v>
      </c>
      <c r="D47" s="54">
        <v>3.5000000000000003E-2</v>
      </c>
      <c r="E47" s="17">
        <f>G39</f>
        <v>8319.42</v>
      </c>
      <c r="F47" s="14">
        <f>E47*D47</f>
        <v>291.17970000000003</v>
      </c>
      <c r="G47" s="969"/>
    </row>
    <row r="48" spans="1:7" s="2" customFormat="1" ht="15.75" customHeight="1">
      <c r="A48" s="983" t="s">
        <v>17</v>
      </c>
      <c r="B48" s="984"/>
      <c r="C48" s="16" t="s">
        <v>18</v>
      </c>
      <c r="D48" s="54">
        <v>3.5000000000000003E-2</v>
      </c>
      <c r="E48" s="17">
        <f>+G44</f>
        <v>66387.014750000002</v>
      </c>
      <c r="F48" s="14">
        <f>E48*D48</f>
        <v>2323.5455162500002</v>
      </c>
      <c r="G48" s="15">
        <f>SUM(F47:F48)</f>
        <v>2614.7252162500004</v>
      </c>
    </row>
    <row r="49" spans="1:7" s="2" customFormat="1" ht="15.75" customHeight="1">
      <c r="A49" s="1006" t="s">
        <v>19</v>
      </c>
      <c r="B49" s="1007"/>
      <c r="C49" s="1007"/>
      <c r="D49" s="1007"/>
      <c r="E49" s="1007"/>
      <c r="F49" s="1007"/>
      <c r="G49" s="1008"/>
    </row>
    <row r="50" spans="1:7" s="2" customFormat="1" ht="15.75" customHeight="1">
      <c r="A50" s="974" t="s">
        <v>2</v>
      </c>
      <c r="B50" s="975"/>
      <c r="C50" s="11" t="s">
        <v>3</v>
      </c>
      <c r="D50" s="11" t="s">
        <v>4</v>
      </c>
      <c r="E50" s="11" t="s">
        <v>6</v>
      </c>
      <c r="F50" s="11" t="s">
        <v>11</v>
      </c>
      <c r="G50" s="18" t="s">
        <v>8</v>
      </c>
    </row>
    <row r="51" spans="1:7" s="2" customFormat="1" ht="15" customHeight="1">
      <c r="A51" s="978" t="e">
        <f>SALARIOS!#REF!</f>
        <v>#REF!</v>
      </c>
      <c r="B51" s="979"/>
      <c r="C51" s="13" t="s">
        <v>1245</v>
      </c>
      <c r="D51" s="12">
        <v>1</v>
      </c>
      <c r="E51" s="17">
        <f>SALARIOS!$C$63</f>
        <v>43271</v>
      </c>
      <c r="F51" s="14">
        <f>+D51*E51</f>
        <v>43271</v>
      </c>
      <c r="G51" s="15">
        <f>F51</f>
        <v>43271</v>
      </c>
    </row>
    <row r="52" spans="1:7" s="2" customFormat="1" ht="15.75" customHeight="1">
      <c r="A52" s="1009" t="s">
        <v>25</v>
      </c>
      <c r="B52" s="1010"/>
      <c r="C52" s="1010"/>
      <c r="D52" s="1010"/>
      <c r="E52" s="1010"/>
      <c r="F52" s="1010"/>
      <c r="G52" s="1011"/>
    </row>
    <row r="53" spans="1:7" s="2" customFormat="1" ht="15.75" customHeight="1">
      <c r="A53" s="1012"/>
      <c r="B53" s="1013"/>
      <c r="C53" s="1013"/>
      <c r="D53" s="1013"/>
      <c r="E53" s="1013"/>
      <c r="F53" s="1014"/>
      <c r="G53" s="20">
        <f>G51+G48+G44+G39</f>
        <v>120592.15996624999</v>
      </c>
    </row>
    <row r="54" spans="1:7" s="2" customFormat="1" ht="15.75" customHeight="1">
      <c r="A54" s="26"/>
      <c r="B54" s="27"/>
      <c r="C54" s="28"/>
      <c r="D54" s="28"/>
      <c r="E54" s="29"/>
      <c r="F54" s="28"/>
      <c r="G54" s="30"/>
    </row>
    <row r="55" spans="1:7" s="2" customFormat="1" ht="15.75" customHeight="1">
      <c r="A55" s="986" t="s">
        <v>1</v>
      </c>
      <c r="B55" s="987"/>
      <c r="C55" s="992" t="s">
        <v>0</v>
      </c>
      <c r="D55" s="993"/>
      <c r="E55" s="993"/>
      <c r="F55" s="993"/>
      <c r="G55" s="994"/>
    </row>
    <row r="56" spans="1:7" s="2" customFormat="1" ht="50.25" customHeight="1">
      <c r="A56" s="988"/>
      <c r="B56" s="989"/>
      <c r="C56" s="995"/>
      <c r="D56" s="996"/>
      <c r="E56" s="996"/>
      <c r="F56" s="996"/>
      <c r="G56" s="997"/>
    </row>
    <row r="57" spans="1:7" s="2" customFormat="1" ht="17.399999999999999">
      <c r="A57" s="988"/>
      <c r="B57" s="989"/>
      <c r="C57" s="998"/>
      <c r="D57" s="999"/>
      <c r="E57" s="999"/>
      <c r="F57" s="999"/>
      <c r="G57" s="1000"/>
    </row>
    <row r="58" spans="1:7" s="2" customFormat="1" ht="13.8">
      <c r="A58" s="990"/>
      <c r="B58" s="991"/>
      <c r="C58" s="1001" t="s">
        <v>2</v>
      </c>
      <c r="D58" s="1002"/>
      <c r="E58" s="1003"/>
      <c r="F58" s="23" t="s">
        <v>3</v>
      </c>
      <c r="G58" s="24" t="s">
        <v>4</v>
      </c>
    </row>
    <row r="59" spans="1:7" s="2" customFormat="1" ht="203.25" customHeight="1">
      <c r="A59" s="1004" t="s">
        <v>116</v>
      </c>
      <c r="B59" s="1005"/>
      <c r="C59" s="1017" t="s">
        <v>117</v>
      </c>
      <c r="D59" s="1018"/>
      <c r="E59" s="949"/>
      <c r="F59" s="9" t="s">
        <v>37</v>
      </c>
      <c r="G59" s="25">
        <v>4.0999999999999996</v>
      </c>
    </row>
    <row r="60" spans="1:7" s="2" customFormat="1" ht="13.8">
      <c r="A60" s="1006" t="s">
        <v>5</v>
      </c>
      <c r="B60" s="1007"/>
      <c r="C60" s="1007"/>
      <c r="D60" s="1007"/>
      <c r="E60" s="1007"/>
      <c r="F60" s="1007"/>
      <c r="G60" s="1008"/>
    </row>
    <row r="61" spans="1:7" s="2" customFormat="1" ht="13.8">
      <c r="A61" s="974" t="s">
        <v>2</v>
      </c>
      <c r="B61" s="975"/>
      <c r="C61" s="11" t="s">
        <v>3</v>
      </c>
      <c r="D61" s="11" t="s">
        <v>4</v>
      </c>
      <c r="E61" s="11" t="s">
        <v>6</v>
      </c>
      <c r="F61" s="11" t="s">
        <v>7</v>
      </c>
      <c r="G61" s="967" t="s">
        <v>8</v>
      </c>
    </row>
    <row r="62" spans="1:7" s="2" customFormat="1" ht="13.8">
      <c r="A62" s="948" t="s">
        <v>9</v>
      </c>
      <c r="B62" s="949"/>
      <c r="C62" s="12" t="s">
        <v>3</v>
      </c>
      <c r="D62" s="9">
        <v>0.05</v>
      </c>
      <c r="E62" s="13">
        <f>G77</f>
        <v>23844.1</v>
      </c>
      <c r="F62" s="14">
        <f>D62*E62</f>
        <v>1192.2049999999999</v>
      </c>
      <c r="G62" s="968"/>
    </row>
    <row r="63" spans="1:7" s="2" customFormat="1" ht="13.8">
      <c r="A63" s="983" t="s">
        <v>112</v>
      </c>
      <c r="B63" s="984"/>
      <c r="C63" s="12" t="s">
        <v>58</v>
      </c>
      <c r="D63" s="9">
        <v>0.03</v>
      </c>
      <c r="E63" s="13">
        <f>'MAQUINARIA Y EQUIPOS'!F23</f>
        <v>28203</v>
      </c>
      <c r="F63" s="14">
        <f>D63*E63</f>
        <v>846.08999999999992</v>
      </c>
      <c r="G63" s="968"/>
    </row>
    <row r="64" spans="1:7" s="2" customFormat="1" ht="15.75" customHeight="1">
      <c r="A64" s="948" t="s">
        <v>113</v>
      </c>
      <c r="B64" s="949"/>
      <c r="C64" s="12" t="s">
        <v>58</v>
      </c>
      <c r="D64" s="9">
        <v>0.3</v>
      </c>
      <c r="E64" s="13">
        <f>'MAQUINARIA Y EQUIPOS'!F10</f>
        <v>3272.5</v>
      </c>
      <c r="F64" s="14">
        <f>D64*E64</f>
        <v>981.75</v>
      </c>
      <c r="G64" s="969"/>
    </row>
    <row r="65" spans="1:7" s="2" customFormat="1" ht="14.25" customHeight="1">
      <c r="A65" s="948" t="s">
        <v>61</v>
      </c>
      <c r="B65" s="949"/>
      <c r="C65" s="12" t="s">
        <v>58</v>
      </c>
      <c r="D65" s="9">
        <v>0.1</v>
      </c>
      <c r="E65" s="13">
        <f>'MAQUINARIA Y EQUIPOS'!F18</f>
        <v>40460</v>
      </c>
      <c r="F65" s="14">
        <f>D65*E65</f>
        <v>4046</v>
      </c>
      <c r="G65" s="15">
        <f>SUM(F61:F65)</f>
        <v>7066.0450000000001</v>
      </c>
    </row>
    <row r="66" spans="1:7" s="2" customFormat="1" ht="13.8">
      <c r="A66" s="1006" t="s">
        <v>10</v>
      </c>
      <c r="B66" s="1007"/>
      <c r="C66" s="1007"/>
      <c r="D66" s="1007"/>
      <c r="E66" s="1007"/>
      <c r="F66" s="1007"/>
      <c r="G66" s="1008"/>
    </row>
    <row r="67" spans="1:7" s="2" customFormat="1" ht="15.75" customHeight="1">
      <c r="A67" s="974" t="s">
        <v>2</v>
      </c>
      <c r="B67" s="975"/>
      <c r="C67" s="11" t="s">
        <v>3</v>
      </c>
      <c r="D67" s="11" t="s">
        <v>4</v>
      </c>
      <c r="E67" s="11" t="s">
        <v>6</v>
      </c>
      <c r="F67" s="11" t="s">
        <v>11</v>
      </c>
      <c r="G67" s="967" t="s">
        <v>8</v>
      </c>
    </row>
    <row r="68" spans="1:7" s="2" customFormat="1" ht="15.75" customHeight="1">
      <c r="A68" s="948" t="s">
        <v>114</v>
      </c>
      <c r="B68" s="949"/>
      <c r="C68" s="12" t="s">
        <v>39</v>
      </c>
      <c r="D68" s="12">
        <v>0.02</v>
      </c>
      <c r="E68" s="13">
        <f>SUBANÁLISIS!G89</f>
        <v>431833.82500000001</v>
      </c>
      <c r="F68" s="14">
        <f>D68*E68</f>
        <v>8636.6764999999996</v>
      </c>
      <c r="G68" s="968"/>
    </row>
    <row r="69" spans="1:7" s="2" customFormat="1" ht="15.75" customHeight="1">
      <c r="A69" s="948" t="s">
        <v>115</v>
      </c>
      <c r="B69" s="949"/>
      <c r="C69" s="12" t="s">
        <v>3</v>
      </c>
      <c r="D69" s="12">
        <v>0.03</v>
      </c>
      <c r="E69" s="13">
        <f>'INSUMOS '!E28</f>
        <v>51900</v>
      </c>
      <c r="F69" s="14">
        <f>D69*E69</f>
        <v>1557</v>
      </c>
      <c r="G69" s="969"/>
    </row>
    <row r="70" spans="1:7" s="2" customFormat="1" ht="15.75" customHeight="1">
      <c r="A70" s="948" t="s">
        <v>119</v>
      </c>
      <c r="B70" s="949"/>
      <c r="C70" s="12" t="s">
        <v>3</v>
      </c>
      <c r="D70" s="33">
        <v>25</v>
      </c>
      <c r="E70" s="13">
        <f>'INSUMOS '!E45</f>
        <v>3253.46</v>
      </c>
      <c r="F70" s="14">
        <f>E70*D70</f>
        <v>81336.5</v>
      </c>
      <c r="G70" s="15">
        <f>SUM(F67:F70)</f>
        <v>91530.176500000001</v>
      </c>
    </row>
    <row r="71" spans="1:7" s="2" customFormat="1" ht="13.8">
      <c r="A71" s="1006" t="s">
        <v>15</v>
      </c>
      <c r="B71" s="1007"/>
      <c r="C71" s="1007"/>
      <c r="D71" s="1007"/>
      <c r="E71" s="1007"/>
      <c r="F71" s="1007"/>
      <c r="G71" s="1008"/>
    </row>
    <row r="72" spans="1:7" s="2" customFormat="1" ht="15.75" customHeight="1">
      <c r="A72" s="974" t="s">
        <v>2</v>
      </c>
      <c r="B72" s="975"/>
      <c r="C72" s="11" t="s">
        <v>3</v>
      </c>
      <c r="D72" s="11" t="s">
        <v>4</v>
      </c>
      <c r="E72" s="11" t="s">
        <v>6</v>
      </c>
      <c r="F72" s="11" t="s">
        <v>11</v>
      </c>
      <c r="G72" s="967" t="s">
        <v>8</v>
      </c>
    </row>
    <row r="73" spans="1:7" s="2" customFormat="1" ht="15.75" customHeight="1">
      <c r="A73" s="1019" t="s">
        <v>68</v>
      </c>
      <c r="B73" s="1020"/>
      <c r="C73" s="16" t="s">
        <v>3</v>
      </c>
      <c r="D73" s="54">
        <v>3.5000000000000003E-2</v>
      </c>
      <c r="E73" s="17">
        <f>G65</f>
        <v>7066.0450000000001</v>
      </c>
      <c r="F73" s="14">
        <f>E73*D73</f>
        <v>247.31157500000003</v>
      </c>
      <c r="G73" s="969"/>
    </row>
    <row r="74" spans="1:7" s="2" customFormat="1" ht="15.75" customHeight="1">
      <c r="A74" s="983" t="s">
        <v>17</v>
      </c>
      <c r="B74" s="984"/>
      <c r="C74" s="16" t="s">
        <v>18</v>
      </c>
      <c r="D74" s="54">
        <v>3.5000000000000003E-2</v>
      </c>
      <c r="E74" s="17">
        <f>+G70</f>
        <v>91530.176500000001</v>
      </c>
      <c r="F74" s="14">
        <f>E74*D74</f>
        <v>3203.5561775000006</v>
      </c>
      <c r="G74" s="15">
        <f>SUM(F73:F74)</f>
        <v>3450.8677525000007</v>
      </c>
    </row>
    <row r="75" spans="1:7" s="2" customFormat="1" ht="15.75" customHeight="1">
      <c r="A75" s="1006" t="s">
        <v>19</v>
      </c>
      <c r="B75" s="1007"/>
      <c r="C75" s="1007"/>
      <c r="D75" s="1007"/>
      <c r="E75" s="1007"/>
      <c r="F75" s="1007"/>
      <c r="G75" s="1008"/>
    </row>
    <row r="76" spans="1:7" s="2" customFormat="1" ht="15.75" customHeight="1">
      <c r="A76" s="974" t="s">
        <v>2</v>
      </c>
      <c r="B76" s="975"/>
      <c r="C76" s="11" t="s">
        <v>3</v>
      </c>
      <c r="D76" s="11" t="s">
        <v>4</v>
      </c>
      <c r="E76" s="11" t="s">
        <v>6</v>
      </c>
      <c r="F76" s="11" t="s">
        <v>11</v>
      </c>
      <c r="G76" s="18" t="s">
        <v>8</v>
      </c>
    </row>
    <row r="77" spans="1:7" s="2" customFormat="1" ht="15" customHeight="1">
      <c r="A77" s="978" t="str">
        <f>SALARIOS!A62</f>
        <v>CUADRILLA AA ALBAÑILERÍA 1:2</v>
      </c>
      <c r="B77" s="979"/>
      <c r="C77" s="13" t="str">
        <f>SALARIOS!B62</f>
        <v>H/C</v>
      </c>
      <c r="D77" s="12">
        <v>0.7</v>
      </c>
      <c r="E77" s="17">
        <f>SALARIOS!C62</f>
        <v>34063</v>
      </c>
      <c r="F77" s="14">
        <f>+D77*E77</f>
        <v>23844.1</v>
      </c>
      <c r="G77" s="15">
        <f>F77</f>
        <v>23844.1</v>
      </c>
    </row>
    <row r="78" spans="1:7" s="2" customFormat="1" ht="15.75" customHeight="1">
      <c r="A78" s="1009" t="s">
        <v>25</v>
      </c>
      <c r="B78" s="1010"/>
      <c r="C78" s="1010"/>
      <c r="D78" s="1010"/>
      <c r="E78" s="1010"/>
      <c r="F78" s="1010"/>
      <c r="G78" s="1011"/>
    </row>
    <row r="79" spans="1:7" s="2" customFormat="1" ht="15.75" customHeight="1">
      <c r="A79" s="1012"/>
      <c r="B79" s="1013"/>
      <c r="C79" s="1013"/>
      <c r="D79" s="1013"/>
      <c r="E79" s="1013"/>
      <c r="F79" s="1014"/>
      <c r="G79" s="20">
        <f>G77+G74+G70+G65</f>
        <v>125891.1892525</v>
      </c>
    </row>
    <row r="80" spans="1:7" s="2" customFormat="1" ht="15.75" customHeight="1">
      <c r="A80" s="26"/>
      <c r="B80" s="27"/>
      <c r="C80" s="28"/>
      <c r="D80" s="28"/>
      <c r="E80" s="29"/>
      <c r="F80" s="28"/>
      <c r="G80" s="30"/>
    </row>
    <row r="81" spans="1:7" s="2" customFormat="1" ht="15.75" customHeight="1">
      <c r="A81" s="986" t="s">
        <v>1</v>
      </c>
      <c r="B81" s="987"/>
      <c r="C81" s="992" t="s">
        <v>0</v>
      </c>
      <c r="D81" s="993"/>
      <c r="E81" s="993"/>
      <c r="F81" s="993"/>
      <c r="G81" s="994"/>
    </row>
    <row r="82" spans="1:7" s="2" customFormat="1" ht="47.25" customHeight="1">
      <c r="A82" s="988"/>
      <c r="B82" s="989"/>
      <c r="C82" s="995"/>
      <c r="D82" s="996"/>
      <c r="E82" s="996"/>
      <c r="F82" s="996"/>
      <c r="G82" s="997"/>
    </row>
    <row r="83" spans="1:7" s="2" customFormat="1" ht="15.75" customHeight="1">
      <c r="A83" s="988"/>
      <c r="B83" s="989"/>
      <c r="C83" s="998"/>
      <c r="D83" s="999"/>
      <c r="E83" s="999"/>
      <c r="F83" s="999"/>
      <c r="G83" s="1000"/>
    </row>
    <row r="84" spans="1:7" s="2" customFormat="1" ht="15.75" customHeight="1">
      <c r="A84" s="990"/>
      <c r="B84" s="991"/>
      <c r="C84" s="1001" t="s">
        <v>2</v>
      </c>
      <c r="D84" s="1002"/>
      <c r="E84" s="1003"/>
      <c r="F84" s="23" t="s">
        <v>3</v>
      </c>
      <c r="G84" s="24" t="s">
        <v>4</v>
      </c>
    </row>
    <row r="85" spans="1:7" s="2" customFormat="1" ht="83.25" customHeight="1">
      <c r="A85" s="1004" t="s">
        <v>120</v>
      </c>
      <c r="B85" s="1005"/>
      <c r="C85" s="1017" t="s">
        <v>121</v>
      </c>
      <c r="D85" s="1018"/>
      <c r="E85" s="949"/>
      <c r="F85" s="9" t="s">
        <v>37</v>
      </c>
      <c r="G85" s="25">
        <v>83.42</v>
      </c>
    </row>
    <row r="86" spans="1:7" s="2" customFormat="1" ht="13.8">
      <c r="A86" s="1006" t="s">
        <v>5</v>
      </c>
      <c r="B86" s="1007"/>
      <c r="C86" s="1007"/>
      <c r="D86" s="1007"/>
      <c r="E86" s="1007"/>
      <c r="F86" s="1007"/>
      <c r="G86" s="1008"/>
    </row>
    <row r="87" spans="1:7" s="2" customFormat="1" ht="13.8">
      <c r="A87" s="974" t="s">
        <v>2</v>
      </c>
      <c r="B87" s="975"/>
      <c r="C87" s="11" t="s">
        <v>3</v>
      </c>
      <c r="D87" s="11" t="s">
        <v>4</v>
      </c>
      <c r="E87" s="11" t="s">
        <v>6</v>
      </c>
      <c r="F87" s="11" t="s">
        <v>7</v>
      </c>
      <c r="G87" s="967" t="s">
        <v>8</v>
      </c>
    </row>
    <row r="88" spans="1:7" s="2" customFormat="1" ht="13.8">
      <c r="A88" s="948" t="s">
        <v>9</v>
      </c>
      <c r="B88" s="949"/>
      <c r="C88" s="12" t="s">
        <v>3</v>
      </c>
      <c r="D88" s="9">
        <v>0.05</v>
      </c>
      <c r="E88" s="13">
        <f>G104</f>
        <v>12427.5</v>
      </c>
      <c r="F88" s="14">
        <f>D88*E88</f>
        <v>621.375</v>
      </c>
      <c r="G88" s="969"/>
    </row>
    <row r="89" spans="1:7" s="2" customFormat="1" ht="13.8">
      <c r="A89" s="948" t="s">
        <v>122</v>
      </c>
      <c r="B89" s="949"/>
      <c r="C89" s="12" t="s">
        <v>58</v>
      </c>
      <c r="D89" s="9">
        <v>0.5</v>
      </c>
      <c r="E89" s="13">
        <f>'MAQUINARIA Y EQUIPOS'!$F$25</f>
        <v>14280</v>
      </c>
      <c r="F89" s="14">
        <f>D89*E89</f>
        <v>7140</v>
      </c>
      <c r="G89" s="15">
        <f>SUM(F87:F89)</f>
        <v>7761.375</v>
      </c>
    </row>
    <row r="90" spans="1:7" s="2" customFormat="1" ht="13.8">
      <c r="A90" s="1006" t="s">
        <v>10</v>
      </c>
      <c r="B90" s="1007"/>
      <c r="C90" s="1007"/>
      <c r="D90" s="1007"/>
      <c r="E90" s="1007"/>
      <c r="F90" s="1007"/>
      <c r="G90" s="1008"/>
    </row>
    <row r="91" spans="1:7" s="2" customFormat="1" ht="13.8">
      <c r="A91" s="974" t="s">
        <v>2</v>
      </c>
      <c r="B91" s="975"/>
      <c r="C91" s="11" t="s">
        <v>3</v>
      </c>
      <c r="D91" s="11" t="s">
        <v>4</v>
      </c>
      <c r="E91" s="11" t="s">
        <v>6</v>
      </c>
      <c r="F91" s="11" t="s">
        <v>11</v>
      </c>
      <c r="G91" s="967" t="s">
        <v>8</v>
      </c>
    </row>
    <row r="92" spans="1:7" s="2" customFormat="1" ht="15.75" customHeight="1">
      <c r="A92" s="948" t="s">
        <v>1538</v>
      </c>
      <c r="B92" s="949"/>
      <c r="C92" s="9" t="s">
        <v>34</v>
      </c>
      <c r="D92" s="9">
        <v>6</v>
      </c>
      <c r="E92" s="13">
        <f>'INSUMOS '!$E$36</f>
        <v>1716</v>
      </c>
      <c r="F92" s="14">
        <f>D92*E92</f>
        <v>10296</v>
      </c>
      <c r="G92" s="968"/>
    </row>
    <row r="93" spans="1:7" s="2" customFormat="1" ht="15.75" customHeight="1">
      <c r="A93" s="948" t="s">
        <v>115</v>
      </c>
      <c r="B93" s="949"/>
      <c r="C93" s="12" t="s">
        <v>3</v>
      </c>
      <c r="D93" s="12">
        <v>0.03</v>
      </c>
      <c r="E93" s="13">
        <f>'INSUMOS '!$E$28</f>
        <v>51900</v>
      </c>
      <c r="F93" s="14">
        <f>D93*E93</f>
        <v>1557</v>
      </c>
      <c r="G93" s="968"/>
    </row>
    <row r="94" spans="1:7" s="2" customFormat="1" ht="15.75" customHeight="1">
      <c r="A94" s="948" t="s">
        <v>123</v>
      </c>
      <c r="B94" s="949"/>
      <c r="C94" s="9" t="s">
        <v>37</v>
      </c>
      <c r="D94" s="9">
        <v>1.1000000000000001</v>
      </c>
      <c r="E94" s="13">
        <f>'INSUMOS '!$E$3</f>
        <v>48700</v>
      </c>
      <c r="F94" s="14">
        <f>D94*E94</f>
        <v>53570.000000000007</v>
      </c>
      <c r="G94" s="968"/>
    </row>
    <row r="95" spans="1:7" s="2" customFormat="1" ht="15.75" customHeight="1">
      <c r="A95" s="948" t="s">
        <v>124</v>
      </c>
      <c r="B95" s="949"/>
      <c r="C95" s="9" t="s">
        <v>45</v>
      </c>
      <c r="D95" s="9">
        <v>1.26</v>
      </c>
      <c r="E95" s="13">
        <f>'INSUMOS '!$E$77</f>
        <v>3082</v>
      </c>
      <c r="F95" s="14">
        <f>D95*E95</f>
        <v>3883.32</v>
      </c>
      <c r="G95" s="968"/>
    </row>
    <row r="96" spans="1:7" s="2" customFormat="1" ht="15.75" customHeight="1">
      <c r="A96" s="948" t="s">
        <v>125</v>
      </c>
      <c r="B96" s="949"/>
      <c r="C96" s="12" t="s">
        <v>34</v>
      </c>
      <c r="D96" s="9">
        <v>0.65</v>
      </c>
      <c r="E96" s="13">
        <f>'INSUMOS '!$E$38</f>
        <v>6500</v>
      </c>
      <c r="F96" s="14">
        <f>D96*E96</f>
        <v>4225</v>
      </c>
      <c r="G96" s="969"/>
    </row>
    <row r="97" spans="1:7" s="2" customFormat="1" ht="13.8">
      <c r="A97" s="948" t="s">
        <v>126</v>
      </c>
      <c r="B97" s="949"/>
      <c r="C97" s="12" t="s">
        <v>34</v>
      </c>
      <c r="D97" s="9">
        <v>0.02</v>
      </c>
      <c r="E97" s="13">
        <f>'INSUMOS '!$E$40</f>
        <v>18900</v>
      </c>
      <c r="F97" s="14">
        <f>E97*D97</f>
        <v>378</v>
      </c>
      <c r="G97" s="15">
        <f>SUM(F91:F97)</f>
        <v>73909.320000000007</v>
      </c>
    </row>
    <row r="98" spans="1:7" s="2" customFormat="1" ht="15.75" customHeight="1">
      <c r="A98" s="1006" t="s">
        <v>15</v>
      </c>
      <c r="B98" s="1007"/>
      <c r="C98" s="1007"/>
      <c r="D98" s="1007"/>
      <c r="E98" s="1007"/>
      <c r="F98" s="1007"/>
      <c r="G98" s="1008"/>
    </row>
    <row r="99" spans="1:7" s="2" customFormat="1" ht="13.8">
      <c r="A99" s="974" t="s">
        <v>2</v>
      </c>
      <c r="B99" s="975"/>
      <c r="C99" s="11" t="s">
        <v>3</v>
      </c>
      <c r="D99" s="11" t="s">
        <v>4</v>
      </c>
      <c r="E99" s="11" t="s">
        <v>6</v>
      </c>
      <c r="F99" s="11" t="s">
        <v>11</v>
      </c>
      <c r="G99" s="967" t="s">
        <v>8</v>
      </c>
    </row>
    <row r="100" spans="1:7" s="2" customFormat="1" ht="15.75" customHeight="1">
      <c r="A100" s="1019" t="s">
        <v>68</v>
      </c>
      <c r="B100" s="1020"/>
      <c r="C100" s="16" t="s">
        <v>3</v>
      </c>
      <c r="D100" s="54">
        <v>3.5000000000000003E-2</v>
      </c>
      <c r="E100" s="17">
        <f>G89</f>
        <v>7761.375</v>
      </c>
      <c r="F100" s="14">
        <f>E100*D100</f>
        <v>271.64812500000005</v>
      </c>
      <c r="G100" s="969"/>
    </row>
    <row r="101" spans="1:7" s="2" customFormat="1" ht="15.75" customHeight="1">
      <c r="A101" s="983" t="s">
        <v>17</v>
      </c>
      <c r="B101" s="984"/>
      <c r="C101" s="16" t="s">
        <v>127</v>
      </c>
      <c r="D101" s="54">
        <v>3.5000000000000003E-2</v>
      </c>
      <c r="E101" s="13">
        <f>+G97</f>
        <v>73909.320000000007</v>
      </c>
      <c r="F101" s="14">
        <f>E101*D101</f>
        <v>2586.8262000000004</v>
      </c>
      <c r="G101" s="15">
        <f>SUM(F100:F101)</f>
        <v>2858.4743250000006</v>
      </c>
    </row>
    <row r="102" spans="1:7" s="2" customFormat="1" ht="15.75" customHeight="1">
      <c r="A102" s="1006" t="s">
        <v>19</v>
      </c>
      <c r="B102" s="1007"/>
      <c r="C102" s="1007"/>
      <c r="D102" s="1007"/>
      <c r="E102" s="1007"/>
      <c r="F102" s="1007"/>
      <c r="G102" s="1008"/>
    </row>
    <row r="103" spans="1:7" s="2" customFormat="1" ht="13.8">
      <c r="A103" s="974" t="s">
        <v>2</v>
      </c>
      <c r="B103" s="975"/>
      <c r="C103" s="11" t="s">
        <v>3</v>
      </c>
      <c r="D103" s="11" t="s">
        <v>4</v>
      </c>
      <c r="E103" s="11" t="s">
        <v>6</v>
      </c>
      <c r="F103" s="11" t="s">
        <v>11</v>
      </c>
      <c r="G103" s="18" t="s">
        <v>8</v>
      </c>
    </row>
    <row r="104" spans="1:7" s="2" customFormat="1" ht="15" customHeight="1">
      <c r="A104" s="978" t="str">
        <f>SALARIOS!A61</f>
        <v>CUADRILLA AA ALBAÑILERÍA 1:1</v>
      </c>
      <c r="B104" s="979"/>
      <c r="C104" s="13" t="str">
        <f>SALARIOS!B61</f>
        <v>H/C</v>
      </c>
      <c r="D104" s="12">
        <v>0.5</v>
      </c>
      <c r="E104" s="13">
        <f>SALARIOS!$C$61</f>
        <v>24855</v>
      </c>
      <c r="F104" s="14">
        <f>+D104*E104</f>
        <v>12427.5</v>
      </c>
      <c r="G104" s="15">
        <f>F104</f>
        <v>12427.5</v>
      </c>
    </row>
    <row r="105" spans="1:7" s="2" customFormat="1" ht="15.75" customHeight="1">
      <c r="A105" s="1009" t="s">
        <v>25</v>
      </c>
      <c r="B105" s="1010"/>
      <c r="C105" s="1010"/>
      <c r="D105" s="1010"/>
      <c r="E105" s="1010"/>
      <c r="F105" s="1010"/>
      <c r="G105" s="1011"/>
    </row>
    <row r="106" spans="1:7" s="2" customFormat="1" ht="15.75" customHeight="1">
      <c r="A106" s="1012"/>
      <c r="B106" s="1013"/>
      <c r="C106" s="1013"/>
      <c r="D106" s="1013"/>
      <c r="E106" s="1013"/>
      <c r="F106" s="1014"/>
      <c r="G106" s="20">
        <f>G104+G101+G97+G89</f>
        <v>96956.66932500001</v>
      </c>
    </row>
    <row r="107" spans="1:7" s="2" customFormat="1" ht="15.75" customHeight="1">
      <c r="A107" s="26"/>
      <c r="B107" s="27"/>
      <c r="C107" s="28"/>
      <c r="D107" s="28"/>
      <c r="E107" s="29"/>
      <c r="F107" s="28"/>
      <c r="G107" s="30"/>
    </row>
    <row r="108" spans="1:7" s="2" customFormat="1" ht="15.75" customHeight="1">
      <c r="A108" s="986" t="s">
        <v>1</v>
      </c>
      <c r="B108" s="987"/>
      <c r="C108" s="992" t="s">
        <v>0</v>
      </c>
      <c r="D108" s="993"/>
      <c r="E108" s="993"/>
      <c r="F108" s="993"/>
      <c r="G108" s="994"/>
    </row>
    <row r="109" spans="1:7" s="2" customFormat="1" ht="48.75" customHeight="1">
      <c r="A109" s="988"/>
      <c r="B109" s="989"/>
      <c r="C109" s="995"/>
      <c r="D109" s="996"/>
      <c r="E109" s="996"/>
      <c r="F109" s="996"/>
      <c r="G109" s="997"/>
    </row>
    <row r="110" spans="1:7" s="2" customFormat="1" ht="17.399999999999999">
      <c r="A110" s="988"/>
      <c r="B110" s="989"/>
      <c r="C110" s="998"/>
      <c r="D110" s="999"/>
      <c r="E110" s="999"/>
      <c r="F110" s="999"/>
      <c r="G110" s="1000"/>
    </row>
    <row r="111" spans="1:7" s="2" customFormat="1" ht="13.8">
      <c r="A111" s="990"/>
      <c r="B111" s="991"/>
      <c r="C111" s="1001" t="s">
        <v>2</v>
      </c>
      <c r="D111" s="1002"/>
      <c r="E111" s="1003"/>
      <c r="F111" s="23" t="s">
        <v>3</v>
      </c>
      <c r="G111" s="24" t="s">
        <v>4</v>
      </c>
    </row>
    <row r="112" spans="1:7" s="2" customFormat="1" ht="81" customHeight="1">
      <c r="A112" s="1004" t="s">
        <v>128</v>
      </c>
      <c r="B112" s="1005"/>
      <c r="C112" s="1017" t="s">
        <v>129</v>
      </c>
      <c r="D112" s="1018"/>
      <c r="E112" s="949"/>
      <c r="F112" s="9" t="s">
        <v>37</v>
      </c>
      <c r="G112" s="25">
        <v>38.370000000000005</v>
      </c>
    </row>
    <row r="113" spans="1:7" s="2" customFormat="1" ht="13.8">
      <c r="A113" s="1006" t="s">
        <v>5</v>
      </c>
      <c r="B113" s="1007"/>
      <c r="C113" s="1007"/>
      <c r="D113" s="1007"/>
      <c r="E113" s="1007"/>
      <c r="F113" s="1007"/>
      <c r="G113" s="1008"/>
    </row>
    <row r="114" spans="1:7" s="2" customFormat="1" ht="13.8">
      <c r="A114" s="974" t="s">
        <v>2</v>
      </c>
      <c r="B114" s="975"/>
      <c r="C114" s="11" t="s">
        <v>3</v>
      </c>
      <c r="D114" s="11" t="s">
        <v>4</v>
      </c>
      <c r="E114" s="11" t="s">
        <v>6</v>
      </c>
      <c r="F114" s="11" t="s">
        <v>7</v>
      </c>
      <c r="G114" s="967" t="s">
        <v>8</v>
      </c>
    </row>
    <row r="115" spans="1:7" s="2" customFormat="1" ht="13.8">
      <c r="A115" s="948" t="s">
        <v>9</v>
      </c>
      <c r="B115" s="949"/>
      <c r="C115" s="12" t="s">
        <v>3</v>
      </c>
      <c r="D115" s="9">
        <v>0.05</v>
      </c>
      <c r="E115" s="13">
        <f>G133</f>
        <v>21635.5</v>
      </c>
      <c r="F115" s="14">
        <f>D115*E115</f>
        <v>1081.7750000000001</v>
      </c>
      <c r="G115" s="969"/>
    </row>
    <row r="116" spans="1:7" s="2" customFormat="1" ht="15.75" customHeight="1">
      <c r="A116" s="948" t="s">
        <v>122</v>
      </c>
      <c r="B116" s="949"/>
      <c r="C116" s="12" t="s">
        <v>58</v>
      </c>
      <c r="D116" s="9">
        <v>0.05</v>
      </c>
      <c r="E116" s="13">
        <f>'MAQUINARIA Y EQUIPOS'!$F$25</f>
        <v>14280</v>
      </c>
      <c r="F116" s="14">
        <f>D116*E116</f>
        <v>714</v>
      </c>
      <c r="G116" s="15">
        <f>SUM(F114:F116)</f>
        <v>1795.7750000000001</v>
      </c>
    </row>
    <row r="117" spans="1:7" s="2" customFormat="1" ht="15.75" customHeight="1">
      <c r="A117" s="1006" t="s">
        <v>10</v>
      </c>
      <c r="B117" s="1007"/>
      <c r="C117" s="1007"/>
      <c r="D117" s="1007"/>
      <c r="E117" s="1007"/>
      <c r="F117" s="1007"/>
      <c r="G117" s="1008"/>
    </row>
    <row r="118" spans="1:7" s="2" customFormat="1" ht="15.75" customHeight="1">
      <c r="A118" s="974" t="s">
        <v>2</v>
      </c>
      <c r="B118" s="975"/>
      <c r="C118" s="11" t="s">
        <v>3</v>
      </c>
      <c r="D118" s="11" t="s">
        <v>4</v>
      </c>
      <c r="E118" s="11" t="s">
        <v>6</v>
      </c>
      <c r="F118" s="11" t="s">
        <v>11</v>
      </c>
      <c r="G118" s="967" t="s">
        <v>8</v>
      </c>
    </row>
    <row r="119" spans="1:7" s="2" customFormat="1" ht="15.75" customHeight="1">
      <c r="A119" s="948" t="s">
        <v>1538</v>
      </c>
      <c r="B119" s="949"/>
      <c r="C119" s="9" t="s">
        <v>34</v>
      </c>
      <c r="D119" s="9">
        <v>6</v>
      </c>
      <c r="E119" s="13">
        <f>'INSUMOS '!$E$36</f>
        <v>1716</v>
      </c>
      <c r="F119" s="14">
        <f t="shared" ref="F119:F126" si="0">D119*E119</f>
        <v>10296</v>
      </c>
      <c r="G119" s="968"/>
    </row>
    <row r="120" spans="1:7" s="2" customFormat="1" ht="15.75" customHeight="1">
      <c r="A120" s="948" t="s">
        <v>115</v>
      </c>
      <c r="B120" s="949"/>
      <c r="C120" s="12" t="s">
        <v>3</v>
      </c>
      <c r="D120" s="12">
        <v>0.03</v>
      </c>
      <c r="E120" s="13">
        <f>'INSUMOS '!$E$28</f>
        <v>51900</v>
      </c>
      <c r="F120" s="14">
        <f t="shared" si="0"/>
        <v>1557</v>
      </c>
      <c r="G120" s="968"/>
    </row>
    <row r="121" spans="1:7" s="2" customFormat="1" ht="15.75" customHeight="1">
      <c r="A121" s="948" t="s">
        <v>130</v>
      </c>
      <c r="B121" s="949"/>
      <c r="C121" s="9" t="s">
        <v>37</v>
      </c>
      <c r="D121" s="9">
        <v>1.1000000000000001</v>
      </c>
      <c r="E121" s="13">
        <f>'INSUMOS '!$E$41</f>
        <v>38300</v>
      </c>
      <c r="F121" s="14">
        <f t="shared" si="0"/>
        <v>42130</v>
      </c>
      <c r="G121" s="968"/>
    </row>
    <row r="122" spans="1:7" s="2" customFormat="1" ht="15.75" customHeight="1">
      <c r="A122" s="948" t="s">
        <v>131</v>
      </c>
      <c r="B122" s="949"/>
      <c r="C122" s="9" t="s">
        <v>3</v>
      </c>
      <c r="D122" s="9">
        <v>12.5</v>
      </c>
      <c r="E122" s="13">
        <f>'INSUMOS '!$E$181</f>
        <v>2600</v>
      </c>
      <c r="F122" s="14">
        <f t="shared" si="0"/>
        <v>32500</v>
      </c>
      <c r="G122" s="968"/>
    </row>
    <row r="123" spans="1:7" s="2" customFormat="1" ht="15.75" customHeight="1">
      <c r="A123" s="948" t="s">
        <v>124</v>
      </c>
      <c r="B123" s="949"/>
      <c r="C123" s="9" t="s">
        <v>45</v>
      </c>
      <c r="D123" s="9">
        <v>1.26</v>
      </c>
      <c r="E123" s="13">
        <f>'INSUMOS '!$E$77</f>
        <v>3082</v>
      </c>
      <c r="F123" s="14">
        <f t="shared" si="0"/>
        <v>3883.32</v>
      </c>
      <c r="G123" s="968"/>
    </row>
    <row r="124" spans="1:7" s="2" customFormat="1" ht="15.75" customHeight="1">
      <c r="A124" s="948" t="s">
        <v>125</v>
      </c>
      <c r="B124" s="949"/>
      <c r="C124" s="12" t="s">
        <v>34</v>
      </c>
      <c r="D124" s="9">
        <v>0.65</v>
      </c>
      <c r="E124" s="13">
        <f>'INSUMOS '!$E$38</f>
        <v>6500</v>
      </c>
      <c r="F124" s="14">
        <f t="shared" si="0"/>
        <v>4225</v>
      </c>
      <c r="G124" s="968"/>
    </row>
    <row r="125" spans="1:7" s="2" customFormat="1" ht="15.75" customHeight="1">
      <c r="A125" s="948" t="s">
        <v>77</v>
      </c>
      <c r="B125" s="949"/>
      <c r="C125" s="12" t="s">
        <v>39</v>
      </c>
      <c r="D125" s="12">
        <v>0.01</v>
      </c>
      <c r="E125" s="13">
        <f>SUBANÁLISIS!$G$89</f>
        <v>431833.82500000001</v>
      </c>
      <c r="F125" s="14">
        <f t="shared" si="0"/>
        <v>4318.3382499999998</v>
      </c>
      <c r="G125" s="969"/>
    </row>
    <row r="126" spans="1:7" s="2" customFormat="1" ht="15.75" customHeight="1">
      <c r="A126" s="948" t="s">
        <v>126</v>
      </c>
      <c r="B126" s="949"/>
      <c r="C126" s="12" t="s">
        <v>34</v>
      </c>
      <c r="D126" s="9">
        <v>0.02</v>
      </c>
      <c r="E126" s="13">
        <f>'INSUMOS '!$E$40</f>
        <v>18900</v>
      </c>
      <c r="F126" s="14">
        <f t="shared" si="0"/>
        <v>378</v>
      </c>
      <c r="G126" s="15">
        <f>SUM(F118:F126)</f>
        <v>99287.658250000008</v>
      </c>
    </row>
    <row r="127" spans="1:7" s="2" customFormat="1" ht="15.75" customHeight="1">
      <c r="A127" s="1006" t="s">
        <v>15</v>
      </c>
      <c r="B127" s="1007"/>
      <c r="C127" s="1007"/>
      <c r="D127" s="1007"/>
      <c r="E127" s="1007"/>
      <c r="F127" s="1007"/>
      <c r="G127" s="1008"/>
    </row>
    <row r="128" spans="1:7" s="2" customFormat="1" ht="15.75" customHeight="1">
      <c r="A128" s="974" t="s">
        <v>2</v>
      </c>
      <c r="B128" s="975"/>
      <c r="C128" s="11" t="s">
        <v>3</v>
      </c>
      <c r="D128" s="11" t="s">
        <v>4</v>
      </c>
      <c r="E128" s="11" t="s">
        <v>6</v>
      </c>
      <c r="F128" s="11" t="s">
        <v>11</v>
      </c>
      <c r="G128" s="967" t="s">
        <v>8</v>
      </c>
    </row>
    <row r="129" spans="1:7" s="2" customFormat="1" ht="15.75" customHeight="1">
      <c r="A129" s="1019" t="s">
        <v>68</v>
      </c>
      <c r="B129" s="1020"/>
      <c r="C129" s="16" t="s">
        <v>3</v>
      </c>
      <c r="D129" s="54">
        <v>3.5000000000000003E-2</v>
      </c>
      <c r="E129" s="17">
        <f>G116</f>
        <v>1795.7750000000001</v>
      </c>
      <c r="F129" s="14">
        <f>E129*D129</f>
        <v>62.852125000000008</v>
      </c>
      <c r="G129" s="969"/>
    </row>
    <row r="130" spans="1:7" s="2" customFormat="1" ht="15.75" customHeight="1">
      <c r="A130" s="983" t="s">
        <v>17</v>
      </c>
      <c r="B130" s="984"/>
      <c r="C130" s="16" t="s">
        <v>127</v>
      </c>
      <c r="D130" s="54">
        <v>3.5000000000000003E-2</v>
      </c>
      <c r="E130" s="13">
        <f>+G126</f>
        <v>99287.658250000008</v>
      </c>
      <c r="F130" s="14">
        <f>E130*D130</f>
        <v>3475.0680387500006</v>
      </c>
      <c r="G130" s="15">
        <f>SUM(F129:F130)</f>
        <v>3537.9201637500005</v>
      </c>
    </row>
    <row r="131" spans="1:7" s="2" customFormat="1" ht="15.75" customHeight="1">
      <c r="A131" s="1006" t="s">
        <v>19</v>
      </c>
      <c r="B131" s="1007"/>
      <c r="C131" s="1007"/>
      <c r="D131" s="1007"/>
      <c r="E131" s="1007"/>
      <c r="F131" s="1007"/>
      <c r="G131" s="1008"/>
    </row>
    <row r="132" spans="1:7" s="2" customFormat="1" ht="15.75" customHeight="1">
      <c r="A132" s="974" t="s">
        <v>2</v>
      </c>
      <c r="B132" s="975"/>
      <c r="C132" s="11" t="s">
        <v>3</v>
      </c>
      <c r="D132" s="11" t="s">
        <v>4</v>
      </c>
      <c r="E132" s="11" t="s">
        <v>6</v>
      </c>
      <c r="F132" s="11" t="s">
        <v>11</v>
      </c>
      <c r="G132" s="18" t="s">
        <v>8</v>
      </c>
    </row>
    <row r="133" spans="1:7" s="2" customFormat="1" ht="15" customHeight="1">
      <c r="A133" s="978" t="str">
        <f>SALARIOS!$A$63</f>
        <v>CUADRILLA AA ALBAÑILERÍA 1:3</v>
      </c>
      <c r="B133" s="979"/>
      <c r="C133" s="13" t="s">
        <v>1245</v>
      </c>
      <c r="D133" s="12">
        <f>0.5</f>
        <v>0.5</v>
      </c>
      <c r="E133" s="13">
        <f>SALARIOS!$C$63</f>
        <v>43271</v>
      </c>
      <c r="F133" s="14">
        <f>+D133*E133</f>
        <v>21635.5</v>
      </c>
      <c r="G133" s="15">
        <f>F133</f>
        <v>21635.5</v>
      </c>
    </row>
    <row r="134" spans="1:7" s="2" customFormat="1" ht="15.75" customHeight="1">
      <c r="A134" s="1009" t="s">
        <v>25</v>
      </c>
      <c r="B134" s="1010"/>
      <c r="C134" s="1010"/>
      <c r="D134" s="1010"/>
      <c r="E134" s="1010"/>
      <c r="F134" s="1010"/>
      <c r="G134" s="1011"/>
    </row>
    <row r="135" spans="1:7" s="2" customFormat="1" ht="15.75" customHeight="1">
      <c r="A135" s="1012"/>
      <c r="B135" s="1013"/>
      <c r="C135" s="1013"/>
      <c r="D135" s="1013"/>
      <c r="E135" s="1013"/>
      <c r="F135" s="1014"/>
      <c r="G135" s="20">
        <f>G133+G130+G126+G116</f>
        <v>126256.85341375001</v>
      </c>
    </row>
    <row r="136" spans="1:7" s="2" customFormat="1" ht="15.75" customHeight="1">
      <c r="A136" s="26"/>
      <c r="B136" s="27"/>
      <c r="C136" s="28"/>
      <c r="D136" s="28"/>
      <c r="E136" s="29"/>
      <c r="F136" s="28"/>
      <c r="G136" s="30"/>
    </row>
    <row r="137" spans="1:7" s="2" customFormat="1" ht="15.75" customHeight="1">
      <c r="A137" s="986" t="s">
        <v>1</v>
      </c>
      <c r="B137" s="987"/>
      <c r="C137" s="992" t="s">
        <v>0</v>
      </c>
      <c r="D137" s="993"/>
      <c r="E137" s="993"/>
      <c r="F137" s="993"/>
      <c r="G137" s="994"/>
    </row>
    <row r="138" spans="1:7" s="2" customFormat="1" ht="51" customHeight="1">
      <c r="A138" s="988"/>
      <c r="B138" s="989"/>
      <c r="C138" s="995"/>
      <c r="D138" s="996"/>
      <c r="E138" s="996"/>
      <c r="F138" s="996"/>
      <c r="G138" s="997"/>
    </row>
    <row r="139" spans="1:7" s="2" customFormat="1" ht="17.399999999999999">
      <c r="A139" s="988"/>
      <c r="B139" s="989"/>
      <c r="C139" s="998"/>
      <c r="D139" s="999"/>
      <c r="E139" s="999"/>
      <c r="F139" s="999"/>
      <c r="G139" s="1000"/>
    </row>
    <row r="140" spans="1:7" s="2" customFormat="1" ht="13.8">
      <c r="A140" s="990"/>
      <c r="B140" s="991"/>
      <c r="C140" s="1001" t="s">
        <v>2</v>
      </c>
      <c r="D140" s="1002"/>
      <c r="E140" s="1003"/>
      <c r="F140" s="23" t="s">
        <v>3</v>
      </c>
      <c r="G140" s="24" t="s">
        <v>4</v>
      </c>
    </row>
    <row r="141" spans="1:7" s="2" customFormat="1" ht="214.5" customHeight="1">
      <c r="A141" s="1004" t="s">
        <v>132</v>
      </c>
      <c r="B141" s="1005"/>
      <c r="C141" s="1017" t="s">
        <v>133</v>
      </c>
      <c r="D141" s="1018"/>
      <c r="E141" s="949"/>
      <c r="F141" s="9" t="s">
        <v>37</v>
      </c>
      <c r="G141" s="25">
        <v>29.335999999999999</v>
      </c>
    </row>
    <row r="142" spans="1:7" s="2" customFormat="1" ht="13.8">
      <c r="A142" s="1006" t="s">
        <v>5</v>
      </c>
      <c r="B142" s="1007"/>
      <c r="C142" s="1007"/>
      <c r="D142" s="1007"/>
      <c r="E142" s="1007"/>
      <c r="F142" s="1007"/>
      <c r="G142" s="1008"/>
    </row>
    <row r="143" spans="1:7" s="2" customFormat="1" ht="13.8">
      <c r="A143" s="974" t="s">
        <v>2</v>
      </c>
      <c r="B143" s="975"/>
      <c r="C143" s="11" t="s">
        <v>3</v>
      </c>
      <c r="D143" s="11" t="s">
        <v>4</v>
      </c>
      <c r="E143" s="11" t="s">
        <v>6</v>
      </c>
      <c r="F143" s="11" t="s">
        <v>7</v>
      </c>
      <c r="G143" s="967" t="s">
        <v>8</v>
      </c>
    </row>
    <row r="144" spans="1:7" s="2" customFormat="1" ht="15.75" customHeight="1">
      <c r="A144" s="948" t="s">
        <v>9</v>
      </c>
      <c r="B144" s="949"/>
      <c r="C144" s="12" t="s">
        <v>3</v>
      </c>
      <c r="D144" s="9">
        <v>0.05</v>
      </c>
      <c r="E144" s="13">
        <f>G160</f>
        <v>23844.1</v>
      </c>
      <c r="F144" s="14">
        <f>D144*E144</f>
        <v>1192.2049999999999</v>
      </c>
      <c r="G144" s="968"/>
    </row>
    <row r="145" spans="1:7" s="2" customFormat="1" ht="15.75" customHeight="1">
      <c r="A145" s="983" t="s">
        <v>112</v>
      </c>
      <c r="B145" s="984"/>
      <c r="C145" s="12" t="s">
        <v>58</v>
      </c>
      <c r="D145" s="9">
        <v>0.03</v>
      </c>
      <c r="E145" s="13">
        <f>'MAQUINARIA Y EQUIPOS'!$F$23</f>
        <v>28203</v>
      </c>
      <c r="F145" s="14">
        <f>D145*E145</f>
        <v>846.08999999999992</v>
      </c>
      <c r="G145" s="968"/>
    </row>
    <row r="146" spans="1:7" s="2" customFormat="1" ht="14.25" customHeight="1">
      <c r="A146" s="948" t="s">
        <v>113</v>
      </c>
      <c r="B146" s="949"/>
      <c r="C146" s="12" t="s">
        <v>58</v>
      </c>
      <c r="D146" s="9">
        <v>0.3</v>
      </c>
      <c r="E146" s="13">
        <f>'MAQUINARIA Y EQUIPOS'!$F$10</f>
        <v>3272.5</v>
      </c>
      <c r="F146" s="14">
        <f>D146*E146</f>
        <v>981.75</v>
      </c>
      <c r="G146" s="969"/>
    </row>
    <row r="147" spans="1:7" s="2" customFormat="1" ht="14.25" customHeight="1">
      <c r="A147" s="948" t="s">
        <v>61</v>
      </c>
      <c r="B147" s="949"/>
      <c r="C147" s="12" t="s">
        <v>58</v>
      </c>
      <c r="D147" s="9">
        <v>0.1</v>
      </c>
      <c r="E147" s="13">
        <f>'MAQUINARIA Y EQUIPOS'!F18</f>
        <v>40460</v>
      </c>
      <c r="F147" s="14">
        <f>D147*E147</f>
        <v>4046</v>
      </c>
      <c r="G147" s="15">
        <f>SUM(F143:F147)</f>
        <v>7066.0450000000001</v>
      </c>
    </row>
    <row r="148" spans="1:7" s="2" customFormat="1" ht="13.8">
      <c r="A148" s="1006" t="s">
        <v>10</v>
      </c>
      <c r="B148" s="1007"/>
      <c r="C148" s="1007"/>
      <c r="D148" s="1007"/>
      <c r="E148" s="1007"/>
      <c r="F148" s="1007"/>
      <c r="G148" s="1008"/>
    </row>
    <row r="149" spans="1:7" s="2" customFormat="1" ht="13.8">
      <c r="A149" s="974" t="s">
        <v>2</v>
      </c>
      <c r="B149" s="975"/>
      <c r="C149" s="11" t="s">
        <v>3</v>
      </c>
      <c r="D149" s="11" t="s">
        <v>4</v>
      </c>
      <c r="E149" s="11" t="s">
        <v>6</v>
      </c>
      <c r="F149" s="11" t="s">
        <v>11</v>
      </c>
      <c r="G149" s="967" t="s">
        <v>8</v>
      </c>
    </row>
    <row r="150" spans="1:7" s="2" customFormat="1" ht="13.8">
      <c r="A150" s="948" t="s">
        <v>114</v>
      </c>
      <c r="B150" s="949"/>
      <c r="C150" s="12" t="s">
        <v>39</v>
      </c>
      <c r="D150" s="12">
        <v>0.02</v>
      </c>
      <c r="E150" s="13">
        <f>SUBANÁLISIS!G89</f>
        <v>431833.82500000001</v>
      </c>
      <c r="F150" s="14">
        <f>D150*E150</f>
        <v>8636.6764999999996</v>
      </c>
      <c r="G150" s="968"/>
    </row>
    <row r="151" spans="1:7" s="2" customFormat="1" ht="13.8">
      <c r="A151" s="948" t="s">
        <v>115</v>
      </c>
      <c r="B151" s="949"/>
      <c r="C151" s="12" t="s">
        <v>3</v>
      </c>
      <c r="D151" s="12">
        <v>0.03</v>
      </c>
      <c r="E151" s="13">
        <f>'INSUMOS '!E28</f>
        <v>51900</v>
      </c>
      <c r="F151" s="14">
        <f>D151*E151</f>
        <v>1557</v>
      </c>
      <c r="G151" s="968"/>
    </row>
    <row r="152" spans="1:7" s="2" customFormat="1" ht="15.75" customHeight="1">
      <c r="A152" s="948" t="s">
        <v>1535</v>
      </c>
      <c r="B152" s="949"/>
      <c r="C152" s="12" t="s">
        <v>37</v>
      </c>
      <c r="D152" s="12">
        <v>1.2</v>
      </c>
      <c r="E152" s="13">
        <f>'INSUMOS '!E326</f>
        <v>2747.2222222222222</v>
      </c>
      <c r="F152" s="14">
        <f>D152*E152</f>
        <v>3296.6666666666665</v>
      </c>
      <c r="G152" s="969"/>
    </row>
    <row r="153" spans="1:7" s="2" customFormat="1" ht="14.25" customHeight="1">
      <c r="A153" s="948" t="s">
        <v>134</v>
      </c>
      <c r="B153" s="949"/>
      <c r="C153" s="12" t="s">
        <v>3</v>
      </c>
      <c r="D153" s="33">
        <v>25</v>
      </c>
      <c r="E153" s="13">
        <f>'INSUMOS '!E44</f>
        <v>3253.46</v>
      </c>
      <c r="F153" s="14">
        <f>E153*D153</f>
        <v>81336.5</v>
      </c>
      <c r="G153" s="15">
        <f>SUM(F149:F153)</f>
        <v>94826.843166666658</v>
      </c>
    </row>
    <row r="154" spans="1:7" s="2" customFormat="1" ht="13.8">
      <c r="A154" s="1006" t="s">
        <v>15</v>
      </c>
      <c r="B154" s="1007"/>
      <c r="C154" s="1007"/>
      <c r="D154" s="1007"/>
      <c r="E154" s="1007"/>
      <c r="F154" s="1007"/>
      <c r="G154" s="1008"/>
    </row>
    <row r="155" spans="1:7" s="2" customFormat="1" ht="13.8">
      <c r="A155" s="974" t="s">
        <v>2</v>
      </c>
      <c r="B155" s="975"/>
      <c r="C155" s="11" t="s">
        <v>3</v>
      </c>
      <c r="D155" s="11" t="s">
        <v>4</v>
      </c>
      <c r="E155" s="11" t="s">
        <v>6</v>
      </c>
      <c r="F155" s="11" t="s">
        <v>11</v>
      </c>
      <c r="G155" s="967" t="s">
        <v>8</v>
      </c>
    </row>
    <row r="156" spans="1:7" s="2" customFormat="1" ht="13.8">
      <c r="A156" s="1019" t="s">
        <v>68</v>
      </c>
      <c r="B156" s="1020"/>
      <c r="C156" s="16" t="s">
        <v>3</v>
      </c>
      <c r="D156" s="54">
        <v>3.5000000000000003E-2</v>
      </c>
      <c r="E156" s="17">
        <f>G147</f>
        <v>7066.0450000000001</v>
      </c>
      <c r="F156" s="14">
        <f>E156*D156</f>
        <v>247.31157500000003</v>
      </c>
      <c r="G156" s="969"/>
    </row>
    <row r="157" spans="1:7" s="2" customFormat="1" ht="13.8">
      <c r="A157" s="983" t="s">
        <v>17</v>
      </c>
      <c r="B157" s="984"/>
      <c r="C157" s="16" t="s">
        <v>18</v>
      </c>
      <c r="D157" s="54">
        <v>3.5000000000000003E-2</v>
      </c>
      <c r="E157" s="17">
        <f>+G153</f>
        <v>94826.843166666658</v>
      </c>
      <c r="F157" s="14">
        <f>+E157*D157</f>
        <v>3318.9395108333333</v>
      </c>
      <c r="G157" s="15">
        <f>SUM(F156:F157)</f>
        <v>3566.2510858333335</v>
      </c>
    </row>
    <row r="158" spans="1:7" s="2" customFormat="1" ht="13.8">
      <c r="A158" s="1006" t="s">
        <v>19</v>
      </c>
      <c r="B158" s="1007"/>
      <c r="C158" s="1007"/>
      <c r="D158" s="1007"/>
      <c r="E158" s="1007"/>
      <c r="F158" s="1007"/>
      <c r="G158" s="1008"/>
    </row>
    <row r="159" spans="1:7" s="2" customFormat="1" ht="13.8">
      <c r="A159" s="974" t="s">
        <v>2</v>
      </c>
      <c r="B159" s="975"/>
      <c r="C159" s="11" t="s">
        <v>3</v>
      </c>
      <c r="D159" s="11" t="s">
        <v>4</v>
      </c>
      <c r="E159" s="11" t="s">
        <v>6</v>
      </c>
      <c r="F159" s="11" t="s">
        <v>11</v>
      </c>
      <c r="G159" s="18" t="s">
        <v>8</v>
      </c>
    </row>
    <row r="160" spans="1:7" s="2" customFormat="1" ht="15" customHeight="1">
      <c r="A160" s="978" t="str">
        <f>SALARIOS!A62</f>
        <v>CUADRILLA AA ALBAÑILERÍA 1:2</v>
      </c>
      <c r="B160" s="979"/>
      <c r="C160" s="13" t="s">
        <v>1245</v>
      </c>
      <c r="D160" s="12">
        <v>0.7</v>
      </c>
      <c r="E160" s="17">
        <f>SALARIOS!C62</f>
        <v>34063</v>
      </c>
      <c r="F160" s="14">
        <f>+D160*E160</f>
        <v>23844.1</v>
      </c>
      <c r="G160" s="15">
        <f>F160</f>
        <v>23844.1</v>
      </c>
    </row>
    <row r="161" spans="1:7" s="2" customFormat="1" ht="15.75" customHeight="1">
      <c r="A161" s="1009" t="s">
        <v>25</v>
      </c>
      <c r="B161" s="1010"/>
      <c r="C161" s="1010"/>
      <c r="D161" s="1010"/>
      <c r="E161" s="1010"/>
      <c r="F161" s="1010"/>
      <c r="G161" s="1011"/>
    </row>
    <row r="162" spans="1:7" s="2" customFormat="1" ht="15.75" customHeight="1">
      <c r="A162" s="1012"/>
      <c r="B162" s="1013"/>
      <c r="C162" s="1013"/>
      <c r="D162" s="1013"/>
      <c r="E162" s="1013"/>
      <c r="F162" s="1014"/>
      <c r="G162" s="20">
        <f>G160+G157+G153+G147</f>
        <v>129303.23925249999</v>
      </c>
    </row>
    <row r="163" spans="1:7" s="2" customFormat="1" ht="15.75" customHeight="1">
      <c r="A163" s="26"/>
      <c r="B163" s="27"/>
      <c r="C163" s="28"/>
      <c r="D163" s="28"/>
      <c r="E163" s="29"/>
      <c r="F163" s="28"/>
      <c r="G163" s="30"/>
    </row>
    <row r="164" spans="1:7" s="2" customFormat="1" ht="14.25" customHeight="1">
      <c r="A164" s="986" t="s">
        <v>1</v>
      </c>
      <c r="B164" s="987"/>
      <c r="C164" s="992" t="s">
        <v>0</v>
      </c>
      <c r="D164" s="993"/>
      <c r="E164" s="993"/>
      <c r="F164" s="993"/>
      <c r="G164" s="994"/>
    </row>
    <row r="165" spans="1:7" s="2" customFormat="1" ht="52.5" customHeight="1">
      <c r="A165" s="988"/>
      <c r="B165" s="989"/>
      <c r="C165" s="995"/>
      <c r="D165" s="996"/>
      <c r="E165" s="996"/>
      <c r="F165" s="996"/>
      <c r="G165" s="997"/>
    </row>
    <row r="166" spans="1:7" s="2" customFormat="1" ht="17.399999999999999">
      <c r="A166" s="988"/>
      <c r="B166" s="989"/>
      <c r="C166" s="998"/>
      <c r="D166" s="999"/>
      <c r="E166" s="999"/>
      <c r="F166" s="999"/>
      <c r="G166" s="1000"/>
    </row>
    <row r="167" spans="1:7" s="2" customFormat="1" ht="13.8">
      <c r="A167" s="990"/>
      <c r="B167" s="991"/>
      <c r="C167" s="1001" t="s">
        <v>2</v>
      </c>
      <c r="D167" s="1002"/>
      <c r="E167" s="1003"/>
      <c r="F167" s="23" t="s">
        <v>3</v>
      </c>
      <c r="G167" s="24" t="s">
        <v>4</v>
      </c>
    </row>
    <row r="168" spans="1:7" s="2" customFormat="1" ht="206.25" customHeight="1">
      <c r="A168" s="1004" t="s">
        <v>135</v>
      </c>
      <c r="B168" s="1005"/>
      <c r="C168" s="1017" t="s">
        <v>2758</v>
      </c>
      <c r="D168" s="1018"/>
      <c r="E168" s="949"/>
      <c r="F168" s="9" t="s">
        <v>37</v>
      </c>
      <c r="G168" s="25">
        <v>42.861700000000006</v>
      </c>
    </row>
    <row r="169" spans="1:7" s="2" customFormat="1" ht="13.8">
      <c r="A169" s="1006" t="s">
        <v>5</v>
      </c>
      <c r="B169" s="1007"/>
      <c r="C169" s="1007"/>
      <c r="D169" s="1007"/>
      <c r="E169" s="1007"/>
      <c r="F169" s="1007"/>
      <c r="G169" s="1008"/>
    </row>
    <row r="170" spans="1:7" s="2" customFormat="1" ht="15.75" customHeight="1">
      <c r="A170" s="974" t="s">
        <v>2</v>
      </c>
      <c r="B170" s="975"/>
      <c r="C170" s="11" t="s">
        <v>3</v>
      </c>
      <c r="D170" s="11" t="s">
        <v>4</v>
      </c>
      <c r="E170" s="11" t="s">
        <v>6</v>
      </c>
      <c r="F170" s="11" t="s">
        <v>7</v>
      </c>
      <c r="G170" s="967" t="s">
        <v>8</v>
      </c>
    </row>
    <row r="171" spans="1:7" s="2" customFormat="1" ht="15.75" customHeight="1">
      <c r="A171" s="948" t="s">
        <v>9</v>
      </c>
      <c r="B171" s="949"/>
      <c r="C171" s="12" t="s">
        <v>3</v>
      </c>
      <c r="D171" s="9">
        <v>0.05</v>
      </c>
      <c r="E171" s="13">
        <f>G187</f>
        <v>23844.1</v>
      </c>
      <c r="F171" s="14">
        <f>D171*E171</f>
        <v>1192.2049999999999</v>
      </c>
      <c r="G171" s="968"/>
    </row>
    <row r="172" spans="1:7" s="2" customFormat="1" ht="15.75" customHeight="1">
      <c r="A172" s="983" t="s">
        <v>112</v>
      </c>
      <c r="B172" s="984"/>
      <c r="C172" s="12" t="s">
        <v>58</v>
      </c>
      <c r="D172" s="9">
        <v>0.04</v>
      </c>
      <c r="E172" s="13">
        <f>'MAQUINARIA Y EQUIPOS'!$F$23</f>
        <v>28203</v>
      </c>
      <c r="F172" s="14">
        <f>D172*E172</f>
        <v>1128.1200000000001</v>
      </c>
      <c r="G172" s="968"/>
    </row>
    <row r="173" spans="1:7" s="2" customFormat="1" ht="14.25" customHeight="1">
      <c r="A173" s="948" t="s">
        <v>113</v>
      </c>
      <c r="B173" s="949"/>
      <c r="C173" s="12" t="s">
        <v>58</v>
      </c>
      <c r="D173" s="9">
        <v>0.3</v>
      </c>
      <c r="E173" s="13">
        <f>'MAQUINARIA Y EQUIPOS'!$F$10</f>
        <v>3272.5</v>
      </c>
      <c r="F173" s="14">
        <f>D173*E173</f>
        <v>981.75</v>
      </c>
      <c r="G173" s="969"/>
    </row>
    <row r="174" spans="1:7" s="2" customFormat="1" ht="14.25" customHeight="1">
      <c r="A174" s="948" t="s">
        <v>61</v>
      </c>
      <c r="B174" s="949"/>
      <c r="C174" s="12" t="s">
        <v>58</v>
      </c>
      <c r="D174" s="9">
        <v>0.1</v>
      </c>
      <c r="E174" s="13">
        <f>'MAQUINARIA Y EQUIPOS'!$F$18</f>
        <v>40460</v>
      </c>
      <c r="F174" s="14">
        <f>D174*E174</f>
        <v>4046</v>
      </c>
      <c r="G174" s="15">
        <f>SUM(F170:F174)</f>
        <v>7348.0749999999998</v>
      </c>
    </row>
    <row r="175" spans="1:7" s="2" customFormat="1" ht="13.8">
      <c r="A175" s="1006" t="s">
        <v>10</v>
      </c>
      <c r="B175" s="1007"/>
      <c r="C175" s="1007"/>
      <c r="D175" s="1007"/>
      <c r="E175" s="1007"/>
      <c r="F175" s="1007"/>
      <c r="G175" s="1008"/>
    </row>
    <row r="176" spans="1:7" s="2" customFormat="1" ht="13.8">
      <c r="A176" s="974" t="s">
        <v>2</v>
      </c>
      <c r="B176" s="975"/>
      <c r="C176" s="11" t="s">
        <v>3</v>
      </c>
      <c r="D176" s="11" t="s">
        <v>4</v>
      </c>
      <c r="E176" s="11" t="s">
        <v>6</v>
      </c>
      <c r="F176" s="11" t="s">
        <v>11</v>
      </c>
      <c r="G176" s="967" t="s">
        <v>8</v>
      </c>
    </row>
    <row r="177" spans="1:7" s="2" customFormat="1" ht="13.8">
      <c r="A177" s="948" t="s">
        <v>115</v>
      </c>
      <c r="B177" s="949"/>
      <c r="C177" s="12" t="s">
        <v>3</v>
      </c>
      <c r="D177" s="12">
        <v>0.03</v>
      </c>
      <c r="E177" s="13">
        <f>'INSUMOS '!E28</f>
        <v>51900</v>
      </c>
      <c r="F177" s="14">
        <f>D177*E177</f>
        <v>1557</v>
      </c>
      <c r="G177" s="968"/>
    </row>
    <row r="178" spans="1:7" s="2" customFormat="1" ht="13.8">
      <c r="A178" s="948" t="s">
        <v>114</v>
      </c>
      <c r="B178" s="949"/>
      <c r="C178" s="12" t="s">
        <v>39</v>
      </c>
      <c r="D178" s="12">
        <v>0.02</v>
      </c>
      <c r="E178" s="13">
        <f>SUBANÁLISIS!G89</f>
        <v>431833.82500000001</v>
      </c>
      <c r="F178" s="14">
        <f>D178*E178</f>
        <v>8636.6764999999996</v>
      </c>
      <c r="G178" s="968"/>
    </row>
    <row r="179" spans="1:7" s="2" customFormat="1" ht="15.75" customHeight="1">
      <c r="A179" s="948" t="s">
        <v>1535</v>
      </c>
      <c r="B179" s="949"/>
      <c r="C179" s="12" t="s">
        <v>37</v>
      </c>
      <c r="D179" s="12">
        <v>1.2</v>
      </c>
      <c r="E179" s="13">
        <f>'INSUMOS '!E326</f>
        <v>2747.2222222222222</v>
      </c>
      <c r="F179" s="14">
        <f>D179*E179</f>
        <v>3296.6666666666665</v>
      </c>
      <c r="G179" s="969"/>
    </row>
    <row r="180" spans="1:7" s="2" customFormat="1" ht="14.25" customHeight="1">
      <c r="A180" s="948" t="s">
        <v>137</v>
      </c>
      <c r="B180" s="949"/>
      <c r="C180" s="12" t="s">
        <v>3</v>
      </c>
      <c r="D180" s="33">
        <v>25</v>
      </c>
      <c r="E180" s="13">
        <f>'INSUMOS '!E45</f>
        <v>3253.46</v>
      </c>
      <c r="F180" s="14">
        <f>E180*D180</f>
        <v>81336.5</v>
      </c>
      <c r="G180" s="15">
        <f>SUM(F176:F180)</f>
        <v>94826.843166666658</v>
      </c>
    </row>
    <row r="181" spans="1:7" s="2" customFormat="1" ht="13.8">
      <c r="A181" s="1006" t="s">
        <v>15</v>
      </c>
      <c r="B181" s="1007"/>
      <c r="C181" s="1007"/>
      <c r="D181" s="1007"/>
      <c r="E181" s="1007"/>
      <c r="F181" s="1007"/>
      <c r="G181" s="1008"/>
    </row>
    <row r="182" spans="1:7" s="2" customFormat="1" ht="13.8">
      <c r="A182" s="974" t="s">
        <v>2</v>
      </c>
      <c r="B182" s="975"/>
      <c r="C182" s="11" t="s">
        <v>3</v>
      </c>
      <c r="D182" s="11" t="s">
        <v>4</v>
      </c>
      <c r="E182" s="11" t="s">
        <v>6</v>
      </c>
      <c r="F182" s="11" t="s">
        <v>11</v>
      </c>
      <c r="G182" s="967" t="s">
        <v>8</v>
      </c>
    </row>
    <row r="183" spans="1:7" s="2" customFormat="1" ht="13.8">
      <c r="A183" s="1019" t="s">
        <v>68</v>
      </c>
      <c r="B183" s="1020"/>
      <c r="C183" s="16" t="s">
        <v>3</v>
      </c>
      <c r="D183" s="54">
        <v>3.5000000000000003E-2</v>
      </c>
      <c r="E183" s="17">
        <f>G174</f>
        <v>7348.0749999999998</v>
      </c>
      <c r="F183" s="14">
        <f>E183*D183</f>
        <v>257.18262500000003</v>
      </c>
      <c r="G183" s="969"/>
    </row>
    <row r="184" spans="1:7" s="2" customFormat="1" ht="13.8">
      <c r="A184" s="983" t="s">
        <v>17</v>
      </c>
      <c r="B184" s="984"/>
      <c r="C184" s="16" t="s">
        <v>18</v>
      </c>
      <c r="D184" s="54">
        <v>3.5000000000000003E-2</v>
      </c>
      <c r="E184" s="17">
        <f>+G180</f>
        <v>94826.843166666658</v>
      </c>
      <c r="F184" s="14">
        <f>E184*D184</f>
        <v>3318.9395108333333</v>
      </c>
      <c r="G184" s="15">
        <f>+SUM(F183:F184)</f>
        <v>3576.1221358333332</v>
      </c>
    </row>
    <row r="185" spans="1:7" s="2" customFormat="1" ht="13.8">
      <c r="A185" s="1006" t="s">
        <v>19</v>
      </c>
      <c r="B185" s="1007"/>
      <c r="C185" s="1007"/>
      <c r="D185" s="1007"/>
      <c r="E185" s="1007"/>
      <c r="F185" s="1007"/>
      <c r="G185" s="1008"/>
    </row>
    <row r="186" spans="1:7" s="2" customFormat="1" ht="13.8">
      <c r="A186" s="974" t="s">
        <v>2</v>
      </c>
      <c r="B186" s="975"/>
      <c r="C186" s="11" t="s">
        <v>3</v>
      </c>
      <c r="D186" s="11" t="s">
        <v>4</v>
      </c>
      <c r="E186" s="11" t="s">
        <v>6</v>
      </c>
      <c r="F186" s="11" t="s">
        <v>11</v>
      </c>
      <c r="G186" s="18" t="s">
        <v>8</v>
      </c>
    </row>
    <row r="187" spans="1:7" s="2" customFormat="1" ht="15" customHeight="1">
      <c r="A187" s="978" t="str">
        <f>SALARIOS!A62</f>
        <v>CUADRILLA AA ALBAÑILERÍA 1:2</v>
      </c>
      <c r="B187" s="979"/>
      <c r="C187" s="13" t="s">
        <v>1245</v>
      </c>
      <c r="D187" s="12">
        <v>0.7</v>
      </c>
      <c r="E187" s="17">
        <f>SALARIOS!C62</f>
        <v>34063</v>
      </c>
      <c r="F187" s="14">
        <f>+D187*E187</f>
        <v>23844.1</v>
      </c>
      <c r="G187" s="15">
        <f>F187</f>
        <v>23844.1</v>
      </c>
    </row>
    <row r="188" spans="1:7" s="2" customFormat="1" ht="15.75" customHeight="1">
      <c r="A188" s="1009" t="s">
        <v>25</v>
      </c>
      <c r="B188" s="1010"/>
      <c r="C188" s="1010"/>
      <c r="D188" s="1010"/>
      <c r="E188" s="1010"/>
      <c r="F188" s="1010"/>
      <c r="G188" s="1011"/>
    </row>
    <row r="189" spans="1:7" s="2" customFormat="1" ht="15.75" customHeight="1">
      <c r="A189" s="1012"/>
      <c r="B189" s="1013"/>
      <c r="C189" s="1013"/>
      <c r="D189" s="1013"/>
      <c r="E189" s="1013"/>
      <c r="F189" s="1014"/>
      <c r="G189" s="20">
        <f>+G187+G184+G180+G174</f>
        <v>129595.14030249999</v>
      </c>
    </row>
    <row r="190" spans="1:7" s="2" customFormat="1" ht="20.399999999999999">
      <c r="A190" s="26"/>
      <c r="B190" s="27"/>
      <c r="C190" s="28"/>
      <c r="D190" s="28"/>
      <c r="E190" s="29"/>
      <c r="F190" s="28"/>
      <c r="G190" s="30"/>
    </row>
    <row r="191" spans="1:7" s="2" customFormat="1" ht="14.25" customHeight="1">
      <c r="A191" s="986" t="s">
        <v>1</v>
      </c>
      <c r="B191" s="987"/>
      <c r="C191" s="992" t="s">
        <v>0</v>
      </c>
      <c r="D191" s="993"/>
      <c r="E191" s="993"/>
      <c r="F191" s="993"/>
      <c r="G191" s="994"/>
    </row>
    <row r="192" spans="1:7" s="2" customFormat="1" ht="41.25" customHeight="1">
      <c r="A192" s="988"/>
      <c r="B192" s="989"/>
      <c r="C192" s="995"/>
      <c r="D192" s="996"/>
      <c r="E192" s="996"/>
      <c r="F192" s="996"/>
      <c r="G192" s="997"/>
    </row>
    <row r="193" spans="1:7" s="2" customFormat="1" ht="17.399999999999999">
      <c r="A193" s="988"/>
      <c r="B193" s="989"/>
      <c r="C193" s="998"/>
      <c r="D193" s="999"/>
      <c r="E193" s="999"/>
      <c r="F193" s="999"/>
      <c r="G193" s="1000"/>
    </row>
    <row r="194" spans="1:7" s="2" customFormat="1" ht="13.8">
      <c r="A194" s="990"/>
      <c r="B194" s="991"/>
      <c r="C194" s="1001" t="s">
        <v>2</v>
      </c>
      <c r="D194" s="1002"/>
      <c r="E194" s="1003"/>
      <c r="F194" s="23" t="s">
        <v>3</v>
      </c>
      <c r="G194" s="24" t="s">
        <v>4</v>
      </c>
    </row>
    <row r="195" spans="1:7" s="2" customFormat="1" ht="203.25" customHeight="1">
      <c r="A195" s="1004" t="s">
        <v>138</v>
      </c>
      <c r="B195" s="1005"/>
      <c r="C195" s="1017" t="s">
        <v>139</v>
      </c>
      <c r="D195" s="1018"/>
      <c r="E195" s="949"/>
      <c r="F195" s="9" t="s">
        <v>37</v>
      </c>
      <c r="G195" s="25">
        <v>74.142399999999981</v>
      </c>
    </row>
    <row r="196" spans="1:7" s="2" customFormat="1" ht="15.75" customHeight="1">
      <c r="A196" s="1006" t="s">
        <v>5</v>
      </c>
      <c r="B196" s="1007"/>
      <c r="C196" s="1007"/>
      <c r="D196" s="1007"/>
      <c r="E196" s="1007"/>
      <c r="F196" s="1007"/>
      <c r="G196" s="1008"/>
    </row>
    <row r="197" spans="1:7" s="2" customFormat="1" ht="15.75" customHeight="1">
      <c r="A197" s="974" t="s">
        <v>2</v>
      </c>
      <c r="B197" s="975"/>
      <c r="C197" s="11" t="s">
        <v>3</v>
      </c>
      <c r="D197" s="11" t="s">
        <v>4</v>
      </c>
      <c r="E197" s="11" t="s">
        <v>6</v>
      </c>
      <c r="F197" s="11" t="s">
        <v>7</v>
      </c>
      <c r="G197" s="967" t="s">
        <v>8</v>
      </c>
    </row>
    <row r="198" spans="1:7" s="2" customFormat="1" ht="15.75" customHeight="1">
      <c r="A198" s="948" t="s">
        <v>9</v>
      </c>
      <c r="B198" s="949"/>
      <c r="C198" s="12" t="s">
        <v>3</v>
      </c>
      <c r="D198" s="9">
        <v>0.05</v>
      </c>
      <c r="E198" s="13">
        <f>G213</f>
        <v>43271</v>
      </c>
      <c r="F198" s="14">
        <f>D198*E198</f>
        <v>2163.5500000000002</v>
      </c>
      <c r="G198" s="968"/>
    </row>
    <row r="199" spans="1:7" s="2" customFormat="1" ht="15.75" customHeight="1">
      <c r="A199" s="983" t="s">
        <v>112</v>
      </c>
      <c r="B199" s="984"/>
      <c r="C199" s="12" t="s">
        <v>58</v>
      </c>
      <c r="D199" s="9">
        <v>0.04</v>
      </c>
      <c r="E199" s="13">
        <f>'MAQUINARIA Y EQUIPOS'!$F$23</f>
        <v>28203</v>
      </c>
      <c r="F199" s="14">
        <f>D199*E199</f>
        <v>1128.1200000000001</v>
      </c>
      <c r="G199" s="968"/>
    </row>
    <row r="200" spans="1:7" s="2" customFormat="1" ht="15.75" customHeight="1">
      <c r="A200" s="948" t="s">
        <v>113</v>
      </c>
      <c r="B200" s="949"/>
      <c r="C200" s="12" t="s">
        <v>58</v>
      </c>
      <c r="D200" s="9">
        <v>0.3</v>
      </c>
      <c r="E200" s="13">
        <f>'MAQUINARIA Y EQUIPOS'!$F$10</f>
        <v>3272.5</v>
      </c>
      <c r="F200" s="14">
        <f>D200*E200</f>
        <v>981.75</v>
      </c>
      <c r="G200" s="969"/>
    </row>
    <row r="201" spans="1:7" s="2" customFormat="1" ht="14.25" customHeight="1">
      <c r="A201" s="948" t="s">
        <v>61</v>
      </c>
      <c r="B201" s="949"/>
      <c r="C201" s="12" t="s">
        <v>58</v>
      </c>
      <c r="D201" s="9">
        <v>0.1</v>
      </c>
      <c r="E201" s="13">
        <f>'MAQUINARIA Y EQUIPOS'!$F$18</f>
        <v>40460</v>
      </c>
      <c r="F201" s="14">
        <f>D201*E201</f>
        <v>4046</v>
      </c>
      <c r="G201" s="15">
        <f>SUM(F197:F201)</f>
        <v>8319.42</v>
      </c>
    </row>
    <row r="202" spans="1:7" s="2" customFormat="1" ht="15.75" customHeight="1">
      <c r="A202" s="1006" t="s">
        <v>10</v>
      </c>
      <c r="B202" s="1007"/>
      <c r="C202" s="1007"/>
      <c r="D202" s="1007"/>
      <c r="E202" s="1007"/>
      <c r="F202" s="1007"/>
      <c r="G202" s="1008"/>
    </row>
    <row r="203" spans="1:7" s="2" customFormat="1" ht="15.75" customHeight="1">
      <c r="A203" s="974" t="s">
        <v>2</v>
      </c>
      <c r="B203" s="975"/>
      <c r="C203" s="11" t="s">
        <v>3</v>
      </c>
      <c r="D203" s="11" t="s">
        <v>4</v>
      </c>
      <c r="E203" s="11" t="s">
        <v>6</v>
      </c>
      <c r="F203" s="11" t="s">
        <v>11</v>
      </c>
      <c r="G203" s="967" t="s">
        <v>8</v>
      </c>
    </row>
    <row r="204" spans="1:7" s="2" customFormat="1" ht="15.75" customHeight="1">
      <c r="A204" s="948" t="s">
        <v>115</v>
      </c>
      <c r="B204" s="949"/>
      <c r="C204" s="12" t="s">
        <v>3</v>
      </c>
      <c r="D204" s="12">
        <v>0.03</v>
      </c>
      <c r="E204" s="13">
        <f>'INSUMOS '!$E$28</f>
        <v>51900</v>
      </c>
      <c r="F204" s="14">
        <f>D204*E204</f>
        <v>1557</v>
      </c>
      <c r="G204" s="968"/>
    </row>
    <row r="205" spans="1:7" s="2" customFormat="1" ht="15.75" customHeight="1">
      <c r="A205" s="948" t="s">
        <v>114</v>
      </c>
      <c r="B205" s="949"/>
      <c r="C205" s="12" t="s">
        <v>39</v>
      </c>
      <c r="D205" s="12">
        <v>0.03</v>
      </c>
      <c r="E205" s="13">
        <f>SUBANÁLISIS!$G$89</f>
        <v>431833.82500000001</v>
      </c>
      <c r="F205" s="14">
        <f>D205*E205</f>
        <v>12955.01475</v>
      </c>
      <c r="G205" s="969"/>
    </row>
    <row r="206" spans="1:7" s="2" customFormat="1" ht="15.75" customHeight="1">
      <c r="A206" s="948" t="s">
        <v>140</v>
      </c>
      <c r="B206" s="949"/>
      <c r="C206" s="12" t="s">
        <v>3</v>
      </c>
      <c r="D206" s="33">
        <v>12.5</v>
      </c>
      <c r="E206" s="13">
        <f>'INSUMOS '!$E$50</f>
        <v>4150</v>
      </c>
      <c r="F206" s="14">
        <f>E206*D206</f>
        <v>51875</v>
      </c>
      <c r="G206" s="15">
        <f>SUM(F203:F206)</f>
        <v>66387.014750000002</v>
      </c>
    </row>
    <row r="207" spans="1:7" s="2" customFormat="1" ht="15.75" customHeight="1">
      <c r="A207" s="1006" t="s">
        <v>15</v>
      </c>
      <c r="B207" s="1007"/>
      <c r="C207" s="1007"/>
      <c r="D207" s="1007"/>
      <c r="E207" s="1007"/>
      <c r="F207" s="1007"/>
      <c r="G207" s="1008"/>
    </row>
    <row r="208" spans="1:7" s="2" customFormat="1" ht="15.75" customHeight="1">
      <c r="A208" s="974" t="s">
        <v>2</v>
      </c>
      <c r="B208" s="975"/>
      <c r="C208" s="11" t="s">
        <v>3</v>
      </c>
      <c r="D208" s="11" t="s">
        <v>4</v>
      </c>
      <c r="E208" s="11" t="s">
        <v>6</v>
      </c>
      <c r="F208" s="11" t="s">
        <v>11</v>
      </c>
      <c r="G208" s="967" t="s">
        <v>8</v>
      </c>
    </row>
    <row r="209" spans="1:7" s="2" customFormat="1" ht="15.75" customHeight="1">
      <c r="A209" s="1019" t="s">
        <v>68</v>
      </c>
      <c r="B209" s="1020"/>
      <c r="C209" s="16" t="s">
        <v>3</v>
      </c>
      <c r="D209" s="54">
        <v>3.5000000000000003E-2</v>
      </c>
      <c r="E209" s="17">
        <f>G201</f>
        <v>8319.42</v>
      </c>
      <c r="F209" s="14">
        <f>E209*D209</f>
        <v>291.17970000000003</v>
      </c>
      <c r="G209" s="969"/>
    </row>
    <row r="210" spans="1:7" s="2" customFormat="1" ht="15.75" customHeight="1">
      <c r="A210" s="983" t="s">
        <v>17</v>
      </c>
      <c r="B210" s="984"/>
      <c r="C210" s="16" t="s">
        <v>18</v>
      </c>
      <c r="D210" s="54">
        <v>3.5000000000000003E-2</v>
      </c>
      <c r="E210" s="17">
        <f>+G206</f>
        <v>66387.014750000002</v>
      </c>
      <c r="F210" s="14">
        <f>E210*D210</f>
        <v>2323.5455162500002</v>
      </c>
      <c r="G210" s="15">
        <f>SUM(F209:F210)</f>
        <v>2614.7252162500004</v>
      </c>
    </row>
    <row r="211" spans="1:7" s="2" customFormat="1" ht="15.75" customHeight="1">
      <c r="A211" s="1006" t="s">
        <v>19</v>
      </c>
      <c r="B211" s="1007"/>
      <c r="C211" s="1007"/>
      <c r="D211" s="1007"/>
      <c r="E211" s="1007"/>
      <c r="F211" s="1007"/>
      <c r="G211" s="1008"/>
    </row>
    <row r="212" spans="1:7" s="2" customFormat="1" ht="15.75" customHeight="1">
      <c r="A212" s="974" t="s">
        <v>2</v>
      </c>
      <c r="B212" s="975"/>
      <c r="C212" s="11" t="s">
        <v>3</v>
      </c>
      <c r="D212" s="11" t="s">
        <v>4</v>
      </c>
      <c r="E212" s="11" t="s">
        <v>6</v>
      </c>
      <c r="F212" s="11" t="s">
        <v>11</v>
      </c>
      <c r="G212" s="18" t="s">
        <v>8</v>
      </c>
    </row>
    <row r="213" spans="1:7" s="2" customFormat="1" ht="15" customHeight="1">
      <c r="A213" s="978" t="str">
        <f>SALARIOS!A63</f>
        <v>CUADRILLA AA ALBAÑILERÍA 1:3</v>
      </c>
      <c r="B213" s="979"/>
      <c r="C213" s="13" t="s">
        <v>1245</v>
      </c>
      <c r="D213" s="12">
        <v>1</v>
      </c>
      <c r="E213" s="17">
        <f>SALARIOS!$C$63</f>
        <v>43271</v>
      </c>
      <c r="F213" s="14">
        <f>+D213*E213</f>
        <v>43271</v>
      </c>
      <c r="G213" s="15">
        <f>F213</f>
        <v>43271</v>
      </c>
    </row>
    <row r="214" spans="1:7" s="2" customFormat="1" ht="15.75" customHeight="1">
      <c r="A214" s="1009" t="s">
        <v>25</v>
      </c>
      <c r="B214" s="1010"/>
      <c r="C214" s="1010"/>
      <c r="D214" s="1010"/>
      <c r="E214" s="1010"/>
      <c r="F214" s="1010"/>
      <c r="G214" s="1011"/>
    </row>
    <row r="215" spans="1:7" s="2" customFormat="1" ht="15.75" customHeight="1">
      <c r="A215" s="1012"/>
      <c r="B215" s="1013"/>
      <c r="C215" s="1013"/>
      <c r="D215" s="1013"/>
      <c r="E215" s="1013"/>
      <c r="F215" s="1014"/>
      <c r="G215" s="20">
        <f>G213+G210+G206+G201</f>
        <v>120592.15996624999</v>
      </c>
    </row>
    <row r="216" spans="1:7" s="2" customFormat="1" ht="15.75" customHeight="1">
      <c r="A216" s="26"/>
      <c r="B216" s="27"/>
      <c r="C216" s="28"/>
      <c r="D216" s="28"/>
      <c r="E216" s="29"/>
      <c r="F216" s="28"/>
      <c r="G216" s="30"/>
    </row>
    <row r="217" spans="1:7" s="2" customFormat="1" ht="14.25" customHeight="1">
      <c r="A217" s="986" t="s">
        <v>1</v>
      </c>
      <c r="B217" s="987"/>
      <c r="C217" s="992" t="s">
        <v>0</v>
      </c>
      <c r="D217" s="993"/>
      <c r="E217" s="993"/>
      <c r="F217" s="993"/>
      <c r="G217" s="994"/>
    </row>
    <row r="218" spans="1:7" s="2" customFormat="1" ht="43.5" customHeight="1">
      <c r="A218" s="988"/>
      <c r="B218" s="989"/>
      <c r="C218" s="995"/>
      <c r="D218" s="996"/>
      <c r="E218" s="996"/>
      <c r="F218" s="996"/>
      <c r="G218" s="997"/>
    </row>
    <row r="219" spans="1:7" s="2" customFormat="1" ht="17.399999999999999">
      <c r="A219" s="988"/>
      <c r="B219" s="989"/>
      <c r="C219" s="998"/>
      <c r="D219" s="999"/>
      <c r="E219" s="999"/>
      <c r="F219" s="999"/>
      <c r="G219" s="1000"/>
    </row>
    <row r="220" spans="1:7" s="2" customFormat="1" ht="13.8">
      <c r="A220" s="990"/>
      <c r="B220" s="991"/>
      <c r="C220" s="1001" t="s">
        <v>2</v>
      </c>
      <c r="D220" s="1002"/>
      <c r="E220" s="1003"/>
      <c r="F220" s="23" t="s">
        <v>3</v>
      </c>
      <c r="G220" s="24" t="s">
        <v>4</v>
      </c>
    </row>
    <row r="221" spans="1:7" s="2" customFormat="1" ht="204" customHeight="1">
      <c r="A221" s="1004" t="s">
        <v>141</v>
      </c>
      <c r="B221" s="1005"/>
      <c r="C221" s="1017" t="s">
        <v>142</v>
      </c>
      <c r="D221" s="1018"/>
      <c r="E221" s="949"/>
      <c r="F221" s="9" t="s">
        <v>37</v>
      </c>
      <c r="G221" s="25">
        <v>41.01700000000001</v>
      </c>
    </row>
    <row r="222" spans="1:7" s="2" customFormat="1" ht="13.8">
      <c r="A222" s="1006" t="s">
        <v>5</v>
      </c>
      <c r="B222" s="1007"/>
      <c r="C222" s="1007"/>
      <c r="D222" s="1007"/>
      <c r="E222" s="1007"/>
      <c r="F222" s="1007"/>
      <c r="G222" s="1008"/>
    </row>
    <row r="223" spans="1:7" s="2" customFormat="1" ht="15.75" customHeight="1">
      <c r="A223" s="974" t="s">
        <v>2</v>
      </c>
      <c r="B223" s="975"/>
      <c r="C223" s="11" t="s">
        <v>3</v>
      </c>
      <c r="D223" s="11" t="s">
        <v>4</v>
      </c>
      <c r="E223" s="11" t="s">
        <v>6</v>
      </c>
      <c r="F223" s="11" t="s">
        <v>7</v>
      </c>
      <c r="G223" s="967" t="s">
        <v>8</v>
      </c>
    </row>
    <row r="224" spans="1:7" s="2" customFormat="1" ht="15.75" customHeight="1">
      <c r="A224" s="948" t="s">
        <v>9</v>
      </c>
      <c r="B224" s="949"/>
      <c r="C224" s="12" t="s">
        <v>3</v>
      </c>
      <c r="D224" s="9">
        <v>0.05</v>
      </c>
      <c r="E224" s="13">
        <f>G239</f>
        <v>43271</v>
      </c>
      <c r="F224" s="14">
        <f>D224*E224</f>
        <v>2163.5500000000002</v>
      </c>
      <c r="G224" s="968"/>
    </row>
    <row r="225" spans="1:7" s="2" customFormat="1" ht="15.75" customHeight="1">
      <c r="A225" s="983" t="s">
        <v>112</v>
      </c>
      <c r="B225" s="984"/>
      <c r="C225" s="12" t="s">
        <v>58</v>
      </c>
      <c r="D225" s="9">
        <v>0.04</v>
      </c>
      <c r="E225" s="13">
        <f>'MAQUINARIA Y EQUIPOS'!$F$23</f>
        <v>28203</v>
      </c>
      <c r="F225" s="14">
        <f>D225*E225</f>
        <v>1128.1200000000001</v>
      </c>
      <c r="G225" s="968"/>
    </row>
    <row r="226" spans="1:7" s="2" customFormat="1" ht="15.75" customHeight="1">
      <c r="A226" s="948" t="s">
        <v>113</v>
      </c>
      <c r="B226" s="949"/>
      <c r="C226" s="12" t="s">
        <v>58</v>
      </c>
      <c r="D226" s="9">
        <v>0.3</v>
      </c>
      <c r="E226" s="13">
        <f>'MAQUINARIA Y EQUIPOS'!$F$10</f>
        <v>3272.5</v>
      </c>
      <c r="F226" s="14">
        <f>D226*E226</f>
        <v>981.75</v>
      </c>
      <c r="G226" s="969"/>
    </row>
    <row r="227" spans="1:7" s="2" customFormat="1" ht="15.75" customHeight="1">
      <c r="A227" s="948" t="s">
        <v>61</v>
      </c>
      <c r="B227" s="949"/>
      <c r="C227" s="12" t="s">
        <v>58</v>
      </c>
      <c r="D227" s="9">
        <v>0.1</v>
      </c>
      <c r="E227" s="13">
        <f>'MAQUINARIA Y EQUIPOS'!$F$18</f>
        <v>40460</v>
      </c>
      <c r="F227" s="14">
        <f>D227*E227</f>
        <v>4046</v>
      </c>
      <c r="G227" s="15">
        <f>SUM(F223:F227)</f>
        <v>8319.42</v>
      </c>
    </row>
    <row r="228" spans="1:7" s="2" customFormat="1" ht="15.75" customHeight="1">
      <c r="A228" s="1006" t="s">
        <v>10</v>
      </c>
      <c r="B228" s="1007"/>
      <c r="C228" s="1007"/>
      <c r="D228" s="1007"/>
      <c r="E228" s="1007"/>
      <c r="F228" s="1007"/>
      <c r="G228" s="1008"/>
    </row>
    <row r="229" spans="1:7" s="2" customFormat="1" ht="13.8">
      <c r="A229" s="974" t="s">
        <v>2</v>
      </c>
      <c r="B229" s="975"/>
      <c r="C229" s="11" t="s">
        <v>3</v>
      </c>
      <c r="D229" s="11" t="s">
        <v>4</v>
      </c>
      <c r="E229" s="11" t="s">
        <v>6</v>
      </c>
      <c r="F229" s="11" t="s">
        <v>11</v>
      </c>
      <c r="G229" s="967" t="s">
        <v>8</v>
      </c>
    </row>
    <row r="230" spans="1:7" s="2" customFormat="1" ht="13.8">
      <c r="A230" s="948" t="s">
        <v>115</v>
      </c>
      <c r="B230" s="949"/>
      <c r="C230" s="12" t="s">
        <v>3</v>
      </c>
      <c r="D230" s="12">
        <v>0.03</v>
      </c>
      <c r="E230" s="13">
        <f>'INSUMOS '!$E$28</f>
        <v>51900</v>
      </c>
      <c r="F230" s="14">
        <f>D230*E230</f>
        <v>1557</v>
      </c>
      <c r="G230" s="968"/>
    </row>
    <row r="231" spans="1:7" s="2" customFormat="1" ht="13.8">
      <c r="A231" s="948" t="s">
        <v>114</v>
      </c>
      <c r="B231" s="949"/>
      <c r="C231" s="12" t="s">
        <v>39</v>
      </c>
      <c r="D231" s="12">
        <v>0.03</v>
      </c>
      <c r="E231" s="13">
        <f>SUBANÁLISIS!$G$146</f>
        <v>702267.57499999995</v>
      </c>
      <c r="F231" s="14">
        <f>D231*E231</f>
        <v>21068.027249999999</v>
      </c>
      <c r="G231" s="969"/>
    </row>
    <row r="232" spans="1:7" s="2" customFormat="1" ht="15.75" customHeight="1">
      <c r="A232" s="948" t="s">
        <v>1551</v>
      </c>
      <c r="B232" s="949"/>
      <c r="C232" s="12" t="s">
        <v>3</v>
      </c>
      <c r="D232" s="33">
        <v>12.5</v>
      </c>
      <c r="E232" s="13">
        <f>'INSUMOS '!$E$49</f>
        <v>4150</v>
      </c>
      <c r="F232" s="14">
        <f>E232*D232</f>
        <v>51875</v>
      </c>
      <c r="G232" s="15">
        <f>SUM(F229:F232)</f>
        <v>74500.027249999999</v>
      </c>
    </row>
    <row r="233" spans="1:7" s="2" customFormat="1" ht="15.75" customHeight="1">
      <c r="A233" s="1006" t="s">
        <v>15</v>
      </c>
      <c r="B233" s="1007"/>
      <c r="C233" s="1007"/>
      <c r="D233" s="1007"/>
      <c r="E233" s="1007"/>
      <c r="F233" s="1007"/>
      <c r="G233" s="1008"/>
    </row>
    <row r="234" spans="1:7" s="2" customFormat="1" ht="13.8">
      <c r="A234" s="974" t="s">
        <v>2</v>
      </c>
      <c r="B234" s="975"/>
      <c r="C234" s="11" t="s">
        <v>3</v>
      </c>
      <c r="D234" s="11" t="s">
        <v>4</v>
      </c>
      <c r="E234" s="11" t="s">
        <v>6</v>
      </c>
      <c r="F234" s="11" t="s">
        <v>11</v>
      </c>
      <c r="G234" s="967" t="s">
        <v>8</v>
      </c>
    </row>
    <row r="235" spans="1:7" s="2" customFormat="1" ht="15.75" customHeight="1">
      <c r="A235" s="1019" t="s">
        <v>68</v>
      </c>
      <c r="B235" s="1020"/>
      <c r="C235" s="16" t="s">
        <v>3</v>
      </c>
      <c r="D235" s="54">
        <v>3.5000000000000003E-2</v>
      </c>
      <c r="E235" s="17">
        <f>G227</f>
        <v>8319.42</v>
      </c>
      <c r="F235" s="14">
        <f>E235*D235</f>
        <v>291.17970000000003</v>
      </c>
      <c r="G235" s="969"/>
    </row>
    <row r="236" spans="1:7" s="2" customFormat="1" ht="15.75" customHeight="1">
      <c r="A236" s="1019" t="s">
        <v>17</v>
      </c>
      <c r="B236" s="1020"/>
      <c r="C236" s="16" t="s">
        <v>18</v>
      </c>
      <c r="D236" s="54">
        <v>3.5000000000000003E-2</v>
      </c>
      <c r="E236" s="17">
        <f>+G232</f>
        <v>74500.027249999999</v>
      </c>
      <c r="F236" s="14">
        <f>E236*D236</f>
        <v>2607.50095375</v>
      </c>
      <c r="G236" s="15">
        <f>SUM(F235:F236)</f>
        <v>2898.6806537500001</v>
      </c>
    </row>
    <row r="237" spans="1:7" s="2" customFormat="1" ht="15.75" customHeight="1">
      <c r="A237" s="1006" t="s">
        <v>19</v>
      </c>
      <c r="B237" s="1007"/>
      <c r="C237" s="1007"/>
      <c r="D237" s="1007"/>
      <c r="E237" s="1007"/>
      <c r="F237" s="1007"/>
      <c r="G237" s="1008"/>
    </row>
    <row r="238" spans="1:7" s="2" customFormat="1" ht="13.8">
      <c r="A238" s="974" t="s">
        <v>2</v>
      </c>
      <c r="B238" s="975"/>
      <c r="C238" s="11" t="s">
        <v>3</v>
      </c>
      <c r="D238" s="11" t="s">
        <v>4</v>
      </c>
      <c r="E238" s="11" t="s">
        <v>6</v>
      </c>
      <c r="F238" s="11" t="s">
        <v>11</v>
      </c>
      <c r="G238" s="18" t="s">
        <v>8</v>
      </c>
    </row>
    <row r="239" spans="1:7" s="2" customFormat="1" ht="15" customHeight="1">
      <c r="A239" s="978" t="str">
        <f>SALARIOS!$A$63</f>
        <v>CUADRILLA AA ALBAÑILERÍA 1:3</v>
      </c>
      <c r="B239" s="979"/>
      <c r="C239" s="13" t="s">
        <v>1245</v>
      </c>
      <c r="D239" s="32">
        <v>1</v>
      </c>
      <c r="E239" s="13">
        <f>SALARIOS!$C$63</f>
        <v>43271</v>
      </c>
      <c r="F239" s="14">
        <f>+D239*E239</f>
        <v>43271</v>
      </c>
      <c r="G239" s="15">
        <f>F239</f>
        <v>43271</v>
      </c>
    </row>
    <row r="240" spans="1:7" s="2" customFormat="1" ht="15.75" customHeight="1">
      <c r="A240" s="1009" t="s">
        <v>25</v>
      </c>
      <c r="B240" s="1010"/>
      <c r="C240" s="1010"/>
      <c r="D240" s="1010"/>
      <c r="E240" s="1010"/>
      <c r="F240" s="1010"/>
      <c r="G240" s="1011"/>
    </row>
    <row r="241" spans="1:7" s="2" customFormat="1" ht="15.75" customHeight="1">
      <c r="A241" s="1012"/>
      <c r="B241" s="1013"/>
      <c r="C241" s="1013"/>
      <c r="D241" s="1013"/>
      <c r="E241" s="1013"/>
      <c r="F241" s="1014"/>
      <c r="G241" s="20">
        <f>G239+G236+G232+G227</f>
        <v>128989.12790375001</v>
      </c>
    </row>
    <row r="242" spans="1:7" s="2" customFormat="1" ht="15.75" customHeight="1">
      <c r="A242" s="26"/>
      <c r="B242" s="27"/>
      <c r="C242" s="28"/>
      <c r="D242" s="28"/>
      <c r="E242" s="29"/>
      <c r="F242" s="28"/>
      <c r="G242" s="30"/>
    </row>
    <row r="243" spans="1:7" s="2" customFormat="1" ht="15.75" customHeight="1">
      <c r="A243" s="986" t="s">
        <v>1</v>
      </c>
      <c r="B243" s="987"/>
      <c r="C243" s="992" t="s">
        <v>0</v>
      </c>
      <c r="D243" s="993"/>
      <c r="E243" s="993"/>
      <c r="F243" s="993"/>
      <c r="G243" s="994"/>
    </row>
    <row r="244" spans="1:7" s="2" customFormat="1" ht="48.75" customHeight="1">
      <c r="A244" s="988"/>
      <c r="B244" s="989"/>
      <c r="C244" s="995"/>
      <c r="D244" s="996"/>
      <c r="E244" s="996"/>
      <c r="F244" s="996"/>
      <c r="G244" s="997"/>
    </row>
    <row r="245" spans="1:7" s="2" customFormat="1" ht="17.399999999999999">
      <c r="A245" s="988"/>
      <c r="B245" s="989"/>
      <c r="C245" s="998"/>
      <c r="D245" s="999"/>
      <c r="E245" s="999"/>
      <c r="F245" s="999"/>
      <c r="G245" s="1000"/>
    </row>
    <row r="246" spans="1:7" s="2" customFormat="1" ht="13.8">
      <c r="A246" s="990"/>
      <c r="B246" s="991"/>
      <c r="C246" s="1001" t="s">
        <v>2</v>
      </c>
      <c r="D246" s="1002"/>
      <c r="E246" s="1003"/>
      <c r="F246" s="23" t="s">
        <v>3</v>
      </c>
      <c r="G246" s="24" t="s">
        <v>4</v>
      </c>
    </row>
    <row r="247" spans="1:7" s="2" customFormat="1" ht="201.75" customHeight="1">
      <c r="A247" s="1004" t="s">
        <v>143</v>
      </c>
      <c r="B247" s="1005"/>
      <c r="C247" s="1017" t="s">
        <v>144</v>
      </c>
      <c r="D247" s="1018"/>
      <c r="E247" s="949"/>
      <c r="F247" s="9" t="s">
        <v>37</v>
      </c>
      <c r="G247" s="25">
        <v>5.384500000000001</v>
      </c>
    </row>
    <row r="248" spans="1:7" s="2" customFormat="1" ht="13.8">
      <c r="A248" s="1006" t="s">
        <v>5</v>
      </c>
      <c r="B248" s="1007"/>
      <c r="C248" s="1007"/>
      <c r="D248" s="1007"/>
      <c r="E248" s="1007"/>
      <c r="F248" s="1007"/>
      <c r="G248" s="1008"/>
    </row>
    <row r="249" spans="1:7" s="2" customFormat="1" ht="13.8">
      <c r="A249" s="974" t="s">
        <v>2</v>
      </c>
      <c r="B249" s="975"/>
      <c r="C249" s="11" t="s">
        <v>3</v>
      </c>
      <c r="D249" s="11" t="s">
        <v>4</v>
      </c>
      <c r="E249" s="11" t="s">
        <v>6</v>
      </c>
      <c r="F249" s="11" t="s">
        <v>7</v>
      </c>
      <c r="G249" s="967" t="s">
        <v>8</v>
      </c>
    </row>
    <row r="250" spans="1:7" s="2" customFormat="1" ht="15.75" customHeight="1">
      <c r="A250" s="948" t="s">
        <v>9</v>
      </c>
      <c r="B250" s="949"/>
      <c r="C250" s="12" t="s">
        <v>3</v>
      </c>
      <c r="D250" s="9">
        <v>0.05</v>
      </c>
      <c r="E250" s="13">
        <f>G265</f>
        <v>43271</v>
      </c>
      <c r="F250" s="14">
        <f>D250*E250</f>
        <v>2163.5500000000002</v>
      </c>
      <c r="G250" s="968"/>
    </row>
    <row r="251" spans="1:7" s="2" customFormat="1" ht="15.75" customHeight="1">
      <c r="A251" s="983" t="s">
        <v>112</v>
      </c>
      <c r="B251" s="984"/>
      <c r="C251" s="12" t="s">
        <v>58</v>
      </c>
      <c r="D251" s="9">
        <v>0.04</v>
      </c>
      <c r="E251" s="13">
        <f>'MAQUINARIA Y EQUIPOS'!$F$23</f>
        <v>28203</v>
      </c>
      <c r="F251" s="14">
        <f>D251*E251</f>
        <v>1128.1200000000001</v>
      </c>
      <c r="G251" s="968"/>
    </row>
    <row r="252" spans="1:7" s="2" customFormat="1" ht="15.75" customHeight="1">
      <c r="A252" s="948" t="s">
        <v>113</v>
      </c>
      <c r="B252" s="949"/>
      <c r="C252" s="12" t="s">
        <v>58</v>
      </c>
      <c r="D252" s="9">
        <v>0.3</v>
      </c>
      <c r="E252" s="13">
        <f>'MAQUINARIA Y EQUIPOS'!$F$10</f>
        <v>3272.5</v>
      </c>
      <c r="F252" s="14">
        <f>D252*E252</f>
        <v>981.75</v>
      </c>
      <c r="G252" s="969"/>
    </row>
    <row r="253" spans="1:7" s="2" customFormat="1" ht="15.75" customHeight="1">
      <c r="A253" s="948" t="s">
        <v>61</v>
      </c>
      <c r="B253" s="949"/>
      <c r="C253" s="12" t="s">
        <v>58</v>
      </c>
      <c r="D253" s="9">
        <v>0.1</v>
      </c>
      <c r="E253" s="13">
        <f>'MAQUINARIA Y EQUIPOS'!$F$18</f>
        <v>40460</v>
      </c>
      <c r="F253" s="14">
        <f>D253*E253</f>
        <v>4046</v>
      </c>
      <c r="G253" s="15">
        <f>SUM(F249:F253)</f>
        <v>8319.42</v>
      </c>
    </row>
    <row r="254" spans="1:7" s="2" customFormat="1" ht="15.75" customHeight="1">
      <c r="A254" s="1006" t="s">
        <v>10</v>
      </c>
      <c r="B254" s="1007"/>
      <c r="C254" s="1007"/>
      <c r="D254" s="1007"/>
      <c r="E254" s="1007"/>
      <c r="F254" s="1007"/>
      <c r="G254" s="1008"/>
    </row>
    <row r="255" spans="1:7" s="2" customFormat="1" ht="13.8">
      <c r="A255" s="974" t="s">
        <v>2</v>
      </c>
      <c r="B255" s="975"/>
      <c r="C255" s="11" t="s">
        <v>3</v>
      </c>
      <c r="D255" s="11" t="s">
        <v>4</v>
      </c>
      <c r="E255" s="11" t="s">
        <v>6</v>
      </c>
      <c r="F255" s="11" t="s">
        <v>11</v>
      </c>
      <c r="G255" s="967" t="s">
        <v>8</v>
      </c>
    </row>
    <row r="256" spans="1:7" s="2" customFormat="1" ht="13.8">
      <c r="A256" s="948" t="s">
        <v>115</v>
      </c>
      <c r="B256" s="949"/>
      <c r="C256" s="12" t="s">
        <v>3</v>
      </c>
      <c r="D256" s="12">
        <v>0.03</v>
      </c>
      <c r="E256" s="13">
        <f>'INSUMOS '!$E$28</f>
        <v>51900</v>
      </c>
      <c r="F256" s="14">
        <f>D256*E256</f>
        <v>1557</v>
      </c>
      <c r="G256" s="968"/>
    </row>
    <row r="257" spans="1:7" s="2" customFormat="1" ht="15.75" customHeight="1">
      <c r="A257" s="948" t="s">
        <v>114</v>
      </c>
      <c r="B257" s="949"/>
      <c r="C257" s="12" t="s">
        <v>39</v>
      </c>
      <c r="D257" s="12">
        <v>0.03</v>
      </c>
      <c r="E257" s="13">
        <f>SUBANÁLISIS!$G$89</f>
        <v>431833.82500000001</v>
      </c>
      <c r="F257" s="14">
        <f>D257*E257</f>
        <v>12955.01475</v>
      </c>
      <c r="G257" s="969"/>
    </row>
    <row r="258" spans="1:7" s="2" customFormat="1" ht="15.75" customHeight="1">
      <c r="A258" s="948" t="s">
        <v>145</v>
      </c>
      <c r="B258" s="949"/>
      <c r="C258" s="12" t="s">
        <v>3</v>
      </c>
      <c r="D258" s="33">
        <v>12.5</v>
      </c>
      <c r="E258" s="13">
        <f>'INSUMOS '!$E$49</f>
        <v>4150</v>
      </c>
      <c r="F258" s="14">
        <f>E258*D258</f>
        <v>51875</v>
      </c>
      <c r="G258" s="15">
        <f>SUM(F255:F258)</f>
        <v>66387.014750000002</v>
      </c>
    </row>
    <row r="259" spans="1:7" s="2" customFormat="1" ht="15.75" customHeight="1">
      <c r="A259" s="1006" t="s">
        <v>15</v>
      </c>
      <c r="B259" s="1007"/>
      <c r="C259" s="1007"/>
      <c r="D259" s="1007"/>
      <c r="E259" s="1007"/>
      <c r="F259" s="1007"/>
      <c r="G259" s="1008"/>
    </row>
    <row r="260" spans="1:7" s="2" customFormat="1" ht="13.8">
      <c r="A260" s="974" t="s">
        <v>2</v>
      </c>
      <c r="B260" s="975"/>
      <c r="C260" s="11" t="s">
        <v>3</v>
      </c>
      <c r="D260" s="11" t="s">
        <v>4</v>
      </c>
      <c r="E260" s="11" t="s">
        <v>6</v>
      </c>
      <c r="F260" s="11" t="s">
        <v>11</v>
      </c>
      <c r="G260" s="967" t="s">
        <v>8</v>
      </c>
    </row>
    <row r="261" spans="1:7" s="2" customFormat="1" ht="15.75" customHeight="1">
      <c r="A261" s="1019" t="s">
        <v>68</v>
      </c>
      <c r="B261" s="1020"/>
      <c r="C261" s="16" t="s">
        <v>3</v>
      </c>
      <c r="D261" s="54">
        <v>3.5000000000000003E-2</v>
      </c>
      <c r="E261" s="17">
        <f>G253</f>
        <v>8319.42</v>
      </c>
      <c r="F261" s="14">
        <f>E261*D261</f>
        <v>291.17970000000003</v>
      </c>
      <c r="G261" s="969"/>
    </row>
    <row r="262" spans="1:7" s="2" customFormat="1" ht="15.75" customHeight="1">
      <c r="A262" s="983" t="s">
        <v>17</v>
      </c>
      <c r="B262" s="984"/>
      <c r="C262" s="16" t="s">
        <v>18</v>
      </c>
      <c r="D262" s="54">
        <v>3.5000000000000003E-2</v>
      </c>
      <c r="E262" s="17">
        <f>+G258</f>
        <v>66387.014750000002</v>
      </c>
      <c r="F262" s="14">
        <f>E262*D262</f>
        <v>2323.5455162500002</v>
      </c>
      <c r="G262" s="15">
        <f>SUM(F261:F262)</f>
        <v>2614.7252162500004</v>
      </c>
    </row>
    <row r="263" spans="1:7" s="2" customFormat="1" ht="15.75" customHeight="1">
      <c r="A263" s="1006" t="s">
        <v>19</v>
      </c>
      <c r="B263" s="1007"/>
      <c r="C263" s="1007"/>
      <c r="D263" s="1007"/>
      <c r="E263" s="1007"/>
      <c r="F263" s="1007"/>
      <c r="G263" s="1008"/>
    </row>
    <row r="264" spans="1:7" s="2" customFormat="1" ht="13.8">
      <c r="A264" s="974" t="s">
        <v>2</v>
      </c>
      <c r="B264" s="975"/>
      <c r="C264" s="11" t="s">
        <v>3</v>
      </c>
      <c r="D264" s="11" t="s">
        <v>4</v>
      </c>
      <c r="E264" s="11" t="s">
        <v>6</v>
      </c>
      <c r="F264" s="11" t="s">
        <v>11</v>
      </c>
      <c r="G264" s="18" t="s">
        <v>8</v>
      </c>
    </row>
    <row r="265" spans="1:7" s="2" customFormat="1" ht="15" customHeight="1">
      <c r="A265" s="978" t="str">
        <f>SALARIOS!A63</f>
        <v>CUADRILLA AA ALBAÑILERÍA 1:3</v>
      </c>
      <c r="B265" s="979"/>
      <c r="C265" s="13" t="s">
        <v>1245</v>
      </c>
      <c r="D265" s="12">
        <v>1</v>
      </c>
      <c r="E265" s="17">
        <f>SALARIOS!$C$63</f>
        <v>43271</v>
      </c>
      <c r="F265" s="14">
        <f>+D265*E265</f>
        <v>43271</v>
      </c>
      <c r="G265" s="15">
        <f>F265</f>
        <v>43271</v>
      </c>
    </row>
    <row r="266" spans="1:7" s="2" customFormat="1" ht="13.8">
      <c r="A266" s="1009" t="s">
        <v>25</v>
      </c>
      <c r="B266" s="1010"/>
      <c r="C266" s="1010"/>
      <c r="D266" s="1010"/>
      <c r="E266" s="1010"/>
      <c r="F266" s="1010"/>
      <c r="G266" s="1011"/>
    </row>
    <row r="267" spans="1:7" s="2" customFormat="1" ht="15.75" customHeight="1">
      <c r="A267" s="1012"/>
      <c r="B267" s="1013"/>
      <c r="C267" s="1013"/>
      <c r="D267" s="1013"/>
      <c r="E267" s="1013"/>
      <c r="F267" s="1014"/>
      <c r="G267" s="20">
        <f>G265+G262+G258+G253</f>
        <v>120592.15996624999</v>
      </c>
    </row>
    <row r="268" spans="1:7" s="2" customFormat="1" ht="15.75" customHeight="1">
      <c r="A268" s="26"/>
      <c r="B268" s="27"/>
      <c r="C268" s="28"/>
      <c r="D268" s="28"/>
      <c r="E268" s="29"/>
      <c r="F268" s="28"/>
      <c r="G268" s="30"/>
    </row>
    <row r="269" spans="1:7" s="2" customFormat="1" ht="15.75" customHeight="1">
      <c r="A269" s="986" t="s">
        <v>1</v>
      </c>
      <c r="B269" s="987"/>
      <c r="C269" s="992" t="s">
        <v>0</v>
      </c>
      <c r="D269" s="993"/>
      <c r="E269" s="993"/>
      <c r="F269" s="993"/>
      <c r="G269" s="994"/>
    </row>
    <row r="270" spans="1:7" s="2" customFormat="1" ht="39.75" customHeight="1">
      <c r="A270" s="988"/>
      <c r="B270" s="989"/>
      <c r="C270" s="995"/>
      <c r="D270" s="996"/>
      <c r="E270" s="996"/>
      <c r="F270" s="996"/>
      <c r="G270" s="997"/>
    </row>
    <row r="271" spans="1:7" s="2" customFormat="1" ht="15.75" customHeight="1">
      <c r="A271" s="988"/>
      <c r="B271" s="989"/>
      <c r="C271" s="998"/>
      <c r="D271" s="999"/>
      <c r="E271" s="999"/>
      <c r="F271" s="999"/>
      <c r="G271" s="1000"/>
    </row>
    <row r="272" spans="1:7" s="2" customFormat="1" ht="13.8">
      <c r="A272" s="990"/>
      <c r="B272" s="991"/>
      <c r="C272" s="1001" t="s">
        <v>2</v>
      </c>
      <c r="D272" s="1002"/>
      <c r="E272" s="1003"/>
      <c r="F272" s="23" t="s">
        <v>3</v>
      </c>
      <c r="G272" s="24" t="s">
        <v>4</v>
      </c>
    </row>
    <row r="273" spans="1:7" s="2" customFormat="1" ht="136.5" customHeight="1">
      <c r="A273" s="1004" t="s">
        <v>146</v>
      </c>
      <c r="B273" s="1005"/>
      <c r="C273" s="1017" t="s">
        <v>147</v>
      </c>
      <c r="D273" s="1018"/>
      <c r="E273" s="949"/>
      <c r="F273" s="9" t="s">
        <v>28</v>
      </c>
      <c r="G273" s="25">
        <v>1</v>
      </c>
    </row>
    <row r="274" spans="1:7" s="2" customFormat="1" ht="13.8">
      <c r="A274" s="1006" t="s">
        <v>5</v>
      </c>
      <c r="B274" s="1007"/>
      <c r="C274" s="1007"/>
      <c r="D274" s="1007"/>
      <c r="E274" s="1007"/>
      <c r="F274" s="1007"/>
      <c r="G274" s="1008"/>
    </row>
    <row r="275" spans="1:7" s="2" customFormat="1" ht="13.8">
      <c r="A275" s="974" t="s">
        <v>2</v>
      </c>
      <c r="B275" s="975"/>
      <c r="C275" s="11" t="s">
        <v>3</v>
      </c>
      <c r="D275" s="11" t="s">
        <v>4</v>
      </c>
      <c r="E275" s="11" t="s">
        <v>6</v>
      </c>
      <c r="F275" s="11" t="s">
        <v>7</v>
      </c>
      <c r="G275" s="18" t="s">
        <v>8</v>
      </c>
    </row>
    <row r="276" spans="1:7" s="2" customFormat="1" ht="13.8">
      <c r="A276" s="948"/>
      <c r="B276" s="949"/>
      <c r="C276" s="12"/>
      <c r="D276" s="9"/>
      <c r="E276" s="13"/>
      <c r="F276" s="14"/>
      <c r="G276" s="39"/>
    </row>
    <row r="277" spans="1:7" s="2" customFormat="1" ht="15.75" customHeight="1">
      <c r="A277" s="1006" t="s">
        <v>10</v>
      </c>
      <c r="B277" s="1007"/>
      <c r="C277" s="1007"/>
      <c r="D277" s="1007"/>
      <c r="E277" s="1007"/>
      <c r="F277" s="1007"/>
      <c r="G277" s="1008"/>
    </row>
    <row r="278" spans="1:7" s="2" customFormat="1" ht="15.75" customHeight="1">
      <c r="A278" s="974" t="s">
        <v>2</v>
      </c>
      <c r="B278" s="975"/>
      <c r="C278" s="11" t="s">
        <v>3</v>
      </c>
      <c r="D278" s="11" t="s">
        <v>4</v>
      </c>
      <c r="E278" s="11" t="s">
        <v>6</v>
      </c>
      <c r="F278" s="11" t="s">
        <v>11</v>
      </c>
      <c r="G278" s="967" t="s">
        <v>8</v>
      </c>
    </row>
    <row r="279" spans="1:7" s="2" customFormat="1" ht="181.5" customHeight="1">
      <c r="A279" s="948" t="s">
        <v>1541</v>
      </c>
      <c r="B279" s="949"/>
      <c r="C279" s="12" t="s">
        <v>3</v>
      </c>
      <c r="D279" s="12">
        <v>1</v>
      </c>
      <c r="E279" s="13">
        <f>'INSUMOS '!E202</f>
        <v>37128000</v>
      </c>
      <c r="F279" s="14">
        <f>D279*E279</f>
        <v>37128000</v>
      </c>
      <c r="G279" s="969"/>
    </row>
    <row r="280" spans="1:7" s="2" customFormat="1" ht="13.8">
      <c r="A280" s="948"/>
      <c r="B280" s="949"/>
      <c r="C280" s="12"/>
      <c r="D280" s="33"/>
      <c r="E280" s="13"/>
      <c r="F280" s="14"/>
      <c r="G280" s="15">
        <f>SUM(F278:F280)</f>
        <v>37128000</v>
      </c>
    </row>
    <row r="281" spans="1:7" s="2" customFormat="1" ht="15.75" customHeight="1">
      <c r="A281" s="1006" t="s">
        <v>15</v>
      </c>
      <c r="B281" s="1007"/>
      <c r="C281" s="1007"/>
      <c r="D281" s="1007"/>
      <c r="E281" s="1007"/>
      <c r="F281" s="1007"/>
      <c r="G281" s="1008"/>
    </row>
    <row r="282" spans="1:7" s="2" customFormat="1" ht="15.75" customHeight="1">
      <c r="A282" s="974" t="s">
        <v>2</v>
      </c>
      <c r="B282" s="975"/>
      <c r="C282" s="11" t="s">
        <v>3</v>
      </c>
      <c r="D282" s="11" t="s">
        <v>4</v>
      </c>
      <c r="E282" s="11" t="s">
        <v>6</v>
      </c>
      <c r="F282" s="11" t="s">
        <v>11</v>
      </c>
      <c r="G282" s="18" t="s">
        <v>8</v>
      </c>
    </row>
    <row r="283" spans="1:7" s="2" customFormat="1" ht="15.75" customHeight="1">
      <c r="A283" s="983"/>
      <c r="B283" s="984"/>
      <c r="C283" s="38"/>
      <c r="D283" s="38"/>
      <c r="E283" s="38"/>
      <c r="F283" s="38"/>
      <c r="G283" s="15"/>
    </row>
    <row r="284" spans="1:7" s="2" customFormat="1" ht="15.75" customHeight="1">
      <c r="A284" s="1006" t="s">
        <v>19</v>
      </c>
      <c r="B284" s="1007"/>
      <c r="C284" s="1007"/>
      <c r="D284" s="1007"/>
      <c r="E284" s="1007"/>
      <c r="F284" s="1007"/>
      <c r="G284" s="1008"/>
    </row>
    <row r="285" spans="1:7" s="2" customFormat="1" ht="15.75" customHeight="1">
      <c r="A285" s="974" t="s">
        <v>2</v>
      </c>
      <c r="B285" s="975"/>
      <c r="C285" s="11" t="s">
        <v>3</v>
      </c>
      <c r="D285" s="11" t="s">
        <v>4</v>
      </c>
      <c r="E285" s="11" t="s">
        <v>6</v>
      </c>
      <c r="F285" s="11" t="s">
        <v>11</v>
      </c>
      <c r="G285" s="18" t="s">
        <v>8</v>
      </c>
    </row>
    <row r="286" spans="1:7" s="2" customFormat="1" ht="15" customHeight="1">
      <c r="A286" s="978" t="str">
        <f>SALARIOS!$A$69</f>
        <v>CUADRILLA BB INSTALACIONES 1:1</v>
      </c>
      <c r="B286" s="979"/>
      <c r="C286" s="13" t="s">
        <v>1245</v>
      </c>
      <c r="D286" s="12">
        <v>4</v>
      </c>
      <c r="E286" s="13">
        <f>SALARIOS!$C$69</f>
        <v>27341</v>
      </c>
      <c r="F286" s="14">
        <f>+D286*E286</f>
        <v>109364</v>
      </c>
      <c r="G286" s="15">
        <f>F286</f>
        <v>109364</v>
      </c>
    </row>
    <row r="287" spans="1:7" s="2" customFormat="1" ht="15.75" customHeight="1">
      <c r="A287" s="1009" t="s">
        <v>25</v>
      </c>
      <c r="B287" s="1010"/>
      <c r="C287" s="1010"/>
      <c r="D287" s="1010"/>
      <c r="E287" s="1010"/>
      <c r="F287" s="1010"/>
      <c r="G287" s="1011"/>
    </row>
    <row r="288" spans="1:7" s="2" customFormat="1" ht="15.75" customHeight="1">
      <c r="A288" s="1012"/>
      <c r="B288" s="1013"/>
      <c r="C288" s="1013"/>
      <c r="D288" s="1013"/>
      <c r="E288" s="1013"/>
      <c r="F288" s="1014"/>
      <c r="G288" s="20">
        <f>G286+G283+G280+G276</f>
        <v>37237364</v>
      </c>
    </row>
    <row r="289" spans="1:7" s="2" customFormat="1" ht="15.75" customHeight="1">
      <c r="A289" s="26"/>
      <c r="B289" s="27"/>
      <c r="C289" s="28"/>
      <c r="D289" s="28"/>
      <c r="E289" s="29"/>
      <c r="F289" s="28"/>
      <c r="G289" s="30"/>
    </row>
    <row r="290" spans="1:7" s="2" customFormat="1" ht="15.75" customHeight="1">
      <c r="A290" s="986" t="s">
        <v>1</v>
      </c>
      <c r="B290" s="987"/>
      <c r="C290" s="992" t="s">
        <v>0</v>
      </c>
      <c r="D290" s="993"/>
      <c r="E290" s="993"/>
      <c r="F290" s="993"/>
      <c r="G290" s="994"/>
    </row>
    <row r="291" spans="1:7" s="2" customFormat="1" ht="52.5" customHeight="1">
      <c r="A291" s="988"/>
      <c r="B291" s="989"/>
      <c r="C291" s="995"/>
      <c r="D291" s="996"/>
      <c r="E291" s="996"/>
      <c r="F291" s="996"/>
      <c r="G291" s="997"/>
    </row>
    <row r="292" spans="1:7" s="2" customFormat="1" ht="15.75" customHeight="1">
      <c r="A292" s="988"/>
      <c r="B292" s="989"/>
      <c r="C292" s="998"/>
      <c r="D292" s="999"/>
      <c r="E292" s="999"/>
      <c r="F292" s="999"/>
      <c r="G292" s="1000"/>
    </row>
    <row r="293" spans="1:7" s="2" customFormat="1" ht="13.8">
      <c r="A293" s="990"/>
      <c r="B293" s="991"/>
      <c r="C293" s="1001" t="s">
        <v>2</v>
      </c>
      <c r="D293" s="1002"/>
      <c r="E293" s="1003"/>
      <c r="F293" s="23" t="s">
        <v>3</v>
      </c>
      <c r="G293" s="24" t="s">
        <v>4</v>
      </c>
    </row>
    <row r="294" spans="1:7" s="2" customFormat="1" ht="138.75" customHeight="1">
      <c r="A294" s="1004" t="s">
        <v>148</v>
      </c>
      <c r="B294" s="1005"/>
      <c r="C294" s="1017" t="s">
        <v>149</v>
      </c>
      <c r="D294" s="1018"/>
      <c r="E294" s="949"/>
      <c r="F294" s="9" t="s">
        <v>28</v>
      </c>
      <c r="G294" s="25">
        <v>1</v>
      </c>
    </row>
    <row r="295" spans="1:7" s="2" customFormat="1" ht="13.8">
      <c r="A295" s="1006" t="s">
        <v>5</v>
      </c>
      <c r="B295" s="1007"/>
      <c r="C295" s="1007"/>
      <c r="D295" s="1007"/>
      <c r="E295" s="1007"/>
      <c r="F295" s="1007"/>
      <c r="G295" s="1008"/>
    </row>
    <row r="296" spans="1:7" s="2" customFormat="1" ht="13.8">
      <c r="A296" s="974" t="s">
        <v>2</v>
      </c>
      <c r="B296" s="975"/>
      <c r="C296" s="11" t="s">
        <v>3</v>
      </c>
      <c r="D296" s="11" t="s">
        <v>4</v>
      </c>
      <c r="E296" s="11" t="s">
        <v>6</v>
      </c>
      <c r="F296" s="11" t="s">
        <v>7</v>
      </c>
      <c r="G296" s="18" t="s">
        <v>8</v>
      </c>
    </row>
    <row r="297" spans="1:7" s="2" customFormat="1" ht="15.75" customHeight="1">
      <c r="A297" s="948"/>
      <c r="B297" s="949"/>
      <c r="C297" s="9"/>
      <c r="D297" s="9"/>
      <c r="E297" s="13"/>
      <c r="F297" s="14"/>
      <c r="G297" s="15"/>
    </row>
    <row r="298" spans="1:7" s="2" customFormat="1" ht="15.75" customHeight="1">
      <c r="A298" s="1006" t="s">
        <v>10</v>
      </c>
      <c r="B298" s="1007"/>
      <c r="C298" s="1007"/>
      <c r="D298" s="1007"/>
      <c r="E298" s="1007"/>
      <c r="F298" s="1007"/>
      <c r="G298" s="1008"/>
    </row>
    <row r="299" spans="1:7" s="2" customFormat="1" ht="15.75" customHeight="1">
      <c r="A299" s="974" t="s">
        <v>2</v>
      </c>
      <c r="B299" s="975"/>
      <c r="C299" s="11" t="s">
        <v>3</v>
      </c>
      <c r="D299" s="11" t="s">
        <v>4</v>
      </c>
      <c r="E299" s="11" t="s">
        <v>6</v>
      </c>
      <c r="F299" s="11" t="s">
        <v>11</v>
      </c>
      <c r="G299" s="18" t="s">
        <v>8</v>
      </c>
    </row>
    <row r="300" spans="1:7" s="2" customFormat="1" ht="171.75" customHeight="1">
      <c r="A300" s="948" t="s">
        <v>150</v>
      </c>
      <c r="B300" s="949"/>
      <c r="C300" s="12" t="s">
        <v>3</v>
      </c>
      <c r="D300" s="33">
        <v>1</v>
      </c>
      <c r="E300" s="13">
        <f>'INSUMOS '!E203</f>
        <v>6554520</v>
      </c>
      <c r="F300" s="14">
        <f>E300*D300</f>
        <v>6554520</v>
      </c>
      <c r="G300" s="15">
        <f>SUM(F299:F300)</f>
        <v>6554520</v>
      </c>
    </row>
    <row r="301" spans="1:7" s="2" customFormat="1" ht="15.75" customHeight="1">
      <c r="A301" s="1006" t="s">
        <v>15</v>
      </c>
      <c r="B301" s="1007"/>
      <c r="C301" s="1007"/>
      <c r="D301" s="1007"/>
      <c r="E301" s="1007"/>
      <c r="F301" s="1007"/>
      <c r="G301" s="1008"/>
    </row>
    <row r="302" spans="1:7" s="2" customFormat="1" ht="15.75" customHeight="1">
      <c r="A302" s="974" t="s">
        <v>2</v>
      </c>
      <c r="B302" s="975"/>
      <c r="C302" s="11" t="s">
        <v>3</v>
      </c>
      <c r="D302" s="11" t="s">
        <v>4</v>
      </c>
      <c r="E302" s="11" t="s">
        <v>6</v>
      </c>
      <c r="F302" s="11" t="s">
        <v>11</v>
      </c>
      <c r="G302" s="18" t="s">
        <v>8</v>
      </c>
    </row>
    <row r="303" spans="1:7" s="2" customFormat="1" ht="15.75" customHeight="1">
      <c r="A303" s="1025"/>
      <c r="B303" s="1026"/>
      <c r="C303" s="38"/>
      <c r="D303" s="38"/>
      <c r="E303" s="38"/>
      <c r="F303" s="38"/>
      <c r="G303" s="15"/>
    </row>
    <row r="304" spans="1:7" s="2" customFormat="1" ht="15.75" customHeight="1">
      <c r="A304" s="1006" t="s">
        <v>19</v>
      </c>
      <c r="B304" s="1007"/>
      <c r="C304" s="1007"/>
      <c r="D304" s="1007"/>
      <c r="E304" s="1007"/>
      <c r="F304" s="1007"/>
      <c r="G304" s="1008"/>
    </row>
    <row r="305" spans="1:7" s="2" customFormat="1" ht="15.75" customHeight="1">
      <c r="A305" s="974" t="s">
        <v>2</v>
      </c>
      <c r="B305" s="975"/>
      <c r="C305" s="11" t="s">
        <v>3</v>
      </c>
      <c r="D305" s="11" t="s">
        <v>4</v>
      </c>
      <c r="E305" s="11" t="s">
        <v>6</v>
      </c>
      <c r="F305" s="11" t="s">
        <v>11</v>
      </c>
      <c r="G305" s="18" t="s">
        <v>8</v>
      </c>
    </row>
    <row r="306" spans="1:7" s="2" customFormat="1" ht="15" customHeight="1">
      <c r="A306" s="978" t="str">
        <f>SALARIOS!$A$69</f>
        <v>CUADRILLA BB INSTALACIONES 1:1</v>
      </c>
      <c r="B306" s="979"/>
      <c r="C306" s="13" t="s">
        <v>1245</v>
      </c>
      <c r="D306" s="12">
        <v>4</v>
      </c>
      <c r="E306" s="13">
        <f>SALARIOS!$C$69</f>
        <v>27341</v>
      </c>
      <c r="F306" s="14">
        <f>+D306*E306</f>
        <v>109364</v>
      </c>
      <c r="G306" s="15">
        <f>F306</f>
        <v>109364</v>
      </c>
    </row>
    <row r="307" spans="1:7" s="2" customFormat="1" ht="15.75" customHeight="1">
      <c r="A307" s="1009" t="s">
        <v>25</v>
      </c>
      <c r="B307" s="1010"/>
      <c r="C307" s="1010"/>
      <c r="D307" s="1010"/>
      <c r="E307" s="1010"/>
      <c r="F307" s="1010"/>
      <c r="G307" s="1011"/>
    </row>
    <row r="308" spans="1:7" s="2" customFormat="1" ht="15.75" customHeight="1">
      <c r="A308" s="1012"/>
      <c r="B308" s="1013"/>
      <c r="C308" s="1013"/>
      <c r="D308" s="1013"/>
      <c r="E308" s="1013"/>
      <c r="F308" s="1014"/>
      <c r="G308" s="20">
        <f>G306+G303+G300+G297</f>
        <v>6663884</v>
      </c>
    </row>
    <row r="309" spans="1:7" s="2" customFormat="1" ht="15.75" customHeight="1">
      <c r="A309" s="26"/>
      <c r="B309" s="27"/>
      <c r="C309" s="28"/>
      <c r="D309" s="28"/>
      <c r="E309" s="29"/>
      <c r="F309" s="28"/>
      <c r="G309" s="30"/>
    </row>
    <row r="310" spans="1:7" s="2" customFormat="1" ht="14.25" customHeight="1">
      <c r="A310" s="986" t="s">
        <v>1</v>
      </c>
      <c r="B310" s="987"/>
      <c r="C310" s="992" t="s">
        <v>0</v>
      </c>
      <c r="D310" s="993"/>
      <c r="E310" s="993"/>
      <c r="F310" s="993"/>
      <c r="G310" s="994"/>
    </row>
    <row r="311" spans="1:7" s="2" customFormat="1" ht="45.75" customHeight="1">
      <c r="A311" s="988"/>
      <c r="B311" s="989"/>
      <c r="C311" s="995"/>
      <c r="D311" s="996"/>
      <c r="E311" s="996"/>
      <c r="F311" s="996"/>
      <c r="G311" s="997"/>
    </row>
    <row r="312" spans="1:7" s="2" customFormat="1" ht="15.75" customHeight="1">
      <c r="A312" s="988"/>
      <c r="B312" s="989"/>
      <c r="C312" s="998"/>
      <c r="D312" s="999"/>
      <c r="E312" s="999"/>
      <c r="F312" s="999"/>
      <c r="G312" s="1000"/>
    </row>
    <row r="313" spans="1:7" s="2" customFormat="1" ht="13.8">
      <c r="A313" s="990"/>
      <c r="B313" s="991"/>
      <c r="C313" s="1001" t="s">
        <v>2</v>
      </c>
      <c r="D313" s="1002"/>
      <c r="E313" s="1003"/>
      <c r="F313" s="23" t="s">
        <v>3</v>
      </c>
      <c r="G313" s="24" t="s">
        <v>4</v>
      </c>
    </row>
    <row r="314" spans="1:7" s="2" customFormat="1" ht="113.25" customHeight="1">
      <c r="A314" s="1004" t="s">
        <v>151</v>
      </c>
      <c r="B314" s="1005"/>
      <c r="C314" s="1017" t="s">
        <v>152</v>
      </c>
      <c r="D314" s="1018"/>
      <c r="E314" s="949"/>
      <c r="F314" s="9" t="s">
        <v>28</v>
      </c>
      <c r="G314" s="25">
        <v>1</v>
      </c>
    </row>
    <row r="315" spans="1:7" s="2" customFormat="1" ht="13.8">
      <c r="A315" s="1006" t="s">
        <v>5</v>
      </c>
      <c r="B315" s="1007"/>
      <c r="C315" s="1007"/>
      <c r="D315" s="1007"/>
      <c r="E315" s="1007"/>
      <c r="F315" s="1007"/>
      <c r="G315" s="1008"/>
    </row>
    <row r="316" spans="1:7" s="2" customFormat="1" ht="13.8">
      <c r="A316" s="974" t="s">
        <v>2</v>
      </c>
      <c r="B316" s="975"/>
      <c r="C316" s="11" t="s">
        <v>3</v>
      </c>
      <c r="D316" s="11" t="s">
        <v>4</v>
      </c>
      <c r="E316" s="11" t="s">
        <v>6</v>
      </c>
      <c r="F316" s="11" t="s">
        <v>7</v>
      </c>
      <c r="G316" s="18" t="s">
        <v>8</v>
      </c>
    </row>
    <row r="317" spans="1:7" s="2" customFormat="1" ht="15.75" customHeight="1">
      <c r="A317" s="948"/>
      <c r="B317" s="949"/>
      <c r="C317" s="9"/>
      <c r="D317" s="9"/>
      <c r="E317" s="13"/>
      <c r="F317" s="14"/>
      <c r="G317" s="15"/>
    </row>
    <row r="318" spans="1:7" s="2" customFormat="1" ht="15.75" customHeight="1">
      <c r="A318" s="1006" t="s">
        <v>10</v>
      </c>
      <c r="B318" s="1007"/>
      <c r="C318" s="1007"/>
      <c r="D318" s="1007"/>
      <c r="E318" s="1007"/>
      <c r="F318" s="1007"/>
      <c r="G318" s="1008"/>
    </row>
    <row r="319" spans="1:7" s="2" customFormat="1" ht="13.8">
      <c r="A319" s="974" t="s">
        <v>2</v>
      </c>
      <c r="B319" s="975"/>
      <c r="C319" s="11" t="s">
        <v>3</v>
      </c>
      <c r="D319" s="11" t="s">
        <v>4</v>
      </c>
      <c r="E319" s="11" t="s">
        <v>6</v>
      </c>
      <c r="F319" s="11" t="s">
        <v>11</v>
      </c>
      <c r="G319" s="967" t="s">
        <v>8</v>
      </c>
    </row>
    <row r="320" spans="1:7" s="2" customFormat="1" ht="120" customHeight="1">
      <c r="A320" s="948" t="s">
        <v>153</v>
      </c>
      <c r="B320" s="949"/>
      <c r="C320" s="12" t="s">
        <v>3</v>
      </c>
      <c r="D320" s="12">
        <v>1</v>
      </c>
      <c r="E320" s="13">
        <f>'INSUMOS '!E204</f>
        <v>3736600</v>
      </c>
      <c r="F320" s="14">
        <f>D320*E320</f>
        <v>3736600</v>
      </c>
      <c r="G320" s="969"/>
    </row>
    <row r="321" spans="1:7" s="2" customFormat="1" ht="13.8">
      <c r="A321" s="948"/>
      <c r="B321" s="949"/>
      <c r="C321" s="12"/>
      <c r="D321" s="33"/>
      <c r="E321" s="13"/>
      <c r="F321" s="14"/>
      <c r="G321" s="15">
        <f>SUM(F319:F321)</f>
        <v>3736600</v>
      </c>
    </row>
    <row r="322" spans="1:7" s="2" customFormat="1" ht="15.75" customHeight="1">
      <c r="A322" s="1006" t="s">
        <v>15</v>
      </c>
      <c r="B322" s="1007"/>
      <c r="C322" s="1007"/>
      <c r="D322" s="1007"/>
      <c r="E322" s="1007"/>
      <c r="F322" s="1007"/>
      <c r="G322" s="1008"/>
    </row>
    <row r="323" spans="1:7" s="2" customFormat="1" ht="13.8">
      <c r="A323" s="974" t="s">
        <v>2</v>
      </c>
      <c r="B323" s="975"/>
      <c r="C323" s="11" t="s">
        <v>3</v>
      </c>
      <c r="D323" s="11" t="s">
        <v>4</v>
      </c>
      <c r="E323" s="11" t="s">
        <v>6</v>
      </c>
      <c r="F323" s="11" t="s">
        <v>11</v>
      </c>
      <c r="G323" s="18" t="s">
        <v>8</v>
      </c>
    </row>
    <row r="324" spans="1:7" s="2" customFormat="1" ht="15.75" customHeight="1">
      <c r="A324" s="47"/>
      <c r="B324" s="38"/>
      <c r="C324" s="38"/>
      <c r="D324" s="38"/>
      <c r="E324" s="38"/>
      <c r="F324" s="38"/>
      <c r="G324" s="15"/>
    </row>
    <row r="325" spans="1:7" s="2" customFormat="1" ht="15.75" customHeight="1">
      <c r="A325" s="1006" t="s">
        <v>19</v>
      </c>
      <c r="B325" s="1007"/>
      <c r="C325" s="1007"/>
      <c r="D325" s="1007"/>
      <c r="E325" s="1007"/>
      <c r="F325" s="1007"/>
      <c r="G325" s="1008"/>
    </row>
    <row r="326" spans="1:7" s="2" customFormat="1" ht="13.8">
      <c r="A326" s="974" t="s">
        <v>2</v>
      </c>
      <c r="B326" s="975"/>
      <c r="C326" s="11" t="s">
        <v>3</v>
      </c>
      <c r="D326" s="11" t="s">
        <v>4</v>
      </c>
      <c r="E326" s="11" t="s">
        <v>6</v>
      </c>
      <c r="F326" s="11" t="s">
        <v>11</v>
      </c>
      <c r="G326" s="18" t="s">
        <v>8</v>
      </c>
    </row>
    <row r="327" spans="1:7" s="2" customFormat="1" ht="15" customHeight="1">
      <c r="A327" s="978" t="str">
        <f>SALARIOS!$A$69</f>
        <v>CUADRILLA BB INSTALACIONES 1:1</v>
      </c>
      <c r="B327" s="979"/>
      <c r="C327" s="13" t="s">
        <v>1245</v>
      </c>
      <c r="D327" s="12">
        <v>4</v>
      </c>
      <c r="E327" s="13">
        <f>SALARIOS!$C$69</f>
        <v>27341</v>
      </c>
      <c r="F327" s="14">
        <f>+D327*E327</f>
        <v>109364</v>
      </c>
      <c r="G327" s="15">
        <f>F327</f>
        <v>109364</v>
      </c>
    </row>
    <row r="328" spans="1:7" s="2" customFormat="1" ht="15.75" customHeight="1">
      <c r="A328" s="1009" t="s">
        <v>25</v>
      </c>
      <c r="B328" s="1010"/>
      <c r="C328" s="1010"/>
      <c r="D328" s="1010"/>
      <c r="E328" s="1010"/>
      <c r="F328" s="1010"/>
      <c r="G328" s="1011"/>
    </row>
    <row r="329" spans="1:7" s="2" customFormat="1" ht="15.75" customHeight="1">
      <c r="A329" s="1012"/>
      <c r="B329" s="1013"/>
      <c r="C329" s="1013"/>
      <c r="D329" s="1013"/>
      <c r="E329" s="1013"/>
      <c r="F329" s="1014"/>
      <c r="G329" s="20">
        <f>G327+G324+G321+G317</f>
        <v>3845964</v>
      </c>
    </row>
    <row r="330" spans="1:7" ht="15.75" customHeight="1">
      <c r="A330" s="48"/>
      <c r="B330" s="49"/>
      <c r="C330" s="49"/>
      <c r="D330" s="49"/>
      <c r="E330" s="49"/>
      <c r="F330" s="49"/>
      <c r="G330" s="50"/>
    </row>
    <row r="331" spans="1:7" ht="15.75" customHeight="1">
      <c r="A331" s="986" t="s">
        <v>1</v>
      </c>
      <c r="B331" s="987"/>
      <c r="C331" s="992" t="s">
        <v>0</v>
      </c>
      <c r="D331" s="993"/>
      <c r="E331" s="993"/>
      <c r="F331" s="993"/>
      <c r="G331" s="994"/>
    </row>
    <row r="332" spans="1:7" ht="45.75" customHeight="1">
      <c r="A332" s="988"/>
      <c r="B332" s="989"/>
      <c r="C332" s="995"/>
      <c r="D332" s="996"/>
      <c r="E332" s="996"/>
      <c r="F332" s="996"/>
      <c r="G332" s="997"/>
    </row>
    <row r="333" spans="1:7" ht="15.75" customHeight="1">
      <c r="A333" s="988"/>
      <c r="B333" s="989"/>
      <c r="C333" s="998"/>
      <c r="D333" s="999"/>
      <c r="E333" s="999"/>
      <c r="F333" s="999"/>
      <c r="G333" s="1000"/>
    </row>
    <row r="334" spans="1:7" ht="15.75" customHeight="1">
      <c r="A334" s="990"/>
      <c r="B334" s="991"/>
      <c r="C334" s="1001" t="s">
        <v>2</v>
      </c>
      <c r="D334" s="1002"/>
      <c r="E334" s="1003"/>
      <c r="F334" s="23" t="s">
        <v>3</v>
      </c>
      <c r="G334" s="24" t="s">
        <v>4</v>
      </c>
    </row>
    <row r="335" spans="1:7" ht="112.5" customHeight="1">
      <c r="A335" s="1004" t="s">
        <v>154</v>
      </c>
      <c r="B335" s="1005"/>
      <c r="C335" s="1017" t="s">
        <v>155</v>
      </c>
      <c r="D335" s="1018"/>
      <c r="E335" s="949"/>
      <c r="F335" s="9" t="s">
        <v>28</v>
      </c>
      <c r="G335" s="25">
        <v>1</v>
      </c>
    </row>
    <row r="336" spans="1:7" ht="15.75" customHeight="1">
      <c r="A336" s="1006" t="s">
        <v>5</v>
      </c>
      <c r="B336" s="1007"/>
      <c r="C336" s="1007"/>
      <c r="D336" s="1007"/>
      <c r="E336" s="1007"/>
      <c r="F336" s="1007"/>
      <c r="G336" s="1008"/>
    </row>
    <row r="337" spans="1:7" ht="15.75" customHeight="1">
      <c r="A337" s="974" t="s">
        <v>2</v>
      </c>
      <c r="B337" s="975"/>
      <c r="C337" s="11" t="s">
        <v>3</v>
      </c>
      <c r="D337" s="11" t="s">
        <v>4</v>
      </c>
      <c r="E337" s="11" t="s">
        <v>6</v>
      </c>
      <c r="F337" s="11" t="s">
        <v>7</v>
      </c>
      <c r="G337" s="18" t="s">
        <v>8</v>
      </c>
    </row>
    <row r="338" spans="1:7" ht="15.75" customHeight="1">
      <c r="A338" s="948"/>
      <c r="B338" s="949"/>
      <c r="C338" s="9"/>
      <c r="D338" s="9"/>
      <c r="E338" s="13"/>
      <c r="F338" s="14"/>
      <c r="G338" s="15"/>
    </row>
    <row r="339" spans="1:7" ht="15.75" customHeight="1">
      <c r="A339" s="1006" t="s">
        <v>10</v>
      </c>
      <c r="B339" s="1007"/>
      <c r="C339" s="1007"/>
      <c r="D339" s="1007"/>
      <c r="E339" s="1007"/>
      <c r="F339" s="1007"/>
      <c r="G339" s="1008"/>
    </row>
    <row r="340" spans="1:7" ht="15.75" customHeight="1">
      <c r="A340" s="974" t="s">
        <v>2</v>
      </c>
      <c r="B340" s="975"/>
      <c r="C340" s="11" t="s">
        <v>3</v>
      </c>
      <c r="D340" s="11" t="s">
        <v>4</v>
      </c>
      <c r="E340" s="11" t="s">
        <v>6</v>
      </c>
      <c r="F340" s="11" t="s">
        <v>11</v>
      </c>
      <c r="G340" s="967" t="s">
        <v>8</v>
      </c>
    </row>
    <row r="341" spans="1:7" ht="129.75" customHeight="1">
      <c r="A341" s="948" t="s">
        <v>156</v>
      </c>
      <c r="B341" s="949"/>
      <c r="C341" s="12" t="s">
        <v>3</v>
      </c>
      <c r="D341" s="12">
        <v>1</v>
      </c>
      <c r="E341" s="13">
        <f>'INSUMOS '!E205</f>
        <v>2487100</v>
      </c>
      <c r="F341" s="14">
        <f>D341*E341</f>
        <v>2487100</v>
      </c>
      <c r="G341" s="969"/>
    </row>
    <row r="342" spans="1:7" ht="15.75" customHeight="1">
      <c r="A342" s="948"/>
      <c r="B342" s="949"/>
      <c r="C342" s="12"/>
      <c r="D342" s="33"/>
      <c r="E342" s="13"/>
      <c r="F342" s="14"/>
      <c r="G342" s="15">
        <f>SUM(F340:F342)</f>
        <v>2487100</v>
      </c>
    </row>
    <row r="343" spans="1:7" ht="15.75" customHeight="1">
      <c r="A343" s="1006" t="s">
        <v>15</v>
      </c>
      <c r="B343" s="1007"/>
      <c r="C343" s="1007"/>
      <c r="D343" s="1007"/>
      <c r="E343" s="1007"/>
      <c r="F343" s="1007"/>
      <c r="G343" s="1008"/>
    </row>
    <row r="344" spans="1:7" ht="15.75" customHeight="1">
      <c r="A344" s="974" t="s">
        <v>2</v>
      </c>
      <c r="B344" s="975"/>
      <c r="C344" s="11" t="s">
        <v>3</v>
      </c>
      <c r="D344" s="11" t="s">
        <v>4</v>
      </c>
      <c r="E344" s="11" t="s">
        <v>6</v>
      </c>
      <c r="F344" s="11" t="s">
        <v>7</v>
      </c>
      <c r="G344" s="18" t="s">
        <v>8</v>
      </c>
    </row>
    <row r="345" spans="1:7" ht="15.75" customHeight="1">
      <c r="A345" s="1025"/>
      <c r="B345" s="1026"/>
      <c r="C345" s="38"/>
      <c r="D345" s="38"/>
      <c r="E345" s="38"/>
      <c r="F345" s="38"/>
      <c r="G345" s="15"/>
    </row>
    <row r="346" spans="1:7" ht="15.75" customHeight="1">
      <c r="A346" s="1006" t="s">
        <v>19</v>
      </c>
      <c r="B346" s="1007"/>
      <c r="C346" s="1007"/>
      <c r="D346" s="1007"/>
      <c r="E346" s="1007"/>
      <c r="F346" s="1007"/>
      <c r="G346" s="1008"/>
    </row>
    <row r="347" spans="1:7" ht="15.75" customHeight="1">
      <c r="A347" s="974" t="s">
        <v>2</v>
      </c>
      <c r="B347" s="975"/>
      <c r="C347" s="11" t="s">
        <v>3</v>
      </c>
      <c r="D347" s="11" t="s">
        <v>4</v>
      </c>
      <c r="E347" s="11" t="s">
        <v>6</v>
      </c>
      <c r="F347" s="11" t="s">
        <v>7</v>
      </c>
      <c r="G347" s="18" t="s">
        <v>8</v>
      </c>
    </row>
    <row r="348" spans="1:7" s="2" customFormat="1" ht="15" customHeight="1">
      <c r="A348" s="978" t="str">
        <f>SALARIOS!$A$69</f>
        <v>CUADRILLA BB INSTALACIONES 1:1</v>
      </c>
      <c r="B348" s="979"/>
      <c r="C348" s="13" t="s">
        <v>1245</v>
      </c>
      <c r="D348" s="12">
        <v>4</v>
      </c>
      <c r="E348" s="13">
        <f>SALARIOS!$C$69</f>
        <v>27341</v>
      </c>
      <c r="F348" s="14">
        <f>+D348*E348</f>
        <v>109364</v>
      </c>
      <c r="G348" s="15">
        <f>F348</f>
        <v>109364</v>
      </c>
    </row>
    <row r="349" spans="1:7" ht="15.75" customHeight="1">
      <c r="A349" s="1009" t="s">
        <v>25</v>
      </c>
      <c r="B349" s="1010"/>
      <c r="C349" s="1010"/>
      <c r="D349" s="1010"/>
      <c r="E349" s="1010"/>
      <c r="F349" s="1010"/>
      <c r="G349" s="1011"/>
    </row>
    <row r="350" spans="1:7" ht="15.75" customHeight="1">
      <c r="A350" s="1012"/>
      <c r="B350" s="1013"/>
      <c r="C350" s="1013"/>
      <c r="D350" s="1013"/>
      <c r="E350" s="1013"/>
      <c r="F350" s="1014"/>
      <c r="G350" s="20">
        <f>G348+G345+G342+G338</f>
        <v>2596464</v>
      </c>
    </row>
    <row r="351" spans="1:7" ht="15.75" customHeight="1">
      <c r="A351" s="48"/>
      <c r="B351" s="49"/>
      <c r="C351" s="49"/>
      <c r="D351" s="49"/>
      <c r="E351" s="49"/>
      <c r="F351" s="49"/>
      <c r="G351" s="50"/>
    </row>
    <row r="352" spans="1:7" ht="15.75" customHeight="1">
      <c r="A352" s="986" t="s">
        <v>1</v>
      </c>
      <c r="B352" s="987"/>
      <c r="C352" s="992" t="s">
        <v>0</v>
      </c>
      <c r="D352" s="993"/>
      <c r="E352" s="993"/>
      <c r="F352" s="993"/>
      <c r="G352" s="994"/>
    </row>
    <row r="353" spans="1:7" ht="46.5" customHeight="1">
      <c r="A353" s="988"/>
      <c r="B353" s="989"/>
      <c r="C353" s="995"/>
      <c r="D353" s="996"/>
      <c r="E353" s="996"/>
      <c r="F353" s="996"/>
      <c r="G353" s="997"/>
    </row>
    <row r="354" spans="1:7" ht="15.75" customHeight="1">
      <c r="A354" s="988"/>
      <c r="B354" s="989"/>
      <c r="C354" s="998"/>
      <c r="D354" s="999"/>
      <c r="E354" s="999"/>
      <c r="F354" s="999"/>
      <c r="G354" s="1000"/>
    </row>
    <row r="355" spans="1:7" ht="15.75" customHeight="1">
      <c r="A355" s="990"/>
      <c r="B355" s="991"/>
      <c r="C355" s="1001" t="s">
        <v>2</v>
      </c>
      <c r="D355" s="1002"/>
      <c r="E355" s="1003"/>
      <c r="F355" s="23" t="s">
        <v>3</v>
      </c>
      <c r="G355" s="24" t="s">
        <v>4</v>
      </c>
    </row>
    <row r="356" spans="1:7" ht="111.75" customHeight="1">
      <c r="A356" s="1004" t="s">
        <v>157</v>
      </c>
      <c r="B356" s="1005"/>
      <c r="C356" s="1017" t="s">
        <v>158</v>
      </c>
      <c r="D356" s="1018"/>
      <c r="E356" s="949"/>
      <c r="F356" s="9" t="s">
        <v>28</v>
      </c>
      <c r="G356" s="25">
        <v>1</v>
      </c>
    </row>
    <row r="357" spans="1:7" ht="15.75" customHeight="1">
      <c r="A357" s="1006" t="s">
        <v>5</v>
      </c>
      <c r="B357" s="1007"/>
      <c r="C357" s="1007"/>
      <c r="D357" s="1007"/>
      <c r="E357" s="1007"/>
      <c r="F357" s="1007"/>
      <c r="G357" s="1008"/>
    </row>
    <row r="358" spans="1:7" ht="15.75" customHeight="1">
      <c r="A358" s="974" t="s">
        <v>2</v>
      </c>
      <c r="B358" s="975"/>
      <c r="C358" s="11" t="s">
        <v>3</v>
      </c>
      <c r="D358" s="11" t="s">
        <v>4</v>
      </c>
      <c r="E358" s="11" t="s">
        <v>6</v>
      </c>
      <c r="F358" s="11" t="s">
        <v>7</v>
      </c>
      <c r="G358" s="18" t="s">
        <v>8</v>
      </c>
    </row>
    <row r="359" spans="1:7" ht="15.75" customHeight="1">
      <c r="A359" s="948"/>
      <c r="B359" s="949"/>
      <c r="C359" s="9"/>
      <c r="D359" s="9"/>
      <c r="E359" s="13"/>
      <c r="F359" s="14"/>
      <c r="G359" s="15"/>
    </row>
    <row r="360" spans="1:7" ht="15.75" customHeight="1">
      <c r="A360" s="1006" t="s">
        <v>10</v>
      </c>
      <c r="B360" s="1007"/>
      <c r="C360" s="1007"/>
      <c r="D360" s="1007"/>
      <c r="E360" s="1007"/>
      <c r="F360" s="1007"/>
      <c r="G360" s="1008"/>
    </row>
    <row r="361" spans="1:7" ht="15.75" customHeight="1">
      <c r="A361" s="974" t="s">
        <v>2</v>
      </c>
      <c r="B361" s="975"/>
      <c r="C361" s="11" t="s">
        <v>3</v>
      </c>
      <c r="D361" s="11" t="s">
        <v>4</v>
      </c>
      <c r="E361" s="11" t="s">
        <v>6</v>
      </c>
      <c r="F361" s="11" t="s">
        <v>11</v>
      </c>
      <c r="G361" s="967" t="s">
        <v>8</v>
      </c>
    </row>
    <row r="362" spans="1:7" ht="117.75" customHeight="1">
      <c r="A362" s="948" t="s">
        <v>159</v>
      </c>
      <c r="B362" s="949"/>
      <c r="C362" s="12" t="s">
        <v>3</v>
      </c>
      <c r="D362" s="12">
        <v>1</v>
      </c>
      <c r="E362" s="13">
        <f>'INSUMOS '!E206</f>
        <v>4730250</v>
      </c>
      <c r="F362" s="14">
        <f>D362*E362</f>
        <v>4730250</v>
      </c>
      <c r="G362" s="969"/>
    </row>
    <row r="363" spans="1:7" ht="15.75" customHeight="1">
      <c r="A363" s="948"/>
      <c r="B363" s="949"/>
      <c r="C363" s="12"/>
      <c r="D363" s="33"/>
      <c r="E363" s="13"/>
      <c r="F363" s="14"/>
      <c r="G363" s="15">
        <f>SUM(F361:F363)</f>
        <v>4730250</v>
      </c>
    </row>
    <row r="364" spans="1:7" ht="15.75" customHeight="1">
      <c r="A364" s="1006" t="s">
        <v>15</v>
      </c>
      <c r="B364" s="1007"/>
      <c r="C364" s="1007"/>
      <c r="D364" s="1007"/>
      <c r="E364" s="1007"/>
      <c r="F364" s="1007"/>
      <c r="G364" s="1008"/>
    </row>
    <row r="365" spans="1:7" ht="15.75" customHeight="1">
      <c r="A365" s="974" t="s">
        <v>2</v>
      </c>
      <c r="B365" s="975"/>
      <c r="C365" s="11" t="s">
        <v>3</v>
      </c>
      <c r="D365" s="11" t="s">
        <v>4</v>
      </c>
      <c r="E365" s="11" t="s">
        <v>6</v>
      </c>
      <c r="F365" s="11" t="s">
        <v>11</v>
      </c>
      <c r="G365" s="18" t="s">
        <v>8</v>
      </c>
    </row>
    <row r="366" spans="1:7" ht="15.75" customHeight="1">
      <c r="A366" s="1025"/>
      <c r="B366" s="1026"/>
      <c r="C366" s="38"/>
      <c r="D366" s="38"/>
      <c r="E366" s="38"/>
      <c r="F366" s="38"/>
      <c r="G366" s="15"/>
    </row>
    <row r="367" spans="1:7" ht="15.75" customHeight="1">
      <c r="A367" s="1006" t="s">
        <v>19</v>
      </c>
      <c r="B367" s="1007"/>
      <c r="C367" s="1007"/>
      <c r="D367" s="1007"/>
      <c r="E367" s="1007"/>
      <c r="F367" s="1007"/>
      <c r="G367" s="1008"/>
    </row>
    <row r="368" spans="1:7" ht="15.75" customHeight="1">
      <c r="A368" s="974" t="s">
        <v>2</v>
      </c>
      <c r="B368" s="975"/>
      <c r="C368" s="11" t="s">
        <v>3</v>
      </c>
      <c r="D368" s="11" t="s">
        <v>4</v>
      </c>
      <c r="E368" s="11" t="s">
        <v>6</v>
      </c>
      <c r="F368" s="11" t="s">
        <v>11</v>
      </c>
      <c r="G368" s="18" t="s">
        <v>8</v>
      </c>
    </row>
    <row r="369" spans="1:7" s="2" customFormat="1" ht="15" customHeight="1">
      <c r="A369" s="978" t="str">
        <f>SALARIOS!$A$69</f>
        <v>CUADRILLA BB INSTALACIONES 1:1</v>
      </c>
      <c r="B369" s="979"/>
      <c r="C369" s="13" t="s">
        <v>1245</v>
      </c>
      <c r="D369" s="12">
        <v>4</v>
      </c>
      <c r="E369" s="13">
        <f>SALARIOS!$C$69</f>
        <v>27341</v>
      </c>
      <c r="F369" s="14">
        <f>+D369*E369</f>
        <v>109364</v>
      </c>
      <c r="G369" s="15">
        <f>F369</f>
        <v>109364</v>
      </c>
    </row>
    <row r="370" spans="1:7" ht="15.75" customHeight="1">
      <c r="A370" s="1009" t="s">
        <v>25</v>
      </c>
      <c r="B370" s="1010"/>
      <c r="C370" s="1010"/>
      <c r="D370" s="1010"/>
      <c r="E370" s="1010"/>
      <c r="F370" s="1010"/>
      <c r="G370" s="1011"/>
    </row>
    <row r="371" spans="1:7" ht="15.75" customHeight="1">
      <c r="A371" s="1012"/>
      <c r="B371" s="1013"/>
      <c r="C371" s="1013"/>
      <c r="D371" s="1013"/>
      <c r="E371" s="1013"/>
      <c r="F371" s="1014"/>
      <c r="G371" s="20">
        <f>G369+G366+G363+G359</f>
        <v>4839614</v>
      </c>
    </row>
    <row r="372" spans="1:7" ht="15.75" customHeight="1">
      <c r="A372" s="48"/>
      <c r="B372" s="49"/>
      <c r="C372" s="49"/>
      <c r="D372" s="49"/>
      <c r="E372" s="49"/>
      <c r="F372" s="49"/>
      <c r="G372" s="50"/>
    </row>
    <row r="373" spans="1:7" s="2" customFormat="1" ht="15.75" customHeight="1">
      <c r="A373" s="986" t="s">
        <v>1</v>
      </c>
      <c r="B373" s="987"/>
      <c r="C373" s="992" t="s">
        <v>0</v>
      </c>
      <c r="D373" s="993"/>
      <c r="E373" s="993"/>
      <c r="F373" s="993"/>
      <c r="G373" s="994"/>
    </row>
    <row r="374" spans="1:7" s="2" customFormat="1" ht="44.25" customHeight="1">
      <c r="A374" s="988"/>
      <c r="B374" s="989"/>
      <c r="C374" s="995"/>
      <c r="D374" s="996"/>
      <c r="E374" s="996"/>
      <c r="F374" s="996"/>
      <c r="G374" s="997"/>
    </row>
    <row r="375" spans="1:7" s="2" customFormat="1" ht="15.75" customHeight="1">
      <c r="A375" s="988"/>
      <c r="B375" s="989"/>
      <c r="C375" s="998"/>
      <c r="D375" s="999"/>
      <c r="E375" s="999"/>
      <c r="F375" s="999"/>
      <c r="G375" s="1000"/>
    </row>
    <row r="376" spans="1:7" s="2" customFormat="1" ht="34.5" customHeight="1">
      <c r="A376" s="990"/>
      <c r="B376" s="991"/>
      <c r="C376" s="1001" t="s">
        <v>2</v>
      </c>
      <c r="D376" s="1002"/>
      <c r="E376" s="1003"/>
      <c r="F376" s="23" t="s">
        <v>3</v>
      </c>
      <c r="G376" s="24" t="s">
        <v>4</v>
      </c>
    </row>
    <row r="377" spans="1:7" s="2" customFormat="1" ht="144" customHeight="1">
      <c r="A377" s="1004" t="s">
        <v>160</v>
      </c>
      <c r="B377" s="1005"/>
      <c r="C377" s="1017" t="s">
        <v>161</v>
      </c>
      <c r="D377" s="1018"/>
      <c r="E377" s="949"/>
      <c r="F377" s="9" t="s">
        <v>100</v>
      </c>
      <c r="G377" s="25">
        <v>12.49</v>
      </c>
    </row>
    <row r="378" spans="1:7" s="2" customFormat="1" ht="13.8">
      <c r="A378" s="1006" t="s">
        <v>5</v>
      </c>
      <c r="B378" s="1007"/>
      <c r="C378" s="1007"/>
      <c r="D378" s="1007"/>
      <c r="E378" s="1007"/>
      <c r="F378" s="1007"/>
      <c r="G378" s="1008"/>
    </row>
    <row r="379" spans="1:7" s="2" customFormat="1" ht="13.8">
      <c r="A379" s="974" t="s">
        <v>2</v>
      </c>
      <c r="B379" s="975"/>
      <c r="C379" s="11" t="s">
        <v>3</v>
      </c>
      <c r="D379" s="11" t="s">
        <v>4</v>
      </c>
      <c r="E379" s="11" t="s">
        <v>6</v>
      </c>
      <c r="F379" s="11" t="s">
        <v>7</v>
      </c>
      <c r="G379" s="18" t="s">
        <v>8</v>
      </c>
    </row>
    <row r="380" spans="1:7" s="2" customFormat="1" ht="15.75" customHeight="1">
      <c r="A380" s="948"/>
      <c r="B380" s="949"/>
      <c r="C380" s="9"/>
      <c r="D380" s="9"/>
      <c r="E380" s="13"/>
      <c r="F380" s="14"/>
      <c r="G380" s="15"/>
    </row>
    <row r="381" spans="1:7" s="2" customFormat="1" ht="15.75" customHeight="1">
      <c r="A381" s="1006" t="s">
        <v>10</v>
      </c>
      <c r="B381" s="1007"/>
      <c r="C381" s="1007"/>
      <c r="D381" s="1007"/>
      <c r="E381" s="1007"/>
      <c r="F381" s="1007"/>
      <c r="G381" s="1008"/>
    </row>
    <row r="382" spans="1:7" s="2" customFormat="1" ht="13.8">
      <c r="A382" s="974" t="s">
        <v>2</v>
      </c>
      <c r="B382" s="975"/>
      <c r="C382" s="11" t="s">
        <v>3</v>
      </c>
      <c r="D382" s="11" t="s">
        <v>4</v>
      </c>
      <c r="E382" s="11" t="s">
        <v>6</v>
      </c>
      <c r="F382" s="11" t="s">
        <v>11</v>
      </c>
      <c r="G382" s="967" t="s">
        <v>8</v>
      </c>
    </row>
    <row r="383" spans="1:7" s="2" customFormat="1" ht="121.5" customHeight="1">
      <c r="A383" s="948" t="s">
        <v>162</v>
      </c>
      <c r="B383" s="949"/>
      <c r="C383" s="12" t="s">
        <v>100</v>
      </c>
      <c r="D383" s="12">
        <v>1</v>
      </c>
      <c r="E383" s="13">
        <f>'INSUMOS '!E208</f>
        <v>962289.83186549239</v>
      </c>
      <c r="F383" s="14">
        <f>D383*E383</f>
        <v>962289.83186549239</v>
      </c>
      <c r="G383" s="969"/>
    </row>
    <row r="384" spans="1:7" s="2" customFormat="1" ht="15.75" customHeight="1">
      <c r="A384" s="948"/>
      <c r="B384" s="949"/>
      <c r="C384" s="12"/>
      <c r="D384" s="33"/>
      <c r="E384" s="13"/>
      <c r="F384" s="14"/>
      <c r="G384" s="15">
        <f>SUM(F382:F384)</f>
        <v>962289.83186549239</v>
      </c>
    </row>
    <row r="385" spans="1:7" s="2" customFormat="1" ht="15.75" customHeight="1">
      <c r="A385" s="1006" t="s">
        <v>15</v>
      </c>
      <c r="B385" s="1007"/>
      <c r="C385" s="1007"/>
      <c r="D385" s="1007"/>
      <c r="E385" s="1007"/>
      <c r="F385" s="1007"/>
      <c r="G385" s="1008"/>
    </row>
    <row r="386" spans="1:7" s="2" customFormat="1" ht="13.8">
      <c r="A386" s="974" t="s">
        <v>2</v>
      </c>
      <c r="B386" s="975"/>
      <c r="C386" s="11" t="s">
        <v>3</v>
      </c>
      <c r="D386" s="11" t="s">
        <v>4</v>
      </c>
      <c r="E386" s="11" t="s">
        <v>6</v>
      </c>
      <c r="F386" s="11" t="s">
        <v>11</v>
      </c>
      <c r="G386" s="18" t="s">
        <v>8</v>
      </c>
    </row>
    <row r="387" spans="1:7" s="2" customFormat="1" ht="15.75" customHeight="1">
      <c r="A387" s="47"/>
      <c r="B387" s="38"/>
      <c r="C387" s="38"/>
      <c r="D387" s="38"/>
      <c r="E387" s="38"/>
      <c r="F387" s="38"/>
      <c r="G387" s="15"/>
    </row>
    <row r="388" spans="1:7" s="2" customFormat="1" ht="15.75" customHeight="1">
      <c r="A388" s="1006" t="s">
        <v>19</v>
      </c>
      <c r="B388" s="1007"/>
      <c r="C388" s="1007"/>
      <c r="D388" s="1007"/>
      <c r="E388" s="1007"/>
      <c r="F388" s="1007"/>
      <c r="G388" s="1008"/>
    </row>
    <row r="389" spans="1:7" s="2" customFormat="1" ht="13.8">
      <c r="A389" s="974" t="s">
        <v>2</v>
      </c>
      <c r="B389" s="975"/>
      <c r="C389" s="11" t="s">
        <v>3</v>
      </c>
      <c r="D389" s="11" t="s">
        <v>4</v>
      </c>
      <c r="E389" s="11" t="s">
        <v>6</v>
      </c>
      <c r="F389" s="11" t="s">
        <v>11</v>
      </c>
      <c r="G389" s="18" t="s">
        <v>8</v>
      </c>
    </row>
    <row r="390" spans="1:7" s="2" customFormat="1" ht="15" customHeight="1">
      <c r="A390" s="978" t="str">
        <f>SALARIOS!$A$69</f>
        <v>CUADRILLA BB INSTALACIONES 1:1</v>
      </c>
      <c r="B390" s="979"/>
      <c r="C390" s="13" t="s">
        <v>1245</v>
      </c>
      <c r="D390" s="12">
        <v>1.5</v>
      </c>
      <c r="E390" s="13">
        <f>SALARIOS!$C$69</f>
        <v>27341</v>
      </c>
      <c r="F390" s="14">
        <f>+D390*E390</f>
        <v>41011.5</v>
      </c>
      <c r="G390" s="15">
        <f>F390</f>
        <v>41011.5</v>
      </c>
    </row>
    <row r="391" spans="1:7" s="2" customFormat="1" ht="15.75" customHeight="1">
      <c r="A391" s="1009" t="s">
        <v>25</v>
      </c>
      <c r="B391" s="1010"/>
      <c r="C391" s="1010"/>
      <c r="D391" s="1010"/>
      <c r="E391" s="1010"/>
      <c r="F391" s="1010"/>
      <c r="G391" s="1011"/>
    </row>
    <row r="392" spans="1:7" s="2" customFormat="1" ht="15.75" customHeight="1">
      <c r="A392" s="1012"/>
      <c r="B392" s="1013"/>
      <c r="C392" s="1013"/>
      <c r="D392" s="1013"/>
      <c r="E392" s="1013"/>
      <c r="F392" s="1014"/>
      <c r="G392" s="20">
        <f>G390+G387+G384+G380</f>
        <v>1003301.3318654924</v>
      </c>
    </row>
    <row r="393" spans="1:7" s="2" customFormat="1" ht="15.75" customHeight="1">
      <c r="A393" s="26"/>
      <c r="B393" s="27"/>
      <c r="C393" s="28"/>
      <c r="D393" s="28"/>
      <c r="E393" s="29"/>
      <c r="F393" s="28"/>
      <c r="G393" s="30"/>
    </row>
    <row r="394" spans="1:7" s="2" customFormat="1" ht="14.25" customHeight="1">
      <c r="A394" s="986" t="s">
        <v>1</v>
      </c>
      <c r="B394" s="987"/>
      <c r="C394" s="992" t="s">
        <v>0</v>
      </c>
      <c r="D394" s="993"/>
      <c r="E394" s="993"/>
      <c r="F394" s="993"/>
      <c r="G394" s="994"/>
    </row>
    <row r="395" spans="1:7" s="2" customFormat="1" ht="42.75" customHeight="1">
      <c r="A395" s="988"/>
      <c r="B395" s="989"/>
      <c r="C395" s="995"/>
      <c r="D395" s="996"/>
      <c r="E395" s="996"/>
      <c r="F395" s="996"/>
      <c r="G395" s="997"/>
    </row>
    <row r="396" spans="1:7" s="2" customFormat="1" ht="15.75" customHeight="1">
      <c r="A396" s="988"/>
      <c r="B396" s="989"/>
      <c r="C396" s="998"/>
      <c r="D396" s="999"/>
      <c r="E396" s="999"/>
      <c r="F396" s="999"/>
      <c r="G396" s="1000"/>
    </row>
    <row r="397" spans="1:7" s="2" customFormat="1" ht="13.8">
      <c r="A397" s="990"/>
      <c r="B397" s="991"/>
      <c r="C397" s="1001" t="s">
        <v>2</v>
      </c>
      <c r="D397" s="1002"/>
      <c r="E397" s="1003"/>
      <c r="F397" s="23" t="s">
        <v>3</v>
      </c>
      <c r="G397" s="24" t="s">
        <v>4</v>
      </c>
    </row>
    <row r="398" spans="1:7" s="2" customFormat="1" ht="109.5" customHeight="1">
      <c r="A398" s="1004" t="s">
        <v>163</v>
      </c>
      <c r="B398" s="1005"/>
      <c r="C398" s="1017" t="s">
        <v>164</v>
      </c>
      <c r="D398" s="1018"/>
      <c r="E398" s="949"/>
      <c r="F398" s="9" t="s">
        <v>37</v>
      </c>
      <c r="G398" s="25">
        <v>29.37</v>
      </c>
    </row>
    <row r="399" spans="1:7" s="2" customFormat="1" ht="13.8">
      <c r="A399" s="1006" t="s">
        <v>5</v>
      </c>
      <c r="B399" s="1007"/>
      <c r="C399" s="1007"/>
      <c r="D399" s="1007"/>
      <c r="E399" s="1007"/>
      <c r="F399" s="1007"/>
      <c r="G399" s="1008"/>
    </row>
    <row r="400" spans="1:7" s="2" customFormat="1" ht="13.8">
      <c r="A400" s="974" t="s">
        <v>2</v>
      </c>
      <c r="B400" s="975"/>
      <c r="C400" s="11" t="s">
        <v>3</v>
      </c>
      <c r="D400" s="11" t="s">
        <v>4</v>
      </c>
      <c r="E400" s="11" t="s">
        <v>6</v>
      </c>
      <c r="F400" s="11" t="s">
        <v>7</v>
      </c>
      <c r="G400" s="18" t="s">
        <v>8</v>
      </c>
    </row>
    <row r="401" spans="1:7" s="2" customFormat="1" ht="15.75" customHeight="1">
      <c r="A401" s="948"/>
      <c r="B401" s="949"/>
      <c r="C401" s="9"/>
      <c r="D401" s="9"/>
      <c r="E401" s="13"/>
      <c r="F401" s="14"/>
      <c r="G401" s="15"/>
    </row>
    <row r="402" spans="1:7" s="2" customFormat="1" ht="15.75" customHeight="1">
      <c r="A402" s="1006" t="s">
        <v>10</v>
      </c>
      <c r="B402" s="1007"/>
      <c r="C402" s="1007"/>
      <c r="D402" s="1007"/>
      <c r="E402" s="1007"/>
      <c r="F402" s="1007"/>
      <c r="G402" s="1008"/>
    </row>
    <row r="403" spans="1:7" s="2" customFormat="1" ht="15.75" customHeight="1">
      <c r="A403" s="974" t="s">
        <v>2</v>
      </c>
      <c r="B403" s="975"/>
      <c r="C403" s="11" t="s">
        <v>3</v>
      </c>
      <c r="D403" s="11" t="s">
        <v>4</v>
      </c>
      <c r="E403" s="11" t="s">
        <v>6</v>
      </c>
      <c r="F403" s="11" t="s">
        <v>11</v>
      </c>
      <c r="G403" s="967" t="s">
        <v>8</v>
      </c>
    </row>
    <row r="404" spans="1:7" s="2" customFormat="1" ht="90" customHeight="1">
      <c r="A404" s="948" t="s">
        <v>1542</v>
      </c>
      <c r="B404" s="949"/>
      <c r="C404" s="12" t="s">
        <v>37</v>
      </c>
      <c r="D404" s="12">
        <v>1</v>
      </c>
      <c r="E404" s="13">
        <f>'INSUMOS '!E312</f>
        <v>1020000</v>
      </c>
      <c r="F404" s="14">
        <f>D404*E404</f>
        <v>1020000</v>
      </c>
      <c r="G404" s="969"/>
    </row>
    <row r="405" spans="1:7" s="2" customFormat="1" ht="13.8">
      <c r="A405" s="948"/>
      <c r="B405" s="949"/>
      <c r="C405" s="12"/>
      <c r="D405" s="33"/>
      <c r="E405" s="13"/>
      <c r="F405" s="14"/>
      <c r="G405" s="15">
        <f>SUM(F403:F405)</f>
        <v>1020000</v>
      </c>
    </row>
    <row r="406" spans="1:7" s="2" customFormat="1" ht="15.75" customHeight="1">
      <c r="A406" s="1006" t="s">
        <v>15</v>
      </c>
      <c r="B406" s="1007"/>
      <c r="C406" s="1007"/>
      <c r="D406" s="1007"/>
      <c r="E406" s="1007"/>
      <c r="F406" s="1007"/>
      <c r="G406" s="1008"/>
    </row>
    <row r="407" spans="1:7" s="2" customFormat="1" ht="13.8">
      <c r="A407" s="974" t="s">
        <v>2</v>
      </c>
      <c r="B407" s="975"/>
      <c r="C407" s="11" t="s">
        <v>3</v>
      </c>
      <c r="D407" s="11" t="s">
        <v>4</v>
      </c>
      <c r="E407" s="11" t="s">
        <v>6</v>
      </c>
      <c r="F407" s="11" t="s">
        <v>11</v>
      </c>
      <c r="G407" s="18" t="s">
        <v>8</v>
      </c>
    </row>
    <row r="408" spans="1:7" s="2" customFormat="1" ht="15.75" customHeight="1">
      <c r="A408" s="47"/>
      <c r="B408" s="38"/>
      <c r="C408" s="38"/>
      <c r="D408" s="38"/>
      <c r="E408" s="38"/>
      <c r="F408" s="38"/>
      <c r="G408" s="15"/>
    </row>
    <row r="409" spans="1:7" s="2" customFormat="1" ht="15.75" customHeight="1">
      <c r="A409" s="1006" t="s">
        <v>19</v>
      </c>
      <c r="B409" s="1007"/>
      <c r="C409" s="1007"/>
      <c r="D409" s="1007"/>
      <c r="E409" s="1007"/>
      <c r="F409" s="1007"/>
      <c r="G409" s="1008"/>
    </row>
    <row r="410" spans="1:7" s="2" customFormat="1" ht="13.8">
      <c r="A410" s="974" t="s">
        <v>2</v>
      </c>
      <c r="B410" s="975"/>
      <c r="C410" s="11" t="s">
        <v>3</v>
      </c>
      <c r="D410" s="11" t="s">
        <v>4</v>
      </c>
      <c r="E410" s="11" t="s">
        <v>6</v>
      </c>
      <c r="F410" s="11" t="s">
        <v>11</v>
      </c>
      <c r="G410" s="18" t="s">
        <v>8</v>
      </c>
    </row>
    <row r="411" spans="1:7" s="2" customFormat="1" ht="15" customHeight="1">
      <c r="A411" s="978" t="str">
        <f>SALARIOS!$A$69</f>
        <v>CUADRILLA BB INSTALACIONES 1:1</v>
      </c>
      <c r="B411" s="979"/>
      <c r="C411" s="13" t="s">
        <v>1245</v>
      </c>
      <c r="D411" s="12">
        <v>1.5</v>
      </c>
      <c r="E411" s="13">
        <f>SALARIOS!$C$69</f>
        <v>27341</v>
      </c>
      <c r="F411" s="14">
        <f>+D411*E411</f>
        <v>41011.5</v>
      </c>
      <c r="G411" s="15">
        <f>F411</f>
        <v>41011.5</v>
      </c>
    </row>
    <row r="412" spans="1:7" s="2" customFormat="1" ht="15.75" customHeight="1">
      <c r="A412" s="1009" t="s">
        <v>25</v>
      </c>
      <c r="B412" s="1010"/>
      <c r="C412" s="1010"/>
      <c r="D412" s="1010"/>
      <c r="E412" s="1010"/>
      <c r="F412" s="1010"/>
      <c r="G412" s="1011"/>
    </row>
    <row r="413" spans="1:7" s="2" customFormat="1" ht="15.75" customHeight="1">
      <c r="A413" s="1012"/>
      <c r="B413" s="1013"/>
      <c r="C413" s="1013"/>
      <c r="D413" s="1013"/>
      <c r="E413" s="1013"/>
      <c r="F413" s="1014"/>
      <c r="G413" s="20">
        <f>G411+G408+G405+G401</f>
        <v>1061011.5</v>
      </c>
    </row>
    <row r="414" spans="1:7" s="2" customFormat="1" ht="15.75" customHeight="1">
      <c r="A414" s="26"/>
      <c r="B414" s="27"/>
      <c r="C414" s="28"/>
      <c r="D414" s="28"/>
      <c r="E414" s="29"/>
      <c r="F414" s="28"/>
      <c r="G414" s="30"/>
    </row>
    <row r="415" spans="1:7" s="2" customFormat="1" ht="15.75" customHeight="1">
      <c r="A415" s="986" t="s">
        <v>1</v>
      </c>
      <c r="B415" s="987"/>
      <c r="C415" s="992" t="s">
        <v>0</v>
      </c>
      <c r="D415" s="993"/>
      <c r="E415" s="993"/>
      <c r="F415" s="993"/>
      <c r="G415" s="994"/>
    </row>
    <row r="416" spans="1:7" s="2" customFormat="1" ht="40.5" customHeight="1">
      <c r="A416" s="988"/>
      <c r="B416" s="989"/>
      <c r="C416" s="995"/>
      <c r="D416" s="996"/>
      <c r="E416" s="996"/>
      <c r="F416" s="996"/>
      <c r="G416" s="997"/>
    </row>
    <row r="417" spans="1:7" s="2" customFormat="1" ht="17.399999999999999">
      <c r="A417" s="988"/>
      <c r="B417" s="989"/>
      <c r="C417" s="998"/>
      <c r="D417" s="999"/>
      <c r="E417" s="999"/>
      <c r="F417" s="999"/>
      <c r="G417" s="1000"/>
    </row>
    <row r="418" spans="1:7" s="2" customFormat="1" ht="13.8">
      <c r="A418" s="990"/>
      <c r="B418" s="991"/>
      <c r="C418" s="1001" t="s">
        <v>2</v>
      </c>
      <c r="D418" s="1002"/>
      <c r="E418" s="1003"/>
      <c r="F418" s="23" t="s">
        <v>3</v>
      </c>
      <c r="G418" s="24" t="s">
        <v>4</v>
      </c>
    </row>
    <row r="419" spans="1:7" s="2" customFormat="1" ht="74.25" customHeight="1">
      <c r="A419" s="1069" t="s">
        <v>165</v>
      </c>
      <c r="B419" s="1070"/>
      <c r="C419" s="1023" t="s">
        <v>166</v>
      </c>
      <c r="D419" s="1024"/>
      <c r="E419" s="1016"/>
      <c r="F419" s="51" t="s">
        <v>100</v>
      </c>
      <c r="G419" s="52">
        <v>7.2</v>
      </c>
    </row>
    <row r="420" spans="1:7" s="2" customFormat="1" ht="13.8">
      <c r="A420" s="1032" t="s">
        <v>5</v>
      </c>
      <c r="B420" s="1033"/>
      <c r="C420" s="1033"/>
      <c r="D420" s="1033"/>
      <c r="E420" s="1033"/>
      <c r="F420" s="1033"/>
      <c r="G420" s="1034"/>
    </row>
    <row r="421" spans="1:7" s="2" customFormat="1" ht="13.8">
      <c r="A421" s="1027" t="s">
        <v>2</v>
      </c>
      <c r="B421" s="1028"/>
      <c r="C421" s="53" t="s">
        <v>3</v>
      </c>
      <c r="D421" s="53" t="s">
        <v>4</v>
      </c>
      <c r="E421" s="53" t="s">
        <v>6</v>
      </c>
      <c r="F421" s="53" t="s">
        <v>7</v>
      </c>
      <c r="G421" s="1029" t="s">
        <v>8</v>
      </c>
    </row>
    <row r="422" spans="1:7" s="2" customFormat="1" ht="13.8">
      <c r="A422" s="1019" t="s">
        <v>89</v>
      </c>
      <c r="B422" s="1020"/>
      <c r="C422" s="12" t="s">
        <v>3</v>
      </c>
      <c r="D422" s="9">
        <v>0.05</v>
      </c>
      <c r="E422" s="13">
        <f>G437</f>
        <v>12427.5</v>
      </c>
      <c r="F422" s="55">
        <f>D422*E422</f>
        <v>621.375</v>
      </c>
      <c r="G422" s="1031"/>
    </row>
    <row r="423" spans="1:7" s="2" customFormat="1" ht="15.75" customHeight="1">
      <c r="A423" s="1019" t="s">
        <v>238</v>
      </c>
      <c r="B423" s="1020"/>
      <c r="C423" s="12" t="s">
        <v>60</v>
      </c>
      <c r="D423" s="9">
        <v>0.33300000000000002</v>
      </c>
      <c r="E423" s="13">
        <f>'MAQUINARIA Y EQUIPOS'!$F$36</f>
        <v>37900</v>
      </c>
      <c r="F423" s="55">
        <f>D423*E423</f>
        <v>12620.7</v>
      </c>
      <c r="G423" s="94"/>
    </row>
    <row r="424" spans="1:7" s="2" customFormat="1" ht="15.75" customHeight="1">
      <c r="A424" s="1035"/>
      <c r="B424" s="1036"/>
      <c r="C424" s="56"/>
      <c r="D424" s="56"/>
      <c r="E424" s="56"/>
      <c r="F424" s="55"/>
      <c r="G424" s="57">
        <f>SUM(F421:F424)</f>
        <v>13242.075000000001</v>
      </c>
    </row>
    <row r="425" spans="1:7" s="2" customFormat="1" ht="15.75" customHeight="1">
      <c r="A425" s="1032" t="s">
        <v>10</v>
      </c>
      <c r="B425" s="1033"/>
      <c r="C425" s="1033"/>
      <c r="D425" s="1033"/>
      <c r="E425" s="1033"/>
      <c r="F425" s="1033"/>
      <c r="G425" s="1034"/>
    </row>
    <row r="426" spans="1:7" s="2" customFormat="1" ht="15.75" customHeight="1">
      <c r="A426" s="1027" t="s">
        <v>2</v>
      </c>
      <c r="B426" s="1028"/>
      <c r="C426" s="53" t="s">
        <v>3</v>
      </c>
      <c r="D426" s="53" t="s">
        <v>4</v>
      </c>
      <c r="E426" s="53" t="s">
        <v>6</v>
      </c>
      <c r="F426" s="53" t="s">
        <v>11</v>
      </c>
      <c r="G426" s="1029" t="s">
        <v>8</v>
      </c>
    </row>
    <row r="427" spans="1:7" s="2" customFormat="1" ht="15.75" customHeight="1">
      <c r="A427" s="1019" t="s">
        <v>239</v>
      </c>
      <c r="B427" s="1020"/>
      <c r="C427" s="12" t="s">
        <v>45</v>
      </c>
      <c r="D427" s="9">
        <v>1</v>
      </c>
      <c r="E427" s="13">
        <f>'INSUMOS '!$E$52</f>
        <v>13500</v>
      </c>
      <c r="F427" s="55">
        <f>D427*E427</f>
        <v>13500</v>
      </c>
      <c r="G427" s="1030"/>
    </row>
    <row r="428" spans="1:7" s="2" customFormat="1" ht="15.75" customHeight="1">
      <c r="A428" s="1019" t="s">
        <v>169</v>
      </c>
      <c r="B428" s="1020"/>
      <c r="C428" s="12" t="s">
        <v>39</v>
      </c>
      <c r="D428" s="9">
        <v>5.0000000000000001E-3</v>
      </c>
      <c r="E428" s="13">
        <f>SUBANÁLISIS!$G$117</f>
        <v>495483.82500000001</v>
      </c>
      <c r="F428" s="55">
        <f>D428*E428</f>
        <v>2477.4191249999999</v>
      </c>
      <c r="G428" s="1030"/>
    </row>
    <row r="429" spans="1:7" s="2" customFormat="1" ht="31.2" customHeight="1">
      <c r="A429" s="1019" t="s">
        <v>240</v>
      </c>
      <c r="B429" s="1020"/>
      <c r="C429" s="12" t="s">
        <v>3</v>
      </c>
      <c r="D429" s="12">
        <v>4.7619047619047616E-2</v>
      </c>
      <c r="E429" s="13">
        <f>'INSUMOS '!$E$53</f>
        <v>82700</v>
      </c>
      <c r="F429" s="55">
        <f>E429*D429</f>
        <v>3938.0952380952381</v>
      </c>
      <c r="G429" s="1030"/>
    </row>
    <row r="430" spans="1:7" s="2" customFormat="1" ht="13.8">
      <c r="A430" s="1019" t="s">
        <v>126</v>
      </c>
      <c r="B430" s="1020"/>
      <c r="C430" s="12" t="s">
        <v>34</v>
      </c>
      <c r="D430" s="9">
        <v>0.05</v>
      </c>
      <c r="E430" s="13">
        <f>'INSUMOS '!$E$40</f>
        <v>18900</v>
      </c>
      <c r="F430" s="55">
        <f>E430*D430</f>
        <v>945</v>
      </c>
      <c r="G430" s="1031"/>
    </row>
    <row r="431" spans="1:7" s="2" customFormat="1" ht="15.75" customHeight="1">
      <c r="A431" s="1015"/>
      <c r="B431" s="1016"/>
      <c r="C431" s="16"/>
      <c r="D431" s="58"/>
      <c r="E431" s="17"/>
      <c r="F431" s="55"/>
      <c r="G431" s="57">
        <f>SUM(F426:F431)</f>
        <v>20860.514363095237</v>
      </c>
    </row>
    <row r="432" spans="1:7" s="2" customFormat="1" ht="15.75" customHeight="1">
      <c r="A432" s="1032" t="s">
        <v>15</v>
      </c>
      <c r="B432" s="1033"/>
      <c r="C432" s="1033"/>
      <c r="D432" s="1033"/>
      <c r="E432" s="1033"/>
      <c r="F432" s="1033"/>
      <c r="G432" s="1034"/>
    </row>
    <row r="433" spans="1:7" s="2" customFormat="1" ht="15.75" customHeight="1">
      <c r="A433" s="974" t="s">
        <v>2</v>
      </c>
      <c r="B433" s="975"/>
      <c r="C433" s="11" t="s">
        <v>3</v>
      </c>
      <c r="D433" s="11" t="s">
        <v>4</v>
      </c>
      <c r="E433" s="11" t="s">
        <v>6</v>
      </c>
      <c r="F433" s="11" t="s">
        <v>11</v>
      </c>
      <c r="G433" s="61" t="s">
        <v>8</v>
      </c>
    </row>
    <row r="434" spans="1:7" s="2" customFormat="1" ht="15.75" customHeight="1">
      <c r="A434" s="1019" t="s">
        <v>17</v>
      </c>
      <c r="B434" s="1020"/>
      <c r="C434" s="16" t="s">
        <v>3</v>
      </c>
      <c r="D434" s="54">
        <v>3.5000000000000003E-2</v>
      </c>
      <c r="E434" s="17">
        <f>+G431</f>
        <v>20860.514363095237</v>
      </c>
      <c r="F434" s="55">
        <f>E434*D434</f>
        <v>730.11800270833339</v>
      </c>
      <c r="G434" s="57">
        <f>SUM(F434:F434)</f>
        <v>730.11800270833339</v>
      </c>
    </row>
    <row r="435" spans="1:7" s="2" customFormat="1" ht="13.8">
      <c r="A435" s="1032" t="s">
        <v>19</v>
      </c>
      <c r="B435" s="1033"/>
      <c r="C435" s="1033"/>
      <c r="D435" s="1033"/>
      <c r="E435" s="1033"/>
      <c r="F435" s="1033"/>
      <c r="G435" s="1034"/>
    </row>
    <row r="436" spans="1:7" s="2" customFormat="1" ht="15.75" customHeight="1">
      <c r="A436" s="974" t="s">
        <v>2</v>
      </c>
      <c r="B436" s="975"/>
      <c r="C436" s="11" t="s">
        <v>3</v>
      </c>
      <c r="D436" s="11" t="s">
        <v>4</v>
      </c>
      <c r="E436" s="11" t="s">
        <v>6</v>
      </c>
      <c r="F436" s="11" t="s">
        <v>11</v>
      </c>
      <c r="G436" s="18" t="s">
        <v>8</v>
      </c>
    </row>
    <row r="437" spans="1:7" s="2" customFormat="1" ht="15" customHeight="1">
      <c r="A437" s="978" t="str">
        <f>SALARIOS!$A$61</f>
        <v>CUADRILLA AA ALBAÑILERÍA 1:1</v>
      </c>
      <c r="B437" s="979"/>
      <c r="C437" s="13" t="s">
        <v>1245</v>
      </c>
      <c r="D437" s="32">
        <v>0.5</v>
      </c>
      <c r="E437" s="13">
        <f>SALARIOS!$C$61</f>
        <v>24855</v>
      </c>
      <c r="F437" s="14">
        <f>+D437*E437</f>
        <v>12427.5</v>
      </c>
      <c r="G437" s="15">
        <f>F437</f>
        <v>12427.5</v>
      </c>
    </row>
    <row r="438" spans="1:7" s="2" customFormat="1" ht="15.75" customHeight="1">
      <c r="A438" s="1037" t="s">
        <v>25</v>
      </c>
      <c r="B438" s="1038"/>
      <c r="C438" s="1038"/>
      <c r="D438" s="1038"/>
      <c r="E438" s="1038"/>
      <c r="F438" s="1038"/>
      <c r="G438" s="1039"/>
    </row>
    <row r="439" spans="1:7" s="2" customFormat="1" ht="15.75" customHeight="1">
      <c r="A439" s="1043"/>
      <c r="B439" s="1044"/>
      <c r="C439" s="1044"/>
      <c r="D439" s="1044"/>
      <c r="E439" s="1044"/>
      <c r="F439" s="1045"/>
      <c r="G439" s="62">
        <f>G437+G434+G431+G424</f>
        <v>47260.207365803566</v>
      </c>
    </row>
    <row r="440" spans="1:7" s="2" customFormat="1" ht="15.75" customHeight="1">
      <c r="A440" s="26"/>
      <c r="B440" s="27"/>
      <c r="C440" s="28"/>
      <c r="D440" s="28"/>
      <c r="E440" s="29"/>
      <c r="F440" s="28"/>
      <c r="G440" s="30"/>
    </row>
    <row r="441" spans="1:7" s="2" customFormat="1" ht="15.75" customHeight="1">
      <c r="A441" s="986" t="s">
        <v>1</v>
      </c>
      <c r="B441" s="987"/>
      <c r="C441" s="992" t="s">
        <v>0</v>
      </c>
      <c r="D441" s="993"/>
      <c r="E441" s="993"/>
      <c r="F441" s="993"/>
      <c r="G441" s="994"/>
    </row>
    <row r="442" spans="1:7" s="2" customFormat="1" ht="41.25" customHeight="1">
      <c r="A442" s="988"/>
      <c r="B442" s="989"/>
      <c r="C442" s="995"/>
      <c r="D442" s="996"/>
      <c r="E442" s="996"/>
      <c r="F442" s="996"/>
      <c r="G442" s="997"/>
    </row>
    <row r="443" spans="1:7" s="2" customFormat="1" ht="15.75" customHeight="1">
      <c r="A443" s="988"/>
      <c r="B443" s="989"/>
      <c r="C443" s="998"/>
      <c r="D443" s="999"/>
      <c r="E443" s="999"/>
      <c r="F443" s="999"/>
      <c r="G443" s="1000"/>
    </row>
    <row r="444" spans="1:7" s="2" customFormat="1" ht="13.8">
      <c r="A444" s="990"/>
      <c r="B444" s="991"/>
      <c r="C444" s="1001" t="s">
        <v>2</v>
      </c>
      <c r="D444" s="1002"/>
      <c r="E444" s="1003"/>
      <c r="F444" s="23" t="s">
        <v>3</v>
      </c>
      <c r="G444" s="24" t="s">
        <v>4</v>
      </c>
    </row>
    <row r="445" spans="1:7" s="2" customFormat="1" ht="141.75" customHeight="1">
      <c r="A445" s="1004" t="s">
        <v>174</v>
      </c>
      <c r="B445" s="1005"/>
      <c r="C445" s="1017" t="s">
        <v>175</v>
      </c>
      <c r="D445" s="1018"/>
      <c r="E445" s="949"/>
      <c r="F445" s="9" t="s">
        <v>100</v>
      </c>
      <c r="G445" s="25">
        <v>199.50000000000003</v>
      </c>
    </row>
    <row r="446" spans="1:7" s="2" customFormat="1" ht="13.8">
      <c r="A446" s="1006" t="s">
        <v>5</v>
      </c>
      <c r="B446" s="1007"/>
      <c r="C446" s="1007"/>
      <c r="D446" s="1007"/>
      <c r="E446" s="1007"/>
      <c r="F446" s="1007"/>
      <c r="G446" s="1008"/>
    </row>
    <row r="447" spans="1:7" s="2" customFormat="1" ht="13.8">
      <c r="A447" s="974" t="s">
        <v>2</v>
      </c>
      <c r="B447" s="975"/>
      <c r="C447" s="11" t="s">
        <v>3</v>
      </c>
      <c r="D447" s="11" t="s">
        <v>4</v>
      </c>
      <c r="E447" s="11" t="s">
        <v>6</v>
      </c>
      <c r="F447" s="11" t="s">
        <v>7</v>
      </c>
      <c r="G447" s="967" t="s">
        <v>8</v>
      </c>
    </row>
    <row r="448" spans="1:7" s="2" customFormat="1" ht="13.8">
      <c r="A448" s="948" t="s">
        <v>9</v>
      </c>
      <c r="B448" s="949"/>
      <c r="C448" s="12" t="s">
        <v>3</v>
      </c>
      <c r="D448" s="9">
        <v>0.05</v>
      </c>
      <c r="E448" s="13">
        <f>$G$757</f>
        <v>24855</v>
      </c>
      <c r="F448" s="14">
        <f>D448*E448</f>
        <v>1242.75</v>
      </c>
      <c r="G448" s="968"/>
    </row>
    <row r="449" spans="1:7" s="2" customFormat="1" ht="13.8">
      <c r="A449" s="948" t="s">
        <v>75</v>
      </c>
      <c r="B449" s="949"/>
      <c r="C449" s="12" t="s">
        <v>58</v>
      </c>
      <c r="D449" s="9">
        <v>0.04</v>
      </c>
      <c r="E449" s="13">
        <f>'MAQUINARIA Y EQUIPOS'!$F$21</f>
        <v>35700</v>
      </c>
      <c r="F449" s="14">
        <f>D449*E449</f>
        <v>1428</v>
      </c>
      <c r="G449" s="968"/>
    </row>
    <row r="450" spans="1:7" s="2" customFormat="1" ht="15.75" customHeight="1">
      <c r="A450" s="948" t="s">
        <v>113</v>
      </c>
      <c r="B450" s="949"/>
      <c r="C450" s="12" t="s">
        <v>58</v>
      </c>
      <c r="D450" s="9">
        <v>0.3</v>
      </c>
      <c r="E450" s="13">
        <f>'MAQUINARIA Y EQUIPOS'!$F$10</f>
        <v>3272.5</v>
      </c>
      <c r="F450" s="14">
        <f>D450*E450</f>
        <v>981.75</v>
      </c>
      <c r="G450" s="968"/>
    </row>
    <row r="451" spans="1:7" s="2" customFormat="1" ht="15.75" customHeight="1">
      <c r="A451" s="948" t="s">
        <v>61</v>
      </c>
      <c r="B451" s="949"/>
      <c r="C451" s="12" t="s">
        <v>58</v>
      </c>
      <c r="D451" s="9">
        <v>0.1</v>
      </c>
      <c r="E451" s="13">
        <f>'MAQUINARIA Y EQUIPOS'!$F$18</f>
        <v>40460</v>
      </c>
      <c r="F451" s="14">
        <f>D451*E451</f>
        <v>4046</v>
      </c>
      <c r="G451" s="969"/>
    </row>
    <row r="452" spans="1:7" s="2" customFormat="1" ht="15.75" customHeight="1">
      <c r="A452" s="948" t="s">
        <v>76</v>
      </c>
      <c r="B452" s="949"/>
      <c r="C452" s="9" t="s">
        <v>39</v>
      </c>
      <c r="D452" s="9">
        <f>1*1*0.12</f>
        <v>0.12</v>
      </c>
      <c r="E452" s="13">
        <f>'MAQUINARIA Y EQUIPOS'!$F$22</f>
        <v>42000</v>
      </c>
      <c r="F452" s="14">
        <f>D452*E452</f>
        <v>5040</v>
      </c>
      <c r="G452" s="15">
        <f>SUM(F447:F452)</f>
        <v>12738.5</v>
      </c>
    </row>
    <row r="453" spans="1:7" s="2" customFormat="1" ht="15.75" customHeight="1">
      <c r="A453" s="1006" t="s">
        <v>10</v>
      </c>
      <c r="B453" s="1007"/>
      <c r="C453" s="1007"/>
      <c r="D453" s="1007"/>
      <c r="E453" s="1007"/>
      <c r="F453" s="1007"/>
      <c r="G453" s="1008"/>
    </row>
    <row r="454" spans="1:7" s="2" customFormat="1" ht="15.75" customHeight="1">
      <c r="A454" s="974" t="s">
        <v>2</v>
      </c>
      <c r="B454" s="975"/>
      <c r="C454" s="11" t="s">
        <v>3</v>
      </c>
      <c r="D454" s="11" t="s">
        <v>4</v>
      </c>
      <c r="E454" s="11" t="s">
        <v>6</v>
      </c>
      <c r="F454" s="11" t="s">
        <v>11</v>
      </c>
      <c r="G454" s="967" t="s">
        <v>8</v>
      </c>
    </row>
    <row r="455" spans="1:7" s="2" customFormat="1" ht="15.75" customHeight="1">
      <c r="A455" s="948" t="s">
        <v>1459</v>
      </c>
      <c r="B455" s="949"/>
      <c r="C455" s="12" t="s">
        <v>3</v>
      </c>
      <c r="D455" s="12">
        <v>0.03</v>
      </c>
      <c r="E455" s="13">
        <f>'INSUMOS '!$E$29</f>
        <v>643900</v>
      </c>
      <c r="F455" s="14">
        <f>D455*E455</f>
        <v>19317</v>
      </c>
      <c r="G455" s="968"/>
    </row>
    <row r="456" spans="1:7" s="2" customFormat="1" ht="13.8">
      <c r="A456" s="948" t="s">
        <v>114</v>
      </c>
      <c r="B456" s="949"/>
      <c r="C456" s="12" t="s">
        <v>39</v>
      </c>
      <c r="D456" s="12">
        <v>0.02</v>
      </c>
      <c r="E456" s="13">
        <f>SUBANÁLISIS!$G$146</f>
        <v>702267.57499999995</v>
      </c>
      <c r="F456" s="14">
        <f>D456*E456</f>
        <v>14045.351499999999</v>
      </c>
      <c r="G456" s="968"/>
    </row>
    <row r="457" spans="1:7" s="2" customFormat="1" ht="15.75" customHeight="1">
      <c r="A457" s="948" t="s">
        <v>176</v>
      </c>
      <c r="B457" s="949"/>
      <c r="C457" s="12" t="s">
        <v>3</v>
      </c>
      <c r="D457" s="12">
        <v>2</v>
      </c>
      <c r="E457" s="13">
        <f>'INSUMOS '!$E$181</f>
        <v>2600</v>
      </c>
      <c r="F457" s="14">
        <f>D457*E457</f>
        <v>5200</v>
      </c>
      <c r="G457" s="969"/>
    </row>
    <row r="458" spans="1:7" s="2" customFormat="1" ht="15.75" customHeight="1">
      <c r="A458" s="948" t="s">
        <v>177</v>
      </c>
      <c r="B458" s="949"/>
      <c r="C458" s="12" t="s">
        <v>3</v>
      </c>
      <c r="D458" s="33">
        <v>2</v>
      </c>
      <c r="E458" s="13">
        <f>'INSUMOS '!$E$45</f>
        <v>3253.46</v>
      </c>
      <c r="F458" s="14">
        <f>E458*D458</f>
        <v>6506.92</v>
      </c>
      <c r="G458" s="15">
        <f>SUM(F456:F458)</f>
        <v>25752.271499999995</v>
      </c>
    </row>
    <row r="459" spans="1:7" s="2" customFormat="1" ht="15.75" customHeight="1">
      <c r="A459" s="1006" t="s">
        <v>15</v>
      </c>
      <c r="B459" s="1007"/>
      <c r="C459" s="1007"/>
      <c r="D459" s="1007"/>
      <c r="E459" s="1007"/>
      <c r="F459" s="1007"/>
      <c r="G459" s="1008"/>
    </row>
    <row r="460" spans="1:7" s="2" customFormat="1" ht="15.75" customHeight="1">
      <c r="A460" s="974" t="s">
        <v>2</v>
      </c>
      <c r="B460" s="975"/>
      <c r="C460" s="11" t="s">
        <v>3</v>
      </c>
      <c r="D460" s="11" t="s">
        <v>4</v>
      </c>
      <c r="E460" s="11" t="s">
        <v>6</v>
      </c>
      <c r="F460" s="11" t="s">
        <v>11</v>
      </c>
      <c r="G460" s="967" t="s">
        <v>8</v>
      </c>
    </row>
    <row r="461" spans="1:7" s="2" customFormat="1" ht="15.75" customHeight="1">
      <c r="A461" s="1019" t="s">
        <v>68</v>
      </c>
      <c r="B461" s="1020"/>
      <c r="C461" s="16" t="s">
        <v>3</v>
      </c>
      <c r="D461" s="54">
        <v>3.5000000000000003E-2</v>
      </c>
      <c r="E461" s="17">
        <f>G452</f>
        <v>12738.5</v>
      </c>
      <c r="F461" s="14">
        <f>E461*D461</f>
        <v>445.84750000000003</v>
      </c>
      <c r="G461" s="968"/>
    </row>
    <row r="462" spans="1:7" s="2" customFormat="1" ht="13.8">
      <c r="A462" s="1019" t="s">
        <v>17</v>
      </c>
      <c r="B462" s="1020"/>
      <c r="C462" s="16" t="s">
        <v>18</v>
      </c>
      <c r="D462" s="54">
        <v>3.5000000000000003E-2</v>
      </c>
      <c r="E462" s="13">
        <f>+G458</f>
        <v>25752.271499999995</v>
      </c>
      <c r="F462" s="14">
        <f>E462*D462</f>
        <v>901.32950249999988</v>
      </c>
      <c r="G462" s="15">
        <f>SUM(F461:F462)</f>
        <v>1347.1770024999998</v>
      </c>
    </row>
    <row r="463" spans="1:7" s="2" customFormat="1" ht="15.75" customHeight="1">
      <c r="A463" s="1006" t="s">
        <v>19</v>
      </c>
      <c r="B463" s="1007"/>
      <c r="C463" s="1007"/>
      <c r="D463" s="1007"/>
      <c r="E463" s="1007"/>
      <c r="F463" s="1007"/>
      <c r="G463" s="1008"/>
    </row>
    <row r="464" spans="1:7" s="2" customFormat="1" ht="15.75" customHeight="1">
      <c r="A464" s="974" t="s">
        <v>2</v>
      </c>
      <c r="B464" s="975"/>
      <c r="C464" s="11" t="s">
        <v>3</v>
      </c>
      <c r="D464" s="11" t="s">
        <v>4</v>
      </c>
      <c r="E464" s="11" t="s">
        <v>6</v>
      </c>
      <c r="F464" s="11" t="s">
        <v>11</v>
      </c>
      <c r="G464" s="18" t="s">
        <v>8</v>
      </c>
    </row>
    <row r="465" spans="1:7" s="2" customFormat="1" ht="15" customHeight="1">
      <c r="A465" s="978" t="str">
        <f>SALARIOS!$A$61</f>
        <v>CUADRILLA AA ALBAÑILERÍA 1:1</v>
      </c>
      <c r="B465" s="979"/>
      <c r="C465" s="13" t="s">
        <v>1245</v>
      </c>
      <c r="D465" s="32">
        <v>1</v>
      </c>
      <c r="E465" s="13">
        <f>SALARIOS!$C$61</f>
        <v>24855</v>
      </c>
      <c r="F465" s="14">
        <f>+D465*E465</f>
        <v>24855</v>
      </c>
      <c r="G465" s="15">
        <f>F465</f>
        <v>24855</v>
      </c>
    </row>
    <row r="466" spans="1:7" s="2" customFormat="1" ht="15.75" customHeight="1">
      <c r="A466" s="1009" t="s">
        <v>25</v>
      </c>
      <c r="B466" s="1010"/>
      <c r="C466" s="1010"/>
      <c r="D466" s="1010"/>
      <c r="E466" s="1010"/>
      <c r="F466" s="1010"/>
      <c r="G466" s="1011"/>
    </row>
    <row r="467" spans="1:7" s="2" customFormat="1" ht="15.75" customHeight="1">
      <c r="A467" s="1012"/>
      <c r="B467" s="1013"/>
      <c r="C467" s="1013"/>
      <c r="D467" s="1013"/>
      <c r="E467" s="1013"/>
      <c r="F467" s="1014"/>
      <c r="G467" s="20">
        <f>G465+G462+G458+G452</f>
        <v>64692.948502499996</v>
      </c>
    </row>
    <row r="468" spans="1:7" s="2" customFormat="1" ht="15.75" customHeight="1">
      <c r="A468" s="26"/>
      <c r="B468" s="27"/>
      <c r="C468" s="28"/>
      <c r="D468" s="28"/>
      <c r="E468" s="29"/>
      <c r="F468" s="28"/>
      <c r="G468" s="30"/>
    </row>
    <row r="469" spans="1:7" s="2" customFormat="1" ht="15.75" customHeight="1">
      <c r="A469" s="986" t="s">
        <v>1</v>
      </c>
      <c r="B469" s="987"/>
      <c r="C469" s="992" t="s">
        <v>0</v>
      </c>
      <c r="D469" s="993"/>
      <c r="E469" s="993"/>
      <c r="F469" s="993"/>
      <c r="G469" s="994"/>
    </row>
    <row r="470" spans="1:7" s="2" customFormat="1" ht="54.75" customHeight="1">
      <c r="A470" s="988"/>
      <c r="B470" s="989"/>
      <c r="C470" s="995"/>
      <c r="D470" s="996"/>
      <c r="E470" s="996"/>
      <c r="F470" s="996"/>
      <c r="G470" s="997"/>
    </row>
    <row r="471" spans="1:7" s="2" customFormat="1" ht="17.399999999999999">
      <c r="A471" s="988"/>
      <c r="B471" s="989"/>
      <c r="C471" s="998"/>
      <c r="D471" s="999"/>
      <c r="E471" s="999"/>
      <c r="F471" s="999"/>
      <c r="G471" s="1000"/>
    </row>
    <row r="472" spans="1:7" s="2" customFormat="1" ht="13.8">
      <c r="A472" s="990"/>
      <c r="B472" s="991"/>
      <c r="C472" s="1001" t="s">
        <v>2</v>
      </c>
      <c r="D472" s="1002"/>
      <c r="E472" s="1003"/>
      <c r="F472" s="23" t="s">
        <v>3</v>
      </c>
      <c r="G472" s="24" t="s">
        <v>4</v>
      </c>
    </row>
    <row r="473" spans="1:7" s="2" customFormat="1" ht="177.75" customHeight="1">
      <c r="A473" s="1004" t="s">
        <v>178</v>
      </c>
      <c r="B473" s="1005"/>
      <c r="C473" s="1017" t="s">
        <v>206</v>
      </c>
      <c r="D473" s="1018"/>
      <c r="E473" s="949"/>
      <c r="F473" s="9" t="s">
        <v>100</v>
      </c>
      <c r="G473" s="25">
        <v>1024.4199999999992</v>
      </c>
    </row>
    <row r="474" spans="1:7" s="2" customFormat="1" ht="13.8">
      <c r="A474" s="1032" t="s">
        <v>5</v>
      </c>
      <c r="B474" s="1033"/>
      <c r="C474" s="1033"/>
      <c r="D474" s="1033"/>
      <c r="E474" s="1033"/>
      <c r="F474" s="1033"/>
      <c r="G474" s="1034"/>
    </row>
    <row r="475" spans="1:7" s="2" customFormat="1" ht="13.8">
      <c r="A475" s="974" t="s">
        <v>2</v>
      </c>
      <c r="B475" s="975"/>
      <c r="C475" s="11" t="s">
        <v>3</v>
      </c>
      <c r="D475" s="11" t="s">
        <v>4</v>
      </c>
      <c r="E475" s="11" t="s">
        <v>6</v>
      </c>
      <c r="F475" s="11" t="s">
        <v>7</v>
      </c>
      <c r="G475" s="967" t="s">
        <v>8</v>
      </c>
    </row>
    <row r="476" spans="1:7" s="2" customFormat="1" ht="13.8">
      <c r="A476" s="948" t="s">
        <v>9</v>
      </c>
      <c r="B476" s="949"/>
      <c r="C476" s="12" t="s">
        <v>3</v>
      </c>
      <c r="D476" s="9">
        <v>0.05</v>
      </c>
      <c r="E476" s="13">
        <f>G490</f>
        <v>7456.5</v>
      </c>
      <c r="F476" s="14">
        <f>D476*E476</f>
        <v>372.82500000000005</v>
      </c>
      <c r="G476" s="969"/>
    </row>
    <row r="477" spans="1:7" s="2" customFormat="1" ht="15.75" customHeight="1">
      <c r="A477" s="948" t="s">
        <v>113</v>
      </c>
      <c r="B477" s="949"/>
      <c r="C477" s="12" t="s">
        <v>58</v>
      </c>
      <c r="D477" s="9">
        <v>0.3</v>
      </c>
      <c r="E477" s="13">
        <f>'MAQUINARIA Y EQUIPOS'!$F$10</f>
        <v>3272.5</v>
      </c>
      <c r="F477" s="14">
        <f>D477*E477</f>
        <v>981.75</v>
      </c>
      <c r="G477" s="39"/>
    </row>
    <row r="478" spans="1:7" s="2" customFormat="1" ht="15.75" customHeight="1">
      <c r="A478" s="948" t="s">
        <v>61</v>
      </c>
      <c r="B478" s="949"/>
      <c r="C478" s="12" t="s">
        <v>60</v>
      </c>
      <c r="D478" s="9">
        <v>0.1</v>
      </c>
      <c r="E478" s="13">
        <f>'MAQUINARIA Y EQUIPOS'!$F$18</f>
        <v>40460</v>
      </c>
      <c r="F478" s="14">
        <f>D478*E478</f>
        <v>4046</v>
      </c>
      <c r="G478" s="39"/>
    </row>
    <row r="479" spans="1:7" s="2" customFormat="1" ht="15.75" customHeight="1">
      <c r="A479" s="948"/>
      <c r="B479" s="949"/>
      <c r="C479" s="9"/>
      <c r="D479" s="9"/>
      <c r="E479" s="13"/>
      <c r="F479" s="14"/>
      <c r="G479" s="15">
        <f>SUM(F475:F479)</f>
        <v>5400.5749999999998</v>
      </c>
    </row>
    <row r="480" spans="1:7" s="2" customFormat="1" ht="15.75" customHeight="1">
      <c r="A480" s="1006" t="s">
        <v>10</v>
      </c>
      <c r="B480" s="1007"/>
      <c r="C480" s="1007"/>
      <c r="D480" s="1007"/>
      <c r="E480" s="1007"/>
      <c r="F480" s="1007"/>
      <c r="G480" s="1008"/>
    </row>
    <row r="481" spans="1:7" s="2" customFormat="1" ht="15.75" customHeight="1">
      <c r="A481" s="974" t="s">
        <v>2</v>
      </c>
      <c r="B481" s="975"/>
      <c r="C481" s="11" t="s">
        <v>3</v>
      </c>
      <c r="D481" s="11" t="s">
        <v>4</v>
      </c>
      <c r="E481" s="11" t="s">
        <v>6</v>
      </c>
      <c r="F481" s="11" t="s">
        <v>11</v>
      </c>
      <c r="G481" s="967" t="s">
        <v>8</v>
      </c>
    </row>
    <row r="482" spans="1:7" s="2" customFormat="1" ht="15.75" customHeight="1">
      <c r="A482" s="948" t="s">
        <v>179</v>
      </c>
      <c r="B482" s="949"/>
      <c r="C482" s="12" t="s">
        <v>3</v>
      </c>
      <c r="D482" s="12">
        <f>1/12.5</f>
        <v>0.08</v>
      </c>
      <c r="E482" s="13">
        <f>'INSUMOS '!$E$55</f>
        <v>54300</v>
      </c>
      <c r="F482" s="14">
        <f>D482*E482</f>
        <v>4344</v>
      </c>
      <c r="G482" s="969"/>
    </row>
    <row r="483" spans="1:7" s="2" customFormat="1" ht="15.75" customHeight="1">
      <c r="A483" s="948" t="s">
        <v>180</v>
      </c>
      <c r="B483" s="949"/>
      <c r="C483" s="12" t="s">
        <v>3</v>
      </c>
      <c r="D483" s="12">
        <v>6.6666666666666666E-2</v>
      </c>
      <c r="E483" s="13">
        <f>'INSUMOS '!$E$56</f>
        <v>210900</v>
      </c>
      <c r="F483" s="14">
        <f>E483*D483</f>
        <v>14060</v>
      </c>
      <c r="G483" s="15">
        <f>SUM(F481:F483)</f>
        <v>18404</v>
      </c>
    </row>
    <row r="484" spans="1:7" s="2" customFormat="1" ht="15.75" customHeight="1">
      <c r="A484" s="1006" t="s">
        <v>15</v>
      </c>
      <c r="B484" s="1007"/>
      <c r="C484" s="1007"/>
      <c r="D484" s="1007"/>
      <c r="E484" s="1007"/>
      <c r="F484" s="1007"/>
      <c r="G484" s="1008"/>
    </row>
    <row r="485" spans="1:7" s="2" customFormat="1" ht="15.75" customHeight="1">
      <c r="A485" s="974" t="s">
        <v>2</v>
      </c>
      <c r="B485" s="975"/>
      <c r="C485" s="11" t="s">
        <v>3</v>
      </c>
      <c r="D485" s="11" t="s">
        <v>4</v>
      </c>
      <c r="E485" s="11" t="s">
        <v>6</v>
      </c>
      <c r="F485" s="11" t="s">
        <v>11</v>
      </c>
      <c r="G485" s="967" t="s">
        <v>8</v>
      </c>
    </row>
    <row r="486" spans="1:7" s="2" customFormat="1" ht="15.75" customHeight="1">
      <c r="A486" s="1019" t="s">
        <v>68</v>
      </c>
      <c r="B486" s="1020"/>
      <c r="C486" s="16" t="s">
        <v>3</v>
      </c>
      <c r="D486" s="32">
        <v>0.1</v>
      </c>
      <c r="E486" s="17">
        <f>G479</f>
        <v>5400.5749999999998</v>
      </c>
      <c r="F486" s="14">
        <f>E486*D486</f>
        <v>540.0575</v>
      </c>
      <c r="G486" s="969"/>
    </row>
    <row r="487" spans="1:7" s="2" customFormat="1" ht="15.75" customHeight="1">
      <c r="A487" s="983" t="s">
        <v>17</v>
      </c>
      <c r="B487" s="984"/>
      <c r="C487" s="16" t="s">
        <v>18</v>
      </c>
      <c r="D487" s="12">
        <v>0.1</v>
      </c>
      <c r="E487" s="13">
        <f>+G483</f>
        <v>18404</v>
      </c>
      <c r="F487" s="14">
        <f>E487*D487</f>
        <v>1840.4</v>
      </c>
      <c r="G487" s="15">
        <f>SUM(F486:F487)</f>
        <v>2380.4575</v>
      </c>
    </row>
    <row r="488" spans="1:7" s="2" customFormat="1" ht="15.75" customHeight="1">
      <c r="A488" s="1006" t="s">
        <v>19</v>
      </c>
      <c r="B488" s="1007"/>
      <c r="C488" s="1007"/>
      <c r="D488" s="1007"/>
      <c r="E488" s="1007"/>
      <c r="F488" s="1007"/>
      <c r="G488" s="1008"/>
    </row>
    <row r="489" spans="1:7" s="2" customFormat="1" ht="15.75" customHeight="1">
      <c r="A489" s="974" t="s">
        <v>2</v>
      </c>
      <c r="B489" s="975"/>
      <c r="C489" s="11" t="s">
        <v>3</v>
      </c>
      <c r="D489" s="11" t="s">
        <v>4</v>
      </c>
      <c r="E489" s="11" t="s">
        <v>6</v>
      </c>
      <c r="F489" s="11" t="s">
        <v>11</v>
      </c>
      <c r="G489" s="18" t="s">
        <v>8</v>
      </c>
    </row>
    <row r="490" spans="1:7" s="2" customFormat="1" ht="15.75" customHeight="1">
      <c r="A490" s="978" t="str">
        <f>SALARIOS!$A$61</f>
        <v>CUADRILLA AA ALBAÑILERÍA 1:1</v>
      </c>
      <c r="B490" s="979"/>
      <c r="C490" s="13" t="s">
        <v>1245</v>
      </c>
      <c r="D490" s="32">
        <v>0.3</v>
      </c>
      <c r="E490" s="13">
        <f>SALARIOS!$C$61</f>
        <v>24855</v>
      </c>
      <c r="F490" s="14">
        <f>+D490*E490</f>
        <v>7456.5</v>
      </c>
      <c r="G490" s="15">
        <f>F490</f>
        <v>7456.5</v>
      </c>
    </row>
    <row r="491" spans="1:7" s="2" customFormat="1" ht="15" customHeight="1">
      <c r="A491" s="1009" t="s">
        <v>25</v>
      </c>
      <c r="B491" s="1010"/>
      <c r="C491" s="1010"/>
      <c r="D491" s="1010"/>
      <c r="E491" s="1010"/>
      <c r="F491" s="1010"/>
      <c r="G491" s="1011"/>
    </row>
    <row r="492" spans="1:7" s="2" customFormat="1" ht="15.75" customHeight="1">
      <c r="A492" s="1012"/>
      <c r="B492" s="1013"/>
      <c r="C492" s="1013"/>
      <c r="D492" s="1013"/>
      <c r="E492" s="1013"/>
      <c r="F492" s="1014"/>
      <c r="G492" s="20">
        <f>G490+G487+G483+G479</f>
        <v>33641.532500000001</v>
      </c>
    </row>
    <row r="493" spans="1:7" s="2" customFormat="1" ht="20.399999999999999">
      <c r="A493" s="26"/>
      <c r="B493" s="27"/>
      <c r="C493" s="28"/>
      <c r="D493" s="28"/>
      <c r="E493" s="29"/>
      <c r="F493" s="28"/>
      <c r="G493" s="30"/>
    </row>
    <row r="494" spans="1:7" s="2" customFormat="1" ht="15.75" customHeight="1">
      <c r="A494" s="986" t="s">
        <v>1</v>
      </c>
      <c r="B494" s="987"/>
      <c r="C494" s="992" t="s">
        <v>0</v>
      </c>
      <c r="D494" s="993"/>
      <c r="E494" s="993"/>
      <c r="F494" s="993"/>
      <c r="G494" s="994"/>
    </row>
    <row r="495" spans="1:7" s="2" customFormat="1" ht="54.75" customHeight="1">
      <c r="A495" s="988"/>
      <c r="B495" s="989"/>
      <c r="C495" s="995"/>
      <c r="D495" s="996"/>
      <c r="E495" s="996"/>
      <c r="F495" s="996"/>
      <c r="G495" s="997"/>
    </row>
    <row r="496" spans="1:7" s="2" customFormat="1" ht="15.75" customHeight="1">
      <c r="A496" s="988"/>
      <c r="B496" s="989"/>
      <c r="C496" s="998"/>
      <c r="D496" s="999"/>
      <c r="E496" s="999"/>
      <c r="F496" s="999"/>
      <c r="G496" s="1000"/>
    </row>
    <row r="497" spans="1:7" s="2" customFormat="1" ht="13.8">
      <c r="A497" s="990"/>
      <c r="B497" s="991"/>
      <c r="C497" s="1001" t="s">
        <v>2</v>
      </c>
      <c r="D497" s="1002"/>
      <c r="E497" s="1003"/>
      <c r="F497" s="23" t="s">
        <v>3</v>
      </c>
      <c r="G497" s="24" t="s">
        <v>4</v>
      </c>
    </row>
    <row r="498" spans="1:7" s="2" customFormat="1" ht="81" customHeight="1">
      <c r="A498" s="1004" t="s">
        <v>181</v>
      </c>
      <c r="B498" s="1005"/>
      <c r="C498" s="1017" t="s">
        <v>182</v>
      </c>
      <c r="D498" s="1018"/>
      <c r="E498" s="949"/>
      <c r="F498" s="9" t="s">
        <v>37</v>
      </c>
      <c r="G498" s="25">
        <v>6.0584999999999996</v>
      </c>
    </row>
    <row r="499" spans="1:7" s="2" customFormat="1" ht="13.8">
      <c r="A499" s="1006" t="s">
        <v>5</v>
      </c>
      <c r="B499" s="1007"/>
      <c r="C499" s="1007"/>
      <c r="D499" s="1007"/>
      <c r="E499" s="1007"/>
      <c r="F499" s="1007"/>
      <c r="G499" s="1008"/>
    </row>
    <row r="500" spans="1:7" s="2" customFormat="1" ht="13.8">
      <c r="A500" s="974" t="s">
        <v>2</v>
      </c>
      <c r="B500" s="975"/>
      <c r="C500" s="11" t="s">
        <v>3</v>
      </c>
      <c r="D500" s="11" t="s">
        <v>4</v>
      </c>
      <c r="E500" s="11" t="s">
        <v>6</v>
      </c>
      <c r="F500" s="11" t="s">
        <v>7</v>
      </c>
      <c r="G500" s="967" t="s">
        <v>8</v>
      </c>
    </row>
    <row r="501" spans="1:7" s="2" customFormat="1" ht="13.8">
      <c r="A501" s="948" t="s">
        <v>9</v>
      </c>
      <c r="B501" s="949"/>
      <c r="C501" s="12" t="s">
        <v>3</v>
      </c>
      <c r="D501" s="9">
        <v>0.05</v>
      </c>
      <c r="E501" s="13">
        <f>G516</f>
        <v>54826</v>
      </c>
      <c r="F501" s="14">
        <f>D501*E501</f>
        <v>2741.3</v>
      </c>
      <c r="G501" s="968"/>
    </row>
    <row r="502" spans="1:7" s="2" customFormat="1" ht="14.25" customHeight="1">
      <c r="A502" s="948" t="s">
        <v>183</v>
      </c>
      <c r="B502" s="949"/>
      <c r="C502" s="12" t="s">
        <v>60</v>
      </c>
      <c r="D502" s="9">
        <v>14</v>
      </c>
      <c r="E502" s="13">
        <f>'MAQUINARIA Y EQUIPOS'!$F$35</f>
        <v>991.27</v>
      </c>
      <c r="F502" s="14">
        <f>D502*E502</f>
        <v>13877.779999999999</v>
      </c>
      <c r="G502" s="968"/>
    </row>
    <row r="503" spans="1:7" s="2" customFormat="1" ht="14.25" customHeight="1">
      <c r="A503" s="948" t="s">
        <v>1323</v>
      </c>
      <c r="B503" s="949"/>
      <c r="C503" s="12" t="s">
        <v>60</v>
      </c>
      <c r="D503" s="9">
        <v>3</v>
      </c>
      <c r="E503" s="13">
        <f>'MAQUINARIA Y EQUIPOS'!$F$6</f>
        <v>1142.3999999999999</v>
      </c>
      <c r="F503" s="14">
        <f>D503*E503</f>
        <v>3427.2</v>
      </c>
      <c r="G503" s="968"/>
    </row>
    <row r="504" spans="1:7" s="2" customFormat="1" ht="13.8">
      <c r="A504" s="983" t="s">
        <v>101</v>
      </c>
      <c r="B504" s="984"/>
      <c r="C504" s="12" t="s">
        <v>60</v>
      </c>
      <c r="D504" s="9">
        <v>0.08</v>
      </c>
      <c r="E504" s="13">
        <f>'MAQUINARIA Y EQUIPOS'!$F$19</f>
        <v>45763.829999999994</v>
      </c>
      <c r="F504" s="14">
        <f>D504*E504</f>
        <v>3661.1063999999997</v>
      </c>
      <c r="G504" s="969"/>
    </row>
    <row r="505" spans="1:7" s="2" customFormat="1" ht="15.75" customHeight="1">
      <c r="A505" s="948"/>
      <c r="B505" s="949"/>
      <c r="C505" s="9"/>
      <c r="D505" s="9"/>
      <c r="E505" s="13"/>
      <c r="F505" s="14"/>
      <c r="G505" s="15">
        <f>SUM(F500:F505)</f>
        <v>23707.386399999999</v>
      </c>
    </row>
    <row r="506" spans="1:7" s="2" customFormat="1" ht="13.8">
      <c r="A506" s="1006" t="s">
        <v>10</v>
      </c>
      <c r="B506" s="1007"/>
      <c r="C506" s="1007"/>
      <c r="D506" s="1007"/>
      <c r="E506" s="1007"/>
      <c r="F506" s="1007"/>
      <c r="G506" s="1008"/>
    </row>
    <row r="507" spans="1:7" s="2" customFormat="1" ht="15.75" customHeight="1">
      <c r="A507" s="974" t="s">
        <v>2</v>
      </c>
      <c r="B507" s="975"/>
      <c r="C507" s="11" t="s">
        <v>3</v>
      </c>
      <c r="D507" s="11" t="s">
        <v>4</v>
      </c>
      <c r="E507" s="11" t="s">
        <v>6</v>
      </c>
      <c r="F507" s="11" t="s">
        <v>11</v>
      </c>
      <c r="G507" s="967" t="s">
        <v>8</v>
      </c>
    </row>
    <row r="508" spans="1:7" s="2" customFormat="1" ht="15.75" customHeight="1">
      <c r="A508" s="948" t="s">
        <v>306</v>
      </c>
      <c r="B508" s="949"/>
      <c r="C508" s="12" t="s">
        <v>39</v>
      </c>
      <c r="D508" s="12">
        <v>0.2</v>
      </c>
      <c r="E508" s="13">
        <f>SUBANÁLISIS!$G$31</f>
        <v>570669.8666666667</v>
      </c>
      <c r="F508" s="14">
        <f>D508*E508</f>
        <v>114133.97333333334</v>
      </c>
      <c r="G508" s="969"/>
    </row>
    <row r="509" spans="1:7" s="2" customFormat="1" ht="15.75" customHeight="1">
      <c r="A509" s="948"/>
      <c r="B509" s="949"/>
      <c r="C509" s="12"/>
      <c r="D509" s="33"/>
      <c r="E509" s="13"/>
      <c r="F509" s="14"/>
      <c r="G509" s="15">
        <f>SUM(F507:F509)</f>
        <v>114133.97333333334</v>
      </c>
    </row>
    <row r="510" spans="1:7" s="2" customFormat="1" ht="15.75" customHeight="1">
      <c r="A510" s="1006" t="s">
        <v>15</v>
      </c>
      <c r="B510" s="1007"/>
      <c r="C510" s="1007"/>
      <c r="D510" s="1007"/>
      <c r="E510" s="1007"/>
      <c r="F510" s="1007"/>
      <c r="G510" s="1008"/>
    </row>
    <row r="511" spans="1:7" s="2" customFormat="1" ht="15.75" customHeight="1">
      <c r="A511" s="974" t="s">
        <v>2</v>
      </c>
      <c r="B511" s="975"/>
      <c r="C511" s="11" t="s">
        <v>3</v>
      </c>
      <c r="D511" s="11" t="s">
        <v>4</v>
      </c>
      <c r="E511" s="11" t="s">
        <v>6</v>
      </c>
      <c r="F511" s="11" t="s">
        <v>11</v>
      </c>
      <c r="G511" s="967" t="s">
        <v>8</v>
      </c>
    </row>
    <row r="512" spans="1:7" s="2" customFormat="1" ht="15.75" customHeight="1">
      <c r="A512" s="1019" t="s">
        <v>68</v>
      </c>
      <c r="B512" s="1020"/>
      <c r="C512" s="16" t="s">
        <v>3</v>
      </c>
      <c r="D512" s="54">
        <v>3.5000000000000003E-2</v>
      </c>
      <c r="E512" s="17">
        <f>G505</f>
        <v>23707.386399999999</v>
      </c>
      <c r="F512" s="14">
        <f>E512*D512</f>
        <v>829.75852400000008</v>
      </c>
      <c r="G512" s="968"/>
    </row>
    <row r="513" spans="1:7" s="2" customFormat="1" ht="13.8">
      <c r="A513" s="47"/>
      <c r="B513" s="38"/>
      <c r="C513" s="38"/>
      <c r="D513" s="38"/>
      <c r="E513" s="38"/>
      <c r="F513" s="38"/>
      <c r="G513" s="15">
        <f>SUM(F512:F513)</f>
        <v>829.75852400000008</v>
      </c>
    </row>
    <row r="514" spans="1:7" s="2" customFormat="1" ht="15.75" customHeight="1">
      <c r="A514" s="1006" t="s">
        <v>19</v>
      </c>
      <c r="B514" s="1007"/>
      <c r="C514" s="1007"/>
      <c r="D514" s="1007"/>
      <c r="E514" s="1007"/>
      <c r="F514" s="1007"/>
      <c r="G514" s="1008"/>
    </row>
    <row r="515" spans="1:7" s="2" customFormat="1" ht="15.75" customHeight="1">
      <c r="A515" s="974" t="s">
        <v>2</v>
      </c>
      <c r="B515" s="975"/>
      <c r="C515" s="11" t="s">
        <v>3</v>
      </c>
      <c r="D515" s="11" t="s">
        <v>4</v>
      </c>
      <c r="E515" s="11" t="s">
        <v>6</v>
      </c>
      <c r="F515" s="11" t="s">
        <v>11</v>
      </c>
      <c r="G515" s="456" t="s">
        <v>8</v>
      </c>
    </row>
    <row r="516" spans="1:7" s="2" customFormat="1" ht="15" customHeight="1">
      <c r="A516" s="978" t="str">
        <f>SALARIOS!$A$105</f>
        <v>CUADRILLA DD CONCRETOS 1:4</v>
      </c>
      <c r="B516" s="979"/>
      <c r="C516" s="13" t="s">
        <v>1245</v>
      </c>
      <c r="D516" s="32">
        <v>1</v>
      </c>
      <c r="E516" s="13">
        <f>SALARIOS!$C$105</f>
        <v>54826</v>
      </c>
      <c r="F516" s="14">
        <f>+D516*E516</f>
        <v>54826</v>
      </c>
      <c r="G516" s="15">
        <f>F516</f>
        <v>54826</v>
      </c>
    </row>
    <row r="517" spans="1:7" s="2" customFormat="1" ht="15.75" customHeight="1">
      <c r="A517" s="1009" t="s">
        <v>25</v>
      </c>
      <c r="B517" s="1010"/>
      <c r="C517" s="1010"/>
      <c r="D517" s="1010"/>
      <c r="E517" s="1010"/>
      <c r="F517" s="1010"/>
      <c r="G517" s="1011"/>
    </row>
    <row r="518" spans="1:7" s="2" customFormat="1" ht="15.75" customHeight="1">
      <c r="A518" s="1012"/>
      <c r="B518" s="1013"/>
      <c r="C518" s="1013"/>
      <c r="D518" s="1013"/>
      <c r="E518" s="1013"/>
      <c r="F518" s="1014"/>
      <c r="G518" s="20">
        <f>G516+G513+G509+G505</f>
        <v>193497.11825733332</v>
      </c>
    </row>
    <row r="519" spans="1:7" s="2" customFormat="1" ht="15.75" customHeight="1">
      <c r="A519" s="26"/>
      <c r="B519" s="27"/>
      <c r="C519" s="28"/>
      <c r="D519" s="28"/>
      <c r="E519" s="29"/>
      <c r="F519" s="28"/>
      <c r="G519" s="30"/>
    </row>
    <row r="520" spans="1:7" s="2" customFormat="1" ht="15.75" customHeight="1">
      <c r="A520" s="986" t="s">
        <v>1</v>
      </c>
      <c r="B520" s="987"/>
      <c r="C520" s="992" t="s">
        <v>0</v>
      </c>
      <c r="D520" s="993"/>
      <c r="E520" s="993"/>
      <c r="F520" s="993"/>
      <c r="G520" s="994"/>
    </row>
    <row r="521" spans="1:7" s="2" customFormat="1" ht="48" customHeight="1">
      <c r="A521" s="988"/>
      <c r="B521" s="989"/>
      <c r="C521" s="995"/>
      <c r="D521" s="996"/>
      <c r="E521" s="996"/>
      <c r="F521" s="996"/>
      <c r="G521" s="997"/>
    </row>
    <row r="522" spans="1:7" s="2" customFormat="1" ht="17.399999999999999">
      <c r="A522" s="988"/>
      <c r="B522" s="989"/>
      <c r="C522" s="998"/>
      <c r="D522" s="999"/>
      <c r="E522" s="999"/>
      <c r="F522" s="999"/>
      <c r="G522" s="1000"/>
    </row>
    <row r="523" spans="1:7" s="2" customFormat="1" ht="13.8">
      <c r="A523" s="990"/>
      <c r="B523" s="991"/>
      <c r="C523" s="1001" t="s">
        <v>2</v>
      </c>
      <c r="D523" s="1002"/>
      <c r="E523" s="1003"/>
      <c r="F523" s="23" t="s">
        <v>3</v>
      </c>
      <c r="G523" s="24" t="s">
        <v>4</v>
      </c>
    </row>
    <row r="524" spans="1:7" s="2" customFormat="1" ht="69" customHeight="1">
      <c r="A524" s="1004" t="s">
        <v>184</v>
      </c>
      <c r="B524" s="1005"/>
      <c r="C524" s="1017" t="s">
        <v>185</v>
      </c>
      <c r="D524" s="1018"/>
      <c r="E524" s="949"/>
      <c r="F524" s="9" t="s">
        <v>100</v>
      </c>
      <c r="G524" s="25">
        <v>135.27000000000001</v>
      </c>
    </row>
    <row r="525" spans="1:7" s="2" customFormat="1" ht="13.8">
      <c r="A525" s="1006" t="s">
        <v>5</v>
      </c>
      <c r="B525" s="1007"/>
      <c r="C525" s="1007"/>
      <c r="D525" s="1007"/>
      <c r="E525" s="1007"/>
      <c r="F525" s="1007"/>
      <c r="G525" s="1008"/>
    </row>
    <row r="526" spans="1:7" s="2" customFormat="1" ht="13.8">
      <c r="A526" s="974" t="s">
        <v>2</v>
      </c>
      <c r="B526" s="975"/>
      <c r="C526" s="11" t="s">
        <v>3</v>
      </c>
      <c r="D526" s="11" t="s">
        <v>4</v>
      </c>
      <c r="E526" s="11" t="s">
        <v>6</v>
      </c>
      <c r="F526" s="11" t="s">
        <v>7</v>
      </c>
      <c r="G526" s="967" t="s">
        <v>8</v>
      </c>
    </row>
    <row r="527" spans="1:7" s="2" customFormat="1" ht="13.8">
      <c r="A527" s="948" t="s">
        <v>9</v>
      </c>
      <c r="B527" s="949"/>
      <c r="C527" s="12" t="s">
        <v>3</v>
      </c>
      <c r="D527" s="9">
        <v>0.05</v>
      </c>
      <c r="E527" s="13">
        <f>G543</f>
        <v>2485.5</v>
      </c>
      <c r="F527" s="14">
        <f>D527*E527</f>
        <v>124.27500000000001</v>
      </c>
      <c r="G527" s="969"/>
    </row>
    <row r="528" spans="1:7" s="2" customFormat="1" ht="13.8">
      <c r="A528" s="948"/>
      <c r="B528" s="949"/>
      <c r="C528" s="9"/>
      <c r="D528" s="9"/>
      <c r="E528" s="13"/>
      <c r="F528" s="14"/>
      <c r="G528" s="15">
        <f>SUM(F526:F528)</f>
        <v>124.27500000000001</v>
      </c>
    </row>
    <row r="529" spans="1:7" s="2" customFormat="1" ht="15.75" customHeight="1">
      <c r="A529" s="1006" t="s">
        <v>10</v>
      </c>
      <c r="B529" s="1007"/>
      <c r="C529" s="1007"/>
      <c r="D529" s="1007"/>
      <c r="E529" s="1007"/>
      <c r="F529" s="1007"/>
      <c r="G529" s="1008"/>
    </row>
    <row r="530" spans="1:7" s="2" customFormat="1" ht="15.75" customHeight="1">
      <c r="A530" s="974" t="s">
        <v>2</v>
      </c>
      <c r="B530" s="975"/>
      <c r="C530" s="11" t="s">
        <v>3</v>
      </c>
      <c r="D530" s="11" t="s">
        <v>4</v>
      </c>
      <c r="E530" s="11" t="s">
        <v>6</v>
      </c>
      <c r="F530" s="11" t="s">
        <v>11</v>
      </c>
      <c r="G530" s="967" t="s">
        <v>8</v>
      </c>
    </row>
    <row r="531" spans="1:7" s="2" customFormat="1" ht="15.75" customHeight="1">
      <c r="A531" s="948" t="s">
        <v>186</v>
      </c>
      <c r="B531" s="949"/>
      <c r="C531" s="12" t="s">
        <v>45</v>
      </c>
      <c r="D531" s="12">
        <v>2</v>
      </c>
      <c r="E531" s="13">
        <f>'INSUMOS '!$E$10</f>
        <v>5900</v>
      </c>
      <c r="F531" s="14">
        <f>D531*E531</f>
        <v>11800</v>
      </c>
      <c r="G531" s="968"/>
    </row>
    <row r="532" spans="1:7" s="2" customFormat="1" ht="14.25" customHeight="1">
      <c r="A532" s="948" t="s">
        <v>1036</v>
      </c>
      <c r="B532" s="949"/>
      <c r="C532" s="12" t="s">
        <v>39</v>
      </c>
      <c r="D532" s="34">
        <v>1.5E-3</v>
      </c>
      <c r="E532" s="13">
        <f>SUBANÁLISIS!$G$146</f>
        <v>702267.57499999995</v>
      </c>
      <c r="F532" s="14">
        <f>D532*E532</f>
        <v>1053.4013625</v>
      </c>
      <c r="G532" s="968"/>
    </row>
    <row r="533" spans="1:7" s="2" customFormat="1" ht="15.75" customHeight="1">
      <c r="A533" s="948" t="s">
        <v>187</v>
      </c>
      <c r="B533" s="949"/>
      <c r="C533" s="12" t="s">
        <v>188</v>
      </c>
      <c r="D533" s="12">
        <v>0.08</v>
      </c>
      <c r="E533" s="13">
        <f>'INSUMOS '!$E$78</f>
        <v>13733.333333333334</v>
      </c>
      <c r="F533" s="14">
        <f>D533*E533</f>
        <v>1098.6666666666667</v>
      </c>
      <c r="G533" s="968"/>
    </row>
    <row r="534" spans="1:7" s="2" customFormat="1" ht="15.75" customHeight="1">
      <c r="A534" s="948" t="s">
        <v>189</v>
      </c>
      <c r="B534" s="949"/>
      <c r="C534" s="12" t="s">
        <v>190</v>
      </c>
      <c r="D534" s="12">
        <v>0.06</v>
      </c>
      <c r="E534" s="13">
        <f>'INSUMOS '!$E$148</f>
        <v>302900</v>
      </c>
      <c r="F534" s="14">
        <f>D534*E534</f>
        <v>18174</v>
      </c>
      <c r="G534" s="969"/>
    </row>
    <row r="535" spans="1:7" s="2" customFormat="1" ht="15.75" customHeight="1">
      <c r="A535" s="948"/>
      <c r="B535" s="949"/>
      <c r="C535" s="12"/>
      <c r="D535" s="33"/>
      <c r="E535" s="13"/>
      <c r="F535" s="14"/>
      <c r="G535" s="15">
        <f>SUM(F530:F535)</f>
        <v>32126.068029166665</v>
      </c>
    </row>
    <row r="536" spans="1:7" s="2" customFormat="1" ht="15.75" customHeight="1">
      <c r="A536" s="1006" t="s">
        <v>15</v>
      </c>
      <c r="B536" s="1007"/>
      <c r="C536" s="1007"/>
      <c r="D536" s="1007"/>
      <c r="E536" s="1007"/>
      <c r="F536" s="1007"/>
      <c r="G536" s="1008"/>
    </row>
    <row r="537" spans="1:7" s="2" customFormat="1" ht="15.75" customHeight="1">
      <c r="A537" s="974" t="s">
        <v>2</v>
      </c>
      <c r="B537" s="975"/>
      <c r="C537" s="11" t="s">
        <v>3</v>
      </c>
      <c r="D537" s="11" t="s">
        <v>4</v>
      </c>
      <c r="E537" s="11" t="s">
        <v>6</v>
      </c>
      <c r="F537" s="11" t="s">
        <v>11</v>
      </c>
      <c r="G537" s="967" t="s">
        <v>8</v>
      </c>
    </row>
    <row r="538" spans="1:7" s="2" customFormat="1" ht="15.75" customHeight="1">
      <c r="A538" s="1019" t="s">
        <v>68</v>
      </c>
      <c r="B538" s="1020"/>
      <c r="C538" s="16" t="s">
        <v>3</v>
      </c>
      <c r="D538" s="54">
        <v>3.5000000000000003E-2</v>
      </c>
      <c r="E538" s="17">
        <f>G528</f>
        <v>124.27500000000001</v>
      </c>
      <c r="F538" s="14">
        <f>E538*D538</f>
        <v>4.3496250000000005</v>
      </c>
      <c r="G538" s="968"/>
    </row>
    <row r="539" spans="1:7" s="2" customFormat="1" ht="15.75" customHeight="1">
      <c r="A539" s="1019" t="s">
        <v>191</v>
      </c>
      <c r="B539" s="1020"/>
      <c r="C539" s="16" t="s">
        <v>18</v>
      </c>
      <c r="D539" s="54">
        <v>3.5000000000000003E-2</v>
      </c>
      <c r="E539" s="17">
        <f>G535</f>
        <v>32126.068029166665</v>
      </c>
      <c r="F539" s="14">
        <f>E539*D539</f>
        <v>1124.4123810208334</v>
      </c>
      <c r="G539" s="969"/>
    </row>
    <row r="540" spans="1:7" s="2" customFormat="1" ht="15.75" customHeight="1">
      <c r="A540" s="1025"/>
      <c r="B540" s="1026"/>
      <c r="C540" s="38"/>
      <c r="D540" s="38"/>
      <c r="E540" s="38"/>
      <c r="F540" s="38"/>
      <c r="G540" s="15">
        <f>SUM(F538:F540)</f>
        <v>1128.7620060208335</v>
      </c>
    </row>
    <row r="541" spans="1:7" s="2" customFormat="1" ht="15.75" customHeight="1">
      <c r="A541" s="1006" t="s">
        <v>19</v>
      </c>
      <c r="B541" s="1007"/>
      <c r="C541" s="1007"/>
      <c r="D541" s="1007"/>
      <c r="E541" s="1007"/>
      <c r="F541" s="1007"/>
      <c r="G541" s="1008"/>
    </row>
    <row r="542" spans="1:7" s="2" customFormat="1" ht="15.75" customHeight="1">
      <c r="A542" s="974" t="s">
        <v>2</v>
      </c>
      <c r="B542" s="975"/>
      <c r="C542" s="11" t="s">
        <v>3</v>
      </c>
      <c r="D542" s="11" t="s">
        <v>4</v>
      </c>
      <c r="E542" s="11" t="s">
        <v>6</v>
      </c>
      <c r="F542" s="11" t="s">
        <v>11</v>
      </c>
      <c r="G542" s="18" t="s">
        <v>8</v>
      </c>
    </row>
    <row r="543" spans="1:7" s="2" customFormat="1" ht="15" customHeight="1">
      <c r="A543" s="978" t="str">
        <f>SALARIOS!$A$61</f>
        <v>CUADRILLA AA ALBAÑILERÍA 1:1</v>
      </c>
      <c r="B543" s="979"/>
      <c r="C543" s="13" t="s">
        <v>1245</v>
      </c>
      <c r="D543" s="32">
        <v>0.1</v>
      </c>
      <c r="E543" s="13">
        <f>SALARIOS!$C$61</f>
        <v>24855</v>
      </c>
      <c r="F543" s="14">
        <f>+D543*E543</f>
        <v>2485.5</v>
      </c>
      <c r="G543" s="15">
        <f>F543</f>
        <v>2485.5</v>
      </c>
    </row>
    <row r="544" spans="1:7" s="2" customFormat="1" ht="15.75" customHeight="1">
      <c r="A544" s="1009" t="s">
        <v>25</v>
      </c>
      <c r="B544" s="1010"/>
      <c r="C544" s="1010"/>
      <c r="D544" s="1010"/>
      <c r="E544" s="1010"/>
      <c r="F544" s="1010"/>
      <c r="G544" s="1011"/>
    </row>
    <row r="545" spans="1:7" s="2" customFormat="1" ht="15.75" customHeight="1">
      <c r="A545" s="1012"/>
      <c r="B545" s="1013"/>
      <c r="C545" s="1013"/>
      <c r="D545" s="1013"/>
      <c r="E545" s="1013"/>
      <c r="F545" s="1014"/>
      <c r="G545" s="20">
        <f>G543+G540+G535+G528</f>
        <v>35864.605035187502</v>
      </c>
    </row>
    <row r="546" spans="1:7" s="2" customFormat="1" ht="15.75" customHeight="1">
      <c r="A546" s="26"/>
      <c r="B546" s="27"/>
      <c r="C546" s="28"/>
      <c r="D546" s="28"/>
      <c r="E546" s="29"/>
      <c r="F546" s="28"/>
      <c r="G546" s="30"/>
    </row>
    <row r="547" spans="1:7" s="2" customFormat="1" ht="15.75" customHeight="1">
      <c r="A547" s="986" t="s">
        <v>1</v>
      </c>
      <c r="B547" s="987"/>
      <c r="C547" s="992" t="s">
        <v>0</v>
      </c>
      <c r="D547" s="993"/>
      <c r="E547" s="993"/>
      <c r="F547" s="993"/>
      <c r="G547" s="994"/>
    </row>
    <row r="548" spans="1:7" s="2" customFormat="1" ht="46.5" customHeight="1">
      <c r="A548" s="988"/>
      <c r="B548" s="989"/>
      <c r="C548" s="995"/>
      <c r="D548" s="996"/>
      <c r="E548" s="996"/>
      <c r="F548" s="996"/>
      <c r="G548" s="997"/>
    </row>
    <row r="549" spans="1:7" s="2" customFormat="1" ht="17.399999999999999">
      <c r="A549" s="988"/>
      <c r="B549" s="989"/>
      <c r="C549" s="998"/>
      <c r="D549" s="999"/>
      <c r="E549" s="999"/>
      <c r="F549" s="999"/>
      <c r="G549" s="1000"/>
    </row>
    <row r="550" spans="1:7" s="2" customFormat="1" ht="13.8">
      <c r="A550" s="990"/>
      <c r="B550" s="991"/>
      <c r="C550" s="1001" t="s">
        <v>2</v>
      </c>
      <c r="D550" s="1002"/>
      <c r="E550" s="1003"/>
      <c r="F550" s="23" t="s">
        <v>3</v>
      </c>
      <c r="G550" s="24" t="s">
        <v>4</v>
      </c>
    </row>
    <row r="551" spans="1:7" s="2" customFormat="1" ht="94.5" customHeight="1">
      <c r="A551" s="1004" t="s">
        <v>192</v>
      </c>
      <c r="B551" s="1005"/>
      <c r="C551" s="1017" t="s">
        <v>193</v>
      </c>
      <c r="D551" s="1018"/>
      <c r="E551" s="949"/>
      <c r="F551" s="9" t="s">
        <v>37</v>
      </c>
      <c r="G551" s="25">
        <v>56.872</v>
      </c>
    </row>
    <row r="552" spans="1:7" s="2" customFormat="1" ht="13.8">
      <c r="A552" s="1006" t="s">
        <v>5</v>
      </c>
      <c r="B552" s="1007"/>
      <c r="C552" s="1007"/>
      <c r="D552" s="1007"/>
      <c r="E552" s="1007"/>
      <c r="F552" s="1007"/>
      <c r="G552" s="1008"/>
    </row>
    <row r="553" spans="1:7" s="2" customFormat="1" ht="13.8">
      <c r="A553" s="974" t="s">
        <v>2</v>
      </c>
      <c r="B553" s="975"/>
      <c r="C553" s="11" t="s">
        <v>3</v>
      </c>
      <c r="D553" s="11" t="s">
        <v>4</v>
      </c>
      <c r="E553" s="11" t="s">
        <v>6</v>
      </c>
      <c r="F553" s="11" t="s">
        <v>7</v>
      </c>
      <c r="G553" s="967" t="s">
        <v>8</v>
      </c>
    </row>
    <row r="554" spans="1:7" s="2" customFormat="1" ht="13.8">
      <c r="A554" s="948" t="s">
        <v>9</v>
      </c>
      <c r="B554" s="949"/>
      <c r="C554" s="12" t="s">
        <v>3</v>
      </c>
      <c r="D554" s="9">
        <v>0.05</v>
      </c>
      <c r="E554" s="13">
        <f>G572</f>
        <v>21635.5</v>
      </c>
      <c r="F554" s="14">
        <f>D554*E554</f>
        <v>1081.7750000000001</v>
      </c>
      <c r="G554" s="969"/>
    </row>
    <row r="555" spans="1:7" s="2" customFormat="1" ht="13.8">
      <c r="A555" s="948" t="s">
        <v>122</v>
      </c>
      <c r="B555" s="949"/>
      <c r="C555" s="12" t="s">
        <v>58</v>
      </c>
      <c r="D555" s="9">
        <v>0.05</v>
      </c>
      <c r="E555" s="13">
        <f>'MAQUINARIA Y EQUIPOS'!$F$25</f>
        <v>14280</v>
      </c>
      <c r="F555" s="14">
        <f>D555*E555</f>
        <v>714</v>
      </c>
      <c r="G555" s="15">
        <f>SUM(F553:F555)</f>
        <v>1795.7750000000001</v>
      </c>
    </row>
    <row r="556" spans="1:7" s="2" customFormat="1" ht="15.75" customHeight="1">
      <c r="A556" s="1006" t="s">
        <v>10</v>
      </c>
      <c r="B556" s="1007"/>
      <c r="C556" s="1007"/>
      <c r="D556" s="1007"/>
      <c r="E556" s="1007"/>
      <c r="F556" s="1007"/>
      <c r="G556" s="1008"/>
    </row>
    <row r="557" spans="1:7" s="2" customFormat="1" ht="13.8">
      <c r="A557" s="974" t="s">
        <v>2</v>
      </c>
      <c r="B557" s="975"/>
      <c r="C557" s="11" t="s">
        <v>3</v>
      </c>
      <c r="D557" s="11" t="s">
        <v>4</v>
      </c>
      <c r="E557" s="11" t="s">
        <v>6</v>
      </c>
      <c r="F557" s="11" t="s">
        <v>11</v>
      </c>
      <c r="G557" s="967" t="s">
        <v>8</v>
      </c>
    </row>
    <row r="558" spans="1:7" s="2" customFormat="1" ht="15.75" customHeight="1">
      <c r="A558" s="948" t="s">
        <v>1538</v>
      </c>
      <c r="B558" s="949"/>
      <c r="C558" s="9" t="s">
        <v>34</v>
      </c>
      <c r="D558" s="9">
        <v>6</v>
      </c>
      <c r="E558" s="13">
        <f>'INSUMOS '!$E$36</f>
        <v>1716</v>
      </c>
      <c r="F558" s="14">
        <f t="shared" ref="F558:F565" si="1">D558*E558</f>
        <v>10296</v>
      </c>
      <c r="G558" s="968"/>
    </row>
    <row r="559" spans="1:7" s="2" customFormat="1" ht="15.75" customHeight="1">
      <c r="A559" s="948" t="s">
        <v>115</v>
      </c>
      <c r="B559" s="949"/>
      <c r="C559" s="12" t="s">
        <v>3</v>
      </c>
      <c r="D559" s="12">
        <v>0.03</v>
      </c>
      <c r="E559" s="13">
        <f>'INSUMOS '!$E$28</f>
        <v>51900</v>
      </c>
      <c r="F559" s="14">
        <f t="shared" si="1"/>
        <v>1557</v>
      </c>
      <c r="G559" s="968"/>
    </row>
    <row r="560" spans="1:7" s="2" customFormat="1" ht="15.75" customHeight="1">
      <c r="A560" s="948" t="s">
        <v>130</v>
      </c>
      <c r="B560" s="949"/>
      <c r="C560" s="9" t="s">
        <v>37</v>
      </c>
      <c r="D560" s="9">
        <v>1.1000000000000001</v>
      </c>
      <c r="E560" s="13">
        <f>'INSUMOS '!$E$41</f>
        <v>38300</v>
      </c>
      <c r="F560" s="14">
        <f t="shared" si="1"/>
        <v>42130</v>
      </c>
      <c r="G560" s="968"/>
    </row>
    <row r="561" spans="1:7" s="2" customFormat="1" ht="13.8">
      <c r="A561" s="948" t="s">
        <v>131</v>
      </c>
      <c r="B561" s="949"/>
      <c r="C561" s="9" t="s">
        <v>3</v>
      </c>
      <c r="D561" s="9">
        <v>12.5</v>
      </c>
      <c r="E561" s="13">
        <f>'INSUMOS '!$E$181</f>
        <v>2600</v>
      </c>
      <c r="F561" s="14">
        <f t="shared" si="1"/>
        <v>32500</v>
      </c>
      <c r="G561" s="968"/>
    </row>
    <row r="562" spans="1:7" s="2" customFormat="1" ht="15.75" customHeight="1">
      <c r="A562" s="948" t="s">
        <v>124</v>
      </c>
      <c r="B562" s="949"/>
      <c r="C562" s="9" t="s">
        <v>45</v>
      </c>
      <c r="D562" s="9">
        <v>1.26</v>
      </c>
      <c r="E562" s="13">
        <f>'INSUMOS '!$E$77</f>
        <v>3082</v>
      </c>
      <c r="F562" s="14">
        <f t="shared" si="1"/>
        <v>3883.32</v>
      </c>
      <c r="G562" s="968"/>
    </row>
    <row r="563" spans="1:7" s="2" customFormat="1" ht="15.75" customHeight="1">
      <c r="A563" s="948" t="s">
        <v>125</v>
      </c>
      <c r="B563" s="949"/>
      <c r="C563" s="12" t="s">
        <v>34</v>
      </c>
      <c r="D563" s="9">
        <v>0.65</v>
      </c>
      <c r="E563" s="13">
        <f>'INSUMOS '!$E$38</f>
        <v>6500</v>
      </c>
      <c r="F563" s="14">
        <f t="shared" si="1"/>
        <v>4225</v>
      </c>
      <c r="G563" s="968"/>
    </row>
    <row r="564" spans="1:7" s="2" customFormat="1" ht="13.8">
      <c r="A564" s="948" t="s">
        <v>77</v>
      </c>
      <c r="B564" s="949"/>
      <c r="C564" s="12" t="s">
        <v>39</v>
      </c>
      <c r="D564" s="12">
        <v>0.01</v>
      </c>
      <c r="E564" s="13">
        <f>SUBANÁLISIS!$G$89</f>
        <v>431833.82500000001</v>
      </c>
      <c r="F564" s="14">
        <f t="shared" si="1"/>
        <v>4318.3382499999998</v>
      </c>
      <c r="G564" s="969"/>
    </row>
    <row r="565" spans="1:7" s="2" customFormat="1" ht="15.75" customHeight="1">
      <c r="A565" s="948" t="s">
        <v>126</v>
      </c>
      <c r="B565" s="949"/>
      <c r="C565" s="12" t="s">
        <v>34</v>
      </c>
      <c r="D565" s="9">
        <v>0.02</v>
      </c>
      <c r="E565" s="13">
        <f>'INSUMOS '!$E$40</f>
        <v>18900</v>
      </c>
      <c r="F565" s="14">
        <f t="shared" si="1"/>
        <v>378</v>
      </c>
      <c r="G565" s="15">
        <f>SUM(F557:F565)</f>
        <v>99287.658250000008</v>
      </c>
    </row>
    <row r="566" spans="1:7" s="2" customFormat="1" ht="15.75" customHeight="1">
      <c r="A566" s="1006" t="s">
        <v>15</v>
      </c>
      <c r="B566" s="1007"/>
      <c r="C566" s="1007"/>
      <c r="D566" s="1007"/>
      <c r="E566" s="1007"/>
      <c r="F566" s="1007"/>
      <c r="G566" s="1008"/>
    </row>
    <row r="567" spans="1:7" s="2" customFormat="1" ht="15.75" customHeight="1">
      <c r="A567" s="974" t="s">
        <v>2</v>
      </c>
      <c r="B567" s="975"/>
      <c r="C567" s="11" t="s">
        <v>3</v>
      </c>
      <c r="D567" s="11" t="s">
        <v>4</v>
      </c>
      <c r="E567" s="11" t="s">
        <v>6</v>
      </c>
      <c r="F567" s="11" t="s">
        <v>11</v>
      </c>
      <c r="G567" s="967" t="s">
        <v>8</v>
      </c>
    </row>
    <row r="568" spans="1:7" s="2" customFormat="1" ht="13.8">
      <c r="A568" s="1019" t="s">
        <v>68</v>
      </c>
      <c r="B568" s="1020"/>
      <c r="C568" s="16" t="s">
        <v>3</v>
      </c>
      <c r="D568" s="54">
        <v>3.5000000000000003E-2</v>
      </c>
      <c r="E568" s="17">
        <f>G555</f>
        <v>1795.7750000000001</v>
      </c>
      <c r="F568" s="14">
        <f>E568*D568</f>
        <v>62.852125000000008</v>
      </c>
      <c r="G568" s="969"/>
    </row>
    <row r="569" spans="1:7" s="2" customFormat="1" ht="15" customHeight="1">
      <c r="A569" s="983" t="s">
        <v>17</v>
      </c>
      <c r="B569" s="984"/>
      <c r="C569" s="16" t="s">
        <v>127</v>
      </c>
      <c r="D569" s="54">
        <v>3.5000000000000003E-2</v>
      </c>
      <c r="E569" s="13">
        <f>+G565</f>
        <v>99287.658250000008</v>
      </c>
      <c r="F569" s="14">
        <f>E569*D569</f>
        <v>3475.0680387500006</v>
      </c>
      <c r="G569" s="15">
        <f>SUM(F568:F569)</f>
        <v>3537.9201637500005</v>
      </c>
    </row>
    <row r="570" spans="1:7" s="2" customFormat="1" ht="15.75" customHeight="1">
      <c r="A570" s="1006" t="s">
        <v>19</v>
      </c>
      <c r="B570" s="1007"/>
      <c r="C570" s="1007"/>
      <c r="D570" s="1007"/>
      <c r="E570" s="1007"/>
      <c r="F570" s="1007"/>
      <c r="G570" s="1008"/>
    </row>
    <row r="571" spans="1:7" s="2" customFormat="1" ht="15.75" customHeight="1">
      <c r="A571" s="974" t="s">
        <v>2</v>
      </c>
      <c r="B571" s="975"/>
      <c r="C571" s="11" t="s">
        <v>3</v>
      </c>
      <c r="D571" s="11" t="s">
        <v>4</v>
      </c>
      <c r="E571" s="11" t="s">
        <v>6</v>
      </c>
      <c r="F571" s="11" t="s">
        <v>11</v>
      </c>
      <c r="G571" s="18" t="s">
        <v>8</v>
      </c>
    </row>
    <row r="572" spans="1:7" s="2" customFormat="1" ht="15.75" customHeight="1">
      <c r="A572" s="978" t="str">
        <f>SALARIOS!$A$63</f>
        <v>CUADRILLA AA ALBAÑILERÍA 1:3</v>
      </c>
      <c r="B572" s="979"/>
      <c r="C572" s="13" t="s">
        <v>1245</v>
      </c>
      <c r="D572" s="12">
        <f>0.5</f>
        <v>0.5</v>
      </c>
      <c r="E572" s="13">
        <f>SALARIOS!$C$63</f>
        <v>43271</v>
      </c>
      <c r="F572" s="14">
        <f>+D572*E572</f>
        <v>21635.5</v>
      </c>
      <c r="G572" s="15">
        <f>F572</f>
        <v>21635.5</v>
      </c>
    </row>
    <row r="573" spans="1:7" s="2" customFormat="1" ht="15.75" customHeight="1">
      <c r="A573" s="1009" t="s">
        <v>25</v>
      </c>
      <c r="B573" s="1010"/>
      <c r="C573" s="1010"/>
      <c r="D573" s="1010"/>
      <c r="E573" s="1010"/>
      <c r="F573" s="1010"/>
      <c r="G573" s="1011"/>
    </row>
    <row r="574" spans="1:7" s="2" customFormat="1" ht="15.75" customHeight="1">
      <c r="A574" s="1012"/>
      <c r="B574" s="1013"/>
      <c r="C574" s="1013"/>
      <c r="D574" s="1013"/>
      <c r="E574" s="1013"/>
      <c r="F574" s="1014"/>
      <c r="G574" s="20">
        <f>G572+G569+G565+G555</f>
        <v>126256.85341375001</v>
      </c>
    </row>
    <row r="575" spans="1:7" s="2" customFormat="1" ht="15.75" customHeight="1">
      <c r="A575" s="26"/>
      <c r="B575" s="27"/>
      <c r="C575" s="28"/>
      <c r="D575" s="28"/>
      <c r="E575" s="29"/>
      <c r="F575" s="28"/>
      <c r="G575" s="30"/>
    </row>
    <row r="576" spans="1:7" s="2" customFormat="1" ht="15.75" customHeight="1">
      <c r="A576" s="986" t="s">
        <v>1</v>
      </c>
      <c r="B576" s="987"/>
      <c r="C576" s="992" t="s">
        <v>0</v>
      </c>
      <c r="D576" s="993"/>
      <c r="E576" s="993"/>
      <c r="F576" s="993"/>
      <c r="G576" s="994"/>
    </row>
    <row r="577" spans="1:7" s="2" customFormat="1" ht="54.75" customHeight="1">
      <c r="A577" s="988"/>
      <c r="B577" s="989"/>
      <c r="C577" s="995"/>
      <c r="D577" s="996"/>
      <c r="E577" s="996"/>
      <c r="F577" s="996"/>
      <c r="G577" s="997"/>
    </row>
    <row r="578" spans="1:7" s="2" customFormat="1" ht="17.399999999999999">
      <c r="A578" s="988"/>
      <c r="B578" s="989"/>
      <c r="C578" s="998"/>
      <c r="D578" s="999"/>
      <c r="E578" s="999"/>
      <c r="F578" s="999"/>
      <c r="G578" s="1000"/>
    </row>
    <row r="579" spans="1:7" s="2" customFormat="1" ht="13.8">
      <c r="A579" s="990"/>
      <c r="B579" s="991"/>
      <c r="C579" s="1001" t="s">
        <v>2</v>
      </c>
      <c r="D579" s="1002"/>
      <c r="E579" s="1003"/>
      <c r="F579" s="23" t="s">
        <v>3</v>
      </c>
      <c r="G579" s="24" t="s">
        <v>4</v>
      </c>
    </row>
    <row r="580" spans="1:7" s="2" customFormat="1" ht="84.75" customHeight="1">
      <c r="A580" s="1004" t="s">
        <v>194</v>
      </c>
      <c r="B580" s="1005"/>
      <c r="C580" s="1017" t="s">
        <v>121</v>
      </c>
      <c r="D580" s="1018"/>
      <c r="E580" s="949"/>
      <c r="F580" s="9" t="s">
        <v>37</v>
      </c>
      <c r="G580" s="25">
        <v>79.265999999999991</v>
      </c>
    </row>
    <row r="581" spans="1:7" s="2" customFormat="1" ht="13.8">
      <c r="A581" s="1006" t="s">
        <v>5</v>
      </c>
      <c r="B581" s="1007"/>
      <c r="C581" s="1007"/>
      <c r="D581" s="1007"/>
      <c r="E581" s="1007"/>
      <c r="F581" s="1007"/>
      <c r="G581" s="1008"/>
    </row>
    <row r="582" spans="1:7" s="2" customFormat="1" ht="13.8">
      <c r="A582" s="974" t="s">
        <v>2</v>
      </c>
      <c r="B582" s="975"/>
      <c r="C582" s="11" t="s">
        <v>3</v>
      </c>
      <c r="D582" s="11" t="s">
        <v>4</v>
      </c>
      <c r="E582" s="11" t="s">
        <v>6</v>
      </c>
      <c r="F582" s="11" t="s">
        <v>7</v>
      </c>
      <c r="G582" s="967" t="s">
        <v>8</v>
      </c>
    </row>
    <row r="583" spans="1:7" s="2" customFormat="1" ht="13.8">
      <c r="A583" s="948" t="s">
        <v>9</v>
      </c>
      <c r="B583" s="949"/>
      <c r="C583" s="12" t="s">
        <v>3</v>
      </c>
      <c r="D583" s="9">
        <v>0.05</v>
      </c>
      <c r="E583" s="13">
        <f>G599</f>
        <v>12427.5</v>
      </c>
      <c r="F583" s="14">
        <f>D583*E583</f>
        <v>621.375</v>
      </c>
      <c r="G583" s="969"/>
    </row>
    <row r="584" spans="1:7" s="2" customFormat="1" ht="13.8">
      <c r="A584" s="948" t="s">
        <v>122</v>
      </c>
      <c r="B584" s="949"/>
      <c r="C584" s="12" t="s">
        <v>58</v>
      </c>
      <c r="D584" s="9">
        <v>0.5</v>
      </c>
      <c r="E584" s="13">
        <f>'MAQUINARIA Y EQUIPOS'!$F$25</f>
        <v>14280</v>
      </c>
      <c r="F584" s="14">
        <f>D584*E584</f>
        <v>7140</v>
      </c>
      <c r="G584" s="15">
        <f>SUM(F582:F584)</f>
        <v>7761.375</v>
      </c>
    </row>
    <row r="585" spans="1:7" s="2" customFormat="1" ht="15.75" customHeight="1">
      <c r="A585" s="1006" t="s">
        <v>10</v>
      </c>
      <c r="B585" s="1007"/>
      <c r="C585" s="1007"/>
      <c r="D585" s="1007"/>
      <c r="E585" s="1007"/>
      <c r="F585" s="1007"/>
      <c r="G585" s="1008"/>
    </row>
    <row r="586" spans="1:7" s="2" customFormat="1" ht="13.8">
      <c r="A586" s="974" t="s">
        <v>2</v>
      </c>
      <c r="B586" s="975"/>
      <c r="C586" s="11" t="s">
        <v>3</v>
      </c>
      <c r="D586" s="11" t="s">
        <v>4</v>
      </c>
      <c r="E586" s="11" t="s">
        <v>6</v>
      </c>
      <c r="F586" s="11" t="s">
        <v>11</v>
      </c>
      <c r="G586" s="967" t="s">
        <v>8</v>
      </c>
    </row>
    <row r="587" spans="1:7" s="2" customFormat="1" ht="15.75" customHeight="1">
      <c r="A587" s="948" t="s">
        <v>1538</v>
      </c>
      <c r="B587" s="949"/>
      <c r="C587" s="9" t="s">
        <v>34</v>
      </c>
      <c r="D587" s="9">
        <v>6</v>
      </c>
      <c r="E587" s="13">
        <f>'INSUMOS '!$E$36</f>
        <v>1716</v>
      </c>
      <c r="F587" s="14">
        <f>D587*E587</f>
        <v>10296</v>
      </c>
      <c r="G587" s="968"/>
    </row>
    <row r="588" spans="1:7" s="2" customFormat="1" ht="15.75" customHeight="1">
      <c r="A588" s="948" t="s">
        <v>115</v>
      </c>
      <c r="B588" s="949"/>
      <c r="C588" s="12" t="s">
        <v>3</v>
      </c>
      <c r="D588" s="12">
        <v>0.03</v>
      </c>
      <c r="E588" s="13">
        <f>'INSUMOS '!$E$28</f>
        <v>51900</v>
      </c>
      <c r="F588" s="14">
        <f>D588*E588</f>
        <v>1557</v>
      </c>
      <c r="G588" s="968"/>
    </row>
    <row r="589" spans="1:7" s="2" customFormat="1" ht="15.75" customHeight="1">
      <c r="A589" s="948" t="s">
        <v>123</v>
      </c>
      <c r="B589" s="949"/>
      <c r="C589" s="9" t="s">
        <v>37</v>
      </c>
      <c r="D589" s="9">
        <v>1.1000000000000001</v>
      </c>
      <c r="E589" s="13">
        <f>'INSUMOS '!$E$3</f>
        <v>48700</v>
      </c>
      <c r="F589" s="14">
        <f>D589*E589</f>
        <v>53570.000000000007</v>
      </c>
      <c r="G589" s="968"/>
    </row>
    <row r="590" spans="1:7" s="2" customFormat="1" ht="15.75" customHeight="1">
      <c r="A590" s="948" t="s">
        <v>124</v>
      </c>
      <c r="B590" s="949"/>
      <c r="C590" s="9" t="s">
        <v>45</v>
      </c>
      <c r="D590" s="9">
        <v>1.26</v>
      </c>
      <c r="E590" s="13">
        <f>'INSUMOS '!$E$77</f>
        <v>3082</v>
      </c>
      <c r="F590" s="14">
        <f>D590*E590</f>
        <v>3883.32</v>
      </c>
      <c r="G590" s="968"/>
    </row>
    <row r="591" spans="1:7" s="2" customFormat="1" ht="15.75" customHeight="1">
      <c r="A591" s="948" t="s">
        <v>125</v>
      </c>
      <c r="B591" s="949"/>
      <c r="C591" s="12" t="s">
        <v>34</v>
      </c>
      <c r="D591" s="9">
        <v>0.65</v>
      </c>
      <c r="E591" s="13">
        <f>'INSUMOS '!$E$38</f>
        <v>6500</v>
      </c>
      <c r="F591" s="14">
        <f>D591*E591</f>
        <v>4225</v>
      </c>
      <c r="G591" s="969"/>
    </row>
    <row r="592" spans="1:7" s="2" customFormat="1" ht="15.75" customHeight="1">
      <c r="A592" s="948" t="s">
        <v>126</v>
      </c>
      <c r="B592" s="949"/>
      <c r="C592" s="12" t="s">
        <v>34</v>
      </c>
      <c r="D592" s="9">
        <v>0.02</v>
      </c>
      <c r="E592" s="13">
        <f>'INSUMOS '!$E$40</f>
        <v>18900</v>
      </c>
      <c r="F592" s="14">
        <f>E592*D592</f>
        <v>378</v>
      </c>
      <c r="G592" s="15">
        <f>SUM(F586:F592)</f>
        <v>73909.320000000007</v>
      </c>
    </row>
    <row r="593" spans="1:7" s="2" customFormat="1" ht="13.8">
      <c r="A593" s="1006" t="s">
        <v>15</v>
      </c>
      <c r="B593" s="1007"/>
      <c r="C593" s="1007"/>
      <c r="D593" s="1007"/>
      <c r="E593" s="1007"/>
      <c r="F593" s="1007"/>
      <c r="G593" s="1008"/>
    </row>
    <row r="594" spans="1:7" s="2" customFormat="1" ht="15.75" customHeight="1">
      <c r="A594" s="974" t="s">
        <v>2</v>
      </c>
      <c r="B594" s="975"/>
      <c r="C594" s="11" t="s">
        <v>3</v>
      </c>
      <c r="D594" s="11" t="s">
        <v>4</v>
      </c>
      <c r="E594" s="11" t="s">
        <v>6</v>
      </c>
      <c r="F594" s="11" t="s">
        <v>11</v>
      </c>
      <c r="G594" s="967" t="s">
        <v>8</v>
      </c>
    </row>
    <row r="595" spans="1:7" s="2" customFormat="1" ht="15.75" customHeight="1">
      <c r="A595" s="1019" t="s">
        <v>68</v>
      </c>
      <c r="B595" s="1020"/>
      <c r="C595" s="16" t="s">
        <v>3</v>
      </c>
      <c r="D595" s="54">
        <v>3.5000000000000003E-2</v>
      </c>
      <c r="E595" s="17">
        <f>G584</f>
        <v>7761.375</v>
      </c>
      <c r="F595" s="14">
        <f>E595*D595</f>
        <v>271.64812500000005</v>
      </c>
      <c r="G595" s="969"/>
    </row>
    <row r="596" spans="1:7" s="2" customFormat="1" ht="15.75" customHeight="1">
      <c r="A596" s="983" t="s">
        <v>17</v>
      </c>
      <c r="B596" s="984"/>
      <c r="C596" s="16" t="s">
        <v>127</v>
      </c>
      <c r="D596" s="54">
        <v>3.5000000000000003E-2</v>
      </c>
      <c r="E596" s="13">
        <f>+G592</f>
        <v>73909.320000000007</v>
      </c>
      <c r="F596" s="14">
        <f>E596*D596</f>
        <v>2586.8262000000004</v>
      </c>
      <c r="G596" s="15">
        <f>SUM(F595:F596)</f>
        <v>2858.4743250000006</v>
      </c>
    </row>
    <row r="597" spans="1:7" s="2" customFormat="1" ht="13.8">
      <c r="A597" s="1006" t="s">
        <v>19</v>
      </c>
      <c r="B597" s="1007"/>
      <c r="C597" s="1007"/>
      <c r="D597" s="1007"/>
      <c r="E597" s="1007"/>
      <c r="F597" s="1007"/>
      <c r="G597" s="1008"/>
    </row>
    <row r="598" spans="1:7" s="2" customFormat="1" ht="15" customHeight="1">
      <c r="A598" s="974" t="s">
        <v>2</v>
      </c>
      <c r="B598" s="975"/>
      <c r="C598" s="11" t="s">
        <v>3</v>
      </c>
      <c r="D598" s="11" t="s">
        <v>4</v>
      </c>
      <c r="E598" s="11" t="s">
        <v>6</v>
      </c>
      <c r="F598" s="11" t="s">
        <v>11</v>
      </c>
      <c r="G598" s="18" t="s">
        <v>8</v>
      </c>
    </row>
    <row r="599" spans="1:7" s="2" customFormat="1" ht="15.75" customHeight="1">
      <c r="A599" s="978" t="str">
        <f>SALARIOS!$A$61</f>
        <v>CUADRILLA AA ALBAÑILERÍA 1:1</v>
      </c>
      <c r="B599" s="979"/>
      <c r="C599" s="13" t="str">
        <f>SALARIOS!$B$61</f>
        <v>H/C</v>
      </c>
      <c r="D599" s="12">
        <v>0.5</v>
      </c>
      <c r="E599" s="13">
        <f>SALARIOS!$C$61</f>
        <v>24855</v>
      </c>
      <c r="F599" s="14">
        <f>+D599*E599</f>
        <v>12427.5</v>
      </c>
      <c r="G599" s="15">
        <f>F599</f>
        <v>12427.5</v>
      </c>
    </row>
    <row r="600" spans="1:7" s="2" customFormat="1" ht="15.75" customHeight="1">
      <c r="A600" s="1009" t="s">
        <v>25</v>
      </c>
      <c r="B600" s="1010"/>
      <c r="C600" s="1010"/>
      <c r="D600" s="1010"/>
      <c r="E600" s="1010"/>
      <c r="F600" s="1010"/>
      <c r="G600" s="1011"/>
    </row>
    <row r="601" spans="1:7" s="2" customFormat="1" ht="15.75" customHeight="1">
      <c r="A601" s="1012"/>
      <c r="B601" s="1013"/>
      <c r="C601" s="1013"/>
      <c r="D601" s="1013"/>
      <c r="E601" s="1013"/>
      <c r="F601" s="1014"/>
      <c r="G601" s="20">
        <f>G599+G596+G592+G584</f>
        <v>96956.66932500001</v>
      </c>
    </row>
    <row r="602" spans="1:7" s="2" customFormat="1" ht="15.75" customHeight="1">
      <c r="A602" s="26"/>
      <c r="B602" s="27"/>
      <c r="C602" s="28"/>
      <c r="D602" s="28"/>
      <c r="E602" s="29"/>
      <c r="F602" s="28"/>
      <c r="G602" s="30"/>
    </row>
    <row r="603" spans="1:7" s="2" customFormat="1" ht="15.75" customHeight="1">
      <c r="A603" s="986" t="s">
        <v>1</v>
      </c>
      <c r="B603" s="987"/>
      <c r="C603" s="992" t="s">
        <v>0</v>
      </c>
      <c r="D603" s="993"/>
      <c r="E603" s="993"/>
      <c r="F603" s="993"/>
      <c r="G603" s="994"/>
    </row>
    <row r="604" spans="1:7" s="2" customFormat="1" ht="52.5" customHeight="1">
      <c r="A604" s="988"/>
      <c r="B604" s="989"/>
      <c r="C604" s="995"/>
      <c r="D604" s="996"/>
      <c r="E604" s="996"/>
      <c r="F604" s="996"/>
      <c r="G604" s="997"/>
    </row>
    <row r="605" spans="1:7" s="2" customFormat="1" ht="17.399999999999999">
      <c r="A605" s="988"/>
      <c r="B605" s="989"/>
      <c r="C605" s="998"/>
      <c r="D605" s="999"/>
      <c r="E605" s="999"/>
      <c r="F605" s="999"/>
      <c r="G605" s="1000"/>
    </row>
    <row r="606" spans="1:7" s="2" customFormat="1" ht="13.8">
      <c r="A606" s="990"/>
      <c r="B606" s="991"/>
      <c r="C606" s="1001" t="s">
        <v>2</v>
      </c>
      <c r="D606" s="1002"/>
      <c r="E606" s="1003"/>
      <c r="F606" s="23" t="s">
        <v>3</v>
      </c>
      <c r="G606" s="24" t="s">
        <v>4</v>
      </c>
    </row>
    <row r="607" spans="1:7" s="2" customFormat="1" ht="69.75" customHeight="1">
      <c r="A607" s="1004" t="s">
        <v>195</v>
      </c>
      <c r="B607" s="1005"/>
      <c r="C607" s="1017" t="s">
        <v>196</v>
      </c>
      <c r="D607" s="1018"/>
      <c r="E607" s="949"/>
      <c r="F607" s="9" t="s">
        <v>37</v>
      </c>
      <c r="G607" s="25">
        <v>6.2968999999999999</v>
      </c>
    </row>
    <row r="608" spans="1:7" s="2" customFormat="1" ht="13.8">
      <c r="A608" s="1006" t="s">
        <v>5</v>
      </c>
      <c r="B608" s="1007"/>
      <c r="C608" s="1007"/>
      <c r="D608" s="1007"/>
      <c r="E608" s="1007"/>
      <c r="F608" s="1007"/>
      <c r="G608" s="1008"/>
    </row>
    <row r="609" spans="1:7" s="2" customFormat="1" ht="13.8">
      <c r="A609" s="974" t="s">
        <v>2</v>
      </c>
      <c r="B609" s="975"/>
      <c r="C609" s="11" t="s">
        <v>3</v>
      </c>
      <c r="D609" s="11" t="s">
        <v>4</v>
      </c>
      <c r="E609" s="11" t="s">
        <v>6</v>
      </c>
      <c r="F609" s="11" t="s">
        <v>7</v>
      </c>
      <c r="G609" s="967" t="s">
        <v>8</v>
      </c>
    </row>
    <row r="610" spans="1:7" s="2" customFormat="1" ht="13.8">
      <c r="A610" s="948" t="s">
        <v>9</v>
      </c>
      <c r="B610" s="949"/>
      <c r="C610" s="12" t="s">
        <v>3</v>
      </c>
      <c r="D610" s="9">
        <v>0.05</v>
      </c>
      <c r="E610" s="13">
        <f>G625</f>
        <v>37282.5</v>
      </c>
      <c r="F610" s="14">
        <f>D610*E610</f>
        <v>1864.125</v>
      </c>
      <c r="G610" s="968"/>
    </row>
    <row r="611" spans="1:7" s="2" customFormat="1" ht="15.75" customHeight="1">
      <c r="A611" s="983" t="s">
        <v>112</v>
      </c>
      <c r="B611" s="984"/>
      <c r="C611" s="12" t="s">
        <v>58</v>
      </c>
      <c r="D611" s="9">
        <v>0.02</v>
      </c>
      <c r="E611" s="13">
        <f>'MAQUINARIA Y EQUIPOS'!$F$23</f>
        <v>28203</v>
      </c>
      <c r="F611" s="14">
        <f>D611*E611</f>
        <v>564.06000000000006</v>
      </c>
      <c r="G611" s="968"/>
    </row>
    <row r="612" spans="1:7" s="2" customFormat="1" ht="14.25" customHeight="1">
      <c r="A612" s="948" t="s">
        <v>113</v>
      </c>
      <c r="B612" s="949"/>
      <c r="C612" s="12" t="s">
        <v>58</v>
      </c>
      <c r="D612" s="9">
        <v>0.3</v>
      </c>
      <c r="E612" s="13">
        <f>'MAQUINARIA Y EQUIPOS'!$F$10</f>
        <v>3272.5</v>
      </c>
      <c r="F612" s="14">
        <f>D612*E612</f>
        <v>981.75</v>
      </c>
      <c r="G612" s="969"/>
    </row>
    <row r="613" spans="1:7" s="2" customFormat="1" ht="15.75" customHeight="1">
      <c r="A613" s="948" t="s">
        <v>61</v>
      </c>
      <c r="B613" s="949"/>
      <c r="C613" s="12" t="s">
        <v>58</v>
      </c>
      <c r="D613" s="9">
        <v>0.1</v>
      </c>
      <c r="E613" s="13">
        <f>'MAQUINARIA Y EQUIPOS'!$F$18</f>
        <v>40460</v>
      </c>
      <c r="F613" s="14">
        <f>D613*E613</f>
        <v>4046</v>
      </c>
      <c r="G613" s="15">
        <f>SUM(F609:F613)</f>
        <v>7455.9349999999995</v>
      </c>
    </row>
    <row r="614" spans="1:7" s="2" customFormat="1" ht="15.75" customHeight="1">
      <c r="A614" s="1006" t="s">
        <v>10</v>
      </c>
      <c r="B614" s="1007"/>
      <c r="C614" s="1007"/>
      <c r="D614" s="1007"/>
      <c r="E614" s="1007"/>
      <c r="F614" s="1007"/>
      <c r="G614" s="1008"/>
    </row>
    <row r="615" spans="1:7" s="2" customFormat="1" ht="15.75" customHeight="1">
      <c r="A615" s="974" t="s">
        <v>2</v>
      </c>
      <c r="B615" s="975"/>
      <c r="C615" s="11" t="s">
        <v>3</v>
      </c>
      <c r="D615" s="11" t="s">
        <v>4</v>
      </c>
      <c r="E615" s="11" t="s">
        <v>6</v>
      </c>
      <c r="F615" s="11" t="s">
        <v>11</v>
      </c>
      <c r="G615" s="967" t="s">
        <v>8</v>
      </c>
    </row>
    <row r="616" spans="1:7" s="2" customFormat="1" ht="15.75" customHeight="1">
      <c r="A616" s="948" t="s">
        <v>115</v>
      </c>
      <c r="B616" s="949"/>
      <c r="C616" s="12" t="s">
        <v>3</v>
      </c>
      <c r="D616" s="12">
        <v>0.03</v>
      </c>
      <c r="E616" s="13">
        <f>'INSUMOS '!$E$28</f>
        <v>51900</v>
      </c>
      <c r="F616" s="14">
        <f>D616*E616</f>
        <v>1557</v>
      </c>
      <c r="G616" s="968"/>
    </row>
    <row r="617" spans="1:7" s="2" customFormat="1" ht="15.75" customHeight="1">
      <c r="A617" s="948" t="s">
        <v>114</v>
      </c>
      <c r="B617" s="949"/>
      <c r="C617" s="12" t="s">
        <v>39</v>
      </c>
      <c r="D617" s="12">
        <v>0.02</v>
      </c>
      <c r="E617" s="13">
        <f>SUBANÁLISIS!$G$146</f>
        <v>702267.57499999995</v>
      </c>
      <c r="F617" s="14">
        <f>D617*E617</f>
        <v>14045.351499999999</v>
      </c>
      <c r="G617" s="969"/>
    </row>
    <row r="618" spans="1:7" s="2" customFormat="1" ht="15.75" customHeight="1">
      <c r="A618" s="948" t="s">
        <v>197</v>
      </c>
      <c r="B618" s="949"/>
      <c r="C618" s="12" t="s">
        <v>3</v>
      </c>
      <c r="D618" s="33">
        <f>12.5*1.1</f>
        <v>13.750000000000002</v>
      </c>
      <c r="E618" s="13">
        <f>'INSUMOS '!$E$42</f>
        <v>1200</v>
      </c>
      <c r="F618" s="14">
        <f>E618*D618</f>
        <v>16500.000000000004</v>
      </c>
      <c r="G618" s="15">
        <f>SUM(F615:F618)</f>
        <v>32102.351500000004</v>
      </c>
    </row>
    <row r="619" spans="1:7" s="2" customFormat="1" ht="15.75" customHeight="1">
      <c r="A619" s="1006" t="s">
        <v>15</v>
      </c>
      <c r="B619" s="1007"/>
      <c r="C619" s="1007"/>
      <c r="D619" s="1007"/>
      <c r="E619" s="1007"/>
      <c r="F619" s="1007"/>
      <c r="G619" s="1008"/>
    </row>
    <row r="620" spans="1:7" s="2" customFormat="1" ht="15.75" customHeight="1">
      <c r="A620" s="974" t="s">
        <v>2</v>
      </c>
      <c r="B620" s="975"/>
      <c r="C620" s="11" t="s">
        <v>3</v>
      </c>
      <c r="D620" s="11" t="s">
        <v>4</v>
      </c>
      <c r="E620" s="11" t="s">
        <v>6</v>
      </c>
      <c r="F620" s="11" t="s">
        <v>11</v>
      </c>
      <c r="G620" s="967" t="s">
        <v>8</v>
      </c>
    </row>
    <row r="621" spans="1:7" s="2" customFormat="1" ht="15.75" customHeight="1">
      <c r="A621" s="1019" t="s">
        <v>68</v>
      </c>
      <c r="B621" s="1020"/>
      <c r="C621" s="16" t="s">
        <v>3</v>
      </c>
      <c r="D621" s="54">
        <v>3.5000000000000003E-2</v>
      </c>
      <c r="E621" s="17">
        <f>G613</f>
        <v>7455.9349999999995</v>
      </c>
      <c r="F621" s="14">
        <f>E621*D621</f>
        <v>260.95772499999998</v>
      </c>
      <c r="G621" s="969"/>
    </row>
    <row r="622" spans="1:7" s="2" customFormat="1" ht="15.75" customHeight="1">
      <c r="A622" s="1019" t="s">
        <v>17</v>
      </c>
      <c r="B622" s="1020"/>
      <c r="C622" s="16" t="s">
        <v>18</v>
      </c>
      <c r="D622" s="54">
        <v>3.5000000000000003E-2</v>
      </c>
      <c r="E622" s="17">
        <f>+G618</f>
        <v>32102.351500000004</v>
      </c>
      <c r="F622" s="14">
        <f>E622*D622</f>
        <v>1123.5823025000002</v>
      </c>
      <c r="G622" s="15">
        <f>SUM(F621:F622)</f>
        <v>1384.5400275000002</v>
      </c>
    </row>
    <row r="623" spans="1:7" s="2" customFormat="1" ht="15.75" customHeight="1">
      <c r="A623" s="1006" t="s">
        <v>19</v>
      </c>
      <c r="B623" s="1007"/>
      <c r="C623" s="1007"/>
      <c r="D623" s="1007"/>
      <c r="E623" s="1007"/>
      <c r="F623" s="1007"/>
      <c r="G623" s="1008"/>
    </row>
    <row r="624" spans="1:7" s="2" customFormat="1" ht="13.8">
      <c r="A624" s="974" t="s">
        <v>2</v>
      </c>
      <c r="B624" s="975"/>
      <c r="C624" s="11" t="s">
        <v>3</v>
      </c>
      <c r="D624" s="11" t="s">
        <v>4</v>
      </c>
      <c r="E624" s="11" t="s">
        <v>6</v>
      </c>
      <c r="F624" s="11" t="s">
        <v>7</v>
      </c>
      <c r="G624" s="456" t="s">
        <v>8</v>
      </c>
    </row>
    <row r="625" spans="1:7" s="2" customFormat="1" ht="15" customHeight="1">
      <c r="A625" s="978" t="str">
        <f>SALARIOS!$A$61</f>
        <v>CUADRILLA AA ALBAÑILERÍA 1:1</v>
      </c>
      <c r="B625" s="979"/>
      <c r="C625" s="13" t="s">
        <v>1245</v>
      </c>
      <c r="D625" s="58">
        <v>1.5</v>
      </c>
      <c r="E625" s="13">
        <f>SALARIOS!$C$61</f>
        <v>24855</v>
      </c>
      <c r="F625" s="14">
        <f>+D625*E625</f>
        <v>37282.5</v>
      </c>
      <c r="G625" s="15">
        <f>F625</f>
        <v>37282.5</v>
      </c>
    </row>
    <row r="626" spans="1:7" s="2" customFormat="1" ht="15.75" customHeight="1">
      <c r="A626" s="1009" t="s">
        <v>25</v>
      </c>
      <c r="B626" s="1010"/>
      <c r="C626" s="1010"/>
      <c r="D626" s="1010"/>
      <c r="E626" s="1010"/>
      <c r="F626" s="1010"/>
      <c r="G626" s="1011"/>
    </row>
    <row r="627" spans="1:7" s="2" customFormat="1" ht="15.75" customHeight="1">
      <c r="A627" s="1012"/>
      <c r="B627" s="1013"/>
      <c r="C627" s="1013"/>
      <c r="D627" s="1013"/>
      <c r="E627" s="1013"/>
      <c r="F627" s="1014"/>
      <c r="G627" s="20">
        <f>G625+G622+G618+G613</f>
        <v>78225.326527500001</v>
      </c>
    </row>
    <row r="628" spans="1:7" s="2" customFormat="1" ht="15.75" customHeight="1">
      <c r="A628" s="26"/>
      <c r="B628" s="27"/>
      <c r="C628" s="28"/>
      <c r="D628" s="28"/>
      <c r="E628" s="29"/>
      <c r="F628" s="28"/>
      <c r="G628" s="30"/>
    </row>
    <row r="629" spans="1:7" s="2" customFormat="1" ht="15.75" customHeight="1">
      <c r="A629" s="986" t="s">
        <v>1</v>
      </c>
      <c r="B629" s="987"/>
      <c r="C629" s="992" t="s">
        <v>0</v>
      </c>
      <c r="D629" s="993"/>
      <c r="E629" s="993"/>
      <c r="F629" s="993"/>
      <c r="G629" s="994"/>
    </row>
    <row r="630" spans="1:7" s="2" customFormat="1" ht="47.25" customHeight="1">
      <c r="A630" s="988"/>
      <c r="B630" s="989"/>
      <c r="C630" s="995"/>
      <c r="D630" s="996"/>
      <c r="E630" s="996"/>
      <c r="F630" s="996"/>
      <c r="G630" s="997"/>
    </row>
    <row r="631" spans="1:7" s="2" customFormat="1" ht="17.399999999999999">
      <c r="A631" s="988"/>
      <c r="B631" s="989"/>
      <c r="C631" s="998"/>
      <c r="D631" s="999"/>
      <c r="E631" s="999"/>
      <c r="F631" s="999"/>
      <c r="G631" s="1000"/>
    </row>
    <row r="632" spans="1:7" s="2" customFormat="1" ht="13.8">
      <c r="A632" s="990"/>
      <c r="B632" s="991"/>
      <c r="C632" s="1001" t="s">
        <v>2</v>
      </c>
      <c r="D632" s="1002"/>
      <c r="E632" s="1003"/>
      <c r="F632" s="23" t="s">
        <v>3</v>
      </c>
      <c r="G632" s="24" t="s">
        <v>4</v>
      </c>
    </row>
    <row r="633" spans="1:7" s="2" customFormat="1" ht="207" customHeight="1">
      <c r="A633" s="1004" t="s">
        <v>198</v>
      </c>
      <c r="B633" s="1005"/>
      <c r="C633" s="1017" t="s">
        <v>199</v>
      </c>
      <c r="D633" s="1018"/>
      <c r="E633" s="949"/>
      <c r="F633" s="9" t="s">
        <v>37</v>
      </c>
      <c r="G633" s="25">
        <v>6.5869999999999997</v>
      </c>
    </row>
    <row r="634" spans="1:7" s="2" customFormat="1" ht="13.8">
      <c r="A634" s="1006" t="s">
        <v>5</v>
      </c>
      <c r="B634" s="1007"/>
      <c r="C634" s="1007"/>
      <c r="D634" s="1007"/>
      <c r="E634" s="1007"/>
      <c r="F634" s="1007"/>
      <c r="G634" s="1008"/>
    </row>
    <row r="635" spans="1:7" s="2" customFormat="1" ht="13.8">
      <c r="A635" s="974" t="s">
        <v>2</v>
      </c>
      <c r="B635" s="975"/>
      <c r="C635" s="11" t="s">
        <v>3</v>
      </c>
      <c r="D635" s="11" t="s">
        <v>4</v>
      </c>
      <c r="E635" s="11" t="s">
        <v>6</v>
      </c>
      <c r="F635" s="11" t="s">
        <v>7</v>
      </c>
      <c r="G635" s="967" t="s">
        <v>8</v>
      </c>
    </row>
    <row r="636" spans="1:7" s="2" customFormat="1" ht="13.8">
      <c r="A636" s="948" t="s">
        <v>9</v>
      </c>
      <c r="B636" s="949"/>
      <c r="C636" s="12" t="s">
        <v>3</v>
      </c>
      <c r="D636" s="9">
        <v>0.05</v>
      </c>
      <c r="E636" s="13">
        <f>G651</f>
        <v>24855</v>
      </c>
      <c r="F636" s="14">
        <f>D636*E636</f>
        <v>1242.75</v>
      </c>
      <c r="G636" s="968"/>
    </row>
    <row r="637" spans="1:7" s="2" customFormat="1" ht="15.75" customHeight="1">
      <c r="A637" s="983" t="s">
        <v>112</v>
      </c>
      <c r="B637" s="984"/>
      <c r="C637" s="12" t="s">
        <v>58</v>
      </c>
      <c r="D637" s="9">
        <v>0.04</v>
      </c>
      <c r="E637" s="13">
        <f>'MAQUINARIA Y EQUIPOS'!$F$23</f>
        <v>28203</v>
      </c>
      <c r="F637" s="14">
        <f>D637*E637</f>
        <v>1128.1200000000001</v>
      </c>
      <c r="G637" s="968"/>
    </row>
    <row r="638" spans="1:7" s="2" customFormat="1" ht="14.25" customHeight="1">
      <c r="A638" s="948" t="s">
        <v>113</v>
      </c>
      <c r="B638" s="949"/>
      <c r="C638" s="12" t="s">
        <v>58</v>
      </c>
      <c r="D638" s="9">
        <v>0.3</v>
      </c>
      <c r="E638" s="13">
        <f>'MAQUINARIA Y EQUIPOS'!$F$10</f>
        <v>3272.5</v>
      </c>
      <c r="F638" s="14">
        <f>D638*E638</f>
        <v>981.75</v>
      </c>
      <c r="G638" s="969"/>
    </row>
    <row r="639" spans="1:7" s="2" customFormat="1" ht="15.75" customHeight="1">
      <c r="A639" s="948" t="s">
        <v>61</v>
      </c>
      <c r="B639" s="949"/>
      <c r="C639" s="12" t="s">
        <v>58</v>
      </c>
      <c r="D639" s="9">
        <v>0.1</v>
      </c>
      <c r="E639" s="13">
        <f>'MAQUINARIA Y EQUIPOS'!$F$18</f>
        <v>40460</v>
      </c>
      <c r="F639" s="14">
        <f>D639*E639</f>
        <v>4046</v>
      </c>
      <c r="G639" s="15">
        <f>SUM(F635:F639)</f>
        <v>7398.62</v>
      </c>
    </row>
    <row r="640" spans="1:7" s="2" customFormat="1" ht="15.75" customHeight="1">
      <c r="A640" s="1006" t="s">
        <v>10</v>
      </c>
      <c r="B640" s="1007"/>
      <c r="C640" s="1007"/>
      <c r="D640" s="1007"/>
      <c r="E640" s="1007"/>
      <c r="F640" s="1007"/>
      <c r="G640" s="1008"/>
    </row>
    <row r="641" spans="1:7" s="2" customFormat="1" ht="15.75" customHeight="1">
      <c r="A641" s="974" t="s">
        <v>2</v>
      </c>
      <c r="B641" s="975"/>
      <c r="C641" s="11" t="s">
        <v>3</v>
      </c>
      <c r="D641" s="11" t="s">
        <v>4</v>
      </c>
      <c r="E641" s="11" t="s">
        <v>6</v>
      </c>
      <c r="F641" s="11" t="s">
        <v>11</v>
      </c>
      <c r="G641" s="967" t="s">
        <v>8</v>
      </c>
    </row>
    <row r="642" spans="1:7" s="2" customFormat="1" ht="15.75" customHeight="1">
      <c r="A642" s="948" t="s">
        <v>115</v>
      </c>
      <c r="B642" s="949"/>
      <c r="C642" s="12" t="s">
        <v>3</v>
      </c>
      <c r="D642" s="12">
        <v>0.03</v>
      </c>
      <c r="E642" s="13">
        <f>'INSUMOS '!$E$28</f>
        <v>51900</v>
      </c>
      <c r="F642" s="14">
        <f>D642*E642</f>
        <v>1557</v>
      </c>
      <c r="G642" s="968"/>
    </row>
    <row r="643" spans="1:7" s="2" customFormat="1" ht="15.75" customHeight="1">
      <c r="A643" s="948" t="s">
        <v>114</v>
      </c>
      <c r="B643" s="949"/>
      <c r="C643" s="12" t="s">
        <v>39</v>
      </c>
      <c r="D643" s="12">
        <v>0.02</v>
      </c>
      <c r="E643" s="13">
        <f>SUBANÁLISIS!$G$146</f>
        <v>702267.57499999995</v>
      </c>
      <c r="F643" s="14">
        <f>D643*E643</f>
        <v>14045.351499999999</v>
      </c>
      <c r="G643" s="969"/>
    </row>
    <row r="644" spans="1:7" s="2" customFormat="1" ht="15.75" customHeight="1">
      <c r="A644" s="948" t="s">
        <v>134</v>
      </c>
      <c r="B644" s="949"/>
      <c r="C644" s="12" t="s">
        <v>3</v>
      </c>
      <c r="D644" s="33">
        <v>25</v>
      </c>
      <c r="E644" s="13">
        <f>'INSUMOS '!$E$44</f>
        <v>3253.46</v>
      </c>
      <c r="F644" s="14">
        <f>E644*D644</f>
        <v>81336.5</v>
      </c>
      <c r="G644" s="15">
        <f>SUM(F641:F644)</f>
        <v>96938.851500000004</v>
      </c>
    </row>
    <row r="645" spans="1:7" s="2" customFormat="1" ht="15.75" customHeight="1">
      <c r="A645" s="1006" t="s">
        <v>15</v>
      </c>
      <c r="B645" s="1007"/>
      <c r="C645" s="1007"/>
      <c r="D645" s="1007"/>
      <c r="E645" s="1007"/>
      <c r="F645" s="1007"/>
      <c r="G645" s="1008"/>
    </row>
    <row r="646" spans="1:7" s="2" customFormat="1" ht="13.8">
      <c r="A646" s="974" t="s">
        <v>2</v>
      </c>
      <c r="B646" s="975"/>
      <c r="C646" s="11" t="s">
        <v>3</v>
      </c>
      <c r="D646" s="11" t="s">
        <v>4</v>
      </c>
      <c r="E646" s="11" t="s">
        <v>6</v>
      </c>
      <c r="F646" s="11" t="s">
        <v>7</v>
      </c>
      <c r="G646" s="967" t="s">
        <v>8</v>
      </c>
    </row>
    <row r="647" spans="1:7" s="2" customFormat="1" ht="15.75" customHeight="1">
      <c r="A647" s="1019" t="s">
        <v>68</v>
      </c>
      <c r="B647" s="1020"/>
      <c r="C647" s="16" t="s">
        <v>3</v>
      </c>
      <c r="D647" s="54">
        <v>3.5000000000000003E-2</v>
      </c>
      <c r="E647" s="17">
        <f>G639</f>
        <v>7398.62</v>
      </c>
      <c r="F647" s="14">
        <f>E647*D647</f>
        <v>258.95170000000002</v>
      </c>
      <c r="G647" s="969"/>
    </row>
    <row r="648" spans="1:7" s="2" customFormat="1" ht="15.75" customHeight="1">
      <c r="A648" s="1019" t="s">
        <v>17</v>
      </c>
      <c r="B648" s="1020"/>
      <c r="C648" s="16" t="s">
        <v>18</v>
      </c>
      <c r="D648" s="54">
        <v>3.5000000000000003E-2</v>
      </c>
      <c r="E648" s="17">
        <f>+G644</f>
        <v>96938.851500000004</v>
      </c>
      <c r="F648" s="14">
        <f>E648*D648</f>
        <v>3392.8598025000006</v>
      </c>
      <c r="G648" s="15">
        <f>SUM(F647:F648)</f>
        <v>3651.8115025000006</v>
      </c>
    </row>
    <row r="649" spans="1:7" s="2" customFormat="1" ht="15.75" customHeight="1">
      <c r="A649" s="1006" t="s">
        <v>19</v>
      </c>
      <c r="B649" s="1007"/>
      <c r="C649" s="1007"/>
      <c r="D649" s="1007"/>
      <c r="E649" s="1007"/>
      <c r="F649" s="1007"/>
      <c r="G649" s="1008"/>
    </row>
    <row r="650" spans="1:7" s="2" customFormat="1" ht="13.8">
      <c r="A650" s="974" t="s">
        <v>2</v>
      </c>
      <c r="B650" s="975"/>
      <c r="C650" s="11" t="s">
        <v>3</v>
      </c>
      <c r="D650" s="11" t="s">
        <v>4</v>
      </c>
      <c r="E650" s="11" t="s">
        <v>6</v>
      </c>
      <c r="F650" s="11" t="s">
        <v>7</v>
      </c>
      <c r="G650" s="18" t="s">
        <v>8</v>
      </c>
    </row>
    <row r="651" spans="1:7" s="2" customFormat="1" ht="15" customHeight="1">
      <c r="A651" s="978" t="str">
        <f>SALARIOS!$A$61</f>
        <v>CUADRILLA AA ALBAÑILERÍA 1:1</v>
      </c>
      <c r="B651" s="979"/>
      <c r="C651" s="13" t="s">
        <v>1245</v>
      </c>
      <c r="D651" s="32">
        <v>1</v>
      </c>
      <c r="E651" s="13">
        <f>SALARIOS!$C$61</f>
        <v>24855</v>
      </c>
      <c r="F651" s="14">
        <f>+D651*E651</f>
        <v>24855</v>
      </c>
      <c r="G651" s="15">
        <f>F651</f>
        <v>24855</v>
      </c>
    </row>
    <row r="652" spans="1:7" s="2" customFormat="1" ht="15.75" customHeight="1">
      <c r="A652" s="1009" t="s">
        <v>25</v>
      </c>
      <c r="B652" s="1010"/>
      <c r="C652" s="1010"/>
      <c r="D652" s="1010"/>
      <c r="E652" s="1010"/>
      <c r="F652" s="1010"/>
      <c r="G652" s="1011"/>
    </row>
    <row r="653" spans="1:7" s="2" customFormat="1" ht="15.75" customHeight="1">
      <c r="A653" s="1012"/>
      <c r="B653" s="1013"/>
      <c r="C653" s="1013"/>
      <c r="D653" s="1013"/>
      <c r="E653" s="1013"/>
      <c r="F653" s="1014"/>
      <c r="G653" s="20">
        <f>G651+G648+G644+G639</f>
        <v>132844.28300250001</v>
      </c>
    </row>
    <row r="654" spans="1:7" s="2" customFormat="1" ht="15.75" customHeight="1">
      <c r="A654" s="26"/>
      <c r="B654" s="27"/>
      <c r="C654" s="28"/>
      <c r="D654" s="28"/>
      <c r="E654" s="29"/>
      <c r="F654" s="28"/>
      <c r="G654" s="30"/>
    </row>
    <row r="655" spans="1:7" s="2" customFormat="1" ht="15.75" customHeight="1">
      <c r="A655" s="986" t="s">
        <v>1</v>
      </c>
      <c r="B655" s="987"/>
      <c r="C655" s="992" t="s">
        <v>0</v>
      </c>
      <c r="D655" s="993"/>
      <c r="E655" s="993"/>
      <c r="F655" s="993"/>
      <c r="G655" s="994"/>
    </row>
    <row r="656" spans="1:7" s="2" customFormat="1" ht="54" customHeight="1">
      <c r="A656" s="988"/>
      <c r="B656" s="989"/>
      <c r="C656" s="995"/>
      <c r="D656" s="996"/>
      <c r="E656" s="996"/>
      <c r="F656" s="996"/>
      <c r="G656" s="997"/>
    </row>
    <row r="657" spans="1:7" s="2" customFormat="1" ht="15.75" customHeight="1">
      <c r="A657" s="988"/>
      <c r="B657" s="989"/>
      <c r="C657" s="998"/>
      <c r="D657" s="999"/>
      <c r="E657" s="999"/>
      <c r="F657" s="999"/>
      <c r="G657" s="1000"/>
    </row>
    <row r="658" spans="1:7" s="2" customFormat="1" ht="13.8">
      <c r="A658" s="990"/>
      <c r="B658" s="991"/>
      <c r="C658" s="1001" t="s">
        <v>2</v>
      </c>
      <c r="D658" s="1002"/>
      <c r="E658" s="1003"/>
      <c r="F658" s="23" t="s">
        <v>3</v>
      </c>
      <c r="G658" s="24" t="s">
        <v>4</v>
      </c>
    </row>
    <row r="659" spans="1:7" s="2" customFormat="1" ht="208.5" customHeight="1">
      <c r="A659" s="1004" t="s">
        <v>200</v>
      </c>
      <c r="B659" s="1005"/>
      <c r="C659" s="1017" t="s">
        <v>201</v>
      </c>
      <c r="D659" s="1018"/>
      <c r="E659" s="949"/>
      <c r="F659" s="9" t="s">
        <v>37</v>
      </c>
      <c r="G659" s="25">
        <v>175.34300000000005</v>
      </c>
    </row>
    <row r="660" spans="1:7" s="2" customFormat="1" ht="13.8">
      <c r="A660" s="1006" t="s">
        <v>5</v>
      </c>
      <c r="B660" s="1007"/>
      <c r="C660" s="1007"/>
      <c r="D660" s="1007"/>
      <c r="E660" s="1007"/>
      <c r="F660" s="1007"/>
      <c r="G660" s="1008"/>
    </row>
    <row r="661" spans="1:7" s="2" customFormat="1" ht="13.8">
      <c r="A661" s="974" t="s">
        <v>2</v>
      </c>
      <c r="B661" s="975"/>
      <c r="C661" s="11" t="s">
        <v>3</v>
      </c>
      <c r="D661" s="11" t="s">
        <v>4</v>
      </c>
      <c r="E661" s="11" t="s">
        <v>6</v>
      </c>
      <c r="F661" s="11" t="s">
        <v>7</v>
      </c>
      <c r="G661" s="967" t="s">
        <v>8</v>
      </c>
    </row>
    <row r="662" spans="1:7" s="2" customFormat="1" ht="13.8">
      <c r="A662" s="948" t="s">
        <v>9</v>
      </c>
      <c r="B662" s="949"/>
      <c r="C662" s="12" t="s">
        <v>3</v>
      </c>
      <c r="D662" s="9">
        <v>0.05</v>
      </c>
      <c r="E662" s="13">
        <f>G677</f>
        <v>24855</v>
      </c>
      <c r="F662" s="14">
        <f>D662*E662</f>
        <v>1242.75</v>
      </c>
      <c r="G662" s="968"/>
    </row>
    <row r="663" spans="1:7" s="2" customFormat="1" ht="13.8">
      <c r="A663" s="983" t="s">
        <v>112</v>
      </c>
      <c r="B663" s="984"/>
      <c r="C663" s="12" t="s">
        <v>58</v>
      </c>
      <c r="D663" s="9">
        <v>0.04</v>
      </c>
      <c r="E663" s="13">
        <f>'MAQUINARIA Y EQUIPOS'!F23</f>
        <v>28203</v>
      </c>
      <c r="F663" s="14">
        <f>D663*E663</f>
        <v>1128.1200000000001</v>
      </c>
      <c r="G663" s="968"/>
    </row>
    <row r="664" spans="1:7" s="2" customFormat="1" ht="15.75" customHeight="1">
      <c r="A664" s="948" t="s">
        <v>113</v>
      </c>
      <c r="B664" s="949"/>
      <c r="C664" s="12" t="s">
        <v>58</v>
      </c>
      <c r="D664" s="9">
        <v>0.3</v>
      </c>
      <c r="E664" s="13">
        <f>'MAQUINARIA Y EQUIPOS'!F10</f>
        <v>3272.5</v>
      </c>
      <c r="F664" s="14">
        <f>D664*E664</f>
        <v>981.75</v>
      </c>
      <c r="G664" s="969"/>
    </row>
    <row r="665" spans="1:7" s="2" customFormat="1" ht="14.25" customHeight="1">
      <c r="A665" s="948" t="s">
        <v>61</v>
      </c>
      <c r="B665" s="949"/>
      <c r="C665" s="12" t="s">
        <v>58</v>
      </c>
      <c r="D665" s="9">
        <v>0.1</v>
      </c>
      <c r="E665" s="13">
        <f>'MAQUINARIA Y EQUIPOS'!F18</f>
        <v>40460</v>
      </c>
      <c r="F665" s="14">
        <f>D665*E665</f>
        <v>4046</v>
      </c>
      <c r="G665" s="15">
        <f>SUM(F661:F665)</f>
        <v>7398.62</v>
      </c>
    </row>
    <row r="666" spans="1:7" s="2" customFormat="1" ht="13.8">
      <c r="A666" s="1006" t="s">
        <v>10</v>
      </c>
      <c r="B666" s="1007"/>
      <c r="C666" s="1007"/>
      <c r="D666" s="1007"/>
      <c r="E666" s="1007"/>
      <c r="F666" s="1007"/>
      <c r="G666" s="1008"/>
    </row>
    <row r="667" spans="1:7" s="2" customFormat="1" ht="15.75" customHeight="1">
      <c r="A667" s="974" t="s">
        <v>2</v>
      </c>
      <c r="B667" s="975"/>
      <c r="C667" s="11" t="s">
        <v>3</v>
      </c>
      <c r="D667" s="11" t="s">
        <v>4</v>
      </c>
      <c r="E667" s="11" t="s">
        <v>6</v>
      </c>
      <c r="F667" s="11" t="s">
        <v>11</v>
      </c>
      <c r="G667" s="967" t="s">
        <v>8</v>
      </c>
    </row>
    <row r="668" spans="1:7" s="2" customFormat="1" ht="15.75" customHeight="1">
      <c r="A668" s="948" t="s">
        <v>115</v>
      </c>
      <c r="B668" s="949"/>
      <c r="C668" s="12" t="s">
        <v>3</v>
      </c>
      <c r="D668" s="12">
        <v>0.03</v>
      </c>
      <c r="E668" s="13">
        <f>'INSUMOS '!E28</f>
        <v>51900</v>
      </c>
      <c r="F668" s="14">
        <f>D668*E668</f>
        <v>1557</v>
      </c>
      <c r="G668" s="968"/>
    </row>
    <row r="669" spans="1:7" s="2" customFormat="1" ht="15.75" customHeight="1">
      <c r="A669" s="948" t="s">
        <v>114</v>
      </c>
      <c r="B669" s="949"/>
      <c r="C669" s="12" t="s">
        <v>39</v>
      </c>
      <c r="D669" s="12">
        <v>0.02</v>
      </c>
      <c r="E669" s="13">
        <f>SUBANÁLISIS!G146</f>
        <v>702267.57499999995</v>
      </c>
      <c r="F669" s="14">
        <f>D669*E669</f>
        <v>14045.351499999999</v>
      </c>
      <c r="G669" s="969"/>
    </row>
    <row r="670" spans="1:7" s="2" customFormat="1" ht="15.75" customHeight="1">
      <c r="A670" s="948" t="s">
        <v>137</v>
      </c>
      <c r="B670" s="949"/>
      <c r="C670" s="12" t="s">
        <v>3</v>
      </c>
      <c r="D670" s="33">
        <v>25</v>
      </c>
      <c r="E670" s="13">
        <f>'INSUMOS '!E45</f>
        <v>3253.46</v>
      </c>
      <c r="F670" s="14">
        <f>E670*D670</f>
        <v>81336.5</v>
      </c>
      <c r="G670" s="15">
        <f>SUM(F667:F670)</f>
        <v>96938.851500000004</v>
      </c>
    </row>
    <row r="671" spans="1:7" s="2" customFormat="1" ht="18" customHeight="1">
      <c r="A671" s="1006" t="s">
        <v>15</v>
      </c>
      <c r="B671" s="1007"/>
      <c r="C671" s="1007"/>
      <c r="D671" s="1007"/>
      <c r="E671" s="1007"/>
      <c r="F671" s="1007"/>
      <c r="G671" s="1008"/>
    </row>
    <row r="672" spans="1:7" s="2" customFormat="1" ht="15.75" customHeight="1">
      <c r="A672" s="974" t="s">
        <v>2</v>
      </c>
      <c r="B672" s="975"/>
      <c r="C672" s="11" t="s">
        <v>3</v>
      </c>
      <c r="D672" s="11" t="s">
        <v>4</v>
      </c>
      <c r="E672" s="11" t="s">
        <v>6</v>
      </c>
      <c r="F672" s="11" t="s">
        <v>11</v>
      </c>
      <c r="G672" s="967" t="s">
        <v>8</v>
      </c>
    </row>
    <row r="673" spans="1:7" s="2" customFormat="1" ht="13.8">
      <c r="A673" s="1019" t="s">
        <v>68</v>
      </c>
      <c r="B673" s="1020"/>
      <c r="C673" s="16" t="s">
        <v>3</v>
      </c>
      <c r="D673" s="54">
        <v>3.5000000000000003E-2</v>
      </c>
      <c r="E673" s="17">
        <f>G665</f>
        <v>7398.62</v>
      </c>
      <c r="F673" s="14">
        <f>E673*D673</f>
        <v>258.95170000000002</v>
      </c>
      <c r="G673" s="969"/>
    </row>
    <row r="674" spans="1:7" s="2" customFormat="1" ht="15.75" customHeight="1">
      <c r="A674" s="1019" t="s">
        <v>17</v>
      </c>
      <c r="B674" s="1020"/>
      <c r="C674" s="16" t="s">
        <v>18</v>
      </c>
      <c r="D674" s="54">
        <v>3.5000000000000003E-2</v>
      </c>
      <c r="E674" s="17">
        <f>+G670</f>
        <v>96938.851500000004</v>
      </c>
      <c r="F674" s="14">
        <f>E674*D674</f>
        <v>3392.8598025000006</v>
      </c>
      <c r="G674" s="15">
        <f>SUM(F673:F674)</f>
        <v>3651.8115025000006</v>
      </c>
    </row>
    <row r="675" spans="1:7" s="2" customFormat="1" ht="15.75" customHeight="1">
      <c r="A675" s="1006" t="s">
        <v>19</v>
      </c>
      <c r="B675" s="1007"/>
      <c r="C675" s="1007"/>
      <c r="D675" s="1007"/>
      <c r="E675" s="1007"/>
      <c r="F675" s="1007"/>
      <c r="G675" s="1008"/>
    </row>
    <row r="676" spans="1:7" s="2" customFormat="1" ht="15.75" customHeight="1">
      <c r="A676" s="974" t="s">
        <v>2</v>
      </c>
      <c r="B676" s="975"/>
      <c r="C676" s="11" t="s">
        <v>3</v>
      </c>
      <c r="D676" s="11" t="s">
        <v>4</v>
      </c>
      <c r="E676" s="11" t="s">
        <v>6</v>
      </c>
      <c r="F676" s="11" t="s">
        <v>11</v>
      </c>
      <c r="G676" s="18" t="s">
        <v>8</v>
      </c>
    </row>
    <row r="677" spans="1:7" s="2" customFormat="1" ht="15" customHeight="1">
      <c r="A677" s="978" t="str">
        <f>SALARIOS!$A$61</f>
        <v>CUADRILLA AA ALBAÑILERÍA 1:1</v>
      </c>
      <c r="B677" s="979"/>
      <c r="C677" s="13" t="s">
        <v>1245</v>
      </c>
      <c r="D677" s="32">
        <v>1</v>
      </c>
      <c r="E677" s="13">
        <f>SALARIOS!$C$61</f>
        <v>24855</v>
      </c>
      <c r="F677" s="14">
        <f>+D677*E677</f>
        <v>24855</v>
      </c>
      <c r="G677" s="15">
        <f>F677</f>
        <v>24855</v>
      </c>
    </row>
    <row r="678" spans="1:7" s="2" customFormat="1" ht="13.8">
      <c r="A678" s="1009" t="s">
        <v>25</v>
      </c>
      <c r="B678" s="1010"/>
      <c r="C678" s="1010"/>
      <c r="D678" s="1010"/>
      <c r="E678" s="1010"/>
      <c r="F678" s="1010"/>
      <c r="G678" s="1011"/>
    </row>
    <row r="679" spans="1:7" s="2" customFormat="1" ht="15.75" customHeight="1">
      <c r="A679" s="1012"/>
      <c r="B679" s="1013"/>
      <c r="C679" s="1013"/>
      <c r="D679" s="1013"/>
      <c r="E679" s="1013"/>
      <c r="F679" s="1014"/>
      <c r="G679" s="20">
        <f>G677+G674+G670+G665</f>
        <v>132844.28300250001</v>
      </c>
    </row>
    <row r="680" spans="1:7" s="2" customFormat="1" ht="15.75" customHeight="1">
      <c r="A680" s="26"/>
      <c r="B680" s="27"/>
      <c r="C680" s="28"/>
      <c r="D680" s="28"/>
      <c r="E680" s="29"/>
      <c r="F680" s="28"/>
      <c r="G680" s="30"/>
    </row>
    <row r="681" spans="1:7" s="2" customFormat="1" ht="15.75" customHeight="1">
      <c r="A681" s="986" t="s">
        <v>1</v>
      </c>
      <c r="B681" s="987"/>
      <c r="C681" s="992" t="s">
        <v>0</v>
      </c>
      <c r="D681" s="993"/>
      <c r="E681" s="993"/>
      <c r="F681" s="993"/>
      <c r="G681" s="994"/>
    </row>
    <row r="682" spans="1:7" s="2" customFormat="1" ht="51" customHeight="1">
      <c r="A682" s="988"/>
      <c r="B682" s="989"/>
      <c r="C682" s="995"/>
      <c r="D682" s="996"/>
      <c r="E682" s="996"/>
      <c r="F682" s="996"/>
      <c r="G682" s="997"/>
    </row>
    <row r="683" spans="1:7" s="2" customFormat="1" ht="15.75" customHeight="1">
      <c r="A683" s="988"/>
      <c r="B683" s="989"/>
      <c r="C683" s="998"/>
      <c r="D683" s="999"/>
      <c r="E683" s="999"/>
      <c r="F683" s="999"/>
      <c r="G683" s="1000"/>
    </row>
    <row r="684" spans="1:7" s="2" customFormat="1" ht="13.8">
      <c r="A684" s="990"/>
      <c r="B684" s="991"/>
      <c r="C684" s="1001" t="s">
        <v>2</v>
      </c>
      <c r="D684" s="1002"/>
      <c r="E684" s="1003"/>
      <c r="F684" s="23" t="s">
        <v>3</v>
      </c>
      <c r="G684" s="24" t="s">
        <v>4</v>
      </c>
    </row>
    <row r="685" spans="1:7" s="2" customFormat="1" ht="201.75" customHeight="1">
      <c r="A685" s="1004" t="s">
        <v>202</v>
      </c>
      <c r="B685" s="1005"/>
      <c r="C685" s="1017" t="s">
        <v>139</v>
      </c>
      <c r="D685" s="1018"/>
      <c r="E685" s="949"/>
      <c r="F685" s="9" t="s">
        <v>37</v>
      </c>
      <c r="G685" s="25">
        <v>148.87230000000005</v>
      </c>
    </row>
    <row r="686" spans="1:7" s="2" customFormat="1" ht="13.8">
      <c r="A686" s="1006" t="s">
        <v>5</v>
      </c>
      <c r="B686" s="1007"/>
      <c r="C686" s="1007"/>
      <c r="D686" s="1007"/>
      <c r="E686" s="1007"/>
      <c r="F686" s="1007"/>
      <c r="G686" s="1008"/>
    </row>
    <row r="687" spans="1:7" s="2" customFormat="1" ht="13.8">
      <c r="A687" s="974" t="s">
        <v>2</v>
      </c>
      <c r="B687" s="975"/>
      <c r="C687" s="11" t="s">
        <v>3</v>
      </c>
      <c r="D687" s="11" t="s">
        <v>4</v>
      </c>
      <c r="E687" s="11" t="s">
        <v>6</v>
      </c>
      <c r="F687" s="11" t="s">
        <v>7</v>
      </c>
      <c r="G687" s="967" t="s">
        <v>8</v>
      </c>
    </row>
    <row r="688" spans="1:7" s="2" customFormat="1" ht="13.8">
      <c r="A688" s="948" t="s">
        <v>9</v>
      </c>
      <c r="B688" s="949"/>
      <c r="C688" s="12" t="s">
        <v>3</v>
      </c>
      <c r="D688" s="9">
        <v>0.05</v>
      </c>
      <c r="E688" s="13">
        <f>G703</f>
        <v>43271</v>
      </c>
      <c r="F688" s="14">
        <f>D688*E688</f>
        <v>2163.5500000000002</v>
      </c>
      <c r="G688" s="968"/>
    </row>
    <row r="689" spans="1:7" s="2" customFormat="1" ht="13.8">
      <c r="A689" s="983" t="s">
        <v>112</v>
      </c>
      <c r="B689" s="984"/>
      <c r="C689" s="12" t="s">
        <v>58</v>
      </c>
      <c r="D689" s="9">
        <v>0.04</v>
      </c>
      <c r="E689" s="13">
        <f>'MAQUINARIA Y EQUIPOS'!$F$23</f>
        <v>28203</v>
      </c>
      <c r="F689" s="14">
        <f>D689*E689</f>
        <v>1128.1200000000001</v>
      </c>
      <c r="G689" s="968"/>
    </row>
    <row r="690" spans="1:7" s="2" customFormat="1" ht="15.75" customHeight="1">
      <c r="A690" s="948" t="s">
        <v>113</v>
      </c>
      <c r="B690" s="949"/>
      <c r="C690" s="12" t="s">
        <v>58</v>
      </c>
      <c r="D690" s="9">
        <v>0.3</v>
      </c>
      <c r="E690" s="13">
        <f>'MAQUINARIA Y EQUIPOS'!$F$10</f>
        <v>3272.5</v>
      </c>
      <c r="F690" s="14">
        <f>D690*E690</f>
        <v>981.75</v>
      </c>
      <c r="G690" s="969"/>
    </row>
    <row r="691" spans="1:7" s="2" customFormat="1" ht="15.75" customHeight="1">
      <c r="A691" s="948" t="s">
        <v>61</v>
      </c>
      <c r="B691" s="949"/>
      <c r="C691" s="12" t="s">
        <v>58</v>
      </c>
      <c r="D691" s="9">
        <v>0.1</v>
      </c>
      <c r="E691" s="13">
        <f>'MAQUINARIA Y EQUIPOS'!$F$18</f>
        <v>40460</v>
      </c>
      <c r="F691" s="14">
        <f>D691*E691</f>
        <v>4046</v>
      </c>
      <c r="G691" s="15">
        <f>SUM(F687:F691)</f>
        <v>8319.42</v>
      </c>
    </row>
    <row r="692" spans="1:7" s="2" customFormat="1" ht="15.75" customHeight="1">
      <c r="A692" s="1006" t="s">
        <v>10</v>
      </c>
      <c r="B692" s="1007"/>
      <c r="C692" s="1007"/>
      <c r="D692" s="1007"/>
      <c r="E692" s="1007"/>
      <c r="F692" s="1007"/>
      <c r="G692" s="1008"/>
    </row>
    <row r="693" spans="1:7" s="2" customFormat="1" ht="15.75" customHeight="1">
      <c r="A693" s="974" t="s">
        <v>2</v>
      </c>
      <c r="B693" s="975"/>
      <c r="C693" s="11" t="s">
        <v>3</v>
      </c>
      <c r="D693" s="11" t="s">
        <v>4</v>
      </c>
      <c r="E693" s="11" t="s">
        <v>6</v>
      </c>
      <c r="F693" s="11" t="s">
        <v>11</v>
      </c>
      <c r="G693" s="967" t="s">
        <v>8</v>
      </c>
    </row>
    <row r="694" spans="1:7" s="2" customFormat="1" ht="15.75" customHeight="1">
      <c r="A694" s="948" t="s">
        <v>115</v>
      </c>
      <c r="B694" s="949"/>
      <c r="C694" s="12" t="s">
        <v>3</v>
      </c>
      <c r="D694" s="12">
        <v>0.03</v>
      </c>
      <c r="E694" s="13">
        <f>'INSUMOS '!$E$28</f>
        <v>51900</v>
      </c>
      <c r="F694" s="14">
        <f>D694*E694</f>
        <v>1557</v>
      </c>
      <c r="G694" s="968"/>
    </row>
    <row r="695" spans="1:7" s="2" customFormat="1" ht="13.8">
      <c r="A695" s="948" t="s">
        <v>114</v>
      </c>
      <c r="B695" s="949"/>
      <c r="C695" s="12" t="s">
        <v>39</v>
      </c>
      <c r="D695" s="12">
        <v>0.03</v>
      </c>
      <c r="E695" s="13">
        <f>SUBANÁLISIS!$G$89</f>
        <v>431833.82500000001</v>
      </c>
      <c r="F695" s="14">
        <f>D695*E695</f>
        <v>12955.01475</v>
      </c>
      <c r="G695" s="969"/>
    </row>
    <row r="696" spans="1:7" s="2" customFormat="1" ht="15.75" customHeight="1">
      <c r="A696" s="948" t="s">
        <v>140</v>
      </c>
      <c r="B696" s="949"/>
      <c r="C696" s="12" t="s">
        <v>3</v>
      </c>
      <c r="D696" s="33">
        <v>12.5</v>
      </c>
      <c r="E696" s="13">
        <f>'INSUMOS '!$E$50</f>
        <v>4150</v>
      </c>
      <c r="F696" s="14">
        <f>E696*D696</f>
        <v>51875</v>
      </c>
      <c r="G696" s="15">
        <f>SUM(F693:F696)</f>
        <v>66387.014750000002</v>
      </c>
    </row>
    <row r="697" spans="1:7" s="2" customFormat="1" ht="15.75" customHeight="1">
      <c r="A697" s="1006" t="s">
        <v>15</v>
      </c>
      <c r="B697" s="1007"/>
      <c r="C697" s="1007"/>
      <c r="D697" s="1007"/>
      <c r="E697" s="1007"/>
      <c r="F697" s="1007"/>
      <c r="G697" s="1008"/>
    </row>
    <row r="698" spans="1:7" s="2" customFormat="1" ht="15.75" customHeight="1">
      <c r="A698" s="974" t="s">
        <v>2</v>
      </c>
      <c r="B698" s="975"/>
      <c r="C698" s="11" t="s">
        <v>3</v>
      </c>
      <c r="D698" s="11" t="s">
        <v>4</v>
      </c>
      <c r="E698" s="11" t="s">
        <v>6</v>
      </c>
      <c r="F698" s="11" t="s">
        <v>11</v>
      </c>
      <c r="G698" s="967" t="s">
        <v>8</v>
      </c>
    </row>
    <row r="699" spans="1:7" s="2" customFormat="1" ht="13.8">
      <c r="A699" s="1019" t="s">
        <v>68</v>
      </c>
      <c r="B699" s="1020"/>
      <c r="C699" s="16" t="s">
        <v>3</v>
      </c>
      <c r="D699" s="54">
        <v>3.5000000000000003E-2</v>
      </c>
      <c r="E699" s="17">
        <f>G691</f>
        <v>8319.42</v>
      </c>
      <c r="F699" s="14">
        <f>E699*D699</f>
        <v>291.17970000000003</v>
      </c>
      <c r="G699" s="969"/>
    </row>
    <row r="700" spans="1:7" s="2" customFormat="1" ht="13.8">
      <c r="A700" s="983" t="s">
        <v>17</v>
      </c>
      <c r="B700" s="984"/>
      <c r="C700" s="16" t="s">
        <v>18</v>
      </c>
      <c r="D700" s="54">
        <v>3.5000000000000003E-2</v>
      </c>
      <c r="E700" s="17">
        <f>+G696</f>
        <v>66387.014750000002</v>
      </c>
      <c r="F700" s="14">
        <f>E700*D700</f>
        <v>2323.5455162500002</v>
      </c>
      <c r="G700" s="15">
        <f>SUM(F699:F700)</f>
        <v>2614.7252162500004</v>
      </c>
    </row>
    <row r="701" spans="1:7" s="2" customFormat="1" ht="15.75" customHeight="1">
      <c r="A701" s="1006" t="s">
        <v>19</v>
      </c>
      <c r="B701" s="1007"/>
      <c r="C701" s="1007"/>
      <c r="D701" s="1007"/>
      <c r="E701" s="1007"/>
      <c r="F701" s="1007"/>
      <c r="G701" s="1008"/>
    </row>
    <row r="702" spans="1:7" s="2" customFormat="1" ht="15.75" customHeight="1">
      <c r="A702" s="974" t="s">
        <v>2</v>
      </c>
      <c r="B702" s="975"/>
      <c r="C702" s="11" t="s">
        <v>3</v>
      </c>
      <c r="D702" s="11" t="s">
        <v>4</v>
      </c>
      <c r="E702" s="11" t="s">
        <v>6</v>
      </c>
      <c r="F702" s="11" t="s">
        <v>11</v>
      </c>
      <c r="G702" s="18" t="s">
        <v>8</v>
      </c>
    </row>
    <row r="703" spans="1:7" s="2" customFormat="1" ht="15" customHeight="1">
      <c r="A703" s="978">
        <f>SALARIOS!A547</f>
        <v>0</v>
      </c>
      <c r="B703" s="979"/>
      <c r="C703" s="13" t="s">
        <v>1245</v>
      </c>
      <c r="D703" s="12">
        <v>1</v>
      </c>
      <c r="E703" s="17">
        <f>SALARIOS!$C$63</f>
        <v>43271</v>
      </c>
      <c r="F703" s="14">
        <f>+D703*E703</f>
        <v>43271</v>
      </c>
      <c r="G703" s="15">
        <f>F703</f>
        <v>43271</v>
      </c>
    </row>
    <row r="704" spans="1:7" s="2" customFormat="1" ht="15.75" customHeight="1">
      <c r="A704" s="1009" t="s">
        <v>25</v>
      </c>
      <c r="B704" s="1010"/>
      <c r="C704" s="1010"/>
      <c r="D704" s="1010"/>
      <c r="E704" s="1010"/>
      <c r="F704" s="1010"/>
      <c r="G704" s="1011"/>
    </row>
    <row r="705" spans="1:7" s="2" customFormat="1" ht="15.75" customHeight="1">
      <c r="A705" s="1012"/>
      <c r="B705" s="1013"/>
      <c r="C705" s="1013"/>
      <c r="D705" s="1013"/>
      <c r="E705" s="1013"/>
      <c r="F705" s="1014"/>
      <c r="G705" s="20">
        <f>G703+G700+G696+G691</f>
        <v>120592.15996624999</v>
      </c>
    </row>
    <row r="706" spans="1:7" s="2" customFormat="1" ht="15.75" customHeight="1">
      <c r="A706" s="26"/>
      <c r="B706" s="27"/>
      <c r="C706" s="28"/>
      <c r="D706" s="28"/>
      <c r="E706" s="29"/>
      <c r="F706" s="28"/>
      <c r="G706" s="30"/>
    </row>
    <row r="707" spans="1:7" s="2" customFormat="1" ht="15.75" customHeight="1">
      <c r="A707" s="986" t="s">
        <v>1</v>
      </c>
      <c r="B707" s="987"/>
      <c r="C707" s="992" t="s">
        <v>0</v>
      </c>
      <c r="D707" s="993"/>
      <c r="E707" s="993"/>
      <c r="F707" s="993"/>
      <c r="G707" s="994"/>
    </row>
    <row r="708" spans="1:7" s="2" customFormat="1" ht="72" customHeight="1">
      <c r="A708" s="988"/>
      <c r="B708" s="989"/>
      <c r="C708" s="995"/>
      <c r="D708" s="996"/>
      <c r="E708" s="996"/>
      <c r="F708" s="996"/>
      <c r="G708" s="997"/>
    </row>
    <row r="709" spans="1:7" s="2" customFormat="1" ht="15.75" customHeight="1">
      <c r="A709" s="988"/>
      <c r="B709" s="989"/>
      <c r="C709" s="998"/>
      <c r="D709" s="999"/>
      <c r="E709" s="999"/>
      <c r="F709" s="999"/>
      <c r="G709" s="1000"/>
    </row>
    <row r="710" spans="1:7" s="2" customFormat="1" ht="15.75" customHeight="1">
      <c r="A710" s="990"/>
      <c r="B710" s="991"/>
      <c r="C710" s="1001" t="s">
        <v>2</v>
      </c>
      <c r="D710" s="1002"/>
      <c r="E710" s="1003"/>
      <c r="F710" s="23" t="s">
        <v>3</v>
      </c>
      <c r="G710" s="24" t="s">
        <v>4</v>
      </c>
    </row>
    <row r="711" spans="1:7" s="2" customFormat="1" ht="205.5" customHeight="1">
      <c r="A711" s="1004" t="s">
        <v>203</v>
      </c>
      <c r="B711" s="1005"/>
      <c r="C711" s="1017" t="s">
        <v>142</v>
      </c>
      <c r="D711" s="1018"/>
      <c r="E711" s="949"/>
      <c r="F711" s="9" t="s">
        <v>37</v>
      </c>
      <c r="G711" s="25">
        <v>15.4389</v>
      </c>
    </row>
    <row r="712" spans="1:7" s="2" customFormat="1" ht="13.8">
      <c r="A712" s="1006" t="s">
        <v>5</v>
      </c>
      <c r="B712" s="1007"/>
      <c r="C712" s="1007"/>
      <c r="D712" s="1007"/>
      <c r="E712" s="1007"/>
      <c r="F712" s="1007"/>
      <c r="G712" s="1008"/>
    </row>
    <row r="713" spans="1:7" s="2" customFormat="1" ht="13.8">
      <c r="A713" s="974" t="s">
        <v>2</v>
      </c>
      <c r="B713" s="975"/>
      <c r="C713" s="11" t="s">
        <v>3</v>
      </c>
      <c r="D713" s="11" t="s">
        <v>4</v>
      </c>
      <c r="E713" s="11" t="s">
        <v>6</v>
      </c>
      <c r="F713" s="11" t="s">
        <v>7</v>
      </c>
      <c r="G713" s="967" t="s">
        <v>8</v>
      </c>
    </row>
    <row r="714" spans="1:7" s="2" customFormat="1" ht="13.8">
      <c r="A714" s="948" t="s">
        <v>9</v>
      </c>
      <c r="B714" s="949"/>
      <c r="C714" s="12" t="s">
        <v>3</v>
      </c>
      <c r="D714" s="9">
        <v>0.05</v>
      </c>
      <c r="E714" s="13">
        <f>G729</f>
        <v>43271</v>
      </c>
      <c r="F714" s="14">
        <f>D714*E714</f>
        <v>2163.5500000000002</v>
      </c>
      <c r="G714" s="968"/>
    </row>
    <row r="715" spans="1:7" s="2" customFormat="1" ht="13.8">
      <c r="A715" s="983" t="s">
        <v>112</v>
      </c>
      <c r="B715" s="984"/>
      <c r="C715" s="12" t="s">
        <v>58</v>
      </c>
      <c r="D715" s="9">
        <v>0.04</v>
      </c>
      <c r="E715" s="13">
        <f>'MAQUINARIA Y EQUIPOS'!$F$23</f>
        <v>28203</v>
      </c>
      <c r="F715" s="14">
        <f>D715*E715</f>
        <v>1128.1200000000001</v>
      </c>
      <c r="G715" s="968"/>
    </row>
    <row r="716" spans="1:7" s="2" customFormat="1" ht="15.75" customHeight="1">
      <c r="A716" s="948" t="s">
        <v>113</v>
      </c>
      <c r="B716" s="949"/>
      <c r="C716" s="12" t="s">
        <v>58</v>
      </c>
      <c r="D716" s="9">
        <v>0.3</v>
      </c>
      <c r="E716" s="13">
        <f>'MAQUINARIA Y EQUIPOS'!$F$10</f>
        <v>3272.5</v>
      </c>
      <c r="F716" s="14">
        <f>D716*E716</f>
        <v>981.75</v>
      </c>
      <c r="G716" s="969"/>
    </row>
    <row r="717" spans="1:7" s="2" customFormat="1" ht="14.25" customHeight="1">
      <c r="A717" s="948" t="s">
        <v>61</v>
      </c>
      <c r="B717" s="949"/>
      <c r="C717" s="12" t="s">
        <v>58</v>
      </c>
      <c r="D717" s="9">
        <v>0.1</v>
      </c>
      <c r="E717" s="13">
        <f>'MAQUINARIA Y EQUIPOS'!$F$18</f>
        <v>40460</v>
      </c>
      <c r="F717" s="14">
        <f>D717*E717</f>
        <v>4046</v>
      </c>
      <c r="G717" s="15">
        <f>SUM(F713:F717)</f>
        <v>8319.42</v>
      </c>
    </row>
    <row r="718" spans="1:7" s="2" customFormat="1" ht="13.8">
      <c r="A718" s="1006" t="s">
        <v>10</v>
      </c>
      <c r="B718" s="1007"/>
      <c r="C718" s="1007"/>
      <c r="D718" s="1007"/>
      <c r="E718" s="1007"/>
      <c r="F718" s="1007"/>
      <c r="G718" s="1008"/>
    </row>
    <row r="719" spans="1:7" s="2" customFormat="1" ht="15.75" customHeight="1">
      <c r="A719" s="974" t="s">
        <v>2</v>
      </c>
      <c r="B719" s="975"/>
      <c r="C719" s="11" t="s">
        <v>3</v>
      </c>
      <c r="D719" s="11" t="s">
        <v>4</v>
      </c>
      <c r="E719" s="11" t="s">
        <v>6</v>
      </c>
      <c r="F719" s="11" t="s">
        <v>11</v>
      </c>
      <c r="G719" s="967" t="s">
        <v>8</v>
      </c>
    </row>
    <row r="720" spans="1:7" s="2" customFormat="1" ht="15.75" customHeight="1">
      <c r="A720" s="948" t="s">
        <v>115</v>
      </c>
      <c r="B720" s="949"/>
      <c r="C720" s="12" t="s">
        <v>3</v>
      </c>
      <c r="D720" s="12">
        <v>0.03</v>
      </c>
      <c r="E720" s="13">
        <f>'INSUMOS '!$E$28</f>
        <v>51900</v>
      </c>
      <c r="F720" s="14">
        <f>D720*E720</f>
        <v>1557</v>
      </c>
      <c r="G720" s="968"/>
    </row>
    <row r="721" spans="1:7" s="2" customFormat="1" ht="15.75" customHeight="1">
      <c r="A721" s="948" t="s">
        <v>114</v>
      </c>
      <c r="B721" s="949"/>
      <c r="C721" s="12" t="s">
        <v>39</v>
      </c>
      <c r="D721" s="12">
        <v>0.03</v>
      </c>
      <c r="E721" s="13">
        <f>SUBANÁLISIS!$G$146</f>
        <v>702267.57499999995</v>
      </c>
      <c r="F721" s="14">
        <f>D721*E721</f>
        <v>21068.027249999999</v>
      </c>
      <c r="G721" s="969"/>
    </row>
    <row r="722" spans="1:7" s="2" customFormat="1" ht="29.25" customHeight="1">
      <c r="A722" s="948" t="s">
        <v>1551</v>
      </c>
      <c r="B722" s="949"/>
      <c r="C722" s="12" t="s">
        <v>3</v>
      </c>
      <c r="D722" s="33">
        <v>12.5</v>
      </c>
      <c r="E722" s="13">
        <f>'INSUMOS '!$E$49</f>
        <v>4150</v>
      </c>
      <c r="F722" s="14">
        <f>E722*D722</f>
        <v>51875</v>
      </c>
      <c r="G722" s="15">
        <f>SUM(F719:F722)</f>
        <v>74500.027249999999</v>
      </c>
    </row>
    <row r="723" spans="1:7" s="2" customFormat="1" ht="13.8">
      <c r="A723" s="1006" t="s">
        <v>15</v>
      </c>
      <c r="B723" s="1007"/>
      <c r="C723" s="1007"/>
      <c r="D723" s="1007"/>
      <c r="E723" s="1007"/>
      <c r="F723" s="1007"/>
      <c r="G723" s="1008"/>
    </row>
    <row r="724" spans="1:7" s="2" customFormat="1" ht="15.75" customHeight="1">
      <c r="A724" s="974" t="s">
        <v>2</v>
      </c>
      <c r="B724" s="975"/>
      <c r="C724" s="11" t="s">
        <v>3</v>
      </c>
      <c r="D724" s="11" t="s">
        <v>4</v>
      </c>
      <c r="E724" s="11" t="s">
        <v>6</v>
      </c>
      <c r="F724" s="11" t="s">
        <v>11</v>
      </c>
      <c r="G724" s="967" t="s">
        <v>8</v>
      </c>
    </row>
    <row r="725" spans="1:7" s="2" customFormat="1" ht="15.75" customHeight="1">
      <c r="A725" s="1019" t="s">
        <v>68</v>
      </c>
      <c r="B725" s="1020"/>
      <c r="C725" s="16" t="s">
        <v>3</v>
      </c>
      <c r="D725" s="54">
        <v>3.5000000000000003E-2</v>
      </c>
      <c r="E725" s="17">
        <f>G717</f>
        <v>8319.42</v>
      </c>
      <c r="F725" s="14">
        <f>E725*D725</f>
        <v>291.17970000000003</v>
      </c>
      <c r="G725" s="969"/>
    </row>
    <row r="726" spans="1:7" s="2" customFormat="1" ht="15.75" customHeight="1">
      <c r="A726" s="1019" t="s">
        <v>17</v>
      </c>
      <c r="B726" s="1020"/>
      <c r="C726" s="16" t="s">
        <v>18</v>
      </c>
      <c r="D726" s="54">
        <v>3.5000000000000003E-2</v>
      </c>
      <c r="E726" s="17">
        <f>+G722</f>
        <v>74500.027249999999</v>
      </c>
      <c r="F726" s="14">
        <f>E726*D726</f>
        <v>2607.50095375</v>
      </c>
      <c r="G726" s="15">
        <f>SUM(F725:F726)</f>
        <v>2898.6806537500001</v>
      </c>
    </row>
    <row r="727" spans="1:7" s="2" customFormat="1" ht="13.8">
      <c r="A727" s="1006" t="s">
        <v>19</v>
      </c>
      <c r="B727" s="1007"/>
      <c r="C727" s="1007"/>
      <c r="D727" s="1007"/>
      <c r="E727" s="1007"/>
      <c r="F727" s="1007"/>
      <c r="G727" s="1008"/>
    </row>
    <row r="728" spans="1:7" s="2" customFormat="1" ht="15.75" customHeight="1">
      <c r="A728" s="974" t="s">
        <v>2</v>
      </c>
      <c r="B728" s="975"/>
      <c r="C728" s="11" t="s">
        <v>3</v>
      </c>
      <c r="D728" s="11" t="s">
        <v>4</v>
      </c>
      <c r="E728" s="11" t="s">
        <v>6</v>
      </c>
      <c r="F728" s="11" t="s">
        <v>11</v>
      </c>
      <c r="G728" s="18" t="s">
        <v>8</v>
      </c>
    </row>
    <row r="729" spans="1:7" s="2" customFormat="1" ht="15" customHeight="1">
      <c r="A729" s="978" t="str">
        <f>SALARIOS!$A$63</f>
        <v>CUADRILLA AA ALBAÑILERÍA 1:3</v>
      </c>
      <c r="B729" s="979"/>
      <c r="C729" s="13" t="s">
        <v>1245</v>
      </c>
      <c r="D729" s="32">
        <v>1</v>
      </c>
      <c r="E729" s="13">
        <f>SALARIOS!$C$63</f>
        <v>43271</v>
      </c>
      <c r="F729" s="14">
        <f>+D729*E729</f>
        <v>43271</v>
      </c>
      <c r="G729" s="15">
        <f>F729</f>
        <v>43271</v>
      </c>
    </row>
    <row r="730" spans="1:7" s="2" customFormat="1" ht="15.75" customHeight="1">
      <c r="A730" s="1009" t="s">
        <v>25</v>
      </c>
      <c r="B730" s="1010"/>
      <c r="C730" s="1010"/>
      <c r="D730" s="1010"/>
      <c r="E730" s="1010"/>
      <c r="F730" s="1010"/>
      <c r="G730" s="1011"/>
    </row>
    <row r="731" spans="1:7" s="2" customFormat="1" ht="15.75" customHeight="1">
      <c r="A731" s="1012"/>
      <c r="B731" s="1013"/>
      <c r="C731" s="1013"/>
      <c r="D731" s="1013"/>
      <c r="E731" s="1013"/>
      <c r="F731" s="1014"/>
      <c r="G731" s="20">
        <f>G729+G726+G722+G717</f>
        <v>128989.12790375001</v>
      </c>
    </row>
    <row r="732" spans="1:7" s="2" customFormat="1" ht="20.399999999999999">
      <c r="A732" s="26"/>
      <c r="B732" s="27"/>
      <c r="C732" s="28"/>
      <c r="D732" s="28"/>
      <c r="E732" s="29"/>
      <c r="F732" s="28"/>
      <c r="G732" s="30"/>
    </row>
    <row r="733" spans="1:7" s="2" customFormat="1" ht="29.25" customHeight="1">
      <c r="A733" s="986" t="s">
        <v>1</v>
      </c>
      <c r="B733" s="987"/>
      <c r="C733" s="992" t="s">
        <v>0</v>
      </c>
      <c r="D733" s="993"/>
      <c r="E733" s="993"/>
      <c r="F733" s="993"/>
      <c r="G733" s="994"/>
    </row>
    <row r="734" spans="1:7" s="2" customFormat="1" ht="40.5" customHeight="1">
      <c r="A734" s="988"/>
      <c r="B734" s="989"/>
      <c r="C734" s="995"/>
      <c r="D734" s="996"/>
      <c r="E734" s="996"/>
      <c r="F734" s="996"/>
      <c r="G734" s="997"/>
    </row>
    <row r="735" spans="1:7" s="2" customFormat="1" ht="15.75" customHeight="1">
      <c r="A735" s="988"/>
      <c r="B735" s="989"/>
      <c r="C735" s="998"/>
      <c r="D735" s="999"/>
      <c r="E735" s="999"/>
      <c r="F735" s="999"/>
      <c r="G735" s="1000"/>
    </row>
    <row r="736" spans="1:7" s="2" customFormat="1" ht="15.75" customHeight="1">
      <c r="A736" s="990"/>
      <c r="B736" s="991"/>
      <c r="C736" s="1001" t="s">
        <v>2</v>
      </c>
      <c r="D736" s="1002"/>
      <c r="E736" s="1003"/>
      <c r="F736" s="23" t="s">
        <v>3</v>
      </c>
      <c r="G736" s="24" t="s">
        <v>4</v>
      </c>
    </row>
    <row r="737" spans="1:7" s="2" customFormat="1" ht="134.25" customHeight="1">
      <c r="A737" s="1004" t="s">
        <v>204</v>
      </c>
      <c r="B737" s="1005"/>
      <c r="C737" s="1017" t="s">
        <v>175</v>
      </c>
      <c r="D737" s="1018"/>
      <c r="E737" s="949"/>
      <c r="F737" s="9" t="s">
        <v>100</v>
      </c>
      <c r="G737" s="25">
        <v>45.599999999999987</v>
      </c>
    </row>
    <row r="738" spans="1:7" s="2" customFormat="1" ht="13.8">
      <c r="A738" s="1006" t="s">
        <v>5</v>
      </c>
      <c r="B738" s="1007"/>
      <c r="C738" s="1007"/>
      <c r="D738" s="1007"/>
      <c r="E738" s="1007"/>
      <c r="F738" s="1007"/>
      <c r="G738" s="1008"/>
    </row>
    <row r="739" spans="1:7" s="2" customFormat="1" ht="13.8">
      <c r="A739" s="974" t="s">
        <v>2</v>
      </c>
      <c r="B739" s="975"/>
      <c r="C739" s="11" t="s">
        <v>3</v>
      </c>
      <c r="D739" s="11" t="s">
        <v>4</v>
      </c>
      <c r="E739" s="11" t="s">
        <v>6</v>
      </c>
      <c r="F739" s="11" t="s">
        <v>7</v>
      </c>
      <c r="G739" s="967" t="s">
        <v>8</v>
      </c>
    </row>
    <row r="740" spans="1:7" s="2" customFormat="1" ht="13.8">
      <c r="A740" s="948" t="s">
        <v>9</v>
      </c>
      <c r="B740" s="949"/>
      <c r="C740" s="12" t="s">
        <v>3</v>
      </c>
      <c r="D740" s="9">
        <v>0.05</v>
      </c>
      <c r="E740" s="13">
        <f>$G$757</f>
        <v>24855</v>
      </c>
      <c r="F740" s="14">
        <f>D740*E740</f>
        <v>1242.75</v>
      </c>
      <c r="G740" s="968"/>
    </row>
    <row r="741" spans="1:7" s="2" customFormat="1" ht="14.25" customHeight="1">
      <c r="A741" s="948" t="s">
        <v>75</v>
      </c>
      <c r="B741" s="949"/>
      <c r="C741" s="12" t="s">
        <v>58</v>
      </c>
      <c r="D741" s="9">
        <v>0.04</v>
      </c>
      <c r="E741" s="13">
        <f>'MAQUINARIA Y EQUIPOS'!$F$21</f>
        <v>35700</v>
      </c>
      <c r="F741" s="14">
        <f>D741*E741</f>
        <v>1428</v>
      </c>
      <c r="G741" s="968"/>
    </row>
    <row r="742" spans="1:7" s="2" customFormat="1" ht="14.25" customHeight="1">
      <c r="A742" s="948" t="s">
        <v>113</v>
      </c>
      <c r="B742" s="949"/>
      <c r="C742" s="12" t="s">
        <v>58</v>
      </c>
      <c r="D742" s="9">
        <v>0.3</v>
      </c>
      <c r="E742" s="13">
        <f>'MAQUINARIA Y EQUIPOS'!$F$10</f>
        <v>3272.5</v>
      </c>
      <c r="F742" s="14">
        <f>D742*E742</f>
        <v>981.75</v>
      </c>
      <c r="G742" s="968"/>
    </row>
    <row r="743" spans="1:7" s="2" customFormat="1" ht="15.75" customHeight="1">
      <c r="A743" s="948" t="s">
        <v>61</v>
      </c>
      <c r="B743" s="949"/>
      <c r="C743" s="12" t="s">
        <v>58</v>
      </c>
      <c r="D743" s="9">
        <v>0.1</v>
      </c>
      <c r="E743" s="13">
        <f>'MAQUINARIA Y EQUIPOS'!$F$18</f>
        <v>40460</v>
      </c>
      <c r="F743" s="14">
        <f>D743*E743</f>
        <v>4046</v>
      </c>
      <c r="G743" s="969"/>
    </row>
    <row r="744" spans="1:7" s="2" customFormat="1" ht="15.75" customHeight="1">
      <c r="A744" s="948" t="s">
        <v>76</v>
      </c>
      <c r="B744" s="949"/>
      <c r="C744" s="9" t="s">
        <v>39</v>
      </c>
      <c r="D744" s="9">
        <f>1*1*0.12</f>
        <v>0.12</v>
      </c>
      <c r="E744" s="13">
        <f>'MAQUINARIA Y EQUIPOS'!$F$22</f>
        <v>42000</v>
      </c>
      <c r="F744" s="14">
        <f>D744*E744</f>
        <v>5040</v>
      </c>
      <c r="G744" s="15">
        <f>SUM(F739:F744)</f>
        <v>12738.5</v>
      </c>
    </row>
    <row r="745" spans="1:7" s="2" customFormat="1" ht="15.75" customHeight="1">
      <c r="A745" s="1006" t="s">
        <v>10</v>
      </c>
      <c r="B745" s="1007"/>
      <c r="C745" s="1007"/>
      <c r="D745" s="1007"/>
      <c r="E745" s="1007"/>
      <c r="F745" s="1007"/>
      <c r="G745" s="1008"/>
    </row>
    <row r="746" spans="1:7" s="2" customFormat="1" ht="15.75" customHeight="1">
      <c r="A746" s="974" t="s">
        <v>2</v>
      </c>
      <c r="B746" s="975"/>
      <c r="C746" s="11" t="s">
        <v>3</v>
      </c>
      <c r="D746" s="11" t="s">
        <v>4</v>
      </c>
      <c r="E746" s="11" t="s">
        <v>6</v>
      </c>
      <c r="F746" s="11" t="s">
        <v>11</v>
      </c>
      <c r="G746" s="967" t="s">
        <v>8</v>
      </c>
    </row>
    <row r="747" spans="1:7" s="2" customFormat="1" ht="15.75" customHeight="1">
      <c r="A747" s="948" t="s">
        <v>1459</v>
      </c>
      <c r="B747" s="949"/>
      <c r="C747" s="12" t="s">
        <v>3</v>
      </c>
      <c r="D747" s="12">
        <v>0.03</v>
      </c>
      <c r="E747" s="13">
        <f>'INSUMOS '!$E$29</f>
        <v>643900</v>
      </c>
      <c r="F747" s="14">
        <f>D747*E747</f>
        <v>19317</v>
      </c>
      <c r="G747" s="968"/>
    </row>
    <row r="748" spans="1:7" s="2" customFormat="1" ht="15.75" customHeight="1">
      <c r="A748" s="948" t="s">
        <v>114</v>
      </c>
      <c r="B748" s="949"/>
      <c r="C748" s="12" t="s">
        <v>39</v>
      </c>
      <c r="D748" s="12">
        <v>0.02</v>
      </c>
      <c r="E748" s="13">
        <f>SUBANÁLISIS!$G$146</f>
        <v>702267.57499999995</v>
      </c>
      <c r="F748" s="14">
        <f>D748*E748</f>
        <v>14045.351499999999</v>
      </c>
      <c r="G748" s="968"/>
    </row>
    <row r="749" spans="1:7" s="2" customFormat="1" ht="15.75" customHeight="1">
      <c r="A749" s="948" t="s">
        <v>176</v>
      </c>
      <c r="B749" s="949"/>
      <c r="C749" s="12" t="s">
        <v>3</v>
      </c>
      <c r="D749" s="12">
        <v>2</v>
      </c>
      <c r="E749" s="13">
        <f>'INSUMOS '!$E$181</f>
        <v>2600</v>
      </c>
      <c r="F749" s="14">
        <f>D749*E749</f>
        <v>5200</v>
      </c>
      <c r="G749" s="969"/>
    </row>
    <row r="750" spans="1:7" s="2" customFormat="1" ht="15.75" customHeight="1">
      <c r="A750" s="948" t="s">
        <v>177</v>
      </c>
      <c r="B750" s="949"/>
      <c r="C750" s="12" t="s">
        <v>3</v>
      </c>
      <c r="D750" s="33">
        <v>2</v>
      </c>
      <c r="E750" s="13">
        <f>'INSUMOS '!$E$45</f>
        <v>3253.46</v>
      </c>
      <c r="F750" s="14">
        <f>E750*D750</f>
        <v>6506.92</v>
      </c>
      <c r="G750" s="15">
        <f>SUM(F748:F750)</f>
        <v>25752.271499999995</v>
      </c>
    </row>
    <row r="751" spans="1:7" s="2" customFormat="1" ht="15.75" customHeight="1">
      <c r="A751" s="1006" t="s">
        <v>15</v>
      </c>
      <c r="B751" s="1007"/>
      <c r="C751" s="1007"/>
      <c r="D751" s="1007"/>
      <c r="E751" s="1007"/>
      <c r="F751" s="1007"/>
      <c r="G751" s="1008"/>
    </row>
    <row r="752" spans="1:7" s="2" customFormat="1" ht="15.75" customHeight="1">
      <c r="A752" s="974" t="s">
        <v>2</v>
      </c>
      <c r="B752" s="975"/>
      <c r="C752" s="11" t="s">
        <v>3</v>
      </c>
      <c r="D752" s="11" t="s">
        <v>4</v>
      </c>
      <c r="E752" s="11" t="s">
        <v>6</v>
      </c>
      <c r="F752" s="11" t="s">
        <v>11</v>
      </c>
      <c r="G752" s="967" t="s">
        <v>8</v>
      </c>
    </row>
    <row r="753" spans="1:7" s="2" customFormat="1" ht="15.75" customHeight="1">
      <c r="A753" s="1019" t="s">
        <v>68</v>
      </c>
      <c r="B753" s="1020"/>
      <c r="C753" s="16" t="s">
        <v>3</v>
      </c>
      <c r="D753" s="54">
        <v>3.5000000000000003E-2</v>
      </c>
      <c r="E753" s="17">
        <f>G744</f>
        <v>12738.5</v>
      </c>
      <c r="F753" s="14">
        <f>E753*D753</f>
        <v>445.84750000000003</v>
      </c>
      <c r="G753" s="968"/>
    </row>
    <row r="754" spans="1:7" s="2" customFormat="1" ht="15.75" customHeight="1">
      <c r="A754" s="1019" t="s">
        <v>17</v>
      </c>
      <c r="B754" s="1020"/>
      <c r="C754" s="16" t="s">
        <v>18</v>
      </c>
      <c r="D754" s="54">
        <v>3.5000000000000003E-2</v>
      </c>
      <c r="E754" s="13">
        <f>+G750</f>
        <v>25752.271499999995</v>
      </c>
      <c r="F754" s="14">
        <f>E754*D754</f>
        <v>901.32950249999988</v>
      </c>
      <c r="G754" s="15">
        <f>SUM(F753:F754)</f>
        <v>1347.1770024999998</v>
      </c>
    </row>
    <row r="755" spans="1:7" s="2" customFormat="1" ht="13.8">
      <c r="A755" s="1006" t="s">
        <v>19</v>
      </c>
      <c r="B755" s="1007"/>
      <c r="C755" s="1007"/>
      <c r="D755" s="1007"/>
      <c r="E755" s="1007"/>
      <c r="F755" s="1007"/>
      <c r="G755" s="1008"/>
    </row>
    <row r="756" spans="1:7" s="2" customFormat="1" ht="15.75" customHeight="1">
      <c r="A756" s="974" t="s">
        <v>2</v>
      </c>
      <c r="B756" s="975"/>
      <c r="C756" s="11" t="s">
        <v>3</v>
      </c>
      <c r="D756" s="11" t="s">
        <v>4</v>
      </c>
      <c r="E756" s="11" t="s">
        <v>6</v>
      </c>
      <c r="F756" s="11" t="s">
        <v>11</v>
      </c>
      <c r="G756" s="18" t="s">
        <v>8</v>
      </c>
    </row>
    <row r="757" spans="1:7" s="2" customFormat="1" ht="15" customHeight="1">
      <c r="A757" s="978" t="str">
        <f>SALARIOS!$A$61</f>
        <v>CUADRILLA AA ALBAÑILERÍA 1:1</v>
      </c>
      <c r="B757" s="979"/>
      <c r="C757" s="13" t="s">
        <v>1245</v>
      </c>
      <c r="D757" s="32">
        <v>1</v>
      </c>
      <c r="E757" s="13">
        <f>SALARIOS!$C$61</f>
        <v>24855</v>
      </c>
      <c r="F757" s="14">
        <f>+D757*E757</f>
        <v>24855</v>
      </c>
      <c r="G757" s="15">
        <f>F757</f>
        <v>24855</v>
      </c>
    </row>
    <row r="758" spans="1:7" s="2" customFormat="1" ht="13.8">
      <c r="A758" s="1009" t="s">
        <v>25</v>
      </c>
      <c r="B758" s="1010"/>
      <c r="C758" s="1010"/>
      <c r="D758" s="1010"/>
      <c r="E758" s="1010"/>
      <c r="F758" s="1010"/>
      <c r="G758" s="1011"/>
    </row>
    <row r="759" spans="1:7" s="2" customFormat="1" ht="15.75" customHeight="1">
      <c r="A759" s="1012"/>
      <c r="B759" s="1013"/>
      <c r="C759" s="1013"/>
      <c r="D759" s="1013"/>
      <c r="E759" s="1013"/>
      <c r="F759" s="1014"/>
      <c r="G759" s="20">
        <f>G757+G754+G750+G744</f>
        <v>64692.948502499996</v>
      </c>
    </row>
    <row r="760" spans="1:7" s="2" customFormat="1" ht="15.75" customHeight="1">
      <c r="A760" s="26"/>
      <c r="B760" s="27"/>
      <c r="C760" s="28"/>
      <c r="D760" s="28"/>
      <c r="E760" s="29"/>
      <c r="F760" s="28"/>
      <c r="G760" s="30"/>
    </row>
    <row r="761" spans="1:7" s="2" customFormat="1" ht="15.75" customHeight="1">
      <c r="A761" s="986" t="s">
        <v>1</v>
      </c>
      <c r="B761" s="987"/>
      <c r="C761" s="992" t="s">
        <v>0</v>
      </c>
      <c r="D761" s="993"/>
      <c r="E761" s="993"/>
      <c r="F761" s="993"/>
      <c r="G761" s="994"/>
    </row>
    <row r="762" spans="1:7" s="2" customFormat="1" ht="45" customHeight="1">
      <c r="A762" s="988"/>
      <c r="B762" s="989"/>
      <c r="C762" s="995"/>
      <c r="D762" s="996"/>
      <c r="E762" s="996"/>
      <c r="F762" s="996"/>
      <c r="G762" s="997"/>
    </row>
    <row r="763" spans="1:7" s="2" customFormat="1" ht="17.399999999999999">
      <c r="A763" s="988"/>
      <c r="B763" s="989"/>
      <c r="C763" s="998"/>
      <c r="D763" s="999"/>
      <c r="E763" s="999"/>
      <c r="F763" s="999"/>
      <c r="G763" s="1000"/>
    </row>
    <row r="764" spans="1:7" s="2" customFormat="1" ht="13.8">
      <c r="A764" s="990"/>
      <c r="B764" s="991"/>
      <c r="C764" s="1001" t="s">
        <v>2</v>
      </c>
      <c r="D764" s="1002"/>
      <c r="E764" s="1003"/>
      <c r="F764" s="23" t="s">
        <v>3</v>
      </c>
      <c r="G764" s="24" t="s">
        <v>4</v>
      </c>
    </row>
    <row r="765" spans="1:7" s="2" customFormat="1" ht="179.25" customHeight="1">
      <c r="A765" s="1004" t="s">
        <v>205</v>
      </c>
      <c r="B765" s="1005"/>
      <c r="C765" s="1017" t="s">
        <v>206</v>
      </c>
      <c r="D765" s="1018"/>
      <c r="E765" s="949"/>
      <c r="F765" s="9" t="s">
        <v>100</v>
      </c>
      <c r="G765" s="25">
        <v>980.40000000000032</v>
      </c>
    </row>
    <row r="766" spans="1:7" s="2" customFormat="1" ht="13.8">
      <c r="A766" s="1032" t="s">
        <v>5</v>
      </c>
      <c r="B766" s="1033"/>
      <c r="C766" s="1033"/>
      <c r="D766" s="1033"/>
      <c r="E766" s="1033"/>
      <c r="F766" s="1033"/>
      <c r="G766" s="1034"/>
    </row>
    <row r="767" spans="1:7" s="2" customFormat="1" ht="13.8">
      <c r="A767" s="974" t="s">
        <v>2</v>
      </c>
      <c r="B767" s="975"/>
      <c r="C767" s="11" t="s">
        <v>3</v>
      </c>
      <c r="D767" s="11" t="s">
        <v>4</v>
      </c>
      <c r="E767" s="11" t="s">
        <v>6</v>
      </c>
      <c r="F767" s="11" t="s">
        <v>7</v>
      </c>
      <c r="G767" s="967" t="s">
        <v>8</v>
      </c>
    </row>
    <row r="768" spans="1:7" s="2" customFormat="1" ht="13.8">
      <c r="A768" s="948" t="s">
        <v>9</v>
      </c>
      <c r="B768" s="949"/>
      <c r="C768" s="12" t="s">
        <v>3</v>
      </c>
      <c r="D768" s="9">
        <v>0.05</v>
      </c>
      <c r="E768" s="13">
        <f>G782</f>
        <v>7456.5</v>
      </c>
      <c r="F768" s="14">
        <f>D768*E768</f>
        <v>372.82500000000005</v>
      </c>
      <c r="G768" s="969"/>
    </row>
    <row r="769" spans="1:7" s="2" customFormat="1" ht="15.75" customHeight="1">
      <c r="A769" s="948" t="s">
        <v>113</v>
      </c>
      <c r="B769" s="949"/>
      <c r="C769" s="12" t="s">
        <v>58</v>
      </c>
      <c r="D769" s="9">
        <v>0.3</v>
      </c>
      <c r="E769" s="13">
        <f>'MAQUINARIA Y EQUIPOS'!$F$10</f>
        <v>3272.5</v>
      </c>
      <c r="F769" s="14">
        <f>D769*E769</f>
        <v>981.75</v>
      </c>
      <c r="G769" s="39"/>
    </row>
    <row r="770" spans="1:7" s="2" customFormat="1" ht="15.75" customHeight="1">
      <c r="A770" s="948" t="s">
        <v>61</v>
      </c>
      <c r="B770" s="949"/>
      <c r="C770" s="12" t="s">
        <v>60</v>
      </c>
      <c r="D770" s="9">
        <v>0.1</v>
      </c>
      <c r="E770" s="13">
        <f>'MAQUINARIA Y EQUIPOS'!$F$18</f>
        <v>40460</v>
      </c>
      <c r="F770" s="14">
        <f>D770*E770</f>
        <v>4046</v>
      </c>
      <c r="G770" s="39"/>
    </row>
    <row r="771" spans="1:7" s="2" customFormat="1" ht="15.75" customHeight="1">
      <c r="A771" s="948"/>
      <c r="B771" s="949"/>
      <c r="C771" s="9"/>
      <c r="D771" s="9"/>
      <c r="E771" s="13"/>
      <c r="F771" s="14"/>
      <c r="G771" s="15">
        <f>SUM(F767:F771)</f>
        <v>5400.5749999999998</v>
      </c>
    </row>
    <row r="772" spans="1:7" s="2" customFormat="1" ht="15.75" customHeight="1">
      <c r="A772" s="1006" t="s">
        <v>10</v>
      </c>
      <c r="B772" s="1007"/>
      <c r="C772" s="1007"/>
      <c r="D772" s="1007"/>
      <c r="E772" s="1007"/>
      <c r="F772" s="1007"/>
      <c r="G772" s="1008"/>
    </row>
    <row r="773" spans="1:7" s="2" customFormat="1" ht="15.75" customHeight="1">
      <c r="A773" s="974" t="s">
        <v>2</v>
      </c>
      <c r="B773" s="975"/>
      <c r="C773" s="11" t="s">
        <v>3</v>
      </c>
      <c r="D773" s="11" t="s">
        <v>4</v>
      </c>
      <c r="E773" s="11" t="s">
        <v>6</v>
      </c>
      <c r="F773" s="11" t="s">
        <v>11</v>
      </c>
      <c r="G773" s="967" t="s">
        <v>8</v>
      </c>
    </row>
    <row r="774" spans="1:7" s="2" customFormat="1" ht="15.75" customHeight="1">
      <c r="A774" s="948" t="s">
        <v>179</v>
      </c>
      <c r="B774" s="949"/>
      <c r="C774" s="12" t="s">
        <v>3</v>
      </c>
      <c r="D774" s="12">
        <f>1/12.5</f>
        <v>0.08</v>
      </c>
      <c r="E774" s="13">
        <f>'INSUMOS '!$E$55</f>
        <v>54300</v>
      </c>
      <c r="F774" s="14">
        <f>D774*E774</f>
        <v>4344</v>
      </c>
      <c r="G774" s="969"/>
    </row>
    <row r="775" spans="1:7" s="2" customFormat="1" ht="15.75" customHeight="1">
      <c r="A775" s="948" t="s">
        <v>180</v>
      </c>
      <c r="B775" s="949"/>
      <c r="C775" s="12" t="s">
        <v>3</v>
      </c>
      <c r="D775" s="12">
        <v>6.6666666666666666E-2</v>
      </c>
      <c r="E775" s="13">
        <f>'INSUMOS '!$E$56</f>
        <v>210900</v>
      </c>
      <c r="F775" s="14">
        <f>E775*D775</f>
        <v>14060</v>
      </c>
      <c r="G775" s="15">
        <f>SUM(F773:F775)</f>
        <v>18404</v>
      </c>
    </row>
    <row r="776" spans="1:7" s="2" customFormat="1" ht="15.75" customHeight="1">
      <c r="A776" s="1006" t="s">
        <v>15</v>
      </c>
      <c r="B776" s="1007"/>
      <c r="C776" s="1007"/>
      <c r="D776" s="1007"/>
      <c r="E776" s="1007"/>
      <c r="F776" s="1007"/>
      <c r="G776" s="1008"/>
    </row>
    <row r="777" spans="1:7" s="2" customFormat="1" ht="15.75" customHeight="1">
      <c r="A777" s="974" t="s">
        <v>2</v>
      </c>
      <c r="B777" s="975"/>
      <c r="C777" s="11" t="s">
        <v>3</v>
      </c>
      <c r="D777" s="11" t="s">
        <v>4</v>
      </c>
      <c r="E777" s="11" t="s">
        <v>6</v>
      </c>
      <c r="F777" s="11" t="s">
        <v>11</v>
      </c>
      <c r="G777" s="967" t="s">
        <v>8</v>
      </c>
    </row>
    <row r="778" spans="1:7" s="2" customFormat="1" ht="15.75" customHeight="1">
      <c r="A778" s="1019" t="s">
        <v>68</v>
      </c>
      <c r="B778" s="1020"/>
      <c r="C778" s="16" t="s">
        <v>3</v>
      </c>
      <c r="D778" s="32">
        <v>0.1</v>
      </c>
      <c r="E778" s="17">
        <f>G771</f>
        <v>5400.5749999999998</v>
      </c>
      <c r="F778" s="14">
        <f>E778*D778</f>
        <v>540.0575</v>
      </c>
      <c r="G778" s="969"/>
    </row>
    <row r="779" spans="1:7" s="2" customFormat="1" ht="15.75" customHeight="1">
      <c r="A779" s="983" t="s">
        <v>17</v>
      </c>
      <c r="B779" s="984"/>
      <c r="C779" s="16" t="s">
        <v>18</v>
      </c>
      <c r="D779" s="12">
        <v>0.1</v>
      </c>
      <c r="E779" s="13">
        <f>+G775</f>
        <v>18404</v>
      </c>
      <c r="F779" s="14">
        <f>E779*D779</f>
        <v>1840.4</v>
      </c>
      <c r="G779" s="15">
        <f>SUM(F778:F779)</f>
        <v>2380.4575</v>
      </c>
    </row>
    <row r="780" spans="1:7" s="2" customFormat="1" ht="15.75" customHeight="1">
      <c r="A780" s="1006" t="s">
        <v>19</v>
      </c>
      <c r="B780" s="1007"/>
      <c r="C780" s="1007"/>
      <c r="D780" s="1007"/>
      <c r="E780" s="1007"/>
      <c r="F780" s="1007"/>
      <c r="G780" s="1008"/>
    </row>
    <row r="781" spans="1:7" s="2" customFormat="1" ht="15.75" customHeight="1">
      <c r="A781" s="974" t="s">
        <v>2</v>
      </c>
      <c r="B781" s="975"/>
      <c r="C781" s="11" t="s">
        <v>3</v>
      </c>
      <c r="D781" s="11" t="s">
        <v>4</v>
      </c>
      <c r="E781" s="11" t="s">
        <v>6</v>
      </c>
      <c r="F781" s="11" t="s">
        <v>11</v>
      </c>
      <c r="G781" s="18" t="s">
        <v>8</v>
      </c>
    </row>
    <row r="782" spans="1:7" s="2" customFormat="1" ht="15.75" customHeight="1">
      <c r="A782" s="978" t="str">
        <f>SALARIOS!$A$61</f>
        <v>CUADRILLA AA ALBAÑILERÍA 1:1</v>
      </c>
      <c r="B782" s="979"/>
      <c r="C782" s="13" t="s">
        <v>1245</v>
      </c>
      <c r="D782" s="32">
        <v>0.3</v>
      </c>
      <c r="E782" s="13">
        <f>SALARIOS!$C$61</f>
        <v>24855</v>
      </c>
      <c r="F782" s="14">
        <f>+D782*E782</f>
        <v>7456.5</v>
      </c>
      <c r="G782" s="15">
        <f>F782</f>
        <v>7456.5</v>
      </c>
    </row>
    <row r="783" spans="1:7" s="2" customFormat="1" ht="15" customHeight="1">
      <c r="A783" s="1009" t="s">
        <v>25</v>
      </c>
      <c r="B783" s="1010"/>
      <c r="C783" s="1010"/>
      <c r="D783" s="1010"/>
      <c r="E783" s="1010"/>
      <c r="F783" s="1010"/>
      <c r="G783" s="1011"/>
    </row>
    <row r="784" spans="1:7" s="2" customFormat="1" ht="15.75" customHeight="1">
      <c r="A784" s="1012"/>
      <c r="B784" s="1013"/>
      <c r="C784" s="1013"/>
      <c r="D784" s="1013"/>
      <c r="E784" s="1013"/>
      <c r="F784" s="1014"/>
      <c r="G784" s="20">
        <f>G782+G779+G775+G771</f>
        <v>33641.532500000001</v>
      </c>
    </row>
    <row r="785" spans="1:7" s="2" customFormat="1" ht="15.75" customHeight="1">
      <c r="A785" s="26"/>
      <c r="B785" s="27"/>
      <c r="C785" s="28"/>
      <c r="D785" s="28"/>
      <c r="E785" s="29"/>
      <c r="F785" s="28"/>
      <c r="G785" s="30"/>
    </row>
    <row r="786" spans="1:7" s="2" customFormat="1" ht="14.25" customHeight="1">
      <c r="A786" s="986" t="s">
        <v>1</v>
      </c>
      <c r="B786" s="987"/>
      <c r="C786" s="992" t="s">
        <v>0</v>
      </c>
      <c r="D786" s="993"/>
      <c r="E786" s="993"/>
      <c r="F786" s="993"/>
      <c r="G786" s="994"/>
    </row>
    <row r="787" spans="1:7" s="2" customFormat="1" ht="48" customHeight="1">
      <c r="A787" s="988"/>
      <c r="B787" s="989"/>
      <c r="C787" s="995"/>
      <c r="D787" s="996"/>
      <c r="E787" s="996"/>
      <c r="F787" s="996"/>
      <c r="G787" s="997"/>
    </row>
    <row r="788" spans="1:7" s="2" customFormat="1" ht="15.75" customHeight="1">
      <c r="A788" s="988"/>
      <c r="B788" s="989"/>
      <c r="C788" s="998"/>
      <c r="D788" s="999"/>
      <c r="E788" s="999"/>
      <c r="F788" s="999"/>
      <c r="G788" s="1000"/>
    </row>
    <row r="789" spans="1:7" s="2" customFormat="1" ht="13.8">
      <c r="A789" s="990"/>
      <c r="B789" s="991"/>
      <c r="C789" s="1001" t="s">
        <v>2</v>
      </c>
      <c r="D789" s="1002"/>
      <c r="E789" s="1003"/>
      <c r="F789" s="23" t="s">
        <v>3</v>
      </c>
      <c r="G789" s="24" t="s">
        <v>4</v>
      </c>
    </row>
    <row r="790" spans="1:7" s="2" customFormat="1" ht="79.5" customHeight="1">
      <c r="A790" s="1004" t="s">
        <v>207</v>
      </c>
      <c r="B790" s="1005"/>
      <c r="C790" s="1017" t="s">
        <v>182</v>
      </c>
      <c r="D790" s="1018"/>
      <c r="E790" s="949"/>
      <c r="F790" s="9" t="s">
        <v>37</v>
      </c>
      <c r="G790" s="25">
        <v>0.6</v>
      </c>
    </row>
    <row r="791" spans="1:7" s="2" customFormat="1" ht="13.8">
      <c r="A791" s="1006" t="s">
        <v>5</v>
      </c>
      <c r="B791" s="1007"/>
      <c r="C791" s="1007"/>
      <c r="D791" s="1007"/>
      <c r="E791" s="1007"/>
      <c r="F791" s="1007"/>
      <c r="G791" s="1008"/>
    </row>
    <row r="792" spans="1:7" s="2" customFormat="1" ht="13.8">
      <c r="A792" s="974" t="s">
        <v>2</v>
      </c>
      <c r="B792" s="975"/>
      <c r="C792" s="11" t="s">
        <v>3</v>
      </c>
      <c r="D792" s="11" t="s">
        <v>4</v>
      </c>
      <c r="E792" s="11" t="s">
        <v>6</v>
      </c>
      <c r="F792" s="11" t="s">
        <v>7</v>
      </c>
      <c r="G792" s="967" t="s">
        <v>8</v>
      </c>
    </row>
    <row r="793" spans="1:7" s="2" customFormat="1" ht="13.8">
      <c r="A793" s="948" t="s">
        <v>9</v>
      </c>
      <c r="B793" s="949"/>
      <c r="C793" s="12" t="s">
        <v>3</v>
      </c>
      <c r="D793" s="9">
        <v>0.05</v>
      </c>
      <c r="E793" s="13">
        <f>G808</f>
        <v>54826</v>
      </c>
      <c r="F793" s="14">
        <f>D793*E793</f>
        <v>2741.3</v>
      </c>
      <c r="G793" s="968"/>
    </row>
    <row r="794" spans="1:7" s="2" customFormat="1" ht="15.75" customHeight="1">
      <c r="A794" s="948" t="s">
        <v>183</v>
      </c>
      <c r="B794" s="949"/>
      <c r="C794" s="12" t="s">
        <v>60</v>
      </c>
      <c r="D794" s="9">
        <v>14</v>
      </c>
      <c r="E794" s="13">
        <f>'MAQUINARIA Y EQUIPOS'!$F$35</f>
        <v>991.27</v>
      </c>
      <c r="F794" s="14">
        <f>D794*E794</f>
        <v>13877.779999999999</v>
      </c>
      <c r="G794" s="968"/>
    </row>
    <row r="795" spans="1:7" s="2" customFormat="1" ht="13.8">
      <c r="A795" s="948" t="s">
        <v>1323</v>
      </c>
      <c r="B795" s="949"/>
      <c r="C795" s="12" t="s">
        <v>60</v>
      </c>
      <c r="D795" s="9">
        <v>3</v>
      </c>
      <c r="E795" s="13">
        <f>'MAQUINARIA Y EQUIPOS'!$F$6</f>
        <v>1142.3999999999999</v>
      </c>
      <c r="F795" s="14">
        <f>D795*E795</f>
        <v>3427.2</v>
      </c>
      <c r="G795" s="968"/>
    </row>
    <row r="796" spans="1:7" s="2" customFormat="1" ht="13.8">
      <c r="A796" s="983" t="s">
        <v>101</v>
      </c>
      <c r="B796" s="984"/>
      <c r="C796" s="12" t="s">
        <v>60</v>
      </c>
      <c r="D796" s="9">
        <v>0.08</v>
      </c>
      <c r="E796" s="13">
        <f>'MAQUINARIA Y EQUIPOS'!$F$19</f>
        <v>45763.829999999994</v>
      </c>
      <c r="F796" s="14">
        <f>D796*E796</f>
        <v>3661.1063999999997</v>
      </c>
      <c r="G796" s="969"/>
    </row>
    <row r="797" spans="1:7" s="2" customFormat="1" ht="13.8">
      <c r="A797" s="948"/>
      <c r="B797" s="949"/>
      <c r="C797" s="9"/>
      <c r="D797" s="9"/>
      <c r="E797" s="13"/>
      <c r="F797" s="14"/>
      <c r="G797" s="15">
        <f>SUM(F792:F797)</f>
        <v>23707.386399999999</v>
      </c>
    </row>
    <row r="798" spans="1:7" s="2" customFormat="1" ht="15.75" customHeight="1">
      <c r="A798" s="1006" t="s">
        <v>10</v>
      </c>
      <c r="B798" s="1007"/>
      <c r="C798" s="1007"/>
      <c r="D798" s="1007"/>
      <c r="E798" s="1007"/>
      <c r="F798" s="1007"/>
      <c r="G798" s="1008"/>
    </row>
    <row r="799" spans="1:7" s="2" customFormat="1" ht="15.75" customHeight="1">
      <c r="A799" s="974" t="s">
        <v>2</v>
      </c>
      <c r="B799" s="975"/>
      <c r="C799" s="11" t="s">
        <v>3</v>
      </c>
      <c r="D799" s="11" t="s">
        <v>4</v>
      </c>
      <c r="E799" s="11" t="s">
        <v>6</v>
      </c>
      <c r="F799" s="11" t="s">
        <v>11</v>
      </c>
      <c r="G799" s="967" t="s">
        <v>8</v>
      </c>
    </row>
    <row r="800" spans="1:7" s="2" customFormat="1" ht="15.75" customHeight="1">
      <c r="A800" s="948" t="s">
        <v>306</v>
      </c>
      <c r="B800" s="949"/>
      <c r="C800" s="12" t="s">
        <v>39</v>
      </c>
      <c r="D800" s="12">
        <v>0.2</v>
      </c>
      <c r="E800" s="13">
        <f>SUBANÁLISIS!$G$31</f>
        <v>570669.8666666667</v>
      </c>
      <c r="F800" s="14">
        <f>D800*E800</f>
        <v>114133.97333333334</v>
      </c>
      <c r="G800" s="969"/>
    </row>
    <row r="801" spans="1:7" s="2" customFormat="1" ht="15.75" customHeight="1">
      <c r="A801" s="948"/>
      <c r="B801" s="949"/>
      <c r="C801" s="12"/>
      <c r="D801" s="33"/>
      <c r="E801" s="13"/>
      <c r="F801" s="14"/>
      <c r="G801" s="15">
        <f>SUM(F799:F801)</f>
        <v>114133.97333333334</v>
      </c>
    </row>
    <row r="802" spans="1:7" s="2" customFormat="1" ht="15.75" customHeight="1">
      <c r="A802" s="1006" t="s">
        <v>15</v>
      </c>
      <c r="B802" s="1007"/>
      <c r="C802" s="1007"/>
      <c r="D802" s="1007"/>
      <c r="E802" s="1007"/>
      <c r="F802" s="1007"/>
      <c r="G802" s="1008"/>
    </row>
    <row r="803" spans="1:7" s="2" customFormat="1" ht="13.8">
      <c r="A803" s="974" t="s">
        <v>2</v>
      </c>
      <c r="B803" s="975"/>
      <c r="C803" s="11" t="s">
        <v>3</v>
      </c>
      <c r="D803" s="11" t="s">
        <v>4</v>
      </c>
      <c r="E803" s="11" t="s">
        <v>6</v>
      </c>
      <c r="F803" s="11" t="s">
        <v>11</v>
      </c>
      <c r="G803" s="967" t="s">
        <v>8</v>
      </c>
    </row>
    <row r="804" spans="1:7" s="2" customFormat="1" ht="15.75" customHeight="1">
      <c r="A804" s="1019" t="s">
        <v>68</v>
      </c>
      <c r="B804" s="1020"/>
      <c r="C804" s="16" t="s">
        <v>3</v>
      </c>
      <c r="D804" s="54">
        <v>3.5000000000000003E-2</v>
      </c>
      <c r="E804" s="17">
        <f>G797</f>
        <v>23707.386399999999</v>
      </c>
      <c r="F804" s="14">
        <f>E804*D804</f>
        <v>829.75852400000008</v>
      </c>
      <c r="G804" s="968"/>
    </row>
    <row r="805" spans="1:7" s="2" customFormat="1" ht="15.75" customHeight="1">
      <c r="A805" s="47"/>
      <c r="B805" s="38"/>
      <c r="C805" s="38"/>
      <c r="D805" s="38"/>
      <c r="E805" s="38"/>
      <c r="F805" s="38"/>
      <c r="G805" s="15">
        <f>SUM(F804:F805)</f>
        <v>829.75852400000008</v>
      </c>
    </row>
    <row r="806" spans="1:7" s="2" customFormat="1" ht="15.75" customHeight="1">
      <c r="A806" s="1006" t="s">
        <v>19</v>
      </c>
      <c r="B806" s="1007"/>
      <c r="C806" s="1007"/>
      <c r="D806" s="1007"/>
      <c r="E806" s="1007"/>
      <c r="F806" s="1007"/>
      <c r="G806" s="1008"/>
    </row>
    <row r="807" spans="1:7" s="2" customFormat="1" ht="15.75" customHeight="1">
      <c r="A807" s="974" t="s">
        <v>2</v>
      </c>
      <c r="B807" s="975"/>
      <c r="C807" s="11" t="s">
        <v>3</v>
      </c>
      <c r="D807" s="11" t="s">
        <v>4</v>
      </c>
      <c r="E807" s="11" t="s">
        <v>6</v>
      </c>
      <c r="F807" s="11" t="s">
        <v>11</v>
      </c>
      <c r="G807" s="456" t="s">
        <v>8</v>
      </c>
    </row>
    <row r="808" spans="1:7" s="2" customFormat="1" ht="15" customHeight="1">
      <c r="A808" s="978" t="str">
        <f>SALARIOS!$A$105</f>
        <v>CUADRILLA DD CONCRETOS 1:4</v>
      </c>
      <c r="B808" s="979"/>
      <c r="C808" s="13" t="s">
        <v>1245</v>
      </c>
      <c r="D808" s="32">
        <v>1</v>
      </c>
      <c r="E808" s="13">
        <f>SALARIOS!$C$105</f>
        <v>54826</v>
      </c>
      <c r="F808" s="14">
        <f>+D808*E808</f>
        <v>54826</v>
      </c>
      <c r="G808" s="15">
        <f>F808</f>
        <v>54826</v>
      </c>
    </row>
    <row r="809" spans="1:7" s="2" customFormat="1" ht="15.75" customHeight="1">
      <c r="A809" s="1009" t="s">
        <v>25</v>
      </c>
      <c r="B809" s="1010"/>
      <c r="C809" s="1010"/>
      <c r="D809" s="1010"/>
      <c r="E809" s="1010"/>
      <c r="F809" s="1010"/>
      <c r="G809" s="1011"/>
    </row>
    <row r="810" spans="1:7" s="2" customFormat="1" ht="15.75" customHeight="1">
      <c r="A810" s="1012"/>
      <c r="B810" s="1013"/>
      <c r="C810" s="1013"/>
      <c r="D810" s="1013"/>
      <c r="E810" s="1013"/>
      <c r="F810" s="1014"/>
      <c r="G810" s="20">
        <f>G808+G805+G801+G797</f>
        <v>193497.11825733332</v>
      </c>
    </row>
    <row r="811" spans="1:7" s="2" customFormat="1" ht="15.75" customHeight="1">
      <c r="A811" s="26"/>
      <c r="B811" s="27"/>
      <c r="C811" s="28"/>
      <c r="D811" s="28"/>
      <c r="E811" s="29"/>
      <c r="F811" s="28"/>
      <c r="G811" s="30"/>
    </row>
    <row r="812" spans="1:7" s="2" customFormat="1" ht="15.75" customHeight="1">
      <c r="A812" s="986" t="s">
        <v>1</v>
      </c>
      <c r="B812" s="987"/>
      <c r="C812" s="992" t="s">
        <v>0</v>
      </c>
      <c r="D812" s="993"/>
      <c r="E812" s="993"/>
      <c r="F812" s="993"/>
      <c r="G812" s="994"/>
    </row>
    <row r="813" spans="1:7" s="2" customFormat="1" ht="50.25" customHeight="1">
      <c r="A813" s="988"/>
      <c r="B813" s="989"/>
      <c r="C813" s="995"/>
      <c r="D813" s="996"/>
      <c r="E813" s="996"/>
      <c r="F813" s="996"/>
      <c r="G813" s="997"/>
    </row>
    <row r="814" spans="1:7" s="2" customFormat="1" ht="15.75" customHeight="1">
      <c r="A814" s="988"/>
      <c r="B814" s="989"/>
      <c r="C814" s="998"/>
      <c r="D814" s="999"/>
      <c r="E814" s="999"/>
      <c r="F814" s="999"/>
      <c r="G814" s="1000"/>
    </row>
    <row r="815" spans="1:7" s="2" customFormat="1" ht="15.75" customHeight="1">
      <c r="A815" s="990"/>
      <c r="B815" s="991"/>
      <c r="C815" s="1001" t="s">
        <v>2</v>
      </c>
      <c r="D815" s="1002"/>
      <c r="E815" s="1003"/>
      <c r="F815" s="23" t="s">
        <v>3</v>
      </c>
      <c r="G815" s="24" t="s">
        <v>4</v>
      </c>
    </row>
    <row r="816" spans="1:7" s="2" customFormat="1" ht="66" customHeight="1">
      <c r="A816" s="1004" t="s">
        <v>208</v>
      </c>
      <c r="B816" s="1005"/>
      <c r="C816" s="1017" t="s">
        <v>209</v>
      </c>
      <c r="D816" s="1018"/>
      <c r="E816" s="949"/>
      <c r="F816" s="9" t="s">
        <v>100</v>
      </c>
      <c r="G816" s="25">
        <v>111.52</v>
      </c>
    </row>
    <row r="817" spans="1:7" s="2" customFormat="1" ht="16.5" customHeight="1">
      <c r="A817" s="1006" t="s">
        <v>5</v>
      </c>
      <c r="B817" s="1007"/>
      <c r="C817" s="1007"/>
      <c r="D817" s="1007"/>
      <c r="E817" s="1007"/>
      <c r="F817" s="1007"/>
      <c r="G817" s="1008"/>
    </row>
    <row r="818" spans="1:7" s="2" customFormat="1" ht="15.75" customHeight="1">
      <c r="A818" s="974" t="s">
        <v>2</v>
      </c>
      <c r="B818" s="975"/>
      <c r="C818" s="11" t="s">
        <v>3</v>
      </c>
      <c r="D818" s="11" t="s">
        <v>4</v>
      </c>
      <c r="E818" s="11" t="s">
        <v>6</v>
      </c>
      <c r="F818" s="11" t="s">
        <v>7</v>
      </c>
      <c r="G818" s="967" t="s">
        <v>8</v>
      </c>
    </row>
    <row r="819" spans="1:7" s="2" customFormat="1" ht="15.75" customHeight="1">
      <c r="A819" s="948" t="s">
        <v>9</v>
      </c>
      <c r="B819" s="949"/>
      <c r="C819" s="12" t="s">
        <v>3</v>
      </c>
      <c r="D819" s="9">
        <v>0.05</v>
      </c>
      <c r="E819" s="13">
        <f>G835</f>
        <v>2485.5</v>
      </c>
      <c r="F819" s="14">
        <f>D819*E819</f>
        <v>124.27500000000001</v>
      </c>
      <c r="G819" s="969"/>
    </row>
    <row r="820" spans="1:7" s="2" customFormat="1" ht="13.8">
      <c r="A820" s="948"/>
      <c r="B820" s="949"/>
      <c r="C820" s="9"/>
      <c r="D820" s="9"/>
      <c r="E820" s="13"/>
      <c r="F820" s="14"/>
      <c r="G820" s="15">
        <f>SUM(F818:F820)</f>
        <v>124.27500000000001</v>
      </c>
    </row>
    <row r="821" spans="1:7" s="2" customFormat="1" ht="15.75" customHeight="1">
      <c r="A821" s="1006" t="s">
        <v>10</v>
      </c>
      <c r="B821" s="1007"/>
      <c r="C821" s="1007"/>
      <c r="D821" s="1007"/>
      <c r="E821" s="1007"/>
      <c r="F821" s="1007"/>
      <c r="G821" s="1008"/>
    </row>
    <row r="822" spans="1:7" s="2" customFormat="1" ht="15.75" customHeight="1">
      <c r="A822" s="974" t="s">
        <v>2</v>
      </c>
      <c r="B822" s="975"/>
      <c r="C822" s="11" t="s">
        <v>3</v>
      </c>
      <c r="D822" s="11" t="s">
        <v>4</v>
      </c>
      <c r="E822" s="11" t="s">
        <v>6</v>
      </c>
      <c r="F822" s="11" t="s">
        <v>11</v>
      </c>
      <c r="G822" s="967" t="s">
        <v>8</v>
      </c>
    </row>
    <row r="823" spans="1:7" s="2" customFormat="1" ht="14.25" customHeight="1">
      <c r="A823" s="948" t="s">
        <v>186</v>
      </c>
      <c r="B823" s="949"/>
      <c r="C823" s="12" t="s">
        <v>45</v>
      </c>
      <c r="D823" s="12">
        <v>2</v>
      </c>
      <c r="E823" s="13">
        <f>'INSUMOS '!$E$10</f>
        <v>5900</v>
      </c>
      <c r="F823" s="14">
        <f>D823*E823</f>
        <v>11800</v>
      </c>
      <c r="G823" s="968"/>
    </row>
    <row r="824" spans="1:7" s="2" customFormat="1" ht="14.25" customHeight="1">
      <c r="A824" s="948" t="s">
        <v>1036</v>
      </c>
      <c r="B824" s="949"/>
      <c r="C824" s="12" t="s">
        <v>39</v>
      </c>
      <c r="D824" s="34">
        <v>1.5E-3</v>
      </c>
      <c r="E824" s="13">
        <f>SUBANÁLISIS!$G$146</f>
        <v>702267.57499999995</v>
      </c>
      <c r="F824" s="14">
        <f>D824*E824</f>
        <v>1053.4013625</v>
      </c>
      <c r="G824" s="968"/>
    </row>
    <row r="825" spans="1:7" s="2" customFormat="1" ht="13.8">
      <c r="A825" s="948" t="s">
        <v>187</v>
      </c>
      <c r="B825" s="949"/>
      <c r="C825" s="12" t="s">
        <v>188</v>
      </c>
      <c r="D825" s="12">
        <v>0.08</v>
      </c>
      <c r="E825" s="13">
        <f>'INSUMOS '!$E$78</f>
        <v>13733.333333333334</v>
      </c>
      <c r="F825" s="14">
        <f>D825*E825</f>
        <v>1098.6666666666667</v>
      </c>
      <c r="G825" s="968"/>
    </row>
    <row r="826" spans="1:7" s="2" customFormat="1" ht="15.75" customHeight="1">
      <c r="A826" s="948" t="s">
        <v>189</v>
      </c>
      <c r="B826" s="949"/>
      <c r="C826" s="12" t="s">
        <v>190</v>
      </c>
      <c r="D826" s="12">
        <v>0.06</v>
      </c>
      <c r="E826" s="13">
        <f>'INSUMOS '!$E$148</f>
        <v>302900</v>
      </c>
      <c r="F826" s="14">
        <f>D826*E826</f>
        <v>18174</v>
      </c>
      <c r="G826" s="969"/>
    </row>
    <row r="827" spans="1:7" s="2" customFormat="1" ht="15.75" customHeight="1">
      <c r="A827" s="948"/>
      <c r="B827" s="949"/>
      <c r="C827" s="12"/>
      <c r="D827" s="33"/>
      <c r="E827" s="13"/>
      <c r="F827" s="14"/>
      <c r="G827" s="15">
        <f>SUM(F822:F827)</f>
        <v>32126.068029166665</v>
      </c>
    </row>
    <row r="828" spans="1:7" s="2" customFormat="1" ht="13.8">
      <c r="A828" s="1006" t="s">
        <v>15</v>
      </c>
      <c r="B828" s="1007"/>
      <c r="C828" s="1007"/>
      <c r="D828" s="1007"/>
      <c r="E828" s="1007"/>
      <c r="F828" s="1007"/>
      <c r="G828" s="1008"/>
    </row>
    <row r="829" spans="1:7" s="2" customFormat="1" ht="15.75" customHeight="1">
      <c r="A829" s="974" t="s">
        <v>2</v>
      </c>
      <c r="B829" s="975"/>
      <c r="C829" s="11" t="s">
        <v>3</v>
      </c>
      <c r="D829" s="11" t="s">
        <v>4</v>
      </c>
      <c r="E829" s="11" t="s">
        <v>6</v>
      </c>
      <c r="F829" s="11" t="s">
        <v>11</v>
      </c>
      <c r="G829" s="967" t="s">
        <v>8</v>
      </c>
    </row>
    <row r="830" spans="1:7" s="2" customFormat="1" ht="15.75" customHeight="1">
      <c r="A830" s="1019" t="s">
        <v>68</v>
      </c>
      <c r="B830" s="1020"/>
      <c r="C830" s="16" t="s">
        <v>3</v>
      </c>
      <c r="D830" s="54">
        <v>3.5000000000000003E-2</v>
      </c>
      <c r="E830" s="17">
        <f>G820</f>
        <v>124.27500000000001</v>
      </c>
      <c r="F830" s="14">
        <f>E830*D830</f>
        <v>4.3496250000000005</v>
      </c>
      <c r="G830" s="968"/>
    </row>
    <row r="831" spans="1:7" s="2" customFormat="1" ht="15.75" customHeight="1">
      <c r="A831" s="1019" t="s">
        <v>191</v>
      </c>
      <c r="B831" s="1020"/>
      <c r="C831" s="16" t="s">
        <v>18</v>
      </c>
      <c r="D831" s="54">
        <v>3.5000000000000003E-2</v>
      </c>
      <c r="E831" s="17">
        <f>G827</f>
        <v>32126.068029166665</v>
      </c>
      <c r="F831" s="14">
        <f>E831*D831</f>
        <v>1124.4123810208334</v>
      </c>
      <c r="G831" s="969"/>
    </row>
    <row r="832" spans="1:7" s="2" customFormat="1" ht="15.75" customHeight="1">
      <c r="A832" s="1025"/>
      <c r="B832" s="1026"/>
      <c r="C832" s="38"/>
      <c r="D832" s="38"/>
      <c r="E832" s="38"/>
      <c r="F832" s="38"/>
      <c r="G832" s="15">
        <f>SUM(F830:F832)</f>
        <v>1128.7620060208335</v>
      </c>
    </row>
    <row r="833" spans="1:7" s="2" customFormat="1" ht="15.75" customHeight="1">
      <c r="A833" s="1006" t="s">
        <v>19</v>
      </c>
      <c r="B833" s="1007"/>
      <c r="C833" s="1007"/>
      <c r="D833" s="1007"/>
      <c r="E833" s="1007"/>
      <c r="F833" s="1007"/>
      <c r="G833" s="1008"/>
    </row>
    <row r="834" spans="1:7" s="2" customFormat="1" ht="15.75" customHeight="1">
      <c r="A834" s="974" t="s">
        <v>2</v>
      </c>
      <c r="B834" s="975"/>
      <c r="C834" s="11" t="s">
        <v>3</v>
      </c>
      <c r="D834" s="11" t="s">
        <v>4</v>
      </c>
      <c r="E834" s="11" t="s">
        <v>6</v>
      </c>
      <c r="F834" s="11" t="s">
        <v>11</v>
      </c>
      <c r="G834" s="18" t="s">
        <v>8</v>
      </c>
    </row>
    <row r="835" spans="1:7" s="2" customFormat="1" ht="15" customHeight="1">
      <c r="A835" s="978" t="str">
        <f>SALARIOS!$A$61</f>
        <v>CUADRILLA AA ALBAÑILERÍA 1:1</v>
      </c>
      <c r="B835" s="979"/>
      <c r="C835" s="13" t="s">
        <v>1245</v>
      </c>
      <c r="D835" s="32">
        <v>0.1</v>
      </c>
      <c r="E835" s="13">
        <f>SALARIOS!$C$61</f>
        <v>24855</v>
      </c>
      <c r="F835" s="14">
        <f>+D835*E835</f>
        <v>2485.5</v>
      </c>
      <c r="G835" s="15">
        <f>F835</f>
        <v>2485.5</v>
      </c>
    </row>
    <row r="836" spans="1:7" s="2" customFormat="1" ht="13.8">
      <c r="A836" s="1009" t="s">
        <v>25</v>
      </c>
      <c r="B836" s="1010"/>
      <c r="C836" s="1010"/>
      <c r="D836" s="1010"/>
      <c r="E836" s="1010"/>
      <c r="F836" s="1010"/>
      <c r="G836" s="1011"/>
    </row>
    <row r="837" spans="1:7" s="2" customFormat="1" ht="17.399999999999999">
      <c r="A837" s="1012"/>
      <c r="B837" s="1013"/>
      <c r="C837" s="1013"/>
      <c r="D837" s="1013"/>
      <c r="E837" s="1013"/>
      <c r="F837" s="1014"/>
      <c r="G837" s="20">
        <f>G835+G832+G827+G820</f>
        <v>35864.605035187502</v>
      </c>
    </row>
    <row r="838" spans="1:7" s="2" customFormat="1" ht="15.75" customHeight="1">
      <c r="A838" s="26"/>
      <c r="B838" s="27"/>
      <c r="C838" s="28"/>
      <c r="D838" s="28"/>
      <c r="E838" s="29"/>
      <c r="F838" s="28"/>
      <c r="G838" s="30"/>
    </row>
    <row r="839" spans="1:7" s="2" customFormat="1" ht="15.75" customHeight="1">
      <c r="A839" s="986" t="s">
        <v>1</v>
      </c>
      <c r="B839" s="987"/>
      <c r="C839" s="992" t="s">
        <v>0</v>
      </c>
      <c r="D839" s="993"/>
      <c r="E839" s="993"/>
      <c r="F839" s="993"/>
      <c r="G839" s="994"/>
    </row>
    <row r="840" spans="1:7" s="2" customFormat="1" ht="48.75" customHeight="1">
      <c r="A840" s="988"/>
      <c r="B840" s="989"/>
      <c r="C840" s="995"/>
      <c r="D840" s="996"/>
      <c r="E840" s="996"/>
      <c r="F840" s="996"/>
      <c r="G840" s="997"/>
    </row>
    <row r="841" spans="1:7" s="2" customFormat="1" ht="15.75" customHeight="1">
      <c r="A841" s="988"/>
      <c r="B841" s="989"/>
      <c r="C841" s="998"/>
      <c r="D841" s="999"/>
      <c r="E841" s="999"/>
      <c r="F841" s="999"/>
      <c r="G841" s="1000"/>
    </row>
    <row r="842" spans="1:7" s="2" customFormat="1" ht="15.75" customHeight="1">
      <c r="A842" s="990"/>
      <c r="B842" s="991"/>
      <c r="C842" s="1001" t="s">
        <v>2</v>
      </c>
      <c r="D842" s="1002"/>
      <c r="E842" s="1003"/>
      <c r="F842" s="23" t="s">
        <v>3</v>
      </c>
      <c r="G842" s="24" t="s">
        <v>4</v>
      </c>
    </row>
    <row r="843" spans="1:7" s="2" customFormat="1" ht="216" customHeight="1">
      <c r="A843" s="1004" t="s">
        <v>210</v>
      </c>
      <c r="B843" s="1005"/>
      <c r="C843" s="1017" t="s">
        <v>201</v>
      </c>
      <c r="D843" s="1018"/>
      <c r="E843" s="949"/>
      <c r="F843" s="9" t="s">
        <v>37</v>
      </c>
      <c r="G843" s="25">
        <v>212.99</v>
      </c>
    </row>
    <row r="844" spans="1:7" s="2" customFormat="1" ht="15.75" customHeight="1">
      <c r="A844" s="1006" t="s">
        <v>5</v>
      </c>
      <c r="B844" s="1007"/>
      <c r="C844" s="1007"/>
      <c r="D844" s="1007"/>
      <c r="E844" s="1007"/>
      <c r="F844" s="1007"/>
      <c r="G844" s="1008"/>
    </row>
    <row r="845" spans="1:7" s="2" customFormat="1" ht="15.75" customHeight="1">
      <c r="A845" s="974" t="s">
        <v>2</v>
      </c>
      <c r="B845" s="975"/>
      <c r="C845" s="11" t="s">
        <v>3</v>
      </c>
      <c r="D845" s="11" t="s">
        <v>4</v>
      </c>
      <c r="E845" s="11" t="s">
        <v>6</v>
      </c>
      <c r="F845" s="11" t="s">
        <v>7</v>
      </c>
      <c r="G845" s="967" t="s">
        <v>8</v>
      </c>
    </row>
    <row r="846" spans="1:7" s="2" customFormat="1" ht="13.8">
      <c r="A846" s="948" t="s">
        <v>9</v>
      </c>
      <c r="B846" s="949"/>
      <c r="C846" s="12" t="s">
        <v>3</v>
      </c>
      <c r="D846" s="9">
        <v>0.05</v>
      </c>
      <c r="E846" s="13">
        <f>G861</f>
        <v>24855</v>
      </c>
      <c r="F846" s="14">
        <f>D846*E846</f>
        <v>1242.75</v>
      </c>
      <c r="G846" s="968"/>
    </row>
    <row r="847" spans="1:7" s="2" customFormat="1" ht="15.75" customHeight="1">
      <c r="A847" s="983" t="s">
        <v>112</v>
      </c>
      <c r="B847" s="984"/>
      <c r="C847" s="12" t="s">
        <v>58</v>
      </c>
      <c r="D847" s="9">
        <v>0.04</v>
      </c>
      <c r="E847" s="13">
        <f>'MAQUINARIA Y EQUIPOS'!F23</f>
        <v>28203</v>
      </c>
      <c r="F847" s="14">
        <f>D847*E847</f>
        <v>1128.1200000000001</v>
      </c>
      <c r="G847" s="968"/>
    </row>
    <row r="848" spans="1:7" s="2" customFormat="1" ht="14.25" customHeight="1">
      <c r="A848" s="948" t="s">
        <v>113</v>
      </c>
      <c r="B848" s="949"/>
      <c r="C848" s="12" t="s">
        <v>58</v>
      </c>
      <c r="D848" s="9">
        <v>0.3</v>
      </c>
      <c r="E848" s="13">
        <f>'MAQUINARIA Y EQUIPOS'!F10</f>
        <v>3272.5</v>
      </c>
      <c r="F848" s="14">
        <f>D848*E848</f>
        <v>981.75</v>
      </c>
      <c r="G848" s="969"/>
    </row>
    <row r="849" spans="1:7" s="2" customFormat="1" ht="15.75" customHeight="1">
      <c r="A849" s="948" t="s">
        <v>61</v>
      </c>
      <c r="B849" s="949"/>
      <c r="C849" s="12" t="s">
        <v>58</v>
      </c>
      <c r="D849" s="9">
        <v>0.1</v>
      </c>
      <c r="E849" s="13">
        <f>'MAQUINARIA Y EQUIPOS'!F18</f>
        <v>40460</v>
      </c>
      <c r="F849" s="14">
        <f>D849*E849</f>
        <v>4046</v>
      </c>
      <c r="G849" s="15">
        <f>SUM(F845:F849)</f>
        <v>7398.62</v>
      </c>
    </row>
    <row r="850" spans="1:7" s="2" customFormat="1" ht="15.75" customHeight="1">
      <c r="A850" s="1006" t="s">
        <v>10</v>
      </c>
      <c r="B850" s="1007"/>
      <c r="C850" s="1007"/>
      <c r="D850" s="1007"/>
      <c r="E850" s="1007"/>
      <c r="F850" s="1007"/>
      <c r="G850" s="1008"/>
    </row>
    <row r="851" spans="1:7" s="2" customFormat="1" ht="15.75" customHeight="1">
      <c r="A851" s="974" t="s">
        <v>2</v>
      </c>
      <c r="B851" s="975"/>
      <c r="C851" s="11" t="s">
        <v>3</v>
      </c>
      <c r="D851" s="11" t="s">
        <v>4</v>
      </c>
      <c r="E851" s="11" t="s">
        <v>6</v>
      </c>
      <c r="F851" s="11" t="s">
        <v>11</v>
      </c>
      <c r="G851" s="967" t="s">
        <v>8</v>
      </c>
    </row>
    <row r="852" spans="1:7" s="2" customFormat="1" ht="15.75" customHeight="1">
      <c r="A852" s="948" t="s">
        <v>114</v>
      </c>
      <c r="B852" s="949"/>
      <c r="C852" s="12" t="s">
        <v>39</v>
      </c>
      <c r="D852" s="12">
        <v>0.02</v>
      </c>
      <c r="E852" s="13">
        <f>SUBANÁLISIS!G146</f>
        <v>702267.57499999995</v>
      </c>
      <c r="F852" s="14">
        <f>D852*E852</f>
        <v>14045.351499999999</v>
      </c>
      <c r="G852" s="968"/>
    </row>
    <row r="853" spans="1:7" s="2" customFormat="1" ht="15.75" customHeight="1">
      <c r="A853" s="948" t="s">
        <v>115</v>
      </c>
      <c r="B853" s="949"/>
      <c r="C853" s="12" t="s">
        <v>3</v>
      </c>
      <c r="D853" s="12">
        <v>0.03</v>
      </c>
      <c r="E853" s="13">
        <f>'INSUMOS '!E28</f>
        <v>51900</v>
      </c>
      <c r="F853" s="14">
        <f>D853*E853</f>
        <v>1557</v>
      </c>
      <c r="G853" s="969"/>
    </row>
    <row r="854" spans="1:7" s="2" customFormat="1" ht="15.75" customHeight="1">
      <c r="A854" s="948" t="s">
        <v>211</v>
      </c>
      <c r="B854" s="949"/>
      <c r="C854" s="12" t="s">
        <v>3</v>
      </c>
      <c r="D854" s="33">
        <v>25</v>
      </c>
      <c r="E854" s="13">
        <f>'INSUMOS '!E45</f>
        <v>3253.46</v>
      </c>
      <c r="F854" s="14">
        <f>E854*D854</f>
        <v>81336.5</v>
      </c>
      <c r="G854" s="15">
        <f>SUM(F851:F854)</f>
        <v>96938.851500000004</v>
      </c>
    </row>
    <row r="855" spans="1:7" s="2" customFormat="1" ht="13.8">
      <c r="A855" s="1006" t="s">
        <v>15</v>
      </c>
      <c r="B855" s="1007"/>
      <c r="C855" s="1007"/>
      <c r="D855" s="1007"/>
      <c r="E855" s="1007"/>
      <c r="F855" s="1007"/>
      <c r="G855" s="1008"/>
    </row>
    <row r="856" spans="1:7" s="2" customFormat="1" ht="13.8">
      <c r="A856" s="974" t="s">
        <v>2</v>
      </c>
      <c r="B856" s="975"/>
      <c r="C856" s="11" t="s">
        <v>3</v>
      </c>
      <c r="D856" s="11" t="s">
        <v>4</v>
      </c>
      <c r="E856" s="11" t="s">
        <v>6</v>
      </c>
      <c r="F856" s="11" t="s">
        <v>7</v>
      </c>
      <c r="G856" s="967" t="s">
        <v>8</v>
      </c>
    </row>
    <row r="857" spans="1:7" s="2" customFormat="1" ht="15.75" customHeight="1">
      <c r="A857" s="1019" t="s">
        <v>68</v>
      </c>
      <c r="B857" s="1020"/>
      <c r="C857" s="16" t="s">
        <v>3</v>
      </c>
      <c r="D857" s="54">
        <v>3.5000000000000003E-2</v>
      </c>
      <c r="E857" s="17">
        <f>G849</f>
        <v>7398.62</v>
      </c>
      <c r="F857" s="14">
        <f>E857*D857</f>
        <v>258.95170000000002</v>
      </c>
      <c r="G857" s="969"/>
    </row>
    <row r="858" spans="1:7" s="2" customFormat="1" ht="15.75" customHeight="1">
      <c r="A858" s="1019" t="s">
        <v>17</v>
      </c>
      <c r="B858" s="1020"/>
      <c r="C858" s="16" t="s">
        <v>18</v>
      </c>
      <c r="D858" s="54">
        <v>3.5000000000000003E-2</v>
      </c>
      <c r="E858" s="17">
        <f>+G854</f>
        <v>96938.851500000004</v>
      </c>
      <c r="F858" s="14">
        <f>E858*D858</f>
        <v>3392.8598025000006</v>
      </c>
      <c r="G858" s="15">
        <f>SUM(F857:F858)</f>
        <v>3651.8115025000006</v>
      </c>
    </row>
    <row r="859" spans="1:7" s="2" customFormat="1" ht="13.8">
      <c r="A859" s="1006" t="s">
        <v>19</v>
      </c>
      <c r="B859" s="1007"/>
      <c r="C859" s="1007"/>
      <c r="D859" s="1007"/>
      <c r="E859" s="1007"/>
      <c r="F859" s="1007"/>
      <c r="G859" s="1008"/>
    </row>
    <row r="860" spans="1:7" s="2" customFormat="1" ht="13.8">
      <c r="A860" s="974" t="s">
        <v>2</v>
      </c>
      <c r="B860" s="975"/>
      <c r="C860" s="11" t="s">
        <v>3</v>
      </c>
      <c r="D860" s="11" t="s">
        <v>4</v>
      </c>
      <c r="E860" s="11" t="s">
        <v>6</v>
      </c>
      <c r="F860" s="11" t="s">
        <v>7</v>
      </c>
      <c r="G860" s="18" t="s">
        <v>8</v>
      </c>
    </row>
    <row r="861" spans="1:7" s="2" customFormat="1" ht="15" customHeight="1">
      <c r="A861" s="978" t="str">
        <f>SALARIOS!$A$61</f>
        <v>CUADRILLA AA ALBAÑILERÍA 1:1</v>
      </c>
      <c r="B861" s="979"/>
      <c r="C861" s="13" t="s">
        <v>1245</v>
      </c>
      <c r="D861" s="32">
        <v>1</v>
      </c>
      <c r="E861" s="13">
        <f>SALARIOS!$C$61</f>
        <v>24855</v>
      </c>
      <c r="F861" s="14">
        <f>+D861*E861</f>
        <v>24855</v>
      </c>
      <c r="G861" s="15">
        <f>F861</f>
        <v>24855</v>
      </c>
    </row>
    <row r="862" spans="1:7" s="2" customFormat="1" ht="15.75" customHeight="1">
      <c r="A862" s="1009" t="s">
        <v>25</v>
      </c>
      <c r="B862" s="1010"/>
      <c r="C862" s="1010"/>
      <c r="D862" s="1010"/>
      <c r="E862" s="1010"/>
      <c r="F862" s="1010"/>
      <c r="G862" s="1011"/>
    </row>
    <row r="863" spans="1:7" s="2" customFormat="1" ht="15.75" customHeight="1">
      <c r="A863" s="1012"/>
      <c r="B863" s="1013"/>
      <c r="C863" s="1013"/>
      <c r="D863" s="1013"/>
      <c r="E863" s="1013"/>
      <c r="F863" s="1014"/>
      <c r="G863" s="20">
        <f>G861+G858+G854+G849</f>
        <v>132844.28300250001</v>
      </c>
    </row>
    <row r="864" spans="1:7" s="2" customFormat="1" ht="15.75" customHeight="1">
      <c r="A864" s="26"/>
      <c r="B864" s="27"/>
      <c r="C864" s="28"/>
      <c r="D864" s="28"/>
      <c r="E864" s="29"/>
      <c r="F864" s="28"/>
      <c r="G864" s="30"/>
    </row>
    <row r="865" spans="1:7" s="2" customFormat="1" ht="15.75" customHeight="1">
      <c r="A865" s="986" t="s">
        <v>1</v>
      </c>
      <c r="B865" s="987"/>
      <c r="C865" s="992" t="s">
        <v>0</v>
      </c>
      <c r="D865" s="993"/>
      <c r="E865" s="993"/>
      <c r="F865" s="993"/>
      <c r="G865" s="994"/>
    </row>
    <row r="866" spans="1:7" s="2" customFormat="1" ht="57" customHeight="1">
      <c r="A866" s="988"/>
      <c r="B866" s="989"/>
      <c r="C866" s="995"/>
      <c r="D866" s="996"/>
      <c r="E866" s="996"/>
      <c r="F866" s="996"/>
      <c r="G866" s="997"/>
    </row>
    <row r="867" spans="1:7" s="2" customFormat="1" ht="15.75" customHeight="1">
      <c r="A867" s="988"/>
      <c r="B867" s="989"/>
      <c r="C867" s="998"/>
      <c r="D867" s="999"/>
      <c r="E867" s="999"/>
      <c r="F867" s="999"/>
      <c r="G867" s="1000"/>
    </row>
    <row r="868" spans="1:7" s="2" customFormat="1" ht="15.75" customHeight="1">
      <c r="A868" s="990"/>
      <c r="B868" s="991"/>
      <c r="C868" s="1001" t="s">
        <v>2</v>
      </c>
      <c r="D868" s="1002"/>
      <c r="E868" s="1003"/>
      <c r="F868" s="23" t="s">
        <v>3</v>
      </c>
      <c r="G868" s="24" t="s">
        <v>4</v>
      </c>
    </row>
    <row r="869" spans="1:7" s="2" customFormat="1" ht="206.25" customHeight="1">
      <c r="A869" s="1004" t="s">
        <v>212</v>
      </c>
      <c r="B869" s="1005"/>
      <c r="C869" s="1017" t="s">
        <v>139</v>
      </c>
      <c r="D869" s="1018"/>
      <c r="E869" s="949"/>
      <c r="F869" s="9" t="s">
        <v>37</v>
      </c>
      <c r="G869" s="25">
        <v>168.95950000000002</v>
      </c>
    </row>
    <row r="870" spans="1:7" s="2" customFormat="1" ht="13.8">
      <c r="A870" s="1006" t="s">
        <v>5</v>
      </c>
      <c r="B870" s="1007"/>
      <c r="C870" s="1007"/>
      <c r="D870" s="1007"/>
      <c r="E870" s="1007"/>
      <c r="F870" s="1007"/>
      <c r="G870" s="1008"/>
    </row>
    <row r="871" spans="1:7" s="2" customFormat="1" ht="13.8">
      <c r="A871" s="974" t="s">
        <v>2</v>
      </c>
      <c r="B871" s="975"/>
      <c r="C871" s="11" t="s">
        <v>3</v>
      </c>
      <c r="D871" s="11" t="s">
        <v>4</v>
      </c>
      <c r="E871" s="11" t="s">
        <v>6</v>
      </c>
      <c r="F871" s="11" t="s">
        <v>7</v>
      </c>
      <c r="G871" s="967" t="s">
        <v>8</v>
      </c>
    </row>
    <row r="872" spans="1:7" s="2" customFormat="1" ht="15.75" customHeight="1">
      <c r="A872" s="948" t="s">
        <v>9</v>
      </c>
      <c r="B872" s="949"/>
      <c r="C872" s="12" t="s">
        <v>3</v>
      </c>
      <c r="D872" s="9">
        <v>0.05</v>
      </c>
      <c r="E872" s="13">
        <f>G887</f>
        <v>43271</v>
      </c>
      <c r="F872" s="14">
        <f>D872*E872</f>
        <v>2163.5500000000002</v>
      </c>
      <c r="G872" s="968"/>
    </row>
    <row r="873" spans="1:7" s="2" customFormat="1" ht="15.75" customHeight="1">
      <c r="A873" s="983" t="s">
        <v>112</v>
      </c>
      <c r="B873" s="984"/>
      <c r="C873" s="12" t="s">
        <v>58</v>
      </c>
      <c r="D873" s="9">
        <v>0.04</v>
      </c>
      <c r="E873" s="13">
        <f>'MAQUINARIA Y EQUIPOS'!$F$23</f>
        <v>28203</v>
      </c>
      <c r="F873" s="14">
        <f>D873*E873</f>
        <v>1128.1200000000001</v>
      </c>
      <c r="G873" s="968"/>
    </row>
    <row r="874" spans="1:7" s="2" customFormat="1" ht="15.75" customHeight="1">
      <c r="A874" s="948" t="s">
        <v>113</v>
      </c>
      <c r="B874" s="949"/>
      <c r="C874" s="12" t="s">
        <v>58</v>
      </c>
      <c r="D874" s="9">
        <v>0.3</v>
      </c>
      <c r="E874" s="13">
        <f>'MAQUINARIA Y EQUIPOS'!$F$10</f>
        <v>3272.5</v>
      </c>
      <c r="F874" s="14">
        <f>D874*E874</f>
        <v>981.75</v>
      </c>
      <c r="G874" s="969"/>
    </row>
    <row r="875" spans="1:7" s="2" customFormat="1" ht="15.75" customHeight="1">
      <c r="A875" s="948" t="s">
        <v>61</v>
      </c>
      <c r="B875" s="949"/>
      <c r="C875" s="12" t="s">
        <v>58</v>
      </c>
      <c r="D875" s="9">
        <v>0.1</v>
      </c>
      <c r="E875" s="13">
        <f>'MAQUINARIA Y EQUIPOS'!$F$18</f>
        <v>40460</v>
      </c>
      <c r="F875" s="14">
        <f>D875*E875</f>
        <v>4046</v>
      </c>
      <c r="G875" s="15">
        <f>SUM(F871:F875)</f>
        <v>8319.42</v>
      </c>
    </row>
    <row r="876" spans="1:7" s="2" customFormat="1" ht="13.8">
      <c r="A876" s="1006" t="s">
        <v>10</v>
      </c>
      <c r="B876" s="1007"/>
      <c r="C876" s="1007"/>
      <c r="D876" s="1007"/>
      <c r="E876" s="1007"/>
      <c r="F876" s="1007"/>
      <c r="G876" s="1008"/>
    </row>
    <row r="877" spans="1:7" s="2" customFormat="1" ht="13.8">
      <c r="A877" s="974" t="s">
        <v>2</v>
      </c>
      <c r="B877" s="975"/>
      <c r="C877" s="11" t="s">
        <v>3</v>
      </c>
      <c r="D877" s="11" t="s">
        <v>4</v>
      </c>
      <c r="E877" s="11" t="s">
        <v>6</v>
      </c>
      <c r="F877" s="11" t="s">
        <v>11</v>
      </c>
      <c r="G877" s="967" t="s">
        <v>8</v>
      </c>
    </row>
    <row r="878" spans="1:7" s="2" customFormat="1" ht="13.8">
      <c r="A878" s="948" t="s">
        <v>115</v>
      </c>
      <c r="B878" s="949"/>
      <c r="C878" s="12" t="s">
        <v>3</v>
      </c>
      <c r="D878" s="12">
        <v>0.03</v>
      </c>
      <c r="E878" s="13">
        <f>'INSUMOS '!$E$28</f>
        <v>51900</v>
      </c>
      <c r="F878" s="14">
        <f>D878*E878</f>
        <v>1557</v>
      </c>
      <c r="G878" s="968"/>
    </row>
    <row r="879" spans="1:7" s="2" customFormat="1" ht="15.75" customHeight="1">
      <c r="A879" s="948" t="s">
        <v>114</v>
      </c>
      <c r="B879" s="949"/>
      <c r="C879" s="12" t="s">
        <v>39</v>
      </c>
      <c r="D879" s="12">
        <v>0.03</v>
      </c>
      <c r="E879" s="13">
        <f>SUBANÁLISIS!$G$89</f>
        <v>431833.82500000001</v>
      </c>
      <c r="F879" s="14">
        <f>D879*E879</f>
        <v>12955.01475</v>
      </c>
      <c r="G879" s="969"/>
    </row>
    <row r="880" spans="1:7" s="2" customFormat="1" ht="15.75" customHeight="1">
      <c r="A880" s="948" t="s">
        <v>140</v>
      </c>
      <c r="B880" s="949"/>
      <c r="C880" s="12" t="s">
        <v>3</v>
      </c>
      <c r="D880" s="33">
        <v>12.5</v>
      </c>
      <c r="E880" s="13">
        <f>'INSUMOS '!$E$50</f>
        <v>4150</v>
      </c>
      <c r="F880" s="14">
        <f>E880*D880</f>
        <v>51875</v>
      </c>
      <c r="G880" s="15">
        <f>SUM(F877:F880)</f>
        <v>66387.014750000002</v>
      </c>
    </row>
    <row r="881" spans="1:11" s="2" customFormat="1" ht="13.8">
      <c r="A881" s="1006" t="s">
        <v>15</v>
      </c>
      <c r="B881" s="1007"/>
      <c r="C881" s="1007"/>
      <c r="D881" s="1007"/>
      <c r="E881" s="1007"/>
      <c r="F881" s="1007"/>
      <c r="G881" s="1008"/>
    </row>
    <row r="882" spans="1:11" s="2" customFormat="1" ht="13.8">
      <c r="A882" s="974" t="s">
        <v>2</v>
      </c>
      <c r="B882" s="975"/>
      <c r="C882" s="11" t="s">
        <v>3</v>
      </c>
      <c r="D882" s="11" t="s">
        <v>4</v>
      </c>
      <c r="E882" s="11" t="s">
        <v>6</v>
      </c>
      <c r="F882" s="11" t="s">
        <v>11</v>
      </c>
      <c r="G882" s="967" t="s">
        <v>8</v>
      </c>
    </row>
    <row r="883" spans="1:11" s="2" customFormat="1" ht="15.75" customHeight="1">
      <c r="A883" s="1019" t="s">
        <v>68</v>
      </c>
      <c r="B883" s="1020"/>
      <c r="C883" s="16" t="s">
        <v>3</v>
      </c>
      <c r="D883" s="54">
        <v>3.5000000000000003E-2</v>
      </c>
      <c r="E883" s="17">
        <f>G875</f>
        <v>8319.42</v>
      </c>
      <c r="F883" s="14">
        <f>E883*D883</f>
        <v>291.17970000000003</v>
      </c>
      <c r="G883" s="969"/>
    </row>
    <row r="884" spans="1:11" s="2" customFormat="1" ht="15.75" customHeight="1">
      <c r="A884" s="983" t="s">
        <v>17</v>
      </c>
      <c r="B884" s="984"/>
      <c r="C884" s="16" t="s">
        <v>18</v>
      </c>
      <c r="D884" s="54">
        <v>3.5000000000000003E-2</v>
      </c>
      <c r="E884" s="17">
        <f>+G880</f>
        <v>66387.014750000002</v>
      </c>
      <c r="F884" s="14">
        <f>E884*D884</f>
        <v>2323.5455162500002</v>
      </c>
      <c r="G884" s="15">
        <f>SUM(F883:F884)</f>
        <v>2614.7252162500004</v>
      </c>
    </row>
    <row r="885" spans="1:11" s="2" customFormat="1" ht="13.8">
      <c r="A885" s="1006" t="s">
        <v>19</v>
      </c>
      <c r="B885" s="1007"/>
      <c r="C885" s="1007"/>
      <c r="D885" s="1007"/>
      <c r="E885" s="1007"/>
      <c r="F885" s="1007"/>
      <c r="G885" s="1008"/>
    </row>
    <row r="886" spans="1:11" s="2" customFormat="1" ht="13.8">
      <c r="A886" s="974" t="s">
        <v>2</v>
      </c>
      <c r="B886" s="975"/>
      <c r="C886" s="11" t="s">
        <v>3</v>
      </c>
      <c r="D886" s="11" t="s">
        <v>4</v>
      </c>
      <c r="E886" s="11" t="s">
        <v>6</v>
      </c>
      <c r="F886" s="11" t="s">
        <v>11</v>
      </c>
      <c r="G886" s="18" t="s">
        <v>8</v>
      </c>
    </row>
    <row r="887" spans="1:11" s="2" customFormat="1" ht="15" customHeight="1">
      <c r="A887" s="978">
        <f>SALARIOS!A729</f>
        <v>0</v>
      </c>
      <c r="B887" s="979"/>
      <c r="C887" s="13" t="s">
        <v>1245</v>
      </c>
      <c r="D887" s="12">
        <v>1</v>
      </c>
      <c r="E887" s="17">
        <f>SALARIOS!$C$63</f>
        <v>43271</v>
      </c>
      <c r="F887" s="14">
        <f>+D887*E887</f>
        <v>43271</v>
      </c>
      <c r="G887" s="15">
        <f>F887</f>
        <v>43271</v>
      </c>
    </row>
    <row r="888" spans="1:11" s="2" customFormat="1" ht="13.8">
      <c r="A888" s="1009" t="s">
        <v>25</v>
      </c>
      <c r="B888" s="1010"/>
      <c r="C888" s="1010"/>
      <c r="D888" s="1010"/>
      <c r="E888" s="1010"/>
      <c r="F888" s="1010"/>
      <c r="G888" s="1011"/>
    </row>
    <row r="889" spans="1:11" s="2" customFormat="1" ht="17.399999999999999">
      <c r="A889" s="1012"/>
      <c r="B889" s="1013"/>
      <c r="C889" s="1013"/>
      <c r="D889" s="1013"/>
      <c r="E889" s="1013"/>
      <c r="F889" s="1014"/>
      <c r="G889" s="20">
        <f>G887+G884+G880+G875</f>
        <v>120592.15996624999</v>
      </c>
    </row>
    <row r="890" spans="1:11" s="2" customFormat="1" ht="17.399999999999999">
      <c r="A890" s="21"/>
      <c r="B890" s="342"/>
      <c r="C890" s="342"/>
      <c r="D890" s="342"/>
      <c r="E890" s="342"/>
      <c r="F890" s="342"/>
      <c r="G890" s="22"/>
    </row>
    <row r="891" spans="1:11" s="2" customFormat="1" ht="14.25" customHeight="1">
      <c r="A891" s="986" t="s">
        <v>1</v>
      </c>
      <c r="B891" s="987"/>
      <c r="C891" s="992" t="s">
        <v>0</v>
      </c>
      <c r="D891" s="993"/>
      <c r="E891" s="993"/>
      <c r="F891" s="993"/>
      <c r="G891" s="994"/>
    </row>
    <row r="892" spans="1:11" s="44" customFormat="1" ht="56.25" customHeight="1">
      <c r="A892" s="988"/>
      <c r="B892" s="989"/>
      <c r="C892" s="995"/>
      <c r="D892" s="996"/>
      <c r="E892" s="996"/>
      <c r="F892" s="996"/>
      <c r="G892" s="997"/>
      <c r="H892" s="2"/>
      <c r="I892" s="2"/>
      <c r="J892" s="2"/>
      <c r="K892" s="2"/>
    </row>
    <row r="893" spans="1:11" s="2" customFormat="1" ht="17.399999999999999">
      <c r="A893" s="988"/>
      <c r="B893" s="989"/>
      <c r="C893" s="998"/>
      <c r="D893" s="999"/>
      <c r="E893" s="999"/>
      <c r="F893" s="999"/>
      <c r="G893" s="1000"/>
    </row>
    <row r="894" spans="1:11" s="2" customFormat="1" ht="15.75" customHeight="1">
      <c r="A894" s="990"/>
      <c r="B894" s="991"/>
      <c r="C894" s="1001" t="s">
        <v>2</v>
      </c>
      <c r="D894" s="1002"/>
      <c r="E894" s="1003"/>
      <c r="F894" s="23" t="s">
        <v>3</v>
      </c>
      <c r="G894" s="24" t="s">
        <v>4</v>
      </c>
    </row>
    <row r="895" spans="1:11" s="2" customFormat="1" ht="207" customHeight="1">
      <c r="A895" s="1004" t="s">
        <v>213</v>
      </c>
      <c r="B895" s="1005"/>
      <c r="C895" s="1017" t="s">
        <v>142</v>
      </c>
      <c r="D895" s="1018"/>
      <c r="E895" s="949"/>
      <c r="F895" s="9" t="s">
        <v>37</v>
      </c>
      <c r="G895" s="25">
        <v>5.77</v>
      </c>
    </row>
    <row r="896" spans="1:11" s="2" customFormat="1" ht="13.8">
      <c r="A896" s="1006" t="s">
        <v>5</v>
      </c>
      <c r="B896" s="1007"/>
      <c r="C896" s="1007"/>
      <c r="D896" s="1007"/>
      <c r="E896" s="1007"/>
      <c r="F896" s="1007"/>
      <c r="G896" s="1008"/>
    </row>
    <row r="897" spans="1:7" s="2" customFormat="1" ht="15.75" customHeight="1">
      <c r="A897" s="974" t="s">
        <v>2</v>
      </c>
      <c r="B897" s="975"/>
      <c r="C897" s="11" t="s">
        <v>3</v>
      </c>
      <c r="D897" s="11" t="s">
        <v>4</v>
      </c>
      <c r="E897" s="11" t="s">
        <v>6</v>
      </c>
      <c r="F897" s="11" t="s">
        <v>7</v>
      </c>
      <c r="G897" s="967" t="s">
        <v>8</v>
      </c>
    </row>
    <row r="898" spans="1:7" s="2" customFormat="1" ht="15.75" customHeight="1">
      <c r="A898" s="948" t="s">
        <v>9</v>
      </c>
      <c r="B898" s="949"/>
      <c r="C898" s="12" t="s">
        <v>3</v>
      </c>
      <c r="D898" s="9">
        <v>0.05</v>
      </c>
      <c r="E898" s="13">
        <f>G913</f>
        <v>43271</v>
      </c>
      <c r="F898" s="14">
        <f>D898*E898</f>
        <v>2163.5500000000002</v>
      </c>
      <c r="G898" s="968"/>
    </row>
    <row r="899" spans="1:7" s="2" customFormat="1" ht="15.75" customHeight="1">
      <c r="A899" s="983" t="s">
        <v>112</v>
      </c>
      <c r="B899" s="984"/>
      <c r="C899" s="12" t="s">
        <v>58</v>
      </c>
      <c r="D899" s="9">
        <v>0.04</v>
      </c>
      <c r="E899" s="13">
        <f>'MAQUINARIA Y EQUIPOS'!$F$23</f>
        <v>28203</v>
      </c>
      <c r="F899" s="14">
        <f>D899*E899</f>
        <v>1128.1200000000001</v>
      </c>
      <c r="G899" s="968"/>
    </row>
    <row r="900" spans="1:7" s="2" customFormat="1" ht="14.25" customHeight="1">
      <c r="A900" s="948" t="s">
        <v>113</v>
      </c>
      <c r="B900" s="949"/>
      <c r="C900" s="12" t="s">
        <v>58</v>
      </c>
      <c r="D900" s="9">
        <v>0.3</v>
      </c>
      <c r="E900" s="13">
        <f>'MAQUINARIA Y EQUIPOS'!$F$10</f>
        <v>3272.5</v>
      </c>
      <c r="F900" s="14">
        <f>D900*E900</f>
        <v>981.75</v>
      </c>
      <c r="G900" s="969"/>
    </row>
    <row r="901" spans="1:7" s="2" customFormat="1" ht="14.25" customHeight="1">
      <c r="A901" s="948" t="s">
        <v>61</v>
      </c>
      <c r="B901" s="949"/>
      <c r="C901" s="12" t="s">
        <v>58</v>
      </c>
      <c r="D901" s="9">
        <v>0.1</v>
      </c>
      <c r="E901" s="13">
        <f>'MAQUINARIA Y EQUIPOS'!$F$18</f>
        <v>40460</v>
      </c>
      <c r="F901" s="14">
        <f>D901*E901</f>
        <v>4046</v>
      </c>
      <c r="G901" s="15">
        <f>SUM(F897:F901)</f>
        <v>8319.42</v>
      </c>
    </row>
    <row r="902" spans="1:7" s="2" customFormat="1" ht="13.8">
      <c r="A902" s="1006" t="s">
        <v>10</v>
      </c>
      <c r="B902" s="1007"/>
      <c r="C902" s="1007"/>
      <c r="D902" s="1007"/>
      <c r="E902" s="1007"/>
      <c r="F902" s="1007"/>
      <c r="G902" s="1008"/>
    </row>
    <row r="903" spans="1:7" s="2" customFormat="1" ht="15.75" customHeight="1">
      <c r="A903" s="974" t="s">
        <v>2</v>
      </c>
      <c r="B903" s="975"/>
      <c r="C903" s="11" t="s">
        <v>3</v>
      </c>
      <c r="D903" s="11" t="s">
        <v>4</v>
      </c>
      <c r="E903" s="11" t="s">
        <v>6</v>
      </c>
      <c r="F903" s="11" t="s">
        <v>11</v>
      </c>
      <c r="G903" s="967" t="s">
        <v>8</v>
      </c>
    </row>
    <row r="904" spans="1:7" s="2" customFormat="1" ht="15.75" customHeight="1">
      <c r="A904" s="948" t="s">
        <v>115</v>
      </c>
      <c r="B904" s="949"/>
      <c r="C904" s="12" t="s">
        <v>3</v>
      </c>
      <c r="D904" s="12">
        <v>0.03</v>
      </c>
      <c r="E904" s="13">
        <f>'INSUMOS '!$E$28</f>
        <v>51900</v>
      </c>
      <c r="F904" s="14">
        <f>D904*E904</f>
        <v>1557</v>
      </c>
      <c r="G904" s="968"/>
    </row>
    <row r="905" spans="1:7" s="2" customFormat="1" ht="15.75" customHeight="1">
      <c r="A905" s="948" t="s">
        <v>114</v>
      </c>
      <c r="B905" s="949"/>
      <c r="C905" s="12" t="s">
        <v>39</v>
      </c>
      <c r="D905" s="12">
        <v>0.03</v>
      </c>
      <c r="E905" s="13">
        <f>SUBANÁLISIS!$G$146</f>
        <v>702267.57499999995</v>
      </c>
      <c r="F905" s="14">
        <f>D905*E905</f>
        <v>21068.027249999999</v>
      </c>
      <c r="G905" s="969"/>
    </row>
    <row r="906" spans="1:7" s="2" customFormat="1" ht="15.75" customHeight="1">
      <c r="A906" s="948" t="s">
        <v>1551</v>
      </c>
      <c r="B906" s="949"/>
      <c r="C906" s="12" t="s">
        <v>3</v>
      </c>
      <c r="D906" s="33">
        <v>12.5</v>
      </c>
      <c r="E906" s="13">
        <f>'INSUMOS '!$E$49</f>
        <v>4150</v>
      </c>
      <c r="F906" s="14">
        <f>E906*D906</f>
        <v>51875</v>
      </c>
      <c r="G906" s="15">
        <f>SUM(F903:F906)</f>
        <v>74500.027249999999</v>
      </c>
    </row>
    <row r="907" spans="1:7" s="2" customFormat="1" ht="13.8">
      <c r="A907" s="1006" t="s">
        <v>15</v>
      </c>
      <c r="B907" s="1007"/>
      <c r="C907" s="1007"/>
      <c r="D907" s="1007"/>
      <c r="E907" s="1007"/>
      <c r="F907" s="1007"/>
      <c r="G907" s="1008"/>
    </row>
    <row r="908" spans="1:7" s="2" customFormat="1" ht="15.75" customHeight="1">
      <c r="A908" s="974" t="s">
        <v>2</v>
      </c>
      <c r="B908" s="975"/>
      <c r="C908" s="11" t="s">
        <v>3</v>
      </c>
      <c r="D908" s="11" t="s">
        <v>4</v>
      </c>
      <c r="E908" s="11" t="s">
        <v>6</v>
      </c>
      <c r="F908" s="11" t="s">
        <v>11</v>
      </c>
      <c r="G908" s="967" t="s">
        <v>8</v>
      </c>
    </row>
    <row r="909" spans="1:7" s="2" customFormat="1" ht="15.75" customHeight="1">
      <c r="A909" s="1019" t="s">
        <v>68</v>
      </c>
      <c r="B909" s="1020"/>
      <c r="C909" s="16" t="s">
        <v>3</v>
      </c>
      <c r="D909" s="54">
        <v>3.5000000000000003E-2</v>
      </c>
      <c r="E909" s="17">
        <f>G901</f>
        <v>8319.42</v>
      </c>
      <c r="F909" s="14">
        <f>E909*D909</f>
        <v>291.17970000000003</v>
      </c>
      <c r="G909" s="969"/>
    </row>
    <row r="910" spans="1:7" s="2" customFormat="1" ht="15.75" customHeight="1">
      <c r="A910" s="1019" t="s">
        <v>17</v>
      </c>
      <c r="B910" s="1020"/>
      <c r="C910" s="16" t="s">
        <v>18</v>
      </c>
      <c r="D910" s="54">
        <v>3.5000000000000003E-2</v>
      </c>
      <c r="E910" s="17">
        <f>+G906</f>
        <v>74500.027249999999</v>
      </c>
      <c r="F910" s="14">
        <f>E910*D910</f>
        <v>2607.50095375</v>
      </c>
      <c r="G910" s="15">
        <f>SUM(F909:F910)</f>
        <v>2898.6806537500001</v>
      </c>
    </row>
    <row r="911" spans="1:7" s="2" customFormat="1" ht="13.8">
      <c r="A911" s="1006" t="s">
        <v>19</v>
      </c>
      <c r="B911" s="1007"/>
      <c r="C911" s="1007"/>
      <c r="D911" s="1007"/>
      <c r="E911" s="1007"/>
      <c r="F911" s="1007"/>
      <c r="G911" s="1008"/>
    </row>
    <row r="912" spans="1:7" s="2" customFormat="1" ht="15.75" customHeight="1">
      <c r="A912" s="974" t="s">
        <v>2</v>
      </c>
      <c r="B912" s="975"/>
      <c r="C912" s="11" t="s">
        <v>3</v>
      </c>
      <c r="D912" s="11" t="s">
        <v>4</v>
      </c>
      <c r="E912" s="11" t="s">
        <v>6</v>
      </c>
      <c r="F912" s="11" t="s">
        <v>11</v>
      </c>
      <c r="G912" s="18" t="s">
        <v>8</v>
      </c>
    </row>
    <row r="913" spans="1:11" s="2" customFormat="1" ht="15" customHeight="1">
      <c r="A913" s="978" t="str">
        <f>SALARIOS!$A$63</f>
        <v>CUADRILLA AA ALBAÑILERÍA 1:3</v>
      </c>
      <c r="B913" s="979"/>
      <c r="C913" s="13" t="s">
        <v>1245</v>
      </c>
      <c r="D913" s="32">
        <v>1</v>
      </c>
      <c r="E913" s="13">
        <f>SALARIOS!$C$63</f>
        <v>43271</v>
      </c>
      <c r="F913" s="14">
        <f>+D913*E913</f>
        <v>43271</v>
      </c>
      <c r="G913" s="15">
        <f>F913</f>
        <v>43271</v>
      </c>
    </row>
    <row r="914" spans="1:11" s="2" customFormat="1" ht="15.75" customHeight="1">
      <c r="A914" s="1009" t="s">
        <v>25</v>
      </c>
      <c r="B914" s="1010"/>
      <c r="C914" s="1010"/>
      <c r="D914" s="1010"/>
      <c r="E914" s="1010"/>
      <c r="F914" s="1010"/>
      <c r="G914" s="1011"/>
    </row>
    <row r="915" spans="1:11" s="2" customFormat="1" ht="15.75" customHeight="1">
      <c r="A915" s="1012"/>
      <c r="B915" s="1013"/>
      <c r="C915" s="1013"/>
      <c r="D915" s="1013"/>
      <c r="E915" s="1013"/>
      <c r="F915" s="1014"/>
      <c r="G915" s="20">
        <f>G913+G910+G906+G901</f>
        <v>128989.12790375001</v>
      </c>
    </row>
    <row r="916" spans="1:11" s="2" customFormat="1" ht="15.75" customHeight="1">
      <c r="A916" s="21"/>
      <c r="B916" s="342"/>
      <c r="C916" s="342"/>
      <c r="D916" s="342"/>
      <c r="E916" s="342"/>
      <c r="F916" s="342"/>
      <c r="G916" s="22"/>
    </row>
    <row r="917" spans="1:11" s="2" customFormat="1" ht="15.75" customHeight="1">
      <c r="A917" s="986" t="s">
        <v>1</v>
      </c>
      <c r="B917" s="987"/>
      <c r="C917" s="992" t="s">
        <v>0</v>
      </c>
      <c r="D917" s="993"/>
      <c r="E917" s="993"/>
      <c r="F917" s="993"/>
      <c r="G917" s="994"/>
    </row>
    <row r="918" spans="1:11" s="2" customFormat="1" ht="63.75" customHeight="1">
      <c r="A918" s="988"/>
      <c r="B918" s="989"/>
      <c r="C918" s="995"/>
      <c r="D918" s="996"/>
      <c r="E918" s="996"/>
      <c r="F918" s="996"/>
      <c r="G918" s="997"/>
    </row>
    <row r="919" spans="1:11" s="2" customFormat="1" ht="15.75" customHeight="1">
      <c r="A919" s="988"/>
      <c r="B919" s="989"/>
      <c r="C919" s="998"/>
      <c r="D919" s="999"/>
      <c r="E919" s="999"/>
      <c r="F919" s="999"/>
      <c r="G919" s="1000"/>
    </row>
    <row r="920" spans="1:11" s="44" customFormat="1" ht="15.75" customHeight="1">
      <c r="A920" s="990"/>
      <c r="B920" s="991"/>
      <c r="C920" s="1001" t="s">
        <v>2</v>
      </c>
      <c r="D920" s="1002"/>
      <c r="E920" s="1003"/>
      <c r="F920" s="23" t="s">
        <v>3</v>
      </c>
      <c r="G920" s="24" t="s">
        <v>4</v>
      </c>
      <c r="H920" s="2"/>
      <c r="I920" s="2"/>
      <c r="J920" s="2"/>
      <c r="K920" s="2"/>
    </row>
    <row r="921" spans="1:11" s="2" customFormat="1" ht="206.25" customHeight="1">
      <c r="A921" s="1004" t="s">
        <v>214</v>
      </c>
      <c r="B921" s="1005"/>
      <c r="C921" s="1017" t="s">
        <v>215</v>
      </c>
      <c r="D921" s="1018"/>
      <c r="E921" s="949"/>
      <c r="F921" s="9" t="s">
        <v>37</v>
      </c>
      <c r="G921" s="25">
        <v>1.1040000000000001</v>
      </c>
    </row>
    <row r="922" spans="1:11" s="2" customFormat="1" ht="15.75" customHeight="1">
      <c r="A922" s="1006" t="s">
        <v>5</v>
      </c>
      <c r="B922" s="1007"/>
      <c r="C922" s="1007"/>
      <c r="D922" s="1007"/>
      <c r="E922" s="1007"/>
      <c r="F922" s="1007"/>
      <c r="G922" s="1008"/>
    </row>
    <row r="923" spans="1:11" s="2" customFormat="1" ht="15.75" customHeight="1">
      <c r="A923" s="974" t="s">
        <v>2</v>
      </c>
      <c r="B923" s="975"/>
      <c r="C923" s="11" t="s">
        <v>3</v>
      </c>
      <c r="D923" s="11" t="s">
        <v>4</v>
      </c>
      <c r="E923" s="11" t="s">
        <v>6</v>
      </c>
      <c r="F923" s="11" t="s">
        <v>7</v>
      </c>
      <c r="G923" s="967" t="s">
        <v>8</v>
      </c>
    </row>
    <row r="924" spans="1:11" s="2" customFormat="1" ht="13.8">
      <c r="A924" s="948" t="s">
        <v>9</v>
      </c>
      <c r="B924" s="949"/>
      <c r="C924" s="12" t="s">
        <v>3</v>
      </c>
      <c r="D924" s="9">
        <v>0.05</v>
      </c>
      <c r="E924" s="13">
        <f>G939</f>
        <v>43271</v>
      </c>
      <c r="F924" s="14">
        <f>D924*E924</f>
        <v>2163.5500000000002</v>
      </c>
      <c r="G924" s="968"/>
    </row>
    <row r="925" spans="1:11" s="2" customFormat="1" ht="15.75" customHeight="1">
      <c r="A925" s="983" t="s">
        <v>112</v>
      </c>
      <c r="B925" s="984"/>
      <c r="C925" s="12" t="s">
        <v>58</v>
      </c>
      <c r="D925" s="9">
        <v>0.04</v>
      </c>
      <c r="E925" s="13">
        <f>'MAQUINARIA Y EQUIPOS'!$F$23</f>
        <v>28203</v>
      </c>
      <c r="F925" s="14">
        <f>D925*E925</f>
        <v>1128.1200000000001</v>
      </c>
      <c r="G925" s="968"/>
    </row>
    <row r="926" spans="1:11" s="2" customFormat="1" ht="15.75" customHeight="1">
      <c r="A926" s="948" t="s">
        <v>113</v>
      </c>
      <c r="B926" s="949"/>
      <c r="C926" s="12" t="s">
        <v>58</v>
      </c>
      <c r="D926" s="9">
        <v>0.3</v>
      </c>
      <c r="E926" s="13">
        <f>'MAQUINARIA Y EQUIPOS'!$F$10</f>
        <v>3272.5</v>
      </c>
      <c r="F926" s="14">
        <f>D926*E926</f>
        <v>981.75</v>
      </c>
      <c r="G926" s="969"/>
    </row>
    <row r="927" spans="1:11" s="2" customFormat="1" ht="15.75" customHeight="1">
      <c r="A927" s="948" t="s">
        <v>61</v>
      </c>
      <c r="B927" s="949"/>
      <c r="C927" s="12" t="s">
        <v>58</v>
      </c>
      <c r="D927" s="9">
        <v>0.1</v>
      </c>
      <c r="E927" s="13">
        <f>'MAQUINARIA Y EQUIPOS'!$F$18</f>
        <v>40460</v>
      </c>
      <c r="F927" s="14">
        <f>D927*E927</f>
        <v>4046</v>
      </c>
      <c r="G927" s="15">
        <f>SUM(F923:F927)</f>
        <v>8319.42</v>
      </c>
    </row>
    <row r="928" spans="1:11" s="2" customFormat="1" ht="15.75" customHeight="1">
      <c r="A928" s="1006" t="s">
        <v>10</v>
      </c>
      <c r="B928" s="1007"/>
      <c r="C928" s="1007"/>
      <c r="D928" s="1007"/>
      <c r="E928" s="1007"/>
      <c r="F928" s="1007"/>
      <c r="G928" s="1008"/>
    </row>
    <row r="929" spans="1:7" s="2" customFormat="1" ht="15.75" customHeight="1">
      <c r="A929" s="974" t="s">
        <v>2</v>
      </c>
      <c r="B929" s="975"/>
      <c r="C929" s="11" t="s">
        <v>3</v>
      </c>
      <c r="D929" s="11" t="s">
        <v>4</v>
      </c>
      <c r="E929" s="11" t="s">
        <v>6</v>
      </c>
      <c r="F929" s="11" t="s">
        <v>11</v>
      </c>
      <c r="G929" s="967" t="s">
        <v>8</v>
      </c>
    </row>
    <row r="930" spans="1:7" s="2" customFormat="1" ht="15.75" customHeight="1">
      <c r="A930" s="948" t="s">
        <v>115</v>
      </c>
      <c r="B930" s="949"/>
      <c r="C930" s="12" t="s">
        <v>3</v>
      </c>
      <c r="D930" s="12">
        <v>0.03</v>
      </c>
      <c r="E930" s="13">
        <f>'INSUMOS '!$E$28</f>
        <v>51900</v>
      </c>
      <c r="F930" s="14">
        <f>D930*E930</f>
        <v>1557</v>
      </c>
      <c r="G930" s="968"/>
    </row>
    <row r="931" spans="1:7" s="2" customFormat="1" ht="13.8">
      <c r="A931" s="948" t="s">
        <v>114</v>
      </c>
      <c r="B931" s="949"/>
      <c r="C931" s="12" t="s">
        <v>39</v>
      </c>
      <c r="D931" s="12">
        <v>0.03</v>
      </c>
      <c r="E931" s="13">
        <f>SUBANÁLISIS!$G$89</f>
        <v>431833.82500000001</v>
      </c>
      <c r="F931" s="14">
        <f>D931*E931</f>
        <v>12955.01475</v>
      </c>
      <c r="G931" s="969"/>
    </row>
    <row r="932" spans="1:7" s="2" customFormat="1" ht="14.25" customHeight="1">
      <c r="A932" s="948" t="s">
        <v>145</v>
      </c>
      <c r="B932" s="949"/>
      <c r="C932" s="12" t="s">
        <v>3</v>
      </c>
      <c r="D932" s="33">
        <v>12.5</v>
      </c>
      <c r="E932" s="13">
        <f>'INSUMOS '!$E$49</f>
        <v>4150</v>
      </c>
      <c r="F932" s="14">
        <f>E932*D932</f>
        <v>51875</v>
      </c>
      <c r="G932" s="15">
        <f>SUM(F929:F932)</f>
        <v>66387.014750000002</v>
      </c>
    </row>
    <row r="933" spans="1:7" s="2" customFormat="1" ht="15.75" customHeight="1">
      <c r="A933" s="1006" t="s">
        <v>15</v>
      </c>
      <c r="B933" s="1007"/>
      <c r="C933" s="1007"/>
      <c r="D933" s="1007"/>
      <c r="E933" s="1007"/>
      <c r="F933" s="1007"/>
      <c r="G933" s="1008"/>
    </row>
    <row r="934" spans="1:7" s="2" customFormat="1" ht="15.75" customHeight="1">
      <c r="A934" s="974" t="s">
        <v>2</v>
      </c>
      <c r="B934" s="975"/>
      <c r="C934" s="11" t="s">
        <v>3</v>
      </c>
      <c r="D934" s="11" t="s">
        <v>4</v>
      </c>
      <c r="E934" s="11" t="s">
        <v>6</v>
      </c>
      <c r="F934" s="11" t="s">
        <v>11</v>
      </c>
      <c r="G934" s="967" t="s">
        <v>8</v>
      </c>
    </row>
    <row r="935" spans="1:7" s="2" customFormat="1" ht="15.75" customHeight="1">
      <c r="A935" s="1019" t="s">
        <v>68</v>
      </c>
      <c r="B935" s="1020"/>
      <c r="C935" s="16" t="s">
        <v>3</v>
      </c>
      <c r="D935" s="54">
        <v>3.5000000000000003E-2</v>
      </c>
      <c r="E935" s="17">
        <f>G927</f>
        <v>8319.42</v>
      </c>
      <c r="F935" s="14">
        <f>E935*D935</f>
        <v>291.17970000000003</v>
      </c>
      <c r="G935" s="969"/>
    </row>
    <row r="936" spans="1:7" s="2" customFormat="1" ht="15.75" customHeight="1">
      <c r="A936" s="983" t="s">
        <v>17</v>
      </c>
      <c r="B936" s="984"/>
      <c r="C936" s="16" t="s">
        <v>18</v>
      </c>
      <c r="D936" s="54">
        <v>3.5000000000000003E-2</v>
      </c>
      <c r="E936" s="17">
        <f>+G932</f>
        <v>66387.014750000002</v>
      </c>
      <c r="F936" s="14">
        <f>E936*D936</f>
        <v>2323.5455162500002</v>
      </c>
      <c r="G936" s="15">
        <f>SUM(F935:F936)</f>
        <v>2614.7252162500004</v>
      </c>
    </row>
    <row r="937" spans="1:7" s="2" customFormat="1" ht="15.75" customHeight="1">
      <c r="A937" s="1006" t="s">
        <v>19</v>
      </c>
      <c r="B937" s="1007"/>
      <c r="C937" s="1007"/>
      <c r="D937" s="1007"/>
      <c r="E937" s="1007"/>
      <c r="F937" s="1007"/>
      <c r="G937" s="1008"/>
    </row>
    <row r="938" spans="1:7" s="2" customFormat="1" ht="15.75" customHeight="1">
      <c r="A938" s="974" t="s">
        <v>2</v>
      </c>
      <c r="B938" s="975"/>
      <c r="C938" s="11" t="s">
        <v>3</v>
      </c>
      <c r="D938" s="11" t="s">
        <v>4</v>
      </c>
      <c r="E938" s="11" t="s">
        <v>6</v>
      </c>
      <c r="F938" s="11" t="s">
        <v>11</v>
      </c>
      <c r="G938" s="18" t="s">
        <v>8</v>
      </c>
    </row>
    <row r="939" spans="1:7" s="2" customFormat="1" ht="15" customHeight="1">
      <c r="A939" s="978">
        <f>SALARIOS!A729</f>
        <v>0</v>
      </c>
      <c r="B939" s="979"/>
      <c r="C939" s="13" t="s">
        <v>1245</v>
      </c>
      <c r="D939" s="12">
        <v>1</v>
      </c>
      <c r="E939" s="17">
        <f>SALARIOS!$C$63</f>
        <v>43271</v>
      </c>
      <c r="F939" s="14">
        <f>+D939*E939</f>
        <v>43271</v>
      </c>
      <c r="G939" s="15">
        <f>F939</f>
        <v>43271</v>
      </c>
    </row>
    <row r="940" spans="1:7" s="2" customFormat="1" ht="15.75" customHeight="1">
      <c r="A940" s="1009" t="s">
        <v>25</v>
      </c>
      <c r="B940" s="1010"/>
      <c r="C940" s="1010"/>
      <c r="D940" s="1010"/>
      <c r="E940" s="1010"/>
      <c r="F940" s="1010"/>
      <c r="G940" s="1011"/>
    </row>
    <row r="941" spans="1:7" s="2" customFormat="1" ht="15.75" customHeight="1">
      <c r="A941" s="1012"/>
      <c r="B941" s="1013"/>
      <c r="C941" s="1013"/>
      <c r="D941" s="1013"/>
      <c r="E941" s="1013"/>
      <c r="F941" s="1014"/>
      <c r="G941" s="20">
        <f>G939+G936+G932+G927</f>
        <v>120592.15996624999</v>
      </c>
    </row>
    <row r="942" spans="1:7" s="2" customFormat="1" ht="15.75" customHeight="1">
      <c r="A942" s="21"/>
      <c r="B942" s="342"/>
      <c r="C942" s="342"/>
      <c r="D942" s="342"/>
      <c r="E942" s="342"/>
      <c r="F942" s="342"/>
      <c r="G942" s="22"/>
    </row>
    <row r="943" spans="1:7" s="2" customFormat="1" ht="15.75" customHeight="1">
      <c r="A943" s="986" t="s">
        <v>1</v>
      </c>
      <c r="B943" s="987"/>
      <c r="C943" s="992" t="s">
        <v>0</v>
      </c>
      <c r="D943" s="993"/>
      <c r="E943" s="993"/>
      <c r="F943" s="993"/>
      <c r="G943" s="994"/>
    </row>
    <row r="944" spans="1:7" s="2" customFormat="1" ht="64.5" customHeight="1">
      <c r="A944" s="988"/>
      <c r="B944" s="989"/>
      <c r="C944" s="995"/>
      <c r="D944" s="996"/>
      <c r="E944" s="996"/>
      <c r="F944" s="996"/>
      <c r="G944" s="997"/>
    </row>
    <row r="945" spans="1:11" s="2" customFormat="1" ht="15.75" customHeight="1">
      <c r="A945" s="988"/>
      <c r="B945" s="989"/>
      <c r="C945" s="998"/>
      <c r="D945" s="999"/>
      <c r="E945" s="999"/>
      <c r="F945" s="999"/>
      <c r="G945" s="1000"/>
    </row>
    <row r="946" spans="1:11" s="2" customFormat="1" ht="15.75" customHeight="1">
      <c r="A946" s="990"/>
      <c r="B946" s="991"/>
      <c r="C946" s="1001" t="s">
        <v>2</v>
      </c>
      <c r="D946" s="1002"/>
      <c r="E946" s="1003"/>
      <c r="F946" s="23" t="s">
        <v>3</v>
      </c>
      <c r="G946" s="24" t="s">
        <v>4</v>
      </c>
    </row>
    <row r="947" spans="1:11" s="2" customFormat="1" ht="74.25" customHeight="1">
      <c r="A947" s="1004" t="s">
        <v>216</v>
      </c>
      <c r="B947" s="1005"/>
      <c r="C947" s="1017" t="s">
        <v>121</v>
      </c>
      <c r="D947" s="1018"/>
      <c r="E947" s="949"/>
      <c r="F947" s="9" t="s">
        <v>37</v>
      </c>
      <c r="G947" s="25">
        <v>275.96600000000007</v>
      </c>
    </row>
    <row r="948" spans="1:11" s="44" customFormat="1" ht="13.8">
      <c r="A948" s="1006" t="s">
        <v>5</v>
      </c>
      <c r="B948" s="1007"/>
      <c r="C948" s="1007"/>
      <c r="D948" s="1007"/>
      <c r="E948" s="1007"/>
      <c r="F948" s="1007"/>
      <c r="G948" s="1008"/>
      <c r="H948" s="2"/>
      <c r="I948" s="2"/>
      <c r="J948" s="2"/>
      <c r="K948" s="2"/>
    </row>
    <row r="949" spans="1:11" s="2" customFormat="1" ht="13.8">
      <c r="A949" s="974" t="s">
        <v>2</v>
      </c>
      <c r="B949" s="975"/>
      <c r="C949" s="11" t="s">
        <v>3</v>
      </c>
      <c r="D949" s="11" t="s">
        <v>4</v>
      </c>
      <c r="E949" s="11" t="s">
        <v>6</v>
      </c>
      <c r="F949" s="11" t="s">
        <v>7</v>
      </c>
      <c r="G949" s="967" t="s">
        <v>8</v>
      </c>
    </row>
    <row r="950" spans="1:11" s="2" customFormat="1" ht="15.75" customHeight="1">
      <c r="A950" s="948" t="s">
        <v>9</v>
      </c>
      <c r="B950" s="949"/>
      <c r="C950" s="12" t="s">
        <v>3</v>
      </c>
      <c r="D950" s="9">
        <v>0.05</v>
      </c>
      <c r="E950" s="13">
        <f>G966</f>
        <v>12427.5</v>
      </c>
      <c r="F950" s="14">
        <f>D950*E950</f>
        <v>621.375</v>
      </c>
      <c r="G950" s="969"/>
    </row>
    <row r="951" spans="1:11" s="2" customFormat="1" ht="15.75" customHeight="1">
      <c r="A951" s="948" t="s">
        <v>122</v>
      </c>
      <c r="B951" s="949"/>
      <c r="C951" s="12" t="s">
        <v>58</v>
      </c>
      <c r="D951" s="9">
        <v>0.5</v>
      </c>
      <c r="E951" s="13">
        <f>'MAQUINARIA Y EQUIPOS'!$F$25</f>
        <v>14280</v>
      </c>
      <c r="F951" s="14">
        <f>D951*E951</f>
        <v>7140</v>
      </c>
      <c r="G951" s="15">
        <f>SUM(F949:F951)</f>
        <v>7761.375</v>
      </c>
    </row>
    <row r="952" spans="1:11" s="2" customFormat="1" ht="15.75" customHeight="1">
      <c r="A952" s="1006" t="s">
        <v>10</v>
      </c>
      <c r="B952" s="1007"/>
      <c r="C952" s="1007"/>
      <c r="D952" s="1007"/>
      <c r="E952" s="1007"/>
      <c r="F952" s="1007"/>
      <c r="G952" s="1008"/>
    </row>
    <row r="953" spans="1:11" s="2" customFormat="1" ht="13.8">
      <c r="A953" s="974" t="s">
        <v>2</v>
      </c>
      <c r="B953" s="975"/>
      <c r="C953" s="11" t="s">
        <v>3</v>
      </c>
      <c r="D953" s="11" t="s">
        <v>4</v>
      </c>
      <c r="E953" s="11" t="s">
        <v>6</v>
      </c>
      <c r="F953" s="11" t="s">
        <v>11</v>
      </c>
      <c r="G953" s="967" t="s">
        <v>8</v>
      </c>
    </row>
    <row r="954" spans="1:11" s="2" customFormat="1" ht="15.75" customHeight="1">
      <c r="A954" s="948" t="s">
        <v>1538</v>
      </c>
      <c r="B954" s="949"/>
      <c r="C954" s="9" t="s">
        <v>34</v>
      </c>
      <c r="D954" s="9">
        <v>6</v>
      </c>
      <c r="E954" s="13">
        <f>'INSUMOS '!$E$36</f>
        <v>1716</v>
      </c>
      <c r="F954" s="14">
        <f>D954*E954</f>
        <v>10296</v>
      </c>
      <c r="G954" s="968"/>
    </row>
    <row r="955" spans="1:11" s="2" customFormat="1" ht="15.75" customHeight="1">
      <c r="A955" s="948" t="s">
        <v>115</v>
      </c>
      <c r="B955" s="949"/>
      <c r="C955" s="12" t="s">
        <v>3</v>
      </c>
      <c r="D955" s="12">
        <v>0.03</v>
      </c>
      <c r="E955" s="13">
        <f>'INSUMOS '!$E$28</f>
        <v>51900</v>
      </c>
      <c r="F955" s="14">
        <f>D955*E955</f>
        <v>1557</v>
      </c>
      <c r="G955" s="968"/>
    </row>
    <row r="956" spans="1:11" s="2" customFormat="1" ht="15.75" customHeight="1">
      <c r="A956" s="948" t="s">
        <v>123</v>
      </c>
      <c r="B956" s="949"/>
      <c r="C956" s="9" t="s">
        <v>37</v>
      </c>
      <c r="D956" s="9">
        <v>1.1000000000000001</v>
      </c>
      <c r="E956" s="13">
        <f>'INSUMOS '!$E$3</f>
        <v>48700</v>
      </c>
      <c r="F956" s="14">
        <f>D956*E956</f>
        <v>53570.000000000007</v>
      </c>
      <c r="G956" s="968"/>
    </row>
    <row r="957" spans="1:11" s="2" customFormat="1" ht="15.75" customHeight="1">
      <c r="A957" s="948" t="s">
        <v>124</v>
      </c>
      <c r="B957" s="949"/>
      <c r="C957" s="9" t="s">
        <v>45</v>
      </c>
      <c r="D957" s="9">
        <v>1.26</v>
      </c>
      <c r="E957" s="13">
        <f>'INSUMOS '!$E$77</f>
        <v>3082</v>
      </c>
      <c r="F957" s="14">
        <f>D957*E957</f>
        <v>3883.32</v>
      </c>
      <c r="G957" s="968"/>
    </row>
    <row r="958" spans="1:11" s="2" customFormat="1" ht="13.8">
      <c r="A958" s="948" t="s">
        <v>125</v>
      </c>
      <c r="B958" s="949"/>
      <c r="C958" s="12" t="s">
        <v>34</v>
      </c>
      <c r="D958" s="9">
        <v>0.65</v>
      </c>
      <c r="E958" s="13">
        <f>'INSUMOS '!$E$38</f>
        <v>6500</v>
      </c>
      <c r="F958" s="14">
        <f>D958*E958</f>
        <v>4225</v>
      </c>
      <c r="G958" s="969"/>
    </row>
    <row r="959" spans="1:11" s="2" customFormat="1" ht="15.75" customHeight="1">
      <c r="A959" s="948" t="s">
        <v>126</v>
      </c>
      <c r="B959" s="949"/>
      <c r="C959" s="12" t="s">
        <v>34</v>
      </c>
      <c r="D959" s="9">
        <v>0.02</v>
      </c>
      <c r="E959" s="13">
        <f>'INSUMOS '!$E$40</f>
        <v>18900</v>
      </c>
      <c r="F959" s="14">
        <f>E959*D959</f>
        <v>378</v>
      </c>
      <c r="G959" s="15">
        <f>SUM(F953:F959)</f>
        <v>73909.320000000007</v>
      </c>
    </row>
    <row r="960" spans="1:11" s="2" customFormat="1" ht="15.75" customHeight="1">
      <c r="A960" s="1006" t="s">
        <v>15</v>
      </c>
      <c r="B960" s="1007"/>
      <c r="C960" s="1007"/>
      <c r="D960" s="1007"/>
      <c r="E960" s="1007"/>
      <c r="F960" s="1007"/>
      <c r="G960" s="1008"/>
    </row>
    <row r="961" spans="1:7" s="2" customFormat="1" ht="13.8">
      <c r="A961" s="974" t="s">
        <v>2</v>
      </c>
      <c r="B961" s="975"/>
      <c r="C961" s="11" t="s">
        <v>3</v>
      </c>
      <c r="D961" s="11" t="s">
        <v>4</v>
      </c>
      <c r="E961" s="11" t="s">
        <v>6</v>
      </c>
      <c r="F961" s="11" t="s">
        <v>11</v>
      </c>
      <c r="G961" s="967" t="s">
        <v>8</v>
      </c>
    </row>
    <row r="962" spans="1:7" s="2" customFormat="1" ht="13.8">
      <c r="A962" s="1019" t="s">
        <v>68</v>
      </c>
      <c r="B962" s="1020"/>
      <c r="C962" s="16" t="s">
        <v>3</v>
      </c>
      <c r="D962" s="54">
        <v>3.5000000000000003E-2</v>
      </c>
      <c r="E962" s="17">
        <f>G951</f>
        <v>7761.375</v>
      </c>
      <c r="F962" s="14">
        <f>E962*D962</f>
        <v>271.64812500000005</v>
      </c>
      <c r="G962" s="969"/>
    </row>
    <row r="963" spans="1:7" s="2" customFormat="1" ht="13.8">
      <c r="A963" s="983" t="s">
        <v>17</v>
      </c>
      <c r="B963" s="984"/>
      <c r="C963" s="16" t="s">
        <v>127</v>
      </c>
      <c r="D963" s="54">
        <v>3.5000000000000003E-2</v>
      </c>
      <c r="E963" s="13">
        <f>+G959</f>
        <v>73909.320000000007</v>
      </c>
      <c r="F963" s="14">
        <f>E963*D963</f>
        <v>2586.8262000000004</v>
      </c>
      <c r="G963" s="15">
        <f>SUM(F962:F963)</f>
        <v>2858.4743250000006</v>
      </c>
    </row>
    <row r="964" spans="1:7" s="2" customFormat="1" ht="15.75" customHeight="1">
      <c r="A964" s="1006" t="s">
        <v>19</v>
      </c>
      <c r="B964" s="1007"/>
      <c r="C964" s="1007"/>
      <c r="D964" s="1007"/>
      <c r="E964" s="1007"/>
      <c r="F964" s="1007"/>
      <c r="G964" s="1008"/>
    </row>
    <row r="965" spans="1:7" s="2" customFormat="1" ht="15" customHeight="1">
      <c r="A965" s="974" t="s">
        <v>2</v>
      </c>
      <c r="B965" s="975"/>
      <c r="C965" s="11" t="s">
        <v>3</v>
      </c>
      <c r="D965" s="11" t="s">
        <v>4</v>
      </c>
      <c r="E965" s="11" t="s">
        <v>6</v>
      </c>
      <c r="F965" s="11" t="s">
        <v>11</v>
      </c>
      <c r="G965" s="18" t="s">
        <v>8</v>
      </c>
    </row>
    <row r="966" spans="1:7" s="2" customFormat="1" ht="15.75" customHeight="1">
      <c r="A966" s="978" t="str">
        <f>SALARIOS!$A$61</f>
        <v>CUADRILLA AA ALBAÑILERÍA 1:1</v>
      </c>
      <c r="B966" s="979"/>
      <c r="C966" s="13" t="str">
        <f>SALARIOS!$B$61</f>
        <v>H/C</v>
      </c>
      <c r="D966" s="12">
        <v>0.5</v>
      </c>
      <c r="E966" s="13">
        <f>SALARIOS!$C$61</f>
        <v>24855</v>
      </c>
      <c r="F966" s="14">
        <f>+D966*E966</f>
        <v>12427.5</v>
      </c>
      <c r="G966" s="15">
        <f>F966</f>
        <v>12427.5</v>
      </c>
    </row>
    <row r="967" spans="1:7" s="2" customFormat="1" ht="15.75" customHeight="1">
      <c r="A967" s="1009" t="s">
        <v>25</v>
      </c>
      <c r="B967" s="1010"/>
      <c r="C967" s="1010"/>
      <c r="D967" s="1010"/>
      <c r="E967" s="1010"/>
      <c r="F967" s="1010"/>
      <c r="G967" s="1011"/>
    </row>
    <row r="968" spans="1:7" s="2" customFormat="1" ht="15.75" customHeight="1">
      <c r="A968" s="1012"/>
      <c r="B968" s="1013"/>
      <c r="C968" s="1013"/>
      <c r="D968" s="1013"/>
      <c r="E968" s="1013"/>
      <c r="F968" s="1014"/>
      <c r="G968" s="20">
        <f>G966+G963+G959+G951</f>
        <v>96956.66932500001</v>
      </c>
    </row>
    <row r="969" spans="1:7" s="2" customFormat="1" ht="15.75" customHeight="1">
      <c r="A969" s="21"/>
      <c r="B969" s="342"/>
      <c r="C969" s="342"/>
      <c r="D969" s="342"/>
      <c r="E969" s="342"/>
      <c r="F969" s="342"/>
      <c r="G969" s="22"/>
    </row>
    <row r="970" spans="1:7" s="2" customFormat="1" ht="15.75" customHeight="1">
      <c r="A970" s="986" t="s">
        <v>1</v>
      </c>
      <c r="B970" s="987"/>
      <c r="C970" s="992" t="s">
        <v>0</v>
      </c>
      <c r="D970" s="993"/>
      <c r="E970" s="993"/>
      <c r="F970" s="993"/>
      <c r="G970" s="994"/>
    </row>
    <row r="971" spans="1:7" s="2" customFormat="1" ht="57.75" customHeight="1">
      <c r="A971" s="988"/>
      <c r="B971" s="989"/>
      <c r="C971" s="995"/>
      <c r="D971" s="996"/>
      <c r="E971" s="996"/>
      <c r="F971" s="996"/>
      <c r="G971" s="997"/>
    </row>
    <row r="972" spans="1:7" s="2" customFormat="1" ht="15.75" customHeight="1">
      <c r="A972" s="988"/>
      <c r="B972" s="989"/>
      <c r="C972" s="998"/>
      <c r="D972" s="999"/>
      <c r="E972" s="999"/>
      <c r="F972" s="999"/>
      <c r="G972" s="1000"/>
    </row>
    <row r="973" spans="1:7" s="2" customFormat="1" ht="15.75" customHeight="1">
      <c r="A973" s="990"/>
      <c r="B973" s="991"/>
      <c r="C973" s="1001" t="s">
        <v>2</v>
      </c>
      <c r="D973" s="1002"/>
      <c r="E973" s="1003"/>
      <c r="F973" s="23" t="s">
        <v>3</v>
      </c>
      <c r="G973" s="24" t="s">
        <v>4</v>
      </c>
    </row>
    <row r="974" spans="1:7" s="2" customFormat="1" ht="84.75" customHeight="1">
      <c r="A974" s="1004" t="s">
        <v>217</v>
      </c>
      <c r="B974" s="1005"/>
      <c r="C974" s="1017" t="s">
        <v>129</v>
      </c>
      <c r="D974" s="1018"/>
      <c r="E974" s="949"/>
      <c r="F974" s="9" t="s">
        <v>37</v>
      </c>
      <c r="G974" s="25">
        <v>96.317999999999998</v>
      </c>
    </row>
    <row r="975" spans="1:7" s="2" customFormat="1" ht="13.8">
      <c r="A975" s="1006" t="s">
        <v>5</v>
      </c>
      <c r="B975" s="1007"/>
      <c r="C975" s="1007"/>
      <c r="D975" s="1007"/>
      <c r="E975" s="1007"/>
      <c r="F975" s="1007"/>
      <c r="G975" s="1008"/>
    </row>
    <row r="976" spans="1:7" s="2" customFormat="1" ht="13.8">
      <c r="A976" s="974" t="s">
        <v>2</v>
      </c>
      <c r="B976" s="975"/>
      <c r="C976" s="11" t="s">
        <v>3</v>
      </c>
      <c r="D976" s="11" t="s">
        <v>4</v>
      </c>
      <c r="E976" s="11" t="s">
        <v>6</v>
      </c>
      <c r="F976" s="11" t="s">
        <v>7</v>
      </c>
      <c r="G976" s="967" t="s">
        <v>8</v>
      </c>
    </row>
    <row r="977" spans="1:7" s="2" customFormat="1" ht="13.8">
      <c r="A977" s="948" t="s">
        <v>9</v>
      </c>
      <c r="B977" s="949"/>
      <c r="C977" s="12" t="s">
        <v>3</v>
      </c>
      <c r="D977" s="9">
        <v>0.05</v>
      </c>
      <c r="E977" s="13">
        <f>G995</f>
        <v>21635.5</v>
      </c>
      <c r="F977" s="14">
        <f>D977*E977</f>
        <v>1081.7750000000001</v>
      </c>
      <c r="G977" s="969"/>
    </row>
    <row r="978" spans="1:7" s="2" customFormat="1" ht="13.8">
      <c r="A978" s="948" t="s">
        <v>122</v>
      </c>
      <c r="B978" s="949"/>
      <c r="C978" s="12" t="s">
        <v>58</v>
      </c>
      <c r="D978" s="9">
        <v>0.05</v>
      </c>
      <c r="E978" s="13">
        <f>'MAQUINARIA Y EQUIPOS'!$F$25</f>
        <v>14280</v>
      </c>
      <c r="F978" s="14">
        <f>D978*E978</f>
        <v>714</v>
      </c>
      <c r="G978" s="15">
        <f>SUM(F976:F978)</f>
        <v>1795.7750000000001</v>
      </c>
    </row>
    <row r="979" spans="1:7" s="2" customFormat="1" ht="15.75" customHeight="1">
      <c r="A979" s="1006" t="s">
        <v>10</v>
      </c>
      <c r="B979" s="1007"/>
      <c r="C979" s="1007"/>
      <c r="D979" s="1007"/>
      <c r="E979" s="1007"/>
      <c r="F979" s="1007"/>
      <c r="G979" s="1008"/>
    </row>
    <row r="980" spans="1:7" s="2" customFormat="1" ht="13.8">
      <c r="A980" s="974" t="s">
        <v>2</v>
      </c>
      <c r="B980" s="975"/>
      <c r="C980" s="11" t="s">
        <v>3</v>
      </c>
      <c r="D980" s="11" t="s">
        <v>4</v>
      </c>
      <c r="E980" s="11" t="s">
        <v>6</v>
      </c>
      <c r="F980" s="11" t="s">
        <v>11</v>
      </c>
      <c r="G980" s="967" t="s">
        <v>8</v>
      </c>
    </row>
    <row r="981" spans="1:7" s="2" customFormat="1" ht="15.75" customHeight="1">
      <c r="A981" s="948" t="s">
        <v>1538</v>
      </c>
      <c r="B981" s="949"/>
      <c r="C981" s="9" t="s">
        <v>34</v>
      </c>
      <c r="D981" s="9">
        <v>6</v>
      </c>
      <c r="E981" s="13">
        <f>'INSUMOS '!$E$36</f>
        <v>1716</v>
      </c>
      <c r="F981" s="14">
        <f t="shared" ref="F981:F988" si="2">D981*E981</f>
        <v>10296</v>
      </c>
      <c r="G981" s="968"/>
    </row>
    <row r="982" spans="1:7" s="2" customFormat="1" ht="15.75" customHeight="1">
      <c r="A982" s="948" t="s">
        <v>115</v>
      </c>
      <c r="B982" s="949"/>
      <c r="C982" s="12" t="s">
        <v>3</v>
      </c>
      <c r="D982" s="12">
        <v>0.03</v>
      </c>
      <c r="E982" s="13">
        <f>'INSUMOS '!$E$28</f>
        <v>51900</v>
      </c>
      <c r="F982" s="14">
        <f t="shared" si="2"/>
        <v>1557</v>
      </c>
      <c r="G982" s="968"/>
    </row>
    <row r="983" spans="1:7" s="2" customFormat="1" ht="15.75" customHeight="1">
      <c r="A983" s="948" t="s">
        <v>130</v>
      </c>
      <c r="B983" s="949"/>
      <c r="C983" s="9" t="s">
        <v>37</v>
      </c>
      <c r="D983" s="9">
        <v>1.1000000000000001</v>
      </c>
      <c r="E983" s="13">
        <f>'INSUMOS '!$E$41</f>
        <v>38300</v>
      </c>
      <c r="F983" s="14">
        <f t="shared" si="2"/>
        <v>42130</v>
      </c>
      <c r="G983" s="968"/>
    </row>
    <row r="984" spans="1:7" s="2" customFormat="1" ht="14.25" customHeight="1">
      <c r="A984" s="948" t="s">
        <v>131</v>
      </c>
      <c r="B984" s="949"/>
      <c r="C984" s="9" t="s">
        <v>3</v>
      </c>
      <c r="D984" s="9">
        <v>12.5</v>
      </c>
      <c r="E984" s="13">
        <f>'INSUMOS '!$E$181</f>
        <v>2600</v>
      </c>
      <c r="F984" s="14">
        <f t="shared" si="2"/>
        <v>32500</v>
      </c>
      <c r="G984" s="968"/>
    </row>
    <row r="985" spans="1:7" s="2" customFormat="1" ht="15.75" customHeight="1">
      <c r="A985" s="948" t="s">
        <v>124</v>
      </c>
      <c r="B985" s="949"/>
      <c r="C985" s="9" t="s">
        <v>45</v>
      </c>
      <c r="D985" s="9">
        <v>1.26</v>
      </c>
      <c r="E985" s="13">
        <f>'INSUMOS '!$E$77</f>
        <v>3082</v>
      </c>
      <c r="F985" s="14">
        <f t="shared" si="2"/>
        <v>3883.32</v>
      </c>
      <c r="G985" s="968"/>
    </row>
    <row r="986" spans="1:7" s="2" customFormat="1" ht="15.75" customHeight="1">
      <c r="A986" s="948" t="s">
        <v>125</v>
      </c>
      <c r="B986" s="949"/>
      <c r="C986" s="12" t="s">
        <v>34</v>
      </c>
      <c r="D986" s="9">
        <v>0.65</v>
      </c>
      <c r="E986" s="13">
        <f>'INSUMOS '!$E$38</f>
        <v>6500</v>
      </c>
      <c r="F986" s="14">
        <f t="shared" si="2"/>
        <v>4225</v>
      </c>
      <c r="G986" s="968"/>
    </row>
    <row r="987" spans="1:7" s="2" customFormat="1" ht="15.75" customHeight="1">
      <c r="A987" s="948" t="s">
        <v>77</v>
      </c>
      <c r="B987" s="949"/>
      <c r="C987" s="12" t="s">
        <v>39</v>
      </c>
      <c r="D987" s="12">
        <v>0.01</v>
      </c>
      <c r="E987" s="13">
        <f>SUBANÁLISIS!$G$89</f>
        <v>431833.82500000001</v>
      </c>
      <c r="F987" s="14">
        <f t="shared" si="2"/>
        <v>4318.3382499999998</v>
      </c>
      <c r="G987" s="969"/>
    </row>
    <row r="988" spans="1:7" s="2" customFormat="1" ht="15.75" customHeight="1">
      <c r="A988" s="948" t="s">
        <v>126</v>
      </c>
      <c r="B988" s="949"/>
      <c r="C988" s="12" t="s">
        <v>34</v>
      </c>
      <c r="D988" s="9">
        <v>0.02</v>
      </c>
      <c r="E988" s="13">
        <f>'INSUMOS '!$E$40</f>
        <v>18900</v>
      </c>
      <c r="F988" s="14">
        <f t="shared" si="2"/>
        <v>378</v>
      </c>
      <c r="G988" s="15">
        <f>SUM(F980:F988)</f>
        <v>99287.658250000008</v>
      </c>
    </row>
    <row r="989" spans="1:7" s="2" customFormat="1" ht="15.75" customHeight="1">
      <c r="A989" s="1006" t="s">
        <v>15</v>
      </c>
      <c r="B989" s="1007"/>
      <c r="C989" s="1007"/>
      <c r="D989" s="1007"/>
      <c r="E989" s="1007"/>
      <c r="F989" s="1007"/>
      <c r="G989" s="1008"/>
    </row>
    <row r="990" spans="1:7" s="2" customFormat="1" ht="15.75" customHeight="1">
      <c r="A990" s="974" t="s">
        <v>2</v>
      </c>
      <c r="B990" s="975"/>
      <c r="C990" s="11" t="s">
        <v>3</v>
      </c>
      <c r="D990" s="11" t="s">
        <v>4</v>
      </c>
      <c r="E990" s="11" t="s">
        <v>6</v>
      </c>
      <c r="F990" s="11" t="s">
        <v>11</v>
      </c>
      <c r="G990" s="967" t="s">
        <v>8</v>
      </c>
    </row>
    <row r="991" spans="1:7" s="2" customFormat="1" ht="15.75" customHeight="1">
      <c r="A991" s="1019" t="s">
        <v>68</v>
      </c>
      <c r="B991" s="1020"/>
      <c r="C991" s="16" t="s">
        <v>3</v>
      </c>
      <c r="D991" s="54">
        <v>3.5000000000000003E-2</v>
      </c>
      <c r="E991" s="17">
        <f>G978</f>
        <v>1795.7750000000001</v>
      </c>
      <c r="F991" s="14">
        <f>E991*D991</f>
        <v>62.852125000000008</v>
      </c>
      <c r="G991" s="969"/>
    </row>
    <row r="992" spans="1:7" s="2" customFormat="1" ht="15" customHeight="1">
      <c r="A992" s="983" t="s">
        <v>17</v>
      </c>
      <c r="B992" s="984"/>
      <c r="C992" s="16" t="s">
        <v>127</v>
      </c>
      <c r="D992" s="54">
        <v>3.5000000000000003E-2</v>
      </c>
      <c r="E992" s="13">
        <f>+G988</f>
        <v>99287.658250000008</v>
      </c>
      <c r="F992" s="14">
        <f>E992*D992</f>
        <v>3475.0680387500006</v>
      </c>
      <c r="G992" s="15">
        <f>SUM(F991:F992)</f>
        <v>3537.9201637500005</v>
      </c>
    </row>
    <row r="993" spans="1:7" s="2" customFormat="1" ht="15.75" customHeight="1">
      <c r="A993" s="1006" t="s">
        <v>19</v>
      </c>
      <c r="B993" s="1007"/>
      <c r="C993" s="1007"/>
      <c r="D993" s="1007"/>
      <c r="E993" s="1007"/>
      <c r="F993" s="1007"/>
      <c r="G993" s="1008"/>
    </row>
    <row r="994" spans="1:7" s="2" customFormat="1" ht="15.75" customHeight="1">
      <c r="A994" s="974" t="s">
        <v>2</v>
      </c>
      <c r="B994" s="975"/>
      <c r="C994" s="11" t="s">
        <v>3</v>
      </c>
      <c r="D994" s="11" t="s">
        <v>4</v>
      </c>
      <c r="E994" s="11" t="s">
        <v>6</v>
      </c>
      <c r="F994" s="11" t="s">
        <v>11</v>
      </c>
      <c r="G994" s="18" t="s">
        <v>8</v>
      </c>
    </row>
    <row r="995" spans="1:7" s="2" customFormat="1" ht="15.75" customHeight="1">
      <c r="A995" s="978" t="str">
        <f>SALARIOS!$A$63</f>
        <v>CUADRILLA AA ALBAÑILERÍA 1:3</v>
      </c>
      <c r="B995" s="979"/>
      <c r="C995" s="13" t="s">
        <v>1245</v>
      </c>
      <c r="D995" s="12">
        <f>0.5</f>
        <v>0.5</v>
      </c>
      <c r="E995" s="13">
        <f>SALARIOS!$C$63</f>
        <v>43271</v>
      </c>
      <c r="F995" s="14">
        <f>+D995*E995</f>
        <v>21635.5</v>
      </c>
      <c r="G995" s="15">
        <f>F995</f>
        <v>21635.5</v>
      </c>
    </row>
    <row r="996" spans="1:7" s="2" customFormat="1" ht="15.75" customHeight="1">
      <c r="A996" s="1009" t="s">
        <v>25</v>
      </c>
      <c r="B996" s="1010"/>
      <c r="C996" s="1010"/>
      <c r="D996" s="1010"/>
      <c r="E996" s="1010"/>
      <c r="F996" s="1010"/>
      <c r="G996" s="1011"/>
    </row>
    <row r="997" spans="1:7" s="2" customFormat="1" ht="15.75" customHeight="1">
      <c r="A997" s="1012"/>
      <c r="B997" s="1013"/>
      <c r="C997" s="1013"/>
      <c r="D997" s="1013"/>
      <c r="E997" s="1013"/>
      <c r="F997" s="1014"/>
      <c r="G997" s="20">
        <f>G995+G992+G988+G978</f>
        <v>126256.85341375001</v>
      </c>
    </row>
    <row r="998" spans="1:7" s="2" customFormat="1" ht="15.75" customHeight="1">
      <c r="A998" s="21"/>
      <c r="B998" s="342"/>
      <c r="C998" s="342"/>
      <c r="D998" s="342"/>
      <c r="E998" s="342"/>
      <c r="F998" s="342"/>
      <c r="G998" s="22"/>
    </row>
    <row r="999" spans="1:7" s="2" customFormat="1" ht="15.75" customHeight="1">
      <c r="A999" s="986" t="s">
        <v>1</v>
      </c>
      <c r="B999" s="987"/>
      <c r="C999" s="992" t="s">
        <v>0</v>
      </c>
      <c r="D999" s="993"/>
      <c r="E999" s="993"/>
      <c r="F999" s="993"/>
      <c r="G999" s="994"/>
    </row>
    <row r="1000" spans="1:7" s="2" customFormat="1" ht="60.75" customHeight="1">
      <c r="A1000" s="988"/>
      <c r="B1000" s="989"/>
      <c r="C1000" s="995"/>
      <c r="D1000" s="996"/>
      <c r="E1000" s="996"/>
      <c r="F1000" s="996"/>
      <c r="G1000" s="997"/>
    </row>
    <row r="1001" spans="1:7" s="2" customFormat="1" ht="15.75" customHeight="1">
      <c r="A1001" s="988"/>
      <c r="B1001" s="989"/>
      <c r="C1001" s="998"/>
      <c r="D1001" s="999"/>
      <c r="E1001" s="999"/>
      <c r="F1001" s="999"/>
      <c r="G1001" s="1000"/>
    </row>
    <row r="1002" spans="1:7" s="2" customFormat="1" ht="15.75" customHeight="1">
      <c r="A1002" s="990"/>
      <c r="B1002" s="991"/>
      <c r="C1002" s="1001" t="s">
        <v>2</v>
      </c>
      <c r="D1002" s="1002"/>
      <c r="E1002" s="1003"/>
      <c r="F1002" s="23" t="s">
        <v>3</v>
      </c>
      <c r="G1002" s="24" t="s">
        <v>4</v>
      </c>
    </row>
    <row r="1003" spans="1:7" s="2" customFormat="1" ht="69" customHeight="1">
      <c r="A1003" s="1004" t="s">
        <v>218</v>
      </c>
      <c r="B1003" s="1005"/>
      <c r="C1003" s="1017" t="s">
        <v>219</v>
      </c>
      <c r="D1003" s="1018"/>
      <c r="E1003" s="949"/>
      <c r="F1003" s="9" t="s">
        <v>37</v>
      </c>
      <c r="G1003" s="25">
        <v>13.760000000000002</v>
      </c>
    </row>
    <row r="1004" spans="1:7" s="2" customFormat="1" ht="23.25" customHeight="1">
      <c r="A1004" s="1006" t="s">
        <v>5</v>
      </c>
      <c r="B1004" s="1007"/>
      <c r="C1004" s="1007"/>
      <c r="D1004" s="1007"/>
      <c r="E1004" s="1007"/>
      <c r="F1004" s="1007"/>
      <c r="G1004" s="1008"/>
    </row>
    <row r="1005" spans="1:7" s="2" customFormat="1" ht="15.75" customHeight="1">
      <c r="A1005" s="974" t="s">
        <v>2</v>
      </c>
      <c r="B1005" s="975"/>
      <c r="C1005" s="11" t="s">
        <v>3</v>
      </c>
      <c r="D1005" s="11" t="s">
        <v>4</v>
      </c>
      <c r="E1005" s="11" t="s">
        <v>6</v>
      </c>
      <c r="F1005" s="11" t="s">
        <v>7</v>
      </c>
      <c r="G1005" s="967" t="s">
        <v>8</v>
      </c>
    </row>
    <row r="1006" spans="1:7" s="2" customFormat="1" ht="15.75" customHeight="1">
      <c r="A1006" s="948" t="s">
        <v>9</v>
      </c>
      <c r="B1006" s="949"/>
      <c r="C1006" s="12" t="s">
        <v>3</v>
      </c>
      <c r="D1006" s="9">
        <v>0.05</v>
      </c>
      <c r="E1006" s="13">
        <f>G1023</f>
        <v>124275</v>
      </c>
      <c r="F1006" s="14">
        <f t="shared" ref="F1006:F1011" si="3">D1006*E1006</f>
        <v>6213.75</v>
      </c>
      <c r="G1006" s="968"/>
    </row>
    <row r="1007" spans="1:7" s="2" customFormat="1" ht="15.75" customHeight="1">
      <c r="A1007" s="948" t="s">
        <v>71</v>
      </c>
      <c r="B1007" s="949"/>
      <c r="C1007" s="12" t="s">
        <v>58</v>
      </c>
      <c r="D1007" s="9">
        <v>0.1</v>
      </c>
      <c r="E1007" s="13">
        <f>'MAQUINARIA Y EQUIPOS'!F27</f>
        <v>100000</v>
      </c>
      <c r="F1007" s="14">
        <f t="shared" si="3"/>
        <v>10000</v>
      </c>
      <c r="G1007" s="968"/>
    </row>
    <row r="1008" spans="1:7" s="2" customFormat="1" ht="15.75" customHeight="1">
      <c r="A1008" s="948" t="s">
        <v>72</v>
      </c>
      <c r="B1008" s="949"/>
      <c r="C1008" s="12" t="s">
        <v>58</v>
      </c>
      <c r="D1008" s="9">
        <v>0.1</v>
      </c>
      <c r="E1008" s="13">
        <f>'MAQUINARIA Y EQUIPOS'!F28</f>
        <v>5117</v>
      </c>
      <c r="F1008" s="14">
        <f t="shared" si="3"/>
        <v>511.70000000000005</v>
      </c>
      <c r="G1008" s="968"/>
    </row>
    <row r="1009" spans="1:7" s="2" customFormat="1" ht="14.25" customHeight="1">
      <c r="A1009" s="948" t="s">
        <v>73</v>
      </c>
      <c r="B1009" s="949"/>
      <c r="C1009" s="12" t="s">
        <v>58</v>
      </c>
      <c r="D1009" s="9">
        <v>0.1</v>
      </c>
      <c r="E1009" s="13">
        <f>'MAQUINARIA Y EQUIPOS'!F29</f>
        <v>2261</v>
      </c>
      <c r="F1009" s="14">
        <f t="shared" si="3"/>
        <v>226.10000000000002</v>
      </c>
      <c r="G1009" s="968"/>
    </row>
    <row r="1010" spans="1:7" s="2" customFormat="1" ht="15.75" customHeight="1">
      <c r="A1010" s="948" t="s">
        <v>75</v>
      </c>
      <c r="B1010" s="949"/>
      <c r="C1010" s="12" t="s">
        <v>58</v>
      </c>
      <c r="D1010" s="9">
        <v>0.02</v>
      </c>
      <c r="E1010" s="13">
        <f>'MAQUINARIA Y EQUIPOS'!F21</f>
        <v>35700</v>
      </c>
      <c r="F1010" s="14">
        <f t="shared" si="3"/>
        <v>714</v>
      </c>
      <c r="G1010" s="969"/>
    </row>
    <row r="1011" spans="1:7" s="2" customFormat="1" ht="15.75" customHeight="1">
      <c r="A1011" s="948" t="s">
        <v>76</v>
      </c>
      <c r="B1011" s="949"/>
      <c r="C1011" s="9" t="s">
        <v>39</v>
      </c>
      <c r="D1011" s="9">
        <v>0.2</v>
      </c>
      <c r="E1011" s="13">
        <f>'MAQUINARIA Y EQUIPOS'!F22</f>
        <v>42000</v>
      </c>
      <c r="F1011" s="14">
        <f t="shared" si="3"/>
        <v>8400</v>
      </c>
      <c r="G1011" s="15">
        <f>SUM(F1005:F1011)</f>
        <v>26065.55</v>
      </c>
    </row>
    <row r="1012" spans="1:7" s="2" customFormat="1" ht="15.75" customHeight="1">
      <c r="A1012" s="1006" t="s">
        <v>10</v>
      </c>
      <c r="B1012" s="1007"/>
      <c r="C1012" s="1007"/>
      <c r="D1012" s="1007"/>
      <c r="E1012" s="1007"/>
      <c r="F1012" s="1007"/>
      <c r="G1012" s="1008"/>
    </row>
    <row r="1013" spans="1:7" s="2" customFormat="1" ht="15.75" customHeight="1">
      <c r="A1013" s="974" t="s">
        <v>2</v>
      </c>
      <c r="B1013" s="975"/>
      <c r="C1013" s="11" t="s">
        <v>3</v>
      </c>
      <c r="D1013" s="11" t="s">
        <v>4</v>
      </c>
      <c r="E1013" s="11" t="s">
        <v>6</v>
      </c>
      <c r="F1013" s="11" t="s">
        <v>11</v>
      </c>
      <c r="G1013" s="967" t="s">
        <v>8</v>
      </c>
    </row>
    <row r="1014" spans="1:7" s="2" customFormat="1" ht="15.75" customHeight="1">
      <c r="A1014" s="948" t="s">
        <v>74</v>
      </c>
      <c r="B1014" s="949"/>
      <c r="C1014" s="12" t="s">
        <v>3</v>
      </c>
      <c r="D1014" s="9">
        <v>5.0000000000000001E-3</v>
      </c>
      <c r="E1014" s="13">
        <f>'INSUMOS '!E29</f>
        <v>643900</v>
      </c>
      <c r="F1014" s="14">
        <f>D1014*E1014</f>
        <v>3219.5</v>
      </c>
      <c r="G1014" s="968"/>
    </row>
    <row r="1015" spans="1:7" s="2" customFormat="1" ht="15.75" customHeight="1">
      <c r="A1015" s="948" t="s">
        <v>77</v>
      </c>
      <c r="B1015" s="949"/>
      <c r="C1015" s="12" t="s">
        <v>39</v>
      </c>
      <c r="D1015" s="12">
        <v>0.02</v>
      </c>
      <c r="E1015" s="13">
        <f>SUBANÁLISIS!G89</f>
        <v>431833.82500000001</v>
      </c>
      <c r="F1015" s="14">
        <f>D1015*E1015</f>
        <v>8636.6764999999996</v>
      </c>
      <c r="G1015" s="969"/>
    </row>
    <row r="1016" spans="1:7" s="2" customFormat="1" ht="15.75" customHeight="1">
      <c r="A1016" s="948"/>
      <c r="B1016" s="949"/>
      <c r="C1016" s="12"/>
      <c r="D1016" s="33"/>
      <c r="E1016" s="13"/>
      <c r="F1016" s="14"/>
      <c r="G1016" s="15">
        <f>SUM(F1013:F1016)</f>
        <v>11856.1765</v>
      </c>
    </row>
    <row r="1017" spans="1:7" s="2" customFormat="1" ht="15.75" customHeight="1">
      <c r="A1017" s="1006" t="s">
        <v>15</v>
      </c>
      <c r="B1017" s="1007"/>
      <c r="C1017" s="1007"/>
      <c r="D1017" s="1007"/>
      <c r="E1017" s="1007"/>
      <c r="F1017" s="1007"/>
      <c r="G1017" s="1008"/>
    </row>
    <row r="1018" spans="1:7" s="2" customFormat="1" ht="15.75" customHeight="1">
      <c r="A1018" s="974" t="s">
        <v>2</v>
      </c>
      <c r="B1018" s="975"/>
      <c r="C1018" s="11" t="s">
        <v>3</v>
      </c>
      <c r="D1018" s="11" t="s">
        <v>4</v>
      </c>
      <c r="E1018" s="11" t="s">
        <v>6</v>
      </c>
      <c r="F1018" s="11" t="s">
        <v>11</v>
      </c>
      <c r="G1018" s="967" t="s">
        <v>8</v>
      </c>
    </row>
    <row r="1019" spans="1:7" s="2" customFormat="1" ht="15.75" customHeight="1">
      <c r="A1019" s="1019" t="s">
        <v>68</v>
      </c>
      <c r="B1019" s="1020"/>
      <c r="C1019" s="16" t="s">
        <v>3</v>
      </c>
      <c r="D1019" s="54">
        <v>3.5000000000000003E-2</v>
      </c>
      <c r="E1019" s="17">
        <f>G1011</f>
        <v>26065.55</v>
      </c>
      <c r="F1019" s="55">
        <f>E1019*D1019</f>
        <v>912.29425000000003</v>
      </c>
      <c r="G1019" s="969"/>
    </row>
    <row r="1020" spans="1:7" s="2" customFormat="1" ht="15.75" customHeight="1">
      <c r="A1020" s="983" t="s">
        <v>78</v>
      </c>
      <c r="B1020" s="984"/>
      <c r="C1020" s="16" t="s">
        <v>39</v>
      </c>
      <c r="D1020" s="54">
        <v>3.5000000000000003E-2</v>
      </c>
      <c r="E1020" s="13">
        <f>'INSUMOS '!E4</f>
        <v>75800</v>
      </c>
      <c r="F1020" s="55">
        <f>E1020*D1020</f>
        <v>2653.0000000000005</v>
      </c>
      <c r="G1020" s="15">
        <f>SUM(F1019:F1020)</f>
        <v>3565.2942500000004</v>
      </c>
    </row>
    <row r="1021" spans="1:7" s="2" customFormat="1" ht="15.75" customHeight="1">
      <c r="A1021" s="1006" t="s">
        <v>19</v>
      </c>
      <c r="B1021" s="1007"/>
      <c r="C1021" s="1007"/>
      <c r="D1021" s="1007"/>
      <c r="E1021" s="1007"/>
      <c r="F1021" s="1007"/>
      <c r="G1021" s="1008"/>
    </row>
    <row r="1022" spans="1:7" s="2" customFormat="1" ht="15.75" customHeight="1">
      <c r="A1022" s="974" t="s">
        <v>2</v>
      </c>
      <c r="B1022" s="975"/>
      <c r="C1022" s="11" t="s">
        <v>3</v>
      </c>
      <c r="D1022" s="11" t="s">
        <v>4</v>
      </c>
      <c r="E1022" s="11" t="s">
        <v>6</v>
      </c>
      <c r="F1022" s="11" t="s">
        <v>11</v>
      </c>
      <c r="G1022" s="18" t="s">
        <v>8</v>
      </c>
    </row>
    <row r="1023" spans="1:7" s="2" customFormat="1" ht="15" customHeight="1">
      <c r="A1023" s="978" t="str">
        <f>SALARIOS!$A$61</f>
        <v>CUADRILLA AA ALBAÑILERÍA 1:1</v>
      </c>
      <c r="B1023" s="979"/>
      <c r="C1023" s="13" t="s">
        <v>1245</v>
      </c>
      <c r="D1023" s="32">
        <v>5</v>
      </c>
      <c r="E1023" s="13">
        <f>SALARIOS!$C$61</f>
        <v>24855</v>
      </c>
      <c r="F1023" s="14">
        <f>+D1023*E1023</f>
        <v>124275</v>
      </c>
      <c r="G1023" s="15">
        <f>F1023</f>
        <v>124275</v>
      </c>
    </row>
    <row r="1024" spans="1:7" s="2" customFormat="1" ht="15.75" customHeight="1">
      <c r="A1024" s="1009" t="s">
        <v>25</v>
      </c>
      <c r="B1024" s="1010"/>
      <c r="C1024" s="1010"/>
      <c r="D1024" s="1010"/>
      <c r="E1024" s="1010"/>
      <c r="F1024" s="1010"/>
      <c r="G1024" s="1011"/>
    </row>
    <row r="1025" spans="1:7" s="2" customFormat="1" ht="15.75" customHeight="1">
      <c r="A1025" s="1012"/>
      <c r="B1025" s="1013"/>
      <c r="C1025" s="1013"/>
      <c r="D1025" s="1013"/>
      <c r="E1025" s="1013"/>
      <c r="F1025" s="1014"/>
      <c r="G1025" s="20">
        <f>G1023+G1020+G1016+G1011</f>
        <v>165762.02075</v>
      </c>
    </row>
    <row r="1026" spans="1:7" s="2" customFormat="1" ht="15.75" customHeight="1">
      <c r="A1026" s="21"/>
      <c r="B1026" s="342"/>
      <c r="C1026" s="342"/>
      <c r="D1026" s="342"/>
      <c r="E1026" s="342"/>
      <c r="F1026" s="342"/>
      <c r="G1026" s="22"/>
    </row>
    <row r="1027" spans="1:7" s="2" customFormat="1" ht="15.75" customHeight="1">
      <c r="A1027" s="986" t="s">
        <v>1</v>
      </c>
      <c r="B1027" s="987"/>
      <c r="C1027" s="992" t="s">
        <v>0</v>
      </c>
      <c r="D1027" s="993"/>
      <c r="E1027" s="993"/>
      <c r="F1027" s="993"/>
      <c r="G1027" s="994"/>
    </row>
    <row r="1028" spans="1:7" s="2" customFormat="1" ht="45.75" customHeight="1">
      <c r="A1028" s="988"/>
      <c r="B1028" s="989"/>
      <c r="C1028" s="995"/>
      <c r="D1028" s="996"/>
      <c r="E1028" s="996"/>
      <c r="F1028" s="996"/>
      <c r="G1028" s="997"/>
    </row>
    <row r="1029" spans="1:7" s="2" customFormat="1" ht="15.75" customHeight="1">
      <c r="A1029" s="988"/>
      <c r="B1029" s="989"/>
      <c r="C1029" s="998"/>
      <c r="D1029" s="999"/>
      <c r="E1029" s="999"/>
      <c r="F1029" s="999"/>
      <c r="G1029" s="1000"/>
    </row>
    <row r="1030" spans="1:7" s="2" customFormat="1" ht="15.75" customHeight="1">
      <c r="A1030" s="990"/>
      <c r="B1030" s="991"/>
      <c r="C1030" s="1001" t="s">
        <v>2</v>
      </c>
      <c r="D1030" s="1002"/>
      <c r="E1030" s="1003"/>
      <c r="F1030" s="23" t="s">
        <v>3</v>
      </c>
      <c r="G1030" s="24" t="s">
        <v>4</v>
      </c>
    </row>
    <row r="1031" spans="1:7" s="2" customFormat="1" ht="142.5" customHeight="1">
      <c r="A1031" s="1004" t="s">
        <v>220</v>
      </c>
      <c r="B1031" s="1005"/>
      <c r="C1031" s="1017" t="s">
        <v>175</v>
      </c>
      <c r="D1031" s="1018"/>
      <c r="E1031" s="949"/>
      <c r="F1031" s="9" t="s">
        <v>100</v>
      </c>
      <c r="G1031" s="25">
        <v>208.54000000000002</v>
      </c>
    </row>
    <row r="1032" spans="1:7" s="2" customFormat="1" ht="13.8">
      <c r="A1032" s="1006" t="s">
        <v>5</v>
      </c>
      <c r="B1032" s="1007"/>
      <c r="C1032" s="1007"/>
      <c r="D1032" s="1007"/>
      <c r="E1032" s="1007"/>
      <c r="F1032" s="1007"/>
      <c r="G1032" s="1008"/>
    </row>
    <row r="1033" spans="1:7" s="2" customFormat="1" ht="13.8">
      <c r="A1033" s="974" t="s">
        <v>2</v>
      </c>
      <c r="B1033" s="975"/>
      <c r="C1033" s="11" t="s">
        <v>3</v>
      </c>
      <c r="D1033" s="11" t="s">
        <v>4</v>
      </c>
      <c r="E1033" s="11" t="s">
        <v>6</v>
      </c>
      <c r="F1033" s="11" t="s">
        <v>7</v>
      </c>
      <c r="G1033" s="967" t="s">
        <v>8</v>
      </c>
    </row>
    <row r="1034" spans="1:7" s="2" customFormat="1" ht="13.8">
      <c r="A1034" s="948" t="s">
        <v>9</v>
      </c>
      <c r="B1034" s="949"/>
      <c r="C1034" s="12" t="s">
        <v>3</v>
      </c>
      <c r="D1034" s="9">
        <v>0.05</v>
      </c>
      <c r="E1034" s="13">
        <f>$G$757</f>
        <v>24855</v>
      </c>
      <c r="F1034" s="14">
        <f>D1034*E1034</f>
        <v>1242.75</v>
      </c>
      <c r="G1034" s="968"/>
    </row>
    <row r="1035" spans="1:7" s="2" customFormat="1" ht="14.25" customHeight="1">
      <c r="A1035" s="948" t="s">
        <v>75</v>
      </c>
      <c r="B1035" s="949"/>
      <c r="C1035" s="12" t="s">
        <v>58</v>
      </c>
      <c r="D1035" s="9">
        <v>0.04</v>
      </c>
      <c r="E1035" s="13">
        <f>'MAQUINARIA Y EQUIPOS'!$F$21</f>
        <v>35700</v>
      </c>
      <c r="F1035" s="14">
        <f>D1035*E1035</f>
        <v>1428</v>
      </c>
      <c r="G1035" s="968"/>
    </row>
    <row r="1036" spans="1:7" s="2" customFormat="1" ht="15.75" customHeight="1">
      <c r="A1036" s="948" t="s">
        <v>113</v>
      </c>
      <c r="B1036" s="949"/>
      <c r="C1036" s="12" t="s">
        <v>58</v>
      </c>
      <c r="D1036" s="9">
        <v>0.3</v>
      </c>
      <c r="E1036" s="13">
        <f>'MAQUINARIA Y EQUIPOS'!$F$10</f>
        <v>3272.5</v>
      </c>
      <c r="F1036" s="14">
        <f>D1036*E1036</f>
        <v>981.75</v>
      </c>
      <c r="G1036" s="968"/>
    </row>
    <row r="1037" spans="1:7" s="2" customFormat="1" ht="15.75" customHeight="1">
      <c r="A1037" s="948" t="s">
        <v>61</v>
      </c>
      <c r="B1037" s="949"/>
      <c r="C1037" s="12" t="s">
        <v>58</v>
      </c>
      <c r="D1037" s="9">
        <v>0.1</v>
      </c>
      <c r="E1037" s="13">
        <f>'MAQUINARIA Y EQUIPOS'!$F$18</f>
        <v>40460</v>
      </c>
      <c r="F1037" s="14">
        <f>D1037*E1037</f>
        <v>4046</v>
      </c>
      <c r="G1037" s="969"/>
    </row>
    <row r="1038" spans="1:7" s="2" customFormat="1" ht="15.75" customHeight="1">
      <c r="A1038" s="948" t="s">
        <v>76</v>
      </c>
      <c r="B1038" s="949"/>
      <c r="C1038" s="9" t="s">
        <v>39</v>
      </c>
      <c r="D1038" s="9">
        <f>1*1*0.12</f>
        <v>0.12</v>
      </c>
      <c r="E1038" s="13">
        <f>'MAQUINARIA Y EQUIPOS'!$F$22</f>
        <v>42000</v>
      </c>
      <c r="F1038" s="14">
        <f>D1038*E1038</f>
        <v>5040</v>
      </c>
      <c r="G1038" s="15">
        <f>SUM(F1033:F1038)</f>
        <v>12738.5</v>
      </c>
    </row>
    <row r="1039" spans="1:7" s="2" customFormat="1" ht="15.75" customHeight="1">
      <c r="A1039" s="1006" t="s">
        <v>10</v>
      </c>
      <c r="B1039" s="1007"/>
      <c r="C1039" s="1007"/>
      <c r="D1039" s="1007"/>
      <c r="E1039" s="1007"/>
      <c r="F1039" s="1007"/>
      <c r="G1039" s="1008"/>
    </row>
    <row r="1040" spans="1:7" s="2" customFormat="1" ht="15.75" customHeight="1">
      <c r="A1040" s="974" t="s">
        <v>2</v>
      </c>
      <c r="B1040" s="975"/>
      <c r="C1040" s="11" t="s">
        <v>3</v>
      </c>
      <c r="D1040" s="11" t="s">
        <v>4</v>
      </c>
      <c r="E1040" s="11" t="s">
        <v>6</v>
      </c>
      <c r="F1040" s="11" t="s">
        <v>11</v>
      </c>
      <c r="G1040" s="967" t="s">
        <v>8</v>
      </c>
    </row>
    <row r="1041" spans="1:7" s="2" customFormat="1" ht="13.8">
      <c r="A1041" s="948" t="s">
        <v>1459</v>
      </c>
      <c r="B1041" s="949"/>
      <c r="C1041" s="12" t="s">
        <v>3</v>
      </c>
      <c r="D1041" s="12">
        <v>0.03</v>
      </c>
      <c r="E1041" s="13">
        <f>'INSUMOS '!$E$29</f>
        <v>643900</v>
      </c>
      <c r="F1041" s="14">
        <f>D1041*E1041</f>
        <v>19317</v>
      </c>
      <c r="G1041" s="968"/>
    </row>
    <row r="1042" spans="1:7" s="2" customFormat="1" ht="13.8">
      <c r="A1042" s="948" t="s">
        <v>114</v>
      </c>
      <c r="B1042" s="949"/>
      <c r="C1042" s="12" t="s">
        <v>39</v>
      </c>
      <c r="D1042" s="12">
        <v>0.02</v>
      </c>
      <c r="E1042" s="13">
        <f>SUBANÁLISIS!$G$146</f>
        <v>702267.57499999995</v>
      </c>
      <c r="F1042" s="14">
        <f>D1042*E1042</f>
        <v>14045.351499999999</v>
      </c>
      <c r="G1042" s="968"/>
    </row>
    <row r="1043" spans="1:7" s="2" customFormat="1" ht="15.75" customHeight="1">
      <c r="A1043" s="948" t="s">
        <v>176</v>
      </c>
      <c r="B1043" s="949"/>
      <c r="C1043" s="12" t="s">
        <v>3</v>
      </c>
      <c r="D1043" s="12">
        <v>2</v>
      </c>
      <c r="E1043" s="13">
        <f>'INSUMOS '!$E$181</f>
        <v>2600</v>
      </c>
      <c r="F1043" s="14">
        <f>D1043*E1043</f>
        <v>5200</v>
      </c>
      <c r="G1043" s="969"/>
    </row>
    <row r="1044" spans="1:7" s="2" customFormat="1" ht="15.75" customHeight="1">
      <c r="A1044" s="948" t="s">
        <v>177</v>
      </c>
      <c r="B1044" s="949"/>
      <c r="C1044" s="12" t="s">
        <v>3</v>
      </c>
      <c r="D1044" s="33">
        <v>2</v>
      </c>
      <c r="E1044" s="13">
        <f>'INSUMOS '!$E$45</f>
        <v>3253.46</v>
      </c>
      <c r="F1044" s="14">
        <f>E1044*D1044</f>
        <v>6506.92</v>
      </c>
      <c r="G1044" s="15">
        <f>SUM(F1042:F1044)</f>
        <v>25752.271499999995</v>
      </c>
    </row>
    <row r="1045" spans="1:7" s="2" customFormat="1" ht="13.8">
      <c r="A1045" s="1006" t="s">
        <v>15</v>
      </c>
      <c r="B1045" s="1007"/>
      <c r="C1045" s="1007"/>
      <c r="D1045" s="1007"/>
      <c r="E1045" s="1007"/>
      <c r="F1045" s="1007"/>
      <c r="G1045" s="1008"/>
    </row>
    <row r="1046" spans="1:7" s="2" customFormat="1" ht="15.75" customHeight="1">
      <c r="A1046" s="974" t="s">
        <v>2</v>
      </c>
      <c r="B1046" s="975"/>
      <c r="C1046" s="11" t="s">
        <v>3</v>
      </c>
      <c r="D1046" s="11" t="s">
        <v>4</v>
      </c>
      <c r="E1046" s="11" t="s">
        <v>6</v>
      </c>
      <c r="F1046" s="11" t="s">
        <v>11</v>
      </c>
      <c r="G1046" s="967" t="s">
        <v>8</v>
      </c>
    </row>
    <row r="1047" spans="1:7" s="2" customFormat="1" ht="15.75" customHeight="1">
      <c r="A1047" s="1019" t="s">
        <v>68</v>
      </c>
      <c r="B1047" s="1020"/>
      <c r="C1047" s="16" t="s">
        <v>3</v>
      </c>
      <c r="D1047" s="54">
        <v>3.5000000000000003E-2</v>
      </c>
      <c r="E1047" s="17">
        <f>G1038</f>
        <v>12738.5</v>
      </c>
      <c r="F1047" s="14">
        <f>E1047*D1047</f>
        <v>445.84750000000003</v>
      </c>
      <c r="G1047" s="968"/>
    </row>
    <row r="1048" spans="1:7" s="2" customFormat="1" ht="15.75" customHeight="1">
      <c r="A1048" s="1019" t="s">
        <v>17</v>
      </c>
      <c r="B1048" s="1020"/>
      <c r="C1048" s="16" t="s">
        <v>18</v>
      </c>
      <c r="D1048" s="54">
        <v>3.5000000000000003E-2</v>
      </c>
      <c r="E1048" s="13">
        <f>+G1044</f>
        <v>25752.271499999995</v>
      </c>
      <c r="F1048" s="14">
        <f>E1048*D1048</f>
        <v>901.32950249999988</v>
      </c>
      <c r="G1048" s="15">
        <f>SUM(F1047:F1048)</f>
        <v>1347.1770024999998</v>
      </c>
    </row>
    <row r="1049" spans="1:7" s="2" customFormat="1" ht="15.75" customHeight="1">
      <c r="A1049" s="1006" t="s">
        <v>19</v>
      </c>
      <c r="B1049" s="1007"/>
      <c r="C1049" s="1007"/>
      <c r="D1049" s="1007"/>
      <c r="E1049" s="1007"/>
      <c r="F1049" s="1007"/>
      <c r="G1049" s="1008"/>
    </row>
    <row r="1050" spans="1:7" s="2" customFormat="1" ht="15.75" customHeight="1">
      <c r="A1050" s="974" t="s">
        <v>2</v>
      </c>
      <c r="B1050" s="975"/>
      <c r="C1050" s="11" t="s">
        <v>3</v>
      </c>
      <c r="D1050" s="11" t="s">
        <v>4</v>
      </c>
      <c r="E1050" s="11" t="s">
        <v>6</v>
      </c>
      <c r="F1050" s="11" t="s">
        <v>11</v>
      </c>
      <c r="G1050" s="18" t="s">
        <v>8</v>
      </c>
    </row>
    <row r="1051" spans="1:7" s="2" customFormat="1" ht="15" customHeight="1">
      <c r="A1051" s="978" t="str">
        <f>SALARIOS!$A$61</f>
        <v>CUADRILLA AA ALBAÑILERÍA 1:1</v>
      </c>
      <c r="B1051" s="979"/>
      <c r="C1051" s="13" t="s">
        <v>1245</v>
      </c>
      <c r="D1051" s="32">
        <v>1</v>
      </c>
      <c r="E1051" s="13">
        <f>SALARIOS!$C$61</f>
        <v>24855</v>
      </c>
      <c r="F1051" s="14">
        <f>+D1051*E1051</f>
        <v>24855</v>
      </c>
      <c r="G1051" s="15">
        <f>F1051</f>
        <v>24855</v>
      </c>
    </row>
    <row r="1052" spans="1:7" s="2" customFormat="1" ht="15.75" customHeight="1">
      <c r="A1052" s="1009" t="s">
        <v>25</v>
      </c>
      <c r="B1052" s="1010"/>
      <c r="C1052" s="1010"/>
      <c r="D1052" s="1010"/>
      <c r="E1052" s="1010"/>
      <c r="F1052" s="1010"/>
      <c r="G1052" s="1011"/>
    </row>
    <row r="1053" spans="1:7" s="2" customFormat="1" ht="17.399999999999999">
      <c r="A1053" s="1012"/>
      <c r="B1053" s="1013"/>
      <c r="C1053" s="1013"/>
      <c r="D1053" s="1013"/>
      <c r="E1053" s="1013"/>
      <c r="F1053" s="1014"/>
      <c r="G1053" s="20">
        <f>G1051+G1048+G1044+G1038</f>
        <v>64692.948502499996</v>
      </c>
    </row>
    <row r="1054" spans="1:7" s="2" customFormat="1" ht="17.399999999999999">
      <c r="A1054" s="21"/>
      <c r="B1054" s="342"/>
      <c r="C1054" s="342"/>
      <c r="D1054" s="342"/>
      <c r="E1054" s="342"/>
      <c r="F1054" s="342"/>
      <c r="G1054" s="22"/>
    </row>
    <row r="1055" spans="1:7" s="2" customFormat="1" ht="14.25" customHeight="1">
      <c r="A1055" s="986" t="s">
        <v>1</v>
      </c>
      <c r="B1055" s="987"/>
      <c r="C1055" s="992" t="s">
        <v>0</v>
      </c>
      <c r="D1055" s="993"/>
      <c r="E1055" s="993"/>
      <c r="F1055" s="993"/>
      <c r="G1055" s="994"/>
    </row>
    <row r="1056" spans="1:7" s="2" customFormat="1" ht="66" customHeight="1">
      <c r="A1056" s="988"/>
      <c r="B1056" s="989"/>
      <c r="C1056" s="995"/>
      <c r="D1056" s="996"/>
      <c r="E1056" s="996"/>
      <c r="F1056" s="996"/>
      <c r="G1056" s="997"/>
    </row>
    <row r="1057" spans="1:7" s="2" customFormat="1" ht="15.75" customHeight="1">
      <c r="A1057" s="988"/>
      <c r="B1057" s="989"/>
      <c r="C1057" s="998"/>
      <c r="D1057" s="999"/>
      <c r="E1057" s="999"/>
      <c r="F1057" s="999"/>
      <c r="G1057" s="1000"/>
    </row>
    <row r="1058" spans="1:7" s="2" customFormat="1" ht="15.75" customHeight="1">
      <c r="A1058" s="990"/>
      <c r="B1058" s="991"/>
      <c r="C1058" s="1001" t="s">
        <v>2</v>
      </c>
      <c r="D1058" s="1002"/>
      <c r="E1058" s="1003"/>
      <c r="F1058" s="23" t="s">
        <v>3</v>
      </c>
      <c r="G1058" s="24" t="s">
        <v>4</v>
      </c>
    </row>
    <row r="1059" spans="1:7" s="2" customFormat="1" ht="179.25" customHeight="1">
      <c r="A1059" s="1004" t="s">
        <v>221</v>
      </c>
      <c r="B1059" s="1005"/>
      <c r="C1059" s="1017" t="s">
        <v>206</v>
      </c>
      <c r="D1059" s="1018"/>
      <c r="E1059" s="949"/>
      <c r="F1059" s="9" t="s">
        <v>100</v>
      </c>
      <c r="G1059" s="25">
        <v>1860.9400000000044</v>
      </c>
    </row>
    <row r="1060" spans="1:7" s="2" customFormat="1" ht="15.75" customHeight="1">
      <c r="A1060" s="1032" t="s">
        <v>5</v>
      </c>
      <c r="B1060" s="1033"/>
      <c r="C1060" s="1033"/>
      <c r="D1060" s="1033"/>
      <c r="E1060" s="1033"/>
      <c r="F1060" s="1033"/>
      <c r="G1060" s="1034"/>
    </row>
    <row r="1061" spans="1:7" s="2" customFormat="1" ht="13.8">
      <c r="A1061" s="974" t="s">
        <v>2</v>
      </c>
      <c r="B1061" s="975"/>
      <c r="C1061" s="11" t="s">
        <v>3</v>
      </c>
      <c r="D1061" s="11" t="s">
        <v>4</v>
      </c>
      <c r="E1061" s="11" t="s">
        <v>6</v>
      </c>
      <c r="F1061" s="11" t="s">
        <v>7</v>
      </c>
      <c r="G1061" s="967" t="s">
        <v>8</v>
      </c>
    </row>
    <row r="1062" spans="1:7" s="2" customFormat="1" ht="13.8">
      <c r="A1062" s="948" t="s">
        <v>9</v>
      </c>
      <c r="B1062" s="949"/>
      <c r="C1062" s="12" t="s">
        <v>3</v>
      </c>
      <c r="D1062" s="9">
        <v>0.05</v>
      </c>
      <c r="E1062" s="13">
        <f>G1076</f>
        <v>7456.5</v>
      </c>
      <c r="F1062" s="14">
        <f>D1062*E1062</f>
        <v>372.82500000000005</v>
      </c>
      <c r="G1062" s="969"/>
    </row>
    <row r="1063" spans="1:7" s="2" customFormat="1" ht="14.25" customHeight="1">
      <c r="A1063" s="948" t="s">
        <v>113</v>
      </c>
      <c r="B1063" s="949"/>
      <c r="C1063" s="12" t="s">
        <v>58</v>
      </c>
      <c r="D1063" s="9">
        <v>0.3</v>
      </c>
      <c r="E1063" s="13">
        <f>'MAQUINARIA Y EQUIPOS'!$F$10</f>
        <v>3272.5</v>
      </c>
      <c r="F1063" s="14">
        <f>D1063*E1063</f>
        <v>981.75</v>
      </c>
      <c r="G1063" s="39"/>
    </row>
    <row r="1064" spans="1:7" s="2" customFormat="1" ht="14.25" customHeight="1">
      <c r="A1064" s="948" t="s">
        <v>61</v>
      </c>
      <c r="B1064" s="949"/>
      <c r="C1064" s="12" t="s">
        <v>60</v>
      </c>
      <c r="D1064" s="9">
        <v>0.1</v>
      </c>
      <c r="E1064" s="13">
        <f>'MAQUINARIA Y EQUIPOS'!$F$18</f>
        <v>40460</v>
      </c>
      <c r="F1064" s="14">
        <f>D1064*E1064</f>
        <v>4046</v>
      </c>
      <c r="G1064" s="39"/>
    </row>
    <row r="1065" spans="1:7" s="2" customFormat="1" ht="13.8">
      <c r="A1065" s="948"/>
      <c r="B1065" s="949"/>
      <c r="C1065" s="9"/>
      <c r="D1065" s="9"/>
      <c r="E1065" s="13"/>
      <c r="F1065" s="14"/>
      <c r="G1065" s="15">
        <f>SUM(F1061:F1065)</f>
        <v>5400.5749999999998</v>
      </c>
    </row>
    <row r="1066" spans="1:7" s="2" customFormat="1" ht="13.8">
      <c r="A1066" s="1006" t="s">
        <v>10</v>
      </c>
      <c r="B1066" s="1007"/>
      <c r="C1066" s="1007"/>
      <c r="D1066" s="1007"/>
      <c r="E1066" s="1007"/>
      <c r="F1066" s="1007"/>
      <c r="G1066" s="1008"/>
    </row>
    <row r="1067" spans="1:7" s="2" customFormat="1" ht="15.75" customHeight="1">
      <c r="A1067" s="974" t="s">
        <v>2</v>
      </c>
      <c r="B1067" s="975"/>
      <c r="C1067" s="11" t="s">
        <v>3</v>
      </c>
      <c r="D1067" s="11" t="s">
        <v>4</v>
      </c>
      <c r="E1067" s="11" t="s">
        <v>6</v>
      </c>
      <c r="F1067" s="11" t="s">
        <v>11</v>
      </c>
      <c r="G1067" s="967" t="s">
        <v>8</v>
      </c>
    </row>
    <row r="1068" spans="1:7" s="2" customFormat="1" ht="15.75" customHeight="1">
      <c r="A1068" s="948" t="s">
        <v>179</v>
      </c>
      <c r="B1068" s="949"/>
      <c r="C1068" s="12" t="s">
        <v>3</v>
      </c>
      <c r="D1068" s="12">
        <f>1/12.5</f>
        <v>0.08</v>
      </c>
      <c r="E1068" s="13">
        <f>'INSUMOS '!$E$55</f>
        <v>54300</v>
      </c>
      <c r="F1068" s="14">
        <f>D1068*E1068</f>
        <v>4344</v>
      </c>
      <c r="G1068" s="969"/>
    </row>
    <row r="1069" spans="1:7" s="2" customFormat="1" ht="15.75" customHeight="1">
      <c r="A1069" s="948" t="s">
        <v>180</v>
      </c>
      <c r="B1069" s="949"/>
      <c r="C1069" s="12" t="s">
        <v>3</v>
      </c>
      <c r="D1069" s="12">
        <v>6.6666666666666666E-2</v>
      </c>
      <c r="E1069" s="13">
        <f>'INSUMOS '!$E$56</f>
        <v>210900</v>
      </c>
      <c r="F1069" s="14">
        <f>E1069*D1069</f>
        <v>14060</v>
      </c>
      <c r="G1069" s="15">
        <f>SUM(F1067:F1069)</f>
        <v>18404</v>
      </c>
    </row>
    <row r="1070" spans="1:7" s="2" customFormat="1" ht="15.75" customHeight="1">
      <c r="A1070" s="1006" t="s">
        <v>15</v>
      </c>
      <c r="B1070" s="1007"/>
      <c r="C1070" s="1007"/>
      <c r="D1070" s="1007"/>
      <c r="E1070" s="1007"/>
      <c r="F1070" s="1007"/>
      <c r="G1070" s="1008"/>
    </row>
    <row r="1071" spans="1:7" s="2" customFormat="1" ht="15.75" customHeight="1">
      <c r="A1071" s="974" t="s">
        <v>2</v>
      </c>
      <c r="B1071" s="975"/>
      <c r="C1071" s="11" t="s">
        <v>3</v>
      </c>
      <c r="D1071" s="11" t="s">
        <v>4</v>
      </c>
      <c r="E1071" s="11" t="s">
        <v>6</v>
      </c>
      <c r="F1071" s="11" t="s">
        <v>11</v>
      </c>
      <c r="G1071" s="967" t="s">
        <v>8</v>
      </c>
    </row>
    <row r="1072" spans="1:7" s="2" customFormat="1" ht="15.75" customHeight="1">
      <c r="A1072" s="1019" t="s">
        <v>68</v>
      </c>
      <c r="B1072" s="1020"/>
      <c r="C1072" s="16" t="s">
        <v>3</v>
      </c>
      <c r="D1072" s="32">
        <v>0.1</v>
      </c>
      <c r="E1072" s="17">
        <f>G1065</f>
        <v>5400.5749999999998</v>
      </c>
      <c r="F1072" s="14">
        <f>E1072*D1072</f>
        <v>540.0575</v>
      </c>
      <c r="G1072" s="969"/>
    </row>
    <row r="1073" spans="1:7" s="2" customFormat="1" ht="15.75" customHeight="1">
      <c r="A1073" s="983" t="s">
        <v>17</v>
      </c>
      <c r="B1073" s="984"/>
      <c r="C1073" s="16" t="s">
        <v>18</v>
      </c>
      <c r="D1073" s="12">
        <v>0.1</v>
      </c>
      <c r="E1073" s="13">
        <f>+G1069</f>
        <v>18404</v>
      </c>
      <c r="F1073" s="14">
        <f>E1073*D1073</f>
        <v>1840.4</v>
      </c>
      <c r="G1073" s="15">
        <f>SUM(F1072:F1073)</f>
        <v>2380.4575</v>
      </c>
    </row>
    <row r="1074" spans="1:7" s="2" customFormat="1" ht="13.8">
      <c r="A1074" s="1006" t="s">
        <v>19</v>
      </c>
      <c r="B1074" s="1007"/>
      <c r="C1074" s="1007"/>
      <c r="D1074" s="1007"/>
      <c r="E1074" s="1007"/>
      <c r="F1074" s="1007"/>
      <c r="G1074" s="1008"/>
    </row>
    <row r="1075" spans="1:7" s="2" customFormat="1" ht="15.75" customHeight="1">
      <c r="A1075" s="974" t="s">
        <v>2</v>
      </c>
      <c r="B1075" s="975"/>
      <c r="C1075" s="11" t="s">
        <v>3</v>
      </c>
      <c r="D1075" s="11" t="s">
        <v>4</v>
      </c>
      <c r="E1075" s="11" t="s">
        <v>6</v>
      </c>
      <c r="F1075" s="11" t="s">
        <v>11</v>
      </c>
      <c r="G1075" s="18" t="s">
        <v>8</v>
      </c>
    </row>
    <row r="1076" spans="1:7" s="2" customFormat="1" ht="15" customHeight="1">
      <c r="A1076" s="978" t="str">
        <f>SALARIOS!$A$61</f>
        <v>CUADRILLA AA ALBAÑILERÍA 1:1</v>
      </c>
      <c r="B1076" s="979"/>
      <c r="C1076" s="13" t="s">
        <v>1245</v>
      </c>
      <c r="D1076" s="32">
        <v>0.3</v>
      </c>
      <c r="E1076" s="13">
        <f>SALARIOS!$C$61</f>
        <v>24855</v>
      </c>
      <c r="F1076" s="14">
        <f>+D1076*E1076</f>
        <v>7456.5</v>
      </c>
      <c r="G1076" s="15">
        <f>F1076</f>
        <v>7456.5</v>
      </c>
    </row>
    <row r="1077" spans="1:7" s="2" customFormat="1" ht="15.75" customHeight="1">
      <c r="A1077" s="1009" t="s">
        <v>25</v>
      </c>
      <c r="B1077" s="1010"/>
      <c r="C1077" s="1010"/>
      <c r="D1077" s="1010"/>
      <c r="E1077" s="1010"/>
      <c r="F1077" s="1010"/>
      <c r="G1077" s="1011"/>
    </row>
    <row r="1078" spans="1:7" s="2" customFormat="1" ht="15.75" customHeight="1">
      <c r="A1078" s="1012"/>
      <c r="B1078" s="1013"/>
      <c r="C1078" s="1013"/>
      <c r="D1078" s="1013"/>
      <c r="E1078" s="1013"/>
      <c r="F1078" s="1014"/>
      <c r="G1078" s="20">
        <f>G1076+G1073+G1069+G1065</f>
        <v>33641.532500000001</v>
      </c>
    </row>
    <row r="1079" spans="1:7" s="2" customFormat="1" ht="15.75" customHeight="1">
      <c r="A1079" s="21"/>
      <c r="B1079" s="342"/>
      <c r="C1079" s="342"/>
      <c r="D1079" s="342"/>
      <c r="E1079" s="342"/>
      <c r="F1079" s="342"/>
      <c r="G1079" s="22"/>
    </row>
    <row r="1080" spans="1:7" s="2" customFormat="1" ht="15.75" customHeight="1">
      <c r="A1080" s="986" t="s">
        <v>1</v>
      </c>
      <c r="B1080" s="987"/>
      <c r="C1080" s="992" t="s">
        <v>0</v>
      </c>
      <c r="D1080" s="993"/>
      <c r="E1080" s="993"/>
      <c r="F1080" s="993"/>
      <c r="G1080" s="994"/>
    </row>
    <row r="1081" spans="1:7" s="2" customFormat="1" ht="61.5" customHeight="1">
      <c r="A1081" s="988"/>
      <c r="B1081" s="989"/>
      <c r="C1081" s="995"/>
      <c r="D1081" s="996"/>
      <c r="E1081" s="996"/>
      <c r="F1081" s="996"/>
      <c r="G1081" s="997"/>
    </row>
    <row r="1082" spans="1:7" s="2" customFormat="1" ht="15.75" customHeight="1">
      <c r="A1082" s="988"/>
      <c r="B1082" s="989"/>
      <c r="C1082" s="998"/>
      <c r="D1082" s="999"/>
      <c r="E1082" s="999"/>
      <c r="F1082" s="999"/>
      <c r="G1082" s="1000"/>
    </row>
    <row r="1083" spans="1:7" s="2" customFormat="1" ht="15.75" customHeight="1">
      <c r="A1083" s="990"/>
      <c r="B1083" s="991"/>
      <c r="C1083" s="1001" t="s">
        <v>2</v>
      </c>
      <c r="D1083" s="1002"/>
      <c r="E1083" s="1003"/>
      <c r="F1083" s="23" t="s">
        <v>3</v>
      </c>
      <c r="G1083" s="24" t="s">
        <v>4</v>
      </c>
    </row>
    <row r="1084" spans="1:7" s="2" customFormat="1" ht="66.75" customHeight="1">
      <c r="A1084" s="1004" t="s">
        <v>222</v>
      </c>
      <c r="B1084" s="1005"/>
      <c r="C1084" s="1017" t="s">
        <v>223</v>
      </c>
      <c r="D1084" s="1018"/>
      <c r="E1084" s="949"/>
      <c r="F1084" s="9" t="s">
        <v>100</v>
      </c>
      <c r="G1084" s="25">
        <v>128.72999999999999</v>
      </c>
    </row>
    <row r="1085" spans="1:7" s="2" customFormat="1" ht="15.75" customHeight="1">
      <c r="A1085" s="1006" t="s">
        <v>5</v>
      </c>
      <c r="B1085" s="1007"/>
      <c r="C1085" s="1007"/>
      <c r="D1085" s="1007"/>
      <c r="E1085" s="1007"/>
      <c r="F1085" s="1007"/>
      <c r="G1085" s="1008"/>
    </row>
    <row r="1086" spans="1:7" s="2" customFormat="1" ht="13.8">
      <c r="A1086" s="974" t="s">
        <v>2</v>
      </c>
      <c r="B1086" s="975"/>
      <c r="C1086" s="11" t="s">
        <v>3</v>
      </c>
      <c r="D1086" s="11" t="s">
        <v>4</v>
      </c>
      <c r="E1086" s="11" t="s">
        <v>6</v>
      </c>
      <c r="F1086" s="11" t="s">
        <v>7</v>
      </c>
      <c r="G1086" s="967" t="s">
        <v>8</v>
      </c>
    </row>
    <row r="1087" spans="1:7" s="2" customFormat="1" ht="13.8">
      <c r="A1087" s="948" t="s">
        <v>9</v>
      </c>
      <c r="B1087" s="949"/>
      <c r="C1087" s="12" t="s">
        <v>3</v>
      </c>
      <c r="D1087" s="9">
        <v>0.05</v>
      </c>
      <c r="E1087" s="13">
        <f>G1103</f>
        <v>2485.5</v>
      </c>
      <c r="F1087" s="14">
        <f>D1087*E1087</f>
        <v>124.27500000000001</v>
      </c>
      <c r="G1087" s="969"/>
    </row>
    <row r="1088" spans="1:7" s="2" customFormat="1" ht="15.75" customHeight="1">
      <c r="A1088" s="948"/>
      <c r="B1088" s="949"/>
      <c r="C1088" s="9"/>
      <c r="D1088" s="9"/>
      <c r="E1088" s="13"/>
      <c r="F1088" s="14"/>
      <c r="G1088" s="15">
        <f>SUM(F1086:F1088)</f>
        <v>124.27500000000001</v>
      </c>
    </row>
    <row r="1089" spans="1:7" s="2" customFormat="1" ht="15.75" customHeight="1">
      <c r="A1089" s="1006" t="s">
        <v>10</v>
      </c>
      <c r="B1089" s="1007"/>
      <c r="C1089" s="1007"/>
      <c r="D1089" s="1007"/>
      <c r="E1089" s="1007"/>
      <c r="F1089" s="1007"/>
      <c r="G1089" s="1008"/>
    </row>
    <row r="1090" spans="1:7" s="2" customFormat="1" ht="13.8">
      <c r="A1090" s="974" t="s">
        <v>2</v>
      </c>
      <c r="B1090" s="975"/>
      <c r="C1090" s="11" t="s">
        <v>3</v>
      </c>
      <c r="D1090" s="11" t="s">
        <v>4</v>
      </c>
      <c r="E1090" s="11" t="s">
        <v>6</v>
      </c>
      <c r="F1090" s="11" t="s">
        <v>11</v>
      </c>
      <c r="G1090" s="967" t="s">
        <v>8</v>
      </c>
    </row>
    <row r="1091" spans="1:7" s="2" customFormat="1" ht="14.25" customHeight="1">
      <c r="A1091" s="948" t="s">
        <v>186</v>
      </c>
      <c r="B1091" s="949"/>
      <c r="C1091" s="12" t="s">
        <v>45</v>
      </c>
      <c r="D1091" s="12">
        <v>2</v>
      </c>
      <c r="E1091" s="13">
        <f>'INSUMOS '!$E$10</f>
        <v>5900</v>
      </c>
      <c r="F1091" s="14">
        <f>D1091*E1091</f>
        <v>11800</v>
      </c>
      <c r="G1091" s="968"/>
    </row>
    <row r="1092" spans="1:7" s="2" customFormat="1" ht="14.25" customHeight="1">
      <c r="A1092" s="948" t="s">
        <v>1036</v>
      </c>
      <c r="B1092" s="949"/>
      <c r="C1092" s="12" t="s">
        <v>39</v>
      </c>
      <c r="D1092" s="34">
        <v>1.5E-3</v>
      </c>
      <c r="E1092" s="13">
        <f>SUBANÁLISIS!$G$146</f>
        <v>702267.57499999995</v>
      </c>
      <c r="F1092" s="14">
        <f>D1092*E1092</f>
        <v>1053.4013625</v>
      </c>
      <c r="G1092" s="968"/>
    </row>
    <row r="1093" spans="1:7" s="2" customFormat="1" ht="13.8">
      <c r="A1093" s="948" t="s">
        <v>187</v>
      </c>
      <c r="B1093" s="949"/>
      <c r="C1093" s="12" t="s">
        <v>188</v>
      </c>
      <c r="D1093" s="12">
        <v>0.08</v>
      </c>
      <c r="E1093" s="13">
        <f>'INSUMOS '!$E$78</f>
        <v>13733.333333333334</v>
      </c>
      <c r="F1093" s="14">
        <f>D1093*E1093</f>
        <v>1098.6666666666667</v>
      </c>
      <c r="G1093" s="968"/>
    </row>
    <row r="1094" spans="1:7" s="2" customFormat="1" ht="13.8">
      <c r="A1094" s="948" t="s">
        <v>189</v>
      </c>
      <c r="B1094" s="949"/>
      <c r="C1094" s="12" t="s">
        <v>190</v>
      </c>
      <c r="D1094" s="12">
        <v>0.06</v>
      </c>
      <c r="E1094" s="13">
        <f>'INSUMOS '!$E$148</f>
        <v>302900</v>
      </c>
      <c r="F1094" s="14">
        <f>D1094*E1094</f>
        <v>18174</v>
      </c>
      <c r="G1094" s="969"/>
    </row>
    <row r="1095" spans="1:7" s="2" customFormat="1" ht="15.75" customHeight="1">
      <c r="A1095" s="948"/>
      <c r="B1095" s="949"/>
      <c r="C1095" s="12"/>
      <c r="D1095" s="33"/>
      <c r="E1095" s="13"/>
      <c r="F1095" s="14"/>
      <c r="G1095" s="15">
        <f>SUM(F1090:F1095)</f>
        <v>32126.068029166665</v>
      </c>
    </row>
    <row r="1096" spans="1:7" s="2" customFormat="1" ht="15.75" customHeight="1">
      <c r="A1096" s="1006" t="s">
        <v>15</v>
      </c>
      <c r="B1096" s="1007"/>
      <c r="C1096" s="1007"/>
      <c r="D1096" s="1007"/>
      <c r="E1096" s="1007"/>
      <c r="F1096" s="1007"/>
      <c r="G1096" s="1008"/>
    </row>
    <row r="1097" spans="1:7" s="2" customFormat="1" ht="15.75" customHeight="1">
      <c r="A1097" s="974" t="s">
        <v>2</v>
      </c>
      <c r="B1097" s="975"/>
      <c r="C1097" s="11" t="s">
        <v>3</v>
      </c>
      <c r="D1097" s="11" t="s">
        <v>4</v>
      </c>
      <c r="E1097" s="11" t="s">
        <v>6</v>
      </c>
      <c r="F1097" s="11" t="s">
        <v>11</v>
      </c>
      <c r="G1097" s="967" t="s">
        <v>8</v>
      </c>
    </row>
    <row r="1098" spans="1:7" s="2" customFormat="1" ht="15.75" customHeight="1">
      <c r="A1098" s="1019" t="s">
        <v>68</v>
      </c>
      <c r="B1098" s="1020"/>
      <c r="C1098" s="16" t="s">
        <v>3</v>
      </c>
      <c r="D1098" s="54">
        <v>3.5000000000000003E-2</v>
      </c>
      <c r="E1098" s="17">
        <f>G1088</f>
        <v>124.27500000000001</v>
      </c>
      <c r="F1098" s="14">
        <f>E1098*D1098</f>
        <v>4.3496250000000005</v>
      </c>
      <c r="G1098" s="968"/>
    </row>
    <row r="1099" spans="1:7" s="2" customFormat="1" ht="15.75" customHeight="1">
      <c r="A1099" s="1019" t="s">
        <v>191</v>
      </c>
      <c r="B1099" s="1020"/>
      <c r="C1099" s="16" t="s">
        <v>18</v>
      </c>
      <c r="D1099" s="54">
        <v>3.5000000000000003E-2</v>
      </c>
      <c r="E1099" s="17">
        <f>G1095</f>
        <v>32126.068029166665</v>
      </c>
      <c r="F1099" s="14">
        <f>E1099*D1099</f>
        <v>1124.4123810208334</v>
      </c>
      <c r="G1099" s="969"/>
    </row>
    <row r="1100" spans="1:7" s="2" customFormat="1" ht="15.75" customHeight="1">
      <c r="A1100" s="1025"/>
      <c r="B1100" s="1026"/>
      <c r="C1100" s="38"/>
      <c r="D1100" s="38"/>
      <c r="E1100" s="38"/>
      <c r="F1100" s="38"/>
      <c r="G1100" s="15">
        <f>SUM(F1098:F1100)</f>
        <v>1128.7620060208335</v>
      </c>
    </row>
    <row r="1101" spans="1:7" s="2" customFormat="1" ht="15.75" customHeight="1">
      <c r="A1101" s="1006" t="s">
        <v>19</v>
      </c>
      <c r="B1101" s="1007"/>
      <c r="C1101" s="1007"/>
      <c r="D1101" s="1007"/>
      <c r="E1101" s="1007"/>
      <c r="F1101" s="1007"/>
      <c r="G1101" s="1008"/>
    </row>
    <row r="1102" spans="1:7" s="2" customFormat="1" ht="15.75" customHeight="1">
      <c r="A1102" s="974" t="s">
        <v>2</v>
      </c>
      <c r="B1102" s="975"/>
      <c r="C1102" s="11" t="s">
        <v>3</v>
      </c>
      <c r="D1102" s="11" t="s">
        <v>4</v>
      </c>
      <c r="E1102" s="11" t="s">
        <v>6</v>
      </c>
      <c r="F1102" s="11" t="s">
        <v>11</v>
      </c>
      <c r="G1102" s="18" t="s">
        <v>8</v>
      </c>
    </row>
    <row r="1103" spans="1:7" s="2" customFormat="1" ht="15" customHeight="1">
      <c r="A1103" s="978" t="str">
        <f>SALARIOS!$A$61</f>
        <v>CUADRILLA AA ALBAÑILERÍA 1:1</v>
      </c>
      <c r="B1103" s="979"/>
      <c r="C1103" s="13" t="s">
        <v>1245</v>
      </c>
      <c r="D1103" s="32">
        <v>0.1</v>
      </c>
      <c r="E1103" s="13">
        <f>SALARIOS!$C$61</f>
        <v>24855</v>
      </c>
      <c r="F1103" s="14">
        <f>+D1103*E1103</f>
        <v>2485.5</v>
      </c>
      <c r="G1103" s="15">
        <f>F1103</f>
        <v>2485.5</v>
      </c>
    </row>
    <row r="1104" spans="1:7" s="2" customFormat="1" ht="15.75" customHeight="1">
      <c r="A1104" s="1009" t="s">
        <v>25</v>
      </c>
      <c r="B1104" s="1010"/>
      <c r="C1104" s="1010"/>
      <c r="D1104" s="1010"/>
      <c r="E1104" s="1010"/>
      <c r="F1104" s="1010"/>
      <c r="G1104" s="1011"/>
    </row>
    <row r="1105" spans="1:7" s="2" customFormat="1" ht="15.75" customHeight="1">
      <c r="A1105" s="1012"/>
      <c r="B1105" s="1013"/>
      <c r="C1105" s="1013"/>
      <c r="D1105" s="1013"/>
      <c r="E1105" s="1013"/>
      <c r="F1105" s="1014"/>
      <c r="G1105" s="20">
        <f>G1103+G1100+G1095+G1088</f>
        <v>35864.605035187502</v>
      </c>
    </row>
    <row r="1106" spans="1:7" s="2" customFormat="1" ht="15.75" customHeight="1">
      <c r="A1106" s="21"/>
      <c r="B1106" s="342"/>
      <c r="C1106" s="342"/>
      <c r="D1106" s="342"/>
      <c r="E1106" s="342"/>
      <c r="F1106" s="342"/>
      <c r="G1106" s="22"/>
    </row>
    <row r="1107" spans="1:7" s="2" customFormat="1" ht="15.75" customHeight="1">
      <c r="A1107" s="986" t="s">
        <v>1</v>
      </c>
      <c r="B1107" s="987"/>
      <c r="C1107" s="992" t="s">
        <v>0</v>
      </c>
      <c r="D1107" s="993"/>
      <c r="E1107" s="993"/>
      <c r="F1107" s="993"/>
      <c r="G1107" s="994"/>
    </row>
    <row r="1108" spans="1:7" s="2" customFormat="1" ht="66.75" customHeight="1">
      <c r="A1108" s="988"/>
      <c r="B1108" s="989"/>
      <c r="C1108" s="995"/>
      <c r="D1108" s="996"/>
      <c r="E1108" s="996"/>
      <c r="F1108" s="996"/>
      <c r="G1108" s="997"/>
    </row>
    <row r="1109" spans="1:7" s="2" customFormat="1" ht="15.75" customHeight="1">
      <c r="A1109" s="988"/>
      <c r="B1109" s="989"/>
      <c r="C1109" s="998"/>
      <c r="D1109" s="999"/>
      <c r="E1109" s="999"/>
      <c r="F1109" s="999"/>
      <c r="G1109" s="1000"/>
    </row>
    <row r="1110" spans="1:7" s="2" customFormat="1" ht="15.75" customHeight="1">
      <c r="A1110" s="990"/>
      <c r="B1110" s="991"/>
      <c r="C1110" s="1001" t="s">
        <v>2</v>
      </c>
      <c r="D1110" s="1002"/>
      <c r="E1110" s="1003"/>
      <c r="F1110" s="23" t="s">
        <v>3</v>
      </c>
      <c r="G1110" s="24" t="s">
        <v>4</v>
      </c>
    </row>
    <row r="1111" spans="1:7" s="2" customFormat="1" ht="78" customHeight="1">
      <c r="A1111" s="1021" t="s">
        <v>224</v>
      </c>
      <c r="B1111" s="1022"/>
      <c r="C1111" s="1023" t="s">
        <v>121</v>
      </c>
      <c r="D1111" s="1024"/>
      <c r="E1111" s="1016"/>
      <c r="F1111" s="51" t="s">
        <v>37</v>
      </c>
      <c r="G1111" s="52">
        <v>40.650000000000006</v>
      </c>
    </row>
    <row r="1112" spans="1:7" s="2" customFormat="1" ht="15.75" customHeight="1">
      <c r="A1112" s="1006" t="s">
        <v>5</v>
      </c>
      <c r="B1112" s="1007"/>
      <c r="C1112" s="1007"/>
      <c r="D1112" s="1007"/>
      <c r="E1112" s="1007"/>
      <c r="F1112" s="1007"/>
      <c r="G1112" s="1008"/>
    </row>
    <row r="1113" spans="1:7" s="2" customFormat="1" ht="15.75" customHeight="1">
      <c r="A1113" s="974" t="s">
        <v>2</v>
      </c>
      <c r="B1113" s="975"/>
      <c r="C1113" s="11" t="s">
        <v>3</v>
      </c>
      <c r="D1113" s="11" t="s">
        <v>4</v>
      </c>
      <c r="E1113" s="11" t="s">
        <v>6</v>
      </c>
      <c r="F1113" s="11" t="s">
        <v>7</v>
      </c>
      <c r="G1113" s="967" t="s">
        <v>8</v>
      </c>
    </row>
    <row r="1114" spans="1:7" s="2" customFormat="1" ht="13.8">
      <c r="A1114" s="948" t="s">
        <v>9</v>
      </c>
      <c r="B1114" s="949"/>
      <c r="C1114" s="12" t="s">
        <v>3</v>
      </c>
      <c r="D1114" s="9">
        <v>0.05</v>
      </c>
      <c r="E1114" s="13">
        <f>G1130</f>
        <v>12427.5</v>
      </c>
      <c r="F1114" s="14">
        <f>D1114*E1114</f>
        <v>621.375</v>
      </c>
      <c r="G1114" s="969"/>
    </row>
    <row r="1115" spans="1:7" s="2" customFormat="1" ht="15.75" customHeight="1">
      <c r="A1115" s="948" t="s">
        <v>122</v>
      </c>
      <c r="B1115" s="949"/>
      <c r="C1115" s="12" t="s">
        <v>58</v>
      </c>
      <c r="D1115" s="9">
        <v>0.5</v>
      </c>
      <c r="E1115" s="13">
        <f>'MAQUINARIA Y EQUIPOS'!$F$25</f>
        <v>14280</v>
      </c>
      <c r="F1115" s="14">
        <f>D1115*E1115</f>
        <v>7140</v>
      </c>
      <c r="G1115" s="15">
        <f>SUM(F1113:F1115)</f>
        <v>7761.375</v>
      </c>
    </row>
    <row r="1116" spans="1:7" s="2" customFormat="1" ht="15.75" customHeight="1">
      <c r="A1116" s="1006" t="s">
        <v>10</v>
      </c>
      <c r="B1116" s="1007"/>
      <c r="C1116" s="1007"/>
      <c r="D1116" s="1007"/>
      <c r="E1116" s="1007"/>
      <c r="F1116" s="1007"/>
      <c r="G1116" s="1008"/>
    </row>
    <row r="1117" spans="1:7" s="2" customFormat="1" ht="13.8">
      <c r="A1117" s="974" t="s">
        <v>2</v>
      </c>
      <c r="B1117" s="975"/>
      <c r="C1117" s="11" t="s">
        <v>3</v>
      </c>
      <c r="D1117" s="11" t="s">
        <v>4</v>
      </c>
      <c r="E1117" s="11" t="s">
        <v>6</v>
      </c>
      <c r="F1117" s="11" t="s">
        <v>11</v>
      </c>
      <c r="G1117" s="967" t="s">
        <v>8</v>
      </c>
    </row>
    <row r="1118" spans="1:7" s="2" customFormat="1" ht="15.75" customHeight="1">
      <c r="A1118" s="948" t="s">
        <v>1538</v>
      </c>
      <c r="B1118" s="949"/>
      <c r="C1118" s="9" t="s">
        <v>34</v>
      </c>
      <c r="D1118" s="9">
        <v>6</v>
      </c>
      <c r="E1118" s="13">
        <f>'INSUMOS '!$E$36</f>
        <v>1716</v>
      </c>
      <c r="F1118" s="14">
        <f>D1118*E1118</f>
        <v>10296</v>
      </c>
      <c r="G1118" s="968"/>
    </row>
    <row r="1119" spans="1:7" s="2" customFormat="1" ht="15.75" customHeight="1">
      <c r="A1119" s="948" t="s">
        <v>115</v>
      </c>
      <c r="B1119" s="949"/>
      <c r="C1119" s="12" t="s">
        <v>3</v>
      </c>
      <c r="D1119" s="12">
        <v>0.03</v>
      </c>
      <c r="E1119" s="13">
        <f>'INSUMOS '!$E$28</f>
        <v>51900</v>
      </c>
      <c r="F1119" s="14">
        <f>D1119*E1119</f>
        <v>1557</v>
      </c>
      <c r="G1119" s="968"/>
    </row>
    <row r="1120" spans="1:7" s="2" customFormat="1" ht="27" customHeight="1">
      <c r="A1120" s="948" t="s">
        <v>123</v>
      </c>
      <c r="B1120" s="949"/>
      <c r="C1120" s="9" t="s">
        <v>37</v>
      </c>
      <c r="D1120" s="9">
        <v>1.1000000000000001</v>
      </c>
      <c r="E1120" s="13">
        <f>'INSUMOS '!$E$3</f>
        <v>48700</v>
      </c>
      <c r="F1120" s="14">
        <f>D1120*E1120</f>
        <v>53570.000000000007</v>
      </c>
      <c r="G1120" s="968"/>
    </row>
    <row r="1121" spans="1:7" s="2" customFormat="1" ht="15.75" customHeight="1">
      <c r="A1121" s="948" t="s">
        <v>124</v>
      </c>
      <c r="B1121" s="949"/>
      <c r="C1121" s="9" t="s">
        <v>45</v>
      </c>
      <c r="D1121" s="9">
        <v>1.26</v>
      </c>
      <c r="E1121" s="13">
        <f>'INSUMOS '!$E$77</f>
        <v>3082</v>
      </c>
      <c r="F1121" s="14">
        <f>D1121*E1121</f>
        <v>3883.32</v>
      </c>
      <c r="G1121" s="968"/>
    </row>
    <row r="1122" spans="1:7" s="2" customFormat="1" ht="13.8">
      <c r="A1122" s="948" t="s">
        <v>125</v>
      </c>
      <c r="B1122" s="949"/>
      <c r="C1122" s="12" t="s">
        <v>34</v>
      </c>
      <c r="D1122" s="9">
        <v>0.65</v>
      </c>
      <c r="E1122" s="13">
        <f>'INSUMOS '!$E$38</f>
        <v>6500</v>
      </c>
      <c r="F1122" s="14">
        <f>D1122*E1122</f>
        <v>4225</v>
      </c>
      <c r="G1122" s="969"/>
    </row>
    <row r="1123" spans="1:7" s="2" customFormat="1" ht="15.75" customHeight="1">
      <c r="A1123" s="948" t="s">
        <v>126</v>
      </c>
      <c r="B1123" s="949"/>
      <c r="C1123" s="12" t="s">
        <v>34</v>
      </c>
      <c r="D1123" s="9">
        <v>0.02</v>
      </c>
      <c r="E1123" s="13">
        <f>'INSUMOS '!$E$40</f>
        <v>18900</v>
      </c>
      <c r="F1123" s="14">
        <f>E1123*D1123</f>
        <v>378</v>
      </c>
      <c r="G1123" s="15">
        <f>SUM(F1117:F1123)</f>
        <v>73909.320000000007</v>
      </c>
    </row>
    <row r="1124" spans="1:7" s="2" customFormat="1" ht="15.75" customHeight="1">
      <c r="A1124" s="1006" t="s">
        <v>15</v>
      </c>
      <c r="B1124" s="1007"/>
      <c r="C1124" s="1007"/>
      <c r="D1124" s="1007"/>
      <c r="E1124" s="1007"/>
      <c r="F1124" s="1007"/>
      <c r="G1124" s="1008"/>
    </row>
    <row r="1125" spans="1:7" s="2" customFormat="1" ht="13.8">
      <c r="A1125" s="974" t="s">
        <v>2</v>
      </c>
      <c r="B1125" s="975"/>
      <c r="C1125" s="11" t="s">
        <v>3</v>
      </c>
      <c r="D1125" s="11" t="s">
        <v>4</v>
      </c>
      <c r="E1125" s="11" t="s">
        <v>6</v>
      </c>
      <c r="F1125" s="11" t="s">
        <v>11</v>
      </c>
      <c r="G1125" s="967" t="s">
        <v>8</v>
      </c>
    </row>
    <row r="1126" spans="1:7" s="2" customFormat="1" ht="13.8">
      <c r="A1126" s="1019" t="s">
        <v>68</v>
      </c>
      <c r="B1126" s="1020"/>
      <c r="C1126" s="16" t="s">
        <v>3</v>
      </c>
      <c r="D1126" s="54">
        <v>3.5000000000000003E-2</v>
      </c>
      <c r="E1126" s="17">
        <f>G1115</f>
        <v>7761.375</v>
      </c>
      <c r="F1126" s="14">
        <f>E1126*D1126</f>
        <v>271.64812500000005</v>
      </c>
      <c r="G1126" s="969"/>
    </row>
    <row r="1127" spans="1:7" s="2" customFormat="1" ht="13.8">
      <c r="A1127" s="983" t="s">
        <v>17</v>
      </c>
      <c r="B1127" s="984"/>
      <c r="C1127" s="16" t="s">
        <v>127</v>
      </c>
      <c r="D1127" s="54">
        <v>3.5000000000000003E-2</v>
      </c>
      <c r="E1127" s="13">
        <f>+G1123</f>
        <v>73909.320000000007</v>
      </c>
      <c r="F1127" s="14">
        <f>E1127*D1127</f>
        <v>2586.8262000000004</v>
      </c>
      <c r="G1127" s="15">
        <f>SUM(F1126:F1127)</f>
        <v>2858.4743250000006</v>
      </c>
    </row>
    <row r="1128" spans="1:7" s="2" customFormat="1" ht="15.75" customHeight="1">
      <c r="A1128" s="1006" t="s">
        <v>19</v>
      </c>
      <c r="B1128" s="1007"/>
      <c r="C1128" s="1007"/>
      <c r="D1128" s="1007"/>
      <c r="E1128" s="1007"/>
      <c r="F1128" s="1007"/>
      <c r="G1128" s="1008"/>
    </row>
    <row r="1129" spans="1:7" s="2" customFormat="1" ht="15" customHeight="1">
      <c r="A1129" s="974" t="s">
        <v>2</v>
      </c>
      <c r="B1129" s="975"/>
      <c r="C1129" s="11" t="s">
        <v>3</v>
      </c>
      <c r="D1129" s="11" t="s">
        <v>4</v>
      </c>
      <c r="E1129" s="11" t="s">
        <v>6</v>
      </c>
      <c r="F1129" s="11" t="s">
        <v>11</v>
      </c>
      <c r="G1129" s="18" t="s">
        <v>8</v>
      </c>
    </row>
    <row r="1130" spans="1:7" s="2" customFormat="1" ht="15.75" customHeight="1">
      <c r="A1130" s="978" t="str">
        <f>SALARIOS!$A$61</f>
        <v>CUADRILLA AA ALBAÑILERÍA 1:1</v>
      </c>
      <c r="B1130" s="979"/>
      <c r="C1130" s="13" t="str">
        <f>SALARIOS!$B$61</f>
        <v>H/C</v>
      </c>
      <c r="D1130" s="12">
        <v>0.5</v>
      </c>
      <c r="E1130" s="13">
        <f>SALARIOS!$C$61</f>
        <v>24855</v>
      </c>
      <c r="F1130" s="14">
        <f>+D1130*E1130</f>
        <v>12427.5</v>
      </c>
      <c r="G1130" s="15">
        <f>F1130</f>
        <v>12427.5</v>
      </c>
    </row>
    <row r="1131" spans="1:7" s="2" customFormat="1" ht="15.75" customHeight="1">
      <c r="A1131" s="1009" t="s">
        <v>25</v>
      </c>
      <c r="B1131" s="1010"/>
      <c r="C1131" s="1010"/>
      <c r="D1131" s="1010"/>
      <c r="E1131" s="1010"/>
      <c r="F1131" s="1010"/>
      <c r="G1131" s="1011"/>
    </row>
    <row r="1132" spans="1:7" s="2" customFormat="1" ht="15.75" customHeight="1">
      <c r="A1132" s="1012"/>
      <c r="B1132" s="1013"/>
      <c r="C1132" s="1013"/>
      <c r="D1132" s="1013"/>
      <c r="E1132" s="1013"/>
      <c r="F1132" s="1014"/>
      <c r="G1132" s="20">
        <f>G1130+G1127+G1123+G1115</f>
        <v>96956.66932500001</v>
      </c>
    </row>
    <row r="1133" spans="1:7" s="2" customFormat="1" ht="15.75" customHeight="1">
      <c r="A1133" s="21"/>
      <c r="B1133" s="342"/>
      <c r="C1133" s="342"/>
      <c r="D1133" s="342"/>
      <c r="E1133" s="342"/>
      <c r="F1133" s="342"/>
      <c r="G1133" s="22"/>
    </row>
    <row r="1134" spans="1:7" s="2" customFormat="1" ht="15.75" customHeight="1">
      <c r="A1134" s="986" t="s">
        <v>1</v>
      </c>
      <c r="B1134" s="987"/>
      <c r="C1134" s="992" t="s">
        <v>0</v>
      </c>
      <c r="D1134" s="993"/>
      <c r="E1134" s="993"/>
      <c r="F1134" s="993"/>
      <c r="G1134" s="994"/>
    </row>
    <row r="1135" spans="1:7" s="2" customFormat="1" ht="48.75" customHeight="1">
      <c r="A1135" s="988"/>
      <c r="B1135" s="989"/>
      <c r="C1135" s="995"/>
      <c r="D1135" s="996"/>
      <c r="E1135" s="996"/>
      <c r="F1135" s="996"/>
      <c r="G1135" s="997"/>
    </row>
    <row r="1136" spans="1:7" s="2" customFormat="1" ht="15.75" customHeight="1">
      <c r="A1136" s="988"/>
      <c r="B1136" s="989"/>
      <c r="C1136" s="998"/>
      <c r="D1136" s="999"/>
      <c r="E1136" s="999"/>
      <c r="F1136" s="999"/>
      <c r="G1136" s="1000"/>
    </row>
    <row r="1137" spans="1:7" s="2" customFormat="1" ht="15.75" customHeight="1">
      <c r="A1137" s="990"/>
      <c r="B1137" s="991"/>
      <c r="C1137" s="1001" t="s">
        <v>2</v>
      </c>
      <c r="D1137" s="1002"/>
      <c r="E1137" s="1003"/>
      <c r="F1137" s="23" t="s">
        <v>3</v>
      </c>
      <c r="G1137" s="24" t="s">
        <v>4</v>
      </c>
    </row>
    <row r="1138" spans="1:7" s="2" customFormat="1" ht="78.75" customHeight="1">
      <c r="A1138" s="1021" t="s">
        <v>226</v>
      </c>
      <c r="B1138" s="1022"/>
      <c r="C1138" s="1023" t="s">
        <v>129</v>
      </c>
      <c r="D1138" s="1024"/>
      <c r="E1138" s="1016"/>
      <c r="F1138" s="51" t="s">
        <v>37</v>
      </c>
      <c r="G1138" s="52">
        <v>259.93</v>
      </c>
    </row>
    <row r="1139" spans="1:7" s="2" customFormat="1" ht="15.75" customHeight="1">
      <c r="A1139" s="1006" t="s">
        <v>5</v>
      </c>
      <c r="B1139" s="1007"/>
      <c r="C1139" s="1007"/>
      <c r="D1139" s="1007"/>
      <c r="E1139" s="1007"/>
      <c r="F1139" s="1007"/>
      <c r="G1139" s="1008"/>
    </row>
    <row r="1140" spans="1:7" s="2" customFormat="1" ht="13.8">
      <c r="A1140" s="974" t="s">
        <v>2</v>
      </c>
      <c r="B1140" s="975"/>
      <c r="C1140" s="11" t="s">
        <v>3</v>
      </c>
      <c r="D1140" s="11" t="s">
        <v>4</v>
      </c>
      <c r="E1140" s="11" t="s">
        <v>6</v>
      </c>
      <c r="F1140" s="11" t="s">
        <v>7</v>
      </c>
      <c r="G1140" s="967" t="s">
        <v>8</v>
      </c>
    </row>
    <row r="1141" spans="1:7" s="2" customFormat="1" ht="15.75" customHeight="1">
      <c r="A1141" s="948" t="s">
        <v>9</v>
      </c>
      <c r="B1141" s="949"/>
      <c r="C1141" s="12" t="s">
        <v>3</v>
      </c>
      <c r="D1141" s="9">
        <v>0.05</v>
      </c>
      <c r="E1141" s="13">
        <f>G1159</f>
        <v>21635.5</v>
      </c>
      <c r="F1141" s="14">
        <f>D1141*E1141</f>
        <v>1081.7750000000001</v>
      </c>
      <c r="G1141" s="969"/>
    </row>
    <row r="1142" spans="1:7" s="2" customFormat="1" ht="15.75" customHeight="1">
      <c r="A1142" s="948" t="s">
        <v>122</v>
      </c>
      <c r="B1142" s="949"/>
      <c r="C1142" s="12" t="s">
        <v>58</v>
      </c>
      <c r="D1142" s="9">
        <v>0.05</v>
      </c>
      <c r="E1142" s="13">
        <f>'MAQUINARIA Y EQUIPOS'!$F$25</f>
        <v>14280</v>
      </c>
      <c r="F1142" s="14">
        <f>D1142*E1142</f>
        <v>714</v>
      </c>
      <c r="G1142" s="15">
        <f>SUM(F1140:F1142)</f>
        <v>1795.7750000000001</v>
      </c>
    </row>
    <row r="1143" spans="1:7" s="2" customFormat="1" ht="13.8">
      <c r="A1143" s="1006" t="s">
        <v>10</v>
      </c>
      <c r="B1143" s="1007"/>
      <c r="C1143" s="1007"/>
      <c r="D1143" s="1007"/>
      <c r="E1143" s="1007"/>
      <c r="F1143" s="1007"/>
      <c r="G1143" s="1008"/>
    </row>
    <row r="1144" spans="1:7" s="2" customFormat="1" ht="15.75" customHeight="1">
      <c r="A1144" s="974" t="s">
        <v>2</v>
      </c>
      <c r="B1144" s="975"/>
      <c r="C1144" s="11" t="s">
        <v>3</v>
      </c>
      <c r="D1144" s="11" t="s">
        <v>4</v>
      </c>
      <c r="E1144" s="11" t="s">
        <v>6</v>
      </c>
      <c r="F1144" s="11" t="s">
        <v>11</v>
      </c>
      <c r="G1144" s="967" t="s">
        <v>8</v>
      </c>
    </row>
    <row r="1145" spans="1:7" s="2" customFormat="1" ht="15.75" customHeight="1">
      <c r="A1145" s="948" t="s">
        <v>1538</v>
      </c>
      <c r="B1145" s="949"/>
      <c r="C1145" s="9" t="s">
        <v>34</v>
      </c>
      <c r="D1145" s="9">
        <v>6</v>
      </c>
      <c r="E1145" s="13">
        <f>'INSUMOS '!$E$36</f>
        <v>1716</v>
      </c>
      <c r="F1145" s="14">
        <f t="shared" ref="F1145:F1152" si="4">D1145*E1145</f>
        <v>10296</v>
      </c>
      <c r="G1145" s="968"/>
    </row>
    <row r="1146" spans="1:7" s="2" customFormat="1" ht="15.75" customHeight="1">
      <c r="A1146" s="948" t="s">
        <v>115</v>
      </c>
      <c r="B1146" s="949"/>
      <c r="C1146" s="12" t="s">
        <v>3</v>
      </c>
      <c r="D1146" s="12">
        <v>0.03</v>
      </c>
      <c r="E1146" s="13">
        <f>'INSUMOS '!$E$28</f>
        <v>51900</v>
      </c>
      <c r="F1146" s="14">
        <f t="shared" si="4"/>
        <v>1557</v>
      </c>
      <c r="G1146" s="968"/>
    </row>
    <row r="1147" spans="1:7" s="2" customFormat="1" ht="27" customHeight="1">
      <c r="A1147" s="948" t="s">
        <v>130</v>
      </c>
      <c r="B1147" s="949"/>
      <c r="C1147" s="9" t="s">
        <v>37</v>
      </c>
      <c r="D1147" s="9">
        <v>1.1000000000000001</v>
      </c>
      <c r="E1147" s="13">
        <f>'INSUMOS '!$E$41</f>
        <v>38300</v>
      </c>
      <c r="F1147" s="14">
        <f t="shared" si="4"/>
        <v>42130</v>
      </c>
      <c r="G1147" s="968"/>
    </row>
    <row r="1148" spans="1:7" s="2" customFormat="1" ht="15.75" customHeight="1">
      <c r="A1148" s="948" t="s">
        <v>131</v>
      </c>
      <c r="B1148" s="949"/>
      <c r="C1148" s="9" t="s">
        <v>3</v>
      </c>
      <c r="D1148" s="9">
        <v>12.5</v>
      </c>
      <c r="E1148" s="13">
        <f>'INSUMOS '!$E$181</f>
        <v>2600</v>
      </c>
      <c r="F1148" s="14">
        <f t="shared" si="4"/>
        <v>32500</v>
      </c>
      <c r="G1148" s="968"/>
    </row>
    <row r="1149" spans="1:7" s="2" customFormat="1" ht="13.8">
      <c r="A1149" s="948" t="s">
        <v>124</v>
      </c>
      <c r="B1149" s="949"/>
      <c r="C1149" s="9" t="s">
        <v>45</v>
      </c>
      <c r="D1149" s="9">
        <v>1.26</v>
      </c>
      <c r="E1149" s="13">
        <f>'INSUMOS '!$E$77</f>
        <v>3082</v>
      </c>
      <c r="F1149" s="14">
        <f t="shared" si="4"/>
        <v>3883.32</v>
      </c>
      <c r="G1149" s="968"/>
    </row>
    <row r="1150" spans="1:7" s="2" customFormat="1" ht="13.8">
      <c r="A1150" s="948" t="s">
        <v>125</v>
      </c>
      <c r="B1150" s="949"/>
      <c r="C1150" s="12" t="s">
        <v>34</v>
      </c>
      <c r="D1150" s="9">
        <v>0.65</v>
      </c>
      <c r="E1150" s="13">
        <f>'INSUMOS '!$E$38</f>
        <v>6500</v>
      </c>
      <c r="F1150" s="14">
        <f t="shared" si="4"/>
        <v>4225</v>
      </c>
      <c r="G1150" s="968"/>
    </row>
    <row r="1151" spans="1:7" s="2" customFormat="1" ht="15.75" customHeight="1">
      <c r="A1151" s="948" t="s">
        <v>77</v>
      </c>
      <c r="B1151" s="949"/>
      <c r="C1151" s="12" t="s">
        <v>39</v>
      </c>
      <c r="D1151" s="12">
        <v>0.01</v>
      </c>
      <c r="E1151" s="13">
        <f>SUBANÁLISIS!$G$89</f>
        <v>431833.82500000001</v>
      </c>
      <c r="F1151" s="14">
        <f t="shared" si="4"/>
        <v>4318.3382499999998</v>
      </c>
      <c r="G1151" s="969"/>
    </row>
    <row r="1152" spans="1:7" s="2" customFormat="1" ht="15.75" customHeight="1">
      <c r="A1152" s="948" t="s">
        <v>126</v>
      </c>
      <c r="B1152" s="949"/>
      <c r="C1152" s="12" t="s">
        <v>34</v>
      </c>
      <c r="D1152" s="9">
        <v>0.02</v>
      </c>
      <c r="E1152" s="13">
        <f>'INSUMOS '!$E$40</f>
        <v>18900</v>
      </c>
      <c r="F1152" s="14">
        <f t="shared" si="4"/>
        <v>378</v>
      </c>
      <c r="G1152" s="15">
        <f>SUM(F1144:F1152)</f>
        <v>99287.658250000008</v>
      </c>
    </row>
    <row r="1153" spans="1:7" s="2" customFormat="1" ht="15.75" customHeight="1">
      <c r="A1153" s="1006" t="s">
        <v>15</v>
      </c>
      <c r="B1153" s="1007"/>
      <c r="C1153" s="1007"/>
      <c r="D1153" s="1007"/>
      <c r="E1153" s="1007"/>
      <c r="F1153" s="1007"/>
      <c r="G1153" s="1008"/>
    </row>
    <row r="1154" spans="1:7" s="2" customFormat="1" ht="13.8">
      <c r="A1154" s="974" t="s">
        <v>2</v>
      </c>
      <c r="B1154" s="975"/>
      <c r="C1154" s="11" t="s">
        <v>3</v>
      </c>
      <c r="D1154" s="11" t="s">
        <v>4</v>
      </c>
      <c r="E1154" s="11" t="s">
        <v>6</v>
      </c>
      <c r="F1154" s="11" t="s">
        <v>11</v>
      </c>
      <c r="G1154" s="967" t="s">
        <v>8</v>
      </c>
    </row>
    <row r="1155" spans="1:7" s="2" customFormat="1" ht="15.75" customHeight="1">
      <c r="A1155" s="1019" t="s">
        <v>68</v>
      </c>
      <c r="B1155" s="1020"/>
      <c r="C1155" s="16" t="s">
        <v>3</v>
      </c>
      <c r="D1155" s="54">
        <v>3.5000000000000003E-2</v>
      </c>
      <c r="E1155" s="17">
        <f>G1142</f>
        <v>1795.7750000000001</v>
      </c>
      <c r="F1155" s="14">
        <f>E1155*D1155</f>
        <v>62.852125000000008</v>
      </c>
      <c r="G1155" s="969"/>
    </row>
    <row r="1156" spans="1:7" s="2" customFormat="1" ht="15" customHeight="1">
      <c r="A1156" s="983" t="s">
        <v>17</v>
      </c>
      <c r="B1156" s="984"/>
      <c r="C1156" s="16" t="s">
        <v>127</v>
      </c>
      <c r="D1156" s="54">
        <v>3.5000000000000003E-2</v>
      </c>
      <c r="E1156" s="13">
        <f>+G1152</f>
        <v>99287.658250000008</v>
      </c>
      <c r="F1156" s="14">
        <f>E1156*D1156</f>
        <v>3475.0680387500006</v>
      </c>
      <c r="G1156" s="15">
        <f>SUM(F1155:F1156)</f>
        <v>3537.9201637500005</v>
      </c>
    </row>
    <row r="1157" spans="1:7" s="2" customFormat="1" ht="15.75" customHeight="1">
      <c r="A1157" s="1006" t="s">
        <v>19</v>
      </c>
      <c r="B1157" s="1007"/>
      <c r="C1157" s="1007"/>
      <c r="D1157" s="1007"/>
      <c r="E1157" s="1007"/>
      <c r="F1157" s="1007"/>
      <c r="G1157" s="1008"/>
    </row>
    <row r="1158" spans="1:7" s="2" customFormat="1" ht="15.75" customHeight="1">
      <c r="A1158" s="974" t="s">
        <v>2</v>
      </c>
      <c r="B1158" s="975"/>
      <c r="C1158" s="11" t="s">
        <v>3</v>
      </c>
      <c r="D1158" s="11" t="s">
        <v>4</v>
      </c>
      <c r="E1158" s="11" t="s">
        <v>6</v>
      </c>
      <c r="F1158" s="11" t="s">
        <v>11</v>
      </c>
      <c r="G1158" s="18" t="s">
        <v>8</v>
      </c>
    </row>
    <row r="1159" spans="1:7" s="2" customFormat="1" ht="15.75" customHeight="1">
      <c r="A1159" s="978" t="str">
        <f>SALARIOS!$A$63</f>
        <v>CUADRILLA AA ALBAÑILERÍA 1:3</v>
      </c>
      <c r="B1159" s="979"/>
      <c r="C1159" s="13" t="s">
        <v>1245</v>
      </c>
      <c r="D1159" s="12">
        <f>0.5</f>
        <v>0.5</v>
      </c>
      <c r="E1159" s="13">
        <f>SALARIOS!$C$63</f>
        <v>43271</v>
      </c>
      <c r="F1159" s="14">
        <f>+D1159*E1159</f>
        <v>21635.5</v>
      </c>
      <c r="G1159" s="15">
        <f>F1159</f>
        <v>21635.5</v>
      </c>
    </row>
    <row r="1160" spans="1:7" s="2" customFormat="1" ht="15.75" customHeight="1">
      <c r="A1160" s="1009" t="s">
        <v>25</v>
      </c>
      <c r="B1160" s="1010"/>
      <c r="C1160" s="1010"/>
      <c r="D1160" s="1010"/>
      <c r="E1160" s="1010"/>
      <c r="F1160" s="1010"/>
      <c r="G1160" s="1011"/>
    </row>
    <row r="1161" spans="1:7" s="2" customFormat="1" ht="15.75" customHeight="1">
      <c r="A1161" s="1012"/>
      <c r="B1161" s="1013"/>
      <c r="C1161" s="1013"/>
      <c r="D1161" s="1013"/>
      <c r="E1161" s="1013"/>
      <c r="F1161" s="1014"/>
      <c r="G1161" s="20">
        <f>G1159+G1156+G1152+G1142</f>
        <v>126256.85341375001</v>
      </c>
    </row>
    <row r="1162" spans="1:7" s="2" customFormat="1" ht="15.75" customHeight="1">
      <c r="A1162" s="624"/>
      <c r="B1162" s="625"/>
      <c r="C1162" s="626"/>
      <c r="D1162" s="627"/>
      <c r="E1162" s="627"/>
      <c r="F1162" s="627"/>
      <c r="G1162" s="628"/>
    </row>
    <row r="1163" spans="1:7" s="2" customFormat="1" ht="15.75" customHeight="1">
      <c r="A1163" s="1052" t="s">
        <v>1</v>
      </c>
      <c r="B1163" s="1053"/>
      <c r="C1163" s="992" t="s">
        <v>0</v>
      </c>
      <c r="D1163" s="993"/>
      <c r="E1163" s="993"/>
      <c r="F1163" s="993"/>
      <c r="G1163" s="994"/>
    </row>
    <row r="1164" spans="1:7" s="2" customFormat="1" ht="70.5" customHeight="1">
      <c r="A1164" s="1054"/>
      <c r="B1164" s="1055"/>
      <c r="C1164" s="995"/>
      <c r="D1164" s="996"/>
      <c r="E1164" s="996"/>
      <c r="F1164" s="996"/>
      <c r="G1164" s="997"/>
    </row>
    <row r="1165" spans="1:7" s="2" customFormat="1" ht="15.75" customHeight="1">
      <c r="A1165" s="1054"/>
      <c r="B1165" s="1055"/>
      <c r="C1165" s="1058"/>
      <c r="D1165" s="1059"/>
      <c r="E1165" s="1059"/>
      <c r="F1165" s="1059"/>
      <c r="G1165" s="1060"/>
    </row>
    <row r="1166" spans="1:7" s="2" customFormat="1" ht="13.8">
      <c r="A1166" s="1056"/>
      <c r="B1166" s="1057"/>
      <c r="C1166" s="1061" t="s">
        <v>2</v>
      </c>
      <c r="D1166" s="1062"/>
      <c r="E1166" s="1063"/>
      <c r="F1166" s="622" t="s">
        <v>3</v>
      </c>
      <c r="G1166" s="65" t="s">
        <v>4</v>
      </c>
    </row>
    <row r="1167" spans="1:7" s="2" customFormat="1" ht="70.5" customHeight="1">
      <c r="A1167" s="1064" t="s">
        <v>228</v>
      </c>
      <c r="B1167" s="1065"/>
      <c r="C1167" s="1066" t="s">
        <v>196</v>
      </c>
      <c r="D1167" s="1067"/>
      <c r="E1167" s="1068"/>
      <c r="F1167" s="66" t="s">
        <v>37</v>
      </c>
      <c r="G1167" s="67">
        <v>14.103999999999999</v>
      </c>
    </row>
    <row r="1168" spans="1:7" s="2" customFormat="1" ht="15.75" customHeight="1">
      <c r="A1168" s="1006" t="s">
        <v>5</v>
      </c>
      <c r="B1168" s="1007"/>
      <c r="C1168" s="1007"/>
      <c r="D1168" s="1007"/>
      <c r="E1168" s="1007"/>
      <c r="F1168" s="1007"/>
      <c r="G1168" s="1008"/>
    </row>
    <row r="1169" spans="1:7" s="2" customFormat="1" ht="13.8">
      <c r="A1169" s="974" t="s">
        <v>2</v>
      </c>
      <c r="B1169" s="975"/>
      <c r="C1169" s="11" t="s">
        <v>3</v>
      </c>
      <c r="D1169" s="11" t="s">
        <v>4</v>
      </c>
      <c r="E1169" s="11" t="s">
        <v>6</v>
      </c>
      <c r="F1169" s="11" t="s">
        <v>7</v>
      </c>
      <c r="G1169" s="967" t="s">
        <v>8</v>
      </c>
    </row>
    <row r="1170" spans="1:7" s="2" customFormat="1" ht="15.75" customHeight="1">
      <c r="A1170" s="948" t="s">
        <v>9</v>
      </c>
      <c r="B1170" s="949"/>
      <c r="C1170" s="12" t="s">
        <v>3</v>
      </c>
      <c r="D1170" s="9">
        <v>0.05</v>
      </c>
      <c r="E1170" s="13">
        <f>G1185</f>
        <v>37282.5</v>
      </c>
      <c r="F1170" s="14">
        <f>D1170*E1170</f>
        <v>1864.125</v>
      </c>
      <c r="G1170" s="968"/>
    </row>
    <row r="1171" spans="1:7" s="2" customFormat="1" ht="15.75" customHeight="1">
      <c r="A1171" s="983" t="s">
        <v>112</v>
      </c>
      <c r="B1171" s="984"/>
      <c r="C1171" s="12" t="s">
        <v>58</v>
      </c>
      <c r="D1171" s="9">
        <v>0.02</v>
      </c>
      <c r="E1171" s="13">
        <f>'MAQUINARIA Y EQUIPOS'!$F$23</f>
        <v>28203</v>
      </c>
      <c r="F1171" s="14">
        <f>D1171*E1171</f>
        <v>564.06000000000006</v>
      </c>
      <c r="G1171" s="968"/>
    </row>
    <row r="1172" spans="1:7" s="2" customFormat="1" ht="15.75" customHeight="1">
      <c r="A1172" s="948" t="s">
        <v>113</v>
      </c>
      <c r="B1172" s="949"/>
      <c r="C1172" s="12" t="s">
        <v>58</v>
      </c>
      <c r="D1172" s="9">
        <v>0.3</v>
      </c>
      <c r="E1172" s="13">
        <f>'MAQUINARIA Y EQUIPOS'!$F$10</f>
        <v>3272.5</v>
      </c>
      <c r="F1172" s="14">
        <f>D1172*E1172</f>
        <v>981.75</v>
      </c>
      <c r="G1172" s="969"/>
    </row>
    <row r="1173" spans="1:7" s="2" customFormat="1" ht="15.75" customHeight="1">
      <c r="A1173" s="948" t="s">
        <v>61</v>
      </c>
      <c r="B1173" s="949"/>
      <c r="C1173" s="12" t="s">
        <v>58</v>
      </c>
      <c r="D1173" s="9">
        <v>0.1</v>
      </c>
      <c r="E1173" s="13">
        <f>'MAQUINARIA Y EQUIPOS'!$F$18</f>
        <v>40460</v>
      </c>
      <c r="F1173" s="14">
        <f>D1173*E1173</f>
        <v>4046</v>
      </c>
      <c r="G1173" s="15">
        <f>SUM(F1169:F1173)</f>
        <v>7455.9349999999995</v>
      </c>
    </row>
    <row r="1174" spans="1:7" s="2" customFormat="1" ht="15.75" customHeight="1">
      <c r="A1174" s="1006" t="s">
        <v>10</v>
      </c>
      <c r="B1174" s="1007"/>
      <c r="C1174" s="1007"/>
      <c r="D1174" s="1007"/>
      <c r="E1174" s="1007"/>
      <c r="F1174" s="1007"/>
      <c r="G1174" s="1008"/>
    </row>
    <row r="1175" spans="1:7" s="2" customFormat="1" ht="13.8">
      <c r="A1175" s="974" t="s">
        <v>2</v>
      </c>
      <c r="B1175" s="975"/>
      <c r="C1175" s="11" t="s">
        <v>3</v>
      </c>
      <c r="D1175" s="11" t="s">
        <v>4</v>
      </c>
      <c r="E1175" s="11" t="s">
        <v>6</v>
      </c>
      <c r="F1175" s="11" t="s">
        <v>11</v>
      </c>
      <c r="G1175" s="967" t="s">
        <v>8</v>
      </c>
    </row>
    <row r="1176" spans="1:7" s="2" customFormat="1" ht="15.75" customHeight="1">
      <c r="A1176" s="948" t="s">
        <v>115</v>
      </c>
      <c r="B1176" s="949"/>
      <c r="C1176" s="12" t="s">
        <v>3</v>
      </c>
      <c r="D1176" s="12">
        <v>0.03</v>
      </c>
      <c r="E1176" s="13">
        <f>'INSUMOS '!$E$28</f>
        <v>51900</v>
      </c>
      <c r="F1176" s="14">
        <f>D1176*E1176</f>
        <v>1557</v>
      </c>
      <c r="G1176" s="968"/>
    </row>
    <row r="1177" spans="1:7" s="2" customFormat="1" ht="15.75" customHeight="1">
      <c r="A1177" s="948" t="s">
        <v>114</v>
      </c>
      <c r="B1177" s="949"/>
      <c r="C1177" s="12" t="s">
        <v>39</v>
      </c>
      <c r="D1177" s="12">
        <v>0.02</v>
      </c>
      <c r="E1177" s="13">
        <f>SUBANÁLISIS!$G$146</f>
        <v>702267.57499999995</v>
      </c>
      <c r="F1177" s="14">
        <f>D1177*E1177</f>
        <v>14045.351499999999</v>
      </c>
      <c r="G1177" s="969"/>
    </row>
    <row r="1178" spans="1:7" s="2" customFormat="1" ht="15.75" customHeight="1">
      <c r="A1178" s="948" t="s">
        <v>197</v>
      </c>
      <c r="B1178" s="949"/>
      <c r="C1178" s="12" t="s">
        <v>3</v>
      </c>
      <c r="D1178" s="33">
        <f>12.5*1.1</f>
        <v>13.750000000000002</v>
      </c>
      <c r="E1178" s="13">
        <f>'INSUMOS '!$E$42</f>
        <v>1200</v>
      </c>
      <c r="F1178" s="14">
        <f>E1178*D1178</f>
        <v>16500.000000000004</v>
      </c>
      <c r="G1178" s="15">
        <f>SUM(F1175:F1178)</f>
        <v>32102.351500000004</v>
      </c>
    </row>
    <row r="1179" spans="1:7" s="2" customFormat="1" ht="15.75" customHeight="1">
      <c r="A1179" s="1006" t="s">
        <v>15</v>
      </c>
      <c r="B1179" s="1007"/>
      <c r="C1179" s="1007"/>
      <c r="D1179" s="1007"/>
      <c r="E1179" s="1007"/>
      <c r="F1179" s="1007"/>
      <c r="G1179" s="1008"/>
    </row>
    <row r="1180" spans="1:7" s="2" customFormat="1" ht="15.75" customHeight="1">
      <c r="A1180" s="974" t="s">
        <v>2</v>
      </c>
      <c r="B1180" s="975"/>
      <c r="C1180" s="11" t="s">
        <v>3</v>
      </c>
      <c r="D1180" s="11" t="s">
        <v>4</v>
      </c>
      <c r="E1180" s="11" t="s">
        <v>6</v>
      </c>
      <c r="F1180" s="11" t="s">
        <v>11</v>
      </c>
      <c r="G1180" s="967" t="s">
        <v>8</v>
      </c>
    </row>
    <row r="1181" spans="1:7" s="2" customFormat="1" ht="15.75" customHeight="1">
      <c r="A1181" s="1019" t="s">
        <v>68</v>
      </c>
      <c r="B1181" s="1020"/>
      <c r="C1181" s="16" t="s">
        <v>3</v>
      </c>
      <c r="D1181" s="54">
        <v>3.5000000000000003E-2</v>
      </c>
      <c r="E1181" s="17">
        <f>G1173</f>
        <v>7455.9349999999995</v>
      </c>
      <c r="F1181" s="14">
        <f>E1181*D1181</f>
        <v>260.95772499999998</v>
      </c>
      <c r="G1181" s="969"/>
    </row>
    <row r="1182" spans="1:7" s="2" customFormat="1" ht="15.75" customHeight="1">
      <c r="A1182" s="1019" t="s">
        <v>17</v>
      </c>
      <c r="B1182" s="1020"/>
      <c r="C1182" s="16" t="s">
        <v>18</v>
      </c>
      <c r="D1182" s="54">
        <v>3.5000000000000003E-2</v>
      </c>
      <c r="E1182" s="17">
        <f>+G1178</f>
        <v>32102.351500000004</v>
      </c>
      <c r="F1182" s="14">
        <f>E1182*D1182</f>
        <v>1123.5823025000002</v>
      </c>
      <c r="G1182" s="15">
        <f>SUM(F1181:F1182)</f>
        <v>1384.5400275000002</v>
      </c>
    </row>
    <row r="1183" spans="1:7" s="2" customFormat="1" ht="15.75" customHeight="1">
      <c r="A1183" s="1006" t="s">
        <v>19</v>
      </c>
      <c r="B1183" s="1007"/>
      <c r="C1183" s="1007"/>
      <c r="D1183" s="1007"/>
      <c r="E1183" s="1007"/>
      <c r="F1183" s="1007"/>
      <c r="G1183" s="1008"/>
    </row>
    <row r="1184" spans="1:7" s="2" customFormat="1" ht="15" customHeight="1">
      <c r="A1184" s="974" t="s">
        <v>2</v>
      </c>
      <c r="B1184" s="975"/>
      <c r="C1184" s="11" t="s">
        <v>3</v>
      </c>
      <c r="D1184" s="11" t="s">
        <v>4</v>
      </c>
      <c r="E1184" s="11" t="s">
        <v>6</v>
      </c>
      <c r="F1184" s="11" t="s">
        <v>7</v>
      </c>
      <c r="G1184" s="456" t="s">
        <v>8</v>
      </c>
    </row>
    <row r="1185" spans="1:7" s="2" customFormat="1" ht="13.8">
      <c r="A1185" s="978" t="str">
        <f>SALARIOS!$A$61</f>
        <v>CUADRILLA AA ALBAÑILERÍA 1:1</v>
      </c>
      <c r="B1185" s="979"/>
      <c r="C1185" s="13" t="s">
        <v>1245</v>
      </c>
      <c r="D1185" s="58">
        <v>1.5</v>
      </c>
      <c r="E1185" s="13">
        <f>SALARIOS!$C$61</f>
        <v>24855</v>
      </c>
      <c r="F1185" s="14">
        <f>+D1185*E1185</f>
        <v>37282.5</v>
      </c>
      <c r="G1185" s="15">
        <f>F1185</f>
        <v>37282.5</v>
      </c>
    </row>
    <row r="1186" spans="1:7" s="2" customFormat="1" ht="13.8">
      <c r="A1186" s="1009" t="s">
        <v>25</v>
      </c>
      <c r="B1186" s="1010"/>
      <c r="C1186" s="1010"/>
      <c r="D1186" s="1010"/>
      <c r="E1186" s="1010"/>
      <c r="F1186" s="1010"/>
      <c r="G1186" s="1011"/>
    </row>
    <row r="1187" spans="1:7" s="2" customFormat="1" ht="15.75" customHeight="1">
      <c r="A1187" s="1012"/>
      <c r="B1187" s="1013"/>
      <c r="C1187" s="1013"/>
      <c r="D1187" s="1013"/>
      <c r="E1187" s="1013"/>
      <c r="F1187" s="1014"/>
      <c r="G1187" s="20">
        <f>G1185+G1182+G1178+G1173</f>
        <v>78225.326527500001</v>
      </c>
    </row>
    <row r="1188" spans="1:7" s="2" customFormat="1" ht="15.75" customHeight="1">
      <c r="A1188" s="63"/>
      <c r="B1188" s="42"/>
      <c r="C1188" s="42"/>
      <c r="D1188" s="42"/>
      <c r="E1188" s="42"/>
      <c r="F1188" s="42"/>
      <c r="G1188" s="64"/>
    </row>
    <row r="1189" spans="1:7" s="2" customFormat="1" ht="63.75" customHeight="1">
      <c r="A1189" s="986" t="s">
        <v>1</v>
      </c>
      <c r="B1189" s="987"/>
      <c r="C1189" s="992" t="s">
        <v>0</v>
      </c>
      <c r="D1189" s="993"/>
      <c r="E1189" s="993"/>
      <c r="F1189" s="993"/>
      <c r="G1189" s="994"/>
    </row>
    <row r="1190" spans="1:7" s="2" customFormat="1" ht="15.75" customHeight="1">
      <c r="A1190" s="988"/>
      <c r="B1190" s="989"/>
      <c r="C1190" s="995"/>
      <c r="D1190" s="996"/>
      <c r="E1190" s="996"/>
      <c r="F1190" s="996"/>
      <c r="G1190" s="997"/>
    </row>
    <row r="1191" spans="1:7" s="2" customFormat="1" ht="15.75" customHeight="1">
      <c r="A1191" s="988"/>
      <c r="B1191" s="989"/>
      <c r="C1191" s="998"/>
      <c r="D1191" s="999"/>
      <c r="E1191" s="999"/>
      <c r="F1191" s="999"/>
      <c r="G1191" s="1000"/>
    </row>
    <row r="1192" spans="1:7" s="2" customFormat="1" ht="15.75" customHeight="1">
      <c r="A1192" s="990"/>
      <c r="B1192" s="991"/>
      <c r="C1192" s="1001" t="s">
        <v>2</v>
      </c>
      <c r="D1192" s="1002"/>
      <c r="E1192" s="1003"/>
      <c r="F1192" s="23" t="s">
        <v>3</v>
      </c>
      <c r="G1192" s="24" t="s">
        <v>4</v>
      </c>
    </row>
    <row r="1193" spans="1:7" s="2" customFormat="1" ht="211.5" customHeight="1">
      <c r="A1193" s="1021" t="s">
        <v>229</v>
      </c>
      <c r="B1193" s="1022"/>
      <c r="C1193" s="1023" t="s">
        <v>199</v>
      </c>
      <c r="D1193" s="1024"/>
      <c r="E1193" s="1016"/>
      <c r="F1193" s="51" t="s">
        <v>37</v>
      </c>
      <c r="G1193" s="52">
        <v>4.7479999999999993</v>
      </c>
    </row>
    <row r="1194" spans="1:7" s="2" customFormat="1" ht="15.75" customHeight="1">
      <c r="A1194" s="1006" t="s">
        <v>5</v>
      </c>
      <c r="B1194" s="1007"/>
      <c r="C1194" s="1007"/>
      <c r="D1194" s="1007"/>
      <c r="E1194" s="1007"/>
      <c r="F1194" s="1007"/>
      <c r="G1194" s="1008"/>
    </row>
    <row r="1195" spans="1:7" s="2" customFormat="1" ht="15.75" customHeight="1">
      <c r="A1195" s="974" t="s">
        <v>2</v>
      </c>
      <c r="B1195" s="975"/>
      <c r="C1195" s="11" t="s">
        <v>3</v>
      </c>
      <c r="D1195" s="11" t="s">
        <v>4</v>
      </c>
      <c r="E1195" s="11" t="s">
        <v>6</v>
      </c>
      <c r="F1195" s="11" t="s">
        <v>7</v>
      </c>
      <c r="G1195" s="967" t="s">
        <v>8</v>
      </c>
    </row>
    <row r="1196" spans="1:7" s="2" customFormat="1" ht="13.8">
      <c r="A1196" s="948" t="s">
        <v>9</v>
      </c>
      <c r="B1196" s="949"/>
      <c r="C1196" s="12" t="s">
        <v>3</v>
      </c>
      <c r="D1196" s="9">
        <v>0.05</v>
      </c>
      <c r="E1196" s="13">
        <f>G1211</f>
        <v>24855</v>
      </c>
      <c r="F1196" s="14">
        <f>D1196*E1196</f>
        <v>1242.75</v>
      </c>
      <c r="G1196" s="968"/>
    </row>
    <row r="1197" spans="1:7" s="2" customFormat="1" ht="13.8">
      <c r="A1197" s="983" t="s">
        <v>112</v>
      </c>
      <c r="B1197" s="984"/>
      <c r="C1197" s="12" t="s">
        <v>58</v>
      </c>
      <c r="D1197" s="9">
        <v>0.04</v>
      </c>
      <c r="E1197" s="13">
        <f>'MAQUINARIA Y EQUIPOS'!$F$23</f>
        <v>28203</v>
      </c>
      <c r="F1197" s="14">
        <f>D1197*E1197</f>
        <v>1128.1200000000001</v>
      </c>
      <c r="G1197" s="968"/>
    </row>
    <row r="1198" spans="1:7" s="2" customFormat="1" ht="13.5" customHeight="1">
      <c r="A1198" s="948" t="s">
        <v>113</v>
      </c>
      <c r="B1198" s="949"/>
      <c r="C1198" s="12" t="s">
        <v>58</v>
      </c>
      <c r="D1198" s="9">
        <v>0.3</v>
      </c>
      <c r="E1198" s="13">
        <f>'MAQUINARIA Y EQUIPOS'!$F$10</f>
        <v>3272.5</v>
      </c>
      <c r="F1198" s="14">
        <f>D1198*E1198</f>
        <v>981.75</v>
      </c>
      <c r="G1198" s="969"/>
    </row>
    <row r="1199" spans="1:7" s="2" customFormat="1" ht="14.25" customHeight="1">
      <c r="A1199" s="948" t="s">
        <v>61</v>
      </c>
      <c r="B1199" s="949"/>
      <c r="C1199" s="12" t="s">
        <v>58</v>
      </c>
      <c r="D1199" s="9">
        <v>0.1</v>
      </c>
      <c r="E1199" s="13">
        <f>'MAQUINARIA Y EQUIPOS'!$F$18</f>
        <v>40460</v>
      </c>
      <c r="F1199" s="14">
        <f>D1199*E1199</f>
        <v>4046</v>
      </c>
      <c r="G1199" s="15">
        <f>SUM(F1195:F1199)</f>
        <v>7398.62</v>
      </c>
    </row>
    <row r="1200" spans="1:7" s="2" customFormat="1" ht="13.8">
      <c r="A1200" s="1006" t="s">
        <v>10</v>
      </c>
      <c r="B1200" s="1007"/>
      <c r="C1200" s="1007"/>
      <c r="D1200" s="1007"/>
      <c r="E1200" s="1007"/>
      <c r="F1200" s="1007"/>
      <c r="G1200" s="1008"/>
    </row>
    <row r="1201" spans="1:7" s="2" customFormat="1" ht="13.8">
      <c r="A1201" s="974" t="s">
        <v>2</v>
      </c>
      <c r="B1201" s="975"/>
      <c r="C1201" s="11" t="s">
        <v>3</v>
      </c>
      <c r="D1201" s="11" t="s">
        <v>4</v>
      </c>
      <c r="E1201" s="11" t="s">
        <v>6</v>
      </c>
      <c r="F1201" s="11" t="s">
        <v>11</v>
      </c>
      <c r="G1201" s="967" t="s">
        <v>8</v>
      </c>
    </row>
    <row r="1202" spans="1:7" s="2" customFormat="1" ht="15.75" customHeight="1">
      <c r="A1202" s="948" t="s">
        <v>115</v>
      </c>
      <c r="B1202" s="949"/>
      <c r="C1202" s="12" t="s">
        <v>3</v>
      </c>
      <c r="D1202" s="12">
        <v>0.03</v>
      </c>
      <c r="E1202" s="13">
        <f>'INSUMOS '!$E$28</f>
        <v>51900</v>
      </c>
      <c r="F1202" s="14">
        <f>D1202*E1202</f>
        <v>1557</v>
      </c>
      <c r="G1202" s="968"/>
    </row>
    <row r="1203" spans="1:7" s="2" customFormat="1" ht="15.75" customHeight="1">
      <c r="A1203" s="948" t="s">
        <v>114</v>
      </c>
      <c r="B1203" s="949"/>
      <c r="C1203" s="12" t="s">
        <v>39</v>
      </c>
      <c r="D1203" s="12">
        <v>0.02</v>
      </c>
      <c r="E1203" s="13">
        <f>SUBANÁLISIS!$G$146</f>
        <v>702267.57499999995</v>
      </c>
      <c r="F1203" s="14">
        <f>D1203*E1203</f>
        <v>14045.351499999999</v>
      </c>
      <c r="G1203" s="969"/>
    </row>
    <row r="1204" spans="1:7" s="2" customFormat="1" ht="15.75" customHeight="1">
      <c r="A1204" s="948" t="s">
        <v>134</v>
      </c>
      <c r="B1204" s="949"/>
      <c r="C1204" s="12" t="s">
        <v>3</v>
      </c>
      <c r="D1204" s="33">
        <v>25</v>
      </c>
      <c r="E1204" s="13">
        <f>'INSUMOS '!$E$44</f>
        <v>3253.46</v>
      </c>
      <c r="F1204" s="14">
        <f>E1204*D1204</f>
        <v>81336.5</v>
      </c>
      <c r="G1204" s="15">
        <f>SUM(F1201:F1204)</f>
        <v>96938.851500000004</v>
      </c>
    </row>
    <row r="1205" spans="1:7" s="2" customFormat="1" ht="15.75" customHeight="1">
      <c r="A1205" s="1006" t="s">
        <v>15</v>
      </c>
      <c r="B1205" s="1007"/>
      <c r="C1205" s="1007"/>
      <c r="D1205" s="1007"/>
      <c r="E1205" s="1007"/>
      <c r="F1205" s="1007"/>
      <c r="G1205" s="1008"/>
    </row>
    <row r="1206" spans="1:7" s="2" customFormat="1" ht="15.75" customHeight="1">
      <c r="A1206" s="974" t="s">
        <v>2</v>
      </c>
      <c r="B1206" s="975"/>
      <c r="C1206" s="11" t="s">
        <v>3</v>
      </c>
      <c r="D1206" s="11" t="s">
        <v>4</v>
      </c>
      <c r="E1206" s="11" t="s">
        <v>6</v>
      </c>
      <c r="F1206" s="11" t="s">
        <v>7</v>
      </c>
      <c r="G1206" s="967" t="s">
        <v>8</v>
      </c>
    </row>
    <row r="1207" spans="1:7" s="2" customFormat="1" ht="15.75" customHeight="1">
      <c r="A1207" s="1019" t="s">
        <v>68</v>
      </c>
      <c r="B1207" s="1020"/>
      <c r="C1207" s="16" t="s">
        <v>3</v>
      </c>
      <c r="D1207" s="54">
        <v>3.5000000000000003E-2</v>
      </c>
      <c r="E1207" s="17">
        <f>G1199</f>
        <v>7398.62</v>
      </c>
      <c r="F1207" s="14">
        <f>E1207*D1207</f>
        <v>258.95170000000002</v>
      </c>
      <c r="G1207" s="969"/>
    </row>
    <row r="1208" spans="1:7" s="2" customFormat="1" ht="15.75" customHeight="1">
      <c r="A1208" s="1019" t="s">
        <v>17</v>
      </c>
      <c r="B1208" s="1020"/>
      <c r="C1208" s="16" t="s">
        <v>18</v>
      </c>
      <c r="D1208" s="54">
        <v>3.5000000000000003E-2</v>
      </c>
      <c r="E1208" s="17">
        <f>+G1204</f>
        <v>96938.851500000004</v>
      </c>
      <c r="F1208" s="14">
        <f>E1208*D1208</f>
        <v>3392.8598025000006</v>
      </c>
      <c r="G1208" s="15">
        <f>SUM(F1207:F1208)</f>
        <v>3651.8115025000006</v>
      </c>
    </row>
    <row r="1209" spans="1:7" s="2" customFormat="1" ht="15.75" customHeight="1">
      <c r="A1209" s="1006" t="s">
        <v>19</v>
      </c>
      <c r="B1209" s="1007"/>
      <c r="C1209" s="1007"/>
      <c r="D1209" s="1007"/>
      <c r="E1209" s="1007"/>
      <c r="F1209" s="1007"/>
      <c r="G1209" s="1008"/>
    </row>
    <row r="1210" spans="1:7" s="2" customFormat="1" ht="15.75" customHeight="1">
      <c r="A1210" s="974" t="s">
        <v>2</v>
      </c>
      <c r="B1210" s="975"/>
      <c r="C1210" s="11" t="s">
        <v>3</v>
      </c>
      <c r="D1210" s="11" t="s">
        <v>4</v>
      </c>
      <c r="E1210" s="11" t="s">
        <v>6</v>
      </c>
      <c r="F1210" s="11" t="s">
        <v>7</v>
      </c>
      <c r="G1210" s="18" t="s">
        <v>8</v>
      </c>
    </row>
    <row r="1211" spans="1:7" s="2" customFormat="1" ht="15.75" customHeight="1">
      <c r="A1211" s="978" t="str">
        <f>SALARIOS!$A$61</f>
        <v>CUADRILLA AA ALBAÑILERÍA 1:1</v>
      </c>
      <c r="B1211" s="979"/>
      <c r="C1211" s="13" t="s">
        <v>1245</v>
      </c>
      <c r="D1211" s="32">
        <v>1</v>
      </c>
      <c r="E1211" s="13">
        <f>SALARIOS!$C$61</f>
        <v>24855</v>
      </c>
      <c r="F1211" s="14">
        <f>+D1211*E1211</f>
        <v>24855</v>
      </c>
      <c r="G1211" s="15">
        <f>F1211</f>
        <v>24855</v>
      </c>
    </row>
    <row r="1212" spans="1:7" s="2" customFormat="1" ht="15" customHeight="1">
      <c r="A1212" s="1009" t="s">
        <v>25</v>
      </c>
      <c r="B1212" s="1010"/>
      <c r="C1212" s="1010"/>
      <c r="D1212" s="1010"/>
      <c r="E1212" s="1010"/>
      <c r="F1212" s="1010"/>
      <c r="G1212" s="1011"/>
    </row>
    <row r="1213" spans="1:7" s="2" customFormat="1" ht="15.75" customHeight="1">
      <c r="A1213" s="1040"/>
      <c r="B1213" s="1041"/>
      <c r="C1213" s="1041"/>
      <c r="D1213" s="1041"/>
      <c r="E1213" s="1041"/>
      <c r="F1213" s="1042"/>
      <c r="G1213" s="20">
        <f>G1211+G1208+G1204+G1199</f>
        <v>132844.28300250001</v>
      </c>
    </row>
    <row r="1214" spans="1:7" s="2" customFormat="1" ht="15.75" customHeight="1">
      <c r="A1214" s="70"/>
      <c r="B1214" s="71"/>
      <c r="C1214" s="71"/>
      <c r="D1214" s="71"/>
      <c r="E1214" s="71"/>
      <c r="F1214" s="71"/>
      <c r="G1214" s="72"/>
    </row>
    <row r="1215" spans="1:7" s="2" customFormat="1" ht="24" customHeight="1">
      <c r="A1215" s="986" t="s">
        <v>1</v>
      </c>
      <c r="B1215" s="987"/>
      <c r="C1215" s="992" t="s">
        <v>0</v>
      </c>
      <c r="D1215" s="993"/>
      <c r="E1215" s="993"/>
      <c r="F1215" s="993"/>
      <c r="G1215" s="994"/>
    </row>
    <row r="1216" spans="1:7" s="2" customFormat="1" ht="57" customHeight="1">
      <c r="A1216" s="988"/>
      <c r="B1216" s="989"/>
      <c r="C1216" s="995"/>
      <c r="D1216" s="996"/>
      <c r="E1216" s="996"/>
      <c r="F1216" s="996"/>
      <c r="G1216" s="997"/>
    </row>
    <row r="1217" spans="1:7" s="2" customFormat="1" ht="15.75" customHeight="1">
      <c r="A1217" s="988"/>
      <c r="B1217" s="989"/>
      <c r="C1217" s="998"/>
      <c r="D1217" s="999"/>
      <c r="E1217" s="999"/>
      <c r="F1217" s="999"/>
      <c r="G1217" s="1000"/>
    </row>
    <row r="1218" spans="1:7" s="2" customFormat="1" ht="15.75" customHeight="1">
      <c r="A1218" s="990"/>
      <c r="B1218" s="991"/>
      <c r="C1218" s="1001" t="s">
        <v>2</v>
      </c>
      <c r="D1218" s="1002"/>
      <c r="E1218" s="1003"/>
      <c r="F1218" s="23" t="s">
        <v>3</v>
      </c>
      <c r="G1218" s="24" t="s">
        <v>4</v>
      </c>
    </row>
    <row r="1219" spans="1:7" s="2" customFormat="1" ht="204" customHeight="1">
      <c r="A1219" s="1021" t="s">
        <v>230</v>
      </c>
      <c r="B1219" s="1022"/>
      <c r="C1219" s="1023" t="s">
        <v>231</v>
      </c>
      <c r="D1219" s="1024"/>
      <c r="E1219" s="1016"/>
      <c r="F1219" s="51" t="s">
        <v>37</v>
      </c>
      <c r="G1219" s="52">
        <v>8.0211000000000006</v>
      </c>
    </row>
    <row r="1220" spans="1:7" s="2" customFormat="1" ht="15.75" customHeight="1">
      <c r="A1220" s="1006" t="s">
        <v>5</v>
      </c>
      <c r="B1220" s="1007"/>
      <c r="C1220" s="1007"/>
      <c r="D1220" s="1007"/>
      <c r="E1220" s="1007"/>
      <c r="F1220" s="1007"/>
      <c r="G1220" s="1008"/>
    </row>
    <row r="1221" spans="1:7" s="2" customFormat="1" ht="15.75" customHeight="1">
      <c r="A1221" s="974" t="s">
        <v>2</v>
      </c>
      <c r="B1221" s="975"/>
      <c r="C1221" s="11" t="s">
        <v>3</v>
      </c>
      <c r="D1221" s="11" t="s">
        <v>4</v>
      </c>
      <c r="E1221" s="11" t="s">
        <v>6</v>
      </c>
      <c r="F1221" s="11" t="s">
        <v>7</v>
      </c>
      <c r="G1221" s="967" t="s">
        <v>8</v>
      </c>
    </row>
    <row r="1222" spans="1:7" s="2" customFormat="1" ht="13.8">
      <c r="A1222" s="948" t="s">
        <v>9</v>
      </c>
      <c r="B1222" s="949"/>
      <c r="C1222" s="12" t="s">
        <v>3</v>
      </c>
      <c r="D1222" s="9">
        <v>0.05</v>
      </c>
      <c r="E1222" s="13">
        <f>G1237</f>
        <v>24855</v>
      </c>
      <c r="F1222" s="14">
        <f>D1222*E1222</f>
        <v>1242.75</v>
      </c>
      <c r="G1222" s="968"/>
    </row>
    <row r="1223" spans="1:7" s="2" customFormat="1" ht="15.75" customHeight="1">
      <c r="A1223" s="983" t="s">
        <v>112</v>
      </c>
      <c r="B1223" s="984"/>
      <c r="C1223" s="12" t="s">
        <v>58</v>
      </c>
      <c r="D1223" s="9">
        <v>0.04</v>
      </c>
      <c r="E1223" s="13">
        <f>'MAQUINARIA Y EQUIPOS'!$F$23</f>
        <v>28203</v>
      </c>
      <c r="F1223" s="14">
        <f>D1223*E1223</f>
        <v>1128.1200000000001</v>
      </c>
      <c r="G1223" s="968"/>
    </row>
    <row r="1224" spans="1:7" s="2" customFormat="1" ht="15.75" customHeight="1">
      <c r="A1224" s="948" t="s">
        <v>113</v>
      </c>
      <c r="B1224" s="949"/>
      <c r="C1224" s="12" t="s">
        <v>58</v>
      </c>
      <c r="D1224" s="9">
        <v>0.3</v>
      </c>
      <c r="E1224" s="13">
        <f>'MAQUINARIA Y EQUIPOS'!$F$10</f>
        <v>3272.5</v>
      </c>
      <c r="F1224" s="14">
        <f>D1224*E1224</f>
        <v>981.75</v>
      </c>
      <c r="G1224" s="969"/>
    </row>
    <row r="1225" spans="1:7" s="2" customFormat="1" ht="15.75" customHeight="1">
      <c r="A1225" s="948" t="s">
        <v>61</v>
      </c>
      <c r="B1225" s="949"/>
      <c r="C1225" s="12" t="s">
        <v>58</v>
      </c>
      <c r="D1225" s="9">
        <v>0.1</v>
      </c>
      <c r="E1225" s="13">
        <f>'MAQUINARIA Y EQUIPOS'!$F$18</f>
        <v>40460</v>
      </c>
      <c r="F1225" s="14">
        <f>D1225*E1225</f>
        <v>4046</v>
      </c>
      <c r="G1225" s="15">
        <f>SUM(F1221:F1225)</f>
        <v>7398.62</v>
      </c>
    </row>
    <row r="1226" spans="1:7" s="2" customFormat="1" ht="15.75" customHeight="1">
      <c r="A1226" s="1006" t="s">
        <v>10</v>
      </c>
      <c r="B1226" s="1007"/>
      <c r="C1226" s="1007"/>
      <c r="D1226" s="1007"/>
      <c r="E1226" s="1007"/>
      <c r="F1226" s="1007"/>
      <c r="G1226" s="1008"/>
    </row>
    <row r="1227" spans="1:7" s="2" customFormat="1" ht="15.75" customHeight="1">
      <c r="A1227" s="974" t="s">
        <v>2</v>
      </c>
      <c r="B1227" s="975"/>
      <c r="C1227" s="11" t="s">
        <v>3</v>
      </c>
      <c r="D1227" s="11" t="s">
        <v>4</v>
      </c>
      <c r="E1227" s="11" t="s">
        <v>6</v>
      </c>
      <c r="F1227" s="11" t="s">
        <v>11</v>
      </c>
      <c r="G1227" s="967" t="s">
        <v>8</v>
      </c>
    </row>
    <row r="1228" spans="1:7" s="2" customFormat="1" ht="15.75" customHeight="1">
      <c r="A1228" s="948" t="s">
        <v>115</v>
      </c>
      <c r="B1228" s="949"/>
      <c r="C1228" s="12" t="s">
        <v>3</v>
      </c>
      <c r="D1228" s="12">
        <v>0.03</v>
      </c>
      <c r="E1228" s="13">
        <f>'INSUMOS '!$E$28</f>
        <v>51900</v>
      </c>
      <c r="F1228" s="14">
        <f>D1228*E1228</f>
        <v>1557</v>
      </c>
      <c r="G1228" s="968"/>
    </row>
    <row r="1229" spans="1:7" s="2" customFormat="1" ht="15.75" customHeight="1">
      <c r="A1229" s="948" t="s">
        <v>114</v>
      </c>
      <c r="B1229" s="949"/>
      <c r="C1229" s="12" t="s">
        <v>39</v>
      </c>
      <c r="D1229" s="12">
        <v>0.02</v>
      </c>
      <c r="E1229" s="13">
        <f>SUBANÁLISIS!$G$146</f>
        <v>702267.57499999995</v>
      </c>
      <c r="F1229" s="14">
        <f>D1229*E1229</f>
        <v>14045.351499999999</v>
      </c>
      <c r="G1229" s="969"/>
    </row>
    <row r="1230" spans="1:7" s="2" customFormat="1" ht="14.25" customHeight="1">
      <c r="A1230" s="948" t="s">
        <v>134</v>
      </c>
      <c r="B1230" s="949"/>
      <c r="C1230" s="12" t="s">
        <v>3</v>
      </c>
      <c r="D1230" s="33">
        <v>25</v>
      </c>
      <c r="E1230" s="13">
        <f>'INSUMOS '!$E$44</f>
        <v>3253.46</v>
      </c>
      <c r="F1230" s="14">
        <f>E1230*D1230</f>
        <v>81336.5</v>
      </c>
      <c r="G1230" s="15">
        <f>SUM(F1227:F1230)</f>
        <v>96938.851500000004</v>
      </c>
    </row>
    <row r="1231" spans="1:7" s="2" customFormat="1" ht="13.8">
      <c r="A1231" s="1006" t="s">
        <v>15</v>
      </c>
      <c r="B1231" s="1007"/>
      <c r="C1231" s="1007"/>
      <c r="D1231" s="1007"/>
      <c r="E1231" s="1007"/>
      <c r="F1231" s="1007"/>
      <c r="G1231" s="1008"/>
    </row>
    <row r="1232" spans="1:7" s="2" customFormat="1" ht="15.75" customHeight="1">
      <c r="A1232" s="974" t="s">
        <v>2</v>
      </c>
      <c r="B1232" s="975"/>
      <c r="C1232" s="11" t="s">
        <v>3</v>
      </c>
      <c r="D1232" s="11" t="s">
        <v>4</v>
      </c>
      <c r="E1232" s="11" t="s">
        <v>6</v>
      </c>
      <c r="F1232" s="11" t="s">
        <v>7</v>
      </c>
      <c r="G1232" s="967" t="s">
        <v>8</v>
      </c>
    </row>
    <row r="1233" spans="1:7" s="2" customFormat="1" ht="15.75" customHeight="1">
      <c r="A1233" s="1019" t="s">
        <v>68</v>
      </c>
      <c r="B1233" s="1020"/>
      <c r="C1233" s="16" t="s">
        <v>3</v>
      </c>
      <c r="D1233" s="54">
        <v>3.5000000000000003E-2</v>
      </c>
      <c r="E1233" s="17">
        <f>G1225</f>
        <v>7398.62</v>
      </c>
      <c r="F1233" s="14">
        <f>E1233*D1233</f>
        <v>258.95170000000002</v>
      </c>
      <c r="G1233" s="969"/>
    </row>
    <row r="1234" spans="1:7" s="2" customFormat="1" ht="15.75" customHeight="1">
      <c r="A1234" s="1019" t="s">
        <v>17</v>
      </c>
      <c r="B1234" s="1020"/>
      <c r="C1234" s="16" t="s">
        <v>18</v>
      </c>
      <c r="D1234" s="54">
        <v>3.5000000000000003E-2</v>
      </c>
      <c r="E1234" s="17">
        <f>+G1230</f>
        <v>96938.851500000004</v>
      </c>
      <c r="F1234" s="14">
        <f>E1234*D1234</f>
        <v>3392.8598025000006</v>
      </c>
      <c r="G1234" s="15">
        <f>SUM(F1233:F1234)</f>
        <v>3651.8115025000006</v>
      </c>
    </row>
    <row r="1235" spans="1:7" s="2" customFormat="1" ht="15.75" customHeight="1">
      <c r="A1235" s="1006" t="s">
        <v>19</v>
      </c>
      <c r="B1235" s="1007"/>
      <c r="C1235" s="1007"/>
      <c r="D1235" s="1007"/>
      <c r="E1235" s="1007"/>
      <c r="F1235" s="1007"/>
      <c r="G1235" s="1008"/>
    </row>
    <row r="1236" spans="1:7" s="2" customFormat="1" ht="15.75" customHeight="1">
      <c r="A1236" s="974" t="s">
        <v>2</v>
      </c>
      <c r="B1236" s="975"/>
      <c r="C1236" s="11" t="s">
        <v>3</v>
      </c>
      <c r="D1236" s="11" t="s">
        <v>4</v>
      </c>
      <c r="E1236" s="11" t="s">
        <v>6</v>
      </c>
      <c r="F1236" s="11" t="s">
        <v>7</v>
      </c>
      <c r="G1236" s="18" t="s">
        <v>8</v>
      </c>
    </row>
    <row r="1237" spans="1:7" s="2" customFormat="1" ht="15" customHeight="1">
      <c r="A1237" s="978" t="str">
        <f>SALARIOS!$A$61</f>
        <v>CUADRILLA AA ALBAÑILERÍA 1:1</v>
      </c>
      <c r="B1237" s="979"/>
      <c r="C1237" s="13" t="s">
        <v>1245</v>
      </c>
      <c r="D1237" s="32">
        <v>1</v>
      </c>
      <c r="E1237" s="13">
        <f>SALARIOS!$C$61</f>
        <v>24855</v>
      </c>
      <c r="F1237" s="14">
        <f>+D1237*E1237</f>
        <v>24855</v>
      </c>
      <c r="G1237" s="15">
        <f>F1237</f>
        <v>24855</v>
      </c>
    </row>
    <row r="1238" spans="1:7" s="2" customFormat="1" ht="15.75" customHeight="1">
      <c r="A1238" s="1009" t="s">
        <v>25</v>
      </c>
      <c r="B1238" s="1010"/>
      <c r="C1238" s="1010"/>
      <c r="D1238" s="1010"/>
      <c r="E1238" s="1010"/>
      <c r="F1238" s="1010"/>
      <c r="G1238" s="1011"/>
    </row>
    <row r="1239" spans="1:7" s="2" customFormat="1" ht="15.75" customHeight="1">
      <c r="A1239" s="1040"/>
      <c r="B1239" s="1041"/>
      <c r="C1239" s="1041"/>
      <c r="D1239" s="1041"/>
      <c r="E1239" s="1041"/>
      <c r="F1239" s="1042"/>
      <c r="G1239" s="20">
        <f>G1237+G1234+G1230+G1225</f>
        <v>132844.28300250001</v>
      </c>
    </row>
    <row r="1240" spans="1:7" s="2" customFormat="1" ht="15.75" customHeight="1">
      <c r="A1240" s="73"/>
      <c r="B1240" s="74"/>
      <c r="C1240" s="74"/>
      <c r="D1240" s="74"/>
      <c r="E1240" s="74"/>
      <c r="F1240" s="74"/>
      <c r="G1240" s="75"/>
    </row>
    <row r="1241" spans="1:7" s="2" customFormat="1" ht="15.75" customHeight="1">
      <c r="A1241" s="986" t="s">
        <v>1</v>
      </c>
      <c r="B1241" s="987"/>
      <c r="C1241" s="992" t="s">
        <v>0</v>
      </c>
      <c r="D1241" s="993"/>
      <c r="E1241" s="993"/>
      <c r="F1241" s="993"/>
      <c r="G1241" s="994"/>
    </row>
    <row r="1242" spans="1:7" s="2" customFormat="1" ht="69.75" customHeight="1">
      <c r="A1242" s="988"/>
      <c r="B1242" s="989"/>
      <c r="C1242" s="995"/>
      <c r="D1242" s="996"/>
      <c r="E1242" s="996"/>
      <c r="F1242" s="996"/>
      <c r="G1242" s="997"/>
    </row>
    <row r="1243" spans="1:7" s="2" customFormat="1" ht="15.75" customHeight="1">
      <c r="A1243" s="988"/>
      <c r="B1243" s="989"/>
      <c r="C1243" s="998"/>
      <c r="D1243" s="999"/>
      <c r="E1243" s="999"/>
      <c r="F1243" s="999"/>
      <c r="G1243" s="1000"/>
    </row>
    <row r="1244" spans="1:7" s="2" customFormat="1" ht="15.75" customHeight="1">
      <c r="A1244" s="990"/>
      <c r="B1244" s="991"/>
      <c r="C1244" s="1001" t="s">
        <v>2</v>
      </c>
      <c r="D1244" s="1002"/>
      <c r="E1244" s="1003"/>
      <c r="F1244" s="23" t="s">
        <v>3</v>
      </c>
      <c r="G1244" s="24" t="s">
        <v>4</v>
      </c>
    </row>
    <row r="1245" spans="1:7" s="2" customFormat="1" ht="208.5" customHeight="1">
      <c r="A1245" s="1021" t="s">
        <v>232</v>
      </c>
      <c r="B1245" s="1022"/>
      <c r="C1245" s="1023" t="s">
        <v>142</v>
      </c>
      <c r="D1245" s="1024"/>
      <c r="E1245" s="1016"/>
      <c r="F1245" s="51" t="s">
        <v>37</v>
      </c>
      <c r="G1245" s="52">
        <v>2.9094000000000002</v>
      </c>
    </row>
    <row r="1246" spans="1:7" s="2" customFormat="1" ht="13.8">
      <c r="A1246" s="1006" t="s">
        <v>5</v>
      </c>
      <c r="B1246" s="1007"/>
      <c r="C1246" s="1007"/>
      <c r="D1246" s="1007"/>
      <c r="E1246" s="1007"/>
      <c r="F1246" s="1007"/>
      <c r="G1246" s="1008"/>
    </row>
    <row r="1247" spans="1:7" s="2" customFormat="1" ht="13.8">
      <c r="A1247" s="974" t="s">
        <v>2</v>
      </c>
      <c r="B1247" s="975"/>
      <c r="C1247" s="11" t="s">
        <v>3</v>
      </c>
      <c r="D1247" s="11" t="s">
        <v>4</v>
      </c>
      <c r="E1247" s="11" t="s">
        <v>6</v>
      </c>
      <c r="F1247" s="11" t="s">
        <v>7</v>
      </c>
      <c r="G1247" s="967" t="s">
        <v>8</v>
      </c>
    </row>
    <row r="1248" spans="1:7" s="2" customFormat="1" ht="15.75" customHeight="1">
      <c r="A1248" s="948" t="s">
        <v>9</v>
      </c>
      <c r="B1248" s="949"/>
      <c r="C1248" s="12" t="s">
        <v>3</v>
      </c>
      <c r="D1248" s="9">
        <v>0.05</v>
      </c>
      <c r="E1248" s="13">
        <f>G1263</f>
        <v>43271</v>
      </c>
      <c r="F1248" s="14">
        <f>D1248*E1248</f>
        <v>2163.5500000000002</v>
      </c>
      <c r="G1248" s="968"/>
    </row>
    <row r="1249" spans="1:7" s="2" customFormat="1" ht="15.75" customHeight="1">
      <c r="A1249" s="983" t="s">
        <v>112</v>
      </c>
      <c r="B1249" s="984"/>
      <c r="C1249" s="12" t="s">
        <v>58</v>
      </c>
      <c r="D1249" s="9">
        <v>0.04</v>
      </c>
      <c r="E1249" s="13">
        <f>'MAQUINARIA Y EQUIPOS'!$F$23</f>
        <v>28203</v>
      </c>
      <c r="F1249" s="14">
        <f>D1249*E1249</f>
        <v>1128.1200000000001</v>
      </c>
      <c r="G1249" s="968"/>
    </row>
    <row r="1250" spans="1:7" s="2" customFormat="1" ht="14.25" customHeight="1">
      <c r="A1250" s="948" t="s">
        <v>113</v>
      </c>
      <c r="B1250" s="949"/>
      <c r="C1250" s="12" t="s">
        <v>58</v>
      </c>
      <c r="D1250" s="9">
        <v>0.3</v>
      </c>
      <c r="E1250" s="13">
        <f>'MAQUINARIA Y EQUIPOS'!$F$10</f>
        <v>3272.5</v>
      </c>
      <c r="F1250" s="14">
        <f>D1250*E1250</f>
        <v>981.75</v>
      </c>
      <c r="G1250" s="969"/>
    </row>
    <row r="1251" spans="1:7" s="2" customFormat="1" ht="15.75" customHeight="1">
      <c r="A1251" s="948" t="s">
        <v>61</v>
      </c>
      <c r="B1251" s="949"/>
      <c r="C1251" s="12" t="s">
        <v>58</v>
      </c>
      <c r="D1251" s="9">
        <v>0.1</v>
      </c>
      <c r="E1251" s="13">
        <f>'MAQUINARIA Y EQUIPOS'!$F$18</f>
        <v>40460</v>
      </c>
      <c r="F1251" s="14">
        <f>D1251*E1251</f>
        <v>4046</v>
      </c>
      <c r="G1251" s="15">
        <f>SUM(F1247:F1251)</f>
        <v>8319.42</v>
      </c>
    </row>
    <row r="1252" spans="1:7" s="2" customFormat="1" ht="15.75" customHeight="1">
      <c r="A1252" s="1006" t="s">
        <v>10</v>
      </c>
      <c r="B1252" s="1007"/>
      <c r="C1252" s="1007"/>
      <c r="D1252" s="1007"/>
      <c r="E1252" s="1007"/>
      <c r="F1252" s="1007"/>
      <c r="G1252" s="1008"/>
    </row>
    <row r="1253" spans="1:7" s="2" customFormat="1" ht="15.75" customHeight="1">
      <c r="A1253" s="974" t="s">
        <v>2</v>
      </c>
      <c r="B1253" s="975"/>
      <c r="C1253" s="11" t="s">
        <v>3</v>
      </c>
      <c r="D1253" s="11" t="s">
        <v>4</v>
      </c>
      <c r="E1253" s="11" t="s">
        <v>6</v>
      </c>
      <c r="F1253" s="11" t="s">
        <v>11</v>
      </c>
      <c r="G1253" s="967" t="s">
        <v>8</v>
      </c>
    </row>
    <row r="1254" spans="1:7" s="2" customFormat="1" ht="15.75" customHeight="1">
      <c r="A1254" s="948" t="s">
        <v>115</v>
      </c>
      <c r="B1254" s="949"/>
      <c r="C1254" s="12" t="s">
        <v>3</v>
      </c>
      <c r="D1254" s="12">
        <v>0.03</v>
      </c>
      <c r="E1254" s="13">
        <f>'INSUMOS '!$E$28</f>
        <v>51900</v>
      </c>
      <c r="F1254" s="14">
        <f>D1254*E1254</f>
        <v>1557</v>
      </c>
      <c r="G1254" s="968"/>
    </row>
    <row r="1255" spans="1:7" s="2" customFormat="1" ht="15.75" customHeight="1">
      <c r="A1255" s="948" t="s">
        <v>114</v>
      </c>
      <c r="B1255" s="949"/>
      <c r="C1255" s="12" t="s">
        <v>39</v>
      </c>
      <c r="D1255" s="12">
        <v>0.03</v>
      </c>
      <c r="E1255" s="13">
        <f>SUBANÁLISIS!$G$146</f>
        <v>702267.57499999995</v>
      </c>
      <c r="F1255" s="14">
        <f>D1255*E1255</f>
        <v>21068.027249999999</v>
      </c>
      <c r="G1255" s="969"/>
    </row>
    <row r="1256" spans="1:7" s="2" customFormat="1" ht="15.75" customHeight="1">
      <c r="A1256" s="948" t="s">
        <v>1551</v>
      </c>
      <c r="B1256" s="949"/>
      <c r="C1256" s="12" t="s">
        <v>3</v>
      </c>
      <c r="D1256" s="33">
        <v>12.5</v>
      </c>
      <c r="E1256" s="13">
        <f>'INSUMOS '!$E$49</f>
        <v>4150</v>
      </c>
      <c r="F1256" s="14">
        <f>E1256*D1256</f>
        <v>51875</v>
      </c>
      <c r="G1256" s="15">
        <f>SUM(F1253:F1256)</f>
        <v>74500.027249999999</v>
      </c>
    </row>
    <row r="1257" spans="1:7" s="2" customFormat="1" ht="13.8">
      <c r="A1257" s="1006" t="s">
        <v>15</v>
      </c>
      <c r="B1257" s="1007"/>
      <c r="C1257" s="1007"/>
      <c r="D1257" s="1007"/>
      <c r="E1257" s="1007"/>
      <c r="F1257" s="1007"/>
      <c r="G1257" s="1008"/>
    </row>
    <row r="1258" spans="1:7" s="2" customFormat="1" ht="15.75" customHeight="1">
      <c r="A1258" s="974" t="s">
        <v>2</v>
      </c>
      <c r="B1258" s="975"/>
      <c r="C1258" s="11" t="s">
        <v>3</v>
      </c>
      <c r="D1258" s="11" t="s">
        <v>4</v>
      </c>
      <c r="E1258" s="11" t="s">
        <v>6</v>
      </c>
      <c r="F1258" s="11" t="s">
        <v>11</v>
      </c>
      <c r="G1258" s="967" t="s">
        <v>8</v>
      </c>
    </row>
    <row r="1259" spans="1:7" s="2" customFormat="1" ht="15.75" customHeight="1">
      <c r="A1259" s="1019" t="s">
        <v>68</v>
      </c>
      <c r="B1259" s="1020"/>
      <c r="C1259" s="16" t="s">
        <v>3</v>
      </c>
      <c r="D1259" s="54">
        <v>3.5000000000000003E-2</v>
      </c>
      <c r="E1259" s="17">
        <f>G1251</f>
        <v>8319.42</v>
      </c>
      <c r="F1259" s="14">
        <f>E1259*D1259</f>
        <v>291.17970000000003</v>
      </c>
      <c r="G1259" s="969"/>
    </row>
    <row r="1260" spans="1:7" s="2" customFormat="1" ht="15.75" customHeight="1">
      <c r="A1260" s="1019" t="s">
        <v>17</v>
      </c>
      <c r="B1260" s="1020"/>
      <c r="C1260" s="16" t="s">
        <v>18</v>
      </c>
      <c r="D1260" s="54">
        <v>3.5000000000000003E-2</v>
      </c>
      <c r="E1260" s="17">
        <f>+G1256</f>
        <v>74500.027249999999</v>
      </c>
      <c r="F1260" s="14">
        <f>E1260*D1260</f>
        <v>2607.50095375</v>
      </c>
      <c r="G1260" s="15">
        <f>SUM(F1259:F1260)</f>
        <v>2898.6806537500001</v>
      </c>
    </row>
    <row r="1261" spans="1:7" s="2" customFormat="1" ht="15.75" customHeight="1">
      <c r="A1261" s="1006" t="s">
        <v>19</v>
      </c>
      <c r="B1261" s="1007"/>
      <c r="C1261" s="1007"/>
      <c r="D1261" s="1007"/>
      <c r="E1261" s="1007"/>
      <c r="F1261" s="1007"/>
      <c r="G1261" s="1008"/>
    </row>
    <row r="1262" spans="1:7" s="2" customFormat="1" ht="15.75" customHeight="1">
      <c r="A1262" s="974" t="s">
        <v>2</v>
      </c>
      <c r="B1262" s="975"/>
      <c r="C1262" s="11" t="s">
        <v>3</v>
      </c>
      <c r="D1262" s="11" t="s">
        <v>4</v>
      </c>
      <c r="E1262" s="11" t="s">
        <v>6</v>
      </c>
      <c r="F1262" s="11" t="s">
        <v>11</v>
      </c>
      <c r="G1262" s="18" t="s">
        <v>8</v>
      </c>
    </row>
    <row r="1263" spans="1:7" s="2" customFormat="1" ht="15" customHeight="1">
      <c r="A1263" s="978" t="str">
        <f>SALARIOS!$A$63</f>
        <v>CUADRILLA AA ALBAÑILERÍA 1:3</v>
      </c>
      <c r="B1263" s="979"/>
      <c r="C1263" s="13" t="s">
        <v>1245</v>
      </c>
      <c r="D1263" s="32">
        <v>1</v>
      </c>
      <c r="E1263" s="13">
        <f>SALARIOS!$C$63</f>
        <v>43271</v>
      </c>
      <c r="F1263" s="14">
        <f>+D1263*E1263</f>
        <v>43271</v>
      </c>
      <c r="G1263" s="15">
        <f>F1263</f>
        <v>43271</v>
      </c>
    </row>
    <row r="1264" spans="1:7" s="2" customFormat="1" ht="15.75" customHeight="1">
      <c r="A1264" s="1009" t="s">
        <v>25</v>
      </c>
      <c r="B1264" s="1010"/>
      <c r="C1264" s="1010"/>
      <c r="D1264" s="1010"/>
      <c r="E1264" s="1010"/>
      <c r="F1264" s="1010"/>
      <c r="G1264" s="1011"/>
    </row>
    <row r="1265" spans="1:11" s="2" customFormat="1" ht="15.75" customHeight="1">
      <c r="A1265" s="1012"/>
      <c r="B1265" s="1013"/>
      <c r="C1265" s="1013"/>
      <c r="D1265" s="1013"/>
      <c r="E1265" s="1013"/>
      <c r="F1265" s="1014"/>
      <c r="G1265" s="20">
        <f>G1263+G1260+G1256+G1251</f>
        <v>128989.12790375001</v>
      </c>
    </row>
    <row r="1266" spans="1:11" s="2" customFormat="1" ht="15.75" customHeight="1">
      <c r="A1266" s="63"/>
      <c r="B1266" s="42"/>
      <c r="C1266" s="42"/>
      <c r="D1266" s="42"/>
      <c r="E1266" s="42"/>
      <c r="F1266" s="42"/>
      <c r="G1266" s="64"/>
    </row>
    <row r="1267" spans="1:11" s="2" customFormat="1" ht="15.75" customHeight="1">
      <c r="A1267" s="986" t="s">
        <v>1</v>
      </c>
      <c r="B1267" s="987"/>
      <c r="C1267" s="992" t="s">
        <v>0</v>
      </c>
      <c r="D1267" s="993"/>
      <c r="E1267" s="993"/>
      <c r="F1267" s="993"/>
      <c r="G1267" s="994"/>
    </row>
    <row r="1268" spans="1:11" s="2" customFormat="1" ht="56.25" customHeight="1">
      <c r="A1268" s="988"/>
      <c r="B1268" s="989"/>
      <c r="C1268" s="995"/>
      <c r="D1268" s="996"/>
      <c r="E1268" s="996"/>
      <c r="F1268" s="996"/>
      <c r="G1268" s="997"/>
    </row>
    <row r="1269" spans="1:11" s="2" customFormat="1" ht="15.75" customHeight="1">
      <c r="A1269" s="988"/>
      <c r="B1269" s="989"/>
      <c r="C1269" s="998"/>
      <c r="D1269" s="999"/>
      <c r="E1269" s="999"/>
      <c r="F1269" s="999"/>
      <c r="G1269" s="1000"/>
    </row>
    <row r="1270" spans="1:11" s="2" customFormat="1" ht="15.75" customHeight="1">
      <c r="A1270" s="990"/>
      <c r="B1270" s="991"/>
      <c r="C1270" s="1001" t="s">
        <v>2</v>
      </c>
      <c r="D1270" s="1002"/>
      <c r="E1270" s="1003"/>
      <c r="F1270" s="23" t="s">
        <v>3</v>
      </c>
      <c r="G1270" s="24" t="s">
        <v>4</v>
      </c>
    </row>
    <row r="1271" spans="1:11" s="2" customFormat="1" ht="207" customHeight="1">
      <c r="A1271" s="1021" t="s">
        <v>233</v>
      </c>
      <c r="B1271" s="1022"/>
      <c r="C1271" s="1023" t="s">
        <v>234</v>
      </c>
      <c r="D1271" s="1024"/>
      <c r="E1271" s="1016"/>
      <c r="F1271" s="51" t="s">
        <v>37</v>
      </c>
      <c r="G1271" s="52">
        <v>10.959999999999999</v>
      </c>
    </row>
    <row r="1272" spans="1:11" s="2" customFormat="1" ht="15.75" customHeight="1">
      <c r="A1272" s="1032" t="s">
        <v>5</v>
      </c>
      <c r="B1272" s="1033"/>
      <c r="C1272" s="1033"/>
      <c r="D1272" s="1033"/>
      <c r="E1272" s="1033"/>
      <c r="F1272" s="1033"/>
      <c r="G1272" s="1034"/>
    </row>
    <row r="1273" spans="1:11" s="2" customFormat="1" ht="15.75" customHeight="1">
      <c r="A1273" s="1027" t="s">
        <v>2</v>
      </c>
      <c r="B1273" s="1028"/>
      <c r="C1273" s="53" t="s">
        <v>3</v>
      </c>
      <c r="D1273" s="53" t="s">
        <v>4</v>
      </c>
      <c r="E1273" s="53" t="s">
        <v>6</v>
      </c>
      <c r="F1273" s="53" t="s">
        <v>7</v>
      </c>
      <c r="G1273" s="1029" t="s">
        <v>8</v>
      </c>
    </row>
    <row r="1274" spans="1:11" s="2" customFormat="1" ht="13.8">
      <c r="A1274" s="948" t="s">
        <v>9</v>
      </c>
      <c r="B1274" s="949"/>
      <c r="C1274" s="12" t="s">
        <v>3</v>
      </c>
      <c r="D1274" s="9">
        <v>0.05</v>
      </c>
      <c r="E1274" s="13">
        <f>G1289</f>
        <v>43271</v>
      </c>
      <c r="F1274" s="55">
        <f>D1274*E1274</f>
        <v>2163.5500000000002</v>
      </c>
      <c r="G1274" s="1030"/>
    </row>
    <row r="1275" spans="1:11" s="2" customFormat="1" ht="13.8">
      <c r="A1275" s="983" t="s">
        <v>112</v>
      </c>
      <c r="B1275" s="984"/>
      <c r="C1275" s="12" t="s">
        <v>58</v>
      </c>
      <c r="D1275" s="9">
        <v>0.04</v>
      </c>
      <c r="E1275" s="13">
        <f>'MAQUINARIA Y EQUIPOS'!F23</f>
        <v>28203</v>
      </c>
      <c r="F1275" s="55">
        <f>D1275*E1275</f>
        <v>1128.1200000000001</v>
      </c>
      <c r="G1275" s="1030"/>
    </row>
    <row r="1276" spans="1:11" s="2" customFormat="1" ht="14.25" customHeight="1">
      <c r="A1276" s="948" t="s">
        <v>113</v>
      </c>
      <c r="B1276" s="949"/>
      <c r="C1276" s="12" t="s">
        <v>58</v>
      </c>
      <c r="D1276" s="9">
        <v>0.3</v>
      </c>
      <c r="E1276" s="13">
        <f>'MAQUINARIA Y EQUIPOS'!F10</f>
        <v>3272.5</v>
      </c>
      <c r="F1276" s="55">
        <f>D1276*E1276</f>
        <v>981.75</v>
      </c>
      <c r="G1276" s="1031"/>
    </row>
    <row r="1277" spans="1:11" s="35" customFormat="1" ht="14.25" customHeight="1">
      <c r="A1277" s="948" t="s">
        <v>61</v>
      </c>
      <c r="B1277" s="949"/>
      <c r="C1277" s="12" t="s">
        <v>58</v>
      </c>
      <c r="D1277" s="9">
        <v>0.1</v>
      </c>
      <c r="E1277" s="13">
        <f>'MAQUINARIA Y EQUIPOS'!F18</f>
        <v>40460</v>
      </c>
      <c r="F1277" s="55">
        <f>D1277*E1277</f>
        <v>4046</v>
      </c>
      <c r="G1277" s="57">
        <f>SUM(F1273:F1277)</f>
        <v>8319.42</v>
      </c>
      <c r="H1277" s="2"/>
      <c r="I1277" s="2"/>
      <c r="J1277" s="2"/>
      <c r="K1277" s="2"/>
    </row>
    <row r="1278" spans="1:11" s="2" customFormat="1" ht="15.75" customHeight="1">
      <c r="A1278" s="1032" t="s">
        <v>10</v>
      </c>
      <c r="B1278" s="1033"/>
      <c r="C1278" s="1033"/>
      <c r="D1278" s="1033"/>
      <c r="E1278" s="1033"/>
      <c r="F1278" s="1033"/>
      <c r="G1278" s="1034"/>
    </row>
    <row r="1279" spans="1:11" s="2" customFormat="1" ht="13.8">
      <c r="A1279" s="1027" t="s">
        <v>2</v>
      </c>
      <c r="B1279" s="1028"/>
      <c r="C1279" s="53" t="s">
        <v>3</v>
      </c>
      <c r="D1279" s="53" t="s">
        <v>4</v>
      </c>
      <c r="E1279" s="53" t="s">
        <v>6</v>
      </c>
      <c r="F1279" s="53" t="s">
        <v>11</v>
      </c>
      <c r="G1279" s="1029" t="s">
        <v>8</v>
      </c>
    </row>
    <row r="1280" spans="1:11" s="2" customFormat="1" ht="31.5" customHeight="1">
      <c r="A1280" s="1015" t="s">
        <v>1043</v>
      </c>
      <c r="B1280" s="1016"/>
      <c r="C1280" s="16" t="s">
        <v>235</v>
      </c>
      <c r="D1280" s="16">
        <v>12.5</v>
      </c>
      <c r="E1280" s="17">
        <f>'INSUMOS '!E48</f>
        <v>4150</v>
      </c>
      <c r="F1280" s="55">
        <f>E1280*D1280</f>
        <v>51875</v>
      </c>
      <c r="G1280" s="1031"/>
    </row>
    <row r="1281" spans="1:7" s="2" customFormat="1" ht="13.8">
      <c r="A1281" s="948" t="s">
        <v>115</v>
      </c>
      <c r="B1281" s="949"/>
      <c r="C1281" s="12" t="s">
        <v>3</v>
      </c>
      <c r="D1281" s="12">
        <v>0.03</v>
      </c>
      <c r="E1281" s="13">
        <f>'INSUMOS '!E28</f>
        <v>51900</v>
      </c>
      <c r="F1281" s="55">
        <f>E1281*D1281</f>
        <v>1557</v>
      </c>
      <c r="G1281" s="123"/>
    </row>
    <row r="1282" spans="1:7" s="2" customFormat="1" ht="13.8">
      <c r="A1282" s="948" t="s">
        <v>114</v>
      </c>
      <c r="B1282" s="949"/>
      <c r="C1282" s="68" t="s">
        <v>39</v>
      </c>
      <c r="D1282" s="76">
        <v>0.03</v>
      </c>
      <c r="E1282" s="69">
        <f>SUBANÁLISIS!G146</f>
        <v>702267.57499999995</v>
      </c>
      <c r="F1282" s="55">
        <f>E1282*D1282</f>
        <v>21068.027249999999</v>
      </c>
      <c r="G1282" s="57">
        <f>SUM(F1279:F1282)</f>
        <v>74500.027249999999</v>
      </c>
    </row>
    <row r="1283" spans="1:7" s="2" customFormat="1" ht="15.75" customHeight="1">
      <c r="A1283" s="1032" t="s">
        <v>15</v>
      </c>
      <c r="B1283" s="1033"/>
      <c r="C1283" s="1033"/>
      <c r="D1283" s="1033"/>
      <c r="E1283" s="1033"/>
      <c r="F1283" s="1033"/>
      <c r="G1283" s="1034"/>
    </row>
    <row r="1284" spans="1:7" s="2" customFormat="1" ht="15.75" customHeight="1">
      <c r="A1284" s="974" t="s">
        <v>2</v>
      </c>
      <c r="B1284" s="975"/>
      <c r="C1284" s="11" t="s">
        <v>3</v>
      </c>
      <c r="D1284" s="11" t="s">
        <v>4</v>
      </c>
      <c r="E1284" s="11" t="s">
        <v>6</v>
      </c>
      <c r="F1284" s="11" t="s">
        <v>11</v>
      </c>
      <c r="G1284" s="1029" t="s">
        <v>8</v>
      </c>
    </row>
    <row r="1285" spans="1:7" s="2" customFormat="1" ht="15.75" customHeight="1">
      <c r="A1285" s="1019" t="s">
        <v>17</v>
      </c>
      <c r="B1285" s="1020"/>
      <c r="C1285" s="16" t="s">
        <v>3</v>
      </c>
      <c r="D1285" s="54">
        <v>3.5000000000000003E-2</v>
      </c>
      <c r="E1285" s="17">
        <f>+G1282</f>
        <v>74500.027249999999</v>
      </c>
      <c r="F1285" s="55">
        <f>E1285*D1285</f>
        <v>2607.50095375</v>
      </c>
      <c r="G1285" s="1031"/>
    </row>
    <row r="1286" spans="1:7" s="2" customFormat="1" ht="15.75" customHeight="1">
      <c r="A1286" s="1019" t="s">
        <v>68</v>
      </c>
      <c r="B1286" s="1020"/>
      <c r="C1286" s="16" t="s">
        <v>3</v>
      </c>
      <c r="D1286" s="54">
        <v>3.5000000000000003E-2</v>
      </c>
      <c r="E1286" s="17">
        <f>G1277</f>
        <v>8319.42</v>
      </c>
      <c r="F1286" s="55">
        <f>E1286*D1286</f>
        <v>291.17970000000003</v>
      </c>
      <c r="G1286" s="57">
        <f>SUM(F1285:F1286)</f>
        <v>2898.6806537500001</v>
      </c>
    </row>
    <row r="1287" spans="1:7" s="2" customFormat="1" ht="15.75" customHeight="1">
      <c r="A1287" s="1032" t="s">
        <v>19</v>
      </c>
      <c r="B1287" s="1033"/>
      <c r="C1287" s="1033"/>
      <c r="D1287" s="1033"/>
      <c r="E1287" s="1033"/>
      <c r="F1287" s="1033"/>
      <c r="G1287" s="1034"/>
    </row>
    <row r="1288" spans="1:7" s="2" customFormat="1" ht="15.75" customHeight="1">
      <c r="A1288" s="974" t="s">
        <v>2</v>
      </c>
      <c r="B1288" s="975"/>
      <c r="C1288" s="11" t="s">
        <v>3</v>
      </c>
      <c r="D1288" s="11" t="s">
        <v>4</v>
      </c>
      <c r="E1288" s="11" t="s">
        <v>6</v>
      </c>
      <c r="F1288" s="11" t="s">
        <v>11</v>
      </c>
      <c r="G1288" s="18" t="s">
        <v>8</v>
      </c>
    </row>
    <row r="1289" spans="1:7" s="2" customFormat="1" ht="15" customHeight="1">
      <c r="A1289" s="978" t="str">
        <f>SALARIOS!$A$63</f>
        <v>CUADRILLA AA ALBAÑILERÍA 1:3</v>
      </c>
      <c r="B1289" s="979"/>
      <c r="C1289" s="13" t="s">
        <v>1245</v>
      </c>
      <c r="D1289" s="32">
        <v>1</v>
      </c>
      <c r="E1289" s="13">
        <f>SALARIOS!$C$63</f>
        <v>43271</v>
      </c>
      <c r="F1289" s="14">
        <f>+D1289*E1289</f>
        <v>43271</v>
      </c>
      <c r="G1289" s="15">
        <f>F1289</f>
        <v>43271</v>
      </c>
    </row>
    <row r="1290" spans="1:7" s="2" customFormat="1" ht="13.8">
      <c r="A1290" s="1037" t="s">
        <v>25</v>
      </c>
      <c r="B1290" s="1038"/>
      <c r="C1290" s="1038"/>
      <c r="D1290" s="1038"/>
      <c r="E1290" s="1038"/>
      <c r="F1290" s="1038"/>
      <c r="G1290" s="1039"/>
    </row>
    <row r="1291" spans="1:7" s="2" customFormat="1" ht="15.75" customHeight="1">
      <c r="A1291" s="1043"/>
      <c r="B1291" s="1044"/>
      <c r="C1291" s="1044"/>
      <c r="D1291" s="1044"/>
      <c r="E1291" s="1044"/>
      <c r="F1291" s="1045"/>
      <c r="G1291" s="62">
        <f>G1289+G1286+G1282+G1277</f>
        <v>128989.12790375001</v>
      </c>
    </row>
    <row r="1292" spans="1:7" s="2" customFormat="1" ht="15.75" customHeight="1">
      <c r="A1292" s="63"/>
      <c r="B1292" s="42"/>
      <c r="C1292" s="42"/>
      <c r="D1292" s="42"/>
      <c r="E1292" s="42"/>
      <c r="F1292" s="42"/>
      <c r="G1292" s="64"/>
    </row>
    <row r="1293" spans="1:7" s="2" customFormat="1" ht="15.75" customHeight="1">
      <c r="A1293" s="1046" t="s">
        <v>1</v>
      </c>
      <c r="B1293" s="1047"/>
      <c r="C1293" s="992" t="s">
        <v>0</v>
      </c>
      <c r="D1293" s="993"/>
      <c r="E1293" s="993"/>
      <c r="F1293" s="993"/>
      <c r="G1293" s="994"/>
    </row>
    <row r="1294" spans="1:7" s="2" customFormat="1" ht="42.75" customHeight="1">
      <c r="A1294" s="1048"/>
      <c r="B1294" s="1049"/>
      <c r="C1294" s="995"/>
      <c r="D1294" s="996"/>
      <c r="E1294" s="996"/>
      <c r="F1294" s="996"/>
      <c r="G1294" s="997"/>
    </row>
    <row r="1295" spans="1:7" s="2" customFormat="1" ht="15.75" customHeight="1">
      <c r="A1295" s="1048"/>
      <c r="B1295" s="1049"/>
      <c r="C1295" s="998"/>
      <c r="D1295" s="999"/>
      <c r="E1295" s="999"/>
      <c r="F1295" s="999"/>
      <c r="G1295" s="1000"/>
    </row>
    <row r="1296" spans="1:7" s="2" customFormat="1" ht="15.75" customHeight="1">
      <c r="A1296" s="1050"/>
      <c r="B1296" s="1051"/>
      <c r="C1296" s="1001" t="s">
        <v>2</v>
      </c>
      <c r="D1296" s="1002"/>
      <c r="E1296" s="1003"/>
      <c r="F1296" s="23" t="s">
        <v>3</v>
      </c>
      <c r="G1296" s="24" t="s">
        <v>4</v>
      </c>
    </row>
    <row r="1297" spans="1:7" s="2" customFormat="1" ht="208.5" customHeight="1">
      <c r="A1297" s="1021" t="s">
        <v>236</v>
      </c>
      <c r="B1297" s="1022"/>
      <c r="C1297" s="1023" t="s">
        <v>215</v>
      </c>
      <c r="D1297" s="1024"/>
      <c r="E1297" s="1016"/>
      <c r="F1297" s="51" t="s">
        <v>37</v>
      </c>
      <c r="G1297" s="52">
        <v>1.1499999999999999</v>
      </c>
    </row>
    <row r="1298" spans="1:7" s="2" customFormat="1" ht="15.75" customHeight="1">
      <c r="A1298" s="1006" t="s">
        <v>5</v>
      </c>
      <c r="B1298" s="1007"/>
      <c r="C1298" s="1007"/>
      <c r="D1298" s="1007"/>
      <c r="E1298" s="1007"/>
      <c r="F1298" s="1007"/>
      <c r="G1298" s="1008"/>
    </row>
    <row r="1299" spans="1:7" s="2" customFormat="1" ht="15.75" customHeight="1">
      <c r="A1299" s="974" t="s">
        <v>2</v>
      </c>
      <c r="B1299" s="975"/>
      <c r="C1299" s="11" t="s">
        <v>3</v>
      </c>
      <c r="D1299" s="11" t="s">
        <v>4</v>
      </c>
      <c r="E1299" s="11" t="s">
        <v>6</v>
      </c>
      <c r="F1299" s="11" t="s">
        <v>7</v>
      </c>
      <c r="G1299" s="967" t="s">
        <v>8</v>
      </c>
    </row>
    <row r="1300" spans="1:7" s="2" customFormat="1" ht="15.75" customHeight="1">
      <c r="A1300" s="948" t="s">
        <v>9</v>
      </c>
      <c r="B1300" s="949"/>
      <c r="C1300" s="12" t="s">
        <v>3</v>
      </c>
      <c r="D1300" s="9">
        <v>0.05</v>
      </c>
      <c r="E1300" s="13">
        <f>G1315</f>
        <v>43271</v>
      </c>
      <c r="F1300" s="14">
        <f>D1300*E1300</f>
        <v>2163.5500000000002</v>
      </c>
      <c r="G1300" s="968"/>
    </row>
    <row r="1301" spans="1:7" s="2" customFormat="1" ht="15.75" customHeight="1">
      <c r="A1301" s="983" t="s">
        <v>112</v>
      </c>
      <c r="B1301" s="984"/>
      <c r="C1301" s="12" t="s">
        <v>58</v>
      </c>
      <c r="D1301" s="9">
        <v>0.04</v>
      </c>
      <c r="E1301" s="13">
        <f>'MAQUINARIA Y EQUIPOS'!$F$23</f>
        <v>28203</v>
      </c>
      <c r="F1301" s="14">
        <f>D1301*E1301</f>
        <v>1128.1200000000001</v>
      </c>
      <c r="G1301" s="968"/>
    </row>
    <row r="1302" spans="1:7" s="2" customFormat="1" ht="15.75" customHeight="1">
      <c r="A1302" s="948" t="s">
        <v>113</v>
      </c>
      <c r="B1302" s="949"/>
      <c r="C1302" s="12" t="s">
        <v>58</v>
      </c>
      <c r="D1302" s="9">
        <v>0.3</v>
      </c>
      <c r="E1302" s="13">
        <f>'MAQUINARIA Y EQUIPOS'!$F$10</f>
        <v>3272.5</v>
      </c>
      <c r="F1302" s="14">
        <f>D1302*E1302</f>
        <v>981.75</v>
      </c>
      <c r="G1302" s="969"/>
    </row>
    <row r="1303" spans="1:7" s="2" customFormat="1" ht="14.25" customHeight="1">
      <c r="A1303" s="948" t="s">
        <v>61</v>
      </c>
      <c r="B1303" s="949"/>
      <c r="C1303" s="12" t="s">
        <v>58</v>
      </c>
      <c r="D1303" s="9">
        <v>0.1</v>
      </c>
      <c r="E1303" s="13">
        <f>'MAQUINARIA Y EQUIPOS'!$F$18</f>
        <v>40460</v>
      </c>
      <c r="F1303" s="14">
        <f>D1303*E1303</f>
        <v>4046</v>
      </c>
      <c r="G1303" s="15">
        <f>SUM(F1299:F1303)</f>
        <v>8319.42</v>
      </c>
    </row>
    <row r="1304" spans="1:7" s="2" customFormat="1" ht="15.75" customHeight="1">
      <c r="A1304" s="1006" t="s">
        <v>10</v>
      </c>
      <c r="B1304" s="1007"/>
      <c r="C1304" s="1007"/>
      <c r="D1304" s="1007"/>
      <c r="E1304" s="1007"/>
      <c r="F1304" s="1007"/>
      <c r="G1304" s="1008"/>
    </row>
    <row r="1305" spans="1:7" s="2" customFormat="1" ht="15.75" customHeight="1">
      <c r="A1305" s="974" t="s">
        <v>2</v>
      </c>
      <c r="B1305" s="975"/>
      <c r="C1305" s="11" t="s">
        <v>3</v>
      </c>
      <c r="D1305" s="11" t="s">
        <v>4</v>
      </c>
      <c r="E1305" s="11" t="s">
        <v>6</v>
      </c>
      <c r="F1305" s="11" t="s">
        <v>11</v>
      </c>
      <c r="G1305" s="967" t="s">
        <v>8</v>
      </c>
    </row>
    <row r="1306" spans="1:7" s="2" customFormat="1" ht="15.75" customHeight="1">
      <c r="A1306" s="948" t="s">
        <v>115</v>
      </c>
      <c r="B1306" s="949"/>
      <c r="C1306" s="12" t="s">
        <v>3</v>
      </c>
      <c r="D1306" s="12">
        <v>0.03</v>
      </c>
      <c r="E1306" s="13">
        <f>'INSUMOS '!$E$28</f>
        <v>51900</v>
      </c>
      <c r="F1306" s="14">
        <f>D1306*E1306</f>
        <v>1557</v>
      </c>
      <c r="G1306" s="968"/>
    </row>
    <row r="1307" spans="1:7" s="2" customFormat="1" ht="15.75" customHeight="1">
      <c r="A1307" s="948" t="s">
        <v>114</v>
      </c>
      <c r="B1307" s="949"/>
      <c r="C1307" s="12" t="s">
        <v>39</v>
      </c>
      <c r="D1307" s="12">
        <v>0.03</v>
      </c>
      <c r="E1307" s="13">
        <f>SUBANÁLISIS!$G$89</f>
        <v>431833.82500000001</v>
      </c>
      <c r="F1307" s="14">
        <f>D1307*E1307</f>
        <v>12955.01475</v>
      </c>
      <c r="G1307" s="969"/>
    </row>
    <row r="1308" spans="1:7" s="2" customFormat="1" ht="15.75" customHeight="1">
      <c r="A1308" s="948" t="s">
        <v>145</v>
      </c>
      <c r="B1308" s="949"/>
      <c r="C1308" s="12" t="s">
        <v>3</v>
      </c>
      <c r="D1308" s="33">
        <v>12.5</v>
      </c>
      <c r="E1308" s="13">
        <f>'INSUMOS '!$E$49</f>
        <v>4150</v>
      </c>
      <c r="F1308" s="14">
        <f>E1308*D1308</f>
        <v>51875</v>
      </c>
      <c r="G1308" s="15">
        <f>SUM(F1305:F1308)</f>
        <v>66387.014750000002</v>
      </c>
    </row>
    <row r="1309" spans="1:7" s="2" customFormat="1" ht="15.75" customHeight="1">
      <c r="A1309" s="1006" t="s">
        <v>15</v>
      </c>
      <c r="B1309" s="1007"/>
      <c r="C1309" s="1007"/>
      <c r="D1309" s="1007"/>
      <c r="E1309" s="1007"/>
      <c r="F1309" s="1007"/>
      <c r="G1309" s="1008"/>
    </row>
    <row r="1310" spans="1:7" s="2" customFormat="1" ht="15.75" customHeight="1">
      <c r="A1310" s="974" t="s">
        <v>2</v>
      </c>
      <c r="B1310" s="975"/>
      <c r="C1310" s="11" t="s">
        <v>3</v>
      </c>
      <c r="D1310" s="11" t="s">
        <v>4</v>
      </c>
      <c r="E1310" s="11" t="s">
        <v>6</v>
      </c>
      <c r="F1310" s="11" t="s">
        <v>11</v>
      </c>
      <c r="G1310" s="967" t="s">
        <v>8</v>
      </c>
    </row>
    <row r="1311" spans="1:7" s="2" customFormat="1" ht="15.75" customHeight="1">
      <c r="A1311" s="1019" t="s">
        <v>68</v>
      </c>
      <c r="B1311" s="1020"/>
      <c r="C1311" s="16" t="s">
        <v>3</v>
      </c>
      <c r="D1311" s="54">
        <v>3.5000000000000003E-2</v>
      </c>
      <c r="E1311" s="17">
        <f>G1303</f>
        <v>8319.42</v>
      </c>
      <c r="F1311" s="14">
        <f>E1311*D1311</f>
        <v>291.17970000000003</v>
      </c>
      <c r="G1311" s="969"/>
    </row>
    <row r="1312" spans="1:7" s="2" customFormat="1" ht="13.8">
      <c r="A1312" s="983" t="s">
        <v>17</v>
      </c>
      <c r="B1312" s="984"/>
      <c r="C1312" s="16" t="s">
        <v>18</v>
      </c>
      <c r="D1312" s="54">
        <v>3.5000000000000003E-2</v>
      </c>
      <c r="E1312" s="17">
        <f>+G1308</f>
        <v>66387.014750000002</v>
      </c>
      <c r="F1312" s="14">
        <f>E1312*D1312</f>
        <v>2323.5455162500002</v>
      </c>
      <c r="G1312" s="15">
        <f>SUM(F1311:F1312)</f>
        <v>2614.7252162500004</v>
      </c>
    </row>
    <row r="1313" spans="1:15" s="2" customFormat="1" ht="13.8">
      <c r="A1313" s="1006" t="s">
        <v>19</v>
      </c>
      <c r="B1313" s="1007"/>
      <c r="C1313" s="1007"/>
      <c r="D1313" s="1007"/>
      <c r="E1313" s="1007"/>
      <c r="F1313" s="1007"/>
      <c r="G1313" s="1008"/>
    </row>
    <row r="1314" spans="1:15" s="2" customFormat="1" ht="15.75" customHeight="1">
      <c r="A1314" s="974" t="s">
        <v>2</v>
      </c>
      <c r="B1314" s="975"/>
      <c r="C1314" s="11" t="s">
        <v>3</v>
      </c>
      <c r="D1314" s="11" t="s">
        <v>4</v>
      </c>
      <c r="E1314" s="11" t="s">
        <v>6</v>
      </c>
      <c r="F1314" s="11" t="s">
        <v>11</v>
      </c>
      <c r="G1314" s="18" t="s">
        <v>8</v>
      </c>
    </row>
    <row r="1315" spans="1:15" s="2" customFormat="1" ht="15" customHeight="1">
      <c r="A1315" s="978">
        <f>SALARIOS!A1097</f>
        <v>0</v>
      </c>
      <c r="B1315" s="979"/>
      <c r="C1315" s="13" t="s">
        <v>1245</v>
      </c>
      <c r="D1315" s="12">
        <v>1</v>
      </c>
      <c r="E1315" s="17">
        <f>SALARIOS!$C$63</f>
        <v>43271</v>
      </c>
      <c r="F1315" s="14">
        <f>+D1315*E1315</f>
        <v>43271</v>
      </c>
      <c r="G1315" s="15">
        <f>F1315</f>
        <v>43271</v>
      </c>
    </row>
    <row r="1316" spans="1:15" s="2" customFormat="1" ht="13.8">
      <c r="A1316" s="1009" t="s">
        <v>25</v>
      </c>
      <c r="B1316" s="1010"/>
      <c r="C1316" s="1010"/>
      <c r="D1316" s="1010"/>
      <c r="E1316" s="1010"/>
      <c r="F1316" s="1010"/>
      <c r="G1316" s="1011"/>
    </row>
    <row r="1317" spans="1:15" s="2" customFormat="1" ht="15.75" customHeight="1">
      <c r="A1317" s="1012"/>
      <c r="B1317" s="1013"/>
      <c r="C1317" s="1013"/>
      <c r="D1317" s="1013"/>
      <c r="E1317" s="1013"/>
      <c r="F1317" s="1014"/>
      <c r="G1317" s="20">
        <f>G1315+G1312+G1308+G1303</f>
        <v>120592.15996624999</v>
      </c>
    </row>
    <row r="1318" spans="1:15" s="2" customFormat="1" ht="15.75" customHeight="1">
      <c r="A1318" s="63"/>
      <c r="B1318" s="42"/>
      <c r="C1318" s="42"/>
      <c r="D1318" s="42"/>
      <c r="E1318" s="42"/>
      <c r="F1318" s="42"/>
      <c r="G1318" s="64"/>
      <c r="H1318" s="77"/>
      <c r="I1318" s="77"/>
      <c r="J1318" s="77"/>
      <c r="K1318" s="77"/>
      <c r="L1318" s="77"/>
      <c r="M1318" s="77"/>
      <c r="N1318" s="77"/>
    </row>
    <row r="1319" spans="1:15" s="2" customFormat="1" ht="15.75" customHeight="1">
      <c r="A1319" s="986" t="s">
        <v>1</v>
      </c>
      <c r="B1319" s="987"/>
      <c r="C1319" s="992" t="s">
        <v>0</v>
      </c>
      <c r="D1319" s="993"/>
      <c r="E1319" s="993"/>
      <c r="F1319" s="993"/>
      <c r="G1319" s="994"/>
      <c r="H1319" s="78"/>
      <c r="I1319" s="79"/>
      <c r="J1319" s="80"/>
      <c r="K1319" s="80"/>
      <c r="L1319" s="80"/>
      <c r="M1319" s="80"/>
      <c r="N1319" s="80"/>
      <c r="O1319" s="1"/>
    </row>
    <row r="1320" spans="1:15" s="2" customFormat="1" ht="77.25" customHeight="1">
      <c r="A1320" s="988"/>
      <c r="B1320" s="989"/>
      <c r="C1320" s="995"/>
      <c r="D1320" s="996"/>
      <c r="E1320" s="996"/>
      <c r="F1320" s="996"/>
      <c r="G1320" s="997"/>
      <c r="H1320" s="79"/>
      <c r="I1320" s="79"/>
      <c r="J1320" s="80"/>
      <c r="K1320" s="80"/>
      <c r="L1320" s="80"/>
      <c r="M1320" s="80"/>
      <c r="N1320" s="80"/>
      <c r="O1320" s="1"/>
    </row>
    <row r="1321" spans="1:15" s="2" customFormat="1" ht="15.75" customHeight="1">
      <c r="A1321" s="988"/>
      <c r="B1321" s="989"/>
      <c r="C1321" s="998"/>
      <c r="D1321" s="999"/>
      <c r="E1321" s="999"/>
      <c r="F1321" s="999"/>
      <c r="G1321" s="1000"/>
      <c r="H1321" s="79"/>
      <c r="I1321" s="79"/>
      <c r="J1321" s="81"/>
      <c r="K1321" s="79"/>
      <c r="L1321" s="79"/>
      <c r="M1321" s="79"/>
      <c r="N1321" s="79"/>
      <c r="O1321" s="1"/>
    </row>
    <row r="1322" spans="1:15" s="2" customFormat="1" ht="15.75" customHeight="1">
      <c r="A1322" s="990"/>
      <c r="B1322" s="991"/>
      <c r="C1322" s="1001" t="s">
        <v>2</v>
      </c>
      <c r="D1322" s="1002"/>
      <c r="E1322" s="1003"/>
      <c r="F1322" s="23" t="s">
        <v>3</v>
      </c>
      <c r="G1322" s="24" t="s">
        <v>4</v>
      </c>
      <c r="H1322" s="79"/>
      <c r="I1322" s="79"/>
      <c r="J1322" s="82"/>
      <c r="K1322" s="79"/>
      <c r="L1322" s="79"/>
      <c r="M1322" s="83"/>
      <c r="N1322" s="83"/>
      <c r="O1322" s="1"/>
    </row>
    <row r="1323" spans="1:15" s="2" customFormat="1" ht="72" customHeight="1">
      <c r="A1323" s="1021" t="s">
        <v>237</v>
      </c>
      <c r="B1323" s="1022"/>
      <c r="C1323" s="1023" t="s">
        <v>166</v>
      </c>
      <c r="D1323" s="1024"/>
      <c r="E1323" s="1016"/>
      <c r="F1323" s="51" t="s">
        <v>100</v>
      </c>
      <c r="G1323" s="52">
        <v>79.78</v>
      </c>
      <c r="H1323" s="84"/>
      <c r="I1323" s="85"/>
      <c r="J1323" s="86"/>
      <c r="K1323" s="85"/>
      <c r="L1323" s="85"/>
      <c r="M1323" s="87"/>
      <c r="N1323" s="88"/>
      <c r="O1323" s="1"/>
    </row>
    <row r="1324" spans="1:15" s="2" customFormat="1" ht="15.75" customHeight="1">
      <c r="A1324" s="1032" t="s">
        <v>5</v>
      </c>
      <c r="B1324" s="1033"/>
      <c r="C1324" s="1033"/>
      <c r="D1324" s="1033"/>
      <c r="E1324" s="1033"/>
      <c r="F1324" s="1033"/>
      <c r="G1324" s="1034"/>
      <c r="H1324" s="82"/>
      <c r="I1324" s="85"/>
      <c r="J1324" s="85"/>
      <c r="K1324" s="85"/>
      <c r="L1324" s="85"/>
      <c r="M1324" s="85"/>
      <c r="N1324" s="85"/>
      <c r="O1324" s="1"/>
    </row>
    <row r="1325" spans="1:15" s="2" customFormat="1" ht="15.75" customHeight="1">
      <c r="A1325" s="1027" t="s">
        <v>2</v>
      </c>
      <c r="B1325" s="1028"/>
      <c r="C1325" s="53" t="s">
        <v>3</v>
      </c>
      <c r="D1325" s="53" t="s">
        <v>4</v>
      </c>
      <c r="E1325" s="53" t="s">
        <v>6</v>
      </c>
      <c r="F1325" s="53" t="s">
        <v>7</v>
      </c>
      <c r="G1325" s="1029" t="s">
        <v>8</v>
      </c>
      <c r="H1325" s="89"/>
      <c r="I1325" s="85"/>
      <c r="J1325" s="90"/>
      <c r="K1325" s="90"/>
      <c r="L1325" s="90"/>
      <c r="M1325" s="90"/>
      <c r="N1325" s="89"/>
      <c r="O1325" s="1"/>
    </row>
    <row r="1326" spans="1:15" s="2" customFormat="1" ht="13.8">
      <c r="A1326" s="1019" t="s">
        <v>89</v>
      </c>
      <c r="B1326" s="1020"/>
      <c r="C1326" s="12" t="s">
        <v>3</v>
      </c>
      <c r="D1326" s="9">
        <v>0.05</v>
      </c>
      <c r="E1326" s="13">
        <f>G1341</f>
        <v>12427.5</v>
      </c>
      <c r="F1326" s="55">
        <f>D1326*E1326</f>
        <v>621.375</v>
      </c>
      <c r="G1326" s="1031"/>
      <c r="H1326" s="86"/>
      <c r="I1326" s="86"/>
      <c r="J1326" s="87"/>
      <c r="K1326" s="91"/>
      <c r="L1326" s="92"/>
      <c r="M1326" s="93"/>
      <c r="N1326" s="85"/>
      <c r="O1326" s="1"/>
    </row>
    <row r="1327" spans="1:15" s="2" customFormat="1" ht="14.25" customHeight="1">
      <c r="A1327" s="1019" t="s">
        <v>238</v>
      </c>
      <c r="B1327" s="1020"/>
      <c r="C1327" s="12" t="s">
        <v>60</v>
      </c>
      <c r="D1327" s="9">
        <v>0.33300000000000002</v>
      </c>
      <c r="E1327" s="13">
        <f>'MAQUINARIA Y EQUIPOS'!$F$36</f>
        <v>37900</v>
      </c>
      <c r="F1327" s="55">
        <f>D1327*E1327</f>
        <v>12620.7</v>
      </c>
      <c r="G1327" s="94"/>
      <c r="H1327" s="95"/>
      <c r="I1327" s="95"/>
      <c r="J1327" s="87"/>
      <c r="K1327" s="91"/>
      <c r="L1327" s="92"/>
      <c r="M1327" s="93"/>
      <c r="N1327" s="85"/>
      <c r="O1327" s="1"/>
    </row>
    <row r="1328" spans="1:15" s="2" customFormat="1" ht="14.25" customHeight="1">
      <c r="A1328" s="1035"/>
      <c r="B1328" s="1036"/>
      <c r="C1328" s="56"/>
      <c r="D1328" s="56"/>
      <c r="E1328" s="56"/>
      <c r="F1328" s="55"/>
      <c r="G1328" s="57">
        <f>SUM(F1325:F1328)</f>
        <v>13242.075000000001</v>
      </c>
      <c r="H1328" s="86"/>
      <c r="I1328" s="85"/>
      <c r="J1328" s="87"/>
      <c r="K1328" s="91"/>
      <c r="L1328" s="92"/>
      <c r="M1328" s="93"/>
      <c r="N1328" s="85"/>
      <c r="O1328" s="1"/>
    </row>
    <row r="1329" spans="1:15" s="2" customFormat="1" ht="14.25" customHeight="1">
      <c r="A1329" s="1032" t="s">
        <v>10</v>
      </c>
      <c r="B1329" s="1033"/>
      <c r="C1329" s="1033"/>
      <c r="D1329" s="1033"/>
      <c r="E1329" s="1033"/>
      <c r="F1329" s="1033"/>
      <c r="G1329" s="1034"/>
      <c r="H1329" s="86"/>
      <c r="I1329" s="85"/>
      <c r="J1329" s="87"/>
      <c r="K1329" s="91"/>
      <c r="L1329" s="92"/>
      <c r="M1329" s="93"/>
      <c r="N1329" s="85"/>
      <c r="O1329" s="1"/>
    </row>
    <row r="1330" spans="1:15" s="2" customFormat="1" ht="13.8">
      <c r="A1330" s="1027" t="s">
        <v>2</v>
      </c>
      <c r="B1330" s="1028"/>
      <c r="C1330" s="53" t="s">
        <v>3</v>
      </c>
      <c r="D1330" s="53" t="s">
        <v>4</v>
      </c>
      <c r="E1330" s="53" t="s">
        <v>6</v>
      </c>
      <c r="F1330" s="53" t="s">
        <v>11</v>
      </c>
      <c r="G1330" s="1029" t="s">
        <v>8</v>
      </c>
      <c r="H1330" s="86"/>
      <c r="I1330" s="85"/>
      <c r="J1330" s="87"/>
      <c r="K1330" s="87"/>
      <c r="L1330" s="87"/>
      <c r="M1330" s="93"/>
      <c r="N1330" s="85"/>
      <c r="O1330" s="1"/>
    </row>
    <row r="1331" spans="1:15" s="2" customFormat="1" ht="13.8">
      <c r="A1331" s="1019" t="s">
        <v>239</v>
      </c>
      <c r="B1331" s="1020"/>
      <c r="C1331" s="12" t="s">
        <v>45</v>
      </c>
      <c r="D1331" s="9">
        <v>1</v>
      </c>
      <c r="E1331" s="13">
        <f>'INSUMOS '!$E$52</f>
        <v>13500</v>
      </c>
      <c r="F1331" s="55">
        <f>D1331*E1331</f>
        <v>13500</v>
      </c>
      <c r="G1331" s="1030"/>
      <c r="H1331" s="96"/>
      <c r="I1331" s="85"/>
      <c r="J1331" s="97"/>
      <c r="K1331" s="97"/>
      <c r="L1331" s="97"/>
      <c r="M1331" s="93"/>
      <c r="N1331" s="98"/>
      <c r="O1331" s="1"/>
    </row>
    <row r="1332" spans="1:15" s="2" customFormat="1" ht="14.25" customHeight="1">
      <c r="A1332" s="1019" t="s">
        <v>169</v>
      </c>
      <c r="B1332" s="1020"/>
      <c r="C1332" s="12" t="s">
        <v>39</v>
      </c>
      <c r="D1332" s="9">
        <v>5.0000000000000001E-3</v>
      </c>
      <c r="E1332" s="13">
        <f>SUBANÁLISIS!$G$117</f>
        <v>495483.82500000001</v>
      </c>
      <c r="F1332" s="55">
        <f>D1332*E1332</f>
        <v>2477.4191249999999</v>
      </c>
      <c r="G1332" s="1030"/>
      <c r="H1332" s="99"/>
      <c r="I1332" s="85"/>
      <c r="J1332" s="97"/>
      <c r="K1332" s="97"/>
      <c r="L1332" s="97"/>
      <c r="M1332" s="93"/>
      <c r="N1332" s="98"/>
      <c r="O1332" s="1"/>
    </row>
    <row r="1333" spans="1:15" s="2" customFormat="1" ht="13.8">
      <c r="A1333" s="1019" t="s">
        <v>240</v>
      </c>
      <c r="B1333" s="1020"/>
      <c r="C1333" s="12" t="s">
        <v>3</v>
      </c>
      <c r="D1333" s="12">
        <v>4.7619047619047616E-2</v>
      </c>
      <c r="E1333" s="13">
        <f>'INSUMOS '!$E$53</f>
        <v>82700</v>
      </c>
      <c r="F1333" s="55">
        <f>E1333*D1333</f>
        <v>3938.0952380952381</v>
      </c>
      <c r="G1333" s="1030"/>
      <c r="H1333" s="82"/>
      <c r="I1333" s="85"/>
      <c r="J1333" s="85"/>
      <c r="K1333" s="85"/>
      <c r="L1333" s="85"/>
      <c r="M1333" s="85"/>
      <c r="N1333" s="85"/>
      <c r="O1333" s="1"/>
    </row>
    <row r="1334" spans="1:15" s="2" customFormat="1" ht="13.8">
      <c r="A1334" s="1019" t="s">
        <v>126</v>
      </c>
      <c r="B1334" s="1020"/>
      <c r="C1334" s="12" t="s">
        <v>34</v>
      </c>
      <c r="D1334" s="9">
        <v>0.05</v>
      </c>
      <c r="E1334" s="13">
        <f>'INSUMOS '!$E$40</f>
        <v>18900</v>
      </c>
      <c r="F1334" s="55">
        <f>E1334*D1334</f>
        <v>945</v>
      </c>
      <c r="G1334" s="1031"/>
      <c r="H1334" s="89"/>
      <c r="I1334" s="85"/>
      <c r="J1334" s="90"/>
      <c r="K1334" s="90"/>
      <c r="L1334" s="90"/>
      <c r="M1334" s="90"/>
      <c r="N1334" s="89"/>
      <c r="O1334" s="1"/>
    </row>
    <row r="1335" spans="1:15" s="2" customFormat="1" ht="14.25" customHeight="1">
      <c r="A1335" s="1015"/>
      <c r="B1335" s="1016"/>
      <c r="C1335" s="16"/>
      <c r="D1335" s="58"/>
      <c r="E1335" s="17"/>
      <c r="F1335" s="55"/>
      <c r="G1335" s="57">
        <f>SUM(F1330:F1335)</f>
        <v>20860.514363095237</v>
      </c>
      <c r="H1335" s="86"/>
      <c r="I1335" s="85"/>
      <c r="J1335" s="88"/>
      <c r="K1335" s="91"/>
      <c r="L1335" s="92"/>
      <c r="M1335" s="93"/>
      <c r="N1335" s="85"/>
      <c r="O1335" s="1"/>
    </row>
    <row r="1336" spans="1:15" s="2" customFormat="1" ht="15.75" customHeight="1">
      <c r="A1336" s="1032" t="s">
        <v>15</v>
      </c>
      <c r="B1336" s="1033"/>
      <c r="C1336" s="1033"/>
      <c r="D1336" s="1033"/>
      <c r="E1336" s="1033"/>
      <c r="F1336" s="1033"/>
      <c r="G1336" s="1034"/>
      <c r="H1336" s="86"/>
      <c r="I1336" s="85"/>
      <c r="J1336" s="88"/>
      <c r="K1336" s="91"/>
      <c r="L1336" s="92"/>
      <c r="M1336" s="93"/>
      <c r="N1336" s="85"/>
      <c r="O1336" s="1"/>
    </row>
    <row r="1337" spans="1:15" s="2" customFormat="1" ht="15.75" customHeight="1">
      <c r="A1337" s="974" t="s">
        <v>2</v>
      </c>
      <c r="B1337" s="975"/>
      <c r="C1337" s="11" t="s">
        <v>3</v>
      </c>
      <c r="D1337" s="11" t="s">
        <v>4</v>
      </c>
      <c r="E1337" s="11" t="s">
        <v>6</v>
      </c>
      <c r="F1337" s="11" t="s">
        <v>11</v>
      </c>
      <c r="G1337" s="61" t="s">
        <v>8</v>
      </c>
    </row>
    <row r="1338" spans="1:15" s="2" customFormat="1" ht="15.75" customHeight="1">
      <c r="A1338" s="1019" t="s">
        <v>17</v>
      </c>
      <c r="B1338" s="1020"/>
      <c r="C1338" s="16" t="s">
        <v>3</v>
      </c>
      <c r="D1338" s="54">
        <v>3.5000000000000003E-2</v>
      </c>
      <c r="E1338" s="17">
        <f>+G1335</f>
        <v>20860.514363095237</v>
      </c>
      <c r="F1338" s="55">
        <f>E1338*D1338</f>
        <v>730.11800270833339</v>
      </c>
      <c r="G1338" s="57">
        <f>SUM(F1338:F1338)</f>
        <v>730.11800270833339</v>
      </c>
      <c r="H1338" s="86"/>
      <c r="I1338" s="85"/>
      <c r="J1338" s="88"/>
      <c r="K1338" s="88"/>
      <c r="L1338" s="92"/>
      <c r="M1338" s="93"/>
      <c r="N1338" s="85"/>
      <c r="O1338" s="1"/>
    </row>
    <row r="1339" spans="1:15" s="2" customFormat="1" ht="15.75" customHeight="1">
      <c r="A1339" s="1032" t="s">
        <v>19</v>
      </c>
      <c r="B1339" s="1033"/>
      <c r="C1339" s="1033"/>
      <c r="D1339" s="1033"/>
      <c r="E1339" s="1033"/>
      <c r="F1339" s="1033"/>
      <c r="G1339" s="1034"/>
      <c r="H1339" s="86"/>
      <c r="I1339" s="85"/>
      <c r="J1339" s="88"/>
      <c r="K1339" s="100"/>
      <c r="L1339" s="92"/>
      <c r="M1339" s="93"/>
      <c r="N1339" s="90"/>
      <c r="O1339" s="1"/>
    </row>
    <row r="1340" spans="1:15" s="2" customFormat="1" ht="15.75" customHeight="1">
      <c r="A1340" s="974" t="s">
        <v>2</v>
      </c>
      <c r="B1340" s="975"/>
      <c r="C1340" s="11" t="s">
        <v>3</v>
      </c>
      <c r="D1340" s="11" t="s">
        <v>4</v>
      </c>
      <c r="E1340" s="11" t="s">
        <v>6</v>
      </c>
      <c r="F1340" s="11" t="s">
        <v>11</v>
      </c>
      <c r="G1340" s="18" t="s">
        <v>8</v>
      </c>
    </row>
    <row r="1341" spans="1:15" s="2" customFormat="1" ht="15" customHeight="1">
      <c r="A1341" s="978" t="str">
        <f>SALARIOS!$A$61</f>
        <v>CUADRILLA AA ALBAÑILERÍA 1:1</v>
      </c>
      <c r="B1341" s="979"/>
      <c r="C1341" s="13" t="s">
        <v>1245</v>
      </c>
      <c r="D1341" s="32">
        <v>0.5</v>
      </c>
      <c r="E1341" s="13">
        <f>SALARIOS!$C$61</f>
        <v>24855</v>
      </c>
      <c r="F1341" s="14">
        <f>+D1341*E1341</f>
        <v>12427.5</v>
      </c>
      <c r="G1341" s="15">
        <f>F1341</f>
        <v>12427.5</v>
      </c>
    </row>
    <row r="1342" spans="1:15" s="2" customFormat="1" ht="15.75" customHeight="1">
      <c r="A1342" s="1037" t="s">
        <v>25</v>
      </c>
      <c r="B1342" s="1038"/>
      <c r="C1342" s="1038"/>
      <c r="D1342" s="1038"/>
      <c r="E1342" s="1038"/>
      <c r="F1342" s="1038"/>
      <c r="G1342" s="1039"/>
      <c r="H1342" s="89"/>
      <c r="I1342" s="85"/>
      <c r="J1342" s="90"/>
      <c r="K1342" s="90"/>
      <c r="L1342" s="90"/>
      <c r="M1342" s="90"/>
      <c r="N1342" s="89"/>
      <c r="O1342" s="1"/>
    </row>
    <row r="1343" spans="1:15" s="2" customFormat="1" ht="15.75" customHeight="1">
      <c r="A1343" s="1043"/>
      <c r="B1343" s="1044"/>
      <c r="C1343" s="1044"/>
      <c r="D1343" s="1044"/>
      <c r="E1343" s="1044"/>
      <c r="F1343" s="1045"/>
      <c r="G1343" s="62">
        <f>G1341+G1338+G1335+G1328</f>
        <v>47260.207365803566</v>
      </c>
      <c r="H1343" s="97"/>
      <c r="I1343" s="85"/>
      <c r="J1343" s="88"/>
      <c r="K1343" s="88"/>
      <c r="L1343" s="92"/>
      <c r="M1343" s="93"/>
      <c r="N1343" s="85"/>
      <c r="O1343" s="1"/>
    </row>
    <row r="1344" spans="1:15" s="2" customFormat="1" ht="15.75" customHeight="1">
      <c r="A1344" s="63"/>
      <c r="B1344" s="42"/>
      <c r="C1344" s="42"/>
      <c r="D1344" s="42"/>
      <c r="E1344" s="42"/>
      <c r="F1344" s="42"/>
      <c r="G1344" s="64"/>
      <c r="H1344" s="99"/>
      <c r="I1344" s="101"/>
      <c r="J1344" s="101"/>
      <c r="K1344" s="101"/>
      <c r="L1344" s="101"/>
      <c r="M1344" s="101"/>
      <c r="N1344" s="98"/>
      <c r="O1344" s="1"/>
    </row>
    <row r="1345" spans="1:15" s="2" customFormat="1" ht="15.75" customHeight="1">
      <c r="A1345" s="986" t="s">
        <v>1</v>
      </c>
      <c r="B1345" s="987"/>
      <c r="C1345" s="992" t="s">
        <v>0</v>
      </c>
      <c r="D1345" s="993"/>
      <c r="E1345" s="993"/>
      <c r="F1345" s="993"/>
      <c r="G1345" s="994"/>
      <c r="H1345" s="82"/>
      <c r="I1345" s="85"/>
      <c r="J1345" s="85"/>
      <c r="K1345" s="85"/>
      <c r="L1345" s="85"/>
      <c r="M1345" s="85"/>
      <c r="N1345" s="85"/>
      <c r="O1345" s="1"/>
    </row>
    <row r="1346" spans="1:15" s="2" customFormat="1" ht="65.25" customHeight="1">
      <c r="A1346" s="988"/>
      <c r="B1346" s="989"/>
      <c r="C1346" s="995"/>
      <c r="D1346" s="996"/>
      <c r="E1346" s="996"/>
      <c r="F1346" s="996"/>
      <c r="G1346" s="997"/>
      <c r="H1346" s="90"/>
      <c r="I1346" s="90"/>
      <c r="J1346" s="90"/>
      <c r="K1346" s="90"/>
      <c r="L1346" s="90"/>
      <c r="M1346" s="90"/>
      <c r="N1346" s="90"/>
      <c r="O1346" s="1"/>
    </row>
    <row r="1347" spans="1:15" s="2" customFormat="1" ht="15.75" customHeight="1">
      <c r="A1347" s="988"/>
      <c r="B1347" s="989"/>
      <c r="C1347" s="998"/>
      <c r="D1347" s="999"/>
      <c r="E1347" s="999"/>
      <c r="F1347" s="999"/>
      <c r="G1347" s="1000"/>
      <c r="H1347" s="102"/>
      <c r="I1347" s="103"/>
      <c r="J1347" s="103"/>
      <c r="K1347" s="103"/>
      <c r="L1347" s="88"/>
      <c r="M1347" s="93"/>
      <c r="N1347" s="98"/>
      <c r="O1347" s="1"/>
    </row>
    <row r="1348" spans="1:15" s="2" customFormat="1" ht="15.75" customHeight="1">
      <c r="A1348" s="990"/>
      <c r="B1348" s="991"/>
      <c r="C1348" s="1001" t="s">
        <v>2</v>
      </c>
      <c r="D1348" s="1002"/>
      <c r="E1348" s="1003"/>
      <c r="F1348" s="23" t="s">
        <v>3</v>
      </c>
      <c r="G1348" s="24" t="s">
        <v>4</v>
      </c>
      <c r="H1348" s="104"/>
      <c r="I1348" s="85"/>
      <c r="J1348" s="85"/>
      <c r="K1348" s="85"/>
      <c r="L1348" s="85"/>
      <c r="M1348" s="85"/>
      <c r="N1348" s="85"/>
      <c r="O1348" s="1"/>
    </row>
    <row r="1349" spans="1:15" s="2" customFormat="1" ht="135" customHeight="1">
      <c r="A1349" s="1021" t="s">
        <v>241</v>
      </c>
      <c r="B1349" s="1022"/>
      <c r="C1349" s="1023" t="s">
        <v>175</v>
      </c>
      <c r="D1349" s="1024"/>
      <c r="E1349" s="1016"/>
      <c r="F1349" s="51" t="s">
        <v>100</v>
      </c>
      <c r="G1349" s="52">
        <v>118.68000000000002</v>
      </c>
      <c r="H1349" s="105"/>
      <c r="I1349" s="85"/>
      <c r="J1349" s="85"/>
      <c r="K1349" s="85"/>
      <c r="L1349" s="85"/>
      <c r="M1349" s="85"/>
      <c r="N1349" s="106"/>
      <c r="O1349" s="1"/>
    </row>
    <row r="1350" spans="1:15" s="2" customFormat="1" ht="15.75" customHeight="1">
      <c r="A1350" s="1006" t="s">
        <v>5</v>
      </c>
      <c r="B1350" s="1007"/>
      <c r="C1350" s="1007"/>
      <c r="D1350" s="1007"/>
      <c r="E1350" s="1007"/>
      <c r="F1350" s="1007"/>
      <c r="G1350" s="1008"/>
      <c r="H1350" s="107"/>
      <c r="I1350" s="107"/>
      <c r="J1350" s="107"/>
      <c r="K1350" s="107"/>
      <c r="L1350" s="107"/>
      <c r="M1350" s="107"/>
      <c r="N1350" s="107"/>
    </row>
    <row r="1351" spans="1:15" s="2" customFormat="1" ht="13.8">
      <c r="A1351" s="974" t="s">
        <v>2</v>
      </c>
      <c r="B1351" s="975"/>
      <c r="C1351" s="11" t="s">
        <v>3</v>
      </c>
      <c r="D1351" s="11" t="s">
        <v>4</v>
      </c>
      <c r="E1351" s="11" t="s">
        <v>6</v>
      </c>
      <c r="F1351" s="11" t="s">
        <v>7</v>
      </c>
      <c r="G1351" s="967" t="s">
        <v>8</v>
      </c>
    </row>
    <row r="1352" spans="1:15" s="2" customFormat="1" ht="13.8">
      <c r="A1352" s="948" t="s">
        <v>9</v>
      </c>
      <c r="B1352" s="949"/>
      <c r="C1352" s="12" t="s">
        <v>3</v>
      </c>
      <c r="D1352" s="9">
        <v>0.05</v>
      </c>
      <c r="E1352" s="13">
        <f>$G$757</f>
        <v>24855</v>
      </c>
      <c r="F1352" s="14">
        <f>D1352*E1352</f>
        <v>1242.75</v>
      </c>
      <c r="G1352" s="968"/>
    </row>
    <row r="1353" spans="1:15" s="2" customFormat="1" ht="15.75" customHeight="1">
      <c r="A1353" s="948" t="s">
        <v>75</v>
      </c>
      <c r="B1353" s="949"/>
      <c r="C1353" s="12" t="s">
        <v>58</v>
      </c>
      <c r="D1353" s="9">
        <v>0.04</v>
      </c>
      <c r="E1353" s="13">
        <f>'MAQUINARIA Y EQUIPOS'!$F$21</f>
        <v>35700</v>
      </c>
      <c r="F1353" s="14">
        <f>D1353*E1353</f>
        <v>1428</v>
      </c>
      <c r="G1353" s="968"/>
    </row>
    <row r="1354" spans="1:15" s="2" customFormat="1" ht="15.75" customHeight="1">
      <c r="A1354" s="948" t="s">
        <v>113</v>
      </c>
      <c r="B1354" s="949"/>
      <c r="C1354" s="12" t="s">
        <v>58</v>
      </c>
      <c r="D1354" s="9">
        <v>0.3</v>
      </c>
      <c r="E1354" s="13">
        <f>'MAQUINARIA Y EQUIPOS'!$F$10</f>
        <v>3272.5</v>
      </c>
      <c r="F1354" s="14">
        <f>D1354*E1354</f>
        <v>981.75</v>
      </c>
      <c r="G1354" s="968"/>
    </row>
    <row r="1355" spans="1:15" s="2" customFormat="1" ht="14.25" customHeight="1">
      <c r="A1355" s="948" t="s">
        <v>61</v>
      </c>
      <c r="B1355" s="949"/>
      <c r="C1355" s="12" t="s">
        <v>58</v>
      </c>
      <c r="D1355" s="9">
        <v>0.1</v>
      </c>
      <c r="E1355" s="13">
        <f>'MAQUINARIA Y EQUIPOS'!$F$18</f>
        <v>40460</v>
      </c>
      <c r="F1355" s="14">
        <f>D1355*E1355</f>
        <v>4046</v>
      </c>
      <c r="G1355" s="969"/>
    </row>
    <row r="1356" spans="1:15" s="2" customFormat="1" ht="15.75" customHeight="1">
      <c r="A1356" s="948" t="s">
        <v>76</v>
      </c>
      <c r="B1356" s="949"/>
      <c r="C1356" s="9" t="s">
        <v>39</v>
      </c>
      <c r="D1356" s="9">
        <f>1*1*0.12</f>
        <v>0.12</v>
      </c>
      <c r="E1356" s="13">
        <f>'MAQUINARIA Y EQUIPOS'!$F$22</f>
        <v>42000</v>
      </c>
      <c r="F1356" s="14">
        <f>D1356*E1356</f>
        <v>5040</v>
      </c>
      <c r="G1356" s="15">
        <f>SUM(F1351:F1356)</f>
        <v>12738.5</v>
      </c>
    </row>
    <row r="1357" spans="1:15" s="2" customFormat="1" ht="15.75" customHeight="1">
      <c r="A1357" s="1006" t="s">
        <v>10</v>
      </c>
      <c r="B1357" s="1007"/>
      <c r="C1357" s="1007"/>
      <c r="D1357" s="1007"/>
      <c r="E1357" s="1007"/>
      <c r="F1357" s="1007"/>
      <c r="G1357" s="1008"/>
    </row>
    <row r="1358" spans="1:15" s="2" customFormat="1" ht="13.8">
      <c r="A1358" s="974" t="s">
        <v>2</v>
      </c>
      <c r="B1358" s="975"/>
      <c r="C1358" s="11" t="s">
        <v>3</v>
      </c>
      <c r="D1358" s="11" t="s">
        <v>4</v>
      </c>
      <c r="E1358" s="11" t="s">
        <v>6</v>
      </c>
      <c r="F1358" s="11" t="s">
        <v>11</v>
      </c>
      <c r="G1358" s="967" t="s">
        <v>8</v>
      </c>
    </row>
    <row r="1359" spans="1:15" s="2" customFormat="1" ht="14.25" customHeight="1">
      <c r="A1359" s="948" t="s">
        <v>1459</v>
      </c>
      <c r="B1359" s="949"/>
      <c r="C1359" s="12" t="s">
        <v>3</v>
      </c>
      <c r="D1359" s="12">
        <v>0.03</v>
      </c>
      <c r="E1359" s="13">
        <f>'INSUMOS '!$E$29</f>
        <v>643900</v>
      </c>
      <c r="F1359" s="14">
        <f>D1359*E1359</f>
        <v>19317</v>
      </c>
      <c r="G1359" s="968"/>
    </row>
    <row r="1360" spans="1:15" s="2" customFormat="1" ht="14.25" customHeight="1">
      <c r="A1360" s="948" t="s">
        <v>114</v>
      </c>
      <c r="B1360" s="949"/>
      <c r="C1360" s="12" t="s">
        <v>39</v>
      </c>
      <c r="D1360" s="12">
        <v>0.02</v>
      </c>
      <c r="E1360" s="13">
        <f>SUBANÁLISIS!$G$146</f>
        <v>702267.57499999995</v>
      </c>
      <c r="F1360" s="14">
        <f>D1360*E1360</f>
        <v>14045.351499999999</v>
      </c>
      <c r="G1360" s="968"/>
    </row>
    <row r="1361" spans="1:11" s="108" customFormat="1" ht="15.75" customHeight="1">
      <c r="A1361" s="948" t="s">
        <v>176</v>
      </c>
      <c r="B1361" s="949"/>
      <c r="C1361" s="12" t="s">
        <v>3</v>
      </c>
      <c r="D1361" s="12">
        <v>2</v>
      </c>
      <c r="E1361" s="13">
        <f>'INSUMOS '!$E$181</f>
        <v>2600</v>
      </c>
      <c r="F1361" s="14">
        <f>D1361*E1361</f>
        <v>5200</v>
      </c>
      <c r="G1361" s="969"/>
      <c r="H1361" s="2"/>
      <c r="I1361" s="2"/>
      <c r="J1361" s="2"/>
      <c r="K1361" s="2"/>
    </row>
    <row r="1362" spans="1:11" s="2" customFormat="1" ht="14.25" customHeight="1">
      <c r="A1362" s="948" t="s">
        <v>177</v>
      </c>
      <c r="B1362" s="949"/>
      <c r="C1362" s="12" t="s">
        <v>3</v>
      </c>
      <c r="D1362" s="33">
        <v>2</v>
      </c>
      <c r="E1362" s="13">
        <f>'INSUMOS '!$E$45</f>
        <v>3253.46</v>
      </c>
      <c r="F1362" s="14">
        <f>E1362*D1362</f>
        <v>6506.92</v>
      </c>
      <c r="G1362" s="15">
        <f>SUM(F1360:F1362)</f>
        <v>25752.271499999995</v>
      </c>
    </row>
    <row r="1363" spans="1:11" s="2" customFormat="1" ht="13.8">
      <c r="A1363" s="1006" t="s">
        <v>15</v>
      </c>
      <c r="B1363" s="1007"/>
      <c r="C1363" s="1007"/>
      <c r="D1363" s="1007"/>
      <c r="E1363" s="1007"/>
      <c r="F1363" s="1007"/>
      <c r="G1363" s="1008"/>
    </row>
    <row r="1364" spans="1:11" s="2" customFormat="1" ht="15.75" customHeight="1">
      <c r="A1364" s="974" t="s">
        <v>2</v>
      </c>
      <c r="B1364" s="975"/>
      <c r="C1364" s="11" t="s">
        <v>3</v>
      </c>
      <c r="D1364" s="11" t="s">
        <v>4</v>
      </c>
      <c r="E1364" s="11" t="s">
        <v>6</v>
      </c>
      <c r="F1364" s="11" t="s">
        <v>11</v>
      </c>
      <c r="G1364" s="967" t="s">
        <v>8</v>
      </c>
    </row>
    <row r="1365" spans="1:11" s="2" customFormat="1" ht="13.8">
      <c r="A1365" s="1019" t="s">
        <v>68</v>
      </c>
      <c r="B1365" s="1020"/>
      <c r="C1365" s="16" t="s">
        <v>3</v>
      </c>
      <c r="D1365" s="54">
        <v>3.5000000000000003E-2</v>
      </c>
      <c r="E1365" s="17">
        <f>G1356</f>
        <v>12738.5</v>
      </c>
      <c r="F1365" s="14">
        <f>E1365*D1365</f>
        <v>445.84750000000003</v>
      </c>
      <c r="G1365" s="968"/>
    </row>
    <row r="1366" spans="1:11" s="2" customFormat="1" ht="15.75" customHeight="1">
      <c r="A1366" s="1019" t="s">
        <v>17</v>
      </c>
      <c r="B1366" s="1020"/>
      <c r="C1366" s="16" t="s">
        <v>18</v>
      </c>
      <c r="D1366" s="54">
        <v>3.5000000000000003E-2</v>
      </c>
      <c r="E1366" s="13">
        <f>+G1362</f>
        <v>25752.271499999995</v>
      </c>
      <c r="F1366" s="14">
        <f>E1366*D1366</f>
        <v>901.32950249999988</v>
      </c>
      <c r="G1366" s="15">
        <f>SUM(F1365:F1366)</f>
        <v>1347.1770024999998</v>
      </c>
    </row>
    <row r="1367" spans="1:11" s="2" customFormat="1" ht="15.75" customHeight="1">
      <c r="A1367" s="1006" t="s">
        <v>19</v>
      </c>
      <c r="B1367" s="1007"/>
      <c r="C1367" s="1007"/>
      <c r="D1367" s="1007"/>
      <c r="E1367" s="1007"/>
      <c r="F1367" s="1007"/>
      <c r="G1367" s="1008"/>
    </row>
    <row r="1368" spans="1:11" s="2" customFormat="1" ht="15.75" customHeight="1">
      <c r="A1368" s="974" t="s">
        <v>2</v>
      </c>
      <c r="B1368" s="975"/>
      <c r="C1368" s="11" t="s">
        <v>3</v>
      </c>
      <c r="D1368" s="11" t="s">
        <v>4</v>
      </c>
      <c r="E1368" s="11" t="s">
        <v>6</v>
      </c>
      <c r="F1368" s="11" t="s">
        <v>11</v>
      </c>
      <c r="G1368" s="18" t="s">
        <v>8</v>
      </c>
    </row>
    <row r="1369" spans="1:11" s="2" customFormat="1" ht="15" customHeight="1">
      <c r="A1369" s="978" t="str">
        <f>SALARIOS!$A$61</f>
        <v>CUADRILLA AA ALBAÑILERÍA 1:1</v>
      </c>
      <c r="B1369" s="979"/>
      <c r="C1369" s="13" t="s">
        <v>1245</v>
      </c>
      <c r="D1369" s="32">
        <v>1</v>
      </c>
      <c r="E1369" s="13">
        <f>SALARIOS!$C$61</f>
        <v>24855</v>
      </c>
      <c r="F1369" s="14">
        <f>+D1369*E1369</f>
        <v>24855</v>
      </c>
      <c r="G1369" s="15">
        <f>F1369</f>
        <v>24855</v>
      </c>
    </row>
    <row r="1370" spans="1:11" s="2" customFormat="1" ht="15.75" customHeight="1">
      <c r="A1370" s="1009" t="s">
        <v>25</v>
      </c>
      <c r="B1370" s="1010"/>
      <c r="C1370" s="1010"/>
      <c r="D1370" s="1010"/>
      <c r="E1370" s="1010"/>
      <c r="F1370" s="1010"/>
      <c r="G1370" s="1011"/>
    </row>
    <row r="1371" spans="1:11" s="2" customFormat="1" ht="15.75" customHeight="1">
      <c r="A1371" s="1012"/>
      <c r="B1371" s="1013"/>
      <c r="C1371" s="1013"/>
      <c r="D1371" s="1013"/>
      <c r="E1371" s="1013"/>
      <c r="F1371" s="1014"/>
      <c r="G1371" s="20">
        <f>G1369+G1366+G1362+G1356</f>
        <v>64692.948502499996</v>
      </c>
    </row>
    <row r="1372" spans="1:11" s="2" customFormat="1" ht="15.75" customHeight="1">
      <c r="A1372" s="63"/>
      <c r="B1372" s="42"/>
      <c r="C1372" s="42"/>
      <c r="D1372" s="42"/>
      <c r="E1372" s="42"/>
      <c r="F1372" s="42"/>
      <c r="G1372" s="64"/>
    </row>
    <row r="1373" spans="1:11" s="2" customFormat="1" ht="15.75" customHeight="1">
      <c r="A1373" s="986" t="s">
        <v>1</v>
      </c>
      <c r="B1373" s="987"/>
      <c r="C1373" s="992" t="s">
        <v>0</v>
      </c>
      <c r="D1373" s="993"/>
      <c r="E1373" s="993"/>
      <c r="F1373" s="993"/>
      <c r="G1373" s="994"/>
    </row>
    <row r="1374" spans="1:11" s="2" customFormat="1" ht="52.5" customHeight="1">
      <c r="A1374" s="988"/>
      <c r="B1374" s="989"/>
      <c r="C1374" s="995"/>
      <c r="D1374" s="996"/>
      <c r="E1374" s="996"/>
      <c r="F1374" s="996"/>
      <c r="G1374" s="997"/>
    </row>
    <row r="1375" spans="1:11" s="2" customFormat="1" ht="15.75" customHeight="1">
      <c r="A1375" s="988"/>
      <c r="B1375" s="989"/>
      <c r="C1375" s="998"/>
      <c r="D1375" s="999"/>
      <c r="E1375" s="999"/>
      <c r="F1375" s="999"/>
      <c r="G1375" s="1000"/>
    </row>
    <row r="1376" spans="1:11" s="2" customFormat="1" ht="15.75" customHeight="1">
      <c r="A1376" s="990"/>
      <c r="B1376" s="991"/>
      <c r="C1376" s="1001" t="s">
        <v>2</v>
      </c>
      <c r="D1376" s="1002"/>
      <c r="E1376" s="1003"/>
      <c r="F1376" s="23" t="s">
        <v>3</v>
      </c>
      <c r="G1376" s="24" t="s">
        <v>4</v>
      </c>
    </row>
    <row r="1377" spans="1:11" s="2" customFormat="1" ht="188.25" customHeight="1">
      <c r="A1377" s="1021" t="s">
        <v>242</v>
      </c>
      <c r="B1377" s="1022"/>
      <c r="C1377" s="1023" t="s">
        <v>206</v>
      </c>
      <c r="D1377" s="1024"/>
      <c r="E1377" s="1016"/>
      <c r="F1377" s="51" t="s">
        <v>100</v>
      </c>
      <c r="G1377" s="52">
        <v>534.04</v>
      </c>
    </row>
    <row r="1378" spans="1:11" s="2" customFormat="1" ht="15.75" customHeight="1">
      <c r="A1378" s="1032" t="s">
        <v>5</v>
      </c>
      <c r="B1378" s="1033"/>
      <c r="C1378" s="1033"/>
      <c r="D1378" s="1033"/>
      <c r="E1378" s="1033"/>
      <c r="F1378" s="1033"/>
      <c r="G1378" s="1034"/>
    </row>
    <row r="1379" spans="1:11" s="2" customFormat="1" ht="15.75" customHeight="1">
      <c r="A1379" s="974" t="s">
        <v>2</v>
      </c>
      <c r="B1379" s="975"/>
      <c r="C1379" s="11" t="s">
        <v>3</v>
      </c>
      <c r="D1379" s="11" t="s">
        <v>4</v>
      </c>
      <c r="E1379" s="11" t="s">
        <v>6</v>
      </c>
      <c r="F1379" s="11" t="s">
        <v>7</v>
      </c>
      <c r="G1379" s="967" t="s">
        <v>8</v>
      </c>
    </row>
    <row r="1380" spans="1:11" s="2" customFormat="1" ht="15.75" customHeight="1">
      <c r="A1380" s="948" t="s">
        <v>9</v>
      </c>
      <c r="B1380" s="949"/>
      <c r="C1380" s="12" t="s">
        <v>3</v>
      </c>
      <c r="D1380" s="9">
        <v>0.05</v>
      </c>
      <c r="E1380" s="13">
        <f>G1394</f>
        <v>7456.5</v>
      </c>
      <c r="F1380" s="14">
        <f>D1380*E1380</f>
        <v>372.82500000000005</v>
      </c>
      <c r="G1380" s="969"/>
    </row>
    <row r="1381" spans="1:11" s="2" customFormat="1" ht="15.75" customHeight="1">
      <c r="A1381" s="948" t="s">
        <v>113</v>
      </c>
      <c r="B1381" s="949"/>
      <c r="C1381" s="12" t="s">
        <v>58</v>
      </c>
      <c r="D1381" s="9">
        <v>0.3</v>
      </c>
      <c r="E1381" s="13">
        <f>'MAQUINARIA Y EQUIPOS'!$F$10</f>
        <v>3272.5</v>
      </c>
      <c r="F1381" s="14">
        <f>D1381*E1381</f>
        <v>981.75</v>
      </c>
      <c r="G1381" s="39"/>
    </row>
    <row r="1382" spans="1:11" s="2" customFormat="1" ht="14.25" customHeight="1">
      <c r="A1382" s="948" t="s">
        <v>61</v>
      </c>
      <c r="B1382" s="949"/>
      <c r="C1382" s="12" t="s">
        <v>60</v>
      </c>
      <c r="D1382" s="9">
        <v>0.1</v>
      </c>
      <c r="E1382" s="13">
        <f>'MAQUINARIA Y EQUIPOS'!$F$18</f>
        <v>40460</v>
      </c>
      <c r="F1382" s="14">
        <f>D1382*E1382</f>
        <v>4046</v>
      </c>
      <c r="G1382" s="39"/>
    </row>
    <row r="1383" spans="1:11" s="2" customFormat="1" ht="15.75" customHeight="1">
      <c r="A1383" s="948"/>
      <c r="B1383" s="949"/>
      <c r="C1383" s="9"/>
      <c r="D1383" s="9"/>
      <c r="E1383" s="13"/>
      <c r="F1383" s="14"/>
      <c r="G1383" s="15">
        <f>SUM(F1379:F1383)</f>
        <v>5400.5749999999998</v>
      </c>
    </row>
    <row r="1384" spans="1:11" s="2" customFormat="1" ht="13.8">
      <c r="A1384" s="1006" t="s">
        <v>10</v>
      </c>
      <c r="B1384" s="1007"/>
      <c r="C1384" s="1007"/>
      <c r="D1384" s="1007"/>
      <c r="E1384" s="1007"/>
      <c r="F1384" s="1007"/>
      <c r="G1384" s="1008"/>
    </row>
    <row r="1385" spans="1:11" s="2" customFormat="1" ht="15.75" customHeight="1">
      <c r="A1385" s="974" t="s">
        <v>2</v>
      </c>
      <c r="B1385" s="975"/>
      <c r="C1385" s="11" t="s">
        <v>3</v>
      </c>
      <c r="D1385" s="11" t="s">
        <v>4</v>
      </c>
      <c r="E1385" s="11" t="s">
        <v>6</v>
      </c>
      <c r="F1385" s="11" t="s">
        <v>11</v>
      </c>
      <c r="G1385" s="967" t="s">
        <v>8</v>
      </c>
    </row>
    <row r="1386" spans="1:11" s="2" customFormat="1" ht="13.8">
      <c r="A1386" s="948" t="s">
        <v>179</v>
      </c>
      <c r="B1386" s="949"/>
      <c r="C1386" s="12" t="s">
        <v>3</v>
      </c>
      <c r="D1386" s="12">
        <f>1/12.5</f>
        <v>0.08</v>
      </c>
      <c r="E1386" s="13">
        <f>'INSUMOS '!$E$55</f>
        <v>54300</v>
      </c>
      <c r="F1386" s="14">
        <f>D1386*E1386</f>
        <v>4344</v>
      </c>
      <c r="G1386" s="969"/>
    </row>
    <row r="1387" spans="1:11" s="2" customFormat="1" ht="13.8">
      <c r="A1387" s="948" t="s">
        <v>180</v>
      </c>
      <c r="B1387" s="949"/>
      <c r="C1387" s="12" t="s">
        <v>3</v>
      </c>
      <c r="D1387" s="12">
        <v>6.6666666666666666E-2</v>
      </c>
      <c r="E1387" s="13">
        <f>'INSUMOS '!$E$56</f>
        <v>210900</v>
      </c>
      <c r="F1387" s="14">
        <f>E1387*D1387</f>
        <v>14060</v>
      </c>
      <c r="G1387" s="15">
        <f>SUM(F1385:F1387)</f>
        <v>18404</v>
      </c>
    </row>
    <row r="1388" spans="1:11" s="35" customFormat="1" ht="13.8">
      <c r="A1388" s="1006" t="s">
        <v>15</v>
      </c>
      <c r="B1388" s="1007"/>
      <c r="C1388" s="1007"/>
      <c r="D1388" s="1007"/>
      <c r="E1388" s="1007"/>
      <c r="F1388" s="1007"/>
      <c r="G1388" s="1008"/>
      <c r="H1388" s="2"/>
      <c r="I1388" s="2"/>
      <c r="J1388" s="2"/>
      <c r="K1388" s="2"/>
    </row>
    <row r="1389" spans="1:11" s="2" customFormat="1" ht="15.75" customHeight="1">
      <c r="A1389" s="974" t="s">
        <v>2</v>
      </c>
      <c r="B1389" s="975"/>
      <c r="C1389" s="11" t="s">
        <v>3</v>
      </c>
      <c r="D1389" s="11" t="s">
        <v>4</v>
      </c>
      <c r="E1389" s="11" t="s">
        <v>6</v>
      </c>
      <c r="F1389" s="11" t="s">
        <v>11</v>
      </c>
      <c r="G1389" s="967" t="s">
        <v>8</v>
      </c>
    </row>
    <row r="1390" spans="1:11" s="2" customFormat="1" ht="13.8">
      <c r="A1390" s="1019" t="s">
        <v>68</v>
      </c>
      <c r="B1390" s="1020"/>
      <c r="C1390" s="16" t="s">
        <v>3</v>
      </c>
      <c r="D1390" s="32">
        <v>0.1</v>
      </c>
      <c r="E1390" s="17">
        <f>G1383</f>
        <v>5400.5749999999998</v>
      </c>
      <c r="F1390" s="14">
        <f>E1390*D1390</f>
        <v>540.0575</v>
      </c>
      <c r="G1390" s="969"/>
    </row>
    <row r="1391" spans="1:11" s="2" customFormat="1" ht="15.75" customHeight="1">
      <c r="A1391" s="983" t="s">
        <v>17</v>
      </c>
      <c r="B1391" s="984"/>
      <c r="C1391" s="16" t="s">
        <v>18</v>
      </c>
      <c r="D1391" s="12">
        <v>0.1</v>
      </c>
      <c r="E1391" s="13">
        <f>+G1387</f>
        <v>18404</v>
      </c>
      <c r="F1391" s="14">
        <f>E1391*D1391</f>
        <v>1840.4</v>
      </c>
      <c r="G1391" s="15">
        <f>SUM(F1390:F1391)</f>
        <v>2380.4575</v>
      </c>
    </row>
    <row r="1392" spans="1:11" s="2" customFormat="1" ht="15.75" customHeight="1">
      <c r="A1392" s="1006" t="s">
        <v>19</v>
      </c>
      <c r="B1392" s="1007"/>
      <c r="C1392" s="1007"/>
      <c r="D1392" s="1007"/>
      <c r="E1392" s="1007"/>
      <c r="F1392" s="1007"/>
      <c r="G1392" s="1008"/>
    </row>
    <row r="1393" spans="1:11" s="2" customFormat="1" ht="15.75" customHeight="1">
      <c r="A1393" s="974" t="s">
        <v>2</v>
      </c>
      <c r="B1393" s="975"/>
      <c r="C1393" s="11" t="s">
        <v>3</v>
      </c>
      <c r="D1393" s="11" t="s">
        <v>4</v>
      </c>
      <c r="E1393" s="11" t="s">
        <v>6</v>
      </c>
      <c r="F1393" s="11" t="s">
        <v>11</v>
      </c>
      <c r="G1393" s="18" t="s">
        <v>8</v>
      </c>
    </row>
    <row r="1394" spans="1:11" s="2" customFormat="1" ht="15" customHeight="1">
      <c r="A1394" s="978" t="str">
        <f>SALARIOS!$A$61</f>
        <v>CUADRILLA AA ALBAÑILERÍA 1:1</v>
      </c>
      <c r="B1394" s="979"/>
      <c r="C1394" s="13" t="s">
        <v>1245</v>
      </c>
      <c r="D1394" s="32">
        <v>0.3</v>
      </c>
      <c r="E1394" s="13">
        <f>SALARIOS!$C$61</f>
        <v>24855</v>
      </c>
      <c r="F1394" s="14">
        <f>+D1394*E1394</f>
        <v>7456.5</v>
      </c>
      <c r="G1394" s="15">
        <f>F1394</f>
        <v>7456.5</v>
      </c>
    </row>
    <row r="1395" spans="1:11" s="2" customFormat="1" ht="15.75" customHeight="1">
      <c r="A1395" s="1009" t="s">
        <v>25</v>
      </c>
      <c r="B1395" s="1010"/>
      <c r="C1395" s="1010"/>
      <c r="D1395" s="1010"/>
      <c r="E1395" s="1010"/>
      <c r="F1395" s="1010"/>
      <c r="G1395" s="1011"/>
    </row>
    <row r="1396" spans="1:11" s="2" customFormat="1" ht="15.75" customHeight="1">
      <c r="A1396" s="1012"/>
      <c r="B1396" s="1013"/>
      <c r="C1396" s="1013"/>
      <c r="D1396" s="1013"/>
      <c r="E1396" s="1013"/>
      <c r="F1396" s="1014"/>
      <c r="G1396" s="20">
        <f>G1394+G1391+G1387+G1383</f>
        <v>33641.532500000001</v>
      </c>
    </row>
    <row r="1397" spans="1:11" s="2" customFormat="1" ht="15.75" customHeight="1">
      <c r="A1397" s="26"/>
      <c r="B1397" s="27"/>
      <c r="C1397" s="28"/>
      <c r="D1397" s="28"/>
      <c r="E1397" s="29"/>
      <c r="F1397" s="28"/>
      <c r="G1397" s="30"/>
    </row>
    <row r="1398" spans="1:11" s="2" customFormat="1" ht="15.75" customHeight="1">
      <c r="A1398" s="986" t="s">
        <v>1</v>
      </c>
      <c r="B1398" s="987"/>
      <c r="C1398" s="992" t="s">
        <v>0</v>
      </c>
      <c r="D1398" s="993"/>
      <c r="E1398" s="993"/>
      <c r="F1398" s="993"/>
      <c r="G1398" s="994"/>
    </row>
    <row r="1399" spans="1:11" s="2" customFormat="1" ht="51" customHeight="1">
      <c r="A1399" s="988"/>
      <c r="B1399" s="989"/>
      <c r="C1399" s="995"/>
      <c r="D1399" s="996"/>
      <c r="E1399" s="996"/>
      <c r="F1399" s="996"/>
      <c r="G1399" s="997"/>
    </row>
    <row r="1400" spans="1:11" s="2" customFormat="1" ht="15.75" customHeight="1">
      <c r="A1400" s="988"/>
      <c r="B1400" s="989"/>
      <c r="C1400" s="998"/>
      <c r="D1400" s="999"/>
      <c r="E1400" s="999"/>
      <c r="F1400" s="999"/>
      <c r="G1400" s="1000"/>
    </row>
    <row r="1401" spans="1:11" s="2" customFormat="1" ht="15.75" customHeight="1">
      <c r="A1401" s="990"/>
      <c r="B1401" s="991"/>
      <c r="C1401" s="1001" t="s">
        <v>2</v>
      </c>
      <c r="D1401" s="1002"/>
      <c r="E1401" s="1003"/>
      <c r="F1401" s="23" t="s">
        <v>3</v>
      </c>
      <c r="G1401" s="24" t="s">
        <v>4</v>
      </c>
    </row>
    <row r="1402" spans="1:11" s="2" customFormat="1" ht="123.75" customHeight="1">
      <c r="A1402" s="1021" t="s">
        <v>243</v>
      </c>
      <c r="B1402" s="1022"/>
      <c r="C1402" s="1023" t="s">
        <v>244</v>
      </c>
      <c r="D1402" s="1024"/>
      <c r="E1402" s="1016"/>
      <c r="F1402" s="51" t="s">
        <v>37</v>
      </c>
      <c r="G1402" s="52">
        <v>34.632000000000005</v>
      </c>
    </row>
    <row r="1403" spans="1:11" s="2" customFormat="1" ht="15.75" customHeight="1">
      <c r="A1403" s="1032" t="s">
        <v>5</v>
      </c>
      <c r="B1403" s="1033"/>
      <c r="C1403" s="1033"/>
      <c r="D1403" s="1033"/>
      <c r="E1403" s="1033"/>
      <c r="F1403" s="1033"/>
      <c r="G1403" s="1034"/>
    </row>
    <row r="1404" spans="1:11" s="2" customFormat="1" ht="15.75" customHeight="1">
      <c r="A1404" s="1027" t="s">
        <v>2</v>
      </c>
      <c r="B1404" s="1028"/>
      <c r="C1404" s="53" t="s">
        <v>3</v>
      </c>
      <c r="D1404" s="53" t="s">
        <v>4</v>
      </c>
      <c r="E1404" s="53" t="s">
        <v>6</v>
      </c>
      <c r="F1404" s="53" t="s">
        <v>7</v>
      </c>
      <c r="G1404" s="1029" t="s">
        <v>8</v>
      </c>
    </row>
    <row r="1405" spans="1:11" s="2" customFormat="1" ht="15.75" customHeight="1">
      <c r="A1405" s="1015" t="s">
        <v>89</v>
      </c>
      <c r="B1405" s="1016"/>
      <c r="C1405" s="16" t="s">
        <v>3</v>
      </c>
      <c r="D1405" s="16">
        <v>0.05</v>
      </c>
      <c r="E1405" s="17">
        <f>G1423</f>
        <v>27624</v>
      </c>
      <c r="F1405" s="55">
        <f>D1405*E1405</f>
        <v>1381.2</v>
      </c>
      <c r="G1405" s="1030"/>
    </row>
    <row r="1406" spans="1:11" s="2" customFormat="1" ht="14.25" customHeight="1">
      <c r="A1406" s="1015" t="s">
        <v>245</v>
      </c>
      <c r="B1406" s="1016"/>
      <c r="C1406" s="51" t="s">
        <v>60</v>
      </c>
      <c r="D1406" s="109">
        <v>0.01</v>
      </c>
      <c r="E1406" s="17">
        <f>'MAQUINARIA Y EQUIPOS'!F26</f>
        <v>120400</v>
      </c>
      <c r="F1406" s="55">
        <f>D1406*E1406</f>
        <v>1204</v>
      </c>
      <c r="G1406" s="1030"/>
    </row>
    <row r="1407" spans="1:11" s="2" customFormat="1" ht="15.75" customHeight="1">
      <c r="A1407" s="1015" t="s">
        <v>246</v>
      </c>
      <c r="B1407" s="1016"/>
      <c r="C1407" s="16" t="s">
        <v>58</v>
      </c>
      <c r="D1407" s="51">
        <v>0.08</v>
      </c>
      <c r="E1407" s="17">
        <f>'MAQUINARIA Y EQUIPOS'!F21</f>
        <v>35700</v>
      </c>
      <c r="F1407" s="55">
        <f>D1407*E1407</f>
        <v>2856</v>
      </c>
      <c r="G1407" s="1030"/>
    </row>
    <row r="1408" spans="1:11" s="108" customFormat="1" ht="15.75" customHeight="1">
      <c r="A1408" s="948" t="s">
        <v>76</v>
      </c>
      <c r="B1408" s="949"/>
      <c r="C1408" s="9" t="s">
        <v>39</v>
      </c>
      <c r="D1408" s="9">
        <v>2E-3</v>
      </c>
      <c r="E1408" s="13">
        <f>'MAQUINARIA Y EQUIPOS'!F22</f>
        <v>42000</v>
      </c>
      <c r="F1408" s="55">
        <f>D1408*E1408</f>
        <v>84</v>
      </c>
      <c r="G1408" s="1031"/>
      <c r="H1408" s="2"/>
      <c r="I1408" s="2"/>
      <c r="J1408" s="2"/>
      <c r="K1408" s="2"/>
    </row>
    <row r="1409" spans="1:7" s="2" customFormat="1" ht="15.75" customHeight="1">
      <c r="A1409" s="1035"/>
      <c r="B1409" s="1036"/>
      <c r="C1409" s="56"/>
      <c r="D1409" s="56"/>
      <c r="E1409" s="56"/>
      <c r="F1409" s="55"/>
      <c r="G1409" s="57">
        <f>SUM(F1404:F1409)</f>
        <v>5525.2</v>
      </c>
    </row>
    <row r="1410" spans="1:7" s="2" customFormat="1" ht="15.75" customHeight="1">
      <c r="A1410" s="1032" t="s">
        <v>10</v>
      </c>
      <c r="B1410" s="1033"/>
      <c r="C1410" s="1033"/>
      <c r="D1410" s="1033"/>
      <c r="E1410" s="1033"/>
      <c r="F1410" s="1033"/>
      <c r="G1410" s="1034"/>
    </row>
    <row r="1411" spans="1:7" s="2" customFormat="1" ht="13.8">
      <c r="A1411" s="1027" t="s">
        <v>2</v>
      </c>
      <c r="B1411" s="1028"/>
      <c r="C1411" s="53" t="s">
        <v>3</v>
      </c>
      <c r="D1411" s="53" t="s">
        <v>4</v>
      </c>
      <c r="E1411" s="53" t="s">
        <v>6</v>
      </c>
      <c r="F1411" s="53" t="s">
        <v>11</v>
      </c>
      <c r="G1411" s="1029" t="s">
        <v>8</v>
      </c>
    </row>
    <row r="1412" spans="1:7" s="2" customFormat="1" ht="14.25" customHeight="1">
      <c r="A1412" s="1015" t="s">
        <v>247</v>
      </c>
      <c r="B1412" s="1016"/>
      <c r="C1412" s="16" t="s">
        <v>37</v>
      </c>
      <c r="D1412" s="16">
        <v>1.1000000000000001</v>
      </c>
      <c r="E1412" s="17">
        <f>'INSUMOS '!E58</f>
        <v>6304.9645390070918</v>
      </c>
      <c r="F1412" s="55">
        <f>D1412*E1412</f>
        <v>6935.4609929078015</v>
      </c>
      <c r="G1412" s="1030"/>
    </row>
    <row r="1413" spans="1:7" s="2" customFormat="1" ht="14.25" customHeight="1">
      <c r="A1413" s="1015" t="s">
        <v>248</v>
      </c>
      <c r="B1413" s="1016"/>
      <c r="C1413" s="16" t="s">
        <v>3</v>
      </c>
      <c r="D1413" s="16">
        <v>7.4999999999999997E-3</v>
      </c>
      <c r="E1413" s="17">
        <f>'INSUMOS '!E30</f>
        <v>86900</v>
      </c>
      <c r="F1413" s="55">
        <f>D1413*E1413</f>
        <v>651.75</v>
      </c>
      <c r="G1413" s="1030"/>
    </row>
    <row r="1414" spans="1:7" s="2" customFormat="1" ht="14.25" customHeight="1">
      <c r="A1414" s="1015" t="s">
        <v>249</v>
      </c>
      <c r="B1414" s="1016"/>
      <c r="C1414" s="16" t="s">
        <v>3</v>
      </c>
      <c r="D1414" s="16">
        <v>2</v>
      </c>
      <c r="E1414" s="17">
        <f>'INSUMOS '!E28</f>
        <v>51900</v>
      </c>
      <c r="F1414" s="55">
        <f>D1414*E1414</f>
        <v>103800</v>
      </c>
      <c r="G1414" s="1030"/>
    </row>
    <row r="1415" spans="1:7" s="2" customFormat="1" ht="13.8">
      <c r="A1415" s="1015" t="s">
        <v>250</v>
      </c>
      <c r="B1415" s="1016"/>
      <c r="C1415" s="16" t="s">
        <v>39</v>
      </c>
      <c r="D1415" s="16">
        <v>0.02</v>
      </c>
      <c r="E1415" s="17">
        <f>SUBANÁLISIS!G89</f>
        <v>431833.82500000001</v>
      </c>
      <c r="F1415" s="55">
        <f>E1415*D1415</f>
        <v>8636.6764999999996</v>
      </c>
      <c r="G1415" s="1031"/>
    </row>
    <row r="1416" spans="1:7" s="2" customFormat="1" ht="13.8">
      <c r="A1416" s="1015"/>
      <c r="B1416" s="1016"/>
      <c r="C1416" s="16"/>
      <c r="D1416" s="58"/>
      <c r="E1416" s="17"/>
      <c r="F1416" s="55">
        <f>E1416*D1416</f>
        <v>0</v>
      </c>
      <c r="G1416" s="57">
        <f>SUM(F1411:F1416)</f>
        <v>120023.8874929078</v>
      </c>
    </row>
    <row r="1417" spans="1:7" s="2" customFormat="1" ht="15.75" customHeight="1">
      <c r="A1417" s="1032" t="s">
        <v>15</v>
      </c>
      <c r="B1417" s="1033"/>
      <c r="C1417" s="1033"/>
      <c r="D1417" s="1033"/>
      <c r="E1417" s="1033"/>
      <c r="F1417" s="1033"/>
      <c r="G1417" s="1034"/>
    </row>
    <row r="1418" spans="1:7" s="2" customFormat="1" ht="15.75" customHeight="1">
      <c r="A1418" s="974" t="s">
        <v>2</v>
      </c>
      <c r="B1418" s="975"/>
      <c r="C1418" s="11" t="s">
        <v>3</v>
      </c>
      <c r="D1418" s="11" t="s">
        <v>4</v>
      </c>
      <c r="E1418" s="11" t="s">
        <v>6</v>
      </c>
      <c r="F1418" s="11" t="s">
        <v>11</v>
      </c>
      <c r="G1418" s="1029" t="s">
        <v>8</v>
      </c>
    </row>
    <row r="1419" spans="1:7" s="2" customFormat="1" ht="15.75" customHeight="1">
      <c r="A1419" s="1019" t="s">
        <v>68</v>
      </c>
      <c r="B1419" s="1020"/>
      <c r="C1419" s="16" t="s">
        <v>3</v>
      </c>
      <c r="D1419" s="32">
        <v>0.1</v>
      </c>
      <c r="E1419" s="17">
        <f>G1409</f>
        <v>5525.2</v>
      </c>
      <c r="F1419" s="55">
        <f>D1419*E1419</f>
        <v>552.52</v>
      </c>
      <c r="G1419" s="1031"/>
    </row>
    <row r="1420" spans="1:7" s="2" customFormat="1" ht="15.75" customHeight="1">
      <c r="A1420" s="1019" t="s">
        <v>251</v>
      </c>
      <c r="B1420" s="1020"/>
      <c r="C1420" s="16" t="s">
        <v>39</v>
      </c>
      <c r="D1420" s="12">
        <v>2E-3</v>
      </c>
      <c r="E1420" s="110">
        <v>2E-3</v>
      </c>
      <c r="F1420" s="55">
        <f>D1420*E1420</f>
        <v>3.9999999999999998E-6</v>
      </c>
      <c r="G1420" s="57">
        <f>SUM(F1419:F1420)</f>
        <v>552.52000399999997</v>
      </c>
    </row>
    <row r="1421" spans="1:7" s="2" customFormat="1" ht="15.75" customHeight="1">
      <c r="A1421" s="1032" t="s">
        <v>19</v>
      </c>
      <c r="B1421" s="1033"/>
      <c r="C1421" s="1033"/>
      <c r="D1421" s="1033"/>
      <c r="E1421" s="1033"/>
      <c r="F1421" s="1033"/>
      <c r="G1421" s="1034"/>
    </row>
    <row r="1422" spans="1:7" s="2" customFormat="1" ht="15.75" customHeight="1">
      <c r="A1422" s="974" t="s">
        <v>2</v>
      </c>
      <c r="B1422" s="975"/>
      <c r="C1422" s="11" t="s">
        <v>3</v>
      </c>
      <c r="D1422" s="11" t="s">
        <v>4</v>
      </c>
      <c r="E1422" s="11" t="s">
        <v>6</v>
      </c>
      <c r="F1422" s="11" t="s">
        <v>11</v>
      </c>
      <c r="G1422" s="18" t="s">
        <v>8</v>
      </c>
    </row>
    <row r="1423" spans="1:7" s="2" customFormat="1" ht="15" customHeight="1">
      <c r="A1423" s="978" t="str">
        <f>SALARIOS!$A$59</f>
        <v>CUADRILLA AA ALBAÑILERÍA 0:2</v>
      </c>
      <c r="B1423" s="979"/>
      <c r="C1423" s="13" t="s">
        <v>1245</v>
      </c>
      <c r="D1423" s="32">
        <v>1.5</v>
      </c>
      <c r="E1423" s="13">
        <f>SALARIOS!$C$59</f>
        <v>18416</v>
      </c>
      <c r="F1423" s="14">
        <f>+D1423*E1423</f>
        <v>27624</v>
      </c>
      <c r="G1423" s="15">
        <f>F1423</f>
        <v>27624</v>
      </c>
    </row>
    <row r="1424" spans="1:7" s="2" customFormat="1" ht="15.75" customHeight="1">
      <c r="A1424" s="1037" t="s">
        <v>25</v>
      </c>
      <c r="B1424" s="1038"/>
      <c r="C1424" s="1038"/>
      <c r="D1424" s="1038"/>
      <c r="E1424" s="1038"/>
      <c r="F1424" s="1038"/>
      <c r="G1424" s="1039"/>
    </row>
    <row r="1425" spans="1:11" s="2" customFormat="1" ht="15.75" customHeight="1">
      <c r="A1425" s="1040"/>
      <c r="B1425" s="1041"/>
      <c r="C1425" s="1041"/>
      <c r="D1425" s="1041"/>
      <c r="E1425" s="1041"/>
      <c r="F1425" s="1042"/>
      <c r="G1425" s="62">
        <f>G1423+G1420+G1416+G1409</f>
        <v>153725.60749690782</v>
      </c>
    </row>
    <row r="1426" spans="1:11" s="2" customFormat="1" ht="15.75" customHeight="1">
      <c r="A1426" s="26"/>
      <c r="B1426" s="27"/>
      <c r="C1426" s="28"/>
      <c r="D1426" s="28"/>
      <c r="E1426" s="29"/>
      <c r="F1426" s="28"/>
      <c r="G1426" s="30"/>
    </row>
    <row r="1427" spans="1:11" s="2" customFormat="1" ht="15.75" customHeight="1">
      <c r="A1427" s="986" t="s">
        <v>1</v>
      </c>
      <c r="B1427" s="987"/>
      <c r="C1427" s="992" t="s">
        <v>0</v>
      </c>
      <c r="D1427" s="993"/>
      <c r="E1427" s="993"/>
      <c r="F1427" s="993"/>
      <c r="G1427" s="994"/>
    </row>
    <row r="1428" spans="1:11" s="2" customFormat="1" ht="46.5" customHeight="1">
      <c r="A1428" s="988"/>
      <c r="B1428" s="989"/>
      <c r="C1428" s="995"/>
      <c r="D1428" s="996"/>
      <c r="E1428" s="996"/>
      <c r="F1428" s="996"/>
      <c r="G1428" s="997"/>
    </row>
    <row r="1429" spans="1:11" s="2" customFormat="1" ht="15.75" customHeight="1">
      <c r="A1429" s="988"/>
      <c r="B1429" s="989"/>
      <c r="C1429" s="998"/>
      <c r="D1429" s="999"/>
      <c r="E1429" s="999"/>
      <c r="F1429" s="999"/>
      <c r="G1429" s="1000"/>
    </row>
    <row r="1430" spans="1:11" s="2" customFormat="1" ht="15.75" customHeight="1">
      <c r="A1430" s="990"/>
      <c r="B1430" s="991"/>
      <c r="C1430" s="1001" t="s">
        <v>2</v>
      </c>
      <c r="D1430" s="1002"/>
      <c r="E1430" s="1003"/>
      <c r="F1430" s="23" t="s">
        <v>3</v>
      </c>
      <c r="G1430" s="24" t="s">
        <v>4</v>
      </c>
    </row>
    <row r="1431" spans="1:11" s="2" customFormat="1" ht="69.75" customHeight="1">
      <c r="A1431" s="1021" t="s">
        <v>252</v>
      </c>
      <c r="B1431" s="1022"/>
      <c r="C1431" s="1023" t="s">
        <v>253</v>
      </c>
      <c r="D1431" s="1024"/>
      <c r="E1431" s="1016"/>
      <c r="F1431" s="51" t="s">
        <v>37</v>
      </c>
      <c r="G1431" s="52">
        <v>1.7999999999999998</v>
      </c>
    </row>
    <row r="1432" spans="1:11" s="2" customFormat="1" ht="15.75" customHeight="1">
      <c r="A1432" s="1032" t="s">
        <v>5</v>
      </c>
      <c r="B1432" s="1033"/>
      <c r="C1432" s="1033"/>
      <c r="D1432" s="1033"/>
      <c r="E1432" s="1033"/>
      <c r="F1432" s="1033"/>
      <c r="G1432" s="1034"/>
    </row>
    <row r="1433" spans="1:11" s="2" customFormat="1" ht="19.5" customHeight="1">
      <c r="A1433" s="1027" t="s">
        <v>2</v>
      </c>
      <c r="B1433" s="1028"/>
      <c r="C1433" s="53" t="s">
        <v>3</v>
      </c>
      <c r="D1433" s="53" t="s">
        <v>4</v>
      </c>
      <c r="E1433" s="53" t="s">
        <v>6</v>
      </c>
      <c r="F1433" s="53" t="s">
        <v>7</v>
      </c>
      <c r="G1433" s="1029" t="s">
        <v>8</v>
      </c>
    </row>
    <row r="1434" spans="1:11" s="108" customFormat="1" ht="15.75" customHeight="1">
      <c r="A1434" s="948" t="s">
        <v>9</v>
      </c>
      <c r="B1434" s="949"/>
      <c r="C1434" s="12" t="s">
        <v>3</v>
      </c>
      <c r="D1434" s="9">
        <v>0.05</v>
      </c>
      <c r="E1434" s="13">
        <f>G1449</f>
        <v>7456.5</v>
      </c>
      <c r="F1434" s="55">
        <f>D1434*E1434</f>
        <v>372.82500000000005</v>
      </c>
      <c r="G1434" s="1030"/>
      <c r="H1434" s="2"/>
      <c r="I1434" s="2"/>
      <c r="J1434" s="2"/>
      <c r="K1434" s="2"/>
    </row>
    <row r="1435" spans="1:11" s="108" customFormat="1" ht="15.75" customHeight="1">
      <c r="A1435" s="948" t="s">
        <v>254</v>
      </c>
      <c r="B1435" s="949"/>
      <c r="C1435" s="12" t="s">
        <v>58</v>
      </c>
      <c r="D1435" s="9">
        <v>0.1</v>
      </c>
      <c r="E1435" s="13">
        <f>'MAQUINARIA Y EQUIPOS'!F30</f>
        <v>45982</v>
      </c>
      <c r="F1435" s="55">
        <f>D1435*E1435</f>
        <v>4598.2</v>
      </c>
      <c r="G1435" s="1030"/>
      <c r="H1435" s="2"/>
      <c r="I1435" s="2"/>
      <c r="J1435" s="2"/>
      <c r="K1435" s="2"/>
    </row>
    <row r="1436" spans="1:11" s="2" customFormat="1" ht="15.75" customHeight="1">
      <c r="A1436" s="948" t="s">
        <v>255</v>
      </c>
      <c r="B1436" s="949"/>
      <c r="C1436" s="12" t="s">
        <v>58</v>
      </c>
      <c r="D1436" s="9">
        <v>0.1</v>
      </c>
      <c r="E1436" s="13">
        <f>'MAQUINARIA Y EQUIPOS'!F31</f>
        <v>2261</v>
      </c>
      <c r="F1436" s="55">
        <f>D1436*E1436</f>
        <v>226.10000000000002</v>
      </c>
      <c r="G1436" s="1030"/>
    </row>
    <row r="1437" spans="1:11" s="2" customFormat="1" ht="14.25" customHeight="1">
      <c r="A1437" s="948" t="s">
        <v>75</v>
      </c>
      <c r="B1437" s="949"/>
      <c r="C1437" s="12" t="s">
        <v>58</v>
      </c>
      <c r="D1437" s="9">
        <v>0.02</v>
      </c>
      <c r="E1437" s="13">
        <f>'MAQUINARIA Y EQUIPOS'!F21</f>
        <v>35700</v>
      </c>
      <c r="F1437" s="55">
        <f>D1437*E1437</f>
        <v>714</v>
      </c>
      <c r="G1437" s="1031"/>
    </row>
    <row r="1438" spans="1:11" s="2" customFormat="1" ht="14.25" customHeight="1">
      <c r="A1438" s="948" t="s">
        <v>76</v>
      </c>
      <c r="B1438" s="949"/>
      <c r="C1438" s="9" t="s">
        <v>39</v>
      </c>
      <c r="D1438" s="9">
        <f>0.15*1*1.1</f>
        <v>0.16500000000000001</v>
      </c>
      <c r="E1438" s="13">
        <f>'MAQUINARIA Y EQUIPOS'!F22</f>
        <v>42000</v>
      </c>
      <c r="F1438" s="55">
        <f>D1438*E1438</f>
        <v>6930</v>
      </c>
      <c r="G1438" s="57">
        <f>SUM(F1433:F1438)</f>
        <v>12841.125</v>
      </c>
    </row>
    <row r="1439" spans="1:11" s="2" customFormat="1" ht="13.8">
      <c r="A1439" s="1032" t="s">
        <v>10</v>
      </c>
      <c r="B1439" s="1033"/>
      <c r="C1439" s="1033"/>
      <c r="D1439" s="1033"/>
      <c r="E1439" s="1033"/>
      <c r="F1439" s="1033"/>
      <c r="G1439" s="1034"/>
    </row>
    <row r="1440" spans="1:11" s="2" customFormat="1" ht="15.75" customHeight="1">
      <c r="A1440" s="1027" t="s">
        <v>2</v>
      </c>
      <c r="B1440" s="1028"/>
      <c r="C1440" s="53" t="s">
        <v>3</v>
      </c>
      <c r="D1440" s="53" t="s">
        <v>4</v>
      </c>
      <c r="E1440" s="53" t="s">
        <v>6</v>
      </c>
      <c r="F1440" s="53" t="s">
        <v>11</v>
      </c>
      <c r="G1440" s="61" t="s">
        <v>8</v>
      </c>
    </row>
    <row r="1441" spans="1:7" s="2" customFormat="1" ht="15.75" customHeight="1">
      <c r="A1441" s="1019" t="s">
        <v>115</v>
      </c>
      <c r="B1441" s="1020"/>
      <c r="C1441" s="51" t="s">
        <v>3</v>
      </c>
      <c r="D1441" s="51">
        <v>2</v>
      </c>
      <c r="E1441" s="13">
        <f>'INSUMOS '!E28</f>
        <v>51900</v>
      </c>
      <c r="F1441" s="55">
        <f>D1441*E1441</f>
        <v>103800</v>
      </c>
      <c r="G1441" s="61"/>
    </row>
    <row r="1442" spans="1:7" s="2" customFormat="1" ht="15.75" customHeight="1">
      <c r="A1442" s="948" t="s">
        <v>77</v>
      </c>
      <c r="B1442" s="949"/>
      <c r="C1442" s="12" t="s">
        <v>39</v>
      </c>
      <c r="D1442" s="12">
        <v>0.02</v>
      </c>
      <c r="E1442" s="13">
        <f>SUBANÁLISIS!G89</f>
        <v>431833.82500000001</v>
      </c>
      <c r="F1442" s="55">
        <f>D1442*E1442</f>
        <v>8636.6764999999996</v>
      </c>
      <c r="G1442" s="57">
        <f>SUM(F1440:F1442)</f>
        <v>112436.6765</v>
      </c>
    </row>
    <row r="1443" spans="1:7" s="2" customFormat="1" ht="15.75" customHeight="1">
      <c r="A1443" s="1032" t="s">
        <v>15</v>
      </c>
      <c r="B1443" s="1033"/>
      <c r="C1443" s="1033"/>
      <c r="D1443" s="1033"/>
      <c r="E1443" s="1033"/>
      <c r="F1443" s="1033"/>
      <c r="G1443" s="1034"/>
    </row>
    <row r="1444" spans="1:7" s="2" customFormat="1" ht="15.75" customHeight="1">
      <c r="A1444" s="974" t="s">
        <v>2</v>
      </c>
      <c r="B1444" s="975"/>
      <c r="C1444" s="11" t="s">
        <v>3</v>
      </c>
      <c r="D1444" s="11" t="s">
        <v>4</v>
      </c>
      <c r="E1444" s="11" t="s">
        <v>6</v>
      </c>
      <c r="F1444" s="11" t="s">
        <v>11</v>
      </c>
      <c r="G1444" s="1029" t="s">
        <v>8</v>
      </c>
    </row>
    <row r="1445" spans="1:7" s="2" customFormat="1" ht="13.8">
      <c r="A1445" s="1019" t="s">
        <v>68</v>
      </c>
      <c r="B1445" s="1020"/>
      <c r="C1445" s="16" t="s">
        <v>3</v>
      </c>
      <c r="D1445" s="32">
        <v>0.1</v>
      </c>
      <c r="E1445" s="17">
        <v>150000</v>
      </c>
      <c r="F1445" s="55">
        <f>E1445*D1445</f>
        <v>15000</v>
      </c>
      <c r="G1445" s="1031"/>
    </row>
    <row r="1446" spans="1:7" s="2" customFormat="1" ht="15.75" customHeight="1">
      <c r="A1446" s="983" t="s">
        <v>78</v>
      </c>
      <c r="B1446" s="984"/>
      <c r="C1446" s="16" t="s">
        <v>39</v>
      </c>
      <c r="D1446" s="34">
        <f>+D1438</f>
        <v>0.16500000000000001</v>
      </c>
      <c r="E1446" s="13">
        <v>64285.714285714283</v>
      </c>
      <c r="F1446" s="55">
        <f>E1446*D1446</f>
        <v>10607.142857142857</v>
      </c>
      <c r="G1446" s="57">
        <f>SUM(F1445:F1446)</f>
        <v>25607.142857142855</v>
      </c>
    </row>
    <row r="1447" spans="1:7" s="2" customFormat="1" ht="15.75" customHeight="1">
      <c r="A1447" s="1032" t="s">
        <v>19</v>
      </c>
      <c r="B1447" s="1033"/>
      <c r="C1447" s="1033"/>
      <c r="D1447" s="1033"/>
      <c r="E1447" s="1033"/>
      <c r="F1447" s="1033"/>
      <c r="G1447" s="1034"/>
    </row>
    <row r="1448" spans="1:7" s="2" customFormat="1" ht="15.75" customHeight="1">
      <c r="A1448" s="974" t="s">
        <v>2</v>
      </c>
      <c r="B1448" s="975"/>
      <c r="C1448" s="11" t="s">
        <v>3</v>
      </c>
      <c r="D1448" s="11" t="s">
        <v>4</v>
      </c>
      <c r="E1448" s="11" t="s">
        <v>6</v>
      </c>
      <c r="F1448" s="11" t="s">
        <v>11</v>
      </c>
      <c r="G1448" s="18" t="s">
        <v>8</v>
      </c>
    </row>
    <row r="1449" spans="1:7" s="2" customFormat="1" ht="15" customHeight="1">
      <c r="A1449" s="978" t="str">
        <f>SALARIOS!$A$61</f>
        <v>CUADRILLA AA ALBAÑILERÍA 1:1</v>
      </c>
      <c r="B1449" s="979"/>
      <c r="C1449" s="13" t="s">
        <v>1245</v>
      </c>
      <c r="D1449" s="32">
        <v>0.3</v>
      </c>
      <c r="E1449" s="13">
        <f>SALARIOS!$C$61</f>
        <v>24855</v>
      </c>
      <c r="F1449" s="14">
        <f>+D1449*E1449</f>
        <v>7456.5</v>
      </c>
      <c r="G1449" s="15">
        <f>F1449</f>
        <v>7456.5</v>
      </c>
    </row>
    <row r="1450" spans="1:7" s="2" customFormat="1" ht="15.75" customHeight="1">
      <c r="A1450" s="1037" t="s">
        <v>25</v>
      </c>
      <c r="B1450" s="1038"/>
      <c r="C1450" s="1038"/>
      <c r="D1450" s="1038"/>
      <c r="E1450" s="1038"/>
      <c r="F1450" s="1038"/>
      <c r="G1450" s="1039"/>
    </row>
    <row r="1451" spans="1:7" s="2" customFormat="1" ht="15.75" customHeight="1">
      <c r="A1451" s="1040"/>
      <c r="B1451" s="1041"/>
      <c r="C1451" s="1041"/>
      <c r="D1451" s="1041"/>
      <c r="E1451" s="1041"/>
      <c r="F1451" s="1042"/>
      <c r="G1451" s="62">
        <f>G1449+G1446+G1442+G1438</f>
        <v>158341.44435714284</v>
      </c>
    </row>
    <row r="1452" spans="1:7" s="2" customFormat="1" ht="17.399999999999999">
      <c r="A1452" s="112"/>
      <c r="B1452" s="113"/>
      <c r="C1452" s="114"/>
      <c r="D1452" s="114"/>
      <c r="E1452" s="113"/>
      <c r="F1452" s="114"/>
      <c r="G1452" s="115"/>
    </row>
    <row r="1453" spans="1:7" s="2" customFormat="1" ht="15.75" customHeight="1">
      <c r="A1453" s="986" t="s">
        <v>1</v>
      </c>
      <c r="B1453" s="987"/>
      <c r="C1453" s="992" t="s">
        <v>0</v>
      </c>
      <c r="D1453" s="993"/>
      <c r="E1453" s="993"/>
      <c r="F1453" s="993"/>
      <c r="G1453" s="994"/>
    </row>
    <row r="1454" spans="1:7" s="2" customFormat="1" ht="57.75" customHeight="1">
      <c r="A1454" s="988"/>
      <c r="B1454" s="989"/>
      <c r="C1454" s="995"/>
      <c r="D1454" s="996"/>
      <c r="E1454" s="996"/>
      <c r="F1454" s="996"/>
      <c r="G1454" s="997"/>
    </row>
    <row r="1455" spans="1:7" s="2" customFormat="1" ht="15.75" customHeight="1">
      <c r="A1455" s="988"/>
      <c r="B1455" s="989"/>
      <c r="C1455" s="998"/>
      <c r="D1455" s="999"/>
      <c r="E1455" s="999"/>
      <c r="F1455" s="999"/>
      <c r="G1455" s="1000"/>
    </row>
    <row r="1456" spans="1:7" s="2" customFormat="1" ht="15.75" customHeight="1">
      <c r="A1456" s="990"/>
      <c r="B1456" s="991"/>
      <c r="C1456" s="1001" t="s">
        <v>2</v>
      </c>
      <c r="D1456" s="1002"/>
      <c r="E1456" s="1003"/>
      <c r="F1456" s="23" t="s">
        <v>3</v>
      </c>
      <c r="G1456" s="24" t="s">
        <v>4</v>
      </c>
    </row>
    <row r="1457" spans="1:7" s="2" customFormat="1" ht="93" customHeight="1">
      <c r="A1457" s="1021" t="s">
        <v>257</v>
      </c>
      <c r="B1457" s="1022"/>
      <c r="C1457" s="1023" t="s">
        <v>258</v>
      </c>
      <c r="D1457" s="1024"/>
      <c r="E1457" s="1016"/>
      <c r="F1457" s="51" t="s">
        <v>100</v>
      </c>
      <c r="G1457" s="52">
        <v>77.8</v>
      </c>
    </row>
    <row r="1458" spans="1:7" s="2" customFormat="1" ht="13.8">
      <c r="A1458" s="1006" t="s">
        <v>5</v>
      </c>
      <c r="B1458" s="1007"/>
      <c r="C1458" s="1007"/>
      <c r="D1458" s="1007"/>
      <c r="E1458" s="1007"/>
      <c r="F1458" s="1007"/>
      <c r="G1458" s="1008"/>
    </row>
    <row r="1459" spans="1:7" s="2" customFormat="1" ht="13.8">
      <c r="A1459" s="974" t="s">
        <v>2</v>
      </c>
      <c r="B1459" s="975"/>
      <c r="C1459" s="11" t="s">
        <v>3</v>
      </c>
      <c r="D1459" s="11" t="s">
        <v>4</v>
      </c>
      <c r="E1459" s="11" t="s">
        <v>6</v>
      </c>
      <c r="F1459" s="11" t="s">
        <v>7</v>
      </c>
      <c r="G1459" s="967" t="s">
        <v>8</v>
      </c>
    </row>
    <row r="1460" spans="1:7" s="2" customFormat="1" ht="13.8">
      <c r="A1460" s="948" t="s">
        <v>9</v>
      </c>
      <c r="B1460" s="949"/>
      <c r="C1460" s="12" t="s">
        <v>3</v>
      </c>
      <c r="D1460" s="9">
        <v>0.05</v>
      </c>
      <c r="E1460" s="13">
        <f>G1476</f>
        <v>2485.5</v>
      </c>
      <c r="F1460" s="14">
        <f>D1460*E1460</f>
        <v>124.27500000000001</v>
      </c>
      <c r="G1460" s="969"/>
    </row>
    <row r="1461" spans="1:7" s="2" customFormat="1" ht="15.75" customHeight="1">
      <c r="A1461" s="948"/>
      <c r="B1461" s="949"/>
      <c r="C1461" s="9"/>
      <c r="D1461" s="9"/>
      <c r="E1461" s="13"/>
      <c r="F1461" s="14"/>
      <c r="G1461" s="15">
        <f>SUM(F1459:F1461)</f>
        <v>124.27500000000001</v>
      </c>
    </row>
    <row r="1462" spans="1:7" s="2" customFormat="1" ht="15.75" customHeight="1">
      <c r="A1462" s="1006" t="s">
        <v>10</v>
      </c>
      <c r="B1462" s="1007"/>
      <c r="C1462" s="1007"/>
      <c r="D1462" s="1007"/>
      <c r="E1462" s="1007"/>
      <c r="F1462" s="1007"/>
      <c r="G1462" s="1008"/>
    </row>
    <row r="1463" spans="1:7" s="2" customFormat="1" ht="15.75" customHeight="1">
      <c r="A1463" s="974" t="s">
        <v>2</v>
      </c>
      <c r="B1463" s="975"/>
      <c r="C1463" s="11" t="s">
        <v>3</v>
      </c>
      <c r="D1463" s="11" t="s">
        <v>4</v>
      </c>
      <c r="E1463" s="11" t="s">
        <v>6</v>
      </c>
      <c r="F1463" s="11" t="s">
        <v>11</v>
      </c>
      <c r="G1463" s="967" t="s">
        <v>8</v>
      </c>
    </row>
    <row r="1464" spans="1:7" s="2" customFormat="1" ht="15.75" customHeight="1">
      <c r="A1464" s="948" t="s">
        <v>186</v>
      </c>
      <c r="B1464" s="949"/>
      <c r="C1464" s="12" t="s">
        <v>45</v>
      </c>
      <c r="D1464" s="12">
        <v>2</v>
      </c>
      <c r="E1464" s="13">
        <f>'INSUMOS '!$E$10</f>
        <v>5900</v>
      </c>
      <c r="F1464" s="14">
        <f>D1464*E1464</f>
        <v>11800</v>
      </c>
      <c r="G1464" s="968"/>
    </row>
    <row r="1465" spans="1:7" s="2" customFormat="1" ht="14.25" customHeight="1">
      <c r="A1465" s="948" t="s">
        <v>1036</v>
      </c>
      <c r="B1465" s="949"/>
      <c r="C1465" s="12" t="s">
        <v>39</v>
      </c>
      <c r="D1465" s="34">
        <v>1.5E-3</v>
      </c>
      <c r="E1465" s="13">
        <f>SUBANÁLISIS!$G$146</f>
        <v>702267.57499999995</v>
      </c>
      <c r="F1465" s="14">
        <f>D1465*E1465</f>
        <v>1053.4013625</v>
      </c>
      <c r="G1465" s="968"/>
    </row>
    <row r="1466" spans="1:7" s="2" customFormat="1" ht="15.75" customHeight="1">
      <c r="A1466" s="948" t="s">
        <v>187</v>
      </c>
      <c r="B1466" s="949"/>
      <c r="C1466" s="12" t="s">
        <v>188</v>
      </c>
      <c r="D1466" s="12">
        <v>0.08</v>
      </c>
      <c r="E1466" s="13">
        <f>'INSUMOS '!$E$78</f>
        <v>13733.333333333334</v>
      </c>
      <c r="F1466" s="14">
        <f>D1466*E1466</f>
        <v>1098.6666666666667</v>
      </c>
      <c r="G1466" s="968"/>
    </row>
    <row r="1467" spans="1:7" s="2" customFormat="1" ht="15.75" customHeight="1">
      <c r="A1467" s="948" t="s">
        <v>189</v>
      </c>
      <c r="B1467" s="949"/>
      <c r="C1467" s="12" t="s">
        <v>190</v>
      </c>
      <c r="D1467" s="12">
        <v>0.06</v>
      </c>
      <c r="E1467" s="13">
        <f>'INSUMOS '!$E$148</f>
        <v>302900</v>
      </c>
      <c r="F1467" s="14">
        <f>D1467*E1467</f>
        <v>18174</v>
      </c>
      <c r="G1467" s="969"/>
    </row>
    <row r="1468" spans="1:7" s="2" customFormat="1" ht="15.75" customHeight="1">
      <c r="A1468" s="948"/>
      <c r="B1468" s="949"/>
      <c r="C1468" s="12"/>
      <c r="D1468" s="33"/>
      <c r="E1468" s="13"/>
      <c r="F1468" s="14"/>
      <c r="G1468" s="15">
        <f>SUM(F1463:F1468)</f>
        <v>32126.068029166665</v>
      </c>
    </row>
    <row r="1469" spans="1:7" s="2" customFormat="1" ht="15.75" customHeight="1">
      <c r="A1469" s="1006" t="s">
        <v>15</v>
      </c>
      <c r="B1469" s="1007"/>
      <c r="C1469" s="1007"/>
      <c r="D1469" s="1007"/>
      <c r="E1469" s="1007"/>
      <c r="F1469" s="1007"/>
      <c r="G1469" s="1008"/>
    </row>
    <row r="1470" spans="1:7" s="2" customFormat="1" ht="15.75" customHeight="1">
      <c r="A1470" s="974" t="s">
        <v>2</v>
      </c>
      <c r="B1470" s="975"/>
      <c r="C1470" s="11" t="s">
        <v>3</v>
      </c>
      <c r="D1470" s="11" t="s">
        <v>4</v>
      </c>
      <c r="E1470" s="11" t="s">
        <v>6</v>
      </c>
      <c r="F1470" s="11" t="s">
        <v>11</v>
      </c>
      <c r="G1470" s="967" t="s">
        <v>8</v>
      </c>
    </row>
    <row r="1471" spans="1:7" s="2" customFormat="1" ht="15.75" customHeight="1">
      <c r="A1471" s="1019" t="s">
        <v>68</v>
      </c>
      <c r="B1471" s="1020"/>
      <c r="C1471" s="16" t="s">
        <v>3</v>
      </c>
      <c r="D1471" s="54">
        <v>3.5000000000000003E-2</v>
      </c>
      <c r="E1471" s="17">
        <f>G1461</f>
        <v>124.27500000000001</v>
      </c>
      <c r="F1471" s="14">
        <f>E1471*D1471</f>
        <v>4.3496250000000005</v>
      </c>
      <c r="G1471" s="968"/>
    </row>
    <row r="1472" spans="1:7" s="2" customFormat="1" ht="15.75" customHeight="1">
      <c r="A1472" s="1019" t="s">
        <v>191</v>
      </c>
      <c r="B1472" s="1020"/>
      <c r="C1472" s="16" t="s">
        <v>18</v>
      </c>
      <c r="D1472" s="54">
        <v>3.5000000000000003E-2</v>
      </c>
      <c r="E1472" s="17">
        <f>G1468</f>
        <v>32126.068029166665</v>
      </c>
      <c r="F1472" s="14">
        <f>E1472*D1472</f>
        <v>1124.4123810208334</v>
      </c>
      <c r="G1472" s="969"/>
    </row>
    <row r="1473" spans="1:7" s="2" customFormat="1" ht="15.75" customHeight="1">
      <c r="A1473" s="1025"/>
      <c r="B1473" s="1026"/>
      <c r="C1473" s="38"/>
      <c r="D1473" s="38"/>
      <c r="E1473" s="38"/>
      <c r="F1473" s="38"/>
      <c r="G1473" s="15">
        <f>SUM(F1471:F1473)</f>
        <v>1128.7620060208335</v>
      </c>
    </row>
    <row r="1474" spans="1:7" s="2" customFormat="1" ht="19.5" customHeight="1">
      <c r="A1474" s="1006" t="s">
        <v>19</v>
      </c>
      <c r="B1474" s="1007"/>
      <c r="C1474" s="1007"/>
      <c r="D1474" s="1007"/>
      <c r="E1474" s="1007"/>
      <c r="F1474" s="1007"/>
      <c r="G1474" s="1008"/>
    </row>
    <row r="1475" spans="1:7" s="2" customFormat="1" ht="15.75" customHeight="1">
      <c r="A1475" s="974" t="s">
        <v>2</v>
      </c>
      <c r="B1475" s="975"/>
      <c r="C1475" s="11" t="s">
        <v>3</v>
      </c>
      <c r="D1475" s="11" t="s">
        <v>4</v>
      </c>
      <c r="E1475" s="11" t="s">
        <v>6</v>
      </c>
      <c r="F1475" s="11" t="s">
        <v>11</v>
      </c>
      <c r="G1475" s="18" t="s">
        <v>8</v>
      </c>
    </row>
    <row r="1476" spans="1:7" s="2" customFormat="1" ht="15" customHeight="1">
      <c r="A1476" s="978" t="str">
        <f>SALARIOS!$A$61</f>
        <v>CUADRILLA AA ALBAÑILERÍA 1:1</v>
      </c>
      <c r="B1476" s="979"/>
      <c r="C1476" s="13" t="s">
        <v>1245</v>
      </c>
      <c r="D1476" s="32">
        <v>0.1</v>
      </c>
      <c r="E1476" s="13">
        <f>SALARIOS!$C$61</f>
        <v>24855</v>
      </c>
      <c r="F1476" s="14">
        <f>+D1476*E1476</f>
        <v>2485.5</v>
      </c>
      <c r="G1476" s="15">
        <f>F1476</f>
        <v>2485.5</v>
      </c>
    </row>
    <row r="1477" spans="1:7" s="2" customFormat="1" ht="15.75" customHeight="1">
      <c r="A1477" s="1009" t="s">
        <v>25</v>
      </c>
      <c r="B1477" s="1010"/>
      <c r="C1477" s="1010"/>
      <c r="D1477" s="1010"/>
      <c r="E1477" s="1010"/>
      <c r="F1477" s="1010"/>
      <c r="G1477" s="1011"/>
    </row>
    <row r="1478" spans="1:7" s="2" customFormat="1" ht="15.75" customHeight="1">
      <c r="A1478" s="1012"/>
      <c r="B1478" s="1013"/>
      <c r="C1478" s="1013"/>
      <c r="D1478" s="1013"/>
      <c r="E1478" s="1013"/>
      <c r="F1478" s="1014"/>
      <c r="G1478" s="20">
        <f>G1476+G1473+G1468+G1461</f>
        <v>35864.605035187502</v>
      </c>
    </row>
    <row r="1479" spans="1:7" s="2" customFormat="1" ht="15.75" customHeight="1">
      <c r="A1479" s="112"/>
      <c r="B1479" s="113"/>
      <c r="C1479" s="114"/>
      <c r="D1479" s="114"/>
      <c r="E1479" s="113"/>
      <c r="F1479" s="114"/>
      <c r="G1479" s="115"/>
    </row>
    <row r="1480" spans="1:7" s="2" customFormat="1" ht="62.25" customHeight="1">
      <c r="A1480" s="986" t="s">
        <v>1</v>
      </c>
      <c r="B1480" s="987"/>
      <c r="C1480" s="992" t="s">
        <v>0</v>
      </c>
      <c r="D1480" s="993"/>
      <c r="E1480" s="993"/>
      <c r="F1480" s="993"/>
      <c r="G1480" s="994"/>
    </row>
    <row r="1481" spans="1:7" s="2" customFormat="1" ht="15.75" customHeight="1">
      <c r="A1481" s="988"/>
      <c r="B1481" s="989"/>
      <c r="C1481" s="995"/>
      <c r="D1481" s="996"/>
      <c r="E1481" s="996"/>
      <c r="F1481" s="996"/>
      <c r="G1481" s="997"/>
    </row>
    <row r="1482" spans="1:7" s="2" customFormat="1" ht="15.75" customHeight="1">
      <c r="A1482" s="988"/>
      <c r="B1482" s="989"/>
      <c r="C1482" s="998"/>
      <c r="D1482" s="999"/>
      <c r="E1482" s="999"/>
      <c r="F1482" s="999"/>
      <c r="G1482" s="1000"/>
    </row>
    <row r="1483" spans="1:7" s="2" customFormat="1" ht="13.8">
      <c r="A1483" s="990"/>
      <c r="B1483" s="991"/>
      <c r="C1483" s="1001" t="s">
        <v>2</v>
      </c>
      <c r="D1483" s="1002"/>
      <c r="E1483" s="1003"/>
      <c r="F1483" s="23" t="s">
        <v>3</v>
      </c>
      <c r="G1483" s="24" t="s">
        <v>4</v>
      </c>
    </row>
    <row r="1484" spans="1:7" s="2" customFormat="1" ht="212.25" customHeight="1">
      <c r="A1484" s="1021" t="s">
        <v>259</v>
      </c>
      <c r="B1484" s="1022"/>
      <c r="C1484" s="1023" t="s">
        <v>142</v>
      </c>
      <c r="D1484" s="1024"/>
      <c r="E1484" s="1016"/>
      <c r="F1484" s="51" t="s">
        <v>37</v>
      </c>
      <c r="G1484" s="52">
        <v>23.81</v>
      </c>
    </row>
    <row r="1485" spans="1:7" s="2" customFormat="1" ht="13.8">
      <c r="A1485" s="1006" t="s">
        <v>5</v>
      </c>
      <c r="B1485" s="1007"/>
      <c r="C1485" s="1007"/>
      <c r="D1485" s="1007"/>
      <c r="E1485" s="1007"/>
      <c r="F1485" s="1007"/>
      <c r="G1485" s="1008"/>
    </row>
    <row r="1486" spans="1:7" s="2" customFormat="1" ht="15.75" customHeight="1">
      <c r="A1486" s="974" t="s">
        <v>2</v>
      </c>
      <c r="B1486" s="975"/>
      <c r="C1486" s="11" t="s">
        <v>3</v>
      </c>
      <c r="D1486" s="11" t="s">
        <v>4</v>
      </c>
      <c r="E1486" s="11" t="s">
        <v>6</v>
      </c>
      <c r="F1486" s="11" t="s">
        <v>7</v>
      </c>
      <c r="G1486" s="967" t="s">
        <v>8</v>
      </c>
    </row>
    <row r="1487" spans="1:7" s="2" customFormat="1" ht="13.8">
      <c r="A1487" s="948" t="s">
        <v>9</v>
      </c>
      <c r="B1487" s="949"/>
      <c r="C1487" s="12" t="s">
        <v>3</v>
      </c>
      <c r="D1487" s="9">
        <v>0.05</v>
      </c>
      <c r="E1487" s="13">
        <f>G1502</f>
        <v>43271</v>
      </c>
      <c r="F1487" s="14">
        <f>D1487*E1487</f>
        <v>2163.5500000000002</v>
      </c>
      <c r="G1487" s="968"/>
    </row>
    <row r="1488" spans="1:7" s="2" customFormat="1" ht="15.75" customHeight="1">
      <c r="A1488" s="983" t="s">
        <v>112</v>
      </c>
      <c r="B1488" s="984"/>
      <c r="C1488" s="12" t="s">
        <v>58</v>
      </c>
      <c r="D1488" s="9">
        <v>0.04</v>
      </c>
      <c r="E1488" s="13">
        <f>'MAQUINARIA Y EQUIPOS'!$F$23</f>
        <v>28203</v>
      </c>
      <c r="F1488" s="14">
        <f>D1488*E1488</f>
        <v>1128.1200000000001</v>
      </c>
      <c r="G1488" s="968"/>
    </row>
    <row r="1489" spans="1:7" s="2" customFormat="1" ht="15.75" customHeight="1">
      <c r="A1489" s="948" t="s">
        <v>113</v>
      </c>
      <c r="B1489" s="949"/>
      <c r="C1489" s="12" t="s">
        <v>58</v>
      </c>
      <c r="D1489" s="9">
        <v>0.3</v>
      </c>
      <c r="E1489" s="13">
        <f>'MAQUINARIA Y EQUIPOS'!$F$10</f>
        <v>3272.5</v>
      </c>
      <c r="F1489" s="14">
        <f>D1489*E1489</f>
        <v>981.75</v>
      </c>
      <c r="G1489" s="969"/>
    </row>
    <row r="1490" spans="1:7" s="2" customFormat="1" ht="15.75" customHeight="1">
      <c r="A1490" s="948" t="s">
        <v>61</v>
      </c>
      <c r="B1490" s="949"/>
      <c r="C1490" s="12" t="s">
        <v>58</v>
      </c>
      <c r="D1490" s="9">
        <v>0.1</v>
      </c>
      <c r="E1490" s="13">
        <f>'MAQUINARIA Y EQUIPOS'!$F$18</f>
        <v>40460</v>
      </c>
      <c r="F1490" s="14">
        <f>D1490*E1490</f>
        <v>4046</v>
      </c>
      <c r="G1490" s="15">
        <f>SUM(F1486:F1490)</f>
        <v>8319.42</v>
      </c>
    </row>
    <row r="1491" spans="1:7" s="2" customFormat="1" ht="13.8">
      <c r="A1491" s="1006" t="s">
        <v>10</v>
      </c>
      <c r="B1491" s="1007"/>
      <c r="C1491" s="1007"/>
      <c r="D1491" s="1007"/>
      <c r="E1491" s="1007"/>
      <c r="F1491" s="1007"/>
      <c r="G1491" s="1008"/>
    </row>
    <row r="1492" spans="1:7" s="2" customFormat="1" ht="13.8">
      <c r="A1492" s="974" t="s">
        <v>2</v>
      </c>
      <c r="B1492" s="975"/>
      <c r="C1492" s="11" t="s">
        <v>3</v>
      </c>
      <c r="D1492" s="11" t="s">
        <v>4</v>
      </c>
      <c r="E1492" s="11" t="s">
        <v>6</v>
      </c>
      <c r="F1492" s="11" t="s">
        <v>11</v>
      </c>
      <c r="G1492" s="967" t="s">
        <v>8</v>
      </c>
    </row>
    <row r="1493" spans="1:7" s="2" customFormat="1" ht="33" customHeight="1">
      <c r="A1493" s="948" t="s">
        <v>115</v>
      </c>
      <c r="B1493" s="949"/>
      <c r="C1493" s="12" t="s">
        <v>3</v>
      </c>
      <c r="D1493" s="12">
        <v>0.03</v>
      </c>
      <c r="E1493" s="13">
        <f>'INSUMOS '!$E$28</f>
        <v>51900</v>
      </c>
      <c r="F1493" s="14">
        <f>D1493*E1493</f>
        <v>1557</v>
      </c>
      <c r="G1493" s="968"/>
    </row>
    <row r="1494" spans="1:7" s="2" customFormat="1" ht="14.25" customHeight="1">
      <c r="A1494" s="948" t="s">
        <v>114</v>
      </c>
      <c r="B1494" s="949"/>
      <c r="C1494" s="12" t="s">
        <v>39</v>
      </c>
      <c r="D1494" s="12">
        <v>0.03</v>
      </c>
      <c r="E1494" s="13">
        <f>SUBANÁLISIS!$G$146</f>
        <v>702267.57499999995</v>
      </c>
      <c r="F1494" s="14">
        <f>D1494*E1494</f>
        <v>21068.027249999999</v>
      </c>
      <c r="G1494" s="969"/>
    </row>
    <row r="1495" spans="1:7" s="2" customFormat="1" ht="15.75" customHeight="1">
      <c r="A1495" s="948" t="s">
        <v>1551</v>
      </c>
      <c r="B1495" s="949"/>
      <c r="C1495" s="12" t="s">
        <v>3</v>
      </c>
      <c r="D1495" s="33">
        <v>12.5</v>
      </c>
      <c r="E1495" s="13">
        <f>'INSUMOS '!$E$49</f>
        <v>4150</v>
      </c>
      <c r="F1495" s="14">
        <f>E1495*D1495</f>
        <v>51875</v>
      </c>
      <c r="G1495" s="15">
        <f>SUM(F1492:F1495)</f>
        <v>74500.027249999999</v>
      </c>
    </row>
    <row r="1496" spans="1:7" s="2" customFormat="1" ht="15.75" customHeight="1">
      <c r="A1496" s="1006" t="s">
        <v>15</v>
      </c>
      <c r="B1496" s="1007"/>
      <c r="C1496" s="1007"/>
      <c r="D1496" s="1007"/>
      <c r="E1496" s="1007"/>
      <c r="F1496" s="1007"/>
      <c r="G1496" s="1008"/>
    </row>
    <row r="1497" spans="1:7" s="2" customFormat="1" ht="15.75" customHeight="1">
      <c r="A1497" s="974" t="s">
        <v>2</v>
      </c>
      <c r="B1497" s="975"/>
      <c r="C1497" s="11" t="s">
        <v>3</v>
      </c>
      <c r="D1497" s="11" t="s">
        <v>4</v>
      </c>
      <c r="E1497" s="11" t="s">
        <v>6</v>
      </c>
      <c r="F1497" s="11" t="s">
        <v>11</v>
      </c>
      <c r="G1497" s="967" t="s">
        <v>8</v>
      </c>
    </row>
    <row r="1498" spans="1:7" s="2" customFormat="1" ht="15.75" customHeight="1">
      <c r="A1498" s="1019" t="s">
        <v>68</v>
      </c>
      <c r="B1498" s="1020"/>
      <c r="C1498" s="16" t="s">
        <v>3</v>
      </c>
      <c r="D1498" s="54">
        <v>3.5000000000000003E-2</v>
      </c>
      <c r="E1498" s="17">
        <f>G1490</f>
        <v>8319.42</v>
      </c>
      <c r="F1498" s="14">
        <f>E1498*D1498</f>
        <v>291.17970000000003</v>
      </c>
      <c r="G1498" s="969"/>
    </row>
    <row r="1499" spans="1:7" s="2" customFormat="1" ht="15.75" customHeight="1">
      <c r="A1499" s="1019" t="s">
        <v>17</v>
      </c>
      <c r="B1499" s="1020"/>
      <c r="C1499" s="16" t="s">
        <v>18</v>
      </c>
      <c r="D1499" s="54">
        <v>3.5000000000000003E-2</v>
      </c>
      <c r="E1499" s="17">
        <f>+G1495</f>
        <v>74500.027249999999</v>
      </c>
      <c r="F1499" s="14">
        <f>E1499*D1499</f>
        <v>2607.50095375</v>
      </c>
      <c r="G1499" s="15">
        <f>SUM(F1498:F1499)</f>
        <v>2898.6806537500001</v>
      </c>
    </row>
    <row r="1500" spans="1:7" s="2" customFormat="1" ht="15.75" customHeight="1">
      <c r="A1500" s="1006" t="s">
        <v>19</v>
      </c>
      <c r="B1500" s="1007"/>
      <c r="C1500" s="1007"/>
      <c r="D1500" s="1007"/>
      <c r="E1500" s="1007"/>
      <c r="F1500" s="1007"/>
      <c r="G1500" s="1008"/>
    </row>
    <row r="1501" spans="1:7" s="2" customFormat="1" ht="15.75" customHeight="1">
      <c r="A1501" s="974" t="s">
        <v>2</v>
      </c>
      <c r="B1501" s="975"/>
      <c r="C1501" s="11" t="s">
        <v>3</v>
      </c>
      <c r="D1501" s="11" t="s">
        <v>4</v>
      </c>
      <c r="E1501" s="11" t="s">
        <v>6</v>
      </c>
      <c r="F1501" s="11" t="s">
        <v>11</v>
      </c>
      <c r="G1501" s="18" t="s">
        <v>8</v>
      </c>
    </row>
    <row r="1502" spans="1:7" s="2" customFormat="1" ht="15" customHeight="1">
      <c r="A1502" s="978" t="str">
        <f>SALARIOS!$A$63</f>
        <v>CUADRILLA AA ALBAÑILERÍA 1:3</v>
      </c>
      <c r="B1502" s="979"/>
      <c r="C1502" s="13" t="s">
        <v>1245</v>
      </c>
      <c r="D1502" s="32">
        <v>1</v>
      </c>
      <c r="E1502" s="13">
        <f>SALARIOS!$C$63</f>
        <v>43271</v>
      </c>
      <c r="F1502" s="14">
        <f>+D1502*E1502</f>
        <v>43271</v>
      </c>
      <c r="G1502" s="15">
        <f>F1502</f>
        <v>43271</v>
      </c>
    </row>
    <row r="1503" spans="1:7" s="2" customFormat="1" ht="13.8">
      <c r="A1503" s="1009" t="s">
        <v>25</v>
      </c>
      <c r="B1503" s="1010"/>
      <c r="C1503" s="1010"/>
      <c r="D1503" s="1010"/>
      <c r="E1503" s="1010"/>
      <c r="F1503" s="1010"/>
      <c r="G1503" s="1011"/>
    </row>
    <row r="1504" spans="1:7" s="2" customFormat="1" ht="17.399999999999999">
      <c r="A1504" s="1012"/>
      <c r="B1504" s="1013"/>
      <c r="C1504" s="1013"/>
      <c r="D1504" s="1013"/>
      <c r="E1504" s="1013"/>
      <c r="F1504" s="1014"/>
      <c r="G1504" s="20">
        <f>G1502+G1499+G1495+G1490</f>
        <v>128989.12790375001</v>
      </c>
    </row>
    <row r="1505" spans="1:7" s="2" customFormat="1" ht="17.399999999999999">
      <c r="A1505" s="112"/>
      <c r="B1505" s="113"/>
      <c r="C1505" s="114"/>
      <c r="D1505" s="114"/>
      <c r="E1505" s="113"/>
      <c r="F1505" s="114"/>
      <c r="G1505" s="115"/>
    </row>
    <row r="1506" spans="1:7" s="2" customFormat="1" ht="13.5" customHeight="1">
      <c r="A1506" s="986" t="s">
        <v>1</v>
      </c>
      <c r="B1506" s="987"/>
      <c r="C1506" s="992" t="s">
        <v>0</v>
      </c>
      <c r="D1506" s="993"/>
      <c r="E1506" s="993"/>
      <c r="F1506" s="993"/>
      <c r="G1506" s="994"/>
    </row>
    <row r="1507" spans="1:7" s="2" customFormat="1" ht="56.25" customHeight="1">
      <c r="A1507" s="988"/>
      <c r="B1507" s="989"/>
      <c r="C1507" s="995"/>
      <c r="D1507" s="996"/>
      <c r="E1507" s="996"/>
      <c r="F1507" s="996"/>
      <c r="G1507" s="997"/>
    </row>
    <row r="1508" spans="1:7" s="2" customFormat="1" ht="13.5" customHeight="1">
      <c r="A1508" s="988"/>
      <c r="B1508" s="989"/>
      <c r="C1508" s="998"/>
      <c r="D1508" s="999"/>
      <c r="E1508" s="999"/>
      <c r="F1508" s="999"/>
      <c r="G1508" s="1000"/>
    </row>
    <row r="1509" spans="1:7" s="2" customFormat="1" ht="13.5" customHeight="1">
      <c r="A1509" s="990"/>
      <c r="B1509" s="991"/>
      <c r="C1509" s="1001" t="s">
        <v>2</v>
      </c>
      <c r="D1509" s="1002"/>
      <c r="E1509" s="1003"/>
      <c r="F1509" s="23" t="s">
        <v>3</v>
      </c>
      <c r="G1509" s="24" t="s">
        <v>4</v>
      </c>
    </row>
    <row r="1510" spans="1:7" s="2" customFormat="1" ht="155.25" customHeight="1">
      <c r="A1510" s="1021" t="s">
        <v>260</v>
      </c>
      <c r="B1510" s="1022"/>
      <c r="C1510" s="1023" t="s">
        <v>261</v>
      </c>
      <c r="D1510" s="1024"/>
      <c r="E1510" s="1016"/>
      <c r="F1510" s="51" t="s">
        <v>37</v>
      </c>
      <c r="G1510" s="116">
        <v>55.529999999999994</v>
      </c>
    </row>
    <row r="1511" spans="1:7" s="2" customFormat="1" ht="13.5" customHeight="1">
      <c r="A1511" s="1032" t="s">
        <v>5</v>
      </c>
      <c r="B1511" s="1033"/>
      <c r="C1511" s="1033"/>
      <c r="D1511" s="1033"/>
      <c r="E1511" s="1033"/>
      <c r="F1511" s="1033"/>
      <c r="G1511" s="1034"/>
    </row>
    <row r="1512" spans="1:7" s="2" customFormat="1" ht="13.5" customHeight="1">
      <c r="A1512" s="1027" t="s">
        <v>2</v>
      </c>
      <c r="B1512" s="1028"/>
      <c r="C1512" s="53" t="s">
        <v>3</v>
      </c>
      <c r="D1512" s="53" t="s">
        <v>4</v>
      </c>
      <c r="E1512" s="53" t="s">
        <v>6</v>
      </c>
      <c r="F1512" s="53" t="s">
        <v>7</v>
      </c>
      <c r="G1512" s="1029" t="s">
        <v>8</v>
      </c>
    </row>
    <row r="1513" spans="1:7" s="2" customFormat="1" ht="13.5" customHeight="1">
      <c r="A1513" s="1015" t="s">
        <v>262</v>
      </c>
      <c r="B1513" s="1016"/>
      <c r="C1513" s="51" t="s">
        <v>3</v>
      </c>
      <c r="D1513" s="117">
        <v>0.5</v>
      </c>
      <c r="E1513" s="17">
        <f>G1531</f>
        <v>164478</v>
      </c>
      <c r="F1513" s="55">
        <f>D1513*E1513</f>
        <v>82239</v>
      </c>
      <c r="G1513" s="1030"/>
    </row>
    <row r="1514" spans="1:7" s="2" customFormat="1" ht="13.5" customHeight="1">
      <c r="A1514" s="1015" t="s">
        <v>329</v>
      </c>
      <c r="B1514" s="1016"/>
      <c r="C1514" s="51" t="s">
        <v>60</v>
      </c>
      <c r="D1514" s="117">
        <v>0.03</v>
      </c>
      <c r="E1514" s="17">
        <f>'MAQUINARIA Y EQUIPOS'!F12</f>
        <v>48790</v>
      </c>
      <c r="F1514" s="55">
        <f>D1514*E1514</f>
        <v>1463.7</v>
      </c>
      <c r="G1514" s="1030"/>
    </row>
    <row r="1515" spans="1:7" s="2" customFormat="1" ht="13.5" customHeight="1">
      <c r="A1515" s="1015" t="s">
        <v>93</v>
      </c>
      <c r="B1515" s="1016"/>
      <c r="C1515" s="51" t="s">
        <v>60</v>
      </c>
      <c r="D1515" s="51">
        <v>0.08</v>
      </c>
      <c r="E1515" s="17">
        <f>'MAQUINARIA Y EQUIPOS'!F19</f>
        <v>45763.829999999994</v>
      </c>
      <c r="F1515" s="55">
        <f>D1515*E1515</f>
        <v>3661.1063999999997</v>
      </c>
      <c r="G1515" s="1031"/>
    </row>
    <row r="1516" spans="1:7" s="2" customFormat="1" ht="13.5" customHeight="1">
      <c r="A1516" s="1035"/>
      <c r="B1516" s="1036"/>
      <c r="C1516" s="56"/>
      <c r="D1516" s="56"/>
      <c r="E1516" s="56"/>
      <c r="F1516" s="55"/>
      <c r="G1516" s="57">
        <f>SUM(F1512:F1516)</f>
        <v>87363.806400000001</v>
      </c>
    </row>
    <row r="1517" spans="1:7" s="2" customFormat="1" ht="13.5" customHeight="1">
      <c r="A1517" s="1032" t="s">
        <v>10</v>
      </c>
      <c r="B1517" s="1033"/>
      <c r="C1517" s="1033"/>
      <c r="D1517" s="1033"/>
      <c r="E1517" s="1033"/>
      <c r="F1517" s="1033"/>
      <c r="G1517" s="1034"/>
    </row>
    <row r="1518" spans="1:7" s="2" customFormat="1" ht="13.5" customHeight="1">
      <c r="A1518" s="1027" t="s">
        <v>2</v>
      </c>
      <c r="B1518" s="1028"/>
      <c r="C1518" s="53" t="s">
        <v>3</v>
      </c>
      <c r="D1518" s="53" t="s">
        <v>4</v>
      </c>
      <c r="E1518" s="53" t="s">
        <v>6</v>
      </c>
      <c r="F1518" s="53" t="s">
        <v>11</v>
      </c>
      <c r="G1518" s="1029" t="s">
        <v>8</v>
      </c>
    </row>
    <row r="1519" spans="1:7" s="2" customFormat="1" ht="13.5" customHeight="1">
      <c r="A1519" s="1015" t="s">
        <v>263</v>
      </c>
      <c r="B1519" s="1016"/>
      <c r="C1519" s="16" t="s">
        <v>39</v>
      </c>
      <c r="D1519" s="16">
        <v>0.12</v>
      </c>
      <c r="E1519" s="17">
        <f>SUBANÁLISIS!G61</f>
        <v>604072.9916666667</v>
      </c>
      <c r="F1519" s="55">
        <f>D1519*E1519</f>
        <v>72488.759000000005</v>
      </c>
      <c r="G1519" s="1030"/>
    </row>
    <row r="1520" spans="1:7" s="2" customFormat="1" ht="13.5" customHeight="1">
      <c r="A1520" s="1015" t="s">
        <v>1361</v>
      </c>
      <c r="B1520" s="1016"/>
      <c r="C1520" s="16" t="s">
        <v>37</v>
      </c>
      <c r="D1520" s="16">
        <v>1.2</v>
      </c>
      <c r="E1520" s="17">
        <f>'INSUMOS '!E24</f>
        <v>3174.6857142857143</v>
      </c>
      <c r="F1520" s="55">
        <f>D1520*E1520</f>
        <v>3809.6228571428569</v>
      </c>
      <c r="G1520" s="1030"/>
    </row>
    <row r="1521" spans="1:7" s="2" customFormat="1" ht="13.5" customHeight="1">
      <c r="A1521" s="1015" t="s">
        <v>264</v>
      </c>
      <c r="B1521" s="1016"/>
      <c r="C1521" s="16" t="s">
        <v>39</v>
      </c>
      <c r="D1521" s="16">
        <v>0.2</v>
      </c>
      <c r="E1521" s="17">
        <f>'INSUMOS '!E26</f>
        <v>408750</v>
      </c>
      <c r="F1521" s="55">
        <f>D1521*E1521</f>
        <v>81750</v>
      </c>
      <c r="G1521" s="1030"/>
    </row>
    <row r="1522" spans="1:7" s="2" customFormat="1" ht="13.5" customHeight="1">
      <c r="A1522" s="1015" t="s">
        <v>502</v>
      </c>
      <c r="B1522" s="1016"/>
      <c r="C1522" s="16" t="s">
        <v>37</v>
      </c>
      <c r="D1522" s="58">
        <v>1.2</v>
      </c>
      <c r="E1522" s="17">
        <f>'INSUMOS '!E128</f>
        <v>45600</v>
      </c>
      <c r="F1522" s="55">
        <f>E1522*D1522</f>
        <v>54720</v>
      </c>
      <c r="G1522" s="1031"/>
    </row>
    <row r="1523" spans="1:7" s="2" customFormat="1" ht="13.5" customHeight="1">
      <c r="A1523" s="1015"/>
      <c r="B1523" s="1016"/>
      <c r="C1523" s="16"/>
      <c r="D1523" s="58"/>
      <c r="E1523" s="17"/>
      <c r="F1523" s="55">
        <f>E1523*D1523</f>
        <v>0</v>
      </c>
      <c r="G1523" s="57">
        <f>SUM(F1518:F1523)</f>
        <v>212768.38185714284</v>
      </c>
    </row>
    <row r="1524" spans="1:7" s="2" customFormat="1" ht="13.5" customHeight="1">
      <c r="A1524" s="1032" t="s">
        <v>15</v>
      </c>
      <c r="B1524" s="1033"/>
      <c r="C1524" s="1033"/>
      <c r="D1524" s="1033"/>
      <c r="E1524" s="1033"/>
      <c r="F1524" s="1033"/>
      <c r="G1524" s="1034"/>
    </row>
    <row r="1525" spans="1:7" s="2" customFormat="1" ht="15.75" customHeight="1">
      <c r="A1525" s="974" t="s">
        <v>2</v>
      </c>
      <c r="B1525" s="975"/>
      <c r="C1525" s="11" t="s">
        <v>3</v>
      </c>
      <c r="D1525" s="11" t="s">
        <v>4</v>
      </c>
      <c r="E1525" s="11" t="s">
        <v>6</v>
      </c>
      <c r="F1525" s="11" t="s">
        <v>11</v>
      </c>
      <c r="G1525" s="1029" t="s">
        <v>8</v>
      </c>
    </row>
    <row r="1526" spans="1:7" s="2" customFormat="1" ht="13.5" customHeight="1">
      <c r="A1526" s="1019" t="s">
        <v>17</v>
      </c>
      <c r="B1526" s="1020"/>
      <c r="C1526" s="51" t="s">
        <v>3</v>
      </c>
      <c r="D1526" s="51">
        <v>0.1</v>
      </c>
      <c r="E1526" s="118">
        <f>G1523</f>
        <v>212768.38185714284</v>
      </c>
      <c r="F1526" s="55">
        <f>E1526*D1526</f>
        <v>21276.838185714285</v>
      </c>
      <c r="G1526" s="1030"/>
    </row>
    <row r="1527" spans="1:7" s="2" customFormat="1" ht="13.5" customHeight="1">
      <c r="A1527" s="1019" t="s">
        <v>265</v>
      </c>
      <c r="B1527" s="1020"/>
      <c r="C1527" s="16" t="s">
        <v>3</v>
      </c>
      <c r="D1527" s="16">
        <v>0.1</v>
      </c>
      <c r="E1527" s="17">
        <f>+G1516</f>
        <v>87363.806400000001</v>
      </c>
      <c r="F1527" s="55">
        <f>E1527*D1527</f>
        <v>8736.3806400000012</v>
      </c>
      <c r="G1527" s="1031"/>
    </row>
    <row r="1528" spans="1:7" s="2" customFormat="1" ht="13.5" customHeight="1">
      <c r="A1528" s="59"/>
      <c r="B1528" s="60"/>
      <c r="C1528" s="60"/>
      <c r="D1528" s="60"/>
      <c r="E1528" s="60"/>
      <c r="F1528" s="60"/>
      <c r="G1528" s="57">
        <f>SUM(F1527:F1528)</f>
        <v>8736.3806400000012</v>
      </c>
    </row>
    <row r="1529" spans="1:7" s="2" customFormat="1" ht="13.5" customHeight="1">
      <c r="A1529" s="1032" t="s">
        <v>19</v>
      </c>
      <c r="B1529" s="1033"/>
      <c r="C1529" s="1033"/>
      <c r="D1529" s="1033"/>
      <c r="E1529" s="1033"/>
      <c r="F1529" s="1033"/>
      <c r="G1529" s="1034"/>
    </row>
    <row r="1530" spans="1:7" s="2" customFormat="1" ht="15.75" customHeight="1">
      <c r="A1530" s="974" t="s">
        <v>2</v>
      </c>
      <c r="B1530" s="975"/>
      <c r="C1530" s="11" t="s">
        <v>3</v>
      </c>
      <c r="D1530" s="11" t="s">
        <v>4</v>
      </c>
      <c r="E1530" s="11" t="s">
        <v>6</v>
      </c>
      <c r="F1530" s="11" t="s">
        <v>11</v>
      </c>
      <c r="G1530" s="456" t="s">
        <v>8</v>
      </c>
    </row>
    <row r="1531" spans="1:7" s="2" customFormat="1" ht="15" customHeight="1">
      <c r="A1531" s="978" t="str">
        <f>SALARIOS!$A$105</f>
        <v>CUADRILLA DD CONCRETOS 1:4</v>
      </c>
      <c r="B1531" s="979"/>
      <c r="C1531" s="13" t="s">
        <v>1245</v>
      </c>
      <c r="D1531" s="32">
        <v>3</v>
      </c>
      <c r="E1531" s="13">
        <f>SALARIOS!$C$105</f>
        <v>54826</v>
      </c>
      <c r="F1531" s="14">
        <f>+D1531*E1531</f>
        <v>164478</v>
      </c>
      <c r="G1531" s="57">
        <f>SUM(F1530:F1531)</f>
        <v>164478</v>
      </c>
    </row>
    <row r="1532" spans="1:7" s="2" customFormat="1" ht="13.5" customHeight="1">
      <c r="A1532" s="1037" t="s">
        <v>25</v>
      </c>
      <c r="B1532" s="1038"/>
      <c r="C1532" s="1038"/>
      <c r="D1532" s="1038"/>
      <c r="E1532" s="1038"/>
      <c r="F1532" s="1038"/>
      <c r="G1532" s="1039"/>
    </row>
    <row r="1533" spans="1:7" s="2" customFormat="1" ht="17.25" customHeight="1">
      <c r="A1533" s="1040"/>
      <c r="B1533" s="1041"/>
      <c r="C1533" s="1041"/>
      <c r="D1533" s="1041"/>
      <c r="E1533" s="1041"/>
      <c r="F1533" s="1042"/>
      <c r="G1533" s="62">
        <f>+G1528+G1523+G1516+G1531</f>
        <v>473346.56889714283</v>
      </c>
    </row>
    <row r="1534" spans="1:7" s="2" customFormat="1" ht="13.5" customHeight="1">
      <c r="A1534" s="112"/>
      <c r="B1534" s="113"/>
      <c r="C1534" s="114"/>
      <c r="D1534" s="114"/>
      <c r="E1534" s="113"/>
      <c r="F1534" s="114"/>
      <c r="G1534" s="115"/>
    </row>
    <row r="1535" spans="1:7" s="2" customFormat="1" ht="15.75" customHeight="1">
      <c r="A1535" s="986" t="s">
        <v>1</v>
      </c>
      <c r="B1535" s="987"/>
      <c r="C1535" s="992" t="s">
        <v>0</v>
      </c>
      <c r="D1535" s="993"/>
      <c r="E1535" s="993"/>
      <c r="F1535" s="993"/>
      <c r="G1535" s="994"/>
    </row>
    <row r="1536" spans="1:7" s="2" customFormat="1" ht="47.25" customHeight="1">
      <c r="A1536" s="988"/>
      <c r="B1536" s="989"/>
      <c r="C1536" s="995"/>
      <c r="D1536" s="996"/>
      <c r="E1536" s="996"/>
      <c r="F1536" s="996"/>
      <c r="G1536" s="997"/>
    </row>
    <row r="1537" spans="1:7" s="2" customFormat="1" ht="15.75" customHeight="1">
      <c r="A1537" s="988"/>
      <c r="B1537" s="989"/>
      <c r="C1537" s="998"/>
      <c r="D1537" s="999"/>
      <c r="E1537" s="999"/>
      <c r="F1537" s="999"/>
      <c r="G1537" s="1000"/>
    </row>
    <row r="1538" spans="1:7" s="2" customFormat="1" ht="15.75" customHeight="1">
      <c r="A1538" s="990"/>
      <c r="B1538" s="991"/>
      <c r="C1538" s="1001" t="s">
        <v>2</v>
      </c>
      <c r="D1538" s="1002"/>
      <c r="E1538" s="1003"/>
      <c r="F1538" s="23" t="s">
        <v>3</v>
      </c>
      <c r="G1538" s="24" t="s">
        <v>4</v>
      </c>
    </row>
    <row r="1539" spans="1:7" s="2" customFormat="1" ht="210" customHeight="1">
      <c r="A1539" s="1021" t="s">
        <v>266</v>
      </c>
      <c r="B1539" s="1022"/>
      <c r="C1539" s="1023" t="s">
        <v>142</v>
      </c>
      <c r="D1539" s="1024"/>
      <c r="E1539" s="1016"/>
      <c r="F1539" s="51" t="s">
        <v>37</v>
      </c>
      <c r="G1539" s="52">
        <v>25.4</v>
      </c>
    </row>
    <row r="1540" spans="1:7" s="2" customFormat="1" ht="15.75" customHeight="1">
      <c r="A1540" s="1006" t="s">
        <v>5</v>
      </c>
      <c r="B1540" s="1007"/>
      <c r="C1540" s="1007"/>
      <c r="D1540" s="1007"/>
      <c r="E1540" s="1007"/>
      <c r="F1540" s="1007"/>
      <c r="G1540" s="1008"/>
    </row>
    <row r="1541" spans="1:7" s="2" customFormat="1" ht="13.8">
      <c r="A1541" s="974" t="s">
        <v>2</v>
      </c>
      <c r="B1541" s="975"/>
      <c r="C1541" s="11" t="s">
        <v>3</v>
      </c>
      <c r="D1541" s="11" t="s">
        <v>4</v>
      </c>
      <c r="E1541" s="11" t="s">
        <v>6</v>
      </c>
      <c r="F1541" s="11" t="s">
        <v>7</v>
      </c>
      <c r="G1541" s="967" t="s">
        <v>8</v>
      </c>
    </row>
    <row r="1542" spans="1:7" s="2" customFormat="1" ht="13.8">
      <c r="A1542" s="948" t="s">
        <v>9</v>
      </c>
      <c r="B1542" s="949"/>
      <c r="C1542" s="12" t="s">
        <v>3</v>
      </c>
      <c r="D1542" s="9">
        <v>0.05</v>
      </c>
      <c r="E1542" s="13">
        <f>G1557</f>
        <v>43271</v>
      </c>
      <c r="F1542" s="14">
        <f>D1542*E1542</f>
        <v>2163.5500000000002</v>
      </c>
      <c r="G1542" s="968"/>
    </row>
    <row r="1543" spans="1:7" s="2" customFormat="1" ht="13.8">
      <c r="A1543" s="983" t="s">
        <v>112</v>
      </c>
      <c r="B1543" s="984"/>
      <c r="C1543" s="12" t="s">
        <v>58</v>
      </c>
      <c r="D1543" s="9">
        <v>0.04</v>
      </c>
      <c r="E1543" s="13">
        <f>'MAQUINARIA Y EQUIPOS'!$F$23</f>
        <v>28203</v>
      </c>
      <c r="F1543" s="14">
        <f>D1543*E1543</f>
        <v>1128.1200000000001</v>
      </c>
      <c r="G1543" s="968"/>
    </row>
    <row r="1544" spans="1:7" s="2" customFormat="1" ht="15.75" customHeight="1">
      <c r="A1544" s="948" t="s">
        <v>113</v>
      </c>
      <c r="B1544" s="949"/>
      <c r="C1544" s="12" t="s">
        <v>58</v>
      </c>
      <c r="D1544" s="9">
        <v>0.3</v>
      </c>
      <c r="E1544" s="13">
        <f>'MAQUINARIA Y EQUIPOS'!$F$10</f>
        <v>3272.5</v>
      </c>
      <c r="F1544" s="14">
        <f>D1544*E1544</f>
        <v>981.75</v>
      </c>
      <c r="G1544" s="969"/>
    </row>
    <row r="1545" spans="1:7" s="2" customFormat="1" ht="15.75" customHeight="1">
      <c r="A1545" s="948" t="s">
        <v>61</v>
      </c>
      <c r="B1545" s="949"/>
      <c r="C1545" s="12" t="s">
        <v>58</v>
      </c>
      <c r="D1545" s="9">
        <v>0.1</v>
      </c>
      <c r="E1545" s="13">
        <f>'MAQUINARIA Y EQUIPOS'!$F$18</f>
        <v>40460</v>
      </c>
      <c r="F1545" s="14">
        <f>D1545*E1545</f>
        <v>4046</v>
      </c>
      <c r="G1545" s="15">
        <f>SUM(F1541:F1545)</f>
        <v>8319.42</v>
      </c>
    </row>
    <row r="1546" spans="1:7" s="2" customFormat="1" ht="15.75" customHeight="1">
      <c r="A1546" s="1006" t="s">
        <v>10</v>
      </c>
      <c r="B1546" s="1007"/>
      <c r="C1546" s="1007"/>
      <c r="D1546" s="1007"/>
      <c r="E1546" s="1007"/>
      <c r="F1546" s="1007"/>
      <c r="G1546" s="1008"/>
    </row>
    <row r="1547" spans="1:7" s="2" customFormat="1" ht="15.75" customHeight="1">
      <c r="A1547" s="974" t="s">
        <v>2</v>
      </c>
      <c r="B1547" s="975"/>
      <c r="C1547" s="11" t="s">
        <v>3</v>
      </c>
      <c r="D1547" s="11" t="s">
        <v>4</v>
      </c>
      <c r="E1547" s="11" t="s">
        <v>6</v>
      </c>
      <c r="F1547" s="11" t="s">
        <v>11</v>
      </c>
      <c r="G1547" s="967" t="s">
        <v>8</v>
      </c>
    </row>
    <row r="1548" spans="1:7" s="2" customFormat="1" ht="15.75" customHeight="1">
      <c r="A1548" s="948" t="s">
        <v>115</v>
      </c>
      <c r="B1548" s="949"/>
      <c r="C1548" s="12" t="s">
        <v>3</v>
      </c>
      <c r="D1548" s="12">
        <v>0.03</v>
      </c>
      <c r="E1548" s="13">
        <f>'INSUMOS '!$E$28</f>
        <v>51900</v>
      </c>
      <c r="F1548" s="14">
        <f>D1548*E1548</f>
        <v>1557</v>
      </c>
      <c r="G1548" s="968"/>
    </row>
    <row r="1549" spans="1:7" s="2" customFormat="1" ht="15.75" customHeight="1">
      <c r="A1549" s="948" t="s">
        <v>114</v>
      </c>
      <c r="B1549" s="949"/>
      <c r="C1549" s="12" t="s">
        <v>39</v>
      </c>
      <c r="D1549" s="12">
        <v>0.03</v>
      </c>
      <c r="E1549" s="13">
        <f>SUBANÁLISIS!$G$146</f>
        <v>702267.57499999995</v>
      </c>
      <c r="F1549" s="14">
        <f>D1549*E1549</f>
        <v>21068.027249999999</v>
      </c>
      <c r="G1549" s="969"/>
    </row>
    <row r="1550" spans="1:7" s="2" customFormat="1" ht="15.75" customHeight="1">
      <c r="A1550" s="948" t="s">
        <v>1551</v>
      </c>
      <c r="B1550" s="949"/>
      <c r="C1550" s="12" t="s">
        <v>3</v>
      </c>
      <c r="D1550" s="33">
        <v>12.5</v>
      </c>
      <c r="E1550" s="13">
        <f>'INSUMOS '!$E$49</f>
        <v>4150</v>
      </c>
      <c r="F1550" s="14">
        <f>E1550*D1550</f>
        <v>51875</v>
      </c>
      <c r="G1550" s="15">
        <f>SUM(F1547:F1550)</f>
        <v>74500.027249999999</v>
      </c>
    </row>
    <row r="1551" spans="1:7" s="2" customFormat="1" ht="15.75" customHeight="1">
      <c r="A1551" s="1006" t="s">
        <v>15</v>
      </c>
      <c r="B1551" s="1007"/>
      <c r="C1551" s="1007"/>
      <c r="D1551" s="1007"/>
      <c r="E1551" s="1007"/>
      <c r="F1551" s="1007"/>
      <c r="G1551" s="1008"/>
    </row>
    <row r="1552" spans="1:7" s="2" customFormat="1" ht="15.75" customHeight="1">
      <c r="A1552" s="974" t="s">
        <v>2</v>
      </c>
      <c r="B1552" s="975"/>
      <c r="C1552" s="11" t="s">
        <v>3</v>
      </c>
      <c r="D1552" s="11" t="s">
        <v>4</v>
      </c>
      <c r="E1552" s="11" t="s">
        <v>6</v>
      </c>
      <c r="F1552" s="11" t="s">
        <v>11</v>
      </c>
      <c r="G1552" s="967" t="s">
        <v>8</v>
      </c>
    </row>
    <row r="1553" spans="1:8" s="2" customFormat="1" ht="15.75" customHeight="1">
      <c r="A1553" s="1019" t="s">
        <v>68</v>
      </c>
      <c r="B1553" s="1020"/>
      <c r="C1553" s="16" t="s">
        <v>3</v>
      </c>
      <c r="D1553" s="54">
        <v>3.5000000000000003E-2</v>
      </c>
      <c r="E1553" s="17">
        <f>G1545</f>
        <v>8319.42</v>
      </c>
      <c r="F1553" s="14">
        <f>E1553*D1553</f>
        <v>291.17970000000003</v>
      </c>
      <c r="G1553" s="969"/>
    </row>
    <row r="1554" spans="1:8" s="2" customFormat="1" ht="13.8">
      <c r="A1554" s="1019" t="s">
        <v>17</v>
      </c>
      <c r="B1554" s="1020"/>
      <c r="C1554" s="16" t="s">
        <v>18</v>
      </c>
      <c r="D1554" s="54">
        <v>3.5000000000000003E-2</v>
      </c>
      <c r="E1554" s="17">
        <f>+G1550</f>
        <v>74500.027249999999</v>
      </c>
      <c r="F1554" s="14">
        <f>E1554*D1554</f>
        <v>2607.50095375</v>
      </c>
      <c r="G1554" s="15">
        <f>SUM(F1553:F1554)</f>
        <v>2898.6806537500001</v>
      </c>
    </row>
    <row r="1555" spans="1:8" s="2" customFormat="1" ht="15.75" customHeight="1">
      <c r="A1555" s="1006" t="s">
        <v>19</v>
      </c>
      <c r="B1555" s="1007"/>
      <c r="C1555" s="1007"/>
      <c r="D1555" s="1007"/>
      <c r="E1555" s="1007"/>
      <c r="F1555" s="1007"/>
      <c r="G1555" s="1008"/>
    </row>
    <row r="1556" spans="1:8" s="2" customFormat="1" ht="15.75" customHeight="1">
      <c r="A1556" s="974" t="s">
        <v>2</v>
      </c>
      <c r="B1556" s="975"/>
      <c r="C1556" s="11" t="s">
        <v>3</v>
      </c>
      <c r="D1556" s="11" t="s">
        <v>4</v>
      </c>
      <c r="E1556" s="11" t="s">
        <v>6</v>
      </c>
      <c r="F1556" s="11" t="s">
        <v>11</v>
      </c>
      <c r="G1556" s="18" t="s">
        <v>8</v>
      </c>
    </row>
    <row r="1557" spans="1:8" s="2" customFormat="1" ht="15" customHeight="1">
      <c r="A1557" s="978" t="str">
        <f>SALARIOS!$A$63</f>
        <v>CUADRILLA AA ALBAÑILERÍA 1:3</v>
      </c>
      <c r="B1557" s="979"/>
      <c r="C1557" s="13" t="s">
        <v>1245</v>
      </c>
      <c r="D1557" s="32">
        <v>1</v>
      </c>
      <c r="E1557" s="13">
        <f>SALARIOS!$C$63</f>
        <v>43271</v>
      </c>
      <c r="F1557" s="14">
        <f>+D1557*E1557</f>
        <v>43271</v>
      </c>
      <c r="G1557" s="15">
        <f>F1557</f>
        <v>43271</v>
      </c>
    </row>
    <row r="1558" spans="1:8" s="2" customFormat="1" ht="15.75" customHeight="1">
      <c r="A1558" s="1009" t="s">
        <v>25</v>
      </c>
      <c r="B1558" s="1010"/>
      <c r="C1558" s="1010"/>
      <c r="D1558" s="1010"/>
      <c r="E1558" s="1010"/>
      <c r="F1558" s="1010"/>
      <c r="G1558" s="1011"/>
    </row>
    <row r="1559" spans="1:8" s="2" customFormat="1" ht="15.75" customHeight="1">
      <c r="A1559" s="1012"/>
      <c r="B1559" s="1013"/>
      <c r="C1559" s="1013"/>
      <c r="D1559" s="1013"/>
      <c r="E1559" s="1013"/>
      <c r="F1559" s="1014"/>
      <c r="G1559" s="20">
        <f>G1557+G1554+G1550+G1545</f>
        <v>128989.12790375001</v>
      </c>
    </row>
    <row r="1560" spans="1:8">
      <c r="B1560" s="468"/>
      <c r="F1560" s="455"/>
    </row>
    <row r="1561" spans="1:8">
      <c r="B1561" s="468"/>
      <c r="F1561" s="620"/>
    </row>
    <row r="1562" spans="1:8">
      <c r="B1562" s="468"/>
      <c r="F1562" s="620"/>
      <c r="H1562" s="480"/>
    </row>
    <row r="1563" spans="1:8">
      <c r="B1563" s="468"/>
      <c r="F1563" s="455"/>
    </row>
    <row r="1564" spans="1:8">
      <c r="B1564" s="468"/>
      <c r="F1564" s="455"/>
    </row>
    <row r="1565" spans="1:8">
      <c r="B1565" s="468"/>
      <c r="F1565" s="455"/>
    </row>
    <row r="1566" spans="1:8">
      <c r="B1566" s="966"/>
      <c r="C1566" s="966"/>
      <c r="F1566" s="455"/>
    </row>
    <row r="1567" spans="1:8">
      <c r="B1567" s="966"/>
      <c r="C1567" s="966"/>
      <c r="F1567" s="455"/>
    </row>
    <row r="1568" spans="1:8">
      <c r="B1568" s="468"/>
      <c r="F1568" s="455"/>
    </row>
  </sheetData>
  <mergeCells count="1716">
    <mergeCell ref="B1566:C1566"/>
    <mergeCell ref="B1567:C1567"/>
    <mergeCell ref="A1123:B1123"/>
    <mergeCell ref="A1124:G1124"/>
    <mergeCell ref="G1125:G1126"/>
    <mergeCell ref="A1127:B1127"/>
    <mergeCell ref="A1128:G1128"/>
    <mergeCell ref="A1130:B1130"/>
    <mergeCell ref="A1131:G1131"/>
    <mergeCell ref="A1132:F1132"/>
    <mergeCell ref="A995:B995"/>
    <mergeCell ref="A996:G996"/>
    <mergeCell ref="A997:F997"/>
    <mergeCell ref="G1144:G1151"/>
    <mergeCell ref="A1150:B1150"/>
    <mergeCell ref="A1153:G1153"/>
    <mergeCell ref="A1154:B1154"/>
    <mergeCell ref="G1154:G1155"/>
    <mergeCell ref="A1158:B1158"/>
    <mergeCell ref="A1003:B1003"/>
    <mergeCell ref="C1003:E1003"/>
    <mergeCell ref="A1004:G1004"/>
    <mergeCell ref="A1005:B1005"/>
    <mergeCell ref="G1005:G1010"/>
    <mergeCell ref="A1006:B1006"/>
    <mergeCell ref="A1007:B1007"/>
    <mergeCell ref="A1008:B1008"/>
    <mergeCell ref="A1009:B1009"/>
    <mergeCell ref="A1014:B1014"/>
    <mergeCell ref="A1010:B1010"/>
    <mergeCell ref="A1011:B1011"/>
    <mergeCell ref="A1012:G1012"/>
    <mergeCell ref="A1013:B1013"/>
    <mergeCell ref="G1013:G1015"/>
    <mergeCell ref="A44:B44"/>
    <mergeCell ref="A45:G45"/>
    <mergeCell ref="A46:B46"/>
    <mergeCell ref="G46:G47"/>
    <mergeCell ref="A47:B47"/>
    <mergeCell ref="A48:B48"/>
    <mergeCell ref="A49:G49"/>
    <mergeCell ref="A52:G52"/>
    <mergeCell ref="A53:F53"/>
    <mergeCell ref="A55:B58"/>
    <mergeCell ref="C55:G56"/>
    <mergeCell ref="C57:G57"/>
    <mergeCell ref="C58:E58"/>
    <mergeCell ref="A59:B59"/>
    <mergeCell ref="A1187:F1187"/>
    <mergeCell ref="G903:G905"/>
    <mergeCell ref="A70:B70"/>
    <mergeCell ref="A71:G71"/>
    <mergeCell ref="A72:B72"/>
    <mergeCell ref="G72:G73"/>
    <mergeCell ref="A73:B73"/>
    <mergeCell ref="A74:B74"/>
    <mergeCell ref="A75:G75"/>
    <mergeCell ref="A78:G78"/>
    <mergeCell ref="A79:F79"/>
    <mergeCell ref="A81:B84"/>
    <mergeCell ref="C81:G82"/>
    <mergeCell ref="C83:G83"/>
    <mergeCell ref="C84:E84"/>
    <mergeCell ref="A85:B85"/>
    <mergeCell ref="G586:G591"/>
    <mergeCell ref="A592:B592"/>
    <mergeCell ref="A593:G593"/>
    <mergeCell ref="G594:G595"/>
    <mergeCell ref="A596:B596"/>
    <mergeCell ref="A597:G597"/>
    <mergeCell ref="A599:B599"/>
    <mergeCell ref="A600:G600"/>
    <mergeCell ref="A601:F601"/>
    <mergeCell ref="G953:G958"/>
    <mergeCell ref="A959:B959"/>
    <mergeCell ref="A960:G960"/>
    <mergeCell ref="G961:G962"/>
    <mergeCell ref="A963:B963"/>
    <mergeCell ref="A964:G964"/>
    <mergeCell ref="A29:B32"/>
    <mergeCell ref="C29:G30"/>
    <mergeCell ref="C31:G31"/>
    <mergeCell ref="C32:E32"/>
    <mergeCell ref="A33:B33"/>
    <mergeCell ref="C33:E33"/>
    <mergeCell ref="A34:G34"/>
    <mergeCell ref="A35:B35"/>
    <mergeCell ref="G35:G38"/>
    <mergeCell ref="A36:B36"/>
    <mergeCell ref="A37:B37"/>
    <mergeCell ref="A38:B38"/>
    <mergeCell ref="A39:B39"/>
    <mergeCell ref="A40:G40"/>
    <mergeCell ref="A41:B41"/>
    <mergeCell ref="A42:B42"/>
    <mergeCell ref="A43:B43"/>
    <mergeCell ref="G41:G43"/>
    <mergeCell ref="C59:E59"/>
    <mergeCell ref="A60:G60"/>
    <mergeCell ref="A50:B50"/>
    <mergeCell ref="A51:B51"/>
    <mergeCell ref="A61:B61"/>
    <mergeCell ref="G61:G64"/>
    <mergeCell ref="A62:B62"/>
    <mergeCell ref="A63:B63"/>
    <mergeCell ref="A64:B64"/>
    <mergeCell ref="A65:B65"/>
    <mergeCell ref="A66:G66"/>
    <mergeCell ref="A67:B67"/>
    <mergeCell ref="G67:G69"/>
    <mergeCell ref="A68:B68"/>
    <mergeCell ref="A69:B69"/>
    <mergeCell ref="C85:E85"/>
    <mergeCell ref="A86:G86"/>
    <mergeCell ref="A87:B87"/>
    <mergeCell ref="A88:B88"/>
    <mergeCell ref="A89:B89"/>
    <mergeCell ref="A90:G90"/>
    <mergeCell ref="A76:B76"/>
    <mergeCell ref="A77:B77"/>
    <mergeCell ref="G87:G88"/>
    <mergeCell ref="A91:B91"/>
    <mergeCell ref="G91:G96"/>
    <mergeCell ref="A92:B92"/>
    <mergeCell ref="A94:B94"/>
    <mergeCell ref="A95:B95"/>
    <mergeCell ref="A96:B96"/>
    <mergeCell ref="A97:B97"/>
    <mergeCell ref="A98:G98"/>
    <mergeCell ref="A99:B99"/>
    <mergeCell ref="G99:G100"/>
    <mergeCell ref="A100:B100"/>
    <mergeCell ref="A101:B101"/>
    <mergeCell ref="A102:G102"/>
    <mergeCell ref="A105:G105"/>
    <mergeCell ref="A106:F106"/>
    <mergeCell ref="A108:B111"/>
    <mergeCell ref="C108:G109"/>
    <mergeCell ref="C110:G110"/>
    <mergeCell ref="C111:E111"/>
    <mergeCell ref="A103:B103"/>
    <mergeCell ref="A104:B104"/>
    <mergeCell ref="A93:B93"/>
    <mergeCell ref="A112:B112"/>
    <mergeCell ref="C112:E112"/>
    <mergeCell ref="A113:G113"/>
    <mergeCell ref="A114:B114"/>
    <mergeCell ref="A115:B115"/>
    <mergeCell ref="A116:B116"/>
    <mergeCell ref="A117:G117"/>
    <mergeCell ref="A118:B118"/>
    <mergeCell ref="A119:B119"/>
    <mergeCell ref="A121:B121"/>
    <mergeCell ref="A122:B122"/>
    <mergeCell ref="A123:B123"/>
    <mergeCell ref="A124:B124"/>
    <mergeCell ref="A126:B126"/>
    <mergeCell ref="A125:B125"/>
    <mergeCell ref="A120:B120"/>
    <mergeCell ref="G114:G115"/>
    <mergeCell ref="G118:G125"/>
    <mergeCell ref="C166:G166"/>
    <mergeCell ref="C167:E167"/>
    <mergeCell ref="A127:G127"/>
    <mergeCell ref="A128:B128"/>
    <mergeCell ref="G128:G129"/>
    <mergeCell ref="A129:B129"/>
    <mergeCell ref="A130:B130"/>
    <mergeCell ref="A131:G131"/>
    <mergeCell ref="A134:G134"/>
    <mergeCell ref="A135:F135"/>
    <mergeCell ref="A137:B140"/>
    <mergeCell ref="C137:G138"/>
    <mergeCell ref="C139:G139"/>
    <mergeCell ref="C140:E140"/>
    <mergeCell ref="A141:B141"/>
    <mergeCell ref="C141:E141"/>
    <mergeCell ref="A142:G142"/>
    <mergeCell ref="A143:B143"/>
    <mergeCell ref="G143:G146"/>
    <mergeCell ref="A144:B144"/>
    <mergeCell ref="A145:B145"/>
    <mergeCell ref="A146:B146"/>
    <mergeCell ref="A132:B132"/>
    <mergeCell ref="A133:B133"/>
    <mergeCell ref="A159:B159"/>
    <mergeCell ref="A160:B160"/>
    <mergeCell ref="A168:B168"/>
    <mergeCell ref="C168:E168"/>
    <mergeCell ref="A169:G169"/>
    <mergeCell ref="A170:B170"/>
    <mergeCell ref="G170:G173"/>
    <mergeCell ref="A171:B171"/>
    <mergeCell ref="A172:B172"/>
    <mergeCell ref="A173:B173"/>
    <mergeCell ref="A174:B174"/>
    <mergeCell ref="A175:G175"/>
    <mergeCell ref="A176:B176"/>
    <mergeCell ref="G176:G179"/>
    <mergeCell ref="A178:B178"/>
    <mergeCell ref="A180:B180"/>
    <mergeCell ref="A181:G181"/>
    <mergeCell ref="A147:B147"/>
    <mergeCell ref="A148:G148"/>
    <mergeCell ref="A149:B149"/>
    <mergeCell ref="G149:G152"/>
    <mergeCell ref="A150:B150"/>
    <mergeCell ref="A151:B151"/>
    <mergeCell ref="A153:B153"/>
    <mergeCell ref="A154:G154"/>
    <mergeCell ref="A155:B155"/>
    <mergeCell ref="G155:G156"/>
    <mergeCell ref="A156:B156"/>
    <mergeCell ref="A157:B157"/>
    <mergeCell ref="A158:G158"/>
    <mergeCell ref="A161:G161"/>
    <mergeCell ref="A162:F162"/>
    <mergeCell ref="A164:B167"/>
    <mergeCell ref="C164:G165"/>
    <mergeCell ref="A152:B152"/>
    <mergeCell ref="A182:B182"/>
    <mergeCell ref="G182:G183"/>
    <mergeCell ref="A183:B183"/>
    <mergeCell ref="A184:B184"/>
    <mergeCell ref="A185:G185"/>
    <mergeCell ref="A188:G188"/>
    <mergeCell ref="A189:F189"/>
    <mergeCell ref="A191:B194"/>
    <mergeCell ref="C191:G192"/>
    <mergeCell ref="C193:G193"/>
    <mergeCell ref="C194:E194"/>
    <mergeCell ref="A195:B195"/>
    <mergeCell ref="C195:E195"/>
    <mergeCell ref="A196:G196"/>
    <mergeCell ref="A197:B197"/>
    <mergeCell ref="G197:G200"/>
    <mergeCell ref="A198:B198"/>
    <mergeCell ref="A199:B199"/>
    <mergeCell ref="A200:B200"/>
    <mergeCell ref="A187:B187"/>
    <mergeCell ref="A201:B201"/>
    <mergeCell ref="A202:G202"/>
    <mergeCell ref="A203:B203"/>
    <mergeCell ref="G203:G205"/>
    <mergeCell ref="A205:B205"/>
    <mergeCell ref="A206:B206"/>
    <mergeCell ref="A207:G207"/>
    <mergeCell ref="A208:B208"/>
    <mergeCell ref="G208:G209"/>
    <mergeCell ref="A209:B209"/>
    <mergeCell ref="A210:B210"/>
    <mergeCell ref="A211:G211"/>
    <mergeCell ref="A214:G214"/>
    <mergeCell ref="A215:F215"/>
    <mergeCell ref="A217:B220"/>
    <mergeCell ref="C217:G218"/>
    <mergeCell ref="C219:G219"/>
    <mergeCell ref="C220:E220"/>
    <mergeCell ref="A212:B212"/>
    <mergeCell ref="A213:B213"/>
    <mergeCell ref="A204:B204"/>
    <mergeCell ref="A221:B221"/>
    <mergeCell ref="C221:E221"/>
    <mergeCell ref="A222:G222"/>
    <mergeCell ref="A223:B223"/>
    <mergeCell ref="G223:G226"/>
    <mergeCell ref="A224:B224"/>
    <mergeCell ref="A225:B225"/>
    <mergeCell ref="A226:B226"/>
    <mergeCell ref="A227:B227"/>
    <mergeCell ref="A228:G228"/>
    <mergeCell ref="A229:B229"/>
    <mergeCell ref="G229:G231"/>
    <mergeCell ref="A231:B231"/>
    <mergeCell ref="A232:B232"/>
    <mergeCell ref="A233:G233"/>
    <mergeCell ref="A234:B234"/>
    <mergeCell ref="G234:G235"/>
    <mergeCell ref="A235:B235"/>
    <mergeCell ref="A230:B230"/>
    <mergeCell ref="A236:B236"/>
    <mergeCell ref="A237:G237"/>
    <mergeCell ref="A240:G240"/>
    <mergeCell ref="A241:F241"/>
    <mergeCell ref="A243:B246"/>
    <mergeCell ref="C243:G244"/>
    <mergeCell ref="C245:G245"/>
    <mergeCell ref="C246:E246"/>
    <mergeCell ref="A247:B247"/>
    <mergeCell ref="C247:E247"/>
    <mergeCell ref="A248:G248"/>
    <mergeCell ref="A249:B249"/>
    <mergeCell ref="G249:G252"/>
    <mergeCell ref="A250:B250"/>
    <mergeCell ref="A251:B251"/>
    <mergeCell ref="A252:B252"/>
    <mergeCell ref="A238:B238"/>
    <mergeCell ref="A239:B239"/>
    <mergeCell ref="A253:B253"/>
    <mergeCell ref="A254:G254"/>
    <mergeCell ref="A255:B255"/>
    <mergeCell ref="G255:G257"/>
    <mergeCell ref="A257:B257"/>
    <mergeCell ref="A258:B258"/>
    <mergeCell ref="A259:G259"/>
    <mergeCell ref="A260:B260"/>
    <mergeCell ref="G260:G261"/>
    <mergeCell ref="A261:B261"/>
    <mergeCell ref="A262:B262"/>
    <mergeCell ref="A263:G263"/>
    <mergeCell ref="A266:G266"/>
    <mergeCell ref="A267:F267"/>
    <mergeCell ref="A269:B272"/>
    <mergeCell ref="C269:G270"/>
    <mergeCell ref="C271:G271"/>
    <mergeCell ref="C272:E272"/>
    <mergeCell ref="A256:B256"/>
    <mergeCell ref="A264:B264"/>
    <mergeCell ref="A265:B265"/>
    <mergeCell ref="A273:B273"/>
    <mergeCell ref="C273:E273"/>
    <mergeCell ref="A274:G274"/>
    <mergeCell ref="A275:B275"/>
    <mergeCell ref="A276:B276"/>
    <mergeCell ref="A277:G277"/>
    <mergeCell ref="A278:B278"/>
    <mergeCell ref="G278:G279"/>
    <mergeCell ref="A279:B279"/>
    <mergeCell ref="A280:B280"/>
    <mergeCell ref="A281:G281"/>
    <mergeCell ref="A282:B282"/>
    <mergeCell ref="A283:B283"/>
    <mergeCell ref="A284:G284"/>
    <mergeCell ref="A287:G287"/>
    <mergeCell ref="A288:F288"/>
    <mergeCell ref="A286:B286"/>
    <mergeCell ref="A285:B285"/>
    <mergeCell ref="A290:B293"/>
    <mergeCell ref="C290:G291"/>
    <mergeCell ref="C292:G292"/>
    <mergeCell ref="C293:E293"/>
    <mergeCell ref="A294:B294"/>
    <mergeCell ref="C294:E294"/>
    <mergeCell ref="A295:G295"/>
    <mergeCell ref="A296:B296"/>
    <mergeCell ref="A297:B297"/>
    <mergeCell ref="A298:G298"/>
    <mergeCell ref="A299:B299"/>
    <mergeCell ref="A300:B300"/>
    <mergeCell ref="A301:G301"/>
    <mergeCell ref="A302:B302"/>
    <mergeCell ref="A303:B303"/>
    <mergeCell ref="A304:G304"/>
    <mergeCell ref="A305:B305"/>
    <mergeCell ref="A306:B306"/>
    <mergeCell ref="A307:G307"/>
    <mergeCell ref="A308:F308"/>
    <mergeCell ref="A310:B313"/>
    <mergeCell ref="C310:G311"/>
    <mergeCell ref="C312:G312"/>
    <mergeCell ref="C313:E313"/>
    <mergeCell ref="A314:B314"/>
    <mergeCell ref="C314:E314"/>
    <mergeCell ref="A315:G315"/>
    <mergeCell ref="A316:B316"/>
    <mergeCell ref="A317:B317"/>
    <mergeCell ref="A318:G318"/>
    <mergeCell ref="A319:B319"/>
    <mergeCell ref="G319:G320"/>
    <mergeCell ref="A320:B320"/>
    <mergeCell ref="A321:B321"/>
    <mergeCell ref="A322:G322"/>
    <mergeCell ref="A323:B323"/>
    <mergeCell ref="A325:G325"/>
    <mergeCell ref="A328:G328"/>
    <mergeCell ref="A329:F329"/>
    <mergeCell ref="A331:B334"/>
    <mergeCell ref="C331:G332"/>
    <mergeCell ref="C333:G333"/>
    <mergeCell ref="C334:E334"/>
    <mergeCell ref="A335:B335"/>
    <mergeCell ref="C335:E335"/>
    <mergeCell ref="A336:G336"/>
    <mergeCell ref="A337:B337"/>
    <mergeCell ref="A338:B338"/>
    <mergeCell ref="A339:G339"/>
    <mergeCell ref="A340:B340"/>
    <mergeCell ref="G340:G341"/>
    <mergeCell ref="A341:B341"/>
    <mergeCell ref="A326:B326"/>
    <mergeCell ref="A327:B327"/>
    <mergeCell ref="A342:B342"/>
    <mergeCell ref="A343:G343"/>
    <mergeCell ref="A344:B344"/>
    <mergeCell ref="A345:B345"/>
    <mergeCell ref="A346:G346"/>
    <mergeCell ref="A349:G349"/>
    <mergeCell ref="A350:F350"/>
    <mergeCell ref="A352:B355"/>
    <mergeCell ref="C352:G353"/>
    <mergeCell ref="C354:G354"/>
    <mergeCell ref="C355:E355"/>
    <mergeCell ref="A356:B356"/>
    <mergeCell ref="C356:E356"/>
    <mergeCell ref="A357:G357"/>
    <mergeCell ref="A358:B358"/>
    <mergeCell ref="A359:B359"/>
    <mergeCell ref="A347:B347"/>
    <mergeCell ref="A348:B348"/>
    <mergeCell ref="A360:G360"/>
    <mergeCell ref="A361:B361"/>
    <mergeCell ref="G361:G362"/>
    <mergeCell ref="A362:B362"/>
    <mergeCell ref="A363:B363"/>
    <mergeCell ref="A364:G364"/>
    <mergeCell ref="A365:B365"/>
    <mergeCell ref="A366:B366"/>
    <mergeCell ref="A367:G367"/>
    <mergeCell ref="A370:G370"/>
    <mergeCell ref="A371:F371"/>
    <mergeCell ref="A373:B376"/>
    <mergeCell ref="C373:G374"/>
    <mergeCell ref="C375:G375"/>
    <mergeCell ref="C376:E376"/>
    <mergeCell ref="A377:B377"/>
    <mergeCell ref="C377:E377"/>
    <mergeCell ref="A368:B368"/>
    <mergeCell ref="A369:B369"/>
    <mergeCell ref="A378:G378"/>
    <mergeCell ref="A379:B379"/>
    <mergeCell ref="A380:B380"/>
    <mergeCell ref="A381:G381"/>
    <mergeCell ref="A382:B382"/>
    <mergeCell ref="G382:G383"/>
    <mergeCell ref="A383:B383"/>
    <mergeCell ref="A384:B384"/>
    <mergeCell ref="A385:G385"/>
    <mergeCell ref="A386:B386"/>
    <mergeCell ref="A388:G388"/>
    <mergeCell ref="A391:G391"/>
    <mergeCell ref="A392:F392"/>
    <mergeCell ref="A394:B397"/>
    <mergeCell ref="C394:G395"/>
    <mergeCell ref="C396:G396"/>
    <mergeCell ref="C397:E397"/>
    <mergeCell ref="A389:B389"/>
    <mergeCell ref="A390:B390"/>
    <mergeCell ref="A398:B398"/>
    <mergeCell ref="C398:E398"/>
    <mergeCell ref="A399:G399"/>
    <mergeCell ref="A400:B400"/>
    <mergeCell ref="A401:B401"/>
    <mergeCell ref="A402:G402"/>
    <mergeCell ref="A403:B403"/>
    <mergeCell ref="G403:G404"/>
    <mergeCell ref="A404:B404"/>
    <mergeCell ref="A405:B405"/>
    <mergeCell ref="A406:G406"/>
    <mergeCell ref="A407:B407"/>
    <mergeCell ref="A409:G409"/>
    <mergeCell ref="A412:G412"/>
    <mergeCell ref="A413:F413"/>
    <mergeCell ref="A415:B418"/>
    <mergeCell ref="C415:G416"/>
    <mergeCell ref="C417:G417"/>
    <mergeCell ref="C418:E418"/>
    <mergeCell ref="A410:B410"/>
    <mergeCell ref="A411:B411"/>
    <mergeCell ref="A419:B419"/>
    <mergeCell ref="C419:E419"/>
    <mergeCell ref="A420:G420"/>
    <mergeCell ref="A421:B421"/>
    <mergeCell ref="A422:B422"/>
    <mergeCell ref="A423:B423"/>
    <mergeCell ref="A424:B424"/>
    <mergeCell ref="A425:G425"/>
    <mergeCell ref="A426:B426"/>
    <mergeCell ref="A427:B427"/>
    <mergeCell ref="A428:B428"/>
    <mergeCell ref="A429:B429"/>
    <mergeCell ref="A430:B430"/>
    <mergeCell ref="A433:B433"/>
    <mergeCell ref="A435:G435"/>
    <mergeCell ref="A438:G438"/>
    <mergeCell ref="A439:F439"/>
    <mergeCell ref="G421:G422"/>
    <mergeCell ref="G426:G430"/>
    <mergeCell ref="A431:B431"/>
    <mergeCell ref="A432:G432"/>
    <mergeCell ref="A434:B434"/>
    <mergeCell ref="A441:B444"/>
    <mergeCell ref="C441:G442"/>
    <mergeCell ref="C443:G443"/>
    <mergeCell ref="C444:E444"/>
    <mergeCell ref="A445:B445"/>
    <mergeCell ref="C445:E445"/>
    <mergeCell ref="A446:G446"/>
    <mergeCell ref="A447:B447"/>
    <mergeCell ref="G447:G451"/>
    <mergeCell ref="A448:B448"/>
    <mergeCell ref="A449:B449"/>
    <mergeCell ref="A450:B450"/>
    <mergeCell ref="A451:B451"/>
    <mergeCell ref="A436:B436"/>
    <mergeCell ref="A437:B437"/>
    <mergeCell ref="A452:B452"/>
    <mergeCell ref="A455:B455"/>
    <mergeCell ref="A456:B456"/>
    <mergeCell ref="A457:B457"/>
    <mergeCell ref="A458:B458"/>
    <mergeCell ref="A459:G459"/>
    <mergeCell ref="A460:B460"/>
    <mergeCell ref="G460:G461"/>
    <mergeCell ref="A461:B461"/>
    <mergeCell ref="A462:B462"/>
    <mergeCell ref="A463:G463"/>
    <mergeCell ref="A466:G466"/>
    <mergeCell ref="A467:F467"/>
    <mergeCell ref="A464:B464"/>
    <mergeCell ref="A465:B465"/>
    <mergeCell ref="A453:G453"/>
    <mergeCell ref="A454:B454"/>
    <mergeCell ref="G454:G457"/>
    <mergeCell ref="A469:B472"/>
    <mergeCell ref="C469:G470"/>
    <mergeCell ref="C471:G471"/>
    <mergeCell ref="C472:E472"/>
    <mergeCell ref="A473:B473"/>
    <mergeCell ref="C473:E473"/>
    <mergeCell ref="A474:G474"/>
    <mergeCell ref="A475:B475"/>
    <mergeCell ref="G475:G476"/>
    <mergeCell ref="A476:B476"/>
    <mergeCell ref="A477:B477"/>
    <mergeCell ref="A482:B482"/>
    <mergeCell ref="A483:B483"/>
    <mergeCell ref="A486:B486"/>
    <mergeCell ref="A487:B487"/>
    <mergeCell ref="A494:B497"/>
    <mergeCell ref="C494:G495"/>
    <mergeCell ref="C496:G496"/>
    <mergeCell ref="C497:E497"/>
    <mergeCell ref="A498:B498"/>
    <mergeCell ref="C498:E498"/>
    <mergeCell ref="A478:B478"/>
    <mergeCell ref="A479:B479"/>
    <mergeCell ref="A480:G480"/>
    <mergeCell ref="A481:B481"/>
    <mergeCell ref="G481:G482"/>
    <mergeCell ref="A484:G484"/>
    <mergeCell ref="A485:B485"/>
    <mergeCell ref="G485:G486"/>
    <mergeCell ref="A488:G488"/>
    <mergeCell ref="A489:B489"/>
    <mergeCell ref="A491:G491"/>
    <mergeCell ref="A492:F492"/>
    <mergeCell ref="A499:G499"/>
    <mergeCell ref="A500:B500"/>
    <mergeCell ref="G500:G504"/>
    <mergeCell ref="A501:B501"/>
    <mergeCell ref="A502:B502"/>
    <mergeCell ref="A504:B504"/>
    <mergeCell ref="A490:B490"/>
    <mergeCell ref="A505:B505"/>
    <mergeCell ref="A506:G506"/>
    <mergeCell ref="A507:B507"/>
    <mergeCell ref="G507:G508"/>
    <mergeCell ref="A508:B508"/>
    <mergeCell ref="A509:B509"/>
    <mergeCell ref="A510:G510"/>
    <mergeCell ref="A511:B511"/>
    <mergeCell ref="G511:G512"/>
    <mergeCell ref="A512:B512"/>
    <mergeCell ref="A514:G514"/>
    <mergeCell ref="A517:G517"/>
    <mergeCell ref="A518:F518"/>
    <mergeCell ref="A520:B523"/>
    <mergeCell ref="C520:G521"/>
    <mergeCell ref="C522:G522"/>
    <mergeCell ref="C523:E523"/>
    <mergeCell ref="A515:B515"/>
    <mergeCell ref="A516:B516"/>
    <mergeCell ref="A524:B524"/>
    <mergeCell ref="C524:E524"/>
    <mergeCell ref="A525:G525"/>
    <mergeCell ref="A526:B526"/>
    <mergeCell ref="G526:G527"/>
    <mergeCell ref="A527:B527"/>
    <mergeCell ref="A528:B528"/>
    <mergeCell ref="A529:G529"/>
    <mergeCell ref="A530:B530"/>
    <mergeCell ref="G530:G534"/>
    <mergeCell ref="A531:B531"/>
    <mergeCell ref="A532:B532"/>
    <mergeCell ref="A533:B533"/>
    <mergeCell ref="A534:B534"/>
    <mergeCell ref="A535:B535"/>
    <mergeCell ref="A536:G536"/>
    <mergeCell ref="A537:B537"/>
    <mergeCell ref="G537:G539"/>
    <mergeCell ref="A538:B538"/>
    <mergeCell ref="A539:B539"/>
    <mergeCell ref="A540:B540"/>
    <mergeCell ref="A541:G541"/>
    <mergeCell ref="A544:G544"/>
    <mergeCell ref="A545:F545"/>
    <mergeCell ref="A547:B550"/>
    <mergeCell ref="C547:G548"/>
    <mergeCell ref="C549:G549"/>
    <mergeCell ref="C550:E550"/>
    <mergeCell ref="A551:B551"/>
    <mergeCell ref="C551:E551"/>
    <mergeCell ref="A552:G552"/>
    <mergeCell ref="A553:B553"/>
    <mergeCell ref="A554:B554"/>
    <mergeCell ref="A555:B555"/>
    <mergeCell ref="A556:G556"/>
    <mergeCell ref="A542:B542"/>
    <mergeCell ref="A543:B543"/>
    <mergeCell ref="G553:G554"/>
    <mergeCell ref="A557:B557"/>
    <mergeCell ref="A558:B558"/>
    <mergeCell ref="A559:B559"/>
    <mergeCell ref="A560:B560"/>
    <mergeCell ref="A561:B561"/>
    <mergeCell ref="A562:B562"/>
    <mergeCell ref="A564:B564"/>
    <mergeCell ref="A565:B565"/>
    <mergeCell ref="A570:G570"/>
    <mergeCell ref="A576:B579"/>
    <mergeCell ref="C576:G577"/>
    <mergeCell ref="C578:G578"/>
    <mergeCell ref="C579:E579"/>
    <mergeCell ref="A568:B568"/>
    <mergeCell ref="A569:B569"/>
    <mergeCell ref="G557:G564"/>
    <mergeCell ref="A563:B563"/>
    <mergeCell ref="A566:G566"/>
    <mergeCell ref="A567:B567"/>
    <mergeCell ref="G567:G568"/>
    <mergeCell ref="A571:B571"/>
    <mergeCell ref="A572:B572"/>
    <mergeCell ref="A573:G573"/>
    <mergeCell ref="A574:F574"/>
    <mergeCell ref="A580:B580"/>
    <mergeCell ref="C580:E580"/>
    <mergeCell ref="A581:G581"/>
    <mergeCell ref="A582:B582"/>
    <mergeCell ref="A583:B583"/>
    <mergeCell ref="A584:B584"/>
    <mergeCell ref="A585:G585"/>
    <mergeCell ref="A586:B586"/>
    <mergeCell ref="A587:B587"/>
    <mergeCell ref="A588:B588"/>
    <mergeCell ref="A589:B589"/>
    <mergeCell ref="A590:B590"/>
    <mergeCell ref="A591:B591"/>
    <mergeCell ref="G582:G583"/>
    <mergeCell ref="A594:B594"/>
    <mergeCell ref="C632:E632"/>
    <mergeCell ref="A616:B616"/>
    <mergeCell ref="A624:B624"/>
    <mergeCell ref="A625:B625"/>
    <mergeCell ref="A595:B595"/>
    <mergeCell ref="A603:B606"/>
    <mergeCell ref="C603:G604"/>
    <mergeCell ref="C605:G605"/>
    <mergeCell ref="C606:E606"/>
    <mergeCell ref="A607:B607"/>
    <mergeCell ref="C607:E607"/>
    <mergeCell ref="A608:G608"/>
    <mergeCell ref="A609:B609"/>
    <mergeCell ref="G609:G612"/>
    <mergeCell ref="A610:B610"/>
    <mergeCell ref="A611:B611"/>
    <mergeCell ref="A612:B612"/>
    <mergeCell ref="A598:B598"/>
    <mergeCell ref="A633:B633"/>
    <mergeCell ref="C633:E633"/>
    <mergeCell ref="A634:G634"/>
    <mergeCell ref="A635:B635"/>
    <mergeCell ref="G635:G638"/>
    <mergeCell ref="A636:B636"/>
    <mergeCell ref="A637:B637"/>
    <mergeCell ref="A638:B638"/>
    <mergeCell ref="A639:B639"/>
    <mergeCell ref="A640:G640"/>
    <mergeCell ref="A641:B641"/>
    <mergeCell ref="G641:G643"/>
    <mergeCell ref="A643:B643"/>
    <mergeCell ref="A644:B644"/>
    <mergeCell ref="A645:G645"/>
    <mergeCell ref="A613:B613"/>
    <mergeCell ref="A614:G614"/>
    <mergeCell ref="A615:B615"/>
    <mergeCell ref="G615:G617"/>
    <mergeCell ref="A617:B617"/>
    <mergeCell ref="A618:B618"/>
    <mergeCell ref="A619:G619"/>
    <mergeCell ref="A620:B620"/>
    <mergeCell ref="G620:G621"/>
    <mergeCell ref="A621:B621"/>
    <mergeCell ref="A622:B622"/>
    <mergeCell ref="A623:G623"/>
    <mergeCell ref="A626:G626"/>
    <mergeCell ref="A627:F627"/>
    <mergeCell ref="A629:B632"/>
    <mergeCell ref="C629:G630"/>
    <mergeCell ref="C631:G631"/>
    <mergeCell ref="A646:B646"/>
    <mergeCell ref="G646:G647"/>
    <mergeCell ref="A647:B647"/>
    <mergeCell ref="A648:B648"/>
    <mergeCell ref="A649:G649"/>
    <mergeCell ref="A652:G652"/>
    <mergeCell ref="A653:F653"/>
    <mergeCell ref="A655:B658"/>
    <mergeCell ref="C655:G656"/>
    <mergeCell ref="C657:G657"/>
    <mergeCell ref="C658:E658"/>
    <mergeCell ref="A659:B659"/>
    <mergeCell ref="C659:E659"/>
    <mergeCell ref="A660:G660"/>
    <mergeCell ref="A661:B661"/>
    <mergeCell ref="G661:G664"/>
    <mergeCell ref="A662:B662"/>
    <mergeCell ref="A663:B663"/>
    <mergeCell ref="A664:B664"/>
    <mergeCell ref="A650:B650"/>
    <mergeCell ref="A651:B651"/>
    <mergeCell ref="A665:B665"/>
    <mergeCell ref="A666:G666"/>
    <mergeCell ref="A667:B667"/>
    <mergeCell ref="G667:G669"/>
    <mergeCell ref="A669:B669"/>
    <mergeCell ref="A670:B670"/>
    <mergeCell ref="A671:G671"/>
    <mergeCell ref="A672:B672"/>
    <mergeCell ref="G672:G673"/>
    <mergeCell ref="A673:B673"/>
    <mergeCell ref="A674:B674"/>
    <mergeCell ref="A675:G675"/>
    <mergeCell ref="A678:G678"/>
    <mergeCell ref="A679:F679"/>
    <mergeCell ref="A681:B684"/>
    <mergeCell ref="C681:G682"/>
    <mergeCell ref="C683:G683"/>
    <mergeCell ref="C684:E684"/>
    <mergeCell ref="A668:B668"/>
    <mergeCell ref="A676:B676"/>
    <mergeCell ref="A677:B677"/>
    <mergeCell ref="A685:B685"/>
    <mergeCell ref="C685:E685"/>
    <mergeCell ref="A686:G686"/>
    <mergeCell ref="A687:B687"/>
    <mergeCell ref="G687:G690"/>
    <mergeCell ref="A688:B688"/>
    <mergeCell ref="A689:B689"/>
    <mergeCell ref="A690:B690"/>
    <mergeCell ref="A691:B691"/>
    <mergeCell ref="A692:G692"/>
    <mergeCell ref="A693:B693"/>
    <mergeCell ref="G693:G695"/>
    <mergeCell ref="A695:B695"/>
    <mergeCell ref="A696:B696"/>
    <mergeCell ref="A697:G697"/>
    <mergeCell ref="A698:B698"/>
    <mergeCell ref="G698:G699"/>
    <mergeCell ref="A699:B699"/>
    <mergeCell ref="A694:B694"/>
    <mergeCell ref="C735:G735"/>
    <mergeCell ref="C736:E736"/>
    <mergeCell ref="A720:B720"/>
    <mergeCell ref="A728:B728"/>
    <mergeCell ref="A729:B729"/>
    <mergeCell ref="A700:B700"/>
    <mergeCell ref="A701:G701"/>
    <mergeCell ref="A704:G704"/>
    <mergeCell ref="A705:F705"/>
    <mergeCell ref="A707:B710"/>
    <mergeCell ref="C707:G708"/>
    <mergeCell ref="C709:G709"/>
    <mergeCell ref="C710:E710"/>
    <mergeCell ref="A711:B711"/>
    <mergeCell ref="C711:E711"/>
    <mergeCell ref="A712:G712"/>
    <mergeCell ref="A713:B713"/>
    <mergeCell ref="G713:G716"/>
    <mergeCell ref="A714:B714"/>
    <mergeCell ref="A715:B715"/>
    <mergeCell ref="A716:B716"/>
    <mergeCell ref="A702:B702"/>
    <mergeCell ref="A703:B703"/>
    <mergeCell ref="A737:B737"/>
    <mergeCell ref="C737:E737"/>
    <mergeCell ref="A738:G738"/>
    <mergeCell ref="A739:B739"/>
    <mergeCell ref="G739:G743"/>
    <mergeCell ref="A740:B740"/>
    <mergeCell ref="A741:B741"/>
    <mergeCell ref="A742:B742"/>
    <mergeCell ref="A743:B743"/>
    <mergeCell ref="A744:B744"/>
    <mergeCell ref="A745:G745"/>
    <mergeCell ref="A746:B746"/>
    <mergeCell ref="G746:G749"/>
    <mergeCell ref="A748:B748"/>
    <mergeCell ref="A749:B749"/>
    <mergeCell ref="A750:B750"/>
    <mergeCell ref="A717:B717"/>
    <mergeCell ref="A718:G718"/>
    <mergeCell ref="A719:B719"/>
    <mergeCell ref="G719:G721"/>
    <mergeCell ref="A721:B721"/>
    <mergeCell ref="A722:B722"/>
    <mergeCell ref="A723:G723"/>
    <mergeCell ref="A724:B724"/>
    <mergeCell ref="G724:G725"/>
    <mergeCell ref="A725:B725"/>
    <mergeCell ref="A726:B726"/>
    <mergeCell ref="A727:G727"/>
    <mergeCell ref="A730:G730"/>
    <mergeCell ref="A731:F731"/>
    <mergeCell ref="A733:B736"/>
    <mergeCell ref="C733:G734"/>
    <mergeCell ref="A751:G751"/>
    <mergeCell ref="A752:B752"/>
    <mergeCell ref="G752:G753"/>
    <mergeCell ref="A753:B753"/>
    <mergeCell ref="A754:B754"/>
    <mergeCell ref="A755:G755"/>
    <mergeCell ref="A758:G758"/>
    <mergeCell ref="A759:F759"/>
    <mergeCell ref="A761:B764"/>
    <mergeCell ref="C761:G762"/>
    <mergeCell ref="C763:G763"/>
    <mergeCell ref="C764:E764"/>
    <mergeCell ref="A765:B765"/>
    <mergeCell ref="C765:E765"/>
    <mergeCell ref="A766:G766"/>
    <mergeCell ref="A767:B767"/>
    <mergeCell ref="G767:G768"/>
    <mergeCell ref="A768:B768"/>
    <mergeCell ref="A769:B769"/>
    <mergeCell ref="A774:B774"/>
    <mergeCell ref="A775:B775"/>
    <mergeCell ref="A778:B778"/>
    <mergeCell ref="A779:B779"/>
    <mergeCell ref="A786:B789"/>
    <mergeCell ref="C786:G787"/>
    <mergeCell ref="C788:G788"/>
    <mergeCell ref="C789:E789"/>
    <mergeCell ref="A773:B773"/>
    <mergeCell ref="G773:G774"/>
    <mergeCell ref="A776:G776"/>
    <mergeCell ref="A777:B777"/>
    <mergeCell ref="G777:G778"/>
    <mergeCell ref="A780:G780"/>
    <mergeCell ref="A781:B781"/>
    <mergeCell ref="A783:G783"/>
    <mergeCell ref="A784:F784"/>
    <mergeCell ref="A770:B770"/>
    <mergeCell ref="A771:B771"/>
    <mergeCell ref="A772:G772"/>
    <mergeCell ref="A790:B790"/>
    <mergeCell ref="C790:E790"/>
    <mergeCell ref="A791:G791"/>
    <mergeCell ref="A792:B792"/>
    <mergeCell ref="A793:B793"/>
    <mergeCell ref="A794:B794"/>
    <mergeCell ref="A795:B795"/>
    <mergeCell ref="A796:B796"/>
    <mergeCell ref="A799:B799"/>
    <mergeCell ref="A800:B800"/>
    <mergeCell ref="A803:B803"/>
    <mergeCell ref="A804:B804"/>
    <mergeCell ref="G792:G796"/>
    <mergeCell ref="A797:B797"/>
    <mergeCell ref="A798:G798"/>
    <mergeCell ref="G799:G800"/>
    <mergeCell ref="A801:B801"/>
    <mergeCell ref="A802:G802"/>
    <mergeCell ref="G803:G804"/>
    <mergeCell ref="A806:G806"/>
    <mergeCell ref="A809:G809"/>
    <mergeCell ref="A810:F810"/>
    <mergeCell ref="A812:B815"/>
    <mergeCell ref="C812:G813"/>
    <mergeCell ref="C814:G814"/>
    <mergeCell ref="C815:E815"/>
    <mergeCell ref="A816:B816"/>
    <mergeCell ref="C816:E816"/>
    <mergeCell ref="A817:G817"/>
    <mergeCell ref="A818:B818"/>
    <mergeCell ref="G818:G819"/>
    <mergeCell ref="A819:B819"/>
    <mergeCell ref="A820:B820"/>
    <mergeCell ref="A821:G821"/>
    <mergeCell ref="A822:B822"/>
    <mergeCell ref="G822:G826"/>
    <mergeCell ref="A823:B823"/>
    <mergeCell ref="A824:B824"/>
    <mergeCell ref="A825:B825"/>
    <mergeCell ref="A826:B826"/>
    <mergeCell ref="A906:B906"/>
    <mergeCell ref="A907:G907"/>
    <mergeCell ref="A908:B908"/>
    <mergeCell ref="G908:G909"/>
    <mergeCell ref="A909:B909"/>
    <mergeCell ref="A885:G885"/>
    <mergeCell ref="A888:G888"/>
    <mergeCell ref="A889:F889"/>
    <mergeCell ref="A891:B894"/>
    <mergeCell ref="C891:G892"/>
    <mergeCell ref="C893:G893"/>
    <mergeCell ref="C894:E894"/>
    <mergeCell ref="A858:B858"/>
    <mergeCell ref="A859:G859"/>
    <mergeCell ref="A862:G862"/>
    <mergeCell ref="A863:F863"/>
    <mergeCell ref="A865:B868"/>
    <mergeCell ref="C865:G866"/>
    <mergeCell ref="C867:G867"/>
    <mergeCell ref="C868:E868"/>
    <mergeCell ref="A869:B869"/>
    <mergeCell ref="C869:E869"/>
    <mergeCell ref="A870:G870"/>
    <mergeCell ref="A871:B871"/>
    <mergeCell ref="G871:G874"/>
    <mergeCell ref="A872:B872"/>
    <mergeCell ref="A873:B873"/>
    <mergeCell ref="A874:B874"/>
    <mergeCell ref="A905:B905"/>
    <mergeCell ref="A896:G896"/>
    <mergeCell ref="A897:B897"/>
    <mergeCell ref="G897:G900"/>
    <mergeCell ref="A930:B930"/>
    <mergeCell ref="A938:B938"/>
    <mergeCell ref="A939:B939"/>
    <mergeCell ref="A910:B910"/>
    <mergeCell ref="A911:G911"/>
    <mergeCell ref="A914:G914"/>
    <mergeCell ref="A915:F915"/>
    <mergeCell ref="A917:B920"/>
    <mergeCell ref="C917:G918"/>
    <mergeCell ref="C919:G919"/>
    <mergeCell ref="C920:E920"/>
    <mergeCell ref="A921:B921"/>
    <mergeCell ref="C921:E921"/>
    <mergeCell ref="A922:G922"/>
    <mergeCell ref="A923:B923"/>
    <mergeCell ref="G923:G926"/>
    <mergeCell ref="A924:B924"/>
    <mergeCell ref="A925:B925"/>
    <mergeCell ref="A926:B926"/>
    <mergeCell ref="A912:B912"/>
    <mergeCell ref="A913:B913"/>
    <mergeCell ref="A947:B947"/>
    <mergeCell ref="C947:E947"/>
    <mergeCell ref="A948:G948"/>
    <mergeCell ref="A949:B949"/>
    <mergeCell ref="A950:B950"/>
    <mergeCell ref="A951:B951"/>
    <mergeCell ref="A952:G952"/>
    <mergeCell ref="A953:B953"/>
    <mergeCell ref="A954:B954"/>
    <mergeCell ref="A955:B955"/>
    <mergeCell ref="A956:B956"/>
    <mergeCell ref="A957:B957"/>
    <mergeCell ref="A958:B958"/>
    <mergeCell ref="G949:G950"/>
    <mergeCell ref="A927:B927"/>
    <mergeCell ref="A928:G928"/>
    <mergeCell ref="A929:B929"/>
    <mergeCell ref="G929:G931"/>
    <mergeCell ref="A931:B931"/>
    <mergeCell ref="A932:B932"/>
    <mergeCell ref="A933:G933"/>
    <mergeCell ref="A934:B934"/>
    <mergeCell ref="G934:G935"/>
    <mergeCell ref="A935:B935"/>
    <mergeCell ref="A936:B936"/>
    <mergeCell ref="A937:G937"/>
    <mergeCell ref="A940:G940"/>
    <mergeCell ref="A941:F941"/>
    <mergeCell ref="A943:B946"/>
    <mergeCell ref="C943:G944"/>
    <mergeCell ref="C945:G945"/>
    <mergeCell ref="C946:E946"/>
    <mergeCell ref="A961:B961"/>
    <mergeCell ref="A962:B962"/>
    <mergeCell ref="A970:B973"/>
    <mergeCell ref="C970:G971"/>
    <mergeCell ref="C972:G972"/>
    <mergeCell ref="C973:E973"/>
    <mergeCell ref="A974:B974"/>
    <mergeCell ref="C974:E974"/>
    <mergeCell ref="A975:G975"/>
    <mergeCell ref="A976:B976"/>
    <mergeCell ref="A977:B977"/>
    <mergeCell ref="A978:B978"/>
    <mergeCell ref="A965:B965"/>
    <mergeCell ref="G976:G977"/>
    <mergeCell ref="G980:G987"/>
    <mergeCell ref="A986:B986"/>
    <mergeCell ref="A989:G989"/>
    <mergeCell ref="A966:B966"/>
    <mergeCell ref="A967:G967"/>
    <mergeCell ref="A968:F968"/>
    <mergeCell ref="A990:B990"/>
    <mergeCell ref="G990:G991"/>
    <mergeCell ref="A979:G979"/>
    <mergeCell ref="A980:B980"/>
    <mergeCell ref="A981:B981"/>
    <mergeCell ref="A982:B982"/>
    <mergeCell ref="A983:B983"/>
    <mergeCell ref="A984:B984"/>
    <mergeCell ref="A985:B985"/>
    <mergeCell ref="A987:B987"/>
    <mergeCell ref="A988:B988"/>
    <mergeCell ref="A993:G993"/>
    <mergeCell ref="A991:B991"/>
    <mergeCell ref="A992:B992"/>
    <mergeCell ref="A994:B994"/>
    <mergeCell ref="A999:B1002"/>
    <mergeCell ref="C999:G1000"/>
    <mergeCell ref="C1001:G1001"/>
    <mergeCell ref="C1002:E1002"/>
    <mergeCell ref="A1015:B1015"/>
    <mergeCell ref="A1016:B1016"/>
    <mergeCell ref="A1017:G1017"/>
    <mergeCell ref="A1018:B1018"/>
    <mergeCell ref="G1018:G1019"/>
    <mergeCell ref="A1019:B1019"/>
    <mergeCell ref="A1020:B1020"/>
    <mergeCell ref="A1021:G1021"/>
    <mergeCell ref="A1024:G1024"/>
    <mergeCell ref="A1025:F1025"/>
    <mergeCell ref="A1027:B1030"/>
    <mergeCell ref="C1027:G1028"/>
    <mergeCell ref="C1029:G1029"/>
    <mergeCell ref="C1030:E1030"/>
    <mergeCell ref="A1031:B1031"/>
    <mergeCell ref="C1031:E1031"/>
    <mergeCell ref="A1022:B1022"/>
    <mergeCell ref="A1023:B1023"/>
    <mergeCell ref="A1032:G1032"/>
    <mergeCell ref="A1033:B1033"/>
    <mergeCell ref="G1033:G1037"/>
    <mergeCell ref="A1034:B1034"/>
    <mergeCell ref="A1042:B1042"/>
    <mergeCell ref="A1035:B1035"/>
    <mergeCell ref="A1036:B1036"/>
    <mergeCell ref="A1037:B1037"/>
    <mergeCell ref="A1038:B1038"/>
    <mergeCell ref="A1039:G1039"/>
    <mergeCell ref="A1040:B1040"/>
    <mergeCell ref="G1040:G1043"/>
    <mergeCell ref="A1041:B1041"/>
    <mergeCell ref="A1043:B1043"/>
    <mergeCell ref="A1044:B1044"/>
    <mergeCell ref="A1045:G1045"/>
    <mergeCell ref="A1046:B1046"/>
    <mergeCell ref="G1046:G1047"/>
    <mergeCell ref="A1047:B1047"/>
    <mergeCell ref="A1048:B1048"/>
    <mergeCell ref="A1049:G1049"/>
    <mergeCell ref="A1052:G1052"/>
    <mergeCell ref="A1053:F1053"/>
    <mergeCell ref="A1055:B1058"/>
    <mergeCell ref="C1055:G1056"/>
    <mergeCell ref="C1057:G1057"/>
    <mergeCell ref="C1058:E1058"/>
    <mergeCell ref="A1059:B1059"/>
    <mergeCell ref="C1059:E1059"/>
    <mergeCell ref="A1060:G1060"/>
    <mergeCell ref="A1061:B1061"/>
    <mergeCell ref="G1061:G1062"/>
    <mergeCell ref="A1062:B1062"/>
    <mergeCell ref="A1063:B1063"/>
    <mergeCell ref="A1064:B1064"/>
    <mergeCell ref="A1065:B1065"/>
    <mergeCell ref="A1050:B1050"/>
    <mergeCell ref="A1051:B1051"/>
    <mergeCell ref="A1066:G1066"/>
    <mergeCell ref="A1067:B1067"/>
    <mergeCell ref="G1067:G1068"/>
    <mergeCell ref="A1068:B1068"/>
    <mergeCell ref="A1069:B1069"/>
    <mergeCell ref="A1070:G1070"/>
    <mergeCell ref="A1071:B1071"/>
    <mergeCell ref="G1071:G1072"/>
    <mergeCell ref="A1072:B1072"/>
    <mergeCell ref="A1073:B1073"/>
    <mergeCell ref="A1074:G1074"/>
    <mergeCell ref="A1077:G1077"/>
    <mergeCell ref="A1078:F1078"/>
    <mergeCell ref="A1080:B1083"/>
    <mergeCell ref="C1080:G1081"/>
    <mergeCell ref="C1082:G1082"/>
    <mergeCell ref="C1083:E1083"/>
    <mergeCell ref="A1075:B1075"/>
    <mergeCell ref="A1076:B1076"/>
    <mergeCell ref="A1084:B1084"/>
    <mergeCell ref="C1084:E1084"/>
    <mergeCell ref="A1085:G1085"/>
    <mergeCell ref="A1086:B1086"/>
    <mergeCell ref="G1086:G1087"/>
    <mergeCell ref="A1087:B1087"/>
    <mergeCell ref="A1088:B1088"/>
    <mergeCell ref="A1089:G1089"/>
    <mergeCell ref="A1090:B1090"/>
    <mergeCell ref="G1090:G1094"/>
    <mergeCell ref="A1091:B1091"/>
    <mergeCell ref="A1092:B1092"/>
    <mergeCell ref="A1093:B1093"/>
    <mergeCell ref="A1094:B1094"/>
    <mergeCell ref="A1095:B1095"/>
    <mergeCell ref="A1096:G1096"/>
    <mergeCell ref="A1097:B1097"/>
    <mergeCell ref="G1097:G1099"/>
    <mergeCell ref="A1098:B1098"/>
    <mergeCell ref="A1099:B1099"/>
    <mergeCell ref="A1117:B1117"/>
    <mergeCell ref="A1118:B1118"/>
    <mergeCell ref="A1119:B1119"/>
    <mergeCell ref="A1120:B1120"/>
    <mergeCell ref="A1121:B1121"/>
    <mergeCell ref="A1122:B1122"/>
    <mergeCell ref="A1125:B1125"/>
    <mergeCell ref="A1126:B1126"/>
    <mergeCell ref="A1134:B1137"/>
    <mergeCell ref="C1134:G1135"/>
    <mergeCell ref="C1136:G1136"/>
    <mergeCell ref="C1137:E1137"/>
    <mergeCell ref="A1129:B1129"/>
    <mergeCell ref="A1100:B1100"/>
    <mergeCell ref="A1101:G1101"/>
    <mergeCell ref="A1104:G1104"/>
    <mergeCell ref="A1105:F1105"/>
    <mergeCell ref="A1107:B1110"/>
    <mergeCell ref="C1107:G1108"/>
    <mergeCell ref="C1109:G1109"/>
    <mergeCell ref="C1110:E1110"/>
    <mergeCell ref="A1111:B1111"/>
    <mergeCell ref="C1111:E1111"/>
    <mergeCell ref="A1112:G1112"/>
    <mergeCell ref="A1113:B1113"/>
    <mergeCell ref="A1114:B1114"/>
    <mergeCell ref="A1115:B1115"/>
    <mergeCell ref="A1116:G1116"/>
    <mergeCell ref="A1102:B1102"/>
    <mergeCell ref="A1103:B1103"/>
    <mergeCell ref="G1113:G1114"/>
    <mergeCell ref="G1117:G1122"/>
    <mergeCell ref="A1138:B1138"/>
    <mergeCell ref="C1138:E1138"/>
    <mergeCell ref="A1139:G1139"/>
    <mergeCell ref="A1140:B1140"/>
    <mergeCell ref="A1141:B1141"/>
    <mergeCell ref="A1142:B1142"/>
    <mergeCell ref="A1143:G1143"/>
    <mergeCell ref="A1144:B1144"/>
    <mergeCell ref="A1145:B1145"/>
    <mergeCell ref="A1146:B1146"/>
    <mergeCell ref="A1147:B1147"/>
    <mergeCell ref="A1148:B1148"/>
    <mergeCell ref="A1149:B1149"/>
    <mergeCell ref="G1140:G1141"/>
    <mergeCell ref="G1175:G1177"/>
    <mergeCell ref="A1159:B1159"/>
    <mergeCell ref="A1160:G1160"/>
    <mergeCell ref="A1161:F1161"/>
    <mergeCell ref="A1151:B1151"/>
    <mergeCell ref="A1152:B1152"/>
    <mergeCell ref="A1157:G1157"/>
    <mergeCell ref="A1163:B1166"/>
    <mergeCell ref="C1163:G1164"/>
    <mergeCell ref="C1165:G1165"/>
    <mergeCell ref="C1166:E1166"/>
    <mergeCell ref="A1167:B1167"/>
    <mergeCell ref="C1167:E1167"/>
    <mergeCell ref="A1168:G1168"/>
    <mergeCell ref="A1169:B1169"/>
    <mergeCell ref="G1169:G1172"/>
    <mergeCell ref="A1170:B1170"/>
    <mergeCell ref="A1171:B1171"/>
    <mergeCell ref="A1172:B1172"/>
    <mergeCell ref="A1155:B1155"/>
    <mergeCell ref="A1156:B1156"/>
    <mergeCell ref="A1193:B1193"/>
    <mergeCell ref="C1193:E1193"/>
    <mergeCell ref="A1194:G1194"/>
    <mergeCell ref="A1195:B1195"/>
    <mergeCell ref="G1195:G1198"/>
    <mergeCell ref="A1196:B1196"/>
    <mergeCell ref="A1197:B1197"/>
    <mergeCell ref="A1198:B1198"/>
    <mergeCell ref="A1199:B1199"/>
    <mergeCell ref="A1200:G1200"/>
    <mergeCell ref="A1201:B1201"/>
    <mergeCell ref="G1201:G1203"/>
    <mergeCell ref="A1202:B1202"/>
    <mergeCell ref="A1183:G1183"/>
    <mergeCell ref="A1185:B1185"/>
    <mergeCell ref="A1186:G1186"/>
    <mergeCell ref="A1204:B1204"/>
    <mergeCell ref="A1205:G1205"/>
    <mergeCell ref="A1203:B1203"/>
    <mergeCell ref="A1173:B1173"/>
    <mergeCell ref="A1174:G1174"/>
    <mergeCell ref="A1175:B1175"/>
    <mergeCell ref="A1176:B1176"/>
    <mergeCell ref="A1177:B1177"/>
    <mergeCell ref="A1180:B1180"/>
    <mergeCell ref="A1181:B1181"/>
    <mergeCell ref="A1189:B1192"/>
    <mergeCell ref="C1189:G1190"/>
    <mergeCell ref="C1191:G1191"/>
    <mergeCell ref="C1192:E1192"/>
    <mergeCell ref="A1184:B1184"/>
    <mergeCell ref="A1178:B1178"/>
    <mergeCell ref="A1179:G1179"/>
    <mergeCell ref="G1180:G1181"/>
    <mergeCell ref="A1182:B1182"/>
    <mergeCell ref="A1206:B1206"/>
    <mergeCell ref="A1207:B1207"/>
    <mergeCell ref="A1208:B1208"/>
    <mergeCell ref="A1213:F1213"/>
    <mergeCell ref="A1215:B1218"/>
    <mergeCell ref="C1215:G1216"/>
    <mergeCell ref="C1217:G1217"/>
    <mergeCell ref="C1218:E1218"/>
    <mergeCell ref="A1219:B1219"/>
    <mergeCell ref="C1219:E1219"/>
    <mergeCell ref="A1220:G1220"/>
    <mergeCell ref="A1221:B1221"/>
    <mergeCell ref="G1221:G1224"/>
    <mergeCell ref="A1222:B1222"/>
    <mergeCell ref="A1223:B1223"/>
    <mergeCell ref="A1224:B1224"/>
    <mergeCell ref="A1211:B1211"/>
    <mergeCell ref="G1206:G1207"/>
    <mergeCell ref="A1209:G1209"/>
    <mergeCell ref="A1210:B1210"/>
    <mergeCell ref="A1212:G1212"/>
    <mergeCell ref="A1225:B1225"/>
    <mergeCell ref="A1226:G1226"/>
    <mergeCell ref="A1227:B1227"/>
    <mergeCell ref="G1227:G1229"/>
    <mergeCell ref="A1228:B1228"/>
    <mergeCell ref="A1230:B1230"/>
    <mergeCell ref="A1231:G1231"/>
    <mergeCell ref="A1232:B1232"/>
    <mergeCell ref="G1232:G1233"/>
    <mergeCell ref="A1233:B1233"/>
    <mergeCell ref="A1234:B1234"/>
    <mergeCell ref="A1235:G1235"/>
    <mergeCell ref="A1238:G1238"/>
    <mergeCell ref="A1239:F1239"/>
    <mergeCell ref="A1241:B1244"/>
    <mergeCell ref="C1241:G1242"/>
    <mergeCell ref="C1243:G1243"/>
    <mergeCell ref="C1244:E1244"/>
    <mergeCell ref="A1229:B1229"/>
    <mergeCell ref="A1236:B1236"/>
    <mergeCell ref="A1237:B1237"/>
    <mergeCell ref="A1245:B1245"/>
    <mergeCell ref="C1245:E1245"/>
    <mergeCell ref="A1246:G1246"/>
    <mergeCell ref="A1247:B1247"/>
    <mergeCell ref="G1247:G1250"/>
    <mergeCell ref="A1248:B1248"/>
    <mergeCell ref="A1249:B1249"/>
    <mergeCell ref="A1250:B1250"/>
    <mergeCell ref="A1251:B1251"/>
    <mergeCell ref="A1252:G1252"/>
    <mergeCell ref="A1253:B1253"/>
    <mergeCell ref="A1254:B1254"/>
    <mergeCell ref="A1256:B1256"/>
    <mergeCell ref="A1257:G1257"/>
    <mergeCell ref="A1258:B1258"/>
    <mergeCell ref="G1258:G1259"/>
    <mergeCell ref="A1259:B1259"/>
    <mergeCell ref="A1255:B1255"/>
    <mergeCell ref="G1253:G1255"/>
    <mergeCell ref="A1260:B1260"/>
    <mergeCell ref="A1261:G1261"/>
    <mergeCell ref="A1264:G1264"/>
    <mergeCell ref="A1265:F1265"/>
    <mergeCell ref="A1267:B1270"/>
    <mergeCell ref="C1267:G1268"/>
    <mergeCell ref="C1269:G1269"/>
    <mergeCell ref="C1270:E1270"/>
    <mergeCell ref="A1271:B1271"/>
    <mergeCell ref="C1271:E1271"/>
    <mergeCell ref="A1272:G1272"/>
    <mergeCell ref="A1273:B1273"/>
    <mergeCell ref="G1273:G1276"/>
    <mergeCell ref="A1274:B1274"/>
    <mergeCell ref="A1275:B1275"/>
    <mergeCell ref="A1276:B1276"/>
    <mergeCell ref="A1262:B1262"/>
    <mergeCell ref="A1263:B1263"/>
    <mergeCell ref="A1277:B1277"/>
    <mergeCell ref="A1278:G1278"/>
    <mergeCell ref="A1279:B1279"/>
    <mergeCell ref="G1279:G1280"/>
    <mergeCell ref="A1280:B1280"/>
    <mergeCell ref="A1282:B1282"/>
    <mergeCell ref="A1283:G1283"/>
    <mergeCell ref="A1284:B1284"/>
    <mergeCell ref="G1284:G1285"/>
    <mergeCell ref="A1285:B1285"/>
    <mergeCell ref="A1286:B1286"/>
    <mergeCell ref="A1287:G1287"/>
    <mergeCell ref="A1290:G1290"/>
    <mergeCell ref="A1291:F1291"/>
    <mergeCell ref="A1293:B1296"/>
    <mergeCell ref="C1293:G1294"/>
    <mergeCell ref="C1295:G1295"/>
    <mergeCell ref="C1296:E1296"/>
    <mergeCell ref="A1281:B1281"/>
    <mergeCell ref="A1297:B1297"/>
    <mergeCell ref="C1297:E1297"/>
    <mergeCell ref="A1298:G1298"/>
    <mergeCell ref="A1299:B1299"/>
    <mergeCell ref="G1299:G1302"/>
    <mergeCell ref="A1300:B1300"/>
    <mergeCell ref="A1301:B1301"/>
    <mergeCell ref="A1302:B1302"/>
    <mergeCell ref="A1303:B1303"/>
    <mergeCell ref="A1304:G1304"/>
    <mergeCell ref="A1305:B1305"/>
    <mergeCell ref="A1306:B1306"/>
    <mergeCell ref="A1308:B1308"/>
    <mergeCell ref="A1309:G1309"/>
    <mergeCell ref="A1310:B1310"/>
    <mergeCell ref="G1310:G1311"/>
    <mergeCell ref="A1311:B1311"/>
    <mergeCell ref="A1312:B1312"/>
    <mergeCell ref="A1313:G1313"/>
    <mergeCell ref="A1316:G1316"/>
    <mergeCell ref="A1317:F1317"/>
    <mergeCell ref="A1319:B1322"/>
    <mergeCell ref="C1319:G1320"/>
    <mergeCell ref="C1321:G1321"/>
    <mergeCell ref="C1322:E1322"/>
    <mergeCell ref="A1323:B1323"/>
    <mergeCell ref="C1323:E1323"/>
    <mergeCell ref="A1324:G1324"/>
    <mergeCell ref="A1325:B1325"/>
    <mergeCell ref="G1325:G1326"/>
    <mergeCell ref="A1326:B1326"/>
    <mergeCell ref="A1327:B1327"/>
    <mergeCell ref="A1328:B1328"/>
    <mergeCell ref="A1329:G1329"/>
    <mergeCell ref="A1330:B1330"/>
    <mergeCell ref="G1330:G1334"/>
    <mergeCell ref="A1331:B1331"/>
    <mergeCell ref="A1332:B1332"/>
    <mergeCell ref="A1333:B1333"/>
    <mergeCell ref="A1334:B1334"/>
    <mergeCell ref="A1335:B1335"/>
    <mergeCell ref="A1336:G1336"/>
    <mergeCell ref="A1337:B1337"/>
    <mergeCell ref="A1338:B1338"/>
    <mergeCell ref="A1339:G1339"/>
    <mergeCell ref="A1342:G1342"/>
    <mergeCell ref="A1343:F1343"/>
    <mergeCell ref="A1345:B1348"/>
    <mergeCell ref="C1345:G1346"/>
    <mergeCell ref="C1347:G1347"/>
    <mergeCell ref="C1348:E1348"/>
    <mergeCell ref="A1349:B1349"/>
    <mergeCell ref="C1349:E1349"/>
    <mergeCell ref="A1350:G1350"/>
    <mergeCell ref="A1351:B1351"/>
    <mergeCell ref="G1351:G1355"/>
    <mergeCell ref="A1352:B1352"/>
    <mergeCell ref="A1360:B1360"/>
    <mergeCell ref="A1353:B1353"/>
    <mergeCell ref="A1354:B1354"/>
    <mergeCell ref="A1355:B1355"/>
    <mergeCell ref="A1356:B1356"/>
    <mergeCell ref="A1357:G1357"/>
    <mergeCell ref="A1358:B1358"/>
    <mergeCell ref="G1358:G1361"/>
    <mergeCell ref="A1359:B1359"/>
    <mergeCell ref="A1361:B1361"/>
    <mergeCell ref="A1362:B1362"/>
    <mergeCell ref="A1363:G1363"/>
    <mergeCell ref="A1364:B1364"/>
    <mergeCell ref="G1364:G1365"/>
    <mergeCell ref="A1365:B1365"/>
    <mergeCell ref="A1366:B1366"/>
    <mergeCell ref="A1367:G1367"/>
    <mergeCell ref="A1370:G1370"/>
    <mergeCell ref="A1371:F1371"/>
    <mergeCell ref="A1373:B1376"/>
    <mergeCell ref="C1373:G1374"/>
    <mergeCell ref="C1375:G1375"/>
    <mergeCell ref="C1376:E1376"/>
    <mergeCell ref="A1377:B1377"/>
    <mergeCell ref="C1377:E1377"/>
    <mergeCell ref="A1378:G1378"/>
    <mergeCell ref="A1379:B1379"/>
    <mergeCell ref="G1379:G1380"/>
    <mergeCell ref="A1380:B1380"/>
    <mergeCell ref="A1381:B1381"/>
    <mergeCell ref="A1382:B1382"/>
    <mergeCell ref="A1383:B1383"/>
    <mergeCell ref="A1384:G1384"/>
    <mergeCell ref="A1385:B1385"/>
    <mergeCell ref="G1385:G1386"/>
    <mergeCell ref="A1386:B1386"/>
    <mergeCell ref="A1387:B1387"/>
    <mergeCell ref="A1388:G1388"/>
    <mergeCell ref="A1389:B1389"/>
    <mergeCell ref="G1389:G1390"/>
    <mergeCell ref="A1390:B1390"/>
    <mergeCell ref="A1391:B1391"/>
    <mergeCell ref="A1392:G1392"/>
    <mergeCell ref="A1395:G1395"/>
    <mergeCell ref="A1396:F1396"/>
    <mergeCell ref="A1398:B1401"/>
    <mergeCell ref="C1398:G1399"/>
    <mergeCell ref="C1400:G1400"/>
    <mergeCell ref="C1401:E1401"/>
    <mergeCell ref="A1437:B1437"/>
    <mergeCell ref="A1402:B1402"/>
    <mergeCell ref="C1402:E1402"/>
    <mergeCell ref="A1403:G1403"/>
    <mergeCell ref="A1404:B1404"/>
    <mergeCell ref="G1404:G1408"/>
    <mergeCell ref="A1405:B1405"/>
    <mergeCell ref="A1406:B1406"/>
    <mergeCell ref="A1407:B1407"/>
    <mergeCell ref="A1408:B1408"/>
    <mergeCell ref="A1409:B1409"/>
    <mergeCell ref="A1410:G1410"/>
    <mergeCell ref="A1411:B1411"/>
    <mergeCell ref="G1411:G1415"/>
    <mergeCell ref="A1412:B1412"/>
    <mergeCell ref="A1413:B1413"/>
    <mergeCell ref="A1414:B1414"/>
    <mergeCell ref="A1415:B1415"/>
    <mergeCell ref="A1458:G1458"/>
    <mergeCell ref="A1459:B1459"/>
    <mergeCell ref="G1459:G1460"/>
    <mergeCell ref="A1460:B1460"/>
    <mergeCell ref="A1461:B1461"/>
    <mergeCell ref="A1462:G1462"/>
    <mergeCell ref="A1463:B1463"/>
    <mergeCell ref="G1463:G1467"/>
    <mergeCell ref="A1464:B1464"/>
    <mergeCell ref="A1465:B1465"/>
    <mergeCell ref="A1466:B1466"/>
    <mergeCell ref="A1416:B1416"/>
    <mergeCell ref="A1417:G1417"/>
    <mergeCell ref="A1418:B1418"/>
    <mergeCell ref="G1418:G1419"/>
    <mergeCell ref="A1419:B1419"/>
    <mergeCell ref="A1420:B1420"/>
    <mergeCell ref="A1421:G1421"/>
    <mergeCell ref="A1424:G1424"/>
    <mergeCell ref="A1425:F1425"/>
    <mergeCell ref="A1427:B1430"/>
    <mergeCell ref="C1427:G1428"/>
    <mergeCell ref="C1429:G1429"/>
    <mergeCell ref="C1430:E1430"/>
    <mergeCell ref="A1431:B1431"/>
    <mergeCell ref="C1431:E1431"/>
    <mergeCell ref="A1432:G1432"/>
    <mergeCell ref="A1433:B1433"/>
    <mergeCell ref="G1433:G1437"/>
    <mergeCell ref="A1434:B1434"/>
    <mergeCell ref="A1435:B1435"/>
    <mergeCell ref="A1436:B1436"/>
    <mergeCell ref="A1438:B1438"/>
    <mergeCell ref="A1439:G1439"/>
    <mergeCell ref="A1440:B1440"/>
    <mergeCell ref="A1441:B1441"/>
    <mergeCell ref="A1442:B1442"/>
    <mergeCell ref="A1443:G1443"/>
    <mergeCell ref="A1444:B1444"/>
    <mergeCell ref="G1444:G1445"/>
    <mergeCell ref="A1445:B1445"/>
    <mergeCell ref="A1446:B1446"/>
    <mergeCell ref="A1447:G1447"/>
    <mergeCell ref="A1450:G1450"/>
    <mergeCell ref="A1451:F1451"/>
    <mergeCell ref="A1453:B1456"/>
    <mergeCell ref="C1453:G1454"/>
    <mergeCell ref="C1455:G1455"/>
    <mergeCell ref="C1456:E1456"/>
    <mergeCell ref="A1448:B1448"/>
    <mergeCell ref="A1449:B1449"/>
    <mergeCell ref="A1467:B1467"/>
    <mergeCell ref="A1468:B1468"/>
    <mergeCell ref="A1469:G1469"/>
    <mergeCell ref="A1470:B1470"/>
    <mergeCell ref="G1470:G1472"/>
    <mergeCell ref="A1471:B1471"/>
    <mergeCell ref="A1472:B1472"/>
    <mergeCell ref="C2:G2"/>
    <mergeCell ref="A1524:G1524"/>
    <mergeCell ref="A1525:B1525"/>
    <mergeCell ref="G1525:G1527"/>
    <mergeCell ref="A1526:B1526"/>
    <mergeCell ref="A1527:B1527"/>
    <mergeCell ref="A1529:G1529"/>
    <mergeCell ref="A1532:G1532"/>
    <mergeCell ref="A1533:F1533"/>
    <mergeCell ref="A1535:B1538"/>
    <mergeCell ref="C1535:G1536"/>
    <mergeCell ref="C1537:G1537"/>
    <mergeCell ref="C1538:E1538"/>
    <mergeCell ref="A177:B177"/>
    <mergeCell ref="A875:B875"/>
    <mergeCell ref="A876:G876"/>
    <mergeCell ref="A877:B877"/>
    <mergeCell ref="G877:G879"/>
    <mergeCell ref="A879:B879"/>
    <mergeCell ref="A880:B880"/>
    <mergeCell ref="A881:G881"/>
    <mergeCell ref="A882:B882"/>
    <mergeCell ref="G882:G883"/>
    <mergeCell ref="A883:B883"/>
    <mergeCell ref="A884:B884"/>
    <mergeCell ref="A1539:B1539"/>
    <mergeCell ref="C1539:E1539"/>
    <mergeCell ref="A1540:G1540"/>
    <mergeCell ref="A1473:B1473"/>
    <mergeCell ref="A1474:G1474"/>
    <mergeCell ref="A1477:G1477"/>
    <mergeCell ref="A1478:F1478"/>
    <mergeCell ref="A1480:B1483"/>
    <mergeCell ref="C1480:G1481"/>
    <mergeCell ref="C1482:G1482"/>
    <mergeCell ref="C1483:E1483"/>
    <mergeCell ref="A1484:B1484"/>
    <mergeCell ref="C1484:E1484"/>
    <mergeCell ref="A1485:G1485"/>
    <mergeCell ref="A1486:B1486"/>
    <mergeCell ref="G1486:G1489"/>
    <mergeCell ref="A1487:B1487"/>
    <mergeCell ref="A1488:B1488"/>
    <mergeCell ref="A1475:B1475"/>
    <mergeCell ref="A1476:B1476"/>
    <mergeCell ref="A1513:B1513"/>
    <mergeCell ref="A1514:B1514"/>
    <mergeCell ref="A1515:B1515"/>
    <mergeCell ref="A1516:B1516"/>
    <mergeCell ref="A1517:G1517"/>
    <mergeCell ref="A1497:B1497"/>
    <mergeCell ref="G1497:G1498"/>
    <mergeCell ref="A1498:B1498"/>
    <mergeCell ref="G1492:G1494"/>
    <mergeCell ref="A1558:G1558"/>
    <mergeCell ref="A1559:F1559"/>
    <mergeCell ref="A1551:G1551"/>
    <mergeCell ref="A1552:B1552"/>
    <mergeCell ref="G1552:G1553"/>
    <mergeCell ref="A1553:B1553"/>
    <mergeCell ref="A1554:B1554"/>
    <mergeCell ref="A1555:G1555"/>
    <mergeCell ref="A1518:B1518"/>
    <mergeCell ref="G1518:G1522"/>
    <mergeCell ref="A1519:B1519"/>
    <mergeCell ref="A1520:B1520"/>
    <mergeCell ref="A1521:B1521"/>
    <mergeCell ref="A1522:B1522"/>
    <mergeCell ref="A1523:B1523"/>
    <mergeCell ref="A1490:B1490"/>
    <mergeCell ref="A1491:G1491"/>
    <mergeCell ref="A1492:B1492"/>
    <mergeCell ref="A1493:B1493"/>
    <mergeCell ref="A1495:B1495"/>
    <mergeCell ref="A1496:G1496"/>
    <mergeCell ref="A1541:B1541"/>
    <mergeCell ref="G1541:G1544"/>
    <mergeCell ref="A1542:B1542"/>
    <mergeCell ref="A1543:B1543"/>
    <mergeCell ref="A1544:B1544"/>
    <mergeCell ref="A1510:B1510"/>
    <mergeCell ref="C1510:E1510"/>
    <mergeCell ref="A1511:G1511"/>
    <mergeCell ref="A1512:B1512"/>
    <mergeCell ref="G1512:G1515"/>
    <mergeCell ref="A1549:B1549"/>
    <mergeCell ref="A847:B847"/>
    <mergeCell ref="A848:B848"/>
    <mergeCell ref="A849:B849"/>
    <mergeCell ref="A850:G850"/>
    <mergeCell ref="A851:B851"/>
    <mergeCell ref="G851:G853"/>
    <mergeCell ref="A852:B852"/>
    <mergeCell ref="A854:B854"/>
    <mergeCell ref="A855:G855"/>
    <mergeCell ref="A856:B856"/>
    <mergeCell ref="G856:G857"/>
    <mergeCell ref="A857:B857"/>
    <mergeCell ref="A827:B827"/>
    <mergeCell ref="A828:G828"/>
    <mergeCell ref="A829:B829"/>
    <mergeCell ref="G829:G831"/>
    <mergeCell ref="A830:B830"/>
    <mergeCell ref="A831:B831"/>
    <mergeCell ref="A832:B832"/>
    <mergeCell ref="A833:G833"/>
    <mergeCell ref="A836:G836"/>
    <mergeCell ref="A837:F837"/>
    <mergeCell ref="A839:B842"/>
    <mergeCell ref="C839:G840"/>
    <mergeCell ref="C841:G841"/>
    <mergeCell ref="C842:E842"/>
    <mergeCell ref="A843:B843"/>
    <mergeCell ref="C843:E843"/>
    <mergeCell ref="A844:G844"/>
    <mergeCell ref="G1547:G1549"/>
    <mergeCell ref="A1556:B1556"/>
    <mergeCell ref="A1557:B1557"/>
    <mergeCell ref="A1307:B1307"/>
    <mergeCell ref="G1305:G1307"/>
    <mergeCell ref="A1288:B1288"/>
    <mergeCell ref="A1289:B1289"/>
    <mergeCell ref="A1314:B1314"/>
    <mergeCell ref="A1315:B1315"/>
    <mergeCell ref="A1340:B1340"/>
    <mergeCell ref="A1341:B1341"/>
    <mergeCell ref="A1368:B1368"/>
    <mergeCell ref="A1369:B1369"/>
    <mergeCell ref="A1393:B1393"/>
    <mergeCell ref="A1394:B1394"/>
    <mergeCell ref="A1422:B1422"/>
    <mergeCell ref="A1423:B1423"/>
    <mergeCell ref="A1545:B1545"/>
    <mergeCell ref="A1546:G1546"/>
    <mergeCell ref="A1499:B1499"/>
    <mergeCell ref="A1500:G1500"/>
    <mergeCell ref="A1503:G1503"/>
    <mergeCell ref="A1504:F1504"/>
    <mergeCell ref="A1506:B1509"/>
    <mergeCell ref="C1506:G1507"/>
    <mergeCell ref="C1508:G1508"/>
    <mergeCell ref="C1509:E1509"/>
    <mergeCell ref="A1489:B1489"/>
    <mergeCell ref="A1457:B1457"/>
    <mergeCell ref="C1457:E1457"/>
    <mergeCell ref="A1548:B1548"/>
    <mergeCell ref="A1550:B1550"/>
    <mergeCell ref="G10:G12"/>
    <mergeCell ref="A11:B11"/>
    <mergeCell ref="A16:B16"/>
    <mergeCell ref="C8:E8"/>
    <mergeCell ref="A12:B12"/>
    <mergeCell ref="A13:B13"/>
    <mergeCell ref="A17:B17"/>
    <mergeCell ref="A18:B18"/>
    <mergeCell ref="A1494:B1494"/>
    <mergeCell ref="A1501:B1501"/>
    <mergeCell ref="A1502:B1502"/>
    <mergeCell ref="A1530:B1530"/>
    <mergeCell ref="A1531:B1531"/>
    <mergeCell ref="A747:B747"/>
    <mergeCell ref="A756:B756"/>
    <mergeCell ref="A757:B757"/>
    <mergeCell ref="A782:B782"/>
    <mergeCell ref="A21:B21"/>
    <mergeCell ref="A22:B22"/>
    <mergeCell ref="A898:B898"/>
    <mergeCell ref="A25:B25"/>
    <mergeCell ref="C895:E895"/>
    <mergeCell ref="A807:B807"/>
    <mergeCell ref="A808:B808"/>
    <mergeCell ref="A834:B834"/>
    <mergeCell ref="A835:B835"/>
    <mergeCell ref="A853:B853"/>
    <mergeCell ref="A860:B860"/>
    <mergeCell ref="A861:B861"/>
    <mergeCell ref="A878:B878"/>
    <mergeCell ref="A886:B886"/>
    <mergeCell ref="A887:B887"/>
    <mergeCell ref="A4:B7"/>
    <mergeCell ref="C4:G5"/>
    <mergeCell ref="C6:G6"/>
    <mergeCell ref="C7:E7"/>
    <mergeCell ref="A8:B8"/>
    <mergeCell ref="A9:G9"/>
    <mergeCell ref="A10:B10"/>
    <mergeCell ref="A14:G14"/>
    <mergeCell ref="A15:B15"/>
    <mergeCell ref="G15:G17"/>
    <mergeCell ref="A19:G19"/>
    <mergeCell ref="A20:B20"/>
    <mergeCell ref="G20:G21"/>
    <mergeCell ref="A23:G23"/>
    <mergeCell ref="A24:B24"/>
    <mergeCell ref="A1547:B1547"/>
    <mergeCell ref="A899:B899"/>
    <mergeCell ref="A900:B900"/>
    <mergeCell ref="A901:B901"/>
    <mergeCell ref="A902:G902"/>
    <mergeCell ref="A903:B903"/>
    <mergeCell ref="A904:B904"/>
    <mergeCell ref="A845:B845"/>
    <mergeCell ref="G845:G848"/>
    <mergeCell ref="A846:B846"/>
    <mergeCell ref="A179:B179"/>
    <mergeCell ref="A503:B503"/>
    <mergeCell ref="A186:B186"/>
    <mergeCell ref="A642:B642"/>
    <mergeCell ref="A895:B895"/>
    <mergeCell ref="A26:G26"/>
    <mergeCell ref="A27:F27"/>
  </mergeCells>
  <pageMargins left="0.7" right="0.7" top="0.75" bottom="0.75" header="0.3" footer="0.3"/>
  <pageSetup paperSize="9" scale="72"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pageSetUpPr fitToPage="1"/>
  </sheetPr>
  <dimension ref="A2:H60"/>
  <sheetViews>
    <sheetView topLeftCell="A47" zoomScaleNormal="100" workbookViewId="0">
      <selection activeCell="B54" sqref="B54:C59"/>
    </sheetView>
  </sheetViews>
  <sheetFormatPr baseColWidth="10" defaultColWidth="10.6640625" defaultRowHeight="14.4"/>
  <cols>
    <col min="1" max="2" width="18.6640625" customWidth="1"/>
    <col min="3" max="7" width="16.6640625" customWidth="1"/>
  </cols>
  <sheetData>
    <row r="2" spans="1:7" s="2" customFormat="1" ht="116.25" customHeight="1">
      <c r="A2" s="177"/>
      <c r="B2" s="177"/>
      <c r="C2" s="922" t="s">
        <v>0</v>
      </c>
      <c r="D2" s="922"/>
      <c r="E2" s="922"/>
      <c r="F2" s="922"/>
      <c r="G2" s="923"/>
    </row>
    <row r="4" spans="1:7" s="2" customFormat="1" ht="15.75" customHeight="1">
      <c r="A4" s="970" t="s">
        <v>1</v>
      </c>
      <c r="B4" s="957"/>
      <c r="C4" s="953" t="s">
        <v>0</v>
      </c>
      <c r="D4" s="954"/>
      <c r="E4" s="954"/>
      <c r="F4" s="954"/>
      <c r="G4" s="955"/>
    </row>
    <row r="5" spans="1:7" s="2" customFormat="1" ht="52.5" customHeight="1">
      <c r="A5" s="971"/>
      <c r="B5" s="957"/>
      <c r="C5" s="954"/>
      <c r="D5" s="954"/>
      <c r="E5" s="954"/>
      <c r="F5" s="954"/>
      <c r="G5" s="955"/>
    </row>
    <row r="6" spans="1:7" s="2" customFormat="1" ht="15.75" customHeight="1">
      <c r="A6" s="971"/>
      <c r="B6" s="957"/>
      <c r="C6" s="956"/>
      <c r="D6" s="957"/>
      <c r="E6" s="957"/>
      <c r="F6" s="957"/>
      <c r="G6" s="958"/>
    </row>
    <row r="7" spans="1:7" s="2" customFormat="1" ht="15.75" customHeight="1">
      <c r="A7" s="971"/>
      <c r="B7" s="957"/>
      <c r="C7" s="959" t="s">
        <v>2</v>
      </c>
      <c r="D7" s="957"/>
      <c r="E7" s="957"/>
      <c r="F7" s="23" t="s">
        <v>3</v>
      </c>
      <c r="G7" s="24" t="s">
        <v>4</v>
      </c>
    </row>
    <row r="8" spans="1:7" s="2" customFormat="1" ht="58.5" customHeight="1">
      <c r="A8" s="1073">
        <v>6.1</v>
      </c>
      <c r="B8" s="944"/>
      <c r="C8" s="980" t="s">
        <v>267</v>
      </c>
      <c r="D8" s="944"/>
      <c r="E8" s="944"/>
      <c r="F8" s="51" t="s">
        <v>37</v>
      </c>
      <c r="G8" s="52">
        <v>4312.7</v>
      </c>
    </row>
    <row r="9" spans="1:7" s="2" customFormat="1" ht="13.8">
      <c r="A9" s="1071" t="s">
        <v>5</v>
      </c>
      <c r="B9" s="944"/>
      <c r="C9" s="944"/>
      <c r="D9" s="944"/>
      <c r="E9" s="944"/>
      <c r="F9" s="944"/>
      <c r="G9" s="1072"/>
    </row>
    <row r="10" spans="1:7" s="2" customFormat="1" ht="13.8">
      <c r="A10" s="1074" t="s">
        <v>2</v>
      </c>
      <c r="B10" s="944"/>
      <c r="C10" s="53" t="s">
        <v>3</v>
      </c>
      <c r="D10" s="53" t="s">
        <v>4</v>
      </c>
      <c r="E10" s="53" t="s">
        <v>6</v>
      </c>
      <c r="F10" s="53" t="s">
        <v>7</v>
      </c>
      <c r="G10" s="1075" t="s">
        <v>8</v>
      </c>
    </row>
    <row r="11" spans="1:7" s="2" customFormat="1" ht="13.8">
      <c r="A11" s="947" t="s">
        <v>262</v>
      </c>
      <c r="B11" s="944"/>
      <c r="C11" s="51" t="s">
        <v>3</v>
      </c>
      <c r="D11" s="109">
        <v>0.05</v>
      </c>
      <c r="E11" s="17">
        <f>G25</f>
        <v>14291.5</v>
      </c>
      <c r="F11" s="55">
        <f>D11*E11</f>
        <v>714.57500000000005</v>
      </c>
      <c r="G11" s="1072"/>
    </row>
    <row r="12" spans="1:7" s="2" customFormat="1" ht="13.8">
      <c r="A12" s="1015" t="s">
        <v>1517</v>
      </c>
      <c r="B12" s="1016"/>
      <c r="C12" s="51" t="s">
        <v>3</v>
      </c>
      <c r="D12" s="109">
        <v>0.01</v>
      </c>
      <c r="E12" s="17">
        <f>'MAQUINARIA Y EQUIPOS'!F39</f>
        <v>199900</v>
      </c>
      <c r="F12" s="55">
        <f>D12*E12</f>
        <v>1999</v>
      </c>
      <c r="G12" s="1072"/>
    </row>
    <row r="13" spans="1:7" s="2" customFormat="1" ht="15.75" customHeight="1">
      <c r="A13" s="927" t="s">
        <v>113</v>
      </c>
      <c r="B13" s="932"/>
      <c r="C13" s="12" t="s">
        <v>58</v>
      </c>
      <c r="D13" s="9">
        <v>0.3</v>
      </c>
      <c r="E13" s="17">
        <f>'MAQUINARIA Y EQUIPOS'!F10</f>
        <v>3272.5</v>
      </c>
      <c r="F13" s="55">
        <f>D13*E13</f>
        <v>981.75</v>
      </c>
      <c r="G13" s="1072"/>
    </row>
    <row r="14" spans="1:7" s="2" customFormat="1" ht="15.75" customHeight="1">
      <c r="A14" s="927" t="s">
        <v>61</v>
      </c>
      <c r="B14" s="932"/>
      <c r="C14" s="12" t="s">
        <v>58</v>
      </c>
      <c r="D14" s="9">
        <v>0.05</v>
      </c>
      <c r="E14" s="17">
        <f>'MAQUINARIA Y EQUIPOS'!F18</f>
        <v>40460</v>
      </c>
      <c r="F14" s="55">
        <f>D14*E14</f>
        <v>2023</v>
      </c>
      <c r="G14" s="57">
        <f>SUM(F10:F14)</f>
        <v>5718.3249999999998</v>
      </c>
    </row>
    <row r="15" spans="1:7" s="2" customFormat="1" ht="15.75" customHeight="1">
      <c r="A15" s="1071" t="s">
        <v>10</v>
      </c>
      <c r="B15" s="944"/>
      <c r="C15" s="944"/>
      <c r="D15" s="944"/>
      <c r="E15" s="944"/>
      <c r="F15" s="944"/>
      <c r="G15" s="1072"/>
    </row>
    <row r="16" spans="1:7" s="2" customFormat="1" ht="15.75" customHeight="1">
      <c r="A16" s="1074" t="s">
        <v>2</v>
      </c>
      <c r="B16" s="944"/>
      <c r="C16" s="53" t="s">
        <v>3</v>
      </c>
      <c r="D16" s="53" t="s">
        <v>4</v>
      </c>
      <c r="E16" s="53" t="s">
        <v>6</v>
      </c>
      <c r="F16" s="53" t="s">
        <v>11</v>
      </c>
      <c r="G16" s="1075" t="s">
        <v>8</v>
      </c>
    </row>
    <row r="17" spans="1:7" s="2" customFormat="1" ht="15.75" customHeight="1">
      <c r="A17" s="947" t="s">
        <v>268</v>
      </c>
      <c r="B17" s="944"/>
      <c r="C17" s="16" t="s">
        <v>3</v>
      </c>
      <c r="D17" s="16">
        <v>0.13</v>
      </c>
      <c r="E17" s="17">
        <f>'INSUMOS '!E79</f>
        <v>10300</v>
      </c>
      <c r="F17" s="55">
        <f>D17*E17</f>
        <v>1339</v>
      </c>
      <c r="G17" s="1072"/>
    </row>
    <row r="18" spans="1:7" s="2" customFormat="1" ht="15.75" customHeight="1">
      <c r="A18" s="947" t="s">
        <v>269</v>
      </c>
      <c r="B18" s="944"/>
      <c r="C18" s="16" t="s">
        <v>3</v>
      </c>
      <c r="D18" s="54">
        <v>3.1E-2</v>
      </c>
      <c r="E18" s="17">
        <f>'INSUMOS '!E80</f>
        <v>67000</v>
      </c>
      <c r="F18" s="55">
        <f>D18*E18</f>
        <v>2077</v>
      </c>
      <c r="G18" s="57">
        <f>SUM(F16:F18)</f>
        <v>3416</v>
      </c>
    </row>
    <row r="19" spans="1:7" s="2" customFormat="1" ht="15.75" customHeight="1">
      <c r="A19" s="1071" t="s">
        <v>15</v>
      </c>
      <c r="B19" s="944"/>
      <c r="C19" s="944"/>
      <c r="D19" s="944"/>
      <c r="E19" s="944"/>
      <c r="F19" s="944"/>
      <c r="G19" s="1072"/>
    </row>
    <row r="20" spans="1:7" s="2" customFormat="1" ht="15.75" customHeight="1">
      <c r="A20" s="1074" t="s">
        <v>2</v>
      </c>
      <c r="B20" s="944"/>
      <c r="C20" s="53" t="s">
        <v>3</v>
      </c>
      <c r="D20" s="53" t="s">
        <v>4</v>
      </c>
      <c r="E20" s="53" t="s">
        <v>6</v>
      </c>
      <c r="F20" s="53" t="s">
        <v>11</v>
      </c>
      <c r="G20" s="1075" t="s">
        <v>8</v>
      </c>
    </row>
    <row r="21" spans="1:7" s="2" customFormat="1" ht="15.75" customHeight="1">
      <c r="A21" s="943" t="s">
        <v>68</v>
      </c>
      <c r="B21" s="944"/>
      <c r="C21" s="16" t="s">
        <v>3</v>
      </c>
      <c r="D21" s="54">
        <v>3.5000000000000003E-2</v>
      </c>
      <c r="E21" s="17">
        <f>G14</f>
        <v>5718.3249999999998</v>
      </c>
      <c r="F21" s="119">
        <f>+D21*E21</f>
        <v>200.14137500000001</v>
      </c>
      <c r="G21" s="1075"/>
    </row>
    <row r="22" spans="1:7" s="2" customFormat="1" ht="13.8">
      <c r="A22" s="943" t="s">
        <v>225</v>
      </c>
      <c r="B22" s="944"/>
      <c r="C22" s="16" t="s">
        <v>3</v>
      </c>
      <c r="D22" s="54">
        <v>3.5000000000000003E-2</v>
      </c>
      <c r="E22" s="17">
        <f>G18</f>
        <v>3416</v>
      </c>
      <c r="F22" s="119">
        <f>+D22*E22</f>
        <v>119.56000000000002</v>
      </c>
      <c r="G22" s="57">
        <f>SUM(F21:F22)</f>
        <v>319.70137500000004</v>
      </c>
    </row>
    <row r="23" spans="1:7" s="2" customFormat="1" ht="15.75" customHeight="1">
      <c r="A23" s="1071" t="s">
        <v>19</v>
      </c>
      <c r="B23" s="944"/>
      <c r="C23" s="944"/>
      <c r="D23" s="944"/>
      <c r="E23" s="944"/>
      <c r="F23" s="944"/>
      <c r="G23" s="1072"/>
    </row>
    <row r="24" spans="1:7" s="2" customFormat="1" ht="15.75" customHeight="1">
      <c r="A24" s="1074" t="s">
        <v>2</v>
      </c>
      <c r="B24" s="944"/>
      <c r="C24" s="53" t="s">
        <v>3</v>
      </c>
      <c r="D24" s="53" t="s">
        <v>4</v>
      </c>
      <c r="E24" s="53" t="s">
        <v>6</v>
      </c>
      <c r="F24" s="53" t="s">
        <v>11</v>
      </c>
      <c r="G24" s="456" t="s">
        <v>8</v>
      </c>
    </row>
    <row r="25" spans="1:7" s="2" customFormat="1" ht="15" customHeight="1">
      <c r="A25" s="947" t="str">
        <f>+SALARIOS!A77</f>
        <v>CUADRILLA CC PINTURA 1:1</v>
      </c>
      <c r="B25" s="944"/>
      <c r="C25" s="16" t="s">
        <v>1245</v>
      </c>
      <c r="D25" s="54">
        <v>0.5</v>
      </c>
      <c r="E25" s="17">
        <f>+SALARIOS!C77</f>
        <v>28583</v>
      </c>
      <c r="F25" s="14">
        <f>+D25*E25</f>
        <v>14291.5</v>
      </c>
      <c r="G25" s="57">
        <f>F25</f>
        <v>14291.5</v>
      </c>
    </row>
    <row r="26" spans="1:7" s="2" customFormat="1" ht="13.8">
      <c r="A26" s="1076" t="s">
        <v>25</v>
      </c>
      <c r="B26" s="944"/>
      <c r="C26" s="944"/>
      <c r="D26" s="944"/>
      <c r="E26" s="944"/>
      <c r="F26" s="944"/>
      <c r="G26" s="1072"/>
    </row>
    <row r="27" spans="1:7" s="2" customFormat="1" ht="17.399999999999999">
      <c r="A27" s="1077"/>
      <c r="B27" s="944"/>
      <c r="C27" s="944"/>
      <c r="D27" s="944"/>
      <c r="E27" s="944"/>
      <c r="F27" s="944"/>
      <c r="G27" s="62">
        <f>G25+G22+G18+G14</f>
        <v>23745.526375000001</v>
      </c>
    </row>
    <row r="28" spans="1:7" s="2" customFormat="1" ht="15.75" customHeight="1">
      <c r="A28" s="26"/>
      <c r="B28" s="27"/>
      <c r="C28" s="28"/>
      <c r="D28" s="28"/>
      <c r="E28" s="29"/>
      <c r="F28" s="28"/>
      <c r="G28" s="30"/>
    </row>
    <row r="29" spans="1:7" s="2" customFormat="1" ht="15.75" customHeight="1">
      <c r="A29" s="970" t="s">
        <v>1</v>
      </c>
      <c r="B29" s="957"/>
      <c r="C29" s="953" t="s">
        <v>0</v>
      </c>
      <c r="D29" s="954"/>
      <c r="E29" s="954"/>
      <c r="F29" s="954"/>
      <c r="G29" s="955"/>
    </row>
    <row r="30" spans="1:7" s="2" customFormat="1" ht="47.25" customHeight="1">
      <c r="A30" s="971"/>
      <c r="B30" s="957"/>
      <c r="C30" s="954"/>
      <c r="D30" s="954"/>
      <c r="E30" s="954"/>
      <c r="F30" s="954"/>
      <c r="G30" s="955"/>
    </row>
    <row r="31" spans="1:7" s="2" customFormat="1" ht="15.75" customHeight="1">
      <c r="A31" s="971"/>
      <c r="B31" s="957"/>
      <c r="C31" s="956"/>
      <c r="D31" s="957"/>
      <c r="E31" s="957"/>
      <c r="F31" s="957"/>
      <c r="G31" s="958"/>
    </row>
    <row r="32" spans="1:7" s="2" customFormat="1" ht="15.75" customHeight="1">
      <c r="A32" s="971"/>
      <c r="B32" s="957"/>
      <c r="C32" s="959" t="s">
        <v>2</v>
      </c>
      <c r="D32" s="957"/>
      <c r="E32" s="957"/>
      <c r="F32" s="23" t="s">
        <v>3</v>
      </c>
      <c r="G32" s="24" t="s">
        <v>4</v>
      </c>
    </row>
    <row r="33" spans="1:7" s="2" customFormat="1" ht="75" customHeight="1">
      <c r="A33" s="1073">
        <v>6.2</v>
      </c>
      <c r="B33" s="944"/>
      <c r="C33" s="980" t="s">
        <v>270</v>
      </c>
      <c r="D33" s="944"/>
      <c r="E33" s="944"/>
      <c r="F33" s="51" t="s">
        <v>37</v>
      </c>
      <c r="G33" s="52">
        <v>4256.380000000001</v>
      </c>
    </row>
    <row r="34" spans="1:7" s="2" customFormat="1" ht="15.75" customHeight="1">
      <c r="A34" s="1071" t="s">
        <v>5</v>
      </c>
      <c r="B34" s="944"/>
      <c r="C34" s="944"/>
      <c r="D34" s="944"/>
      <c r="E34" s="944"/>
      <c r="F34" s="944"/>
      <c r="G34" s="1072"/>
    </row>
    <row r="35" spans="1:7" s="2" customFormat="1" ht="15.75" customHeight="1">
      <c r="A35" s="1074" t="s">
        <v>2</v>
      </c>
      <c r="B35" s="944"/>
      <c r="C35" s="53" t="s">
        <v>3</v>
      </c>
      <c r="D35" s="53" t="s">
        <v>4</v>
      </c>
      <c r="E35" s="53" t="s">
        <v>6</v>
      </c>
      <c r="F35" s="53" t="s">
        <v>7</v>
      </c>
      <c r="G35" s="1075" t="s">
        <v>8</v>
      </c>
    </row>
    <row r="36" spans="1:7" s="2" customFormat="1" ht="15.75" customHeight="1">
      <c r="A36" s="947" t="s">
        <v>262</v>
      </c>
      <c r="B36" s="944"/>
      <c r="C36" s="51" t="s">
        <v>3</v>
      </c>
      <c r="D36" s="117">
        <v>0.05</v>
      </c>
      <c r="E36" s="17">
        <f>G49</f>
        <v>11433.2</v>
      </c>
      <c r="F36" s="55">
        <f>D36*E36</f>
        <v>571.66000000000008</v>
      </c>
      <c r="G36" s="1072"/>
    </row>
    <row r="37" spans="1:7" s="2" customFormat="1" ht="15.75" customHeight="1">
      <c r="A37" s="1015" t="s">
        <v>1517</v>
      </c>
      <c r="B37" s="1016"/>
      <c r="C37" s="51" t="s">
        <v>3</v>
      </c>
      <c r="D37" s="109">
        <v>0.01</v>
      </c>
      <c r="E37" s="17">
        <f>'MAQUINARIA Y EQUIPOS'!F39</f>
        <v>199900</v>
      </c>
      <c r="F37" s="55">
        <f>D37*E37</f>
        <v>1999</v>
      </c>
      <c r="G37" s="1072"/>
    </row>
    <row r="38" spans="1:7" s="2" customFormat="1" ht="15.75" customHeight="1">
      <c r="A38" s="927" t="s">
        <v>113</v>
      </c>
      <c r="B38" s="932"/>
      <c r="C38" s="12" t="s">
        <v>58</v>
      </c>
      <c r="D38" s="51">
        <v>0.3</v>
      </c>
      <c r="E38" s="17">
        <f>'MAQUINARIA Y EQUIPOS'!F10</f>
        <v>3272.5</v>
      </c>
      <c r="F38" s="55">
        <f>D38*E38</f>
        <v>981.75</v>
      </c>
      <c r="G38" s="1072"/>
    </row>
    <row r="39" spans="1:7" s="2" customFormat="1" ht="15.75" customHeight="1">
      <c r="A39" s="927" t="s">
        <v>61</v>
      </c>
      <c r="B39" s="932"/>
      <c r="C39" s="12" t="s">
        <v>58</v>
      </c>
      <c r="D39" s="51">
        <v>0.25</v>
      </c>
      <c r="E39" s="17">
        <f>'MAQUINARIA Y EQUIPOS'!F18</f>
        <v>40460</v>
      </c>
      <c r="F39" s="55">
        <f>D39*E39</f>
        <v>10115</v>
      </c>
      <c r="G39" s="57">
        <f>SUM(F36:F39)</f>
        <v>13667.41</v>
      </c>
    </row>
    <row r="40" spans="1:7" s="2" customFormat="1" ht="15.75" customHeight="1">
      <c r="A40" s="1071" t="s">
        <v>10</v>
      </c>
      <c r="B40" s="944"/>
      <c r="C40" s="944"/>
      <c r="D40" s="944"/>
      <c r="E40" s="944"/>
      <c r="F40" s="944"/>
      <c r="G40" s="1072"/>
    </row>
    <row r="41" spans="1:7" s="2" customFormat="1" ht="15.75" customHeight="1">
      <c r="A41" s="1074" t="s">
        <v>2</v>
      </c>
      <c r="B41" s="944"/>
      <c r="C41" s="53" t="s">
        <v>3</v>
      </c>
      <c r="D41" s="53" t="s">
        <v>4</v>
      </c>
      <c r="E41" s="53" t="s">
        <v>6</v>
      </c>
      <c r="F41" s="53" t="s">
        <v>11</v>
      </c>
      <c r="G41" s="61" t="s">
        <v>8</v>
      </c>
    </row>
    <row r="42" spans="1:7" s="2" customFormat="1" ht="27.75" customHeight="1">
      <c r="A42" s="947" t="s">
        <v>271</v>
      </c>
      <c r="B42" s="944"/>
      <c r="C42" s="16" t="s">
        <v>190</v>
      </c>
      <c r="D42" s="16">
        <v>0.05</v>
      </c>
      <c r="E42" s="17">
        <f>'INSUMOS '!E81</f>
        <v>101900</v>
      </c>
      <c r="F42" s="55">
        <f>E42*D42</f>
        <v>5095</v>
      </c>
      <c r="G42" s="57">
        <f>SUM(F42)</f>
        <v>5095</v>
      </c>
    </row>
    <row r="43" spans="1:7" s="2" customFormat="1" ht="15.75" customHeight="1">
      <c r="A43" s="1071" t="s">
        <v>15</v>
      </c>
      <c r="B43" s="944"/>
      <c r="C43" s="944"/>
      <c r="D43" s="944"/>
      <c r="E43" s="944"/>
      <c r="F43" s="944"/>
      <c r="G43" s="1072"/>
    </row>
    <row r="44" spans="1:7" s="2" customFormat="1" ht="15.75" customHeight="1">
      <c r="A44" s="1074" t="s">
        <v>2</v>
      </c>
      <c r="B44" s="944"/>
      <c r="C44" s="53" t="s">
        <v>3</v>
      </c>
      <c r="D44" s="53" t="s">
        <v>4</v>
      </c>
      <c r="E44" s="53" t="s">
        <v>6</v>
      </c>
      <c r="F44" s="53" t="s">
        <v>11</v>
      </c>
      <c r="G44" s="1075" t="s">
        <v>8</v>
      </c>
    </row>
    <row r="45" spans="1:7" s="2" customFormat="1" ht="15.75" customHeight="1">
      <c r="A45" s="943" t="s">
        <v>68</v>
      </c>
      <c r="B45" s="944"/>
      <c r="C45" s="16" t="s">
        <v>3</v>
      </c>
      <c r="D45" s="54">
        <v>3.5000000000000003E-2</v>
      </c>
      <c r="E45" s="17">
        <f>G39</f>
        <v>13667.41</v>
      </c>
      <c r="F45" s="55">
        <f>E45*D45</f>
        <v>478.35935000000006</v>
      </c>
      <c r="G45" s="1075"/>
    </row>
    <row r="46" spans="1:7" s="2" customFormat="1" ht="13.8">
      <c r="A46" s="943" t="s">
        <v>17</v>
      </c>
      <c r="B46" s="944"/>
      <c r="C46" s="16" t="s">
        <v>3</v>
      </c>
      <c r="D46" s="54">
        <v>3.5000000000000003E-2</v>
      </c>
      <c r="E46" s="17">
        <f>+G42</f>
        <v>5095</v>
      </c>
      <c r="F46" s="55">
        <f>E46*D46</f>
        <v>178.32500000000002</v>
      </c>
      <c r="G46" s="57">
        <f>SUM(F45:F46)</f>
        <v>656.68435000000011</v>
      </c>
    </row>
    <row r="47" spans="1:7" s="2" customFormat="1" ht="15.75" customHeight="1">
      <c r="A47" s="1071" t="s">
        <v>19</v>
      </c>
      <c r="B47" s="944"/>
      <c r="C47" s="944"/>
      <c r="D47" s="944"/>
      <c r="E47" s="944"/>
      <c r="F47" s="944"/>
      <c r="G47" s="1072"/>
    </row>
    <row r="48" spans="1:7" s="2" customFormat="1" ht="15.75" customHeight="1">
      <c r="A48" s="1074" t="s">
        <v>2</v>
      </c>
      <c r="B48" s="944"/>
      <c r="C48" s="53" t="s">
        <v>3</v>
      </c>
      <c r="D48" s="53" t="s">
        <v>4</v>
      </c>
      <c r="E48" s="53" t="s">
        <v>6</v>
      </c>
      <c r="F48" s="53" t="s">
        <v>11</v>
      </c>
      <c r="G48" s="456" t="s">
        <v>8</v>
      </c>
    </row>
    <row r="49" spans="1:8" s="2" customFormat="1" ht="15" customHeight="1">
      <c r="A49" s="978" t="str">
        <f>+SALARIOS!A77</f>
        <v>CUADRILLA CC PINTURA 1:1</v>
      </c>
      <c r="B49" s="979"/>
      <c r="C49" s="13" t="s">
        <v>1245</v>
      </c>
      <c r="D49" s="16">
        <f>0.4</f>
        <v>0.4</v>
      </c>
      <c r="E49" s="17">
        <f>SALARIOS!$C$77</f>
        <v>28583</v>
      </c>
      <c r="F49" s="14">
        <f>+D49*E49</f>
        <v>11433.2</v>
      </c>
      <c r="G49" s="57">
        <f>F49</f>
        <v>11433.2</v>
      </c>
    </row>
    <row r="50" spans="1:8" s="2" customFormat="1" ht="13.8">
      <c r="A50" s="1076" t="s">
        <v>25</v>
      </c>
      <c r="B50" s="944"/>
      <c r="C50" s="944"/>
      <c r="D50" s="944"/>
      <c r="E50" s="944"/>
      <c r="F50" s="944"/>
      <c r="G50" s="1072"/>
    </row>
    <row r="51" spans="1:8" s="2" customFormat="1" ht="17.399999999999999">
      <c r="A51" s="1077"/>
      <c r="B51" s="944"/>
      <c r="C51" s="944"/>
      <c r="D51" s="944"/>
      <c r="E51" s="944"/>
      <c r="F51" s="944"/>
      <c r="G51" s="62">
        <f>G49+G46+G42+G39</f>
        <v>30852.29435</v>
      </c>
    </row>
    <row r="52" spans="1:8">
      <c r="B52" s="468"/>
      <c r="F52" s="455"/>
    </row>
    <row r="53" spans="1:8">
      <c r="B53" s="468"/>
      <c r="F53" s="620"/>
    </row>
    <row r="54" spans="1:8">
      <c r="B54" s="468"/>
      <c r="F54" s="620"/>
      <c r="H54" s="480"/>
    </row>
    <row r="55" spans="1:8">
      <c r="B55" s="468"/>
      <c r="F55" s="455"/>
    </row>
    <row r="56" spans="1:8">
      <c r="B56" s="468"/>
      <c r="F56" s="455"/>
    </row>
    <row r="57" spans="1:8">
      <c r="B57" s="468"/>
      <c r="F57" s="455"/>
    </row>
    <row r="58" spans="1:8">
      <c r="B58" s="966"/>
      <c r="C58" s="966"/>
      <c r="F58" s="455"/>
    </row>
    <row r="59" spans="1:8">
      <c r="B59" s="966"/>
      <c r="C59" s="966"/>
      <c r="F59" s="455"/>
    </row>
    <row r="60" spans="1:8">
      <c r="B60" s="468"/>
      <c r="F60" s="455"/>
    </row>
  </sheetData>
  <mergeCells count="57">
    <mergeCell ref="B58:C58"/>
    <mergeCell ref="B59:C59"/>
    <mergeCell ref="A4:B7"/>
    <mergeCell ref="C4:G5"/>
    <mergeCell ref="C6:G6"/>
    <mergeCell ref="C7:E7"/>
    <mergeCell ref="A8:B8"/>
    <mergeCell ref="C8:E8"/>
    <mergeCell ref="A9:G9"/>
    <mergeCell ref="A10:B10"/>
    <mergeCell ref="G10:G13"/>
    <mergeCell ref="A11:B11"/>
    <mergeCell ref="A13:B13"/>
    <mergeCell ref="A12:B12"/>
    <mergeCell ref="A14:B14"/>
    <mergeCell ref="A15:G15"/>
    <mergeCell ref="A16:B16"/>
    <mergeCell ref="G16:G17"/>
    <mergeCell ref="A17:B17"/>
    <mergeCell ref="A18:B18"/>
    <mergeCell ref="A19:G19"/>
    <mergeCell ref="G20:G21"/>
    <mergeCell ref="A21:B21"/>
    <mergeCell ref="C29:G30"/>
    <mergeCell ref="C31:G31"/>
    <mergeCell ref="A24:B24"/>
    <mergeCell ref="A25:B25"/>
    <mergeCell ref="A29:B32"/>
    <mergeCell ref="C32:E32"/>
    <mergeCell ref="A50:G50"/>
    <mergeCell ref="A51:F51"/>
    <mergeCell ref="A39:B39"/>
    <mergeCell ref="A40:G40"/>
    <mergeCell ref="A41:B41"/>
    <mergeCell ref="A42:B42"/>
    <mergeCell ref="A43:G43"/>
    <mergeCell ref="A44:B44"/>
    <mergeCell ref="G44:G45"/>
    <mergeCell ref="A45:B45"/>
    <mergeCell ref="A48:B48"/>
    <mergeCell ref="A49:B49"/>
    <mergeCell ref="A37:B37"/>
    <mergeCell ref="C2:G2"/>
    <mergeCell ref="A46:B46"/>
    <mergeCell ref="A47:G47"/>
    <mergeCell ref="A33:B33"/>
    <mergeCell ref="C33:E33"/>
    <mergeCell ref="A34:G34"/>
    <mergeCell ref="A35:B35"/>
    <mergeCell ref="G35:G38"/>
    <mergeCell ref="A36:B36"/>
    <mergeCell ref="A38:B38"/>
    <mergeCell ref="A22:B22"/>
    <mergeCell ref="A23:G23"/>
    <mergeCell ref="A26:G26"/>
    <mergeCell ref="A27:F27"/>
    <mergeCell ref="A20:B20"/>
  </mergeCells>
  <printOptions horizontalCentered="1"/>
  <pageMargins left="0.70866141732283472" right="0.70866141732283472" top="0.74803149606299213" bottom="0.74803149606299213" header="0.31496062992125984" footer="0.31496062992125984"/>
  <pageSetup paperSize="9" scale="61" fitToWidth="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pageSetUpPr fitToPage="1"/>
  </sheetPr>
  <dimension ref="A2:H388"/>
  <sheetViews>
    <sheetView topLeftCell="A378" zoomScaleNormal="100" workbookViewId="0">
      <selection activeCell="B382" sqref="B382:C387"/>
    </sheetView>
  </sheetViews>
  <sheetFormatPr baseColWidth="10" defaultColWidth="10.6640625" defaultRowHeight="14.4"/>
  <cols>
    <col min="1" max="2" width="18.6640625" customWidth="1"/>
    <col min="3" max="7" width="16.6640625" customWidth="1"/>
  </cols>
  <sheetData>
    <row r="2" spans="1:7" s="2" customFormat="1" ht="116.25" customHeight="1">
      <c r="A2" s="177"/>
      <c r="B2" s="177"/>
      <c r="C2" s="922" t="s">
        <v>0</v>
      </c>
      <c r="D2" s="922"/>
      <c r="E2" s="922"/>
      <c r="F2" s="922"/>
      <c r="G2" s="923"/>
    </row>
    <row r="4" spans="1:7" s="2" customFormat="1" ht="15.75" customHeight="1">
      <c r="A4" s="970" t="s">
        <v>1</v>
      </c>
      <c r="B4" s="957"/>
      <c r="C4" s="953" t="s">
        <v>0</v>
      </c>
      <c r="D4" s="954"/>
      <c r="E4" s="954"/>
      <c r="F4" s="954"/>
      <c r="G4" s="955"/>
    </row>
    <row r="5" spans="1:7" s="2" customFormat="1" ht="56.25" customHeight="1">
      <c r="A5" s="971"/>
      <c r="B5" s="957"/>
      <c r="C5" s="954"/>
      <c r="D5" s="954"/>
      <c r="E5" s="954"/>
      <c r="F5" s="954"/>
      <c r="G5" s="955"/>
    </row>
    <row r="6" spans="1:7" s="2" customFormat="1" ht="15.75" customHeight="1">
      <c r="A6" s="971"/>
      <c r="B6" s="957"/>
      <c r="C6" s="956"/>
      <c r="D6" s="957"/>
      <c r="E6" s="957"/>
      <c r="F6" s="957"/>
      <c r="G6" s="958"/>
    </row>
    <row r="7" spans="1:7" s="2" customFormat="1" ht="15.75" customHeight="1">
      <c r="A7" s="971"/>
      <c r="B7" s="957"/>
      <c r="C7" s="959" t="s">
        <v>2</v>
      </c>
      <c r="D7" s="957"/>
      <c r="E7" s="957"/>
      <c r="F7" s="23" t="s">
        <v>3</v>
      </c>
      <c r="G7" s="24" t="s">
        <v>4</v>
      </c>
    </row>
    <row r="8" spans="1:7" s="2" customFormat="1" ht="60" customHeight="1">
      <c r="A8" s="1073" t="s">
        <v>272</v>
      </c>
      <c r="B8" s="944"/>
      <c r="C8" s="980" t="s">
        <v>273</v>
      </c>
      <c r="D8" s="944"/>
      <c r="E8" s="944"/>
      <c r="F8" s="51" t="s">
        <v>37</v>
      </c>
      <c r="G8" s="52">
        <v>190.11600000000001</v>
      </c>
    </row>
    <row r="9" spans="1:7" s="2" customFormat="1" ht="15.75" customHeight="1">
      <c r="A9" s="1071" t="s">
        <v>5</v>
      </c>
      <c r="B9" s="944"/>
      <c r="C9" s="944"/>
      <c r="D9" s="944"/>
      <c r="E9" s="944"/>
      <c r="F9" s="944"/>
      <c r="G9" s="1072"/>
    </row>
    <row r="10" spans="1:7" s="2" customFormat="1" ht="13.8">
      <c r="A10" s="1074" t="s">
        <v>2</v>
      </c>
      <c r="B10" s="944"/>
      <c r="C10" s="53" t="s">
        <v>3</v>
      </c>
      <c r="D10" s="53" t="s">
        <v>4</v>
      </c>
      <c r="E10" s="53" t="s">
        <v>6</v>
      </c>
      <c r="F10" s="53" t="s">
        <v>7</v>
      </c>
      <c r="G10" s="1075" t="s">
        <v>8</v>
      </c>
    </row>
    <row r="11" spans="1:7" s="2" customFormat="1" ht="15.75" customHeight="1">
      <c r="A11" s="947" t="s">
        <v>262</v>
      </c>
      <c r="B11" s="944"/>
      <c r="C11" s="51" t="s">
        <v>3</v>
      </c>
      <c r="D11" s="109">
        <v>0.05</v>
      </c>
      <c r="E11" s="17">
        <f>G23</f>
        <v>17031.5</v>
      </c>
      <c r="F11" s="55">
        <f>D11*E11</f>
        <v>851.57500000000005</v>
      </c>
      <c r="G11" s="1072"/>
    </row>
    <row r="12" spans="1:7" s="2" customFormat="1" ht="32.25" customHeight="1">
      <c r="A12" s="927" t="s">
        <v>113</v>
      </c>
      <c r="B12" s="932"/>
      <c r="C12" s="12" t="s">
        <v>58</v>
      </c>
      <c r="D12" s="51">
        <v>0.3</v>
      </c>
      <c r="E12" s="17">
        <f>'MAQUINARIA Y EQUIPOS'!F10</f>
        <v>3272.5</v>
      </c>
      <c r="F12" s="55">
        <f>D12*E12</f>
        <v>981.75</v>
      </c>
      <c r="G12" s="1072"/>
    </row>
    <row r="13" spans="1:7" s="2" customFormat="1" ht="15.75" customHeight="1">
      <c r="A13" s="927" t="s">
        <v>61</v>
      </c>
      <c r="B13" s="932"/>
      <c r="C13" s="12" t="s">
        <v>58</v>
      </c>
      <c r="D13" s="51">
        <v>0.1</v>
      </c>
      <c r="E13" s="17">
        <f>'MAQUINARIA Y EQUIPOS'!F18</f>
        <v>40460</v>
      </c>
      <c r="F13" s="55">
        <f>D13*E13</f>
        <v>4046</v>
      </c>
      <c r="G13" s="57">
        <f>SUM(F10:F13)</f>
        <v>5879.3249999999998</v>
      </c>
    </row>
    <row r="14" spans="1:7" s="2" customFormat="1" ht="15.75" customHeight="1">
      <c r="A14" s="1071" t="s">
        <v>10</v>
      </c>
      <c r="B14" s="944"/>
      <c r="C14" s="944"/>
      <c r="D14" s="944"/>
      <c r="E14" s="944"/>
      <c r="F14" s="944"/>
      <c r="G14" s="1072"/>
    </row>
    <row r="15" spans="1:7" s="2" customFormat="1" ht="15.75" customHeight="1">
      <c r="A15" s="1074" t="s">
        <v>2</v>
      </c>
      <c r="B15" s="944"/>
      <c r="C15" s="53" t="s">
        <v>3</v>
      </c>
      <c r="D15" s="53" t="s">
        <v>4</v>
      </c>
      <c r="E15" s="53" t="s">
        <v>6</v>
      </c>
      <c r="F15" s="53" t="s">
        <v>11</v>
      </c>
      <c r="G15" s="61" t="s">
        <v>8</v>
      </c>
    </row>
    <row r="16" spans="1:7" s="2" customFormat="1" ht="15.75" customHeight="1">
      <c r="A16" s="947" t="s">
        <v>274</v>
      </c>
      <c r="B16" s="944"/>
      <c r="C16" s="16" t="s">
        <v>39</v>
      </c>
      <c r="D16" s="16">
        <v>0.02</v>
      </c>
      <c r="E16" s="17">
        <f>SUBANÁLISIS!G89</f>
        <v>431833.82500000001</v>
      </c>
      <c r="F16" s="55">
        <f>E16*D16</f>
        <v>8636.6764999999996</v>
      </c>
      <c r="G16" s="57">
        <f>SUM(F15:F16)</f>
        <v>8636.6764999999996</v>
      </c>
    </row>
    <row r="17" spans="1:7" s="2" customFormat="1" ht="15.75" customHeight="1">
      <c r="A17" s="1071" t="s">
        <v>15</v>
      </c>
      <c r="B17" s="944"/>
      <c r="C17" s="944"/>
      <c r="D17" s="944"/>
      <c r="E17" s="944"/>
      <c r="F17" s="944"/>
      <c r="G17" s="1072"/>
    </row>
    <row r="18" spans="1:7" s="2" customFormat="1" ht="15.75" customHeight="1">
      <c r="A18" s="1074" t="s">
        <v>2</v>
      </c>
      <c r="B18" s="944"/>
      <c r="C18" s="53" t="s">
        <v>3</v>
      </c>
      <c r="D18" s="53" t="s">
        <v>4</v>
      </c>
      <c r="E18" s="53" t="s">
        <v>6</v>
      </c>
      <c r="F18" s="53" t="s">
        <v>11</v>
      </c>
      <c r="G18" s="1075" t="s">
        <v>8</v>
      </c>
    </row>
    <row r="19" spans="1:7" s="2" customFormat="1" ht="15.75" customHeight="1">
      <c r="A19" s="943" t="s">
        <v>68</v>
      </c>
      <c r="B19" s="944"/>
      <c r="C19" s="16" t="s">
        <v>3</v>
      </c>
      <c r="D19" s="54">
        <v>3.5000000000000003E-2</v>
      </c>
      <c r="E19" s="17">
        <f>G13</f>
        <v>5879.3249999999998</v>
      </c>
      <c r="F19" s="55">
        <f>E19*D19</f>
        <v>205.776375</v>
      </c>
      <c r="G19" s="1075"/>
    </row>
    <row r="20" spans="1:7" s="2" customFormat="1" ht="15.75" customHeight="1">
      <c r="A20" s="943" t="s">
        <v>17</v>
      </c>
      <c r="B20" s="944"/>
      <c r="C20" s="16" t="s">
        <v>3</v>
      </c>
      <c r="D20" s="54">
        <v>3.5000000000000003E-2</v>
      </c>
      <c r="E20" s="17">
        <f>+G16</f>
        <v>8636.6764999999996</v>
      </c>
      <c r="F20" s="55">
        <f>+D20*E20</f>
        <v>302.28367750000001</v>
      </c>
      <c r="G20" s="57">
        <f>SUM(F19:F20)</f>
        <v>508.06005249999998</v>
      </c>
    </row>
    <row r="21" spans="1:7" s="2" customFormat="1" ht="15.75" customHeight="1">
      <c r="A21" s="1071" t="s">
        <v>19</v>
      </c>
      <c r="B21" s="944"/>
      <c r="C21" s="944"/>
      <c r="D21" s="944"/>
      <c r="E21" s="944"/>
      <c r="F21" s="944"/>
      <c r="G21" s="1072"/>
    </row>
    <row r="22" spans="1:7" s="2" customFormat="1" ht="15.75" customHeight="1">
      <c r="A22" s="1074" t="s">
        <v>2</v>
      </c>
      <c r="B22" s="944"/>
      <c r="C22" s="53" t="s">
        <v>3</v>
      </c>
      <c r="D22" s="53" t="s">
        <v>4</v>
      </c>
      <c r="E22" s="53" t="s">
        <v>6</v>
      </c>
      <c r="F22" s="53" t="s">
        <v>11</v>
      </c>
      <c r="G22" s="61" t="s">
        <v>8</v>
      </c>
    </row>
    <row r="23" spans="1:7" s="2" customFormat="1" ht="15" customHeight="1">
      <c r="A23" s="978" t="str">
        <f>SALARIOS!$A$62</f>
        <v>CUADRILLA AA ALBAÑILERÍA 1:2</v>
      </c>
      <c r="B23" s="979"/>
      <c r="C23" s="13" t="s">
        <v>1245</v>
      </c>
      <c r="D23" s="16">
        <f>0.5</f>
        <v>0.5</v>
      </c>
      <c r="E23" s="17">
        <f>SALARIOS!$C$62</f>
        <v>34063</v>
      </c>
      <c r="F23" s="14">
        <f>+D23*E23</f>
        <v>17031.5</v>
      </c>
      <c r="G23" s="57">
        <f>F23</f>
        <v>17031.5</v>
      </c>
    </row>
    <row r="24" spans="1:7" s="2" customFormat="1" ht="13.8">
      <c r="A24" s="1076" t="s">
        <v>25</v>
      </c>
      <c r="B24" s="944"/>
      <c r="C24" s="944"/>
      <c r="D24" s="944"/>
      <c r="E24" s="944"/>
      <c r="F24" s="944"/>
      <c r="G24" s="1072"/>
    </row>
    <row r="25" spans="1:7" s="2" customFormat="1" ht="15.75" customHeight="1">
      <c r="A25" s="1077"/>
      <c r="B25" s="944"/>
      <c r="C25" s="944"/>
      <c r="D25" s="944"/>
      <c r="E25" s="944"/>
      <c r="F25" s="944"/>
      <c r="G25" s="62">
        <f>G23+G20+G16+G13</f>
        <v>32055.561552499999</v>
      </c>
    </row>
    <row r="26" spans="1:7" s="2" customFormat="1" ht="15.75" customHeight="1">
      <c r="A26" s="26"/>
      <c r="B26" s="27"/>
      <c r="C26" s="28"/>
      <c r="D26" s="28"/>
      <c r="E26" s="29"/>
      <c r="F26" s="28"/>
      <c r="G26" s="30"/>
    </row>
    <row r="27" spans="1:7" s="2" customFormat="1" ht="14.25" customHeight="1">
      <c r="A27" s="970" t="s">
        <v>1</v>
      </c>
      <c r="B27" s="957"/>
      <c r="C27" s="953" t="s">
        <v>0</v>
      </c>
      <c r="D27" s="954"/>
      <c r="E27" s="954"/>
      <c r="F27" s="954"/>
      <c r="G27" s="955"/>
    </row>
    <row r="28" spans="1:7" s="2" customFormat="1" ht="59.25" customHeight="1">
      <c r="A28" s="971"/>
      <c r="B28" s="957"/>
      <c r="C28" s="954"/>
      <c r="D28" s="954"/>
      <c r="E28" s="954"/>
      <c r="F28" s="954"/>
      <c r="G28" s="955"/>
    </row>
    <row r="29" spans="1:7" s="2" customFormat="1" ht="15.75" customHeight="1">
      <c r="A29" s="971"/>
      <c r="B29" s="957"/>
      <c r="C29" s="956"/>
      <c r="D29" s="957"/>
      <c r="E29" s="957"/>
      <c r="F29" s="957"/>
      <c r="G29" s="958"/>
    </row>
    <row r="30" spans="1:7" s="2" customFormat="1" ht="15.75" customHeight="1">
      <c r="A30" s="971"/>
      <c r="B30" s="957"/>
      <c r="C30" s="959" t="s">
        <v>2</v>
      </c>
      <c r="D30" s="957"/>
      <c r="E30" s="957"/>
      <c r="F30" s="23" t="s">
        <v>3</v>
      </c>
      <c r="G30" s="24" t="s">
        <v>4</v>
      </c>
    </row>
    <row r="31" spans="1:7" s="2" customFormat="1" ht="79.5" customHeight="1">
      <c r="A31" s="1073" t="s">
        <v>275</v>
      </c>
      <c r="B31" s="944"/>
      <c r="C31" s="980" t="s">
        <v>276</v>
      </c>
      <c r="D31" s="944"/>
      <c r="E31" s="944"/>
      <c r="F31" s="51" t="s">
        <v>37</v>
      </c>
      <c r="G31" s="52">
        <v>153.96600000000001</v>
      </c>
    </row>
    <row r="32" spans="1:7" s="2" customFormat="1" ht="15.75" customHeight="1">
      <c r="A32" s="1071" t="s">
        <v>5</v>
      </c>
      <c r="B32" s="944"/>
      <c r="C32" s="944"/>
      <c r="D32" s="944"/>
      <c r="E32" s="944"/>
      <c r="F32" s="944"/>
      <c r="G32" s="1072"/>
    </row>
    <row r="33" spans="1:7" s="2" customFormat="1" ht="15.75" customHeight="1">
      <c r="A33" s="1074" t="s">
        <v>2</v>
      </c>
      <c r="B33" s="944"/>
      <c r="C33" s="53" t="s">
        <v>3</v>
      </c>
      <c r="D33" s="53" t="s">
        <v>4</v>
      </c>
      <c r="E33" s="53" t="s">
        <v>6</v>
      </c>
      <c r="F33" s="53" t="s">
        <v>7</v>
      </c>
      <c r="G33" s="1075" t="s">
        <v>8</v>
      </c>
    </row>
    <row r="34" spans="1:7" s="2" customFormat="1" ht="15.75" customHeight="1">
      <c r="A34" s="947" t="s">
        <v>262</v>
      </c>
      <c r="B34" s="944"/>
      <c r="C34" s="51" t="s">
        <v>3</v>
      </c>
      <c r="D34" s="117">
        <v>0.05</v>
      </c>
      <c r="E34" s="17">
        <f>G49</f>
        <v>14291.5</v>
      </c>
      <c r="F34" s="55">
        <f>D34*E34</f>
        <v>714.57500000000005</v>
      </c>
      <c r="G34" s="1072"/>
    </row>
    <row r="35" spans="1:7" s="2" customFormat="1" ht="15.75" customHeight="1">
      <c r="A35" s="927" t="s">
        <v>113</v>
      </c>
      <c r="B35" s="932"/>
      <c r="C35" s="12" t="s">
        <v>58</v>
      </c>
      <c r="D35" s="51">
        <v>0.3</v>
      </c>
      <c r="E35" s="17">
        <f>'MAQUINARIA Y EQUIPOS'!F10</f>
        <v>3272.5</v>
      </c>
      <c r="F35" s="55">
        <f>D35*E35</f>
        <v>981.75</v>
      </c>
      <c r="G35" s="1072"/>
    </row>
    <row r="36" spans="1:7" s="2" customFormat="1" ht="13.8">
      <c r="A36" s="927" t="s">
        <v>61</v>
      </c>
      <c r="B36" s="932"/>
      <c r="C36" s="12" t="s">
        <v>58</v>
      </c>
      <c r="D36" s="51">
        <v>0.1</v>
      </c>
      <c r="E36" s="17">
        <f>'MAQUINARIA Y EQUIPOS'!F18</f>
        <v>40460</v>
      </c>
      <c r="F36" s="55">
        <f>D36*E36</f>
        <v>4046</v>
      </c>
      <c r="G36" s="57">
        <f>SUM(F33:F36)</f>
        <v>5742.3249999999998</v>
      </c>
    </row>
    <row r="37" spans="1:7" s="2" customFormat="1" ht="15.75" customHeight="1">
      <c r="A37" s="1071" t="s">
        <v>10</v>
      </c>
      <c r="B37" s="944"/>
      <c r="C37" s="944"/>
      <c r="D37" s="944"/>
      <c r="E37" s="944"/>
      <c r="F37" s="944"/>
      <c r="G37" s="1072"/>
    </row>
    <row r="38" spans="1:7" s="2" customFormat="1" ht="15.75" customHeight="1">
      <c r="A38" s="1074" t="s">
        <v>2</v>
      </c>
      <c r="B38" s="944"/>
      <c r="C38" s="53" t="s">
        <v>3</v>
      </c>
      <c r="D38" s="53" t="s">
        <v>4</v>
      </c>
      <c r="E38" s="53" t="s">
        <v>6</v>
      </c>
      <c r="F38" s="53" t="s">
        <v>11</v>
      </c>
      <c r="G38" s="1075" t="s">
        <v>8</v>
      </c>
    </row>
    <row r="39" spans="1:7" s="2" customFormat="1" ht="15.75" customHeight="1">
      <c r="A39" s="947" t="s">
        <v>277</v>
      </c>
      <c r="B39" s="944"/>
      <c r="C39" s="16" t="s">
        <v>34</v>
      </c>
      <c r="D39" s="16">
        <v>1.33</v>
      </c>
      <c r="E39" s="17">
        <f>'INSUMOS '!E54</f>
        <v>2953.5714285714284</v>
      </c>
      <c r="F39" s="55">
        <f>E39*D39</f>
        <v>3928.25</v>
      </c>
      <c r="G39" s="1072"/>
    </row>
    <row r="40" spans="1:7" s="2" customFormat="1" ht="15.75" customHeight="1">
      <c r="A40" s="947" t="s">
        <v>126</v>
      </c>
      <c r="B40" s="944"/>
      <c r="C40" s="16" t="s">
        <v>34</v>
      </c>
      <c r="D40" s="16">
        <v>0.03</v>
      </c>
      <c r="E40" s="17">
        <f>'INSUMOS '!E40</f>
        <v>18900</v>
      </c>
      <c r="F40" s="55">
        <f>E40*D40</f>
        <v>567</v>
      </c>
      <c r="G40" s="61"/>
    </row>
    <row r="41" spans="1:7" s="2" customFormat="1" ht="15.75" customHeight="1">
      <c r="A41" s="947" t="s">
        <v>278</v>
      </c>
      <c r="B41" s="944"/>
      <c r="C41" s="16" t="s">
        <v>3</v>
      </c>
      <c r="D41" s="16">
        <v>0.6</v>
      </c>
      <c r="E41" s="17">
        <f>'INSUMOS '!E82</f>
        <v>1350</v>
      </c>
      <c r="F41" s="55">
        <f>E41*D41</f>
        <v>810</v>
      </c>
      <c r="G41" s="57">
        <f>SUM(F38:F41)</f>
        <v>5305.25</v>
      </c>
    </row>
    <row r="42" spans="1:7" s="2" customFormat="1" ht="15.75" customHeight="1">
      <c r="A42" s="1071" t="s">
        <v>15</v>
      </c>
      <c r="B42" s="944"/>
      <c r="C42" s="944"/>
      <c r="D42" s="944"/>
      <c r="E42" s="944"/>
      <c r="F42" s="944"/>
      <c r="G42" s="1072"/>
    </row>
    <row r="43" spans="1:7" s="2" customFormat="1" ht="15.75" customHeight="1">
      <c r="A43" s="1074" t="s">
        <v>2</v>
      </c>
      <c r="B43" s="944"/>
      <c r="C43" s="53" t="s">
        <v>3</v>
      </c>
      <c r="D43" s="53" t="s">
        <v>4</v>
      </c>
      <c r="E43" s="53" t="s">
        <v>6</v>
      </c>
      <c r="F43" s="53" t="s">
        <v>11</v>
      </c>
      <c r="G43" s="1075" t="s">
        <v>8</v>
      </c>
    </row>
    <row r="44" spans="1:7" s="2" customFormat="1" ht="15.75" customHeight="1">
      <c r="A44" s="943" t="s">
        <v>17</v>
      </c>
      <c r="B44" s="1078"/>
      <c r="C44" s="51" t="s">
        <v>3</v>
      </c>
      <c r="D44" s="54">
        <v>3.5000000000000003E-2</v>
      </c>
      <c r="E44" s="118">
        <f>G41</f>
        <v>5305.25</v>
      </c>
      <c r="F44" s="55">
        <f>E44*D44</f>
        <v>185.68375000000003</v>
      </c>
      <c r="G44" s="1075"/>
    </row>
    <row r="45" spans="1:7" s="2" customFormat="1" ht="15.75" customHeight="1">
      <c r="A45" s="943" t="s">
        <v>68</v>
      </c>
      <c r="B45" s="944"/>
      <c r="C45" s="16" t="s">
        <v>3</v>
      </c>
      <c r="D45" s="54">
        <v>3.5000000000000003E-2</v>
      </c>
      <c r="E45" s="17">
        <f>G36</f>
        <v>5742.3249999999998</v>
      </c>
      <c r="F45" s="55">
        <f>E45*D45</f>
        <v>200.98137500000001</v>
      </c>
      <c r="G45" s="1075"/>
    </row>
    <row r="46" spans="1:7" s="2" customFormat="1" ht="15.75" customHeight="1">
      <c r="A46" s="943"/>
      <c r="B46" s="944"/>
      <c r="C46" s="16"/>
      <c r="D46" s="16"/>
      <c r="E46" s="17"/>
      <c r="F46" s="120"/>
      <c r="G46" s="57">
        <f>SUM(F44:F46)</f>
        <v>386.66512500000005</v>
      </c>
    </row>
    <row r="47" spans="1:7" s="2" customFormat="1" ht="15.75" customHeight="1">
      <c r="A47" s="1071" t="s">
        <v>19</v>
      </c>
      <c r="B47" s="944"/>
      <c r="C47" s="944"/>
      <c r="D47" s="944"/>
      <c r="E47" s="944"/>
      <c r="F47" s="944"/>
      <c r="G47" s="1072"/>
    </row>
    <row r="48" spans="1:7" s="2" customFormat="1" ht="15.75" customHeight="1">
      <c r="A48" s="1074" t="s">
        <v>2</v>
      </c>
      <c r="B48" s="944"/>
      <c r="C48" s="53" t="s">
        <v>3</v>
      </c>
      <c r="D48" s="53" t="s">
        <v>4</v>
      </c>
      <c r="E48" s="53" t="s">
        <v>6</v>
      </c>
      <c r="F48" s="53" t="s">
        <v>11</v>
      </c>
      <c r="G48" s="61" t="s">
        <v>8</v>
      </c>
    </row>
    <row r="49" spans="1:7" s="2" customFormat="1" ht="15" customHeight="1">
      <c r="A49" s="978" t="str">
        <f>+SALARIOS!$A$77</f>
        <v>CUADRILLA CC PINTURA 1:1</v>
      </c>
      <c r="B49" s="979"/>
      <c r="C49" s="13" t="s">
        <v>1245</v>
      </c>
      <c r="D49" s="16">
        <v>0.5</v>
      </c>
      <c r="E49" s="17">
        <f>+SALARIOS!$C$77</f>
        <v>28583</v>
      </c>
      <c r="F49" s="14">
        <f>+D49*E49</f>
        <v>14291.5</v>
      </c>
      <c r="G49" s="57">
        <f>F49</f>
        <v>14291.5</v>
      </c>
    </row>
    <row r="50" spans="1:7" s="2" customFormat="1" ht="15.75" customHeight="1">
      <c r="A50" s="1076" t="s">
        <v>25</v>
      </c>
      <c r="B50" s="944"/>
      <c r="C50" s="944"/>
      <c r="D50" s="944"/>
      <c r="E50" s="944"/>
      <c r="F50" s="944"/>
      <c r="G50" s="1072"/>
    </row>
    <row r="51" spans="1:7" s="2" customFormat="1" ht="17.399999999999999">
      <c r="A51" s="1077"/>
      <c r="B51" s="944"/>
      <c r="C51" s="944"/>
      <c r="D51" s="944"/>
      <c r="E51" s="944"/>
      <c r="F51" s="944"/>
      <c r="G51" s="62">
        <f>G49+G46+G41+G36</f>
        <v>25725.740125</v>
      </c>
    </row>
    <row r="52" spans="1:7" s="2" customFormat="1" ht="15.75" customHeight="1">
      <c r="A52" s="26"/>
      <c r="B52" s="27"/>
      <c r="C52" s="28"/>
      <c r="D52" s="28"/>
      <c r="E52" s="29"/>
      <c r="F52" s="28"/>
      <c r="G52" s="30"/>
    </row>
    <row r="53" spans="1:7" s="2" customFormat="1" ht="14.25" customHeight="1">
      <c r="A53" s="970" t="s">
        <v>1</v>
      </c>
      <c r="B53" s="957"/>
      <c r="C53" s="953" t="s">
        <v>0</v>
      </c>
      <c r="D53" s="954"/>
      <c r="E53" s="954"/>
      <c r="F53" s="954"/>
      <c r="G53" s="955"/>
    </row>
    <row r="54" spans="1:7" s="2" customFormat="1" ht="48.75" customHeight="1">
      <c r="A54" s="971"/>
      <c r="B54" s="957"/>
      <c r="C54" s="954"/>
      <c r="D54" s="954"/>
      <c r="E54" s="954"/>
      <c r="F54" s="954"/>
      <c r="G54" s="955"/>
    </row>
    <row r="55" spans="1:7" s="2" customFormat="1" ht="15.75" customHeight="1">
      <c r="A55" s="971"/>
      <c r="B55" s="957"/>
      <c r="C55" s="956"/>
      <c r="D55" s="957"/>
      <c r="E55" s="957"/>
      <c r="F55" s="957"/>
      <c r="G55" s="958"/>
    </row>
    <row r="56" spans="1:7" s="2" customFormat="1" ht="15.75" customHeight="1">
      <c r="A56" s="971"/>
      <c r="B56" s="957"/>
      <c r="C56" s="959" t="s">
        <v>2</v>
      </c>
      <c r="D56" s="957"/>
      <c r="E56" s="957"/>
      <c r="F56" s="23" t="s">
        <v>3</v>
      </c>
      <c r="G56" s="24" t="s">
        <v>4</v>
      </c>
    </row>
    <row r="57" spans="1:7" s="2" customFormat="1" ht="116.25" customHeight="1">
      <c r="A57" s="1073" t="s">
        <v>279</v>
      </c>
      <c r="B57" s="944"/>
      <c r="C57" s="980" t="s">
        <v>280</v>
      </c>
      <c r="D57" s="944"/>
      <c r="E57" s="944"/>
      <c r="F57" s="51" t="s">
        <v>37</v>
      </c>
      <c r="G57" s="52">
        <v>153.96600000000001</v>
      </c>
    </row>
    <row r="58" spans="1:7" s="2" customFormat="1" ht="15.75" customHeight="1">
      <c r="A58" s="1071" t="s">
        <v>5</v>
      </c>
      <c r="B58" s="944"/>
      <c r="C58" s="944"/>
      <c r="D58" s="944"/>
      <c r="E58" s="944"/>
      <c r="F58" s="944"/>
      <c r="G58" s="1072"/>
    </row>
    <row r="59" spans="1:7" s="2" customFormat="1" ht="15.75" customHeight="1">
      <c r="A59" s="1074" t="s">
        <v>2</v>
      </c>
      <c r="B59" s="944"/>
      <c r="C59" s="53" t="s">
        <v>3</v>
      </c>
      <c r="D59" s="53" t="s">
        <v>4</v>
      </c>
      <c r="E59" s="53" t="s">
        <v>6</v>
      </c>
      <c r="F59" s="53" t="s">
        <v>7</v>
      </c>
      <c r="G59" s="1075" t="s">
        <v>8</v>
      </c>
    </row>
    <row r="60" spans="1:7" s="2" customFormat="1" ht="15.75" customHeight="1">
      <c r="A60" s="947" t="s">
        <v>262</v>
      </c>
      <c r="B60" s="944"/>
      <c r="C60" s="51" t="s">
        <v>3</v>
      </c>
      <c r="D60" s="109">
        <v>0.05</v>
      </c>
      <c r="E60" s="17">
        <f>G75</f>
        <v>19586</v>
      </c>
      <c r="F60" s="55">
        <f>D60*E60</f>
        <v>979.30000000000007</v>
      </c>
      <c r="G60" s="1072"/>
    </row>
    <row r="61" spans="1:7" s="2" customFormat="1" ht="15.75" customHeight="1">
      <c r="A61" s="927" t="s">
        <v>113</v>
      </c>
      <c r="B61" s="932"/>
      <c r="C61" s="12" t="s">
        <v>58</v>
      </c>
      <c r="D61" s="51">
        <v>0.2</v>
      </c>
      <c r="E61" s="17">
        <f>'MAQUINARIA Y EQUIPOS'!F10</f>
        <v>3272.5</v>
      </c>
      <c r="F61" s="55">
        <f>D61*E61</f>
        <v>654.5</v>
      </c>
      <c r="G61" s="1072"/>
    </row>
    <row r="62" spans="1:7" s="2" customFormat="1" ht="13.8">
      <c r="A62" s="927" t="s">
        <v>61</v>
      </c>
      <c r="B62" s="932"/>
      <c r="C62" s="12" t="s">
        <v>58</v>
      </c>
      <c r="D62" s="51">
        <v>0.1</v>
      </c>
      <c r="E62" s="17">
        <f>'MAQUINARIA Y EQUIPOS'!F18</f>
        <v>40460</v>
      </c>
      <c r="F62" s="55">
        <f>D62*E62</f>
        <v>4046</v>
      </c>
      <c r="G62" s="57">
        <f>SUM(F59:F62)</f>
        <v>5679.8</v>
      </c>
    </row>
    <row r="63" spans="1:7" s="2" customFormat="1" ht="15.75" customHeight="1">
      <c r="A63" s="1071" t="s">
        <v>10</v>
      </c>
      <c r="B63" s="944"/>
      <c r="C63" s="944"/>
      <c r="D63" s="944"/>
      <c r="E63" s="944"/>
      <c r="F63" s="944"/>
      <c r="G63" s="1072"/>
    </row>
    <row r="64" spans="1:7" s="2" customFormat="1" ht="15.75" customHeight="1">
      <c r="A64" s="1074" t="s">
        <v>2</v>
      </c>
      <c r="B64" s="944"/>
      <c r="C64" s="53" t="s">
        <v>3</v>
      </c>
      <c r="D64" s="53" t="s">
        <v>4</v>
      </c>
      <c r="E64" s="53" t="s">
        <v>6</v>
      </c>
      <c r="F64" s="53" t="s">
        <v>11</v>
      </c>
      <c r="G64" s="1075" t="s">
        <v>8</v>
      </c>
    </row>
    <row r="65" spans="1:7" s="2" customFormat="1" ht="15.75" customHeight="1">
      <c r="A65" s="947" t="s">
        <v>281</v>
      </c>
      <c r="B65" s="944"/>
      <c r="C65" s="16" t="s">
        <v>190</v>
      </c>
      <c r="D65" s="54">
        <v>3.5000000000000003E-2</v>
      </c>
      <c r="E65" s="17">
        <f>'INSUMOS '!E83</f>
        <v>35700</v>
      </c>
      <c r="F65" s="55">
        <f>E65*D65</f>
        <v>1249.5000000000002</v>
      </c>
      <c r="G65" s="1075"/>
    </row>
    <row r="66" spans="1:7" s="2" customFormat="1" ht="15.75" customHeight="1">
      <c r="A66" s="947" t="s">
        <v>278</v>
      </c>
      <c r="B66" s="944"/>
      <c r="C66" s="16" t="s">
        <v>3</v>
      </c>
      <c r="D66" s="16">
        <v>0.06</v>
      </c>
      <c r="E66" s="17">
        <f>'INSUMOS '!E82</f>
        <v>1350</v>
      </c>
      <c r="F66" s="55">
        <f>E66*D66</f>
        <v>81</v>
      </c>
      <c r="G66" s="1075"/>
    </row>
    <row r="67" spans="1:7" s="2" customFormat="1" ht="15.75" customHeight="1">
      <c r="A67" s="947" t="s">
        <v>277</v>
      </c>
      <c r="B67" s="944"/>
      <c r="C67" s="16" t="s">
        <v>34</v>
      </c>
      <c r="D67" s="16">
        <v>0.1</v>
      </c>
      <c r="E67" s="17">
        <f>'INSUMOS '!E54</f>
        <v>2953.5714285714284</v>
      </c>
      <c r="F67" s="55">
        <f>E67*D67</f>
        <v>295.35714285714283</v>
      </c>
      <c r="G67" s="1075"/>
    </row>
    <row r="68" spans="1:7" s="2" customFormat="1" ht="15.75" customHeight="1">
      <c r="A68" s="947" t="s">
        <v>126</v>
      </c>
      <c r="B68" s="944"/>
      <c r="C68" s="16" t="s">
        <v>34</v>
      </c>
      <c r="D68" s="16">
        <v>0.03</v>
      </c>
      <c r="E68" s="17">
        <f>'INSUMOS '!E40</f>
        <v>18900</v>
      </c>
      <c r="F68" s="55">
        <f>E68*D68</f>
        <v>567</v>
      </c>
      <c r="G68" s="57">
        <f>SUM(F64:F68)</f>
        <v>2192.8571428571431</v>
      </c>
    </row>
    <row r="69" spans="1:7" s="2" customFormat="1" ht="15.75" customHeight="1">
      <c r="A69" s="1071" t="s">
        <v>15</v>
      </c>
      <c r="B69" s="944"/>
      <c r="C69" s="944"/>
      <c r="D69" s="944"/>
      <c r="E69" s="944"/>
      <c r="F69" s="944"/>
      <c r="G69" s="1072"/>
    </row>
    <row r="70" spans="1:7" s="2" customFormat="1" ht="15.75" customHeight="1">
      <c r="A70" s="1074" t="s">
        <v>2</v>
      </c>
      <c r="B70" s="944"/>
      <c r="C70" s="53" t="s">
        <v>3</v>
      </c>
      <c r="D70" s="53" t="s">
        <v>4</v>
      </c>
      <c r="E70" s="53" t="s">
        <v>6</v>
      </c>
      <c r="F70" s="53" t="s">
        <v>11</v>
      </c>
      <c r="G70" s="1075" t="s">
        <v>8</v>
      </c>
    </row>
    <row r="71" spans="1:7" s="2" customFormat="1" ht="16.5" customHeight="1">
      <c r="A71" s="943" t="s">
        <v>68</v>
      </c>
      <c r="B71" s="944"/>
      <c r="C71" s="16" t="s">
        <v>3</v>
      </c>
      <c r="D71" s="54">
        <v>3.5000000000000003E-2</v>
      </c>
      <c r="E71" s="17">
        <f>G62</f>
        <v>5679.8</v>
      </c>
      <c r="F71" s="55">
        <f>E71*D71</f>
        <v>198.79300000000003</v>
      </c>
      <c r="G71" s="1075"/>
    </row>
    <row r="72" spans="1:7" s="2" customFormat="1" ht="15.75" customHeight="1">
      <c r="A72" s="943" t="s">
        <v>17</v>
      </c>
      <c r="B72" s="944"/>
      <c r="C72" s="16" t="s">
        <v>3</v>
      </c>
      <c r="D72" s="54">
        <v>3.5000000000000003E-2</v>
      </c>
      <c r="E72" s="17">
        <f>+G68</f>
        <v>2192.8571428571431</v>
      </c>
      <c r="F72" s="55">
        <f>E72*D72</f>
        <v>76.750000000000014</v>
      </c>
      <c r="G72" s="57">
        <f>SUM(F71:F72)</f>
        <v>275.54300000000006</v>
      </c>
    </row>
    <row r="73" spans="1:7" s="2" customFormat="1" ht="15.75" customHeight="1">
      <c r="A73" s="1071" t="s">
        <v>19</v>
      </c>
      <c r="B73" s="944"/>
      <c r="C73" s="944"/>
      <c r="D73" s="944"/>
      <c r="E73" s="944"/>
      <c r="F73" s="944"/>
      <c r="G73" s="1072"/>
    </row>
    <row r="74" spans="1:7" s="2" customFormat="1" ht="15.75" customHeight="1">
      <c r="A74" s="1074" t="s">
        <v>2</v>
      </c>
      <c r="B74" s="944"/>
      <c r="C74" s="53" t="s">
        <v>3</v>
      </c>
      <c r="D74" s="53" t="s">
        <v>4</v>
      </c>
      <c r="E74" s="53" t="s">
        <v>6</v>
      </c>
      <c r="F74" s="53" t="s">
        <v>11</v>
      </c>
      <c r="G74" s="61" t="s">
        <v>8</v>
      </c>
    </row>
    <row r="75" spans="1:7" s="2" customFormat="1" ht="15" customHeight="1">
      <c r="A75" s="978" t="str">
        <f>SALARIOS!A78</f>
        <v>CUADRILLA CC PINTURA 1:2</v>
      </c>
      <c r="B75" s="979"/>
      <c r="C75" s="13" t="s">
        <v>1245</v>
      </c>
      <c r="D75" s="16">
        <v>0.5</v>
      </c>
      <c r="E75" s="17">
        <f>SALARIOS!$C$78</f>
        <v>39172</v>
      </c>
      <c r="F75" s="14">
        <f>+D75*E75</f>
        <v>19586</v>
      </c>
      <c r="G75" s="57">
        <f>F75</f>
        <v>19586</v>
      </c>
    </row>
    <row r="76" spans="1:7" s="2" customFormat="1" ht="13.8">
      <c r="A76" s="1076" t="s">
        <v>25</v>
      </c>
      <c r="B76" s="944"/>
      <c r="C76" s="944"/>
      <c r="D76" s="944"/>
      <c r="E76" s="944"/>
      <c r="F76" s="944"/>
      <c r="G76" s="1072"/>
    </row>
    <row r="77" spans="1:7" s="2" customFormat="1" ht="15.75" customHeight="1">
      <c r="A77" s="1077"/>
      <c r="B77" s="944"/>
      <c r="C77" s="944"/>
      <c r="D77" s="944"/>
      <c r="E77" s="944"/>
      <c r="F77" s="944"/>
      <c r="G77" s="62">
        <f>G75+G72+G68+G62</f>
        <v>27734.200142857142</v>
      </c>
    </row>
    <row r="78" spans="1:7" s="2" customFormat="1" ht="15.75" customHeight="1">
      <c r="A78" s="26"/>
      <c r="B78" s="27"/>
      <c r="C78" s="28"/>
      <c r="D78" s="28"/>
      <c r="E78" s="29"/>
      <c r="F78" s="28"/>
      <c r="G78" s="30"/>
    </row>
    <row r="79" spans="1:7" s="2" customFormat="1" ht="14.25" customHeight="1">
      <c r="A79" s="970" t="s">
        <v>1</v>
      </c>
      <c r="B79" s="957"/>
      <c r="C79" s="953" t="s">
        <v>0</v>
      </c>
      <c r="D79" s="954"/>
      <c r="E79" s="954"/>
      <c r="F79" s="954"/>
      <c r="G79" s="955"/>
    </row>
    <row r="80" spans="1:7" s="2" customFormat="1" ht="47.25" customHeight="1">
      <c r="A80" s="971"/>
      <c r="B80" s="957"/>
      <c r="C80" s="954"/>
      <c r="D80" s="954"/>
      <c r="E80" s="954"/>
      <c r="F80" s="954"/>
      <c r="G80" s="955"/>
    </row>
    <row r="81" spans="1:7" s="2" customFormat="1" ht="15.75" customHeight="1">
      <c r="A81" s="971"/>
      <c r="B81" s="957"/>
      <c r="C81" s="956"/>
      <c r="D81" s="957"/>
      <c r="E81" s="957"/>
      <c r="F81" s="957"/>
      <c r="G81" s="958"/>
    </row>
    <row r="82" spans="1:7" s="2" customFormat="1" ht="15.75" customHeight="1">
      <c r="A82" s="971"/>
      <c r="B82" s="957"/>
      <c r="C82" s="959" t="s">
        <v>2</v>
      </c>
      <c r="D82" s="957"/>
      <c r="E82" s="957"/>
      <c r="F82" s="23" t="s">
        <v>3</v>
      </c>
      <c r="G82" s="24" t="s">
        <v>4</v>
      </c>
    </row>
    <row r="83" spans="1:7" s="2" customFormat="1" ht="55.5" customHeight="1">
      <c r="A83" s="1073" t="s">
        <v>282</v>
      </c>
      <c r="B83" s="944"/>
      <c r="C83" s="980" t="s">
        <v>273</v>
      </c>
      <c r="D83" s="944"/>
      <c r="E83" s="944"/>
      <c r="F83" s="51" t="s">
        <v>37</v>
      </c>
      <c r="G83" s="52">
        <v>94.305000000000007</v>
      </c>
    </row>
    <row r="84" spans="1:7" s="2" customFormat="1" ht="15.75" customHeight="1">
      <c r="A84" s="1071" t="s">
        <v>5</v>
      </c>
      <c r="B84" s="944"/>
      <c r="C84" s="944"/>
      <c r="D84" s="944"/>
      <c r="E84" s="944"/>
      <c r="F84" s="944"/>
      <c r="G84" s="1072"/>
    </row>
    <row r="85" spans="1:7" s="2" customFormat="1" ht="23.25" customHeight="1">
      <c r="A85" s="1074" t="s">
        <v>2</v>
      </c>
      <c r="B85" s="944"/>
      <c r="C85" s="53" t="s">
        <v>3</v>
      </c>
      <c r="D85" s="53" t="s">
        <v>4</v>
      </c>
      <c r="E85" s="53" t="s">
        <v>6</v>
      </c>
      <c r="F85" s="53" t="s">
        <v>7</v>
      </c>
      <c r="G85" s="1075" t="s">
        <v>8</v>
      </c>
    </row>
    <row r="86" spans="1:7" s="2" customFormat="1" ht="13.8">
      <c r="A86" s="947" t="s">
        <v>262</v>
      </c>
      <c r="B86" s="944"/>
      <c r="C86" s="51" t="s">
        <v>3</v>
      </c>
      <c r="D86" s="109">
        <v>0.05</v>
      </c>
      <c r="E86" s="17">
        <f>G98</f>
        <v>17031.5</v>
      </c>
      <c r="F86" s="55">
        <f>D86*E86</f>
        <v>851.57500000000005</v>
      </c>
      <c r="G86" s="1072"/>
    </row>
    <row r="87" spans="1:7" s="2" customFormat="1" ht="15.75" customHeight="1">
      <c r="A87" s="927" t="s">
        <v>113</v>
      </c>
      <c r="B87" s="932"/>
      <c r="C87" s="12" t="s">
        <v>58</v>
      </c>
      <c r="D87" s="51">
        <v>0.3</v>
      </c>
      <c r="E87" s="17">
        <f>'MAQUINARIA Y EQUIPOS'!F10</f>
        <v>3272.5</v>
      </c>
      <c r="F87" s="55">
        <f>D87*E87</f>
        <v>981.75</v>
      </c>
      <c r="G87" s="1072"/>
    </row>
    <row r="88" spans="1:7" s="2" customFormat="1" ht="15.75" customHeight="1">
      <c r="A88" s="927" t="s">
        <v>61</v>
      </c>
      <c r="B88" s="932"/>
      <c r="C88" s="12" t="s">
        <v>58</v>
      </c>
      <c r="D88" s="51">
        <v>0.1</v>
      </c>
      <c r="E88" s="17">
        <f>'MAQUINARIA Y EQUIPOS'!F18</f>
        <v>40460</v>
      </c>
      <c r="F88" s="55">
        <f>D88*E88</f>
        <v>4046</v>
      </c>
      <c r="G88" s="57">
        <f>SUM(F85:F88)</f>
        <v>5879.3249999999998</v>
      </c>
    </row>
    <row r="89" spans="1:7" s="2" customFormat="1" ht="15.75" customHeight="1">
      <c r="A89" s="1071" t="s">
        <v>10</v>
      </c>
      <c r="B89" s="944"/>
      <c r="C89" s="944"/>
      <c r="D89" s="944"/>
      <c r="E89" s="944"/>
      <c r="F89" s="944"/>
      <c r="G89" s="1072"/>
    </row>
    <row r="90" spans="1:7" s="2" customFormat="1" ht="15.75" customHeight="1">
      <c r="A90" s="1074" t="s">
        <v>2</v>
      </c>
      <c r="B90" s="944"/>
      <c r="C90" s="53" t="s">
        <v>3</v>
      </c>
      <c r="D90" s="53" t="s">
        <v>4</v>
      </c>
      <c r="E90" s="53" t="s">
        <v>6</v>
      </c>
      <c r="F90" s="53" t="s">
        <v>11</v>
      </c>
      <c r="G90" s="61" t="s">
        <v>8</v>
      </c>
    </row>
    <row r="91" spans="1:7" s="2" customFormat="1" ht="15.75" customHeight="1">
      <c r="A91" s="947" t="s">
        <v>283</v>
      </c>
      <c r="B91" s="944"/>
      <c r="C91" s="16" t="s">
        <v>39</v>
      </c>
      <c r="D91" s="16">
        <v>0.02</v>
      </c>
      <c r="E91" s="17">
        <f>SUBANÁLISIS!G89</f>
        <v>431833.82500000001</v>
      </c>
      <c r="F91" s="55">
        <f>E91*D91</f>
        <v>8636.6764999999996</v>
      </c>
      <c r="G91" s="57">
        <f>SUM(F90:F91)</f>
        <v>8636.6764999999996</v>
      </c>
    </row>
    <row r="92" spans="1:7" s="2" customFormat="1" ht="15.75" customHeight="1">
      <c r="A92" s="1071" t="s">
        <v>15</v>
      </c>
      <c r="B92" s="944"/>
      <c r="C92" s="944"/>
      <c r="D92" s="944"/>
      <c r="E92" s="944"/>
      <c r="F92" s="944"/>
      <c r="G92" s="1072"/>
    </row>
    <row r="93" spans="1:7" s="2" customFormat="1" ht="15.75" customHeight="1">
      <c r="A93" s="1074" t="s">
        <v>2</v>
      </c>
      <c r="B93" s="944"/>
      <c r="C93" s="53" t="s">
        <v>3</v>
      </c>
      <c r="D93" s="53" t="s">
        <v>4</v>
      </c>
      <c r="E93" s="53" t="s">
        <v>6</v>
      </c>
      <c r="F93" s="53" t="s">
        <v>11</v>
      </c>
      <c r="G93" s="61" t="s">
        <v>8</v>
      </c>
    </row>
    <row r="94" spans="1:7" s="2" customFormat="1" ht="15.75" customHeight="1">
      <c r="A94" s="943" t="s">
        <v>17</v>
      </c>
      <c r="B94" s="944"/>
      <c r="C94" s="16" t="s">
        <v>284</v>
      </c>
      <c r="D94" s="54">
        <v>3.5000000000000003E-2</v>
      </c>
      <c r="E94" s="17">
        <f>+G91</f>
        <v>8636.6764999999996</v>
      </c>
      <c r="F94" s="55">
        <f>+E94*D94</f>
        <v>302.28367750000001</v>
      </c>
      <c r="G94" s="61"/>
    </row>
    <row r="95" spans="1:7" s="2" customFormat="1" ht="15.75" customHeight="1">
      <c r="A95" s="943" t="s">
        <v>68</v>
      </c>
      <c r="B95" s="944"/>
      <c r="C95" s="16" t="s">
        <v>3</v>
      </c>
      <c r="D95" s="54">
        <v>3.5000000000000003E-2</v>
      </c>
      <c r="E95" s="17">
        <f>G88</f>
        <v>5879.3249999999998</v>
      </c>
      <c r="F95" s="55">
        <f>+E95*D95</f>
        <v>205.776375</v>
      </c>
      <c r="G95" s="57">
        <f>SUM(F94:F95)</f>
        <v>508.06005249999998</v>
      </c>
    </row>
    <row r="96" spans="1:7" s="2" customFormat="1" ht="15.75" customHeight="1">
      <c r="A96" s="1071" t="s">
        <v>19</v>
      </c>
      <c r="B96" s="944"/>
      <c r="C96" s="944"/>
      <c r="D96" s="944"/>
      <c r="E96" s="944"/>
      <c r="F96" s="944"/>
      <c r="G96" s="1072"/>
    </row>
    <row r="97" spans="1:7" s="2" customFormat="1" ht="15.75" customHeight="1">
      <c r="A97" s="1074" t="s">
        <v>2</v>
      </c>
      <c r="B97" s="944"/>
      <c r="C97" s="53" t="s">
        <v>3</v>
      </c>
      <c r="D97" s="53" t="s">
        <v>4</v>
      </c>
      <c r="E97" s="53" t="s">
        <v>6</v>
      </c>
      <c r="F97" s="53" t="s">
        <v>11</v>
      </c>
      <c r="G97" s="61" t="s">
        <v>8</v>
      </c>
    </row>
    <row r="98" spans="1:7" s="2" customFormat="1" ht="15" customHeight="1">
      <c r="A98" s="978" t="str">
        <f>SALARIOS!$A$62</f>
        <v>CUADRILLA AA ALBAÑILERÍA 1:2</v>
      </c>
      <c r="B98" s="979"/>
      <c r="C98" s="13" t="s">
        <v>1245</v>
      </c>
      <c r="D98" s="16">
        <f>0.5</f>
        <v>0.5</v>
      </c>
      <c r="E98" s="17">
        <f>SALARIOS!$C$62</f>
        <v>34063</v>
      </c>
      <c r="F98" s="14">
        <f>+D98*E98</f>
        <v>17031.5</v>
      </c>
      <c r="G98" s="57">
        <f>F98</f>
        <v>17031.5</v>
      </c>
    </row>
    <row r="99" spans="1:7" s="2" customFormat="1" ht="15.75" customHeight="1">
      <c r="A99" s="1076" t="s">
        <v>25</v>
      </c>
      <c r="B99" s="944"/>
      <c r="C99" s="944"/>
      <c r="D99" s="944"/>
      <c r="E99" s="944"/>
      <c r="F99" s="944"/>
      <c r="G99" s="1072"/>
    </row>
    <row r="100" spans="1:7" s="2" customFormat="1" ht="17.399999999999999">
      <c r="A100" s="1077"/>
      <c r="B100" s="944"/>
      <c r="C100" s="944"/>
      <c r="D100" s="944"/>
      <c r="E100" s="944"/>
      <c r="F100" s="944"/>
      <c r="G100" s="62">
        <f>G98+G95+G91+G88</f>
        <v>32055.561552499999</v>
      </c>
    </row>
    <row r="101" spans="1:7" s="2" customFormat="1" ht="15.75" customHeight="1">
      <c r="A101" s="26"/>
      <c r="B101" s="27"/>
      <c r="C101" s="28"/>
      <c r="D101" s="28"/>
      <c r="E101" s="29"/>
      <c r="F101" s="28"/>
      <c r="G101" s="30"/>
    </row>
    <row r="102" spans="1:7" s="2" customFormat="1" ht="14.25" customHeight="1">
      <c r="A102" s="970" t="s">
        <v>1</v>
      </c>
      <c r="B102" s="957"/>
      <c r="C102" s="953" t="s">
        <v>0</v>
      </c>
      <c r="D102" s="954"/>
      <c r="E102" s="954"/>
      <c r="F102" s="954"/>
      <c r="G102" s="955"/>
    </row>
    <row r="103" spans="1:7" s="2" customFormat="1" ht="41.25" customHeight="1">
      <c r="A103" s="971"/>
      <c r="B103" s="957"/>
      <c r="C103" s="954"/>
      <c r="D103" s="954"/>
      <c r="E103" s="954"/>
      <c r="F103" s="954"/>
      <c r="G103" s="955"/>
    </row>
    <row r="104" spans="1:7" s="2" customFormat="1" ht="15.75" customHeight="1">
      <c r="A104" s="971"/>
      <c r="B104" s="957"/>
      <c r="C104" s="956"/>
      <c r="D104" s="957"/>
      <c r="E104" s="957"/>
      <c r="F104" s="957"/>
      <c r="G104" s="958"/>
    </row>
    <row r="105" spans="1:7" s="2" customFormat="1" ht="15.75" customHeight="1">
      <c r="A105" s="971"/>
      <c r="B105" s="957"/>
      <c r="C105" s="959" t="s">
        <v>2</v>
      </c>
      <c r="D105" s="957"/>
      <c r="E105" s="957"/>
      <c r="F105" s="23" t="s">
        <v>3</v>
      </c>
      <c r="G105" s="24" t="s">
        <v>4</v>
      </c>
    </row>
    <row r="106" spans="1:7" s="2" customFormat="1" ht="66.75" customHeight="1">
      <c r="A106" s="1073" t="s">
        <v>285</v>
      </c>
      <c r="B106" s="944"/>
      <c r="C106" s="980" t="s">
        <v>276</v>
      </c>
      <c r="D106" s="944"/>
      <c r="E106" s="944"/>
      <c r="F106" s="51" t="s">
        <v>37</v>
      </c>
      <c r="G106" s="52">
        <v>94.305000000000007</v>
      </c>
    </row>
    <row r="107" spans="1:7" s="2" customFormat="1" ht="15.75" customHeight="1">
      <c r="A107" s="1071" t="s">
        <v>5</v>
      </c>
      <c r="B107" s="944"/>
      <c r="C107" s="944"/>
      <c r="D107" s="944"/>
      <c r="E107" s="944"/>
      <c r="F107" s="944"/>
      <c r="G107" s="1072"/>
    </row>
    <row r="108" spans="1:7" s="2" customFormat="1" ht="15.75" customHeight="1">
      <c r="A108" s="1074" t="s">
        <v>2</v>
      </c>
      <c r="B108" s="944"/>
      <c r="C108" s="53" t="s">
        <v>3</v>
      </c>
      <c r="D108" s="53" t="s">
        <v>4</v>
      </c>
      <c r="E108" s="53" t="s">
        <v>6</v>
      </c>
      <c r="F108" s="53" t="s">
        <v>7</v>
      </c>
      <c r="G108" s="1075" t="s">
        <v>8</v>
      </c>
    </row>
    <row r="109" spans="1:7" s="2" customFormat="1" ht="15.75" customHeight="1">
      <c r="A109" s="947" t="s">
        <v>262</v>
      </c>
      <c r="B109" s="944"/>
      <c r="C109" s="51" t="s">
        <v>3</v>
      </c>
      <c r="D109" s="117">
        <v>0.05</v>
      </c>
      <c r="E109" s="17">
        <f>G124</f>
        <v>14291.5</v>
      </c>
      <c r="F109" s="55">
        <f>D109*E109</f>
        <v>714.57500000000005</v>
      </c>
      <c r="G109" s="1072"/>
    </row>
    <row r="110" spans="1:7" s="2" customFormat="1" ht="15.75" customHeight="1">
      <c r="A110" s="927" t="s">
        <v>113</v>
      </c>
      <c r="B110" s="932"/>
      <c r="C110" s="12" t="s">
        <v>58</v>
      </c>
      <c r="D110" s="51">
        <v>0.3</v>
      </c>
      <c r="E110" s="17">
        <f>'MAQUINARIA Y EQUIPOS'!F10</f>
        <v>3272.5</v>
      </c>
      <c r="F110" s="55">
        <f>D110*E110</f>
        <v>981.75</v>
      </c>
      <c r="G110" s="1072"/>
    </row>
    <row r="111" spans="1:7" s="2" customFormat="1" ht="13.8">
      <c r="A111" s="927" t="s">
        <v>61</v>
      </c>
      <c r="B111" s="932"/>
      <c r="C111" s="12" t="s">
        <v>58</v>
      </c>
      <c r="D111" s="51">
        <v>0.1</v>
      </c>
      <c r="E111" s="17">
        <f>'MAQUINARIA Y EQUIPOS'!F18</f>
        <v>40460</v>
      </c>
      <c r="F111" s="55">
        <f>D111*E111</f>
        <v>4046</v>
      </c>
      <c r="G111" s="57">
        <f>SUM(F108:F111)</f>
        <v>5742.3249999999998</v>
      </c>
    </row>
    <row r="112" spans="1:7" s="2" customFormat="1" ht="15.75" customHeight="1">
      <c r="A112" s="1071" t="s">
        <v>10</v>
      </c>
      <c r="B112" s="944"/>
      <c r="C112" s="944"/>
      <c r="D112" s="944"/>
      <c r="E112" s="944"/>
      <c r="F112" s="944"/>
      <c r="G112" s="1072"/>
    </row>
    <row r="113" spans="1:7" s="2" customFormat="1" ht="15.75" customHeight="1">
      <c r="A113" s="1074" t="s">
        <v>2</v>
      </c>
      <c r="B113" s="944"/>
      <c r="C113" s="53" t="s">
        <v>3</v>
      </c>
      <c r="D113" s="53" t="s">
        <v>4</v>
      </c>
      <c r="E113" s="53" t="s">
        <v>6</v>
      </c>
      <c r="F113" s="53" t="s">
        <v>11</v>
      </c>
      <c r="G113" s="1075" t="s">
        <v>8</v>
      </c>
    </row>
    <row r="114" spans="1:7" s="2" customFormat="1" ht="15.75" customHeight="1">
      <c r="A114" s="947" t="s">
        <v>277</v>
      </c>
      <c r="B114" s="944"/>
      <c r="C114" s="16" t="s">
        <v>34</v>
      </c>
      <c r="D114" s="16">
        <v>1.33</v>
      </c>
      <c r="E114" s="17">
        <f>'INSUMOS '!E54</f>
        <v>2953.5714285714284</v>
      </c>
      <c r="F114" s="55">
        <f>E114*D114</f>
        <v>3928.25</v>
      </c>
      <c r="G114" s="1072"/>
    </row>
    <row r="115" spans="1:7" s="2" customFormat="1" ht="15.75" customHeight="1">
      <c r="A115" s="947" t="s">
        <v>126</v>
      </c>
      <c r="B115" s="944"/>
      <c r="C115" s="16" t="s">
        <v>34</v>
      </c>
      <c r="D115" s="16">
        <v>0.03</v>
      </c>
      <c r="E115" s="17">
        <f>'INSUMOS '!E40</f>
        <v>18900</v>
      </c>
      <c r="F115" s="55">
        <f>E115*D115</f>
        <v>567</v>
      </c>
      <c r="G115" s="61"/>
    </row>
    <row r="116" spans="1:7" s="2" customFormat="1" ht="15.75" customHeight="1">
      <c r="A116" s="947" t="s">
        <v>278</v>
      </c>
      <c r="B116" s="944"/>
      <c r="C116" s="16" t="s">
        <v>3</v>
      </c>
      <c r="D116" s="16">
        <v>0.6</v>
      </c>
      <c r="E116" s="17">
        <f>'INSUMOS '!E82</f>
        <v>1350</v>
      </c>
      <c r="F116" s="55">
        <f>E116*D116</f>
        <v>810</v>
      </c>
      <c r="G116" s="57">
        <f>SUM(F113:F116)</f>
        <v>5305.25</v>
      </c>
    </row>
    <row r="117" spans="1:7" s="2" customFormat="1" ht="15.75" customHeight="1">
      <c r="A117" s="1071" t="s">
        <v>15</v>
      </c>
      <c r="B117" s="944"/>
      <c r="C117" s="944"/>
      <c r="D117" s="944"/>
      <c r="E117" s="944"/>
      <c r="F117" s="944"/>
      <c r="G117" s="1072"/>
    </row>
    <row r="118" spans="1:7" s="2" customFormat="1" ht="15.75" customHeight="1">
      <c r="A118" s="1074" t="s">
        <v>2</v>
      </c>
      <c r="B118" s="944"/>
      <c r="C118" s="53" t="s">
        <v>3</v>
      </c>
      <c r="D118" s="53" t="s">
        <v>4</v>
      </c>
      <c r="E118" s="53" t="s">
        <v>6</v>
      </c>
      <c r="F118" s="53" t="s">
        <v>11</v>
      </c>
      <c r="G118" s="1075" t="s">
        <v>8</v>
      </c>
    </row>
    <row r="119" spans="1:7" s="2" customFormat="1" ht="15.75" customHeight="1">
      <c r="A119" s="943" t="s">
        <v>17</v>
      </c>
      <c r="B119" s="1078"/>
      <c r="C119" s="51" t="s">
        <v>3</v>
      </c>
      <c r="D119" s="54">
        <v>3.5000000000000003E-2</v>
      </c>
      <c r="E119" s="118">
        <f>G116</f>
        <v>5305.25</v>
      </c>
      <c r="F119" s="55">
        <f>E119*D119</f>
        <v>185.68375000000003</v>
      </c>
      <c r="G119" s="1075"/>
    </row>
    <row r="120" spans="1:7" s="2" customFormat="1" ht="15.75" customHeight="1">
      <c r="A120" s="943" t="s">
        <v>68</v>
      </c>
      <c r="B120" s="944"/>
      <c r="C120" s="16" t="s">
        <v>3</v>
      </c>
      <c r="D120" s="54">
        <v>3.5000000000000003E-2</v>
      </c>
      <c r="E120" s="17">
        <f>G111</f>
        <v>5742.3249999999998</v>
      </c>
      <c r="F120" s="55">
        <f>E120*D120</f>
        <v>200.98137500000001</v>
      </c>
      <c r="G120" s="1075"/>
    </row>
    <row r="121" spans="1:7" s="2" customFormat="1" ht="15.75" customHeight="1">
      <c r="A121" s="943"/>
      <c r="B121" s="944"/>
      <c r="C121" s="16"/>
      <c r="D121" s="16"/>
      <c r="E121" s="17"/>
      <c r="F121" s="120"/>
      <c r="G121" s="57">
        <f>SUM(F119:F121)</f>
        <v>386.66512500000005</v>
      </c>
    </row>
    <row r="122" spans="1:7" s="2" customFormat="1" ht="13.8">
      <c r="A122" s="1071" t="s">
        <v>19</v>
      </c>
      <c r="B122" s="944"/>
      <c r="C122" s="944"/>
      <c r="D122" s="944"/>
      <c r="E122" s="944"/>
      <c r="F122" s="944"/>
      <c r="G122" s="1072"/>
    </row>
    <row r="123" spans="1:7" s="2" customFormat="1" ht="15.75" customHeight="1">
      <c r="A123" s="1074" t="s">
        <v>2</v>
      </c>
      <c r="B123" s="944"/>
      <c r="C123" s="53" t="s">
        <v>3</v>
      </c>
      <c r="D123" s="53" t="s">
        <v>4</v>
      </c>
      <c r="E123" s="53" t="s">
        <v>6</v>
      </c>
      <c r="F123" s="53" t="s">
        <v>11</v>
      </c>
      <c r="G123" s="61" t="s">
        <v>8</v>
      </c>
    </row>
    <row r="124" spans="1:7" s="2" customFormat="1" ht="15" customHeight="1">
      <c r="A124" s="978" t="str">
        <f>+SALARIOS!$A$77</f>
        <v>CUADRILLA CC PINTURA 1:1</v>
      </c>
      <c r="B124" s="979"/>
      <c r="C124" s="13" t="s">
        <v>1245</v>
      </c>
      <c r="D124" s="16">
        <f>0.5</f>
        <v>0.5</v>
      </c>
      <c r="E124" s="17">
        <f>SALARIOS!$C$77</f>
        <v>28583</v>
      </c>
      <c r="F124" s="14">
        <f>+D124*E124</f>
        <v>14291.5</v>
      </c>
      <c r="G124" s="57">
        <f>F124</f>
        <v>14291.5</v>
      </c>
    </row>
    <row r="125" spans="1:7" s="2" customFormat="1" ht="13.8">
      <c r="A125" s="1076" t="s">
        <v>25</v>
      </c>
      <c r="B125" s="944"/>
      <c r="C125" s="944"/>
      <c r="D125" s="944"/>
      <c r="E125" s="944"/>
      <c r="F125" s="944"/>
      <c r="G125" s="1072"/>
    </row>
    <row r="126" spans="1:7" s="2" customFormat="1" ht="17.399999999999999">
      <c r="A126" s="1077"/>
      <c r="B126" s="944"/>
      <c r="C126" s="944"/>
      <c r="D126" s="944"/>
      <c r="E126" s="944"/>
      <c r="F126" s="944"/>
      <c r="G126" s="62">
        <f>G124+G121+G116+G111</f>
        <v>25725.740125</v>
      </c>
    </row>
    <row r="127" spans="1:7" s="2" customFormat="1" ht="15.75" customHeight="1">
      <c r="A127" s="26"/>
      <c r="B127" s="27"/>
      <c r="C127" s="28"/>
      <c r="D127" s="28"/>
      <c r="E127" s="29"/>
      <c r="F127" s="28"/>
      <c r="G127" s="30"/>
    </row>
    <row r="128" spans="1:7" s="2" customFormat="1" ht="15.75" customHeight="1">
      <c r="A128" s="970" t="s">
        <v>1</v>
      </c>
      <c r="B128" s="957"/>
      <c r="C128" s="953" t="s">
        <v>0</v>
      </c>
      <c r="D128" s="954"/>
      <c r="E128" s="954"/>
      <c r="F128" s="954"/>
      <c r="G128" s="955"/>
    </row>
    <row r="129" spans="1:7" s="2" customFormat="1" ht="52.5" customHeight="1">
      <c r="A129" s="971"/>
      <c r="B129" s="957"/>
      <c r="C129" s="954"/>
      <c r="D129" s="954"/>
      <c r="E129" s="954"/>
      <c r="F129" s="954"/>
      <c r="G129" s="955"/>
    </row>
    <row r="130" spans="1:7" s="2" customFormat="1" ht="15.75" customHeight="1">
      <c r="A130" s="971"/>
      <c r="B130" s="957"/>
      <c r="C130" s="956"/>
      <c r="D130" s="957"/>
      <c r="E130" s="957"/>
      <c r="F130" s="957"/>
      <c r="G130" s="958"/>
    </row>
    <row r="131" spans="1:7" s="2" customFormat="1" ht="15.75" customHeight="1">
      <c r="A131" s="971"/>
      <c r="B131" s="957"/>
      <c r="C131" s="959" t="s">
        <v>2</v>
      </c>
      <c r="D131" s="957"/>
      <c r="E131" s="957"/>
      <c r="F131" s="23" t="s">
        <v>3</v>
      </c>
      <c r="G131" s="24" t="s">
        <v>4</v>
      </c>
    </row>
    <row r="132" spans="1:7" s="2" customFormat="1" ht="123" customHeight="1">
      <c r="A132" s="1073" t="s">
        <v>286</v>
      </c>
      <c r="B132" s="944"/>
      <c r="C132" s="980" t="s">
        <v>280</v>
      </c>
      <c r="D132" s="944"/>
      <c r="E132" s="944"/>
      <c r="F132" s="51" t="s">
        <v>37</v>
      </c>
      <c r="G132" s="52">
        <v>94.305000000000007</v>
      </c>
    </row>
    <row r="133" spans="1:7" s="2" customFormat="1" ht="15.75" customHeight="1">
      <c r="A133" s="1071" t="s">
        <v>5</v>
      </c>
      <c r="B133" s="944"/>
      <c r="C133" s="944"/>
      <c r="D133" s="944"/>
      <c r="E133" s="944"/>
      <c r="F133" s="944"/>
      <c r="G133" s="1072"/>
    </row>
    <row r="134" spans="1:7" s="2" customFormat="1" ht="15.75" customHeight="1">
      <c r="A134" s="1074" t="s">
        <v>2</v>
      </c>
      <c r="B134" s="944"/>
      <c r="C134" s="53" t="s">
        <v>3</v>
      </c>
      <c r="D134" s="53" t="s">
        <v>4</v>
      </c>
      <c r="E134" s="53" t="s">
        <v>6</v>
      </c>
      <c r="F134" s="53" t="s">
        <v>7</v>
      </c>
      <c r="G134" s="1075" t="s">
        <v>8</v>
      </c>
    </row>
    <row r="135" spans="1:7" s="2" customFormat="1" ht="15.75" customHeight="1">
      <c r="A135" s="947" t="s">
        <v>262</v>
      </c>
      <c r="B135" s="944"/>
      <c r="C135" s="51" t="s">
        <v>3</v>
      </c>
      <c r="D135" s="109">
        <v>0.05</v>
      </c>
      <c r="E135" s="17">
        <f>G150</f>
        <v>19586</v>
      </c>
      <c r="F135" s="55">
        <f>D135*E135</f>
        <v>979.30000000000007</v>
      </c>
      <c r="G135" s="1072"/>
    </row>
    <row r="136" spans="1:7" s="2" customFormat="1" ht="15.75" customHeight="1">
      <c r="A136" s="927" t="s">
        <v>113</v>
      </c>
      <c r="B136" s="932"/>
      <c r="C136" s="12" t="s">
        <v>58</v>
      </c>
      <c r="D136" s="51">
        <v>0.2</v>
      </c>
      <c r="E136" s="17">
        <f>'MAQUINARIA Y EQUIPOS'!F10</f>
        <v>3272.5</v>
      </c>
      <c r="F136" s="55">
        <f>D136*E136</f>
        <v>654.5</v>
      </c>
      <c r="G136" s="1072"/>
    </row>
    <row r="137" spans="1:7" s="2" customFormat="1" ht="15.75" customHeight="1">
      <c r="A137" s="927" t="s">
        <v>61</v>
      </c>
      <c r="B137" s="932"/>
      <c r="C137" s="12" t="s">
        <v>58</v>
      </c>
      <c r="D137" s="51">
        <v>0.1</v>
      </c>
      <c r="E137" s="17">
        <f>'MAQUINARIA Y EQUIPOS'!F18</f>
        <v>40460</v>
      </c>
      <c r="F137" s="55">
        <f>D137*E137</f>
        <v>4046</v>
      </c>
      <c r="G137" s="57">
        <f>SUM(F134:F137)</f>
        <v>5679.8</v>
      </c>
    </row>
    <row r="138" spans="1:7" s="2" customFormat="1" ht="13.8">
      <c r="A138" s="1071" t="s">
        <v>10</v>
      </c>
      <c r="B138" s="944"/>
      <c r="C138" s="944"/>
      <c r="D138" s="944"/>
      <c r="E138" s="944"/>
      <c r="F138" s="944"/>
      <c r="G138" s="1072"/>
    </row>
    <row r="139" spans="1:7" s="2" customFormat="1" ht="15.75" customHeight="1">
      <c r="A139" s="1074" t="s">
        <v>2</v>
      </c>
      <c r="B139" s="944"/>
      <c r="C139" s="53" t="s">
        <v>3</v>
      </c>
      <c r="D139" s="53" t="s">
        <v>4</v>
      </c>
      <c r="E139" s="53" t="s">
        <v>6</v>
      </c>
      <c r="F139" s="53" t="s">
        <v>11</v>
      </c>
      <c r="G139" s="1075" t="s">
        <v>8</v>
      </c>
    </row>
    <row r="140" spans="1:7" s="2" customFormat="1" ht="15.75" customHeight="1">
      <c r="A140" s="947" t="s">
        <v>281</v>
      </c>
      <c r="B140" s="944"/>
      <c r="C140" s="16" t="s">
        <v>190</v>
      </c>
      <c r="D140" s="54">
        <v>3.5000000000000003E-2</v>
      </c>
      <c r="E140" s="17">
        <f>'INSUMOS '!E83</f>
        <v>35700</v>
      </c>
      <c r="F140" s="55">
        <f>E140*D140</f>
        <v>1249.5000000000002</v>
      </c>
      <c r="G140" s="1075"/>
    </row>
    <row r="141" spans="1:7" s="2" customFormat="1" ht="15.75" customHeight="1">
      <c r="A141" s="947" t="s">
        <v>278</v>
      </c>
      <c r="B141" s="944"/>
      <c r="C141" s="16" t="s">
        <v>3</v>
      </c>
      <c r="D141" s="16">
        <v>0.06</v>
      </c>
      <c r="E141" s="17">
        <f>'INSUMOS '!E82</f>
        <v>1350</v>
      </c>
      <c r="F141" s="55">
        <f>E141*D141</f>
        <v>81</v>
      </c>
      <c r="G141" s="1075"/>
    </row>
    <row r="142" spans="1:7" s="2" customFormat="1" ht="15.75" customHeight="1">
      <c r="A142" s="947" t="s">
        <v>277</v>
      </c>
      <c r="B142" s="944"/>
      <c r="C142" s="16" t="s">
        <v>34</v>
      </c>
      <c r="D142" s="16">
        <v>0.1</v>
      </c>
      <c r="E142" s="17">
        <f>'INSUMOS '!E54</f>
        <v>2953.5714285714284</v>
      </c>
      <c r="F142" s="55">
        <f>E142*D142</f>
        <v>295.35714285714283</v>
      </c>
      <c r="G142" s="1075"/>
    </row>
    <row r="143" spans="1:7" s="2" customFormat="1" ht="15.75" customHeight="1">
      <c r="A143" s="947" t="s">
        <v>126</v>
      </c>
      <c r="B143" s="944"/>
      <c r="C143" s="16" t="s">
        <v>34</v>
      </c>
      <c r="D143" s="16">
        <v>0.03</v>
      </c>
      <c r="E143" s="17">
        <f>'INSUMOS '!E40</f>
        <v>18900</v>
      </c>
      <c r="F143" s="55">
        <f>E143*D143</f>
        <v>567</v>
      </c>
      <c r="G143" s="57">
        <f>SUM(F139:F143)</f>
        <v>2192.8571428571431</v>
      </c>
    </row>
    <row r="144" spans="1:7" s="2" customFormat="1" ht="15.75" customHeight="1">
      <c r="A144" s="1071" t="s">
        <v>15</v>
      </c>
      <c r="B144" s="944"/>
      <c r="C144" s="944"/>
      <c r="D144" s="944"/>
      <c r="E144" s="944"/>
      <c r="F144" s="944"/>
      <c r="G144" s="1072"/>
    </row>
    <row r="145" spans="1:7" s="2" customFormat="1" ht="15.75" customHeight="1">
      <c r="A145" s="1074" t="s">
        <v>2</v>
      </c>
      <c r="B145" s="944"/>
      <c r="C145" s="53" t="s">
        <v>3</v>
      </c>
      <c r="D145" s="53" t="s">
        <v>4</v>
      </c>
      <c r="E145" s="53" t="s">
        <v>6</v>
      </c>
      <c r="F145" s="53" t="s">
        <v>11</v>
      </c>
      <c r="G145" s="1075" t="s">
        <v>8</v>
      </c>
    </row>
    <row r="146" spans="1:7" s="2" customFormat="1" ht="15.75" customHeight="1">
      <c r="A146" s="943" t="s">
        <v>68</v>
      </c>
      <c r="B146" s="944"/>
      <c r="C146" s="16" t="s">
        <v>3</v>
      </c>
      <c r="D146" s="54">
        <v>3.5000000000000003E-2</v>
      </c>
      <c r="E146" s="17">
        <f>G137</f>
        <v>5679.8</v>
      </c>
      <c r="F146" s="55">
        <f>E146*D146</f>
        <v>198.79300000000003</v>
      </c>
      <c r="G146" s="1075"/>
    </row>
    <row r="147" spans="1:7" s="2" customFormat="1" ht="15.75" customHeight="1">
      <c r="A147" s="943" t="s">
        <v>17</v>
      </c>
      <c r="B147" s="944"/>
      <c r="C147" s="16" t="s">
        <v>3</v>
      </c>
      <c r="D147" s="54">
        <v>3.5000000000000003E-2</v>
      </c>
      <c r="E147" s="17">
        <f>+G143</f>
        <v>2192.8571428571431</v>
      </c>
      <c r="F147" s="55">
        <f>E147*D147</f>
        <v>76.750000000000014</v>
      </c>
      <c r="G147" s="57">
        <f>SUM(F146:F147)</f>
        <v>275.54300000000006</v>
      </c>
    </row>
    <row r="148" spans="1:7" s="2" customFormat="1" ht="15.75" customHeight="1">
      <c r="A148" s="1071" t="s">
        <v>19</v>
      </c>
      <c r="B148" s="944"/>
      <c r="C148" s="944"/>
      <c r="D148" s="944"/>
      <c r="E148" s="944"/>
      <c r="F148" s="944"/>
      <c r="G148" s="1072"/>
    </row>
    <row r="149" spans="1:7" s="2" customFormat="1" ht="15.75" customHeight="1">
      <c r="A149" s="1074" t="s">
        <v>2</v>
      </c>
      <c r="B149" s="944"/>
      <c r="C149" s="53" t="s">
        <v>3</v>
      </c>
      <c r="D149" s="53" t="s">
        <v>4</v>
      </c>
      <c r="E149" s="53" t="s">
        <v>6</v>
      </c>
      <c r="F149" s="53" t="s">
        <v>11</v>
      </c>
      <c r="G149" s="61" t="s">
        <v>8</v>
      </c>
    </row>
    <row r="150" spans="1:7" s="2" customFormat="1" ht="15" customHeight="1">
      <c r="A150" s="978" t="str">
        <f>SALARIOS!$A$78</f>
        <v>CUADRILLA CC PINTURA 1:2</v>
      </c>
      <c r="B150" s="979"/>
      <c r="C150" s="13" t="s">
        <v>1245</v>
      </c>
      <c r="D150" s="16">
        <f>0.5</f>
        <v>0.5</v>
      </c>
      <c r="E150" s="17">
        <f>SALARIOS!$C$78</f>
        <v>39172</v>
      </c>
      <c r="F150" s="14">
        <f>+D150*E150</f>
        <v>19586</v>
      </c>
      <c r="G150" s="57">
        <f>F150</f>
        <v>19586</v>
      </c>
    </row>
    <row r="151" spans="1:7" s="2" customFormat="1" ht="13.8">
      <c r="A151" s="1076" t="s">
        <v>25</v>
      </c>
      <c r="B151" s="944"/>
      <c r="C151" s="944"/>
      <c r="D151" s="944"/>
      <c r="E151" s="944"/>
      <c r="F151" s="944"/>
      <c r="G151" s="1072"/>
    </row>
    <row r="152" spans="1:7" s="2" customFormat="1" ht="17.399999999999999">
      <c r="A152" s="1077"/>
      <c r="B152" s="944"/>
      <c r="C152" s="944"/>
      <c r="D152" s="944"/>
      <c r="E152" s="944"/>
      <c r="F152" s="944"/>
      <c r="G152" s="62">
        <f>G150+G147+G143+G137</f>
        <v>27734.200142857142</v>
      </c>
    </row>
    <row r="153" spans="1:7" s="2" customFormat="1" ht="15.75" customHeight="1">
      <c r="A153" s="26"/>
      <c r="B153" s="27"/>
      <c r="C153" s="28"/>
      <c r="D153" s="28"/>
      <c r="E153" s="29"/>
      <c r="F153" s="28"/>
      <c r="G153" s="30"/>
    </row>
    <row r="154" spans="1:7" s="2" customFormat="1" ht="15.75" customHeight="1">
      <c r="A154" s="970" t="s">
        <v>1</v>
      </c>
      <c r="B154" s="957"/>
      <c r="C154" s="953" t="s">
        <v>0</v>
      </c>
      <c r="D154" s="954"/>
      <c r="E154" s="954"/>
      <c r="F154" s="954"/>
      <c r="G154" s="955"/>
    </row>
    <row r="155" spans="1:7" s="2" customFormat="1" ht="52.5" customHeight="1">
      <c r="A155" s="971"/>
      <c r="B155" s="957"/>
      <c r="C155" s="954"/>
      <c r="D155" s="954"/>
      <c r="E155" s="954"/>
      <c r="F155" s="954"/>
      <c r="G155" s="955"/>
    </row>
    <row r="156" spans="1:7" s="2" customFormat="1" ht="15.75" customHeight="1">
      <c r="A156" s="971"/>
      <c r="B156" s="957"/>
      <c r="C156" s="956"/>
      <c r="D156" s="957"/>
      <c r="E156" s="957"/>
      <c r="F156" s="957"/>
      <c r="G156" s="958"/>
    </row>
    <row r="157" spans="1:7" s="2" customFormat="1" ht="15.75" customHeight="1">
      <c r="A157" s="971"/>
      <c r="B157" s="957"/>
      <c r="C157" s="959" t="s">
        <v>2</v>
      </c>
      <c r="D157" s="957"/>
      <c r="E157" s="957"/>
      <c r="F157" s="23" t="s">
        <v>3</v>
      </c>
      <c r="G157" s="24" t="s">
        <v>4</v>
      </c>
    </row>
    <row r="158" spans="1:7" s="2" customFormat="1" ht="105" customHeight="1">
      <c r="A158" s="1073" t="s">
        <v>287</v>
      </c>
      <c r="B158" s="944"/>
      <c r="C158" s="980" t="s">
        <v>288</v>
      </c>
      <c r="D158" s="944"/>
      <c r="E158" s="944"/>
      <c r="F158" s="51" t="s">
        <v>18</v>
      </c>
      <c r="G158" s="52">
        <v>1</v>
      </c>
    </row>
    <row r="159" spans="1:7" s="2" customFormat="1" ht="15.75" customHeight="1">
      <c r="A159" s="1071" t="s">
        <v>5</v>
      </c>
      <c r="B159" s="944"/>
      <c r="C159" s="944"/>
      <c r="D159" s="944"/>
      <c r="E159" s="944"/>
      <c r="F159" s="944"/>
      <c r="G159" s="1072"/>
    </row>
    <row r="160" spans="1:7" s="2" customFormat="1" ht="15.75" customHeight="1">
      <c r="A160" s="1074" t="s">
        <v>2</v>
      </c>
      <c r="B160" s="944"/>
      <c r="C160" s="53" t="s">
        <v>3</v>
      </c>
      <c r="D160" s="53" t="s">
        <v>4</v>
      </c>
      <c r="E160" s="53" t="s">
        <v>6</v>
      </c>
      <c r="F160" s="53" t="s">
        <v>7</v>
      </c>
      <c r="G160" s="1075" t="s">
        <v>8</v>
      </c>
    </row>
    <row r="161" spans="1:7" s="2" customFormat="1" ht="15.75" customHeight="1">
      <c r="A161" s="947" t="s">
        <v>262</v>
      </c>
      <c r="B161" s="944"/>
      <c r="C161" s="51" t="s">
        <v>3</v>
      </c>
      <c r="D161" s="109">
        <v>0.05</v>
      </c>
      <c r="E161" s="17">
        <f>G175</f>
        <v>338848</v>
      </c>
      <c r="F161" s="55">
        <f>D161*E161</f>
        <v>16942.400000000001</v>
      </c>
      <c r="G161" s="1072"/>
    </row>
    <row r="162" spans="1:7" s="2" customFormat="1" ht="15.75" customHeight="1">
      <c r="A162" s="927" t="s">
        <v>113</v>
      </c>
      <c r="B162" s="932"/>
      <c r="C162" s="12" t="s">
        <v>58</v>
      </c>
      <c r="D162" s="51">
        <v>1</v>
      </c>
      <c r="E162" s="17">
        <f>'MAQUINARIA Y EQUIPOS'!F10</f>
        <v>3272.5</v>
      </c>
      <c r="F162" s="55">
        <f>D162*E162</f>
        <v>3272.5</v>
      </c>
      <c r="G162" s="1072"/>
    </row>
    <row r="163" spans="1:7" s="2" customFormat="1" ht="15.75" customHeight="1">
      <c r="A163" s="927" t="s">
        <v>61</v>
      </c>
      <c r="B163" s="932"/>
      <c r="C163" s="12" t="s">
        <v>58</v>
      </c>
      <c r="D163" s="51">
        <v>1</v>
      </c>
      <c r="E163" s="17">
        <f>'MAQUINARIA Y EQUIPOS'!F18</f>
        <v>40460</v>
      </c>
      <c r="F163" s="55">
        <f>D163*E163</f>
        <v>40460</v>
      </c>
      <c r="G163" s="1072"/>
    </row>
    <row r="164" spans="1:7" s="2" customFormat="1" ht="15.75" customHeight="1">
      <c r="A164" s="927"/>
      <c r="B164" s="932"/>
      <c r="C164" s="12"/>
      <c r="D164" s="51"/>
      <c r="E164" s="17"/>
      <c r="F164" s="55"/>
      <c r="G164" s="57">
        <f>SUM(F160:F164)</f>
        <v>60674.9</v>
      </c>
    </row>
    <row r="165" spans="1:7" s="2" customFormat="1" ht="13.8">
      <c r="A165" s="1071" t="s">
        <v>10</v>
      </c>
      <c r="B165" s="944"/>
      <c r="C165" s="944"/>
      <c r="D165" s="944"/>
      <c r="E165" s="944"/>
      <c r="F165" s="944"/>
      <c r="G165" s="1072"/>
    </row>
    <row r="166" spans="1:7" s="2" customFormat="1" ht="15.75" customHeight="1">
      <c r="A166" s="1074" t="s">
        <v>2</v>
      </c>
      <c r="B166" s="944"/>
      <c r="C166" s="53" t="s">
        <v>3</v>
      </c>
      <c r="D166" s="53" t="s">
        <v>4</v>
      </c>
      <c r="E166" s="53" t="s">
        <v>6</v>
      </c>
      <c r="F166" s="53" t="s">
        <v>11</v>
      </c>
      <c r="G166" s="1075" t="s">
        <v>8</v>
      </c>
    </row>
    <row r="167" spans="1:7" s="2" customFormat="1" ht="15.75" customHeight="1">
      <c r="A167" s="947" t="s">
        <v>289</v>
      </c>
      <c r="B167" s="944"/>
      <c r="C167" s="16" t="s">
        <v>190</v>
      </c>
      <c r="D167" s="54">
        <v>1</v>
      </c>
      <c r="E167" s="17">
        <f>'INSUMOS '!E7</f>
        <v>74900</v>
      </c>
      <c r="F167" s="55">
        <f>E167*D167</f>
        <v>74900</v>
      </c>
      <c r="G167" s="1075"/>
    </row>
    <row r="168" spans="1:7" s="2" customFormat="1" ht="15.75" customHeight="1">
      <c r="A168" s="947"/>
      <c r="B168" s="944"/>
      <c r="C168" s="16"/>
      <c r="D168" s="16"/>
      <c r="E168" s="17"/>
      <c r="F168" s="55"/>
      <c r="G168" s="57">
        <f>SUM(F166:F168)</f>
        <v>74900</v>
      </c>
    </row>
    <row r="169" spans="1:7" s="2" customFormat="1" ht="15.75" customHeight="1">
      <c r="A169" s="1071" t="s">
        <v>15</v>
      </c>
      <c r="B169" s="944"/>
      <c r="C169" s="944"/>
      <c r="D169" s="944"/>
      <c r="E169" s="944"/>
      <c r="F169" s="944"/>
      <c r="G169" s="1072"/>
    </row>
    <row r="170" spans="1:7" s="2" customFormat="1" ht="15.75" customHeight="1">
      <c r="A170" s="1074" t="s">
        <v>2</v>
      </c>
      <c r="B170" s="944"/>
      <c r="C170" s="53" t="s">
        <v>3</v>
      </c>
      <c r="D170" s="53" t="s">
        <v>4</v>
      </c>
      <c r="E170" s="53" t="s">
        <v>6</v>
      </c>
      <c r="F170" s="53" t="s">
        <v>11</v>
      </c>
      <c r="G170" s="61" t="s">
        <v>8</v>
      </c>
    </row>
    <row r="171" spans="1:7" s="2" customFormat="1" ht="15.75" customHeight="1">
      <c r="A171" s="943" t="s">
        <v>17</v>
      </c>
      <c r="B171" s="1078"/>
      <c r="C171" s="51" t="s">
        <v>3</v>
      </c>
      <c r="D171" s="54">
        <v>3.5000000000000003E-2</v>
      </c>
      <c r="E171" s="118">
        <f>G168</f>
        <v>74900</v>
      </c>
      <c r="F171" s="55">
        <f>+D171*E171</f>
        <v>2621.5000000000005</v>
      </c>
      <c r="G171" s="61"/>
    </row>
    <row r="172" spans="1:7" s="2" customFormat="1" ht="15.75" customHeight="1">
      <c r="A172" s="943" t="s">
        <v>68</v>
      </c>
      <c r="B172" s="944"/>
      <c r="C172" s="16" t="s">
        <v>3</v>
      </c>
      <c r="D172" s="54">
        <v>3.5000000000000003E-2</v>
      </c>
      <c r="E172" s="17">
        <f>G164</f>
        <v>60674.9</v>
      </c>
      <c r="F172" s="55">
        <f>+D172*E172</f>
        <v>2123.6215000000002</v>
      </c>
      <c r="G172" s="57">
        <f>SUM(F171:F172)</f>
        <v>4745.1215000000011</v>
      </c>
    </row>
    <row r="173" spans="1:7" s="2" customFormat="1" ht="15.75" customHeight="1">
      <c r="A173" s="1071" t="s">
        <v>19</v>
      </c>
      <c r="B173" s="944"/>
      <c r="C173" s="944"/>
      <c r="D173" s="944"/>
      <c r="E173" s="944"/>
      <c r="F173" s="944"/>
      <c r="G173" s="1072"/>
    </row>
    <row r="174" spans="1:7" s="2" customFormat="1" ht="15.75" customHeight="1">
      <c r="A174" s="1074" t="s">
        <v>2</v>
      </c>
      <c r="B174" s="944"/>
      <c r="C174" s="53" t="s">
        <v>3</v>
      </c>
      <c r="D174" s="53" t="s">
        <v>4</v>
      </c>
      <c r="E174" s="53" t="s">
        <v>6</v>
      </c>
      <c r="F174" s="53" t="s">
        <v>11</v>
      </c>
      <c r="G174" s="61" t="s">
        <v>8</v>
      </c>
    </row>
    <row r="175" spans="1:7" s="2" customFormat="1" ht="15" customHeight="1">
      <c r="A175" s="978" t="str">
        <f>SALARIOS!$A$75</f>
        <v>CUADRILLA CC PINTURA 0:2</v>
      </c>
      <c r="B175" s="979"/>
      <c r="C175" s="13" t="s">
        <v>1245</v>
      </c>
      <c r="D175" s="16">
        <f>16</f>
        <v>16</v>
      </c>
      <c r="E175" s="17">
        <f>SALARIOS!$C$75</f>
        <v>21178</v>
      </c>
      <c r="F175" s="14">
        <f>+D175*E175</f>
        <v>338848</v>
      </c>
      <c r="G175" s="57">
        <f>F175</f>
        <v>338848</v>
      </c>
    </row>
    <row r="176" spans="1:7" s="2" customFormat="1" ht="15.75" customHeight="1">
      <c r="A176" s="1076" t="s">
        <v>25</v>
      </c>
      <c r="B176" s="944"/>
      <c r="C176" s="944"/>
      <c r="D176" s="944"/>
      <c r="E176" s="944"/>
      <c r="F176" s="944"/>
      <c r="G176" s="1072"/>
    </row>
    <row r="177" spans="1:7" s="2" customFormat="1" ht="17.399999999999999">
      <c r="A177" s="1077"/>
      <c r="B177" s="944"/>
      <c r="C177" s="944"/>
      <c r="D177" s="944"/>
      <c r="E177" s="944"/>
      <c r="F177" s="944"/>
      <c r="G177" s="62">
        <f>G175+G172+G168+G164</f>
        <v>479168.02150000003</v>
      </c>
    </row>
    <row r="178" spans="1:7" s="2" customFormat="1" ht="15.75" customHeight="1">
      <c r="A178" s="26"/>
      <c r="B178" s="27"/>
      <c r="C178" s="28"/>
      <c r="D178" s="28"/>
      <c r="E178" s="29"/>
      <c r="F178" s="28"/>
      <c r="G178" s="30"/>
    </row>
    <row r="179" spans="1:7" s="2" customFormat="1" ht="15.75" customHeight="1">
      <c r="A179" s="970" t="s">
        <v>1</v>
      </c>
      <c r="B179" s="957"/>
      <c r="C179" s="953" t="s">
        <v>0</v>
      </c>
      <c r="D179" s="954"/>
      <c r="E179" s="954"/>
      <c r="F179" s="954"/>
      <c r="G179" s="955"/>
    </row>
    <row r="180" spans="1:7" s="2" customFormat="1" ht="44.25" customHeight="1">
      <c r="A180" s="971"/>
      <c r="B180" s="957"/>
      <c r="C180" s="954"/>
      <c r="D180" s="954"/>
      <c r="E180" s="954"/>
      <c r="F180" s="954"/>
      <c r="G180" s="955"/>
    </row>
    <row r="181" spans="1:7" s="2" customFormat="1" ht="15.75" customHeight="1">
      <c r="A181" s="971"/>
      <c r="B181" s="957"/>
      <c r="C181" s="956"/>
      <c r="D181" s="957"/>
      <c r="E181" s="957"/>
      <c r="F181" s="957"/>
      <c r="G181" s="958"/>
    </row>
    <row r="182" spans="1:7" s="2" customFormat="1" ht="15.75" customHeight="1">
      <c r="A182" s="971"/>
      <c r="B182" s="957"/>
      <c r="C182" s="959" t="s">
        <v>2</v>
      </c>
      <c r="D182" s="957"/>
      <c r="E182" s="957"/>
      <c r="F182" s="23" t="s">
        <v>3</v>
      </c>
      <c r="G182" s="24" t="s">
        <v>4</v>
      </c>
    </row>
    <row r="183" spans="1:7" s="2" customFormat="1" ht="78.75" customHeight="1">
      <c r="A183" s="1073" t="s">
        <v>290</v>
      </c>
      <c r="B183" s="944"/>
      <c r="C183" s="980" t="s">
        <v>273</v>
      </c>
      <c r="D183" s="944"/>
      <c r="E183" s="944"/>
      <c r="F183" s="51" t="s">
        <v>37</v>
      </c>
      <c r="G183" s="52">
        <v>407.34650000000005</v>
      </c>
    </row>
    <row r="184" spans="1:7" s="2" customFormat="1" ht="15.75" customHeight="1">
      <c r="A184" s="1071" t="s">
        <v>5</v>
      </c>
      <c r="B184" s="944"/>
      <c r="C184" s="944"/>
      <c r="D184" s="944"/>
      <c r="E184" s="944"/>
      <c r="F184" s="944"/>
      <c r="G184" s="1072"/>
    </row>
    <row r="185" spans="1:7" s="2" customFormat="1" ht="15.75" customHeight="1">
      <c r="A185" s="1074" t="s">
        <v>2</v>
      </c>
      <c r="B185" s="944"/>
      <c r="C185" s="53" t="s">
        <v>3</v>
      </c>
      <c r="D185" s="53" t="s">
        <v>4</v>
      </c>
      <c r="E185" s="53" t="s">
        <v>6</v>
      </c>
      <c r="F185" s="53" t="s">
        <v>7</v>
      </c>
      <c r="G185" s="1075" t="s">
        <v>8</v>
      </c>
    </row>
    <row r="186" spans="1:7" s="2" customFormat="1" ht="15.75" customHeight="1">
      <c r="A186" s="947" t="s">
        <v>262</v>
      </c>
      <c r="B186" s="944"/>
      <c r="C186" s="51" t="s">
        <v>3</v>
      </c>
      <c r="D186" s="109">
        <v>0.05</v>
      </c>
      <c r="E186" s="17">
        <f>G198</f>
        <v>17031.5</v>
      </c>
      <c r="F186" s="55">
        <f>D186*E186</f>
        <v>851.57500000000005</v>
      </c>
      <c r="G186" s="1072"/>
    </row>
    <row r="187" spans="1:7" s="2" customFormat="1" ht="14.25" customHeight="1">
      <c r="A187" s="927" t="s">
        <v>113</v>
      </c>
      <c r="B187" s="932"/>
      <c r="C187" s="12" t="s">
        <v>58</v>
      </c>
      <c r="D187" s="51">
        <v>0.3</v>
      </c>
      <c r="E187" s="17">
        <f>'MAQUINARIA Y EQUIPOS'!F10</f>
        <v>3272.5</v>
      </c>
      <c r="F187" s="55">
        <f>D187*E187</f>
        <v>981.75</v>
      </c>
      <c r="G187" s="1072"/>
    </row>
    <row r="188" spans="1:7" s="2" customFormat="1" ht="15.75" customHeight="1">
      <c r="A188" s="927" t="s">
        <v>61</v>
      </c>
      <c r="B188" s="932"/>
      <c r="C188" s="12" t="s">
        <v>58</v>
      </c>
      <c r="D188" s="51">
        <v>0.1</v>
      </c>
      <c r="E188" s="17">
        <f>'MAQUINARIA Y EQUIPOS'!F18</f>
        <v>40460</v>
      </c>
      <c r="F188" s="55">
        <f>D188*E188</f>
        <v>4046</v>
      </c>
      <c r="G188" s="57">
        <f>SUM(F185:F188)</f>
        <v>5879.3249999999998</v>
      </c>
    </row>
    <row r="189" spans="1:7" s="2" customFormat="1" ht="15.75" customHeight="1">
      <c r="A189" s="1071" t="s">
        <v>10</v>
      </c>
      <c r="B189" s="944"/>
      <c r="C189" s="944"/>
      <c r="D189" s="944"/>
      <c r="E189" s="944"/>
      <c r="F189" s="944"/>
      <c r="G189" s="1072"/>
    </row>
    <row r="190" spans="1:7" s="2" customFormat="1" ht="13.8">
      <c r="A190" s="1074" t="s">
        <v>2</v>
      </c>
      <c r="B190" s="944"/>
      <c r="C190" s="53" t="s">
        <v>3</v>
      </c>
      <c r="D190" s="53" t="s">
        <v>4</v>
      </c>
      <c r="E190" s="53" t="s">
        <v>6</v>
      </c>
      <c r="F190" s="53" t="s">
        <v>11</v>
      </c>
      <c r="G190" s="61" t="s">
        <v>8</v>
      </c>
    </row>
    <row r="191" spans="1:7" s="2" customFormat="1" ht="15.75" customHeight="1">
      <c r="A191" s="947" t="s">
        <v>283</v>
      </c>
      <c r="B191" s="944"/>
      <c r="C191" s="16" t="s">
        <v>39</v>
      </c>
      <c r="D191" s="16">
        <v>0.02</v>
      </c>
      <c r="E191" s="17">
        <f>SUBANÁLISIS!G89</f>
        <v>431833.82500000001</v>
      </c>
      <c r="F191" s="55">
        <f>E191*D191</f>
        <v>8636.6764999999996</v>
      </c>
      <c r="G191" s="57">
        <f>SUM(F190:F191)</f>
        <v>8636.6764999999996</v>
      </c>
    </row>
    <row r="192" spans="1:7" s="2" customFormat="1" ht="15.75" customHeight="1">
      <c r="A192" s="1071" t="s">
        <v>15</v>
      </c>
      <c r="B192" s="944"/>
      <c r="C192" s="944"/>
      <c r="D192" s="944"/>
      <c r="E192" s="944"/>
      <c r="F192" s="944"/>
      <c r="G192" s="1072"/>
    </row>
    <row r="193" spans="1:7" s="2" customFormat="1" ht="15.75" customHeight="1">
      <c r="A193" s="1074" t="s">
        <v>2</v>
      </c>
      <c r="B193" s="944"/>
      <c r="C193" s="53" t="s">
        <v>3</v>
      </c>
      <c r="D193" s="53" t="s">
        <v>4</v>
      </c>
      <c r="E193" s="53" t="s">
        <v>6</v>
      </c>
      <c r="F193" s="53" t="s">
        <v>11</v>
      </c>
      <c r="G193" s="61" t="s">
        <v>8</v>
      </c>
    </row>
    <row r="194" spans="1:7" s="2" customFormat="1" ht="15.75" customHeight="1">
      <c r="A194" s="943" t="s">
        <v>17</v>
      </c>
      <c r="B194" s="944"/>
      <c r="C194" s="16" t="s">
        <v>284</v>
      </c>
      <c r="D194" s="54">
        <v>3.5000000000000003E-2</v>
      </c>
      <c r="E194" s="17">
        <f>+G191</f>
        <v>8636.6764999999996</v>
      </c>
      <c r="F194" s="55">
        <f>+E194*D194</f>
        <v>302.28367750000001</v>
      </c>
      <c r="G194" s="61"/>
    </row>
    <row r="195" spans="1:7" s="2" customFormat="1" ht="15.75" customHeight="1">
      <c r="A195" s="943" t="s">
        <v>68</v>
      </c>
      <c r="B195" s="944"/>
      <c r="C195" s="16" t="s">
        <v>3</v>
      </c>
      <c r="D195" s="54">
        <v>3.5000000000000003E-2</v>
      </c>
      <c r="E195" s="17">
        <f>G188</f>
        <v>5879.3249999999998</v>
      </c>
      <c r="F195" s="55">
        <f>+E195*D195</f>
        <v>205.776375</v>
      </c>
      <c r="G195" s="57">
        <f>SUM(F194:F195)</f>
        <v>508.06005249999998</v>
      </c>
    </row>
    <row r="196" spans="1:7" s="2" customFormat="1" ht="15.75" customHeight="1">
      <c r="A196" s="1071" t="s">
        <v>19</v>
      </c>
      <c r="B196" s="944"/>
      <c r="C196" s="944"/>
      <c r="D196" s="944"/>
      <c r="E196" s="944"/>
      <c r="F196" s="944"/>
      <c r="G196" s="1072"/>
    </row>
    <row r="197" spans="1:7" s="2" customFormat="1" ht="15.75" customHeight="1">
      <c r="A197" s="1074" t="s">
        <v>2</v>
      </c>
      <c r="B197" s="944"/>
      <c r="C197" s="53" t="s">
        <v>3</v>
      </c>
      <c r="D197" s="53" t="s">
        <v>4</v>
      </c>
      <c r="E197" s="53" t="s">
        <v>6</v>
      </c>
      <c r="F197" s="53" t="s">
        <v>11</v>
      </c>
      <c r="G197" s="61" t="s">
        <v>8</v>
      </c>
    </row>
    <row r="198" spans="1:7" s="2" customFormat="1" ht="15" customHeight="1">
      <c r="A198" s="978" t="str">
        <f>SALARIOS!$A$62</f>
        <v>CUADRILLA AA ALBAÑILERÍA 1:2</v>
      </c>
      <c r="B198" s="979"/>
      <c r="C198" s="13" t="s">
        <v>1245</v>
      </c>
      <c r="D198" s="16">
        <f>0.5</f>
        <v>0.5</v>
      </c>
      <c r="E198" s="17">
        <f>SALARIOS!$C$62</f>
        <v>34063</v>
      </c>
      <c r="F198" s="14">
        <f>+D198*E198</f>
        <v>17031.5</v>
      </c>
      <c r="G198" s="57">
        <f>F198</f>
        <v>17031.5</v>
      </c>
    </row>
    <row r="199" spans="1:7" s="2" customFormat="1" ht="13.8">
      <c r="A199" s="1076" t="s">
        <v>25</v>
      </c>
      <c r="B199" s="944"/>
      <c r="C199" s="944"/>
      <c r="D199" s="944"/>
      <c r="E199" s="944"/>
      <c r="F199" s="944"/>
      <c r="G199" s="1072"/>
    </row>
    <row r="200" spans="1:7" s="2" customFormat="1" ht="15.75" customHeight="1">
      <c r="A200" s="1077"/>
      <c r="B200" s="944"/>
      <c r="C200" s="944"/>
      <c r="D200" s="944"/>
      <c r="E200" s="944"/>
      <c r="F200" s="944"/>
      <c r="G200" s="62">
        <f>G198+G195+G191+G188</f>
        <v>32055.561552499999</v>
      </c>
    </row>
    <row r="201" spans="1:7" s="2" customFormat="1" ht="15.75" customHeight="1">
      <c r="A201" s="26"/>
      <c r="B201" s="27"/>
      <c r="C201" s="28"/>
      <c r="D201" s="28"/>
      <c r="E201" s="29"/>
      <c r="F201" s="28"/>
      <c r="G201" s="30"/>
    </row>
    <row r="202" spans="1:7" s="2" customFormat="1" ht="57" customHeight="1">
      <c r="A202" s="970" t="s">
        <v>1</v>
      </c>
      <c r="B202" s="957"/>
      <c r="C202" s="953" t="s">
        <v>0</v>
      </c>
      <c r="D202" s="954"/>
      <c r="E202" s="954"/>
      <c r="F202" s="954"/>
      <c r="G202" s="955"/>
    </row>
    <row r="203" spans="1:7" s="2" customFormat="1" ht="15.75" customHeight="1">
      <c r="A203" s="971"/>
      <c r="B203" s="957"/>
      <c r="C203" s="954"/>
      <c r="D203" s="954"/>
      <c r="E203" s="954"/>
      <c r="F203" s="954"/>
      <c r="G203" s="955"/>
    </row>
    <row r="204" spans="1:7" s="2" customFormat="1" ht="15.75" customHeight="1">
      <c r="A204" s="971"/>
      <c r="B204" s="957"/>
      <c r="C204" s="956"/>
      <c r="D204" s="957"/>
      <c r="E204" s="957"/>
      <c r="F204" s="957"/>
      <c r="G204" s="958"/>
    </row>
    <row r="205" spans="1:7" s="2" customFormat="1" ht="15.75" customHeight="1">
      <c r="A205" s="971"/>
      <c r="B205" s="957"/>
      <c r="C205" s="959" t="s">
        <v>2</v>
      </c>
      <c r="D205" s="957"/>
      <c r="E205" s="957"/>
      <c r="F205" s="23" t="s">
        <v>3</v>
      </c>
      <c r="G205" s="24" t="s">
        <v>4</v>
      </c>
    </row>
    <row r="206" spans="1:7" s="2" customFormat="1" ht="64.5" customHeight="1">
      <c r="A206" s="1073" t="s">
        <v>291</v>
      </c>
      <c r="B206" s="944"/>
      <c r="C206" s="980" t="s">
        <v>276</v>
      </c>
      <c r="D206" s="944"/>
      <c r="E206" s="944"/>
      <c r="F206" s="51" t="s">
        <v>37</v>
      </c>
      <c r="G206" s="52">
        <v>187.83449999999996</v>
      </c>
    </row>
    <row r="207" spans="1:7" s="2" customFormat="1" ht="15.75" customHeight="1">
      <c r="A207" s="1071" t="s">
        <v>5</v>
      </c>
      <c r="B207" s="944"/>
      <c r="C207" s="944"/>
      <c r="D207" s="944"/>
      <c r="E207" s="944"/>
      <c r="F207" s="944"/>
      <c r="G207" s="1072"/>
    </row>
    <row r="208" spans="1:7" s="2" customFormat="1" ht="15.75" customHeight="1">
      <c r="A208" s="1074" t="s">
        <v>2</v>
      </c>
      <c r="B208" s="944"/>
      <c r="C208" s="53" t="s">
        <v>3</v>
      </c>
      <c r="D208" s="53" t="s">
        <v>4</v>
      </c>
      <c r="E208" s="53" t="s">
        <v>6</v>
      </c>
      <c r="F208" s="53" t="s">
        <v>7</v>
      </c>
      <c r="G208" s="1075" t="s">
        <v>8</v>
      </c>
    </row>
    <row r="209" spans="1:7" s="2" customFormat="1" ht="13.8">
      <c r="A209" s="947" t="s">
        <v>262</v>
      </c>
      <c r="B209" s="944"/>
      <c r="C209" s="51" t="s">
        <v>3</v>
      </c>
      <c r="D209" s="117">
        <v>0.05</v>
      </c>
      <c r="E209" s="17">
        <f>G224</f>
        <v>14291.5</v>
      </c>
      <c r="F209" s="55">
        <f>D209*E209</f>
        <v>714.57500000000005</v>
      </c>
      <c r="G209" s="1072"/>
    </row>
    <row r="210" spans="1:7" s="2" customFormat="1" ht="14.25" customHeight="1">
      <c r="A210" s="927" t="s">
        <v>113</v>
      </c>
      <c r="B210" s="932"/>
      <c r="C210" s="12" t="s">
        <v>58</v>
      </c>
      <c r="D210" s="51">
        <v>0.3</v>
      </c>
      <c r="E210" s="17">
        <f>'MAQUINARIA Y EQUIPOS'!F10</f>
        <v>3272.5</v>
      </c>
      <c r="F210" s="55">
        <f>D210*E210</f>
        <v>981.75</v>
      </c>
      <c r="G210" s="1072"/>
    </row>
    <row r="211" spans="1:7" s="2" customFormat="1" ht="14.25" customHeight="1">
      <c r="A211" s="927" t="s">
        <v>61</v>
      </c>
      <c r="B211" s="932"/>
      <c r="C211" s="12" t="s">
        <v>58</v>
      </c>
      <c r="D211" s="51">
        <v>0.1</v>
      </c>
      <c r="E211" s="17">
        <f>'MAQUINARIA Y EQUIPOS'!F18</f>
        <v>40460</v>
      </c>
      <c r="F211" s="55">
        <f>D211*E211</f>
        <v>4046</v>
      </c>
      <c r="G211" s="57">
        <f>SUM(F208:F211)</f>
        <v>5742.3249999999998</v>
      </c>
    </row>
    <row r="212" spans="1:7" s="2" customFormat="1" ht="15.75" customHeight="1">
      <c r="A212" s="1071" t="s">
        <v>10</v>
      </c>
      <c r="B212" s="944"/>
      <c r="C212" s="944"/>
      <c r="D212" s="944"/>
      <c r="E212" s="944"/>
      <c r="F212" s="944"/>
      <c r="G212" s="1072"/>
    </row>
    <row r="213" spans="1:7" s="2" customFormat="1" ht="15.75" customHeight="1">
      <c r="A213" s="1074" t="s">
        <v>2</v>
      </c>
      <c r="B213" s="944"/>
      <c r="C213" s="53" t="s">
        <v>3</v>
      </c>
      <c r="D213" s="53" t="s">
        <v>4</v>
      </c>
      <c r="E213" s="53" t="s">
        <v>6</v>
      </c>
      <c r="F213" s="53" t="s">
        <v>11</v>
      </c>
      <c r="G213" s="1075" t="s">
        <v>8</v>
      </c>
    </row>
    <row r="214" spans="1:7" s="2" customFormat="1" ht="15.75" customHeight="1">
      <c r="A214" s="947" t="s">
        <v>277</v>
      </c>
      <c r="B214" s="944"/>
      <c r="C214" s="16" t="s">
        <v>34</v>
      </c>
      <c r="D214" s="16">
        <v>1.33</v>
      </c>
      <c r="E214" s="17">
        <f>'INSUMOS '!E54</f>
        <v>2953.5714285714284</v>
      </c>
      <c r="F214" s="55">
        <f>E214*D214</f>
        <v>3928.25</v>
      </c>
      <c r="G214" s="1072"/>
    </row>
    <row r="215" spans="1:7" s="2" customFormat="1" ht="13.8">
      <c r="A215" s="947" t="s">
        <v>126</v>
      </c>
      <c r="B215" s="944"/>
      <c r="C215" s="16" t="s">
        <v>34</v>
      </c>
      <c r="D215" s="16">
        <v>0.03</v>
      </c>
      <c r="E215" s="17">
        <f>'INSUMOS '!E40</f>
        <v>18900</v>
      </c>
      <c r="F215" s="55">
        <f>E215*D215</f>
        <v>567</v>
      </c>
      <c r="G215" s="61"/>
    </row>
    <row r="216" spans="1:7" s="2" customFormat="1" ht="15.75" customHeight="1">
      <c r="A216" s="947" t="s">
        <v>278</v>
      </c>
      <c r="B216" s="944"/>
      <c r="C216" s="16" t="s">
        <v>3</v>
      </c>
      <c r="D216" s="16">
        <v>0.6</v>
      </c>
      <c r="E216" s="17">
        <f>'INSUMOS '!E82</f>
        <v>1350</v>
      </c>
      <c r="F216" s="55">
        <f>E216*D216</f>
        <v>810</v>
      </c>
      <c r="G216" s="57">
        <f>SUM(F213:F216)</f>
        <v>5305.25</v>
      </c>
    </row>
    <row r="217" spans="1:7" s="2" customFormat="1" ht="15.75" customHeight="1">
      <c r="A217" s="1071" t="s">
        <v>15</v>
      </c>
      <c r="B217" s="944"/>
      <c r="C217" s="944"/>
      <c r="D217" s="944"/>
      <c r="E217" s="944"/>
      <c r="F217" s="944"/>
      <c r="G217" s="1072"/>
    </row>
    <row r="218" spans="1:7" s="2" customFormat="1" ht="15.75" customHeight="1">
      <c r="A218" s="1074" t="s">
        <v>2</v>
      </c>
      <c r="B218" s="944"/>
      <c r="C218" s="53" t="s">
        <v>3</v>
      </c>
      <c r="D218" s="53" t="s">
        <v>4</v>
      </c>
      <c r="E218" s="53" t="s">
        <v>6</v>
      </c>
      <c r="F218" s="53" t="s">
        <v>11</v>
      </c>
      <c r="G218" s="1075" t="s">
        <v>8</v>
      </c>
    </row>
    <row r="219" spans="1:7" s="2" customFormat="1" ht="15.75" customHeight="1">
      <c r="A219" s="943" t="s">
        <v>17</v>
      </c>
      <c r="B219" s="1078"/>
      <c r="C219" s="51" t="s">
        <v>3</v>
      </c>
      <c r="D219" s="54">
        <v>3.5000000000000003E-2</v>
      </c>
      <c r="E219" s="118">
        <f>G216</f>
        <v>5305.25</v>
      </c>
      <c r="F219" s="55">
        <f>E219*D219</f>
        <v>185.68375000000003</v>
      </c>
      <c r="G219" s="1075"/>
    </row>
    <row r="220" spans="1:7" s="2" customFormat="1" ht="15.75" customHeight="1">
      <c r="A220" s="943" t="s">
        <v>68</v>
      </c>
      <c r="B220" s="944"/>
      <c r="C220" s="16" t="s">
        <v>3</v>
      </c>
      <c r="D220" s="54">
        <v>3.5000000000000003E-2</v>
      </c>
      <c r="E220" s="17">
        <f>G211</f>
        <v>5742.3249999999998</v>
      </c>
      <c r="F220" s="55">
        <f>E220*D220</f>
        <v>200.98137500000001</v>
      </c>
      <c r="G220" s="1075"/>
    </row>
    <row r="221" spans="1:7" s="2" customFormat="1" ht="15.75" customHeight="1">
      <c r="A221" s="943"/>
      <c r="B221" s="944"/>
      <c r="C221" s="16"/>
      <c r="D221" s="16"/>
      <c r="E221" s="17"/>
      <c r="F221" s="120"/>
      <c r="G221" s="57">
        <f>SUM(F219:F221)</f>
        <v>386.66512500000005</v>
      </c>
    </row>
    <row r="222" spans="1:7" s="2" customFormat="1" ht="15.75" customHeight="1">
      <c r="A222" s="1071" t="s">
        <v>19</v>
      </c>
      <c r="B222" s="944"/>
      <c r="C222" s="944"/>
      <c r="D222" s="944"/>
      <c r="E222" s="944"/>
      <c r="F222" s="944"/>
      <c r="G222" s="1072"/>
    </row>
    <row r="223" spans="1:7" s="2" customFormat="1" ht="15.75" customHeight="1">
      <c r="A223" s="1074" t="s">
        <v>2</v>
      </c>
      <c r="B223" s="944"/>
      <c r="C223" s="53" t="s">
        <v>3</v>
      </c>
      <c r="D223" s="53" t="s">
        <v>4</v>
      </c>
      <c r="E223" s="53" t="s">
        <v>6</v>
      </c>
      <c r="F223" s="53" t="s">
        <v>11</v>
      </c>
      <c r="G223" s="61" t="s">
        <v>8</v>
      </c>
    </row>
    <row r="224" spans="1:7" s="2" customFormat="1" ht="15" customHeight="1">
      <c r="A224" s="978" t="str">
        <f>SALARIOS!$A$77</f>
        <v>CUADRILLA CC PINTURA 1:1</v>
      </c>
      <c r="B224" s="979"/>
      <c r="C224" s="13" t="s">
        <v>1245</v>
      </c>
      <c r="D224" s="16">
        <f>0.5</f>
        <v>0.5</v>
      </c>
      <c r="E224" s="17">
        <f>SALARIOS!$C$77</f>
        <v>28583</v>
      </c>
      <c r="F224" s="14">
        <f>+D224*E224</f>
        <v>14291.5</v>
      </c>
      <c r="G224" s="57">
        <f>F224</f>
        <v>14291.5</v>
      </c>
    </row>
    <row r="225" spans="1:7" s="2" customFormat="1" ht="15.75" customHeight="1">
      <c r="A225" s="1076" t="s">
        <v>25</v>
      </c>
      <c r="B225" s="944"/>
      <c r="C225" s="944"/>
      <c r="D225" s="944"/>
      <c r="E225" s="944"/>
      <c r="F225" s="944"/>
      <c r="G225" s="1072"/>
    </row>
    <row r="226" spans="1:7" s="2" customFormat="1" ht="15.75" customHeight="1">
      <c r="A226" s="1077"/>
      <c r="B226" s="944"/>
      <c r="C226" s="944"/>
      <c r="D226" s="944"/>
      <c r="E226" s="944"/>
      <c r="F226" s="944"/>
      <c r="G226" s="62">
        <f>G224+G221+G216+G211</f>
        <v>25725.740125</v>
      </c>
    </row>
    <row r="227" spans="1:7" s="2" customFormat="1" ht="15.75" customHeight="1">
      <c r="A227" s="26"/>
      <c r="B227" s="27"/>
      <c r="C227" s="28"/>
      <c r="D227" s="28"/>
      <c r="E227" s="29"/>
      <c r="F227" s="28"/>
      <c r="G227" s="30"/>
    </row>
    <row r="228" spans="1:7" s="2" customFormat="1" ht="15.75" customHeight="1">
      <c r="A228" s="970" t="s">
        <v>1</v>
      </c>
      <c r="B228" s="957"/>
      <c r="C228" s="953" t="s">
        <v>0</v>
      </c>
      <c r="D228" s="954"/>
      <c r="E228" s="954"/>
      <c r="F228" s="954"/>
      <c r="G228" s="955"/>
    </row>
    <row r="229" spans="1:7" s="2" customFormat="1" ht="46.5" customHeight="1">
      <c r="A229" s="971"/>
      <c r="B229" s="957"/>
      <c r="C229" s="954"/>
      <c r="D229" s="954"/>
      <c r="E229" s="954"/>
      <c r="F229" s="954"/>
      <c r="G229" s="955"/>
    </row>
    <row r="230" spans="1:7" s="2" customFormat="1" ht="17.399999999999999">
      <c r="A230" s="971"/>
      <c r="B230" s="957"/>
      <c r="C230" s="956"/>
      <c r="D230" s="957"/>
      <c r="E230" s="957"/>
      <c r="F230" s="957"/>
      <c r="G230" s="958"/>
    </row>
    <row r="231" spans="1:7" s="2" customFormat="1" ht="15.75" customHeight="1">
      <c r="A231" s="971"/>
      <c r="B231" s="957"/>
      <c r="C231" s="959" t="s">
        <v>2</v>
      </c>
      <c r="D231" s="957"/>
      <c r="E231" s="957"/>
      <c r="F231" s="23" t="s">
        <v>3</v>
      </c>
      <c r="G231" s="24" t="s">
        <v>4</v>
      </c>
    </row>
    <row r="232" spans="1:7" s="2" customFormat="1" ht="115.5" customHeight="1">
      <c r="A232" s="1073" t="s">
        <v>292</v>
      </c>
      <c r="B232" s="944"/>
      <c r="C232" s="980" t="s">
        <v>280</v>
      </c>
      <c r="D232" s="944"/>
      <c r="E232" s="944"/>
      <c r="F232" s="51" t="s">
        <v>37</v>
      </c>
      <c r="G232" s="52">
        <v>187.83449999999996</v>
      </c>
    </row>
    <row r="233" spans="1:7" s="2" customFormat="1" ht="15.75" customHeight="1">
      <c r="A233" s="1071" t="s">
        <v>5</v>
      </c>
      <c r="B233" s="944"/>
      <c r="C233" s="944"/>
      <c r="D233" s="944"/>
      <c r="E233" s="944"/>
      <c r="F233" s="944"/>
      <c r="G233" s="1072"/>
    </row>
    <row r="234" spans="1:7" s="2" customFormat="1" ht="13.8">
      <c r="A234" s="1074" t="s">
        <v>2</v>
      </c>
      <c r="B234" s="944"/>
      <c r="C234" s="53" t="s">
        <v>3</v>
      </c>
      <c r="D234" s="53" t="s">
        <v>4</v>
      </c>
      <c r="E234" s="53" t="s">
        <v>6</v>
      </c>
      <c r="F234" s="53" t="s">
        <v>7</v>
      </c>
      <c r="G234" s="1075" t="s">
        <v>8</v>
      </c>
    </row>
    <row r="235" spans="1:7" s="2" customFormat="1" ht="15.75" customHeight="1">
      <c r="A235" s="947" t="s">
        <v>262</v>
      </c>
      <c r="B235" s="944"/>
      <c r="C235" s="51" t="s">
        <v>3</v>
      </c>
      <c r="D235" s="109">
        <v>0.05</v>
      </c>
      <c r="E235" s="17">
        <f>G250</f>
        <v>19586</v>
      </c>
      <c r="F235" s="55">
        <f>D235*E235</f>
        <v>979.30000000000007</v>
      </c>
      <c r="G235" s="1072"/>
    </row>
    <row r="236" spans="1:7" s="2" customFormat="1" ht="15.75" customHeight="1">
      <c r="A236" s="927" t="s">
        <v>113</v>
      </c>
      <c r="B236" s="932"/>
      <c r="C236" s="12" t="s">
        <v>58</v>
      </c>
      <c r="D236" s="51">
        <v>0.2</v>
      </c>
      <c r="E236" s="17">
        <f>'MAQUINARIA Y EQUIPOS'!F10</f>
        <v>3272.5</v>
      </c>
      <c r="F236" s="55">
        <f>D236*E236</f>
        <v>654.5</v>
      </c>
      <c r="G236" s="1072"/>
    </row>
    <row r="237" spans="1:7" s="2" customFormat="1" ht="15.75" customHeight="1">
      <c r="A237" s="927" t="s">
        <v>61</v>
      </c>
      <c r="B237" s="932"/>
      <c r="C237" s="12" t="s">
        <v>58</v>
      </c>
      <c r="D237" s="51">
        <v>0.1</v>
      </c>
      <c r="E237" s="17">
        <f>'MAQUINARIA Y EQUIPOS'!F18</f>
        <v>40460</v>
      </c>
      <c r="F237" s="55">
        <f>D237*E237</f>
        <v>4046</v>
      </c>
      <c r="G237" s="57">
        <f>SUM(F234:F237)</f>
        <v>5679.8</v>
      </c>
    </row>
    <row r="238" spans="1:7" s="2" customFormat="1" ht="15.75" customHeight="1">
      <c r="A238" s="1071" t="s">
        <v>10</v>
      </c>
      <c r="B238" s="944"/>
      <c r="C238" s="944"/>
      <c r="D238" s="944"/>
      <c r="E238" s="944"/>
      <c r="F238" s="944"/>
      <c r="G238" s="1072"/>
    </row>
    <row r="239" spans="1:7" s="2" customFormat="1" ht="13.8">
      <c r="A239" s="1074" t="s">
        <v>2</v>
      </c>
      <c r="B239" s="944"/>
      <c r="C239" s="53" t="s">
        <v>3</v>
      </c>
      <c r="D239" s="53" t="s">
        <v>4</v>
      </c>
      <c r="E239" s="53" t="s">
        <v>6</v>
      </c>
      <c r="F239" s="53" t="s">
        <v>11</v>
      </c>
      <c r="G239" s="1075" t="s">
        <v>8</v>
      </c>
    </row>
    <row r="240" spans="1:7" s="2" customFormat="1" ht="15.75" customHeight="1">
      <c r="A240" s="947" t="s">
        <v>281</v>
      </c>
      <c r="B240" s="944"/>
      <c r="C240" s="16" t="s">
        <v>190</v>
      </c>
      <c r="D240" s="54">
        <v>3.5000000000000003E-2</v>
      </c>
      <c r="E240" s="17">
        <f>'INSUMOS '!E83</f>
        <v>35700</v>
      </c>
      <c r="F240" s="55">
        <f>E240*D240</f>
        <v>1249.5000000000002</v>
      </c>
      <c r="G240" s="1075"/>
    </row>
    <row r="241" spans="1:7" s="2" customFormat="1" ht="15.75" customHeight="1">
      <c r="A241" s="947" t="s">
        <v>278</v>
      </c>
      <c r="B241" s="944"/>
      <c r="C241" s="16" t="s">
        <v>3</v>
      </c>
      <c r="D241" s="16">
        <v>0.06</v>
      </c>
      <c r="E241" s="17">
        <f>'INSUMOS '!E82</f>
        <v>1350</v>
      </c>
      <c r="F241" s="55">
        <f>E241*D241</f>
        <v>81</v>
      </c>
      <c r="G241" s="1075"/>
    </row>
    <row r="242" spans="1:7" s="2" customFormat="1" ht="15.75" customHeight="1">
      <c r="A242" s="947" t="s">
        <v>277</v>
      </c>
      <c r="B242" s="944"/>
      <c r="C242" s="16" t="s">
        <v>34</v>
      </c>
      <c r="D242" s="16">
        <v>0.1</v>
      </c>
      <c r="E242" s="17">
        <f>'INSUMOS '!E54</f>
        <v>2953.5714285714284</v>
      </c>
      <c r="F242" s="55">
        <f>E242*D242</f>
        <v>295.35714285714283</v>
      </c>
      <c r="G242" s="1075"/>
    </row>
    <row r="243" spans="1:7" s="2" customFormat="1" ht="15.75" customHeight="1">
      <c r="A243" s="947" t="s">
        <v>126</v>
      </c>
      <c r="B243" s="944"/>
      <c r="C243" s="16" t="s">
        <v>34</v>
      </c>
      <c r="D243" s="16">
        <v>0.03</v>
      </c>
      <c r="E243" s="17">
        <f>'INSUMOS '!E40</f>
        <v>18900</v>
      </c>
      <c r="F243" s="55">
        <f>E243*D243</f>
        <v>567</v>
      </c>
      <c r="G243" s="57">
        <f>SUM(F239:F243)</f>
        <v>2192.8571428571431</v>
      </c>
    </row>
    <row r="244" spans="1:7" s="2" customFormat="1" ht="15.75" customHeight="1">
      <c r="A244" s="1071" t="s">
        <v>15</v>
      </c>
      <c r="B244" s="944"/>
      <c r="C244" s="944"/>
      <c r="D244" s="944"/>
      <c r="E244" s="944"/>
      <c r="F244" s="944"/>
      <c r="G244" s="1072"/>
    </row>
    <row r="245" spans="1:7" s="2" customFormat="1" ht="15.75" customHeight="1">
      <c r="A245" s="1074" t="s">
        <v>2</v>
      </c>
      <c r="B245" s="944"/>
      <c r="C245" s="53" t="s">
        <v>3</v>
      </c>
      <c r="D245" s="53" t="s">
        <v>4</v>
      </c>
      <c r="E245" s="53" t="s">
        <v>6</v>
      </c>
      <c r="F245" s="53" t="s">
        <v>11</v>
      </c>
      <c r="G245" s="1075" t="s">
        <v>8</v>
      </c>
    </row>
    <row r="246" spans="1:7" s="2" customFormat="1" ht="13.8">
      <c r="A246" s="943" t="s">
        <v>68</v>
      </c>
      <c r="B246" s="944"/>
      <c r="C246" s="16" t="s">
        <v>3</v>
      </c>
      <c r="D246" s="54">
        <v>3.5000000000000003E-2</v>
      </c>
      <c r="E246" s="17">
        <f>G237</f>
        <v>5679.8</v>
      </c>
      <c r="F246" s="55">
        <f>E246*D246</f>
        <v>198.79300000000003</v>
      </c>
      <c r="G246" s="1075"/>
    </row>
    <row r="247" spans="1:7" s="2" customFormat="1" ht="15.75" customHeight="1">
      <c r="A247" s="943" t="s">
        <v>17</v>
      </c>
      <c r="B247" s="944"/>
      <c r="C247" s="16" t="s">
        <v>3</v>
      </c>
      <c r="D247" s="54">
        <v>3.5000000000000003E-2</v>
      </c>
      <c r="E247" s="17">
        <f>+G243</f>
        <v>2192.8571428571431</v>
      </c>
      <c r="F247" s="55">
        <f>E247*D247</f>
        <v>76.750000000000014</v>
      </c>
      <c r="G247" s="57">
        <f>SUM(F246:F247)</f>
        <v>275.54300000000006</v>
      </c>
    </row>
    <row r="248" spans="1:7" s="2" customFormat="1" ht="15.75" customHeight="1">
      <c r="A248" s="1071" t="s">
        <v>19</v>
      </c>
      <c r="B248" s="944"/>
      <c r="C248" s="944"/>
      <c r="D248" s="944"/>
      <c r="E248" s="944"/>
      <c r="F248" s="944"/>
      <c r="G248" s="1072"/>
    </row>
    <row r="249" spans="1:7" s="2" customFormat="1" ht="15.75" customHeight="1">
      <c r="A249" s="1074" t="s">
        <v>2</v>
      </c>
      <c r="B249" s="944"/>
      <c r="C249" s="53" t="s">
        <v>3</v>
      </c>
      <c r="D249" s="53" t="s">
        <v>4</v>
      </c>
      <c r="E249" s="53" t="s">
        <v>6</v>
      </c>
      <c r="F249" s="53" t="s">
        <v>11</v>
      </c>
      <c r="G249" s="61" t="s">
        <v>8</v>
      </c>
    </row>
    <row r="250" spans="1:7" s="2" customFormat="1" ht="15" customHeight="1">
      <c r="A250" s="978" t="str">
        <f>SALARIOS!$A$78</f>
        <v>CUADRILLA CC PINTURA 1:2</v>
      </c>
      <c r="B250" s="979"/>
      <c r="C250" s="13" t="s">
        <v>1245</v>
      </c>
      <c r="D250" s="16">
        <v>0.5</v>
      </c>
      <c r="E250" s="17">
        <f>SALARIOS!$C$78</f>
        <v>39172</v>
      </c>
      <c r="F250" s="14">
        <f>+D250*E250</f>
        <v>19586</v>
      </c>
      <c r="G250" s="57">
        <f>F250</f>
        <v>19586</v>
      </c>
    </row>
    <row r="251" spans="1:7" s="2" customFormat="1" ht="13.8">
      <c r="A251" s="1076" t="s">
        <v>25</v>
      </c>
      <c r="B251" s="944"/>
      <c r="C251" s="944"/>
      <c r="D251" s="944"/>
      <c r="E251" s="944"/>
      <c r="F251" s="944"/>
      <c r="G251" s="1072"/>
    </row>
    <row r="252" spans="1:7" s="2" customFormat="1" ht="15.75" customHeight="1">
      <c r="A252" s="1077"/>
      <c r="B252" s="944"/>
      <c r="C252" s="944"/>
      <c r="D252" s="944"/>
      <c r="E252" s="944"/>
      <c r="F252" s="944"/>
      <c r="G252" s="62">
        <f>G250+G247+G243+G237</f>
        <v>27734.200142857142</v>
      </c>
    </row>
    <row r="253" spans="1:7" s="2" customFormat="1" ht="15.75" customHeight="1">
      <c r="A253" s="26"/>
      <c r="B253" s="27"/>
      <c r="C253" s="28"/>
      <c r="D253" s="28"/>
      <c r="E253" s="29"/>
      <c r="F253" s="28"/>
      <c r="G253" s="30"/>
    </row>
    <row r="254" spans="1:7" s="2" customFormat="1" ht="15.75" customHeight="1">
      <c r="A254" s="970" t="s">
        <v>1</v>
      </c>
      <c r="B254" s="957"/>
      <c r="C254" s="953" t="s">
        <v>0</v>
      </c>
      <c r="D254" s="954"/>
      <c r="E254" s="954"/>
      <c r="F254" s="954"/>
      <c r="G254" s="955"/>
    </row>
    <row r="255" spans="1:7" s="2" customFormat="1" ht="67.5" customHeight="1">
      <c r="A255" s="971"/>
      <c r="B255" s="957"/>
      <c r="C255" s="954"/>
      <c r="D255" s="954"/>
      <c r="E255" s="954"/>
      <c r="F255" s="954"/>
      <c r="G255" s="955"/>
    </row>
    <row r="256" spans="1:7" s="2" customFormat="1" ht="17.399999999999999">
      <c r="A256" s="971"/>
      <c r="B256" s="957"/>
      <c r="C256" s="956"/>
      <c r="D256" s="957"/>
      <c r="E256" s="957"/>
      <c r="F256" s="957"/>
      <c r="G256" s="958"/>
    </row>
    <row r="257" spans="1:7" s="2" customFormat="1" ht="15.75" customHeight="1">
      <c r="A257" s="971"/>
      <c r="B257" s="957"/>
      <c r="C257" s="959" t="s">
        <v>2</v>
      </c>
      <c r="D257" s="957"/>
      <c r="E257" s="957"/>
      <c r="F257" s="23" t="s">
        <v>3</v>
      </c>
      <c r="G257" s="24" t="s">
        <v>4</v>
      </c>
    </row>
    <row r="258" spans="1:7" s="2" customFormat="1" ht="80.25" customHeight="1">
      <c r="A258" s="1073" t="s">
        <v>293</v>
      </c>
      <c r="B258" s="944"/>
      <c r="C258" s="980" t="s">
        <v>294</v>
      </c>
      <c r="D258" s="944"/>
      <c r="E258" s="944"/>
      <c r="F258" s="51" t="s">
        <v>37</v>
      </c>
      <c r="G258" s="52">
        <v>38.950800000000001</v>
      </c>
    </row>
    <row r="259" spans="1:7" s="2" customFormat="1" ht="15.75" customHeight="1">
      <c r="A259" s="1071" t="s">
        <v>5</v>
      </c>
      <c r="B259" s="944"/>
      <c r="C259" s="944"/>
      <c r="D259" s="944"/>
      <c r="E259" s="944"/>
      <c r="F259" s="944"/>
      <c r="G259" s="1072"/>
    </row>
    <row r="260" spans="1:7" s="2" customFormat="1" ht="15.75" customHeight="1">
      <c r="A260" s="1074" t="s">
        <v>2</v>
      </c>
      <c r="B260" s="944"/>
      <c r="C260" s="53" t="s">
        <v>3</v>
      </c>
      <c r="D260" s="53" t="s">
        <v>4</v>
      </c>
      <c r="E260" s="53" t="s">
        <v>6</v>
      </c>
      <c r="F260" s="53" t="s">
        <v>7</v>
      </c>
      <c r="G260" s="1075" t="s">
        <v>8</v>
      </c>
    </row>
    <row r="261" spans="1:7" s="2" customFormat="1" ht="15.75" customHeight="1">
      <c r="A261" s="947" t="s">
        <v>262</v>
      </c>
      <c r="B261" s="944"/>
      <c r="C261" s="51" t="s">
        <v>3</v>
      </c>
      <c r="D261" s="109">
        <v>0.05</v>
      </c>
      <c r="E261" s="17">
        <f>G277</f>
        <v>19586</v>
      </c>
      <c r="F261" s="55">
        <f>D261*E261</f>
        <v>979.30000000000007</v>
      </c>
      <c r="G261" s="1072"/>
    </row>
    <row r="262" spans="1:7" s="2" customFormat="1" ht="15.75" customHeight="1">
      <c r="A262" s="927" t="s">
        <v>113</v>
      </c>
      <c r="B262" s="932"/>
      <c r="C262" s="12" t="s">
        <v>58</v>
      </c>
      <c r="D262" s="51">
        <v>0.21</v>
      </c>
      <c r="E262" s="17">
        <f>'MAQUINARIA Y EQUIPOS'!F10</f>
        <v>3272.5</v>
      </c>
      <c r="F262" s="55">
        <f>D262*E262</f>
        <v>687.22500000000002</v>
      </c>
      <c r="G262" s="1072"/>
    </row>
    <row r="263" spans="1:7" s="2" customFormat="1" ht="15.75" customHeight="1">
      <c r="A263" s="927" t="s">
        <v>61</v>
      </c>
      <c r="B263" s="932"/>
      <c r="C263" s="12" t="s">
        <v>58</v>
      </c>
      <c r="D263" s="51">
        <v>0.21</v>
      </c>
      <c r="E263" s="17">
        <f>'MAQUINARIA Y EQUIPOS'!F18</f>
        <v>40460</v>
      </c>
      <c r="F263" s="55">
        <f>D263*E263</f>
        <v>8496.6</v>
      </c>
      <c r="G263" s="57">
        <f>SUM(F260:F263)</f>
        <v>10163.125</v>
      </c>
    </row>
    <row r="264" spans="1:7" s="2" customFormat="1" ht="15.75" customHeight="1">
      <c r="A264" s="1071" t="s">
        <v>10</v>
      </c>
      <c r="B264" s="944"/>
      <c r="C264" s="944"/>
      <c r="D264" s="944"/>
      <c r="E264" s="944"/>
      <c r="F264" s="944"/>
      <c r="G264" s="1072"/>
    </row>
    <row r="265" spans="1:7" s="2" customFormat="1" ht="15.75" customHeight="1">
      <c r="A265" s="1074" t="s">
        <v>2</v>
      </c>
      <c r="B265" s="944"/>
      <c r="C265" s="53" t="s">
        <v>3</v>
      </c>
      <c r="D265" s="53" t="s">
        <v>4</v>
      </c>
      <c r="E265" s="53" t="s">
        <v>6</v>
      </c>
      <c r="F265" s="53" t="s">
        <v>11</v>
      </c>
      <c r="G265" s="1075" t="s">
        <v>8</v>
      </c>
    </row>
    <row r="266" spans="1:7" s="2" customFormat="1" ht="15.75" customHeight="1">
      <c r="A266" s="947" t="s">
        <v>295</v>
      </c>
      <c r="B266" s="944"/>
      <c r="C266" s="16" t="s">
        <v>3</v>
      </c>
      <c r="D266" s="16">
        <v>4</v>
      </c>
      <c r="E266" s="17">
        <f>'INSUMOS '!E82</f>
        <v>1350</v>
      </c>
      <c r="F266" s="55">
        <f>E266*D266</f>
        <v>5400</v>
      </c>
      <c r="G266" s="1075"/>
    </row>
    <row r="267" spans="1:7" s="2" customFormat="1" ht="15.75" customHeight="1">
      <c r="A267" s="947" t="s">
        <v>126</v>
      </c>
      <c r="B267" s="944"/>
      <c r="C267" s="16" t="s">
        <v>34</v>
      </c>
      <c r="D267" s="16">
        <v>1</v>
      </c>
      <c r="E267" s="17">
        <f>'INSUMOS '!E40</f>
        <v>18900</v>
      </c>
      <c r="F267" s="55">
        <f>E267*D267</f>
        <v>18900</v>
      </c>
      <c r="G267" s="1075"/>
    </row>
    <row r="268" spans="1:7" s="2" customFormat="1" ht="15.75" customHeight="1">
      <c r="A268" s="947" t="s">
        <v>296</v>
      </c>
      <c r="B268" s="944"/>
      <c r="C268" s="16" t="s">
        <v>3</v>
      </c>
      <c r="D268" s="16">
        <v>0.03</v>
      </c>
      <c r="E268" s="17">
        <f>'INSUMOS '!E85</f>
        <v>34900</v>
      </c>
      <c r="F268" s="55">
        <f>E268*D268</f>
        <v>1047</v>
      </c>
      <c r="G268" s="1075"/>
    </row>
    <row r="269" spans="1:7" s="2" customFormat="1" ht="15.75" customHeight="1">
      <c r="A269" s="947" t="s">
        <v>297</v>
      </c>
      <c r="B269" s="944"/>
      <c r="C269" s="16" t="s">
        <v>3</v>
      </c>
      <c r="D269" s="54">
        <v>1.4E-2</v>
      </c>
      <c r="E269" s="17">
        <f>'INSUMOS '!E86</f>
        <v>162900</v>
      </c>
      <c r="F269" s="55">
        <f>E269*D269</f>
        <v>2280.6</v>
      </c>
      <c r="G269" s="1075"/>
    </row>
    <row r="270" spans="1:7" s="2" customFormat="1" ht="15.75" customHeight="1">
      <c r="A270" s="947" t="s">
        <v>298</v>
      </c>
      <c r="B270" s="944"/>
      <c r="C270" s="16" t="s">
        <v>3</v>
      </c>
      <c r="D270" s="16">
        <v>0.04</v>
      </c>
      <c r="E270" s="17">
        <f>'INSUMOS '!E87</f>
        <v>427900</v>
      </c>
      <c r="F270" s="55">
        <f>E270*D270</f>
        <v>17116</v>
      </c>
      <c r="G270" s="57">
        <f>SUM(F265:F270)</f>
        <v>44743.6</v>
      </c>
    </row>
    <row r="271" spans="1:7" s="2" customFormat="1" ht="15.75" customHeight="1">
      <c r="A271" s="1071" t="s">
        <v>15</v>
      </c>
      <c r="B271" s="944"/>
      <c r="C271" s="944"/>
      <c r="D271" s="944"/>
      <c r="E271" s="944"/>
      <c r="F271" s="944"/>
      <c r="G271" s="1072"/>
    </row>
    <row r="272" spans="1:7" s="2" customFormat="1" ht="15.75" customHeight="1">
      <c r="A272" s="1074" t="s">
        <v>2</v>
      </c>
      <c r="B272" s="944"/>
      <c r="C272" s="53" t="s">
        <v>3</v>
      </c>
      <c r="D272" s="53" t="s">
        <v>4</v>
      </c>
      <c r="E272" s="53" t="s">
        <v>6</v>
      </c>
      <c r="F272" s="53" t="s">
        <v>11</v>
      </c>
      <c r="G272" s="61" t="s">
        <v>8</v>
      </c>
    </row>
    <row r="273" spans="1:7" s="2" customFormat="1" ht="15.75" customHeight="1">
      <c r="A273" s="943" t="s">
        <v>17</v>
      </c>
      <c r="B273" s="944"/>
      <c r="C273" s="16" t="s">
        <v>284</v>
      </c>
      <c r="D273" s="54">
        <v>3.5000000000000003E-2</v>
      </c>
      <c r="E273" s="17">
        <f>G270</f>
        <v>44743.6</v>
      </c>
      <c r="F273" s="121">
        <f>E273*D273</f>
        <v>1566.0260000000001</v>
      </c>
      <c r="G273" s="61"/>
    </row>
    <row r="274" spans="1:7" s="2" customFormat="1" ht="15.75" customHeight="1">
      <c r="A274" s="943" t="s">
        <v>68</v>
      </c>
      <c r="B274" s="944"/>
      <c r="C274" s="16" t="s">
        <v>3</v>
      </c>
      <c r="D274" s="54">
        <v>3.5000000000000003E-2</v>
      </c>
      <c r="E274" s="17">
        <f>G263</f>
        <v>10163.125</v>
      </c>
      <c r="F274" s="121">
        <f>E274*D274</f>
        <v>355.70937500000002</v>
      </c>
      <c r="G274" s="57">
        <f>SUM(F273:F274)</f>
        <v>1921.7353750000002</v>
      </c>
    </row>
    <row r="275" spans="1:7" s="2" customFormat="1" ht="13.8">
      <c r="A275" s="1071" t="s">
        <v>19</v>
      </c>
      <c r="B275" s="944"/>
      <c r="C275" s="944"/>
      <c r="D275" s="944"/>
      <c r="E275" s="944"/>
      <c r="F275" s="944"/>
      <c r="G275" s="1072"/>
    </row>
    <row r="276" spans="1:7" s="2" customFormat="1" ht="15.75" customHeight="1">
      <c r="A276" s="1074" t="s">
        <v>2</v>
      </c>
      <c r="B276" s="944"/>
      <c r="C276" s="53" t="s">
        <v>3</v>
      </c>
      <c r="D276" s="53" t="s">
        <v>4</v>
      </c>
      <c r="E276" s="53" t="s">
        <v>6</v>
      </c>
      <c r="F276" s="53" t="s">
        <v>11</v>
      </c>
      <c r="G276" s="61" t="s">
        <v>8</v>
      </c>
    </row>
    <row r="277" spans="1:7" s="2" customFormat="1" ht="15" customHeight="1">
      <c r="A277" s="978" t="str">
        <f>SALARIOS!$A$78</f>
        <v>CUADRILLA CC PINTURA 1:2</v>
      </c>
      <c r="B277" s="979"/>
      <c r="C277" s="13" t="s">
        <v>1245</v>
      </c>
      <c r="D277" s="16">
        <v>0.5</v>
      </c>
      <c r="E277" s="17">
        <f>SALARIOS!$C$78</f>
        <v>39172</v>
      </c>
      <c r="F277" s="14">
        <f>+D277*E277</f>
        <v>19586</v>
      </c>
      <c r="G277" s="57">
        <f>F277</f>
        <v>19586</v>
      </c>
    </row>
    <row r="278" spans="1:7" s="2" customFormat="1" ht="15.75" customHeight="1">
      <c r="A278" s="1076" t="s">
        <v>25</v>
      </c>
      <c r="B278" s="944"/>
      <c r="C278" s="944"/>
      <c r="D278" s="944"/>
      <c r="E278" s="944"/>
      <c r="F278" s="944"/>
      <c r="G278" s="1072"/>
    </row>
    <row r="279" spans="1:7" s="2" customFormat="1" ht="17.399999999999999">
      <c r="A279" s="1077"/>
      <c r="B279" s="944"/>
      <c r="C279" s="944"/>
      <c r="D279" s="944"/>
      <c r="E279" s="944"/>
      <c r="F279" s="944"/>
      <c r="G279" s="62">
        <f>G277+G274+G270+G263</f>
        <v>76414.460374999995</v>
      </c>
    </row>
    <row r="280" spans="1:7" s="2" customFormat="1" ht="15.75" customHeight="1">
      <c r="A280" s="26"/>
      <c r="B280" s="27"/>
      <c r="C280" s="28"/>
      <c r="D280" s="28"/>
      <c r="E280" s="29"/>
      <c r="F280" s="28"/>
      <c r="G280" s="30"/>
    </row>
    <row r="281" spans="1:7" s="2" customFormat="1" ht="15.75" customHeight="1">
      <c r="A281" s="970" t="s">
        <v>1</v>
      </c>
      <c r="B281" s="957"/>
      <c r="C281" s="953" t="s">
        <v>0</v>
      </c>
      <c r="D281" s="954"/>
      <c r="E281" s="954"/>
      <c r="F281" s="954"/>
      <c r="G281" s="955"/>
    </row>
    <row r="282" spans="1:7" s="2" customFormat="1" ht="56.25" customHeight="1">
      <c r="A282" s="971"/>
      <c r="B282" s="957"/>
      <c r="C282" s="954"/>
      <c r="D282" s="954"/>
      <c r="E282" s="954"/>
      <c r="F282" s="954"/>
      <c r="G282" s="955"/>
    </row>
    <row r="283" spans="1:7" s="2" customFormat="1" ht="15.75" customHeight="1">
      <c r="A283" s="971"/>
      <c r="B283" s="957"/>
      <c r="C283" s="956"/>
      <c r="D283" s="957"/>
      <c r="E283" s="957"/>
      <c r="F283" s="957"/>
      <c r="G283" s="958"/>
    </row>
    <row r="284" spans="1:7" s="2" customFormat="1" ht="15.75" customHeight="1">
      <c r="A284" s="971"/>
      <c r="B284" s="957"/>
      <c r="C284" s="959" t="s">
        <v>2</v>
      </c>
      <c r="D284" s="957"/>
      <c r="E284" s="957"/>
      <c r="F284" s="23" t="s">
        <v>3</v>
      </c>
      <c r="G284" s="24" t="s">
        <v>4</v>
      </c>
    </row>
    <row r="285" spans="1:7" s="2" customFormat="1" ht="62.25" customHeight="1">
      <c r="A285" s="1073" t="s">
        <v>299</v>
      </c>
      <c r="B285" s="944"/>
      <c r="C285" s="980" t="s">
        <v>273</v>
      </c>
      <c r="D285" s="944"/>
      <c r="E285" s="944"/>
      <c r="F285" s="51" t="s">
        <v>37</v>
      </c>
      <c r="G285" s="52">
        <v>300.58000000000004</v>
      </c>
    </row>
    <row r="286" spans="1:7" s="2" customFormat="1" ht="15.75" customHeight="1">
      <c r="A286" s="1071" t="s">
        <v>5</v>
      </c>
      <c r="B286" s="944"/>
      <c r="C286" s="944"/>
      <c r="D286" s="944"/>
      <c r="E286" s="944"/>
      <c r="F286" s="944"/>
      <c r="G286" s="1072"/>
    </row>
    <row r="287" spans="1:7" s="2" customFormat="1" ht="15.75" customHeight="1">
      <c r="A287" s="1074" t="s">
        <v>2</v>
      </c>
      <c r="B287" s="944"/>
      <c r="C287" s="53" t="s">
        <v>3</v>
      </c>
      <c r="D287" s="53" t="s">
        <v>4</v>
      </c>
      <c r="E287" s="53" t="s">
        <v>6</v>
      </c>
      <c r="F287" s="53" t="s">
        <v>7</v>
      </c>
      <c r="G287" s="1075" t="s">
        <v>8</v>
      </c>
    </row>
    <row r="288" spans="1:7" s="2" customFormat="1" ht="15.75" customHeight="1">
      <c r="A288" s="947" t="s">
        <v>262</v>
      </c>
      <c r="B288" s="944"/>
      <c r="C288" s="51" t="s">
        <v>3</v>
      </c>
      <c r="D288" s="109">
        <v>0.05</v>
      </c>
      <c r="E288" s="17">
        <f>G300</f>
        <v>17031.5</v>
      </c>
      <c r="F288" s="55">
        <f>D288*E288</f>
        <v>851.57500000000005</v>
      </c>
      <c r="G288" s="1072"/>
    </row>
    <row r="289" spans="1:7" s="2" customFormat="1" ht="15.75" customHeight="1">
      <c r="A289" s="927" t="s">
        <v>113</v>
      </c>
      <c r="B289" s="932"/>
      <c r="C289" s="12" t="s">
        <v>58</v>
      </c>
      <c r="D289" s="51">
        <v>0.3</v>
      </c>
      <c r="E289" s="17">
        <f>'MAQUINARIA Y EQUIPOS'!F10</f>
        <v>3272.5</v>
      </c>
      <c r="F289" s="55">
        <f>D289*E289</f>
        <v>981.75</v>
      </c>
      <c r="G289" s="1072"/>
    </row>
    <row r="290" spans="1:7" s="2" customFormat="1" ht="15.75" customHeight="1">
      <c r="A290" s="927" t="s">
        <v>61</v>
      </c>
      <c r="B290" s="932"/>
      <c r="C290" s="12" t="s">
        <v>58</v>
      </c>
      <c r="D290" s="51">
        <v>0.1</v>
      </c>
      <c r="E290" s="17">
        <f>'MAQUINARIA Y EQUIPOS'!F18</f>
        <v>40460</v>
      </c>
      <c r="F290" s="55">
        <f>D290*E290</f>
        <v>4046</v>
      </c>
      <c r="G290" s="57">
        <f>SUM(F287:F290)</f>
        <v>5879.3249999999998</v>
      </c>
    </row>
    <row r="291" spans="1:7" s="2" customFormat="1" ht="15.75" customHeight="1">
      <c r="A291" s="1071" t="s">
        <v>10</v>
      </c>
      <c r="B291" s="944"/>
      <c r="C291" s="944"/>
      <c r="D291" s="944"/>
      <c r="E291" s="944"/>
      <c r="F291" s="944"/>
      <c r="G291" s="1072"/>
    </row>
    <row r="292" spans="1:7" s="2" customFormat="1" ht="15.75" customHeight="1">
      <c r="A292" s="1074" t="s">
        <v>2</v>
      </c>
      <c r="B292" s="944"/>
      <c r="C292" s="53" t="s">
        <v>3</v>
      </c>
      <c r="D292" s="53" t="s">
        <v>4</v>
      </c>
      <c r="E292" s="53" t="s">
        <v>6</v>
      </c>
      <c r="F292" s="53" t="s">
        <v>11</v>
      </c>
      <c r="G292" s="61" t="s">
        <v>8</v>
      </c>
    </row>
    <row r="293" spans="1:7" s="2" customFormat="1" ht="15.75" customHeight="1">
      <c r="A293" s="947" t="s">
        <v>283</v>
      </c>
      <c r="B293" s="944"/>
      <c r="C293" s="16" t="s">
        <v>39</v>
      </c>
      <c r="D293" s="16">
        <v>0.02</v>
      </c>
      <c r="E293" s="17">
        <f>SUBANÁLISIS!G89</f>
        <v>431833.82500000001</v>
      </c>
      <c r="F293" s="55">
        <f>E293*D293</f>
        <v>8636.6764999999996</v>
      </c>
      <c r="G293" s="57">
        <f>SUM(F292:F293)</f>
        <v>8636.6764999999996</v>
      </c>
    </row>
    <row r="294" spans="1:7" s="2" customFormat="1" ht="15.75" customHeight="1">
      <c r="A294" s="1071" t="s">
        <v>15</v>
      </c>
      <c r="B294" s="944"/>
      <c r="C294" s="944"/>
      <c r="D294" s="944"/>
      <c r="E294" s="944"/>
      <c r="F294" s="944"/>
      <c r="G294" s="1072"/>
    </row>
    <row r="295" spans="1:7" s="2" customFormat="1" ht="15.75" customHeight="1">
      <c r="A295" s="1074" t="s">
        <v>2</v>
      </c>
      <c r="B295" s="944"/>
      <c r="C295" s="53" t="s">
        <v>3</v>
      </c>
      <c r="D295" s="53" t="s">
        <v>4</v>
      </c>
      <c r="E295" s="53" t="s">
        <v>6</v>
      </c>
      <c r="F295" s="53" t="s">
        <v>11</v>
      </c>
      <c r="G295" s="61" t="s">
        <v>8</v>
      </c>
    </row>
    <row r="296" spans="1:7" s="2" customFormat="1" ht="15.75" customHeight="1">
      <c r="A296" s="943" t="s">
        <v>17</v>
      </c>
      <c r="B296" s="944"/>
      <c r="C296" s="16" t="s">
        <v>284</v>
      </c>
      <c r="D296" s="54">
        <v>3.5000000000000003E-2</v>
      </c>
      <c r="E296" s="17">
        <f>+G293</f>
        <v>8636.6764999999996</v>
      </c>
      <c r="F296" s="55">
        <f>+E296*D296</f>
        <v>302.28367750000001</v>
      </c>
      <c r="G296" s="61"/>
    </row>
    <row r="297" spans="1:7" s="2" customFormat="1" ht="13.8">
      <c r="A297" s="943" t="s">
        <v>68</v>
      </c>
      <c r="B297" s="944"/>
      <c r="C297" s="16" t="s">
        <v>3</v>
      </c>
      <c r="D297" s="54">
        <v>3.5000000000000003E-2</v>
      </c>
      <c r="E297" s="17">
        <f>G290</f>
        <v>5879.3249999999998</v>
      </c>
      <c r="F297" s="55">
        <f>+E297*D297</f>
        <v>205.776375</v>
      </c>
      <c r="G297" s="57">
        <f>SUM(F296:F297)</f>
        <v>508.06005249999998</v>
      </c>
    </row>
    <row r="298" spans="1:7" s="2" customFormat="1" ht="15.75" customHeight="1">
      <c r="A298" s="1071" t="s">
        <v>19</v>
      </c>
      <c r="B298" s="944"/>
      <c r="C298" s="944"/>
      <c r="D298" s="944"/>
      <c r="E298" s="944"/>
      <c r="F298" s="944"/>
      <c r="G298" s="1072"/>
    </row>
    <row r="299" spans="1:7" s="2" customFormat="1" ht="15.75" customHeight="1">
      <c r="A299" s="1074" t="s">
        <v>2</v>
      </c>
      <c r="B299" s="944"/>
      <c r="C299" s="53" t="s">
        <v>3</v>
      </c>
      <c r="D299" s="53" t="s">
        <v>4</v>
      </c>
      <c r="E299" s="53" t="s">
        <v>6</v>
      </c>
      <c r="F299" s="53" t="s">
        <v>11</v>
      </c>
      <c r="G299" s="61" t="s">
        <v>8</v>
      </c>
    </row>
    <row r="300" spans="1:7" s="2" customFormat="1" ht="15" customHeight="1">
      <c r="A300" s="978" t="str">
        <f>SALARIOS!$A$62</f>
        <v>CUADRILLA AA ALBAÑILERÍA 1:2</v>
      </c>
      <c r="B300" s="979"/>
      <c r="C300" s="13" t="s">
        <v>1245</v>
      </c>
      <c r="D300" s="16">
        <f>0.5</f>
        <v>0.5</v>
      </c>
      <c r="E300" s="17">
        <f>SALARIOS!$C$62</f>
        <v>34063</v>
      </c>
      <c r="F300" s="14">
        <f>+D300*E300</f>
        <v>17031.5</v>
      </c>
      <c r="G300" s="57">
        <f>F300</f>
        <v>17031.5</v>
      </c>
    </row>
    <row r="301" spans="1:7" s="2" customFormat="1" ht="15.75" customHeight="1">
      <c r="A301" s="1076" t="s">
        <v>25</v>
      </c>
      <c r="B301" s="944"/>
      <c r="C301" s="944"/>
      <c r="D301" s="944"/>
      <c r="E301" s="944"/>
      <c r="F301" s="944"/>
      <c r="G301" s="1072"/>
    </row>
    <row r="302" spans="1:7" s="2" customFormat="1" ht="17.399999999999999">
      <c r="A302" s="1077"/>
      <c r="B302" s="944"/>
      <c r="C302" s="944"/>
      <c r="D302" s="944"/>
      <c r="E302" s="944"/>
      <c r="F302" s="944"/>
      <c r="G302" s="62">
        <f>G300+G297+G293+G290</f>
        <v>32055.561552499999</v>
      </c>
    </row>
    <row r="303" spans="1:7" s="2" customFormat="1" ht="15.75" customHeight="1">
      <c r="A303" s="26"/>
      <c r="B303" s="27"/>
      <c r="C303" s="28"/>
      <c r="D303" s="28"/>
      <c r="E303" s="29"/>
      <c r="F303" s="28"/>
      <c r="G303" s="30"/>
    </row>
    <row r="304" spans="1:7" s="2" customFormat="1" ht="15.75" customHeight="1">
      <c r="A304" s="970" t="s">
        <v>1</v>
      </c>
      <c r="B304" s="957"/>
      <c r="C304" s="953" t="s">
        <v>0</v>
      </c>
      <c r="D304" s="954"/>
      <c r="E304" s="954"/>
      <c r="F304" s="954"/>
      <c r="G304" s="955"/>
    </row>
    <row r="305" spans="1:7" s="2" customFormat="1" ht="62.25" customHeight="1">
      <c r="A305" s="971"/>
      <c r="B305" s="957"/>
      <c r="C305" s="954"/>
      <c r="D305" s="954"/>
      <c r="E305" s="954"/>
      <c r="F305" s="954"/>
      <c r="G305" s="955"/>
    </row>
    <row r="306" spans="1:7" s="2" customFormat="1" ht="15.75" customHeight="1">
      <c r="A306" s="971"/>
      <c r="B306" s="957"/>
      <c r="C306" s="956"/>
      <c r="D306" s="957"/>
      <c r="E306" s="957"/>
      <c r="F306" s="957"/>
      <c r="G306" s="958"/>
    </row>
    <row r="307" spans="1:7" s="2" customFormat="1" ht="15.75" customHeight="1">
      <c r="A307" s="971"/>
      <c r="B307" s="957"/>
      <c r="C307" s="959" t="s">
        <v>2</v>
      </c>
      <c r="D307" s="957"/>
      <c r="E307" s="957"/>
      <c r="F307" s="23" t="s">
        <v>3</v>
      </c>
      <c r="G307" s="24" t="s">
        <v>4</v>
      </c>
    </row>
    <row r="308" spans="1:7" s="2" customFormat="1" ht="72.75" customHeight="1">
      <c r="A308" s="1073" t="s">
        <v>300</v>
      </c>
      <c r="B308" s="944"/>
      <c r="C308" s="980" t="s">
        <v>276</v>
      </c>
      <c r="D308" s="944"/>
      <c r="E308" s="944"/>
      <c r="F308" s="51" t="s">
        <v>37</v>
      </c>
      <c r="G308" s="52">
        <v>96.919999999999987</v>
      </c>
    </row>
    <row r="309" spans="1:7" s="2" customFormat="1" ht="15.75" customHeight="1">
      <c r="A309" s="1071" t="s">
        <v>5</v>
      </c>
      <c r="B309" s="944"/>
      <c r="C309" s="944"/>
      <c r="D309" s="944"/>
      <c r="E309" s="944"/>
      <c r="F309" s="944"/>
      <c r="G309" s="1072"/>
    </row>
    <row r="310" spans="1:7" s="2" customFormat="1" ht="15.75" customHeight="1">
      <c r="A310" s="1074" t="s">
        <v>2</v>
      </c>
      <c r="B310" s="944"/>
      <c r="C310" s="53" t="s">
        <v>3</v>
      </c>
      <c r="D310" s="53" t="s">
        <v>4</v>
      </c>
      <c r="E310" s="53" t="s">
        <v>6</v>
      </c>
      <c r="F310" s="53" t="s">
        <v>7</v>
      </c>
      <c r="G310" s="1075" t="s">
        <v>8</v>
      </c>
    </row>
    <row r="311" spans="1:7" s="2" customFormat="1" ht="15.75" customHeight="1">
      <c r="A311" s="947" t="s">
        <v>262</v>
      </c>
      <c r="B311" s="944"/>
      <c r="C311" s="51" t="s">
        <v>3</v>
      </c>
      <c r="D311" s="117">
        <v>0.05</v>
      </c>
      <c r="E311" s="17">
        <f>G326</f>
        <v>14291.5</v>
      </c>
      <c r="F311" s="55">
        <f>D311*E311</f>
        <v>714.57500000000005</v>
      </c>
      <c r="G311" s="1072"/>
    </row>
    <row r="312" spans="1:7" s="2" customFormat="1" ht="15.75" customHeight="1">
      <c r="A312" s="927" t="s">
        <v>113</v>
      </c>
      <c r="B312" s="932"/>
      <c r="C312" s="12" t="s">
        <v>58</v>
      </c>
      <c r="D312" s="51">
        <v>0.3</v>
      </c>
      <c r="E312" s="17">
        <f>'MAQUINARIA Y EQUIPOS'!F10</f>
        <v>3272.5</v>
      </c>
      <c r="F312" s="55">
        <f>D312*E312</f>
        <v>981.75</v>
      </c>
      <c r="G312" s="1072"/>
    </row>
    <row r="313" spans="1:7" s="2" customFormat="1" ht="15.75" customHeight="1">
      <c r="A313" s="927" t="s">
        <v>61</v>
      </c>
      <c r="B313" s="932"/>
      <c r="C313" s="12" t="s">
        <v>58</v>
      </c>
      <c r="D313" s="51">
        <v>0.1</v>
      </c>
      <c r="E313" s="17">
        <f>'MAQUINARIA Y EQUIPOS'!F18</f>
        <v>40460</v>
      </c>
      <c r="F313" s="55">
        <f>D313*E313</f>
        <v>4046</v>
      </c>
      <c r="G313" s="57">
        <f>SUM(F310:F313)</f>
        <v>5742.3249999999998</v>
      </c>
    </row>
    <row r="314" spans="1:7" s="2" customFormat="1" ht="15.75" customHeight="1">
      <c r="A314" s="1071" t="s">
        <v>10</v>
      </c>
      <c r="B314" s="944"/>
      <c r="C314" s="944"/>
      <c r="D314" s="944"/>
      <c r="E314" s="944"/>
      <c r="F314" s="944"/>
      <c r="G314" s="1072"/>
    </row>
    <row r="315" spans="1:7" s="2" customFormat="1" ht="15.75" customHeight="1">
      <c r="A315" s="1074" t="s">
        <v>2</v>
      </c>
      <c r="B315" s="944"/>
      <c r="C315" s="53" t="s">
        <v>3</v>
      </c>
      <c r="D315" s="53" t="s">
        <v>4</v>
      </c>
      <c r="E315" s="53" t="s">
        <v>6</v>
      </c>
      <c r="F315" s="53" t="s">
        <v>11</v>
      </c>
      <c r="G315" s="1075" t="s">
        <v>8</v>
      </c>
    </row>
    <row r="316" spans="1:7" s="2" customFormat="1" ht="15.75" customHeight="1">
      <c r="A316" s="947" t="s">
        <v>277</v>
      </c>
      <c r="B316" s="944"/>
      <c r="C316" s="16" t="s">
        <v>34</v>
      </c>
      <c r="D316" s="16">
        <v>1.33</v>
      </c>
      <c r="E316" s="17">
        <f>'INSUMOS '!E54</f>
        <v>2953.5714285714284</v>
      </c>
      <c r="F316" s="55">
        <f>E316*D316</f>
        <v>3928.25</v>
      </c>
      <c r="G316" s="1072"/>
    </row>
    <row r="317" spans="1:7" s="2" customFormat="1" ht="15.75" customHeight="1">
      <c r="A317" s="947" t="s">
        <v>126</v>
      </c>
      <c r="B317" s="944"/>
      <c r="C317" s="16" t="s">
        <v>34</v>
      </c>
      <c r="D317" s="16">
        <v>0.03</v>
      </c>
      <c r="E317" s="17">
        <f>'INSUMOS '!E40</f>
        <v>18900</v>
      </c>
      <c r="F317" s="55">
        <f>E317*D317</f>
        <v>567</v>
      </c>
      <c r="G317" s="61"/>
    </row>
    <row r="318" spans="1:7" s="2" customFormat="1" ht="15.75" customHeight="1">
      <c r="A318" s="947" t="s">
        <v>278</v>
      </c>
      <c r="B318" s="944"/>
      <c r="C318" s="16" t="s">
        <v>3</v>
      </c>
      <c r="D318" s="16">
        <v>0.6</v>
      </c>
      <c r="E318" s="17">
        <f>'INSUMOS '!$E$82</f>
        <v>1350</v>
      </c>
      <c r="F318" s="55">
        <f>E318*D318</f>
        <v>810</v>
      </c>
      <c r="G318" s="57">
        <f>SUM(F315:F318)</f>
        <v>5305.25</v>
      </c>
    </row>
    <row r="319" spans="1:7" s="2" customFormat="1" ht="15.75" customHeight="1">
      <c r="A319" s="1071" t="s">
        <v>15</v>
      </c>
      <c r="B319" s="944"/>
      <c r="C319" s="944"/>
      <c r="D319" s="944"/>
      <c r="E319" s="944"/>
      <c r="F319" s="944"/>
      <c r="G319" s="1072"/>
    </row>
    <row r="320" spans="1:7" s="2" customFormat="1" ht="15.75" customHeight="1">
      <c r="A320" s="1074" t="s">
        <v>2</v>
      </c>
      <c r="B320" s="944"/>
      <c r="C320" s="53" t="s">
        <v>3</v>
      </c>
      <c r="D320" s="53" t="s">
        <v>4</v>
      </c>
      <c r="E320" s="53" t="s">
        <v>6</v>
      </c>
      <c r="F320" s="53" t="s">
        <v>11</v>
      </c>
      <c r="G320" s="1075" t="s">
        <v>8</v>
      </c>
    </row>
    <row r="321" spans="1:7" s="2" customFormat="1" ht="15.75" customHeight="1">
      <c r="A321" s="943" t="s">
        <v>17</v>
      </c>
      <c r="B321" s="1078"/>
      <c r="C321" s="51" t="s">
        <v>3</v>
      </c>
      <c r="D321" s="54">
        <v>3.5000000000000003E-2</v>
      </c>
      <c r="E321" s="118">
        <f>G318</f>
        <v>5305.25</v>
      </c>
      <c r="F321" s="55">
        <f>E321*D321</f>
        <v>185.68375000000003</v>
      </c>
      <c r="G321" s="1075"/>
    </row>
    <row r="322" spans="1:7" s="2" customFormat="1" ht="15.75" customHeight="1">
      <c r="A322" s="943" t="s">
        <v>68</v>
      </c>
      <c r="B322" s="944"/>
      <c r="C322" s="16" t="s">
        <v>3</v>
      </c>
      <c r="D322" s="54">
        <v>3.5000000000000003E-2</v>
      </c>
      <c r="E322" s="17">
        <f>G313</f>
        <v>5742.3249999999998</v>
      </c>
      <c r="F322" s="55">
        <f>E322*D322</f>
        <v>200.98137500000001</v>
      </c>
      <c r="G322" s="1075"/>
    </row>
    <row r="323" spans="1:7" s="2" customFormat="1" ht="15.75" customHeight="1">
      <c r="A323" s="943"/>
      <c r="B323" s="944"/>
      <c r="C323" s="16"/>
      <c r="D323" s="16"/>
      <c r="E323" s="17"/>
      <c r="F323" s="120"/>
      <c r="G323" s="57">
        <f>SUM(F321:F323)</f>
        <v>386.66512500000005</v>
      </c>
    </row>
    <row r="324" spans="1:7" s="2" customFormat="1" ht="13.8">
      <c r="A324" s="1071" t="s">
        <v>19</v>
      </c>
      <c r="B324" s="944"/>
      <c r="C324" s="944"/>
      <c r="D324" s="944"/>
      <c r="E324" s="944"/>
      <c r="F324" s="944"/>
      <c r="G324" s="1072"/>
    </row>
    <row r="325" spans="1:7" s="2" customFormat="1" ht="15.75" customHeight="1">
      <c r="A325" s="1074" t="s">
        <v>2</v>
      </c>
      <c r="B325" s="944"/>
      <c r="C325" s="53" t="s">
        <v>3</v>
      </c>
      <c r="D325" s="53" t="s">
        <v>4</v>
      </c>
      <c r="E325" s="53" t="s">
        <v>6</v>
      </c>
      <c r="F325" s="53" t="s">
        <v>11</v>
      </c>
      <c r="G325" s="61" t="s">
        <v>8</v>
      </c>
    </row>
    <row r="326" spans="1:7" s="2" customFormat="1" ht="15" customHeight="1">
      <c r="A326" s="978" t="str">
        <f>+SALARIOS!$A$77</f>
        <v>CUADRILLA CC PINTURA 1:1</v>
      </c>
      <c r="B326" s="979"/>
      <c r="C326" s="13" t="s">
        <v>1245</v>
      </c>
      <c r="D326" s="16">
        <f>0.5</f>
        <v>0.5</v>
      </c>
      <c r="E326" s="17">
        <f>SALARIOS!$C$77</f>
        <v>28583</v>
      </c>
      <c r="F326" s="14">
        <f>+D326*E326</f>
        <v>14291.5</v>
      </c>
      <c r="G326" s="57">
        <f>F326</f>
        <v>14291.5</v>
      </c>
    </row>
    <row r="327" spans="1:7" s="2" customFormat="1" ht="15.75" customHeight="1">
      <c r="A327" s="1076" t="s">
        <v>25</v>
      </c>
      <c r="B327" s="944"/>
      <c r="C327" s="944"/>
      <c r="D327" s="944"/>
      <c r="E327" s="944"/>
      <c r="F327" s="944"/>
      <c r="G327" s="1072"/>
    </row>
    <row r="328" spans="1:7" s="2" customFormat="1" ht="15.75" customHeight="1">
      <c r="A328" s="1077"/>
      <c r="B328" s="944"/>
      <c r="C328" s="944"/>
      <c r="D328" s="944"/>
      <c r="E328" s="944"/>
      <c r="F328" s="944"/>
      <c r="G328" s="62">
        <f>G326+G323+G318+G313</f>
        <v>25725.740125</v>
      </c>
    </row>
    <row r="329" spans="1:7" s="2" customFormat="1" ht="15.75" customHeight="1">
      <c r="A329" s="26"/>
      <c r="B329" s="27"/>
      <c r="C329" s="28"/>
      <c r="D329" s="28"/>
      <c r="E329" s="29"/>
      <c r="F329" s="28"/>
      <c r="G329" s="30"/>
    </row>
    <row r="330" spans="1:7" s="2" customFormat="1" ht="14.25" customHeight="1">
      <c r="A330" s="970" t="s">
        <v>1</v>
      </c>
      <c r="B330" s="957"/>
      <c r="C330" s="953" t="s">
        <v>0</v>
      </c>
      <c r="D330" s="954"/>
      <c r="E330" s="954"/>
      <c r="F330" s="954"/>
      <c r="G330" s="955"/>
    </row>
    <row r="331" spans="1:7" s="2" customFormat="1" ht="52.5" customHeight="1">
      <c r="A331" s="971"/>
      <c r="B331" s="957"/>
      <c r="C331" s="954"/>
      <c r="D331" s="954"/>
      <c r="E331" s="954"/>
      <c r="F331" s="954"/>
      <c r="G331" s="955"/>
    </row>
    <row r="332" spans="1:7" s="2" customFormat="1" ht="17.399999999999999">
      <c r="A332" s="971"/>
      <c r="B332" s="957"/>
      <c r="C332" s="956"/>
      <c r="D332" s="957"/>
      <c r="E332" s="957"/>
      <c r="F332" s="957"/>
      <c r="G332" s="958"/>
    </row>
    <row r="333" spans="1:7" s="2" customFormat="1" ht="15.75" customHeight="1">
      <c r="A333" s="971"/>
      <c r="B333" s="957"/>
      <c r="C333" s="959" t="s">
        <v>2</v>
      </c>
      <c r="D333" s="957"/>
      <c r="E333" s="957"/>
      <c r="F333" s="23" t="s">
        <v>3</v>
      </c>
      <c r="G333" s="24" t="s">
        <v>4</v>
      </c>
    </row>
    <row r="334" spans="1:7" s="2" customFormat="1" ht="117.75" customHeight="1">
      <c r="A334" s="1073" t="s">
        <v>301</v>
      </c>
      <c r="B334" s="944"/>
      <c r="C334" s="980" t="s">
        <v>280</v>
      </c>
      <c r="D334" s="944"/>
      <c r="E334" s="944"/>
      <c r="F334" s="51" t="s">
        <v>37</v>
      </c>
      <c r="G334" s="52">
        <v>96.919999999999987</v>
      </c>
    </row>
    <row r="335" spans="1:7" s="2" customFormat="1" ht="13.8">
      <c r="A335" s="1071" t="s">
        <v>5</v>
      </c>
      <c r="B335" s="944"/>
      <c r="C335" s="944"/>
      <c r="D335" s="944"/>
      <c r="E335" s="944"/>
      <c r="F335" s="944"/>
      <c r="G335" s="1072"/>
    </row>
    <row r="336" spans="1:7" s="2" customFormat="1" ht="15.75" customHeight="1">
      <c r="A336" s="1074" t="s">
        <v>2</v>
      </c>
      <c r="B336" s="944"/>
      <c r="C336" s="53" t="s">
        <v>3</v>
      </c>
      <c r="D336" s="53" t="s">
        <v>4</v>
      </c>
      <c r="E336" s="53" t="s">
        <v>6</v>
      </c>
      <c r="F336" s="53" t="s">
        <v>7</v>
      </c>
      <c r="G336" s="1075" t="s">
        <v>8</v>
      </c>
    </row>
    <row r="337" spans="1:7" s="2" customFormat="1" ht="15.75" customHeight="1">
      <c r="A337" s="947" t="s">
        <v>262</v>
      </c>
      <c r="B337" s="944"/>
      <c r="C337" s="51" t="s">
        <v>3</v>
      </c>
      <c r="D337" s="109">
        <v>0.05</v>
      </c>
      <c r="E337" s="17">
        <f>G352</f>
        <v>19586</v>
      </c>
      <c r="F337" s="55">
        <f>D337*E337</f>
        <v>979.30000000000007</v>
      </c>
      <c r="G337" s="1072"/>
    </row>
    <row r="338" spans="1:7" s="2" customFormat="1" ht="15.75" customHeight="1">
      <c r="A338" s="927" t="s">
        <v>113</v>
      </c>
      <c r="B338" s="932"/>
      <c r="C338" s="12" t="s">
        <v>58</v>
      </c>
      <c r="D338" s="51">
        <v>0.2</v>
      </c>
      <c r="E338" s="17">
        <f>'MAQUINARIA Y EQUIPOS'!F10</f>
        <v>3272.5</v>
      </c>
      <c r="F338" s="55">
        <f>D338*E338</f>
        <v>654.5</v>
      </c>
      <c r="G338" s="1072"/>
    </row>
    <row r="339" spans="1:7" s="2" customFormat="1" ht="15.75" customHeight="1">
      <c r="A339" s="927" t="s">
        <v>61</v>
      </c>
      <c r="B339" s="932"/>
      <c r="C339" s="12" t="s">
        <v>58</v>
      </c>
      <c r="D339" s="51">
        <v>0.1</v>
      </c>
      <c r="E339" s="17">
        <f>'MAQUINARIA Y EQUIPOS'!F18</f>
        <v>40460</v>
      </c>
      <c r="F339" s="55">
        <f>D339*E339</f>
        <v>4046</v>
      </c>
      <c r="G339" s="57">
        <f>SUM(F336:F339)</f>
        <v>5679.8</v>
      </c>
    </row>
    <row r="340" spans="1:7" s="2" customFormat="1" ht="15.75" customHeight="1">
      <c r="A340" s="1071" t="s">
        <v>10</v>
      </c>
      <c r="B340" s="944"/>
      <c r="C340" s="944"/>
      <c r="D340" s="944"/>
      <c r="E340" s="944"/>
      <c r="F340" s="944"/>
      <c r="G340" s="1072"/>
    </row>
    <row r="341" spans="1:7" s="2" customFormat="1" ht="15.75" customHeight="1">
      <c r="A341" s="1074" t="s">
        <v>2</v>
      </c>
      <c r="B341" s="944"/>
      <c r="C341" s="53" t="s">
        <v>3</v>
      </c>
      <c r="D341" s="53" t="s">
        <v>4</v>
      </c>
      <c r="E341" s="53" t="s">
        <v>6</v>
      </c>
      <c r="F341" s="53" t="s">
        <v>11</v>
      </c>
      <c r="G341" s="1075" t="s">
        <v>8</v>
      </c>
    </row>
    <row r="342" spans="1:7" s="2" customFormat="1" ht="15.75" customHeight="1">
      <c r="A342" s="947" t="s">
        <v>281</v>
      </c>
      <c r="B342" s="944"/>
      <c r="C342" s="16" t="s">
        <v>190</v>
      </c>
      <c r="D342" s="54">
        <v>3.5000000000000003E-2</v>
      </c>
      <c r="E342" s="17">
        <f>'INSUMOS '!E83</f>
        <v>35700</v>
      </c>
      <c r="F342" s="55">
        <f>E342*D342</f>
        <v>1249.5000000000002</v>
      </c>
      <c r="G342" s="1075"/>
    </row>
    <row r="343" spans="1:7" s="2" customFormat="1" ht="15.75" customHeight="1">
      <c r="A343" s="947" t="s">
        <v>278</v>
      </c>
      <c r="B343" s="944"/>
      <c r="C343" s="16" t="s">
        <v>3</v>
      </c>
      <c r="D343" s="16">
        <v>0.06</v>
      </c>
      <c r="E343" s="17">
        <f>'INSUMOS '!E82</f>
        <v>1350</v>
      </c>
      <c r="F343" s="55">
        <f>E343*D343</f>
        <v>81</v>
      </c>
      <c r="G343" s="1075"/>
    </row>
    <row r="344" spans="1:7" s="2" customFormat="1" ht="15.75" customHeight="1">
      <c r="A344" s="947" t="s">
        <v>277</v>
      </c>
      <c r="B344" s="944"/>
      <c r="C344" s="16" t="s">
        <v>34</v>
      </c>
      <c r="D344" s="16">
        <v>0.1</v>
      </c>
      <c r="E344" s="17">
        <f>'INSUMOS '!E54</f>
        <v>2953.5714285714284</v>
      </c>
      <c r="F344" s="55">
        <f>E344*D344</f>
        <v>295.35714285714283</v>
      </c>
      <c r="G344" s="1075"/>
    </row>
    <row r="345" spans="1:7" s="2" customFormat="1" ht="15.75" customHeight="1">
      <c r="A345" s="947" t="s">
        <v>126</v>
      </c>
      <c r="B345" s="944"/>
      <c r="C345" s="16" t="s">
        <v>34</v>
      </c>
      <c r="D345" s="16">
        <v>0.03</v>
      </c>
      <c r="E345" s="17">
        <f>'INSUMOS '!E40</f>
        <v>18900</v>
      </c>
      <c r="F345" s="55">
        <f>E345*D345</f>
        <v>567</v>
      </c>
      <c r="G345" s="57">
        <f>SUM(F341:F345)</f>
        <v>2192.8571428571431</v>
      </c>
    </row>
    <row r="346" spans="1:7" s="2" customFormat="1" ht="15.75" customHeight="1">
      <c r="A346" s="1071" t="s">
        <v>15</v>
      </c>
      <c r="B346" s="944"/>
      <c r="C346" s="944"/>
      <c r="D346" s="944"/>
      <c r="E346" s="944"/>
      <c r="F346" s="944"/>
      <c r="G346" s="1072"/>
    </row>
    <row r="347" spans="1:7" s="2" customFormat="1" ht="15.75" customHeight="1">
      <c r="A347" s="1074" t="s">
        <v>2</v>
      </c>
      <c r="B347" s="944"/>
      <c r="C347" s="53" t="s">
        <v>3</v>
      </c>
      <c r="D347" s="53" t="s">
        <v>4</v>
      </c>
      <c r="E347" s="53" t="s">
        <v>6</v>
      </c>
      <c r="F347" s="53" t="s">
        <v>11</v>
      </c>
      <c r="G347" s="1075" t="s">
        <v>8</v>
      </c>
    </row>
    <row r="348" spans="1:7" s="2" customFormat="1" ht="15.75" customHeight="1">
      <c r="A348" s="943" t="s">
        <v>68</v>
      </c>
      <c r="B348" s="944"/>
      <c r="C348" s="16" t="s">
        <v>3</v>
      </c>
      <c r="D348" s="54">
        <v>3.5000000000000003E-2</v>
      </c>
      <c r="E348" s="17">
        <f>G339</f>
        <v>5679.8</v>
      </c>
      <c r="F348" s="55">
        <f>E348*D348</f>
        <v>198.79300000000003</v>
      </c>
      <c r="G348" s="1075"/>
    </row>
    <row r="349" spans="1:7" s="2" customFormat="1" ht="15.75" customHeight="1">
      <c r="A349" s="943" t="s">
        <v>17</v>
      </c>
      <c r="B349" s="944"/>
      <c r="C349" s="16" t="s">
        <v>3</v>
      </c>
      <c r="D349" s="54">
        <v>3.5000000000000003E-2</v>
      </c>
      <c r="E349" s="17">
        <f>+G345</f>
        <v>2192.8571428571431</v>
      </c>
      <c r="F349" s="55">
        <f>E349*D349</f>
        <v>76.750000000000014</v>
      </c>
      <c r="G349" s="57">
        <f>SUM(F348:F349)</f>
        <v>275.54300000000006</v>
      </c>
    </row>
    <row r="350" spans="1:7" s="2" customFormat="1" ht="15.75" customHeight="1">
      <c r="A350" s="1071" t="s">
        <v>19</v>
      </c>
      <c r="B350" s="944"/>
      <c r="C350" s="944"/>
      <c r="D350" s="944"/>
      <c r="E350" s="944"/>
      <c r="F350" s="944"/>
      <c r="G350" s="1072"/>
    </row>
    <row r="351" spans="1:7" s="2" customFormat="1" ht="15.75" customHeight="1">
      <c r="A351" s="1074" t="s">
        <v>2</v>
      </c>
      <c r="B351" s="944"/>
      <c r="C351" s="53" t="s">
        <v>3</v>
      </c>
      <c r="D351" s="53" t="s">
        <v>4</v>
      </c>
      <c r="E351" s="53" t="s">
        <v>6</v>
      </c>
      <c r="F351" s="53" t="s">
        <v>11</v>
      </c>
      <c r="G351" s="61" t="s">
        <v>8</v>
      </c>
    </row>
    <row r="352" spans="1:7" s="2" customFormat="1" ht="15" customHeight="1">
      <c r="A352" s="978" t="str">
        <f>SALARIOS!$A$78</f>
        <v>CUADRILLA CC PINTURA 1:2</v>
      </c>
      <c r="B352" s="979"/>
      <c r="C352" s="13" t="s">
        <v>1245</v>
      </c>
      <c r="D352" s="16">
        <v>0.5</v>
      </c>
      <c r="E352" s="17">
        <f>SALARIOS!$C$78</f>
        <v>39172</v>
      </c>
      <c r="F352" s="14">
        <f>+D352*E352</f>
        <v>19586</v>
      </c>
      <c r="G352" s="57">
        <f>F352</f>
        <v>19586</v>
      </c>
    </row>
    <row r="353" spans="1:7" s="2" customFormat="1" ht="15.75" customHeight="1">
      <c r="A353" s="1076" t="s">
        <v>25</v>
      </c>
      <c r="B353" s="944"/>
      <c r="C353" s="944"/>
      <c r="D353" s="944"/>
      <c r="E353" s="944"/>
      <c r="F353" s="944"/>
      <c r="G353" s="1072"/>
    </row>
    <row r="354" spans="1:7" s="2" customFormat="1" ht="15.75" customHeight="1">
      <c r="A354" s="1077"/>
      <c r="B354" s="944"/>
      <c r="C354" s="944"/>
      <c r="D354" s="944"/>
      <c r="E354" s="944"/>
      <c r="F354" s="944"/>
      <c r="G354" s="62">
        <f>G352+G349+G345+G339</f>
        <v>27734.200142857142</v>
      </c>
    </row>
    <row r="355" spans="1:7" s="2" customFormat="1" ht="15.75" customHeight="1">
      <c r="A355" s="26"/>
      <c r="B355" s="27"/>
      <c r="C355" s="28"/>
      <c r="D355" s="28"/>
      <c r="E355" s="29"/>
      <c r="F355" s="28"/>
      <c r="G355" s="30"/>
    </row>
    <row r="356" spans="1:7" s="2" customFormat="1" ht="15.75" customHeight="1">
      <c r="A356" s="970" t="s">
        <v>1</v>
      </c>
      <c r="B356" s="957"/>
      <c r="C356" s="953" t="s">
        <v>0</v>
      </c>
      <c r="D356" s="954"/>
      <c r="E356" s="954"/>
      <c r="F356" s="954"/>
      <c r="G356" s="955"/>
    </row>
    <row r="357" spans="1:7" s="2" customFormat="1" ht="86.25" customHeight="1">
      <c r="A357" s="971"/>
      <c r="B357" s="957"/>
      <c r="C357" s="954"/>
      <c r="D357" s="954"/>
      <c r="E357" s="954"/>
      <c r="F357" s="954"/>
      <c r="G357" s="955"/>
    </row>
    <row r="358" spans="1:7" s="2" customFormat="1" ht="15.75" customHeight="1">
      <c r="A358" s="971"/>
      <c r="B358" s="957"/>
      <c r="C358" s="956"/>
      <c r="D358" s="957"/>
      <c r="E358" s="957"/>
      <c r="F358" s="957"/>
      <c r="G358" s="958"/>
    </row>
    <row r="359" spans="1:7" s="2" customFormat="1" ht="15.75" customHeight="1">
      <c r="A359" s="971"/>
      <c r="B359" s="957"/>
      <c r="C359" s="959" t="s">
        <v>2</v>
      </c>
      <c r="D359" s="957"/>
      <c r="E359" s="957"/>
      <c r="F359" s="23" t="s">
        <v>3</v>
      </c>
      <c r="G359" s="24" t="s">
        <v>4</v>
      </c>
    </row>
    <row r="360" spans="1:7" s="2" customFormat="1" ht="116.25" customHeight="1">
      <c r="A360" s="1073" t="s">
        <v>302</v>
      </c>
      <c r="B360" s="944"/>
      <c r="C360" s="980" t="s">
        <v>288</v>
      </c>
      <c r="D360" s="944"/>
      <c r="E360" s="944"/>
      <c r="F360" s="51" t="s">
        <v>18</v>
      </c>
      <c r="G360" s="52">
        <v>1</v>
      </c>
    </row>
    <row r="361" spans="1:7" s="2" customFormat="1" ht="13.8">
      <c r="A361" s="1071" t="s">
        <v>5</v>
      </c>
      <c r="B361" s="944"/>
      <c r="C361" s="944"/>
      <c r="D361" s="944"/>
      <c r="E361" s="944"/>
      <c r="F361" s="944"/>
      <c r="G361" s="1072"/>
    </row>
    <row r="362" spans="1:7" s="2" customFormat="1" ht="15.75" customHeight="1">
      <c r="A362" s="1074" t="s">
        <v>2</v>
      </c>
      <c r="B362" s="944"/>
      <c r="C362" s="53" t="s">
        <v>3</v>
      </c>
      <c r="D362" s="53" t="s">
        <v>4</v>
      </c>
      <c r="E362" s="53" t="s">
        <v>6</v>
      </c>
      <c r="F362" s="53" t="s">
        <v>7</v>
      </c>
      <c r="G362" s="1075" t="s">
        <v>8</v>
      </c>
    </row>
    <row r="363" spans="1:7" s="2" customFormat="1" ht="15.75" customHeight="1">
      <c r="A363" s="947" t="s">
        <v>262</v>
      </c>
      <c r="B363" s="944"/>
      <c r="C363" s="51" t="s">
        <v>3</v>
      </c>
      <c r="D363" s="109">
        <v>0.05</v>
      </c>
      <c r="E363" s="17">
        <f>G377</f>
        <v>338848</v>
      </c>
      <c r="F363" s="55">
        <f>D363*E363</f>
        <v>16942.400000000001</v>
      </c>
      <c r="G363" s="1072"/>
    </row>
    <row r="364" spans="1:7" s="2" customFormat="1" ht="15.75" customHeight="1">
      <c r="A364" s="927" t="s">
        <v>113</v>
      </c>
      <c r="B364" s="932"/>
      <c r="C364" s="12" t="s">
        <v>58</v>
      </c>
      <c r="D364" s="51">
        <v>1</v>
      </c>
      <c r="E364" s="17">
        <f>'MAQUINARIA Y EQUIPOS'!F10</f>
        <v>3272.5</v>
      </c>
      <c r="F364" s="55">
        <f>D364*E364</f>
        <v>3272.5</v>
      </c>
      <c r="G364" s="1072"/>
    </row>
    <row r="365" spans="1:7" s="2" customFormat="1" ht="15.75" customHeight="1">
      <c r="A365" s="927" t="s">
        <v>61</v>
      </c>
      <c r="B365" s="932"/>
      <c r="C365" s="12" t="s">
        <v>58</v>
      </c>
      <c r="D365" s="51">
        <v>1</v>
      </c>
      <c r="E365" s="17">
        <f>'MAQUINARIA Y EQUIPOS'!F18</f>
        <v>40460</v>
      </c>
      <c r="F365" s="55">
        <f>D365*E365</f>
        <v>40460</v>
      </c>
      <c r="G365" s="1072"/>
    </row>
    <row r="366" spans="1:7" s="2" customFormat="1" ht="15.75" customHeight="1">
      <c r="A366" s="927"/>
      <c r="B366" s="932"/>
      <c r="C366" s="12"/>
      <c r="D366" s="51"/>
      <c r="E366" s="17"/>
      <c r="F366" s="55"/>
      <c r="G366" s="57">
        <f>SUM(F362:F366)</f>
        <v>60674.9</v>
      </c>
    </row>
    <row r="367" spans="1:7" s="2" customFormat="1" ht="13.8">
      <c r="A367" s="1071" t="s">
        <v>10</v>
      </c>
      <c r="B367" s="944"/>
      <c r="C367" s="944"/>
      <c r="D367" s="944"/>
      <c r="E367" s="944"/>
      <c r="F367" s="944"/>
      <c r="G367" s="1072"/>
    </row>
    <row r="368" spans="1:7" s="2" customFormat="1" ht="15.75" customHeight="1">
      <c r="A368" s="1074" t="s">
        <v>2</v>
      </c>
      <c r="B368" s="944"/>
      <c r="C368" s="53" t="s">
        <v>3</v>
      </c>
      <c r="D368" s="53" t="s">
        <v>4</v>
      </c>
      <c r="E368" s="53" t="s">
        <v>6</v>
      </c>
      <c r="F368" s="53" t="s">
        <v>11</v>
      </c>
      <c r="G368" s="1075" t="s">
        <v>8</v>
      </c>
    </row>
    <row r="369" spans="1:8" s="2" customFormat="1" ht="15.75" customHeight="1">
      <c r="A369" s="947" t="s">
        <v>289</v>
      </c>
      <c r="B369" s="944"/>
      <c r="C369" s="16" t="s">
        <v>190</v>
      </c>
      <c r="D369" s="54">
        <v>1</v>
      </c>
      <c r="E369" s="17">
        <f>'INSUMOS '!E7</f>
        <v>74900</v>
      </c>
      <c r="F369" s="55">
        <f>E369*D369</f>
        <v>74900</v>
      </c>
      <c r="G369" s="1075"/>
    </row>
    <row r="370" spans="1:8" s="2" customFormat="1" ht="15.75" customHeight="1">
      <c r="A370" s="947"/>
      <c r="B370" s="944"/>
      <c r="C370" s="16"/>
      <c r="D370" s="16"/>
      <c r="E370" s="17"/>
      <c r="F370" s="55"/>
      <c r="G370" s="57">
        <f>SUM(F368:F370)</f>
        <v>74900</v>
      </c>
    </row>
    <row r="371" spans="1:8" s="2" customFormat="1" ht="15.75" customHeight="1">
      <c r="A371" s="1071" t="s">
        <v>15</v>
      </c>
      <c r="B371" s="944"/>
      <c r="C371" s="944"/>
      <c r="D371" s="944"/>
      <c r="E371" s="944"/>
      <c r="F371" s="944"/>
      <c r="G371" s="1072"/>
    </row>
    <row r="372" spans="1:8" s="2" customFormat="1" ht="15.75" customHeight="1">
      <c r="A372" s="1074" t="s">
        <v>2</v>
      </c>
      <c r="B372" s="944"/>
      <c r="C372" s="53" t="s">
        <v>3</v>
      </c>
      <c r="D372" s="53" t="s">
        <v>4</v>
      </c>
      <c r="E372" s="53" t="s">
        <v>6</v>
      </c>
      <c r="F372" s="53" t="s">
        <v>11</v>
      </c>
      <c r="G372" s="61" t="s">
        <v>8</v>
      </c>
    </row>
    <row r="373" spans="1:8" s="2" customFormat="1" ht="15.75" customHeight="1">
      <c r="A373" s="943" t="s">
        <v>17</v>
      </c>
      <c r="B373" s="1078"/>
      <c r="C373" s="51" t="s">
        <v>3</v>
      </c>
      <c r="D373" s="54">
        <v>3.5000000000000003E-2</v>
      </c>
      <c r="E373" s="118">
        <f>G370</f>
        <v>74900</v>
      </c>
      <c r="F373" s="55">
        <f>+D373*E373</f>
        <v>2621.5000000000005</v>
      </c>
      <c r="G373" s="61"/>
    </row>
    <row r="374" spans="1:8" s="2" customFormat="1" ht="15.75" customHeight="1">
      <c r="A374" s="943" t="s">
        <v>68</v>
      </c>
      <c r="B374" s="944"/>
      <c r="C374" s="16" t="s">
        <v>3</v>
      </c>
      <c r="D374" s="54">
        <v>3.5000000000000003E-2</v>
      </c>
      <c r="E374" s="17">
        <f>G366</f>
        <v>60674.9</v>
      </c>
      <c r="F374" s="55">
        <f>+D374*E374</f>
        <v>2123.6215000000002</v>
      </c>
      <c r="G374" s="57">
        <f>SUM(F373:F374)</f>
        <v>4745.1215000000011</v>
      </c>
    </row>
    <row r="375" spans="1:8" s="2" customFormat="1" ht="15.75" customHeight="1">
      <c r="A375" s="1071" t="s">
        <v>19</v>
      </c>
      <c r="B375" s="944"/>
      <c r="C375" s="944"/>
      <c r="D375" s="944"/>
      <c r="E375" s="944"/>
      <c r="F375" s="944"/>
      <c r="G375" s="1072"/>
    </row>
    <row r="376" spans="1:8" s="2" customFormat="1" ht="15.75" customHeight="1">
      <c r="A376" s="1074" t="s">
        <v>2</v>
      </c>
      <c r="B376" s="944"/>
      <c r="C376" s="53" t="s">
        <v>3</v>
      </c>
      <c r="D376" s="53" t="s">
        <v>4</v>
      </c>
      <c r="E376" s="53" t="s">
        <v>6</v>
      </c>
      <c r="F376" s="53" t="s">
        <v>11</v>
      </c>
      <c r="G376" s="61" t="s">
        <v>8</v>
      </c>
    </row>
    <row r="377" spans="1:8" s="2" customFormat="1" ht="15" customHeight="1">
      <c r="A377" s="978" t="str">
        <f>SALARIOS!$A$75</f>
        <v>CUADRILLA CC PINTURA 0:2</v>
      </c>
      <c r="B377" s="979"/>
      <c r="C377" s="13" t="s">
        <v>1245</v>
      </c>
      <c r="D377" s="16">
        <v>16</v>
      </c>
      <c r="E377" s="17">
        <f>SALARIOS!$C$75</f>
        <v>21178</v>
      </c>
      <c r="F377" s="14">
        <f>+D377*E377</f>
        <v>338848</v>
      </c>
      <c r="G377" s="57">
        <f>F377</f>
        <v>338848</v>
      </c>
    </row>
    <row r="378" spans="1:8" s="2" customFormat="1" ht="15.75" customHeight="1">
      <c r="A378" s="1076" t="s">
        <v>25</v>
      </c>
      <c r="B378" s="944"/>
      <c r="C378" s="944"/>
      <c r="D378" s="944"/>
      <c r="E378" s="944"/>
      <c r="F378" s="944"/>
      <c r="G378" s="1072"/>
    </row>
    <row r="379" spans="1:8" s="2" customFormat="1" ht="15.75" customHeight="1">
      <c r="A379" s="1077"/>
      <c r="B379" s="944"/>
      <c r="C379" s="944"/>
      <c r="D379" s="944"/>
      <c r="E379" s="944"/>
      <c r="F379" s="944"/>
      <c r="G379" s="62">
        <f>G377+G374+G370+G366</f>
        <v>479168.02150000003</v>
      </c>
    </row>
    <row r="380" spans="1:8">
      <c r="B380" s="468"/>
      <c r="F380" s="455"/>
    </row>
    <row r="381" spans="1:8">
      <c r="B381" s="468"/>
      <c r="F381" s="620"/>
    </row>
    <row r="382" spans="1:8">
      <c r="B382" s="468"/>
      <c r="F382" s="620"/>
      <c r="H382" s="480"/>
    </row>
    <row r="383" spans="1:8">
      <c r="B383" s="468"/>
      <c r="F383" s="455"/>
    </row>
    <row r="384" spans="1:8">
      <c r="B384" s="468"/>
      <c r="F384" s="455"/>
    </row>
    <row r="385" spans="2:6">
      <c r="B385" s="468"/>
      <c r="F385" s="455"/>
    </row>
    <row r="386" spans="2:6">
      <c r="B386" s="966"/>
      <c r="C386" s="966"/>
      <c r="F386" s="455"/>
    </row>
    <row r="387" spans="2:6">
      <c r="B387" s="966"/>
      <c r="C387" s="966"/>
      <c r="F387" s="455"/>
    </row>
    <row r="388" spans="2:6">
      <c r="B388" s="468"/>
      <c r="F388" s="455"/>
    </row>
  </sheetData>
  <mergeCells count="415">
    <mergeCell ref="B386:C386"/>
    <mergeCell ref="B387:C387"/>
    <mergeCell ref="A379:F379"/>
    <mergeCell ref="A371:G371"/>
    <mergeCell ref="A372:B372"/>
    <mergeCell ref="A373:B373"/>
    <mergeCell ref="A374:B374"/>
    <mergeCell ref="A375:G375"/>
    <mergeCell ref="A378:G378"/>
    <mergeCell ref="A366:B366"/>
    <mergeCell ref="A367:G367"/>
    <mergeCell ref="A368:B368"/>
    <mergeCell ref="G368:G369"/>
    <mergeCell ref="A369:B369"/>
    <mergeCell ref="A370:B370"/>
    <mergeCell ref="A376:B376"/>
    <mergeCell ref="A377:B377"/>
    <mergeCell ref="A360:B360"/>
    <mergeCell ref="C360:E360"/>
    <mergeCell ref="A361:G361"/>
    <mergeCell ref="A362:B362"/>
    <mergeCell ref="G362:G365"/>
    <mergeCell ref="A363:B363"/>
    <mergeCell ref="A364:B364"/>
    <mergeCell ref="A365:B365"/>
    <mergeCell ref="A350:G350"/>
    <mergeCell ref="A353:G353"/>
    <mergeCell ref="A354:F354"/>
    <mergeCell ref="A356:B359"/>
    <mergeCell ref="C356:G357"/>
    <mergeCell ref="C358:G358"/>
    <mergeCell ref="C359:E359"/>
    <mergeCell ref="A351:B351"/>
    <mergeCell ref="A352:B352"/>
    <mergeCell ref="A345:B345"/>
    <mergeCell ref="A346:G346"/>
    <mergeCell ref="A347:B347"/>
    <mergeCell ref="G347:G348"/>
    <mergeCell ref="A348:B348"/>
    <mergeCell ref="A349:B349"/>
    <mergeCell ref="A339:B339"/>
    <mergeCell ref="A340:G340"/>
    <mergeCell ref="A341:B341"/>
    <mergeCell ref="G341:G344"/>
    <mergeCell ref="A342:B342"/>
    <mergeCell ref="A343:B343"/>
    <mergeCell ref="A344:B344"/>
    <mergeCell ref="A334:B334"/>
    <mergeCell ref="C334:E334"/>
    <mergeCell ref="A335:G335"/>
    <mergeCell ref="A336:B336"/>
    <mergeCell ref="G336:G338"/>
    <mergeCell ref="A337:B337"/>
    <mergeCell ref="A338:B338"/>
    <mergeCell ref="A323:B323"/>
    <mergeCell ref="A324:G324"/>
    <mergeCell ref="A327:G327"/>
    <mergeCell ref="A328:F328"/>
    <mergeCell ref="A330:B333"/>
    <mergeCell ref="C330:G331"/>
    <mergeCell ref="C332:G332"/>
    <mergeCell ref="C333:E333"/>
    <mergeCell ref="A325:B325"/>
    <mergeCell ref="A326:B326"/>
    <mergeCell ref="A318:B318"/>
    <mergeCell ref="A319:G319"/>
    <mergeCell ref="A320:B320"/>
    <mergeCell ref="G320:G322"/>
    <mergeCell ref="A321:B321"/>
    <mergeCell ref="A322:B322"/>
    <mergeCell ref="A313:B313"/>
    <mergeCell ref="A314:G314"/>
    <mergeCell ref="A315:B315"/>
    <mergeCell ref="G315:G316"/>
    <mergeCell ref="A316:B316"/>
    <mergeCell ref="A317:B317"/>
    <mergeCell ref="A308:B308"/>
    <mergeCell ref="C308:E308"/>
    <mergeCell ref="A309:G309"/>
    <mergeCell ref="A310:B310"/>
    <mergeCell ref="G310:G312"/>
    <mergeCell ref="A311:B311"/>
    <mergeCell ref="A312:B312"/>
    <mergeCell ref="A296:B296"/>
    <mergeCell ref="A297:B297"/>
    <mergeCell ref="A298:G298"/>
    <mergeCell ref="A301:G301"/>
    <mergeCell ref="A302:F302"/>
    <mergeCell ref="A304:B307"/>
    <mergeCell ref="C304:G305"/>
    <mergeCell ref="C306:G306"/>
    <mergeCell ref="C307:E307"/>
    <mergeCell ref="A299:B299"/>
    <mergeCell ref="A300:B300"/>
    <mergeCell ref="A290:B290"/>
    <mergeCell ref="A291:G291"/>
    <mergeCell ref="A292:B292"/>
    <mergeCell ref="A293:B293"/>
    <mergeCell ref="A294:G294"/>
    <mergeCell ref="A295:B295"/>
    <mergeCell ref="A285:B285"/>
    <mergeCell ref="C285:E285"/>
    <mergeCell ref="A286:G286"/>
    <mergeCell ref="A287:B287"/>
    <mergeCell ref="G287:G289"/>
    <mergeCell ref="A288:B288"/>
    <mergeCell ref="A289:B289"/>
    <mergeCell ref="A278:G278"/>
    <mergeCell ref="A279:F279"/>
    <mergeCell ref="A281:B284"/>
    <mergeCell ref="C281:G282"/>
    <mergeCell ref="C283:G283"/>
    <mergeCell ref="C284:E284"/>
    <mergeCell ref="A270:B270"/>
    <mergeCell ref="A271:G271"/>
    <mergeCell ref="A272:B272"/>
    <mergeCell ref="A273:B273"/>
    <mergeCell ref="A274:B274"/>
    <mergeCell ref="A275:G275"/>
    <mergeCell ref="A276:B276"/>
    <mergeCell ref="A277:B277"/>
    <mergeCell ref="A263:B263"/>
    <mergeCell ref="A264:G264"/>
    <mergeCell ref="A265:B265"/>
    <mergeCell ref="G265:G269"/>
    <mergeCell ref="A266:B266"/>
    <mergeCell ref="A267:B267"/>
    <mergeCell ref="A268:B268"/>
    <mergeCell ref="A269:B269"/>
    <mergeCell ref="A258:B258"/>
    <mergeCell ref="C258:E258"/>
    <mergeCell ref="A259:G259"/>
    <mergeCell ref="A260:B260"/>
    <mergeCell ref="G260:G262"/>
    <mergeCell ref="A261:B261"/>
    <mergeCell ref="A262:B262"/>
    <mergeCell ref="A248:G248"/>
    <mergeCell ref="A251:G251"/>
    <mergeCell ref="A252:F252"/>
    <mergeCell ref="A254:B257"/>
    <mergeCell ref="C254:G255"/>
    <mergeCell ref="C256:G256"/>
    <mergeCell ref="C257:E257"/>
    <mergeCell ref="A243:B243"/>
    <mergeCell ref="A244:G244"/>
    <mergeCell ref="A245:B245"/>
    <mergeCell ref="G245:G246"/>
    <mergeCell ref="A246:B246"/>
    <mergeCell ref="A247:B247"/>
    <mergeCell ref="A249:B249"/>
    <mergeCell ref="A250:B250"/>
    <mergeCell ref="A237:B237"/>
    <mergeCell ref="A238:G238"/>
    <mergeCell ref="A239:B239"/>
    <mergeCell ref="G239:G242"/>
    <mergeCell ref="A240:B240"/>
    <mergeCell ref="A241:B241"/>
    <mergeCell ref="A242:B242"/>
    <mergeCell ref="A232:B232"/>
    <mergeCell ref="C232:E232"/>
    <mergeCell ref="A233:G233"/>
    <mergeCell ref="A234:B234"/>
    <mergeCell ref="G234:G236"/>
    <mergeCell ref="A235:B235"/>
    <mergeCell ref="A236:B236"/>
    <mergeCell ref="A221:B221"/>
    <mergeCell ref="A222:G222"/>
    <mergeCell ref="A225:G225"/>
    <mergeCell ref="A226:F226"/>
    <mergeCell ref="A228:B231"/>
    <mergeCell ref="C228:G229"/>
    <mergeCell ref="C230:G230"/>
    <mergeCell ref="C231:E231"/>
    <mergeCell ref="A216:B216"/>
    <mergeCell ref="A217:G217"/>
    <mergeCell ref="A218:B218"/>
    <mergeCell ref="G218:G220"/>
    <mergeCell ref="A219:B219"/>
    <mergeCell ref="A220:B220"/>
    <mergeCell ref="A223:B223"/>
    <mergeCell ref="A224:B224"/>
    <mergeCell ref="A211:B211"/>
    <mergeCell ref="A212:G212"/>
    <mergeCell ref="A213:B213"/>
    <mergeCell ref="G213:G214"/>
    <mergeCell ref="A214:B214"/>
    <mergeCell ref="A215:B215"/>
    <mergeCell ref="A206:B206"/>
    <mergeCell ref="C206:E206"/>
    <mergeCell ref="A207:G207"/>
    <mergeCell ref="A208:B208"/>
    <mergeCell ref="G208:G210"/>
    <mergeCell ref="A209:B209"/>
    <mergeCell ref="A210:B210"/>
    <mergeCell ref="A195:B195"/>
    <mergeCell ref="A196:G196"/>
    <mergeCell ref="A199:G199"/>
    <mergeCell ref="A200:F200"/>
    <mergeCell ref="A202:B205"/>
    <mergeCell ref="C202:G203"/>
    <mergeCell ref="C204:G204"/>
    <mergeCell ref="C205:E205"/>
    <mergeCell ref="A189:G189"/>
    <mergeCell ref="A190:B190"/>
    <mergeCell ref="A191:B191"/>
    <mergeCell ref="A192:G192"/>
    <mergeCell ref="A193:B193"/>
    <mergeCell ref="A194:B194"/>
    <mergeCell ref="A197:B197"/>
    <mergeCell ref="A198:B198"/>
    <mergeCell ref="A184:G184"/>
    <mergeCell ref="A185:B185"/>
    <mergeCell ref="G185:G187"/>
    <mergeCell ref="A186:B186"/>
    <mergeCell ref="A187:B187"/>
    <mergeCell ref="A188:B188"/>
    <mergeCell ref="A177:F177"/>
    <mergeCell ref="A179:B182"/>
    <mergeCell ref="C179:G180"/>
    <mergeCell ref="C181:G181"/>
    <mergeCell ref="C182:E182"/>
    <mergeCell ref="A183:B183"/>
    <mergeCell ref="C183:E183"/>
    <mergeCell ref="A169:G169"/>
    <mergeCell ref="A170:B170"/>
    <mergeCell ref="A171:B171"/>
    <mergeCell ref="A172:B172"/>
    <mergeCell ref="A173:G173"/>
    <mergeCell ref="A176:G176"/>
    <mergeCell ref="A164:B164"/>
    <mergeCell ref="A165:G165"/>
    <mergeCell ref="A166:B166"/>
    <mergeCell ref="G166:G167"/>
    <mergeCell ref="A167:B167"/>
    <mergeCell ref="A168:B168"/>
    <mergeCell ref="A174:B174"/>
    <mergeCell ref="A175:B175"/>
    <mergeCell ref="A158:B158"/>
    <mergeCell ref="C158:E158"/>
    <mergeCell ref="A159:G159"/>
    <mergeCell ref="A160:B160"/>
    <mergeCell ref="G160:G163"/>
    <mergeCell ref="A161:B161"/>
    <mergeCell ref="A162:B162"/>
    <mergeCell ref="A163:B163"/>
    <mergeCell ref="A148:G148"/>
    <mergeCell ref="A151:G151"/>
    <mergeCell ref="A152:F152"/>
    <mergeCell ref="A154:B157"/>
    <mergeCell ref="C154:G155"/>
    <mergeCell ref="C156:G156"/>
    <mergeCell ref="C157:E157"/>
    <mergeCell ref="A149:B149"/>
    <mergeCell ref="A150:B150"/>
    <mergeCell ref="A143:B143"/>
    <mergeCell ref="A144:G144"/>
    <mergeCell ref="A145:B145"/>
    <mergeCell ref="G145:G146"/>
    <mergeCell ref="A146:B146"/>
    <mergeCell ref="A147:B147"/>
    <mergeCell ref="A137:B137"/>
    <mergeCell ref="A138:G138"/>
    <mergeCell ref="A139:B139"/>
    <mergeCell ref="G139:G142"/>
    <mergeCell ref="A140:B140"/>
    <mergeCell ref="A141:B141"/>
    <mergeCell ref="A142:B142"/>
    <mergeCell ref="A132:B132"/>
    <mergeCell ref="C132:E132"/>
    <mergeCell ref="A133:G133"/>
    <mergeCell ref="A134:B134"/>
    <mergeCell ref="G134:G136"/>
    <mergeCell ref="A135:B135"/>
    <mergeCell ref="A136:B136"/>
    <mergeCell ref="A121:B121"/>
    <mergeCell ref="A122:G122"/>
    <mergeCell ref="A125:G125"/>
    <mergeCell ref="A126:F126"/>
    <mergeCell ref="A128:B131"/>
    <mergeCell ref="C128:G129"/>
    <mergeCell ref="C130:G130"/>
    <mergeCell ref="C131:E131"/>
    <mergeCell ref="A123:B123"/>
    <mergeCell ref="A124:B124"/>
    <mergeCell ref="A116:B116"/>
    <mergeCell ref="A117:G117"/>
    <mergeCell ref="A118:B118"/>
    <mergeCell ref="G118:G120"/>
    <mergeCell ref="A119:B119"/>
    <mergeCell ref="A120:B120"/>
    <mergeCell ref="A111:B111"/>
    <mergeCell ref="A112:G112"/>
    <mergeCell ref="A113:B113"/>
    <mergeCell ref="G113:G114"/>
    <mergeCell ref="A114:B114"/>
    <mergeCell ref="A115:B115"/>
    <mergeCell ref="A106:B106"/>
    <mergeCell ref="C106:E106"/>
    <mergeCell ref="A107:G107"/>
    <mergeCell ref="A108:B108"/>
    <mergeCell ref="G108:G110"/>
    <mergeCell ref="A109:B109"/>
    <mergeCell ref="A110:B110"/>
    <mergeCell ref="A94:B94"/>
    <mergeCell ref="A95:B95"/>
    <mergeCell ref="A96:G96"/>
    <mergeCell ref="A99:G99"/>
    <mergeCell ref="A100:F100"/>
    <mergeCell ref="A102:B105"/>
    <mergeCell ref="C102:G103"/>
    <mergeCell ref="C104:G104"/>
    <mergeCell ref="C105:E105"/>
    <mergeCell ref="A97:B97"/>
    <mergeCell ref="A98:B98"/>
    <mergeCell ref="A88:B88"/>
    <mergeCell ref="A89:G89"/>
    <mergeCell ref="A90:B90"/>
    <mergeCell ref="A91:B91"/>
    <mergeCell ref="A92:G92"/>
    <mergeCell ref="A93:B93"/>
    <mergeCell ref="A83:B83"/>
    <mergeCell ref="C83:E83"/>
    <mergeCell ref="A84:G84"/>
    <mergeCell ref="A85:B85"/>
    <mergeCell ref="G85:G87"/>
    <mergeCell ref="A86:B86"/>
    <mergeCell ref="A87:B87"/>
    <mergeCell ref="A73:G73"/>
    <mergeCell ref="A76:G76"/>
    <mergeCell ref="A77:F77"/>
    <mergeCell ref="A79:B82"/>
    <mergeCell ref="C79:G80"/>
    <mergeCell ref="C81:G81"/>
    <mergeCell ref="C82:E82"/>
    <mergeCell ref="A68:B68"/>
    <mergeCell ref="A69:G69"/>
    <mergeCell ref="A70:B70"/>
    <mergeCell ref="G70:G71"/>
    <mergeCell ref="A71:B71"/>
    <mergeCell ref="A72:B72"/>
    <mergeCell ref="A74:B74"/>
    <mergeCell ref="A75:B75"/>
    <mergeCell ref="A62:B62"/>
    <mergeCell ref="A63:G63"/>
    <mergeCell ref="A64:B64"/>
    <mergeCell ref="G64:G67"/>
    <mergeCell ref="A65:B65"/>
    <mergeCell ref="A66:B66"/>
    <mergeCell ref="A67:B67"/>
    <mergeCell ref="A57:B57"/>
    <mergeCell ref="C57:E57"/>
    <mergeCell ref="A58:G58"/>
    <mergeCell ref="A59:B59"/>
    <mergeCell ref="G59:G61"/>
    <mergeCell ref="A60:B60"/>
    <mergeCell ref="A61:B61"/>
    <mergeCell ref="A46:B46"/>
    <mergeCell ref="A47:G47"/>
    <mergeCell ref="A50:G50"/>
    <mergeCell ref="A51:F51"/>
    <mergeCell ref="A53:B56"/>
    <mergeCell ref="C53:G54"/>
    <mergeCell ref="C55:G55"/>
    <mergeCell ref="C56:E56"/>
    <mergeCell ref="A41:B41"/>
    <mergeCell ref="A42:G42"/>
    <mergeCell ref="A43:B43"/>
    <mergeCell ref="G43:G45"/>
    <mergeCell ref="A44:B44"/>
    <mergeCell ref="A45:B45"/>
    <mergeCell ref="A48:B48"/>
    <mergeCell ref="A49:B49"/>
    <mergeCell ref="A36:B36"/>
    <mergeCell ref="A37:G37"/>
    <mergeCell ref="A38:B38"/>
    <mergeCell ref="G38:G39"/>
    <mergeCell ref="A39:B39"/>
    <mergeCell ref="A40:B40"/>
    <mergeCell ref="A31:B31"/>
    <mergeCell ref="C31:E31"/>
    <mergeCell ref="A32:G32"/>
    <mergeCell ref="A33:B33"/>
    <mergeCell ref="G33:G35"/>
    <mergeCell ref="A34:B34"/>
    <mergeCell ref="A35:B35"/>
    <mergeCell ref="A20:B20"/>
    <mergeCell ref="A21:G21"/>
    <mergeCell ref="A24:G24"/>
    <mergeCell ref="A25:F25"/>
    <mergeCell ref="A27:B30"/>
    <mergeCell ref="C27:G28"/>
    <mergeCell ref="C29:G29"/>
    <mergeCell ref="C30:E30"/>
    <mergeCell ref="A14:G14"/>
    <mergeCell ref="A15:B15"/>
    <mergeCell ref="A16:B16"/>
    <mergeCell ref="A17:G17"/>
    <mergeCell ref="A18:B18"/>
    <mergeCell ref="G18:G19"/>
    <mergeCell ref="A19:B19"/>
    <mergeCell ref="A22:B22"/>
    <mergeCell ref="A23:B23"/>
    <mergeCell ref="C2:G2"/>
    <mergeCell ref="A9:G9"/>
    <mergeCell ref="A10:B10"/>
    <mergeCell ref="G10:G12"/>
    <mergeCell ref="A11:B11"/>
    <mergeCell ref="A12:B12"/>
    <mergeCell ref="A13:B13"/>
    <mergeCell ref="A4:B7"/>
    <mergeCell ref="C4:G5"/>
    <mergeCell ref="C6:G6"/>
    <mergeCell ref="C7:E7"/>
    <mergeCell ref="A8:B8"/>
    <mergeCell ref="C8:E8"/>
  </mergeCells>
  <pageMargins left="0.7" right="0.7" top="0.75" bottom="0.75" header="0.3" footer="0.3"/>
  <pageSetup paperSize="9" scale="7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17</vt:i4>
      </vt:variant>
    </vt:vector>
  </HeadingPairs>
  <TitlesOfParts>
    <vt:vector size="40" baseType="lpstr">
      <vt:lpstr>Presupuesto</vt:lpstr>
      <vt:lpstr>AU</vt:lpstr>
      <vt:lpstr>Interventoría</vt:lpstr>
      <vt:lpstr>FM </vt:lpstr>
      <vt:lpstr>Cap1</vt:lpstr>
      <vt:lpstr>Cap3</vt:lpstr>
      <vt:lpstr>Cap5</vt:lpstr>
      <vt:lpstr>Cap6</vt:lpstr>
      <vt:lpstr>Cap7</vt:lpstr>
      <vt:lpstr>Cap 8</vt:lpstr>
      <vt:lpstr>Cap10</vt:lpstr>
      <vt:lpstr>Cap11</vt:lpstr>
      <vt:lpstr>Cap12</vt:lpstr>
      <vt:lpstr>Cap14</vt:lpstr>
      <vt:lpstr>Cap15</vt:lpstr>
      <vt:lpstr>Cap16</vt:lpstr>
      <vt:lpstr>Cap17 </vt:lpstr>
      <vt:lpstr>Cap18</vt:lpstr>
      <vt:lpstr>SALARIOS</vt:lpstr>
      <vt:lpstr>INSUMOS </vt:lpstr>
      <vt:lpstr>INSUMOS ELÉCTRICOS</vt:lpstr>
      <vt:lpstr>MAQUINARIA Y EQUIPOS</vt:lpstr>
      <vt:lpstr>SUBANÁLISIS</vt:lpstr>
      <vt:lpstr>'Cap 8'!Área_de_impresión</vt:lpstr>
      <vt:lpstr>'Cap1'!Área_de_impresión</vt:lpstr>
      <vt:lpstr>'Cap10'!Área_de_impresión</vt:lpstr>
      <vt:lpstr>'Cap11'!Área_de_impresión</vt:lpstr>
      <vt:lpstr>'Cap12'!Área_de_impresión</vt:lpstr>
      <vt:lpstr>'Cap14'!Área_de_impresión</vt:lpstr>
      <vt:lpstr>'Cap15'!Área_de_impresión</vt:lpstr>
      <vt:lpstr>'Cap16'!Área_de_impresión</vt:lpstr>
      <vt:lpstr>'Cap17 '!Área_de_impresión</vt:lpstr>
      <vt:lpstr>'Cap18'!Área_de_impresión</vt:lpstr>
      <vt:lpstr>'Cap3'!Área_de_impresión</vt:lpstr>
      <vt:lpstr>'Cap5'!Área_de_impresión</vt:lpstr>
      <vt:lpstr>'Cap6'!Área_de_impresión</vt:lpstr>
      <vt:lpstr>'Cap7'!Área_de_impresión</vt:lpstr>
      <vt:lpstr>'FM '!Área_de_impresión</vt:lpstr>
      <vt:lpstr>'INSUMOS '!Área_de_impresión</vt:lpstr>
      <vt:lpstr>Presupuesto!Área_de_impresión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2023-04-28T17:00:45Z</dcterms:modified>
</cp:coreProperties>
</file>